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defaultThemeVersion="166925"/>
  <mc:AlternateContent xmlns:mc="http://schemas.openxmlformats.org/markup-compatibility/2006">
    <mc:Choice Requires="x15">
      <x15ac:absPath xmlns:x15ac="http://schemas.microsoft.com/office/spreadsheetml/2010/11/ac" url="C:\Users\Lauren.CLARKE\Desktop\"/>
    </mc:Choice>
  </mc:AlternateContent>
  <xr:revisionPtr revIDLastSave="0" documentId="8_{B4D056D9-BEA2-405A-BF4F-5F29955CC11B}" xr6:coauthVersionLast="46" xr6:coauthVersionMax="46" xr10:uidLastSave="{00000000-0000-0000-0000-000000000000}"/>
  <workbookProtection workbookAlgorithmName="SHA-512" workbookHashValue="2j+vYNwMi87HevfyfCJdVBnvqN9t0yF/p6Dc+kQiBVnD04UNKwL6k9FCSgXYeeRtnFrU3+c045zorDlCRiTjsQ==" workbookSaltValue="/+nIfaZGrAta0UCoAV7yfQ==" workbookSpinCount="100000" lockStructure="1"/>
  <bookViews>
    <workbookView xWindow="28680" yWindow="-120" windowWidth="29040" windowHeight="15840" tabRatio="938" activeTab="5" xr2:uid="{00000000-000D-0000-FFFF-FFFF00000000}"/>
  </bookViews>
  <sheets>
    <sheet name="DISCLAIMER" sheetId="90" r:id="rId1"/>
    <sheet name="lists" sheetId="70" state="hidden" r:id="rId2"/>
    <sheet name="Staffing from HRH tool" sheetId="107" state="hidden" r:id="rId3"/>
    <sheet name="Tool Overview" sheetId="113" r:id="rId4"/>
    <sheet name="Inputs" sheetId="93" r:id="rId5"/>
    <sheet name="User Dashboard" sheetId="48" r:id="rId6"/>
    <sheet name="Equipment List &amp; Usage" sheetId="45" r:id="rId7"/>
    <sheet name="SUMMARY TABS -&gt;" sheetId="30" r:id="rId8"/>
    <sheet name="Diagnostics Module" sheetId="97" state="hidden" r:id="rId9"/>
    <sheet name="Commodities by Week" sheetId="115" r:id="rId10"/>
    <sheet name="Weekly Summary" sheetId="47" r:id="rId11"/>
    <sheet name="Patient Calcs -&gt; " sheetId="96" r:id="rId12"/>
    <sheet name="Patient Calcs" sheetId="76" r:id="rId13"/>
    <sheet name="SIR Model Patient Calcs" sheetId="99" r:id="rId14"/>
    <sheet name="REFERENCE DATA -&gt;" sheetId="31" r:id="rId15"/>
    <sheet name="HCW, Staff, Beds Summary" sheetId="84" r:id="rId16"/>
    <sheet name="WHO GHO Data" sheetId="104" r:id="rId17"/>
    <sheet name="WB Beds" sheetId="88" r:id="rId18"/>
    <sheet name="UNDP Population Data" sheetId="50" r:id="rId19"/>
    <sheet name="Back Calculations" sheetId="63" r:id="rId20"/>
    <sheet name="Blank Sheets -&gt;" sheetId="120" r:id="rId21"/>
    <sheet name="Blank Sheet 1" sheetId="116" r:id="rId22"/>
    <sheet name="Blank Sheet 2" sheetId="117" r:id="rId23"/>
    <sheet name="Blank Sheet 3" sheetId="118" r:id="rId24"/>
    <sheet name="Blank Sheet 4" sheetId="119" r:id="rId25"/>
    <sheet name="Daily Contacts by Country" sheetId="103" state="hidden" r:id="rId26"/>
  </sheets>
  <externalReferences>
    <externalReference r:id="rId27"/>
  </externalReferences>
  <definedNames>
    <definedName name="_xlnm._FilterDatabase" localSheetId="9" hidden="1">'Commodities by Week'!$B$12:$G$84</definedName>
    <definedName name="_xlnm._FilterDatabase" localSheetId="8" hidden="1">'Diagnostics Module'!$B$19:$J$239</definedName>
    <definedName name="_xlnm._FilterDatabase" localSheetId="6" hidden="1">'Equipment List &amp; Usage'!$B$14:$G$105</definedName>
    <definedName name="_xlnm._FilterDatabase" localSheetId="15" hidden="1">'HCW, Staff, Beds Summary'!$B$6:$J$276</definedName>
    <definedName name="_xlnm._FilterDatabase" localSheetId="5" hidden="1">'User Dashboard'!$B$161:$G$185</definedName>
    <definedName name="_xlnm._FilterDatabase" localSheetId="16" hidden="1">'WHO GHO Data'!$T$7:$W$201</definedName>
    <definedName name="_Hlk41411087" localSheetId="0">DISCLAIMER!$B$18</definedName>
    <definedName name="_Key1" localSheetId="9" hidden="1">#REF!</definedName>
    <definedName name="_Key1" localSheetId="4" hidden="1">#REF!</definedName>
    <definedName name="_Key1" localSheetId="3" hidden="1">#REF!</definedName>
    <definedName name="_Key1" hidden="1">#REF!</definedName>
    <definedName name="_Order1" hidden="1">255</definedName>
    <definedName name="_Sort" localSheetId="9" hidden="1">#REF!</definedName>
    <definedName name="_Sort" localSheetId="4" hidden="1">#REF!</definedName>
    <definedName name="_Sort" localSheetId="3" hidden="1">#REF!</definedName>
    <definedName name="_Sort" hidden="1">#REF!</definedName>
    <definedName name="Ambulanciers_per_bed">Inputs!$I$74</definedName>
    <definedName name="Attack_rate_modelled">'User Dashboard'!$C$13</definedName>
    <definedName name="AttackRate">'Back Calculations'!$C$107</definedName>
    <definedName name="BedStay_Critical">Inputs!$I$50</definedName>
    <definedName name="BedStay_Severe">Inputs!$I$49</definedName>
    <definedName name="BiomedEngineers_per_bed">Inputs!$I$75</definedName>
    <definedName name="Caretaker_to_outpatient">Inputs!$I$83</definedName>
    <definedName name="Caretakers_per_bed">Inputs!$I$82</definedName>
    <definedName name="chart_axis">OFFSET('User Dashboard'!$L$85,,,,COUNTA('User Dashboard'!$L$85:$BK$85)-COUNTBLANK('User Dashboard'!$L$85:$BK$85))</definedName>
    <definedName name="chart_CHW">OFFSET('User Dashboard'!$L$87,,,,COUNTA('User Dashboard'!$L$87:$BK$87)-COUNTBLANK('User Dashboard'!$L$87:$BK$87))</definedName>
    <definedName name="Chart_Critical_cap">OFFSET('User Dashboard'!$L$54,,,,COUNTA('User Dashboard'!$L$54:$BK$54)-COUNTBLANK('User Dashboard'!$L$54:$BK$54))</definedName>
    <definedName name="Chart_critical_O2need">OFFSET('User Dashboard'!$S$70,,,,COUNTA('User Dashboard'!$S$70:$BR$70)-COUNTBLANK('User Dashboard'!$S$70:$BR$70))</definedName>
    <definedName name="Chart_criticals">OFFSET('User Dashboard'!$L$34,,,,COUNTA('User Dashboard'!$L$34:$BK$34)-COUNTBLANK('User Dashboard'!$L$34:$BK$34))</definedName>
    <definedName name="Chart_ICU_beds">OFFSET('User Dashboard'!$L$51,,,,COUNTA('User Dashboard'!$L$51:$BK$51)-COUNTBLANK('User Dashboard'!$L$51:$BK$51))</definedName>
    <definedName name="chart_inpatient_hcw">OFFSET('User Dashboard'!$L$86,,,,COUNTA('User Dashboard'!$L$86:$BK$86)-COUNTBLANK('User Dashboard'!$L$86:$BK$86))</definedName>
    <definedName name="Chart_milds">OFFSET('User Dashboard'!$L$31,,,,COUNTA('User Dashboard'!$L$31:$BK$31)-COUNTBLANK('User Dashboard'!$L$31:$BK$31))</definedName>
    <definedName name="chart_moderates">OFFSET('User Dashboard'!$L$32,,,,COUNTA('User Dashboard'!$L$32:$BK$32)-COUNTBLANK('User Dashboard'!$L$32:$BK$32))</definedName>
    <definedName name="chart_outpatient_hcw">OFFSET('User Dashboard'!$L$88,,,,COUNTA('User Dashboard'!$L$88:$BK$88)-COUNTBLANK('User Dashboard'!$L$88:$BK$88))</definedName>
    <definedName name="Chart_severe_beds">OFFSET('User Dashboard'!$L$52,,,,COUNTA('User Dashboard'!$L$52:$BK$52)-COUNTBLANK('User Dashboard'!$L$52:$BK$52))</definedName>
    <definedName name="Chart_severe_cap">OFFSET('User Dashboard'!$L$53,,,,COUNTA('User Dashboard'!$L$53:$BK$53)-COUNTBLANK('User Dashboard'!$L$53:$BK$53))</definedName>
    <definedName name="Chart_severe_O2need">OFFSET('User Dashboard'!$S$69,,,,COUNTA('User Dashboard'!$S$69:$BR$69)-COUNTBLANK('User Dashboard'!$S$69:$BR$69))</definedName>
    <definedName name="Chart_severes">OFFSET('User Dashboard'!$L$33,,,,COUNTA('User Dashboard'!$L$33:$BK$33)-COUNTBLANK('User Dashboard'!$L$33:$BK$33))</definedName>
    <definedName name="Chart_total_O2need">OFFSET('User Dashboard'!$S$71,,,,COUNTA('User Dashboard'!$S$71:$BR$71)-COUNTBLANK('User Dashboard'!$S$71:$BR$71))</definedName>
    <definedName name="CritcalCasePercentage">Inputs!$I$44</definedName>
    <definedName name="CriticalCasePercentage">Inputs!$I$44</definedName>
    <definedName name="Current_known_cases">Inputs!$C$30</definedName>
    <definedName name="daychart_axis">OFFSET('SIR Model Patient Calcs'!$A$7,,,COUNTA('SIR Model Patient Calcs'!$A$7:$A$372)-COUNTBLANK('SIR Model Patient Calcs'!$A$7:$A$372),)</definedName>
    <definedName name="daychart_cases">OFFSET('SIR Model Patient Calcs'!$L$7,,,COUNTA('SIR Model Patient Calcs'!$A$7:$A$372)-COUNTBLANK('SIR Model Patient Calcs'!$A$7:$A$372),)</definedName>
    <definedName name="Doubling_rate_modelled">'User Dashboard'!$C$14</definedName>
    <definedName name="Fast_doubling_rate">'Back Calculations'!$C$92</definedName>
    <definedName name="HCW_per_lab">Inputs!$I$169</definedName>
    <definedName name="HCWs_per_bed">Inputs!$I$72</definedName>
    <definedName name="Hygienists_per_bed">Inputs!$I$73</definedName>
    <definedName name="Hygienists_per_lab">Inputs!$I$170</definedName>
    <definedName name="IP_HCW" localSheetId="4">OFFSET(User [1]Dashboard!$A$2,0,0,COUNTA(User [1]Dashboard!$A:$A))</definedName>
    <definedName name="LinkToSIR">'Patient Calcs'!$E$129</definedName>
    <definedName name="LU_StaffCategory">'Staffing from HRH tool'!$B$10:$L$35</definedName>
    <definedName name="Max_caretakers_per_week_for_outpatients">'Weekly Summary'!$BH$131</definedName>
    <definedName name="Max_critical_beds_for_period">'Weekly Summary'!$BF$60</definedName>
    <definedName name="Max_critical_capped_beds">'Weekly Summary'!$BH$65</definedName>
    <definedName name="Max_HCW_for_outpatient">'Weekly Summary'!$BH$128</definedName>
    <definedName name="Max_hospitals_operating">'Weekly Summary'!$BH$67</definedName>
    <definedName name="Max_inpatient_ambulancier">'Weekly Summary'!$BH$115</definedName>
    <definedName name="Max_inpatient_caretaker">'Weekly Summary'!$BH$114</definedName>
    <definedName name="Max_inpatient_HCWs">'Weekly Summary'!$BH$112</definedName>
    <definedName name="Max_inpatient_hygienist">'Weekly Summary'!$BH$113</definedName>
    <definedName name="Max_Lab_HCWs">'Weekly Summary'!$BH$134</definedName>
    <definedName name="Max_Lab_hygienists">'Weekly Summary'!$BH$135</definedName>
    <definedName name="Max_outpatients_diagnosed_per_week">'Weekly Summary'!$BH$100</definedName>
    <definedName name="Max_severe_beds_for_period">'Weekly Summary'!$BF$59</definedName>
    <definedName name="Max_severe_capped_beds">'Weekly Summary'!$BH$64</definedName>
    <definedName name="Max_total_capped_beds">'Weekly Summary'!$BH$66</definedName>
    <definedName name="MaxTestsPerDay">Inputs!$I$150</definedName>
    <definedName name="Medium_doubling_rate">'Back Calculations'!$C$91</definedName>
    <definedName name="Mild_testing_percentage">'User Dashboard'!$H$18</definedName>
    <definedName name="Mild_testing_strategy">'User Dashboard'!$H$17</definedName>
    <definedName name="MildCasePercentage">Inputs!$I$41</definedName>
    <definedName name="ModerateCasePercentage">Inputs!$I$42</definedName>
    <definedName name="NumberOfBeds_per_centre">Inputs!$I$104</definedName>
    <definedName name="OLE_LINK1" localSheetId="0">DISCLAIMER!$B$6</definedName>
    <definedName name="Output_beds_in_country">'Back Calculations'!$C$19</definedName>
    <definedName name="SelfQuarantine_Mild">Inputs!$I$47</definedName>
    <definedName name="SelfQuarantine_Moderate">Inputs!$I$48</definedName>
    <definedName name="SevereCasePercentage">Inputs!$I$43</definedName>
    <definedName name="Slow_doubling_rate">'Back Calculations'!$C$90</definedName>
    <definedName name="solver_adj" localSheetId="13" hidden="1">'Patient Calcs'!#REF!,'SIR Model Patient Calcs'!#REF!,'Patient Calcs'!#REF!,'Patient Calcs'!#REF!</definedName>
    <definedName name="solver_cvg" localSheetId="13" hidden="1">0.0001</definedName>
    <definedName name="solver_drv" localSheetId="13" hidden="1">1</definedName>
    <definedName name="solver_eng" localSheetId="13" hidden="1">1</definedName>
    <definedName name="solver_est" localSheetId="13" hidden="1">1</definedName>
    <definedName name="solver_itr" localSheetId="13" hidden="1">2147483647</definedName>
    <definedName name="solver_lhs1" localSheetId="13" hidden="1">'SIR Model Patient Calcs'!#REF!</definedName>
    <definedName name="solver_lhs10" localSheetId="13" hidden="1">'Patient Calcs'!#REF!</definedName>
    <definedName name="solver_lhs11" localSheetId="13" hidden="1">'Patient Calcs'!#REF!</definedName>
    <definedName name="solver_lhs12" localSheetId="13" hidden="1">'Patient Calcs'!#REF!</definedName>
    <definedName name="solver_lhs13" localSheetId="13" hidden="1">'Patient Calcs'!#REF!</definedName>
    <definedName name="solver_lhs14" localSheetId="13" hidden="1">'Patient Calcs'!#REF!</definedName>
    <definedName name="solver_lhs15" localSheetId="13" hidden="1">'Patient Calcs'!#REF!</definedName>
    <definedName name="solver_lhs16" localSheetId="13" hidden="1">'Patient Calcs'!#REF!</definedName>
    <definedName name="solver_lhs17" localSheetId="13" hidden="1">'Patient Calcs'!#REF!</definedName>
    <definedName name="solver_lhs18" localSheetId="13" hidden="1">'Patient Calcs'!#REF!</definedName>
    <definedName name="solver_lhs19" localSheetId="13" hidden="1">'Patient Calcs'!#REF!</definedName>
    <definedName name="solver_lhs2" localSheetId="13" hidden="1">'SIR Model Patient Calcs'!#REF!</definedName>
    <definedName name="solver_lhs20" localSheetId="13" hidden="1">'Patient Calcs'!#REF!</definedName>
    <definedName name="solver_lhs21" localSheetId="13" hidden="1">'Patient Calcs'!#REF!</definedName>
    <definedName name="solver_lhs22" localSheetId="13" hidden="1">'Patient Calcs'!#REF!</definedName>
    <definedName name="solver_lhs23" localSheetId="13" hidden="1">'Patient Calcs'!#REF!</definedName>
    <definedName name="solver_lhs24" localSheetId="13" hidden="1">'Patient Calcs'!#REF!</definedName>
    <definedName name="solver_lhs3" localSheetId="13" hidden="1">'SIR Model Patient Calcs'!#REF!</definedName>
    <definedName name="solver_lhs4" localSheetId="13" hidden="1">'SIR Model Patient Calcs'!#REF!</definedName>
    <definedName name="solver_lhs5" localSheetId="13" hidden="1">'SIR Model Patient Calcs'!#REF!</definedName>
    <definedName name="solver_lhs6" localSheetId="13" hidden="1">'SIR Model Patient Calcs'!#REF!</definedName>
    <definedName name="solver_lhs7" localSheetId="13" hidden="1">'Patient Calcs'!#REF!</definedName>
    <definedName name="solver_nod" localSheetId="13" hidden="1">2147483647</definedName>
    <definedName name="solver_num" localSheetId="13" hidden="1">24</definedName>
    <definedName name="solver_nwt" localSheetId="13" hidden="1">1</definedName>
    <definedName name="solver_opt" localSheetId="13" hidden="1">'SIR Model Patient Calcs'!#REF!</definedName>
    <definedName name="solver_pre" localSheetId="13" hidden="1">0.000001</definedName>
    <definedName name="solver_rbv" localSheetId="13" hidden="1">2</definedName>
    <definedName name="solver_rel1" localSheetId="13" hidden="1">1</definedName>
    <definedName name="solver_rel10" localSheetId="13" hidden="1">1</definedName>
    <definedName name="solver_rel11" localSheetId="13" hidden="1">3</definedName>
    <definedName name="solver_rel12" localSheetId="13" hidden="1">1</definedName>
    <definedName name="solver_rel13" localSheetId="13" hidden="1">1</definedName>
    <definedName name="solver_rel14" localSheetId="13" hidden="1">3</definedName>
    <definedName name="solver_rel15" localSheetId="13" hidden="1">1</definedName>
    <definedName name="solver_rel16" localSheetId="13" hidden="1">4</definedName>
    <definedName name="solver_rel17" localSheetId="13" hidden="1">3</definedName>
    <definedName name="solver_rel18" localSheetId="13" hidden="1">1</definedName>
    <definedName name="solver_rel19" localSheetId="13" hidden="1">4</definedName>
    <definedName name="solver_rel2" localSheetId="13" hidden="1">3</definedName>
    <definedName name="solver_rel20" localSheetId="13" hidden="1">3</definedName>
    <definedName name="solver_rel21" localSheetId="13" hidden="1">1</definedName>
    <definedName name="solver_rel22" localSheetId="13" hidden="1">3</definedName>
    <definedName name="solver_rel23" localSheetId="13" hidden="1">1</definedName>
    <definedName name="solver_rel24" localSheetId="13" hidden="1">1</definedName>
    <definedName name="solver_rel3" localSheetId="13" hidden="1">1</definedName>
    <definedName name="solver_rel4" localSheetId="13" hidden="1">3</definedName>
    <definedName name="solver_rel5" localSheetId="13" hidden="1">3</definedName>
    <definedName name="solver_rel6" localSheetId="13" hidden="1">3</definedName>
    <definedName name="solver_rel7" localSheetId="13" hidden="1">1</definedName>
    <definedName name="solver_rel8" localSheetId="13" hidden="1">3</definedName>
    <definedName name="solver_rel9" localSheetId="13" hidden="1">1</definedName>
    <definedName name="solver_rhs1" localSheetId="13" hidden="1">1</definedName>
    <definedName name="solver_rhs10" localSheetId="13" hidden="1">20</definedName>
    <definedName name="solver_rhs11" localSheetId="13" hidden="1">0.1</definedName>
    <definedName name="solver_rhs12" localSheetId="13" hidden="1">'Patient Calcs'!#REF!</definedName>
    <definedName name="solver_rhs13" localSheetId="13" hidden="1">20</definedName>
    <definedName name="solver_rhs14" localSheetId="13" hidden="1">0.1</definedName>
    <definedName name="solver_rhs15" localSheetId="13" hidden="1">50</definedName>
    <definedName name="solver_rhs16" localSheetId="13" hidden="1">integer</definedName>
    <definedName name="solver_rhs17" localSheetId="13" hidden="1">1</definedName>
    <definedName name="solver_rhs18" localSheetId="13" hidden="1">50</definedName>
    <definedName name="solver_rhs19" localSheetId="13" hidden="1">integer</definedName>
    <definedName name="solver_rhs2" localSheetId="13" hidden="1">0.001</definedName>
    <definedName name="solver_rhs20" localSheetId="13" hidden="1">'Patient Calcs'!#REF!</definedName>
    <definedName name="solver_rhs21" localSheetId="13" hidden="1">0.5</definedName>
    <definedName name="solver_rhs22" localSheetId="13" hidden="1">0.001</definedName>
    <definedName name="solver_rhs23" localSheetId="13" hidden="1">'Patient Calcs'!#REF!</definedName>
    <definedName name="solver_rhs24" localSheetId="13" hidden="1">'Patient Calcs'!#REF!</definedName>
    <definedName name="solver_rhs3" localSheetId="13" hidden="1">1</definedName>
    <definedName name="solver_rhs4" localSheetId="13" hidden="1">0.001</definedName>
    <definedName name="solver_rhs5" localSheetId="13" hidden="1">'SIR Model Patient Calcs'!#REF!</definedName>
    <definedName name="solver_rhs6" localSheetId="13" hidden="1">'SIR Model Patient Calcs'!#REF!</definedName>
    <definedName name="solver_rhs7" localSheetId="13" hidden="1">25</definedName>
    <definedName name="solver_rhs8" localSheetId="13" hidden="1">0.1</definedName>
    <definedName name="solver_rhs9" localSheetId="13" hidden="1">'Patient Calcs'!#REF!</definedName>
    <definedName name="solver_rlx" localSheetId="13" hidden="1">2</definedName>
    <definedName name="solver_rsd" localSheetId="13" hidden="1">0</definedName>
    <definedName name="solver_scl" localSheetId="13" hidden="1">2</definedName>
    <definedName name="solver_sho" localSheetId="13" hidden="1">2</definedName>
    <definedName name="solver_ssz" localSheetId="13" hidden="1">0</definedName>
    <definedName name="solver_tim" localSheetId="13" hidden="1">2147483647</definedName>
    <definedName name="solver_tol" localSheetId="13" hidden="1">0.01</definedName>
    <definedName name="solver_typ" localSheetId="13" hidden="1">2</definedName>
    <definedName name="solver_val" localSheetId="13" hidden="1">0</definedName>
    <definedName name="solver_ver" localSheetId="13" hidden="1">3</definedName>
    <definedName name="Start_week_for_forecasting">'Back Calculations'!$C$123</definedName>
    <definedName name="SuspectedCaseMultiplier">'User Dashboard'!$H$19</definedName>
    <definedName name="Tests_for_diagnosis">'User Dashboard'!$J$18</definedName>
    <definedName name="Tests_for_release">'User Dashboard'!$K$19</definedName>
    <definedName name="Tests_per_HCW">Inputs!$I$78</definedName>
    <definedName name="Tests_SevereOrCritical">'User Dashboard'!$K$19</definedName>
    <definedName name="Toggle_biomedical" localSheetId="9">'Commodities by Week'!$B$49</definedName>
    <definedName name="Toggle_biomedical">'Equipment List &amp; Usage'!$B$51</definedName>
    <definedName name="Toggle_consultation">'Equipment List &amp; Usage'!$AA$13</definedName>
    <definedName name="Toggle_Consumables">'Equipment List &amp; Usage'!$B$210</definedName>
    <definedName name="Toggle_Diagnostics" localSheetId="9">'Commodities by Week'!$B$33</definedName>
    <definedName name="Toggle_Diagnostics">'Equipment List &amp; Usage'!$B$35</definedName>
    <definedName name="Toggle_Drugs">'Equipment List &amp; Usage'!$B$117</definedName>
    <definedName name="Toggle_Hygiene" localSheetId="9">'Commodities by Week'!$B$13</definedName>
    <definedName name="Toggle_Hygiene">'Equipment List &amp; Usage'!$B$15</definedName>
    <definedName name="Toggle_inpatient">'Equipment List &amp; Usage'!$J$13</definedName>
    <definedName name="Toggle_labs">'Equipment List &amp; Usage'!$AE$13</definedName>
    <definedName name="Toggle_outpatient">'Equipment List &amp; Usage'!$W$13</definedName>
    <definedName name="Toggle_PPE" localSheetId="9">'Commodities by Week'!$B$18</definedName>
    <definedName name="Toggle_PPE">'Equipment List &amp; Usage'!$B$20</definedName>
    <definedName name="Total_admitted_capped_critical_patients">'Weekly Summary'!$BF$53</definedName>
    <definedName name="Total_admitted_capped_moderate_patients">'Weekly Summary'!$BF$50</definedName>
    <definedName name="Total_admitted_capped_severe_patients">'Weekly Summary'!$BF$52</definedName>
    <definedName name="Total_caretaker">'Weekly Summary'!$BF$131</definedName>
    <definedName name="Total_caretaker_for_outpatient">'Weekly Summary'!$BF$131</definedName>
    <definedName name="Total_crit_patients_in_bed_over_forecast">'Weekly Summary'!$BF$65</definedName>
    <definedName name="Total_critical_cases_for_period">'Weekly Summary'!$BF$47</definedName>
    <definedName name="Total_HCW_for_outpatient_over_time">'Weekly Summary'!$BF$128</definedName>
    <definedName name="Total_HCW_labs_over_time">'Weekly Summary'!$BF$134</definedName>
    <definedName name="Total_hospitals_operating_per_week_over_time">'Weekly Summary'!$BF$67</definedName>
    <definedName name="Total_hygienist_labs_over_time">'Weekly Summary'!$BF$135</definedName>
    <definedName name="Total_inpatient_ambulancier_over_time">'Weekly Summary'!$BF$115</definedName>
    <definedName name="Total_Inpatient_caretaker_over_time">'Weekly Summary'!$BF$114</definedName>
    <definedName name="Total_inpatient_HCWs_over_time">'Weekly Summary'!$BF$112</definedName>
    <definedName name="Total_inpatient_Hygienist_over_time">'Weekly Summary'!$BF$113</definedName>
    <definedName name="Total_Inpatients_in_beds_over_time">'Weekly Summary'!$BF$66</definedName>
    <definedName name="Total_labs">Inputs!$I$167</definedName>
    <definedName name="Total_mild_cases_for_period">'Weekly Summary'!$BF$44</definedName>
    <definedName name="Total_Mild_Outpatient">'Weekly Summary'!$BF$100</definedName>
    <definedName name="Total_moderate_outpatient">'Weekly Summary'!$BF$101</definedName>
    <definedName name="Total_new_cases_for_period">'Weekly Summary'!$BF$43</definedName>
    <definedName name="Total_Outpatient">'Weekly Summary'!$BF$100</definedName>
    <definedName name="Total_severe_cases_for_period">'Weekly Summary'!$BF$46</definedName>
    <definedName name="Total_severe_patients_in_bed_over_forecast">'Weekly Summary'!$BF$64</definedName>
    <definedName name="Total_tests_conducted">'Weekly Summary'!$BF$105</definedName>
    <definedName name="WeekSuppliedUntil">'Back Calculations'!$C$124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9" i="47" l="1"/>
  <c r="E39" i="47" s="1"/>
  <c r="F39" i="47" s="1"/>
  <c r="G39" i="47" s="1"/>
  <c r="H39" i="47" s="1"/>
  <c r="I39" i="47" s="1"/>
  <c r="J39" i="47" s="1"/>
  <c r="K39" i="47" s="1"/>
  <c r="L39" i="47" s="1"/>
  <c r="M39" i="47" s="1"/>
  <c r="N39" i="47" s="1"/>
  <c r="O39" i="47" s="1"/>
  <c r="P39" i="47" s="1"/>
  <c r="Q39" i="47" s="1"/>
  <c r="R39" i="47" s="1"/>
  <c r="S39" i="47" s="1"/>
  <c r="T39" i="47" s="1"/>
  <c r="U39" i="47" s="1"/>
  <c r="V39" i="47" s="1"/>
  <c r="W39" i="47" s="1"/>
  <c r="X39" i="47" s="1"/>
  <c r="Y39" i="47" s="1"/>
  <c r="Z39" i="47" s="1"/>
  <c r="AA39" i="47" s="1"/>
  <c r="AB39" i="47" s="1"/>
  <c r="AC39" i="47" s="1"/>
  <c r="AD39" i="47" s="1"/>
  <c r="AE39" i="47" s="1"/>
  <c r="AF39" i="47" s="1"/>
  <c r="AG39" i="47" s="1"/>
  <c r="AH39" i="47" s="1"/>
  <c r="AI39" i="47" s="1"/>
  <c r="AJ39" i="47" s="1"/>
  <c r="AK39" i="47" s="1"/>
  <c r="AL39" i="47" s="1"/>
  <c r="AM39" i="47" s="1"/>
  <c r="AN39" i="47" s="1"/>
  <c r="AO39" i="47" s="1"/>
  <c r="AP39" i="47" s="1"/>
  <c r="AQ39" i="47" s="1"/>
  <c r="AR39" i="47" s="1"/>
  <c r="AS39" i="47" s="1"/>
  <c r="AT39" i="47" s="1"/>
  <c r="AU39" i="47" s="1"/>
  <c r="AV39" i="47" s="1"/>
  <c r="AW39" i="47" s="1"/>
  <c r="AX39" i="47" s="1"/>
  <c r="AY39" i="47" s="1"/>
  <c r="AZ39" i="47" s="1"/>
  <c r="BA39" i="47" s="1"/>
  <c r="BB39" i="47" s="1"/>
  <c r="BC39" i="47" s="1"/>
  <c r="BD39" i="47" s="1"/>
  <c r="J9" i="115"/>
  <c r="K9" i="115" l="1"/>
  <c r="L9" i="115" s="1"/>
  <c r="M9" i="115" s="1"/>
  <c r="N9" i="115" s="1"/>
  <c r="O9" i="115" s="1"/>
  <c r="P9" i="115" s="1"/>
  <c r="Q9" i="115" s="1"/>
  <c r="R9" i="115" s="1"/>
  <c r="S9" i="115" s="1"/>
  <c r="T9" i="115" s="1"/>
  <c r="U9" i="115" s="1"/>
  <c r="V9" i="115" s="1"/>
  <c r="W9" i="115" s="1"/>
  <c r="X9" i="115" s="1"/>
  <c r="Y9" i="115" s="1"/>
  <c r="Z9" i="115" s="1"/>
  <c r="AA9" i="115" s="1"/>
  <c r="AB9" i="115" s="1"/>
  <c r="AC9" i="115" s="1"/>
  <c r="AD9" i="115" s="1"/>
  <c r="AE9" i="115" s="1"/>
  <c r="AF9" i="115" s="1"/>
  <c r="AG9" i="115" s="1"/>
  <c r="AH9" i="115" s="1"/>
  <c r="AI9" i="115" s="1"/>
  <c r="AJ9" i="115" s="1"/>
  <c r="AK9" i="115" s="1"/>
  <c r="AL9" i="115" s="1"/>
  <c r="AM9" i="115" s="1"/>
  <c r="AN9" i="115" s="1"/>
  <c r="AO9" i="115" s="1"/>
  <c r="AP9" i="115" s="1"/>
  <c r="AQ9" i="115" s="1"/>
  <c r="AR9" i="115" s="1"/>
  <c r="AS9" i="115" s="1"/>
  <c r="AT9" i="115" s="1"/>
  <c r="AU9" i="115" s="1"/>
  <c r="AV9" i="115" s="1"/>
  <c r="AW9" i="115" s="1"/>
  <c r="AX9" i="115" s="1"/>
  <c r="AY9" i="115" s="1"/>
  <c r="AZ9" i="115" s="1"/>
  <c r="BA9" i="115" s="1"/>
  <c r="BB9" i="115" s="1"/>
  <c r="BC9" i="115" s="1"/>
  <c r="BD9" i="115" s="1"/>
  <c r="BE9" i="115" s="1"/>
  <c r="BF9" i="115" s="1"/>
  <c r="BG9" i="115" s="1"/>
  <c r="BH9" i="115" s="1"/>
  <c r="BI9" i="115" s="1"/>
  <c r="BJ9" i="115" s="1"/>
  <c r="G20" i="48" l="1"/>
  <c r="AE29" i="45" l="1"/>
  <c r="N17" i="45"/>
  <c r="M17" i="45"/>
  <c r="K17" i="45"/>
  <c r="J17" i="45"/>
  <c r="E46" i="115" l="1"/>
  <c r="D46" i="115"/>
  <c r="C46" i="115"/>
  <c r="B46" i="115"/>
  <c r="E45" i="115"/>
  <c r="D45" i="115"/>
  <c r="C45" i="115"/>
  <c r="B45" i="115"/>
  <c r="G84" i="115"/>
  <c r="F84" i="115"/>
  <c r="E84" i="115"/>
  <c r="D84" i="115"/>
  <c r="C84" i="115"/>
  <c r="B84" i="115"/>
  <c r="G83" i="115"/>
  <c r="F83" i="115"/>
  <c r="E83" i="115"/>
  <c r="D83" i="115"/>
  <c r="C83" i="115"/>
  <c r="B83" i="115"/>
  <c r="G82" i="115"/>
  <c r="F82" i="115"/>
  <c r="E82" i="115"/>
  <c r="D82" i="115"/>
  <c r="C82" i="115"/>
  <c r="B82" i="115"/>
  <c r="G81" i="115"/>
  <c r="F81" i="115"/>
  <c r="E81" i="115"/>
  <c r="D81" i="115"/>
  <c r="C81" i="115"/>
  <c r="B81" i="115"/>
  <c r="G80" i="115"/>
  <c r="F80" i="115"/>
  <c r="E80" i="115"/>
  <c r="D80" i="115"/>
  <c r="C80" i="115"/>
  <c r="B80" i="115"/>
  <c r="G79" i="115"/>
  <c r="F79" i="115"/>
  <c r="E79" i="115"/>
  <c r="D79" i="115"/>
  <c r="C79" i="115"/>
  <c r="B79" i="115"/>
  <c r="G78" i="115"/>
  <c r="F78" i="115"/>
  <c r="E78" i="115"/>
  <c r="D78" i="115"/>
  <c r="C78" i="115"/>
  <c r="B78" i="115"/>
  <c r="G77" i="115"/>
  <c r="F77" i="115"/>
  <c r="E77" i="115"/>
  <c r="D77" i="115"/>
  <c r="C77" i="115"/>
  <c r="B77" i="115"/>
  <c r="G76" i="115"/>
  <c r="F76" i="115"/>
  <c r="E76" i="115"/>
  <c r="D76" i="115"/>
  <c r="C76" i="115"/>
  <c r="B76" i="115"/>
  <c r="G75" i="115"/>
  <c r="F75" i="115"/>
  <c r="E75" i="115"/>
  <c r="D75" i="115"/>
  <c r="C75" i="115"/>
  <c r="B75" i="115"/>
  <c r="G74" i="115"/>
  <c r="F74" i="115"/>
  <c r="E74" i="115"/>
  <c r="D74" i="115"/>
  <c r="C74" i="115"/>
  <c r="B74" i="115"/>
  <c r="G73" i="115"/>
  <c r="F73" i="115"/>
  <c r="E73" i="115"/>
  <c r="D73" i="115"/>
  <c r="C73" i="115"/>
  <c r="B73" i="115"/>
  <c r="G72" i="115"/>
  <c r="F72" i="115"/>
  <c r="E72" i="115"/>
  <c r="D72" i="115"/>
  <c r="C72" i="115"/>
  <c r="B72" i="115"/>
  <c r="G71" i="115"/>
  <c r="F71" i="115"/>
  <c r="E71" i="115"/>
  <c r="D71" i="115"/>
  <c r="C71" i="115"/>
  <c r="B71" i="115"/>
  <c r="G70" i="115"/>
  <c r="F70" i="115"/>
  <c r="E70" i="115"/>
  <c r="D70" i="115"/>
  <c r="C70" i="115"/>
  <c r="B70" i="115"/>
  <c r="G69" i="115"/>
  <c r="F69" i="115"/>
  <c r="E69" i="115"/>
  <c r="D69" i="115"/>
  <c r="C69" i="115"/>
  <c r="B69" i="115"/>
  <c r="G68" i="115"/>
  <c r="F68" i="115"/>
  <c r="E68" i="115"/>
  <c r="D68" i="115"/>
  <c r="C68" i="115"/>
  <c r="B68" i="115"/>
  <c r="G67" i="115"/>
  <c r="F67" i="115"/>
  <c r="E67" i="115"/>
  <c r="D67" i="115"/>
  <c r="C67" i="115"/>
  <c r="B67" i="115"/>
  <c r="G66" i="115"/>
  <c r="F66" i="115"/>
  <c r="E66" i="115"/>
  <c r="D66" i="115"/>
  <c r="C66" i="115"/>
  <c r="B66" i="115"/>
  <c r="G65" i="115"/>
  <c r="F65" i="115"/>
  <c r="E65" i="115"/>
  <c r="D65" i="115"/>
  <c r="C65" i="115"/>
  <c r="B65" i="115"/>
  <c r="G64" i="115"/>
  <c r="F64" i="115"/>
  <c r="E64" i="115"/>
  <c r="D64" i="115"/>
  <c r="C64" i="115"/>
  <c r="B64" i="115"/>
  <c r="G63" i="115"/>
  <c r="F63" i="115"/>
  <c r="E63" i="115"/>
  <c r="D63" i="115"/>
  <c r="C63" i="115"/>
  <c r="B63" i="115"/>
  <c r="G62" i="115"/>
  <c r="F62" i="115"/>
  <c r="E62" i="115"/>
  <c r="D62" i="115"/>
  <c r="C62" i="115"/>
  <c r="B62" i="115"/>
  <c r="G61" i="115"/>
  <c r="F61" i="115"/>
  <c r="E61" i="115"/>
  <c r="D61" i="115"/>
  <c r="C61" i="115"/>
  <c r="B61" i="115"/>
  <c r="G60" i="115"/>
  <c r="F60" i="115"/>
  <c r="E60" i="115"/>
  <c r="D60" i="115"/>
  <c r="C60" i="115"/>
  <c r="B60" i="115"/>
  <c r="G59" i="115"/>
  <c r="F59" i="115"/>
  <c r="E59" i="115"/>
  <c r="D59" i="115"/>
  <c r="C59" i="115"/>
  <c r="B59" i="115"/>
  <c r="G58" i="115"/>
  <c r="F58" i="115"/>
  <c r="E58" i="115"/>
  <c r="D58" i="115"/>
  <c r="C58" i="115"/>
  <c r="B58" i="115"/>
  <c r="G57" i="115"/>
  <c r="F57" i="115"/>
  <c r="E57" i="115"/>
  <c r="D57" i="115"/>
  <c r="C57" i="115"/>
  <c r="B57" i="115"/>
  <c r="G56" i="115"/>
  <c r="F56" i="115"/>
  <c r="E56" i="115"/>
  <c r="D56" i="115"/>
  <c r="C56" i="115"/>
  <c r="B56" i="115"/>
  <c r="G55" i="115"/>
  <c r="F55" i="115"/>
  <c r="E55" i="115"/>
  <c r="C55" i="115"/>
  <c r="B55" i="115"/>
  <c r="G54" i="115"/>
  <c r="F54" i="115"/>
  <c r="E54" i="115"/>
  <c r="C54" i="115"/>
  <c r="B54" i="115"/>
  <c r="G53" i="115"/>
  <c r="F53" i="115"/>
  <c r="E53" i="115"/>
  <c r="C53" i="115"/>
  <c r="B53" i="115"/>
  <c r="G52" i="115"/>
  <c r="F52" i="115"/>
  <c r="E52" i="115"/>
  <c r="D52" i="115"/>
  <c r="C52" i="115"/>
  <c r="B52" i="115"/>
  <c r="G51" i="115"/>
  <c r="F51" i="115"/>
  <c r="E51" i="115"/>
  <c r="D51" i="115"/>
  <c r="C51" i="115"/>
  <c r="B51" i="115"/>
  <c r="G50" i="115"/>
  <c r="F50" i="115"/>
  <c r="E50" i="115"/>
  <c r="D50" i="115"/>
  <c r="C50" i="115"/>
  <c r="B50" i="115"/>
  <c r="G49" i="115"/>
  <c r="F49" i="115"/>
  <c r="E49" i="115"/>
  <c r="D49" i="115"/>
  <c r="C49" i="115"/>
  <c r="B49" i="115"/>
  <c r="G43" i="115"/>
  <c r="F43" i="115"/>
  <c r="E43" i="115"/>
  <c r="D43" i="115"/>
  <c r="C43" i="115"/>
  <c r="B43" i="115"/>
  <c r="G42" i="115"/>
  <c r="F42" i="115"/>
  <c r="E42" i="115"/>
  <c r="D42" i="115"/>
  <c r="C42" i="115"/>
  <c r="B42" i="115"/>
  <c r="G41" i="115"/>
  <c r="F41" i="115"/>
  <c r="E41" i="115"/>
  <c r="D41" i="115"/>
  <c r="C41" i="115"/>
  <c r="B41" i="115"/>
  <c r="G40" i="115"/>
  <c r="F40" i="115"/>
  <c r="E40" i="115"/>
  <c r="C40" i="115"/>
  <c r="B40" i="115"/>
  <c r="G39" i="115"/>
  <c r="F39" i="115"/>
  <c r="E39" i="115"/>
  <c r="D39" i="115"/>
  <c r="C39" i="115"/>
  <c r="B39" i="115"/>
  <c r="G38" i="115"/>
  <c r="F38" i="115"/>
  <c r="E38" i="115"/>
  <c r="D38" i="115"/>
  <c r="C38" i="115"/>
  <c r="B38" i="115"/>
  <c r="G37" i="115"/>
  <c r="F37" i="115"/>
  <c r="E37" i="115"/>
  <c r="D37" i="115"/>
  <c r="C37" i="115"/>
  <c r="B37" i="115"/>
  <c r="G36" i="115"/>
  <c r="F36" i="115"/>
  <c r="E36" i="115"/>
  <c r="D36" i="115"/>
  <c r="C36" i="115"/>
  <c r="B36" i="115"/>
  <c r="G35" i="115"/>
  <c r="F35" i="115"/>
  <c r="E35" i="115"/>
  <c r="D35" i="115"/>
  <c r="C35" i="115"/>
  <c r="B35" i="115"/>
  <c r="G34" i="115"/>
  <c r="F34" i="115"/>
  <c r="E34" i="115"/>
  <c r="D34" i="115"/>
  <c r="C34" i="115"/>
  <c r="B34" i="115"/>
  <c r="G33" i="115"/>
  <c r="F33" i="115"/>
  <c r="E33" i="115"/>
  <c r="D33" i="115"/>
  <c r="C33" i="115"/>
  <c r="B33" i="115"/>
  <c r="G31" i="115"/>
  <c r="F31" i="115"/>
  <c r="E31" i="115"/>
  <c r="D31" i="115"/>
  <c r="C31" i="115"/>
  <c r="B31" i="115"/>
  <c r="G30" i="115"/>
  <c r="F30" i="115"/>
  <c r="E30" i="115"/>
  <c r="D30" i="115"/>
  <c r="C30" i="115"/>
  <c r="B30" i="115"/>
  <c r="G29" i="115"/>
  <c r="F29" i="115"/>
  <c r="E29" i="115"/>
  <c r="D29" i="115"/>
  <c r="C29" i="115"/>
  <c r="B29" i="115"/>
  <c r="G28" i="115"/>
  <c r="F28" i="115"/>
  <c r="E28" i="115"/>
  <c r="D28" i="115"/>
  <c r="C28" i="115"/>
  <c r="B28" i="115"/>
  <c r="G27" i="115"/>
  <c r="F27" i="115"/>
  <c r="E27" i="115"/>
  <c r="D27" i="115"/>
  <c r="C27" i="115"/>
  <c r="B27" i="115"/>
  <c r="G26" i="115"/>
  <c r="F26" i="115"/>
  <c r="E26" i="115"/>
  <c r="D26" i="115"/>
  <c r="C26" i="115"/>
  <c r="B26" i="115"/>
  <c r="G25" i="115"/>
  <c r="F25" i="115"/>
  <c r="E25" i="115"/>
  <c r="D25" i="115"/>
  <c r="C25" i="115"/>
  <c r="B25" i="115"/>
  <c r="G24" i="115"/>
  <c r="F24" i="115"/>
  <c r="E24" i="115"/>
  <c r="D24" i="115"/>
  <c r="C24" i="115"/>
  <c r="B24" i="115"/>
  <c r="G23" i="115"/>
  <c r="F23" i="115"/>
  <c r="E23" i="115"/>
  <c r="D23" i="115"/>
  <c r="C23" i="115"/>
  <c r="B23" i="115"/>
  <c r="G22" i="115"/>
  <c r="F22" i="115"/>
  <c r="E22" i="115"/>
  <c r="D22" i="115"/>
  <c r="C22" i="115"/>
  <c r="B22" i="115"/>
  <c r="G21" i="115"/>
  <c r="F21" i="115"/>
  <c r="E21" i="115"/>
  <c r="D21" i="115"/>
  <c r="C21" i="115"/>
  <c r="B21" i="115"/>
  <c r="G20" i="115"/>
  <c r="F20" i="115"/>
  <c r="E20" i="115"/>
  <c r="D20" i="115"/>
  <c r="C20" i="115"/>
  <c r="B20" i="115"/>
  <c r="G19" i="115"/>
  <c r="F19" i="115"/>
  <c r="E19" i="115"/>
  <c r="D19" i="115"/>
  <c r="C19" i="115"/>
  <c r="B19" i="115"/>
  <c r="G18" i="115"/>
  <c r="F18" i="115"/>
  <c r="E18" i="115"/>
  <c r="D18" i="115"/>
  <c r="C18" i="115"/>
  <c r="B18" i="115"/>
  <c r="G16" i="115"/>
  <c r="F16" i="115"/>
  <c r="E16" i="115"/>
  <c r="D16" i="115"/>
  <c r="C16" i="115"/>
  <c r="G15" i="115"/>
  <c r="F15" i="115"/>
  <c r="E15" i="115"/>
  <c r="D15" i="115"/>
  <c r="C15" i="115"/>
  <c r="G14" i="115"/>
  <c r="F14" i="115"/>
  <c r="E14" i="115"/>
  <c r="D14" i="115"/>
  <c r="C14" i="115"/>
  <c r="G13" i="115"/>
  <c r="F13" i="115"/>
  <c r="E13" i="115"/>
  <c r="D13" i="115"/>
  <c r="C13" i="115"/>
  <c r="B16" i="115"/>
  <c r="B15" i="115"/>
  <c r="B14" i="115"/>
  <c r="F203" i="48" l="1"/>
  <c r="C203" i="48"/>
  <c r="BF56" i="45"/>
  <c r="H203" i="48" s="1"/>
  <c r="BF57" i="45" l="1"/>
  <c r="H204" i="48" s="1"/>
  <c r="F204" i="48"/>
  <c r="C204" i="48"/>
  <c r="B3" i="113" l="1"/>
  <c r="C181" i="93"/>
  <c r="E181" i="93"/>
  <c r="E180" i="93"/>
  <c r="D55" i="104" l="1"/>
  <c r="L8" i="84" l="1"/>
  <c r="L9" i="84"/>
  <c r="L10" i="84"/>
  <c r="L11"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2" i="84"/>
  <c r="L43" i="84"/>
  <c r="L44" i="84"/>
  <c r="L45" i="84"/>
  <c r="L46" i="84"/>
  <c r="L47" i="84"/>
  <c r="L48" i="84"/>
  <c r="L49" i="84"/>
  <c r="L50" i="84"/>
  <c r="L51" i="84"/>
  <c r="L52" i="84"/>
  <c r="L53" i="84"/>
  <c r="L55" i="84"/>
  <c r="L56" i="84"/>
  <c r="L57" i="84"/>
  <c r="L58" i="84"/>
  <c r="L59" i="84"/>
  <c r="L60" i="84"/>
  <c r="L61" i="84"/>
  <c r="L62" i="84"/>
  <c r="L63" i="84"/>
  <c r="L64" i="84"/>
  <c r="L65" i="84"/>
  <c r="L71" i="84"/>
  <c r="L72" i="84"/>
  <c r="L74" i="84"/>
  <c r="L75" i="84"/>
  <c r="L76" i="84"/>
  <c r="L77" i="84"/>
  <c r="L80" i="84"/>
  <c r="L81" i="84"/>
  <c r="L82" i="84"/>
  <c r="L83" i="84"/>
  <c r="L84" i="84"/>
  <c r="L85" i="84"/>
  <c r="L86" i="84"/>
  <c r="L87" i="84"/>
  <c r="L88" i="84"/>
  <c r="L89" i="84"/>
  <c r="L90" i="84"/>
  <c r="L91" i="84"/>
  <c r="L92" i="84"/>
  <c r="L93" i="84"/>
  <c r="L94" i="84"/>
  <c r="L95" i="84"/>
  <c r="L96" i="84"/>
  <c r="L97" i="84"/>
  <c r="L98" i="84"/>
  <c r="L99" i="84"/>
  <c r="L101" i="84"/>
  <c r="L102" i="84"/>
  <c r="L104" i="84"/>
  <c r="L105" i="84"/>
  <c r="L106" i="84"/>
  <c r="L111" i="84"/>
  <c r="L113" i="84"/>
  <c r="L114" i="84"/>
  <c r="L116" i="84"/>
  <c r="L117" i="84"/>
  <c r="L118" i="84"/>
  <c r="L119" i="84"/>
  <c r="L120" i="84"/>
  <c r="L121" i="84"/>
  <c r="L122" i="84"/>
  <c r="L123" i="84"/>
  <c r="L124" i="84"/>
  <c r="L125" i="84"/>
  <c r="L126" i="84"/>
  <c r="L127" i="84"/>
  <c r="L128" i="84"/>
  <c r="L129" i="84"/>
  <c r="L130" i="84"/>
  <c r="L131" i="84"/>
  <c r="L132" i="84"/>
  <c r="L134" i="84"/>
  <c r="L135" i="84"/>
  <c r="L136" i="84"/>
  <c r="L137" i="84"/>
  <c r="L138" i="84"/>
  <c r="L142" i="84"/>
  <c r="L143" i="84"/>
  <c r="L146" i="84"/>
  <c r="L148" i="84"/>
  <c r="L149" i="84"/>
  <c r="L150" i="84"/>
  <c r="L151" i="84"/>
  <c r="L152" i="84"/>
  <c r="L153" i="84"/>
  <c r="L154" i="84"/>
  <c r="L155" i="84"/>
  <c r="L156" i="84"/>
  <c r="L157" i="84"/>
  <c r="L159" i="84"/>
  <c r="L160" i="84"/>
  <c r="L162" i="84"/>
  <c r="L163" i="84"/>
  <c r="L164" i="84"/>
  <c r="L165" i="84"/>
  <c r="L167" i="84"/>
  <c r="L168" i="84"/>
  <c r="L169" i="84"/>
  <c r="L170" i="84"/>
  <c r="L171" i="84"/>
  <c r="L172" i="84"/>
  <c r="L173" i="84"/>
  <c r="L174" i="84"/>
  <c r="L176" i="84"/>
  <c r="L177" i="84"/>
  <c r="L178" i="84"/>
  <c r="L179" i="84"/>
  <c r="L180" i="84"/>
  <c r="L181" i="84"/>
  <c r="L182" i="84"/>
  <c r="L183" i="84"/>
  <c r="L184" i="84"/>
  <c r="L185" i="84"/>
  <c r="L187" i="84"/>
  <c r="L189" i="84"/>
  <c r="L190" i="84"/>
  <c r="L191" i="84"/>
  <c r="L192" i="84"/>
  <c r="L193" i="84"/>
  <c r="L194" i="84"/>
  <c r="L195" i="84"/>
  <c r="L197" i="84"/>
  <c r="L198" i="84"/>
  <c r="L199" i="84"/>
  <c r="L200" i="84"/>
  <c r="L201" i="84"/>
  <c r="L204" i="84"/>
  <c r="L205" i="84"/>
  <c r="L206" i="84"/>
  <c r="L207" i="84"/>
  <c r="L208" i="84"/>
  <c r="L210" i="84"/>
  <c r="L211" i="84"/>
  <c r="L212" i="84"/>
  <c r="L213" i="84"/>
  <c r="L214" i="84"/>
  <c r="L215" i="84"/>
  <c r="L216" i="84"/>
  <c r="L217" i="84"/>
  <c r="L218" i="84"/>
  <c r="L219" i="84"/>
  <c r="L221" i="84"/>
  <c r="L224" i="84"/>
  <c r="L225" i="84"/>
  <c r="L226" i="84"/>
  <c r="L227" i="84"/>
  <c r="L228" i="84"/>
  <c r="L229" i="84"/>
  <c r="L230" i="84"/>
  <c r="L231" i="84"/>
  <c r="L232" i="84"/>
  <c r="L233" i="84"/>
  <c r="L234" i="84"/>
  <c r="L237" i="84"/>
  <c r="L238" i="84"/>
  <c r="L239" i="84"/>
  <c r="L240" i="84"/>
  <c r="L242" i="84"/>
  <c r="L244" i="84"/>
  <c r="L247" i="84"/>
  <c r="L248" i="84"/>
  <c r="L249" i="84"/>
  <c r="L250" i="84"/>
  <c r="L251" i="84"/>
  <c r="L252" i="84"/>
  <c r="L253" i="84"/>
  <c r="L255" i="84"/>
  <c r="L256" i="84"/>
  <c r="L257" i="84"/>
  <c r="L258" i="84"/>
  <c r="L259" i="84"/>
  <c r="L260" i="84"/>
  <c r="L261" i="84"/>
  <c r="L262" i="84"/>
  <c r="L263" i="84"/>
  <c r="L265" i="84"/>
  <c r="L266" i="84"/>
  <c r="L267" i="84"/>
  <c r="L268" i="84"/>
  <c r="L269" i="84"/>
  <c r="L270" i="84"/>
  <c r="L7" i="84"/>
  <c r="D8" i="104"/>
  <c r="T47" i="104"/>
  <c r="T134" i="104"/>
  <c r="G7" i="50"/>
  <c r="T9" i="104" s="1"/>
  <c r="G8" i="50"/>
  <c r="T10" i="104" s="1"/>
  <c r="G9" i="50"/>
  <c r="G10" i="50"/>
  <c r="T11" i="104" s="1"/>
  <c r="G11" i="50"/>
  <c r="T12" i="104" s="1"/>
  <c r="G12" i="50"/>
  <c r="T13" i="104" s="1"/>
  <c r="G13" i="50"/>
  <c r="T14" i="104" s="1"/>
  <c r="G14" i="50"/>
  <c r="T15" i="104" s="1"/>
  <c r="G15" i="50"/>
  <c r="G16" i="50"/>
  <c r="T16" i="104" s="1"/>
  <c r="G17" i="50"/>
  <c r="T17" i="104" s="1"/>
  <c r="G18" i="50"/>
  <c r="T18" i="104" s="1"/>
  <c r="G19" i="50"/>
  <c r="T19" i="104" s="1"/>
  <c r="G20" i="50"/>
  <c r="T20" i="104" s="1"/>
  <c r="G21" i="50"/>
  <c r="T21" i="104" s="1"/>
  <c r="G22" i="50"/>
  <c r="T22" i="104" s="1"/>
  <c r="G23" i="50"/>
  <c r="T23" i="104" s="1"/>
  <c r="G24" i="50"/>
  <c r="T24" i="104" s="1"/>
  <c r="G25" i="50"/>
  <c r="T25" i="104" s="1"/>
  <c r="G26" i="50"/>
  <c r="T26" i="104" s="1"/>
  <c r="G27" i="50"/>
  <c r="G28" i="50"/>
  <c r="T27" i="104" s="1"/>
  <c r="G29" i="50"/>
  <c r="T28" i="104" s="1"/>
  <c r="G30" i="50"/>
  <c r="T29" i="104" s="1"/>
  <c r="G31" i="50"/>
  <c r="T30" i="104" s="1"/>
  <c r="G32" i="50"/>
  <c r="T31" i="104" s="1"/>
  <c r="G33" i="50"/>
  <c r="G34" i="50"/>
  <c r="T32" i="104" s="1"/>
  <c r="G35" i="50"/>
  <c r="T33" i="104" s="1"/>
  <c r="G36" i="50"/>
  <c r="T34" i="104" s="1"/>
  <c r="G37" i="50"/>
  <c r="T35" i="104" s="1"/>
  <c r="G38" i="50"/>
  <c r="T36" i="104" s="1"/>
  <c r="G39" i="50"/>
  <c r="T37" i="104" s="1"/>
  <c r="G40" i="50"/>
  <c r="T38" i="104" s="1"/>
  <c r="G41" i="50"/>
  <c r="T39" i="104" s="1"/>
  <c r="G42" i="50"/>
  <c r="G43" i="50"/>
  <c r="T40" i="104" s="1"/>
  <c r="G44" i="50"/>
  <c r="T41" i="104" s="1"/>
  <c r="G45" i="50"/>
  <c r="G46" i="50"/>
  <c r="T42" i="104" s="1"/>
  <c r="G47" i="50"/>
  <c r="T43" i="104" s="1"/>
  <c r="G48" i="50"/>
  <c r="T44" i="104" s="1"/>
  <c r="G49" i="50"/>
  <c r="T45" i="104" s="1"/>
  <c r="G50" i="50"/>
  <c r="T55" i="104" s="1"/>
  <c r="G51" i="50"/>
  <c r="T46" i="104" s="1"/>
  <c r="G52" i="50"/>
  <c r="T48" i="104" s="1"/>
  <c r="G53" i="50"/>
  <c r="T49" i="104" s="1"/>
  <c r="G54" i="50"/>
  <c r="T50" i="104" s="1"/>
  <c r="G55" i="50"/>
  <c r="T51" i="104" s="1"/>
  <c r="G56" i="50"/>
  <c r="G57" i="50"/>
  <c r="T52" i="104" s="1"/>
  <c r="G58" i="50"/>
  <c r="T53" i="104" s="1"/>
  <c r="G59" i="50"/>
  <c r="T56" i="104" s="1"/>
  <c r="G60" i="50"/>
  <c r="T57" i="104" s="1"/>
  <c r="G61" i="50"/>
  <c r="T58" i="104" s="1"/>
  <c r="G62" i="50"/>
  <c r="T59" i="104" s="1"/>
  <c r="G63" i="50"/>
  <c r="T60" i="104" s="1"/>
  <c r="G64" i="50"/>
  <c r="T61" i="104" s="1"/>
  <c r="G65" i="50"/>
  <c r="T62" i="104" s="1"/>
  <c r="G66" i="50"/>
  <c r="T63" i="104" s="1"/>
  <c r="G67" i="50"/>
  <c r="T64" i="104" s="1"/>
  <c r="G68" i="50"/>
  <c r="T65" i="104" s="1"/>
  <c r="G69" i="50"/>
  <c r="T66" i="104" s="1"/>
  <c r="G70" i="50"/>
  <c r="T67" i="104" s="1"/>
  <c r="G71" i="50"/>
  <c r="G72" i="50"/>
  <c r="T68" i="104" s="1"/>
  <c r="G73" i="50"/>
  <c r="T69" i="104" s="1"/>
  <c r="G74" i="50"/>
  <c r="T70" i="104" s="1"/>
  <c r="G75" i="50"/>
  <c r="G76" i="50"/>
  <c r="T71" i="104" s="1"/>
  <c r="G77" i="50"/>
  <c r="T72" i="104" s="1"/>
  <c r="G78" i="50"/>
  <c r="T73" i="104" s="1"/>
  <c r="G79" i="50"/>
  <c r="T74" i="104" s="1"/>
  <c r="G80" i="50"/>
  <c r="T75" i="104" s="1"/>
  <c r="G81" i="50"/>
  <c r="G82" i="50"/>
  <c r="T76" i="104" s="1"/>
  <c r="G83" i="50"/>
  <c r="G84" i="50"/>
  <c r="T77" i="104" s="1"/>
  <c r="G85" i="50"/>
  <c r="G86" i="50"/>
  <c r="T78" i="104" s="1"/>
  <c r="G87" i="50"/>
  <c r="T79" i="104" s="1"/>
  <c r="G88" i="50"/>
  <c r="T80" i="104" s="1"/>
  <c r="G89" i="50"/>
  <c r="T81" i="104" s="1"/>
  <c r="G90" i="50"/>
  <c r="T82" i="104" s="1"/>
  <c r="G91" i="50"/>
  <c r="T83" i="104" s="1"/>
  <c r="G92" i="50"/>
  <c r="G93" i="50"/>
  <c r="T84" i="104" s="1"/>
  <c r="G94" i="50"/>
  <c r="T85" i="104" s="1"/>
  <c r="G95" i="50"/>
  <c r="T86" i="104" s="1"/>
  <c r="G96" i="50"/>
  <c r="T87" i="104" s="1"/>
  <c r="G97" i="50"/>
  <c r="T88" i="104" s="1"/>
  <c r="G98" i="50"/>
  <c r="T89" i="104" s="1"/>
  <c r="G99" i="50"/>
  <c r="T90" i="104" s="1"/>
  <c r="G100" i="50"/>
  <c r="G101" i="50"/>
  <c r="T91" i="104" s="1"/>
  <c r="G102" i="50"/>
  <c r="T92" i="104" s="1"/>
  <c r="G103" i="50"/>
  <c r="T93" i="104" s="1"/>
  <c r="G104" i="50"/>
  <c r="T94" i="104" s="1"/>
  <c r="G105" i="50"/>
  <c r="T95" i="104" s="1"/>
  <c r="G106" i="50"/>
  <c r="T96" i="104" s="1"/>
  <c r="G107" i="50"/>
  <c r="T97" i="104" s="1"/>
  <c r="G108" i="50"/>
  <c r="T98" i="104" s="1"/>
  <c r="G109" i="50"/>
  <c r="T54" i="104" s="1"/>
  <c r="G110" i="50"/>
  <c r="T147" i="104" s="1"/>
  <c r="G111" i="50"/>
  <c r="G112" i="50"/>
  <c r="T99" i="104" s="1"/>
  <c r="G113" i="50"/>
  <c r="T100" i="104" s="1"/>
  <c r="G114" i="50"/>
  <c r="T101" i="104" s="1"/>
  <c r="G115" i="50"/>
  <c r="T102" i="104" s="1"/>
  <c r="G116" i="50"/>
  <c r="T103" i="104" s="1"/>
  <c r="G117" i="50"/>
  <c r="T104" i="104" s="1"/>
  <c r="G118" i="50"/>
  <c r="T105" i="104" s="1"/>
  <c r="G119" i="50"/>
  <c r="T106" i="104" s="1"/>
  <c r="G120" i="50"/>
  <c r="G121" i="50"/>
  <c r="T107" i="104" s="1"/>
  <c r="G122" i="50"/>
  <c r="T108" i="104" s="1"/>
  <c r="G123" i="50"/>
  <c r="G124" i="50"/>
  <c r="T109" i="104" s="1"/>
  <c r="G125" i="50"/>
  <c r="T110" i="104" s="1"/>
  <c r="G126" i="50"/>
  <c r="T111" i="104" s="1"/>
  <c r="G127" i="50"/>
  <c r="T112" i="104" s="1"/>
  <c r="G128" i="50"/>
  <c r="T113" i="104" s="1"/>
  <c r="G129" i="50"/>
  <c r="T114" i="104" s="1"/>
  <c r="G130" i="50"/>
  <c r="T115" i="104" s="1"/>
  <c r="G131" i="50"/>
  <c r="T116" i="104" s="1"/>
  <c r="G132" i="50"/>
  <c r="T117" i="104" s="1"/>
  <c r="G133" i="50"/>
  <c r="T118" i="104" s="1"/>
  <c r="G134" i="50"/>
  <c r="T119" i="104" s="1"/>
  <c r="G135" i="50"/>
  <c r="T148" i="104" s="1"/>
  <c r="G136" i="50"/>
  <c r="T120" i="104" s="1"/>
  <c r="G137" i="50"/>
  <c r="T121" i="104" s="1"/>
  <c r="G138" i="50"/>
  <c r="T122" i="104" s="1"/>
  <c r="G139" i="50"/>
  <c r="T123" i="104" s="1"/>
  <c r="G140" i="50"/>
  <c r="T124" i="104" s="1"/>
  <c r="G141" i="50"/>
  <c r="T125" i="104" s="1"/>
  <c r="G142" i="50"/>
  <c r="T126" i="104" s="1"/>
  <c r="G143" i="50"/>
  <c r="T127" i="104" s="1"/>
  <c r="G144" i="50"/>
  <c r="T128" i="104" s="1"/>
  <c r="G145" i="50"/>
  <c r="T129" i="104" s="1"/>
  <c r="G146" i="50"/>
  <c r="G147" i="50"/>
  <c r="T130" i="104" s="1"/>
  <c r="G148" i="50"/>
  <c r="T131" i="104" s="1"/>
  <c r="G149" i="50"/>
  <c r="T132" i="104" s="1"/>
  <c r="G150" i="50"/>
  <c r="T133" i="104" s="1"/>
  <c r="G151" i="50"/>
  <c r="T178" i="104" s="1"/>
  <c r="G152" i="50"/>
  <c r="G153" i="50"/>
  <c r="T135" i="104" s="1"/>
  <c r="G154" i="50"/>
  <c r="T136" i="104" s="1"/>
  <c r="G155" i="50"/>
  <c r="T137" i="104" s="1"/>
  <c r="G156" i="50"/>
  <c r="T138" i="104" s="1"/>
  <c r="G157" i="50"/>
  <c r="T139" i="104" s="1"/>
  <c r="G158" i="50"/>
  <c r="T140" i="104" s="1"/>
  <c r="G159" i="50"/>
  <c r="T141" i="104" s="1"/>
  <c r="G160" i="50"/>
  <c r="T142" i="104" s="1"/>
  <c r="G161" i="50"/>
  <c r="T143" i="104" s="1"/>
  <c r="G162" i="50"/>
  <c r="T144" i="104" s="1"/>
  <c r="G163" i="50"/>
  <c r="T145" i="104" s="1"/>
  <c r="G164" i="50"/>
  <c r="G165" i="50"/>
  <c r="T146" i="104" s="1"/>
  <c r="G166" i="50"/>
  <c r="T149" i="104" s="1"/>
  <c r="G167" i="50"/>
  <c r="T150" i="104" s="1"/>
  <c r="G168" i="50"/>
  <c r="T151" i="104" s="1"/>
  <c r="G169" i="50"/>
  <c r="T155" i="104" s="1"/>
  <c r="G170" i="50"/>
  <c r="T156" i="104" s="1"/>
  <c r="G171" i="50"/>
  <c r="T157" i="104" s="1"/>
  <c r="G172" i="50"/>
  <c r="T158" i="104" s="1"/>
  <c r="G173" i="50"/>
  <c r="T159" i="104" s="1"/>
  <c r="G174" i="50"/>
  <c r="T160" i="104" s="1"/>
  <c r="G175" i="50"/>
  <c r="T161" i="104" s="1"/>
  <c r="G176" i="50"/>
  <c r="T162" i="104" s="1"/>
  <c r="G177" i="50"/>
  <c r="T163" i="104" s="1"/>
  <c r="G178" i="50"/>
  <c r="G179" i="50"/>
  <c r="T164" i="104" s="1"/>
  <c r="G180" i="50"/>
  <c r="T165" i="104" s="1"/>
  <c r="G181" i="50"/>
  <c r="T166" i="104" s="1"/>
  <c r="G182" i="50"/>
  <c r="T167" i="104" s="1"/>
  <c r="G183" i="50"/>
  <c r="T168" i="104" s="1"/>
  <c r="G184" i="50"/>
  <c r="G185" i="50"/>
  <c r="T169" i="104" s="1"/>
  <c r="G186" i="50"/>
  <c r="T170" i="104" s="1"/>
  <c r="G187" i="50"/>
  <c r="T152" i="104" s="1"/>
  <c r="G188" i="50"/>
  <c r="T153" i="104" s="1"/>
  <c r="G189" i="50"/>
  <c r="G190" i="50"/>
  <c r="T154" i="104" s="1"/>
  <c r="G191" i="50"/>
  <c r="T171" i="104" s="1"/>
  <c r="G192" i="50"/>
  <c r="T172" i="104" s="1"/>
  <c r="G193" i="50"/>
  <c r="T173" i="104" s="1"/>
  <c r="G194" i="50"/>
  <c r="T174" i="104" s="1"/>
  <c r="G195" i="50"/>
  <c r="T175" i="104" s="1"/>
  <c r="G196" i="50"/>
  <c r="T176" i="104" s="1"/>
  <c r="G197" i="50"/>
  <c r="T191" i="104" s="1"/>
  <c r="G198" i="50"/>
  <c r="T177" i="104" s="1"/>
  <c r="G199" i="50"/>
  <c r="T179" i="104" s="1"/>
  <c r="G200" i="50"/>
  <c r="T180" i="104" s="1"/>
  <c r="G201" i="50"/>
  <c r="T181" i="104" s="1"/>
  <c r="G202" i="50"/>
  <c r="T182" i="104" s="1"/>
  <c r="G203" i="50"/>
  <c r="T183" i="104" s="1"/>
  <c r="G204" i="50"/>
  <c r="T184" i="104" s="1"/>
  <c r="G205" i="50"/>
  <c r="T185" i="104" s="1"/>
  <c r="G206" i="50"/>
  <c r="G207" i="50"/>
  <c r="T186" i="104" s="1"/>
  <c r="G208" i="50"/>
  <c r="T187" i="104" s="1"/>
  <c r="G209" i="50"/>
  <c r="T188" i="104" s="1"/>
  <c r="G210" i="50"/>
  <c r="T189" i="104" s="1"/>
  <c r="G211" i="50"/>
  <c r="T190" i="104" s="1"/>
  <c r="G212" i="50"/>
  <c r="T192" i="104" s="1"/>
  <c r="G213" i="50"/>
  <c r="T193" i="104" s="1"/>
  <c r="G214" i="50"/>
  <c r="T194" i="104" s="1"/>
  <c r="G215" i="50"/>
  <c r="T195" i="104" s="1"/>
  <c r="G216" i="50"/>
  <c r="T196" i="104" s="1"/>
  <c r="G217" i="50"/>
  <c r="T197" i="104" s="1"/>
  <c r="G218" i="50"/>
  <c r="G219" i="50"/>
  <c r="T198" i="104" s="1"/>
  <c r="G220" i="50"/>
  <c r="T199" i="104" s="1"/>
  <c r="G221" i="50"/>
  <c r="T200" i="104" s="1"/>
  <c r="G222" i="50"/>
  <c r="T201" i="104" s="1"/>
  <c r="G223" i="50"/>
  <c r="G224" i="50"/>
  <c r="G225" i="50"/>
  <c r="G226" i="50"/>
  <c r="G227" i="50"/>
  <c r="G228" i="50"/>
  <c r="G229" i="50"/>
  <c r="G230" i="50"/>
  <c r="G231" i="50"/>
  <c r="G232" i="50"/>
  <c r="G233" i="50"/>
  <c r="G234" i="50"/>
  <c r="G235" i="50"/>
  <c r="G236"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6" i="50"/>
  <c r="T8" i="104" s="1"/>
  <c r="V8" i="104" s="1"/>
  <c r="H8" i="84" s="1"/>
  <c r="H223" i="50" l="1"/>
  <c r="H224" i="50"/>
  <c r="H225" i="50"/>
  <c r="H226" i="50"/>
  <c r="H227" i="50"/>
  <c r="H228" i="50"/>
  <c r="H229" i="50"/>
  <c r="H230" i="50"/>
  <c r="H231" i="50"/>
  <c r="H232" i="50"/>
  <c r="H233" i="50"/>
  <c r="H234" i="50"/>
  <c r="H235" i="50"/>
  <c r="H236" i="50"/>
  <c r="H237" i="50"/>
  <c r="H238" i="50"/>
  <c r="H239" i="50"/>
  <c r="H240" i="50"/>
  <c r="H241" i="50"/>
  <c r="H242" i="50"/>
  <c r="H243" i="50"/>
  <c r="H244" i="50"/>
  <c r="H245" i="50"/>
  <c r="H246" i="50"/>
  <c r="H247" i="50"/>
  <c r="H248" i="50"/>
  <c r="H249" i="50"/>
  <c r="H250" i="50"/>
  <c r="H251" i="50"/>
  <c r="H252" i="50"/>
  <c r="H253" i="50"/>
  <c r="H254" i="50"/>
  <c r="H255" i="50"/>
  <c r="H256" i="50"/>
  <c r="H257" i="50"/>
  <c r="H258" i="50"/>
  <c r="H259" i="50"/>
  <c r="H260" i="50"/>
  <c r="H261" i="50"/>
  <c r="H262" i="50"/>
  <c r="H263" i="50"/>
  <c r="H264" i="50"/>
  <c r="H265" i="50"/>
  <c r="H266" i="50"/>
  <c r="H267" i="50"/>
  <c r="H268" i="50"/>
  <c r="H269" i="50"/>
  <c r="E87" i="93" l="1"/>
  <c r="E86" i="93"/>
  <c r="C133" i="47" l="1"/>
  <c r="B12" i="70" l="1"/>
  <c r="B13" i="70"/>
  <c r="B14" i="70"/>
  <c r="B15" i="70"/>
  <c r="B16" i="70"/>
  <c r="D14" i="48" l="1"/>
  <c r="B199" i="48" l="1"/>
  <c r="B200" i="48"/>
  <c r="B201" i="48"/>
  <c r="B202" i="48"/>
  <c r="B205" i="48"/>
  <c r="B206" i="48"/>
  <c r="B207" i="48"/>
  <c r="B208" i="48"/>
  <c r="B209" i="48"/>
  <c r="B210" i="48"/>
  <c r="B211" i="48"/>
  <c r="B212" i="48"/>
  <c r="B213" i="48"/>
  <c r="B214" i="48"/>
  <c r="B215" i="48"/>
  <c r="B216" i="48"/>
  <c r="B217" i="48"/>
  <c r="B218" i="48"/>
  <c r="B219" i="48"/>
  <c r="B220" i="48"/>
  <c r="B221" i="48"/>
  <c r="B222" i="48"/>
  <c r="B223" i="48"/>
  <c r="B224" i="48"/>
  <c r="B225" i="48"/>
  <c r="B226" i="48"/>
  <c r="B227" i="48"/>
  <c r="B228" i="48"/>
  <c r="B229" i="48"/>
  <c r="B230" i="48"/>
  <c r="B231" i="48"/>
  <c r="B232" i="48"/>
  <c r="B233" i="48"/>
  <c r="D12" i="48"/>
  <c r="AI7" i="48" l="1"/>
  <c r="T9" i="48" l="1"/>
  <c r="BE43" i="45" l="1"/>
  <c r="G190" i="48" s="1"/>
  <c r="BE45" i="45"/>
  <c r="BF45" i="45" s="1"/>
  <c r="H192" i="48" s="1"/>
  <c r="BE44" i="45"/>
  <c r="G191" i="48" s="1"/>
  <c r="H15" i="97"/>
  <c r="H16" i="97"/>
  <c r="F192" i="48"/>
  <c r="F191" i="48"/>
  <c r="F190" i="48"/>
  <c r="D192" i="48"/>
  <c r="D191" i="48"/>
  <c r="D190" i="48"/>
  <c r="C192" i="48"/>
  <c r="C191" i="48"/>
  <c r="C190" i="48"/>
  <c r="BF44" i="45" l="1"/>
  <c r="H191" i="48" s="1"/>
  <c r="I191" i="48" s="1"/>
  <c r="BF43" i="45"/>
  <c r="H190" i="48" s="1"/>
  <c r="I190" i="48" s="1"/>
  <c r="G192" i="48"/>
  <c r="I192" i="48" s="1"/>
  <c r="E74" i="93"/>
  <c r="C123" i="63" l="1"/>
  <c r="C200" i="48" l="1"/>
  <c r="D200" i="48"/>
  <c r="F200" i="48"/>
  <c r="C201" i="48"/>
  <c r="D201" i="48"/>
  <c r="F201" i="48"/>
  <c r="C202" i="48"/>
  <c r="F202" i="48"/>
  <c r="C205" i="48"/>
  <c r="D205" i="48"/>
  <c r="F205" i="48"/>
  <c r="C206" i="48"/>
  <c r="D206" i="48"/>
  <c r="F206" i="48"/>
  <c r="C207" i="48"/>
  <c r="D207" i="48"/>
  <c r="F207" i="48"/>
  <c r="C208" i="48"/>
  <c r="D208" i="48"/>
  <c r="F208" i="48"/>
  <c r="C209" i="48"/>
  <c r="D209" i="48"/>
  <c r="F209" i="48"/>
  <c r="C210" i="48"/>
  <c r="D210" i="48"/>
  <c r="F210" i="48"/>
  <c r="C211" i="48"/>
  <c r="D211" i="48"/>
  <c r="F211" i="48"/>
  <c r="C212" i="48"/>
  <c r="D212" i="48"/>
  <c r="F212" i="48"/>
  <c r="C213" i="48"/>
  <c r="D213" i="48"/>
  <c r="F213" i="48"/>
  <c r="C214" i="48"/>
  <c r="D214" i="48"/>
  <c r="F214" i="48"/>
  <c r="C215" i="48"/>
  <c r="D215" i="48"/>
  <c r="F215" i="48"/>
  <c r="C216" i="48"/>
  <c r="D216" i="48"/>
  <c r="F216" i="48"/>
  <c r="C217" i="48"/>
  <c r="D217" i="48"/>
  <c r="F217" i="48"/>
  <c r="C218" i="48"/>
  <c r="D218" i="48"/>
  <c r="F218" i="48"/>
  <c r="C219" i="48"/>
  <c r="D219" i="48"/>
  <c r="F219" i="48"/>
  <c r="C220" i="48"/>
  <c r="D220" i="48"/>
  <c r="F220" i="48"/>
  <c r="C221" i="48"/>
  <c r="D221" i="48"/>
  <c r="F221" i="48"/>
  <c r="C222" i="48"/>
  <c r="D222" i="48"/>
  <c r="F222" i="48"/>
  <c r="C223" i="48"/>
  <c r="D223" i="48"/>
  <c r="F223" i="48"/>
  <c r="C224" i="48"/>
  <c r="D224" i="48"/>
  <c r="F224" i="48"/>
  <c r="C225" i="48"/>
  <c r="D225" i="48"/>
  <c r="F225" i="48"/>
  <c r="C226" i="48"/>
  <c r="D226" i="48"/>
  <c r="F226" i="48"/>
  <c r="C227" i="48"/>
  <c r="D227" i="48"/>
  <c r="F227" i="48"/>
  <c r="C228" i="48"/>
  <c r="D228" i="48"/>
  <c r="F228" i="48"/>
  <c r="C229" i="48"/>
  <c r="D229" i="48"/>
  <c r="F229" i="48"/>
  <c r="C230" i="48"/>
  <c r="D230" i="48"/>
  <c r="F230" i="48"/>
  <c r="C231" i="48"/>
  <c r="D231" i="48"/>
  <c r="F231" i="48"/>
  <c r="C232" i="48"/>
  <c r="D232" i="48"/>
  <c r="F232" i="48"/>
  <c r="C233" i="48"/>
  <c r="D233" i="48"/>
  <c r="F233" i="48"/>
  <c r="C13" i="63"/>
  <c r="L19" i="48" l="1"/>
  <c r="L18" i="48"/>
  <c r="B198" i="48" l="1"/>
  <c r="AQ17" i="45" l="1"/>
  <c r="AJ17" i="45"/>
  <c r="AI17" i="45"/>
  <c r="BF55" i="45"/>
  <c r="H202" i="48" s="1"/>
  <c r="G34" i="93" l="1"/>
  <c r="E35" i="93"/>
  <c r="X12" i="48"/>
  <c r="D42" i="45"/>
  <c r="B13" i="97"/>
  <c r="G8" i="97"/>
  <c r="C44" i="93"/>
  <c r="C67" i="93"/>
  <c r="C101" i="93"/>
  <c r="G110" i="63"/>
  <c r="H110" i="63"/>
  <c r="AI15" i="48"/>
  <c r="AI16" i="48" s="1"/>
  <c r="AI17" i="48" s="1"/>
  <c r="AI18" i="48" s="1"/>
  <c r="B9" i="76"/>
  <c r="D199" i="48"/>
  <c r="D198" i="48"/>
  <c r="C199" i="48"/>
  <c r="F199" i="48"/>
  <c r="F198" i="48"/>
  <c r="C198" i="48"/>
  <c r="C189" i="48"/>
  <c r="F189" i="48"/>
  <c r="S111" i="45"/>
  <c r="R54" i="45"/>
  <c r="P112" i="45"/>
  <c r="R68" i="45"/>
  <c r="R111" i="45" s="1"/>
  <c r="G271" i="84"/>
  <c r="F188" i="48"/>
  <c r="D188" i="48"/>
  <c r="C188" i="48"/>
  <c r="F187" i="48"/>
  <c r="C187" i="48"/>
  <c r="D187" i="48"/>
  <c r="BK34" i="48"/>
  <c r="BK33" i="48"/>
  <c r="BK32" i="48"/>
  <c r="BK31" i="48"/>
  <c r="AG26" i="45"/>
  <c r="AG25" i="45"/>
  <c r="AG24" i="45"/>
  <c r="AG22" i="45"/>
  <c r="AG21" i="45"/>
  <c r="S60" i="45"/>
  <c r="S61" i="45"/>
  <c r="O77" i="45"/>
  <c r="O76" i="45"/>
  <c r="O75" i="45"/>
  <c r="F271" i="84"/>
  <c r="B5" i="103"/>
  <c r="B6" i="103"/>
  <c r="B7" i="103"/>
  <c r="B8" i="103"/>
  <c r="B9" i="103"/>
  <c r="B10" i="103"/>
  <c r="B11" i="103"/>
  <c r="B12" i="103"/>
  <c r="B13" i="103"/>
  <c r="B14" i="103"/>
  <c r="B15" i="103"/>
  <c r="B16" i="103"/>
  <c r="B17" i="103"/>
  <c r="B18" i="103"/>
  <c r="B19" i="103"/>
  <c r="B20" i="103"/>
  <c r="B21" i="103"/>
  <c r="B22" i="103"/>
  <c r="B23" i="103"/>
  <c r="B24" i="103"/>
  <c r="B25" i="103"/>
  <c r="B26" i="103"/>
  <c r="B27" i="103"/>
  <c r="B28" i="103"/>
  <c r="B29" i="103"/>
  <c r="B30" i="103"/>
  <c r="B31" i="103"/>
  <c r="B32" i="103"/>
  <c r="B33" i="103"/>
  <c r="B34" i="103"/>
  <c r="B35" i="103"/>
  <c r="B36" i="103"/>
  <c r="B37" i="103"/>
  <c r="B38" i="103"/>
  <c r="B39" i="103"/>
  <c r="B40" i="103"/>
  <c r="B41" i="103"/>
  <c r="B42" i="103"/>
  <c r="B43" i="103"/>
  <c r="B44" i="103"/>
  <c r="B45" i="103"/>
  <c r="B46" i="103"/>
  <c r="B47" i="103"/>
  <c r="B48" i="103"/>
  <c r="B49" i="103"/>
  <c r="B50" i="103"/>
  <c r="B51" i="103"/>
  <c r="B52" i="103"/>
  <c r="B53" i="103"/>
  <c r="B54" i="103"/>
  <c r="B55" i="103"/>
  <c r="B56" i="103"/>
  <c r="B57" i="103"/>
  <c r="B58" i="103"/>
  <c r="B59" i="103"/>
  <c r="B60" i="103"/>
  <c r="B61" i="103"/>
  <c r="B62" i="103"/>
  <c r="B63" i="103"/>
  <c r="B64" i="103"/>
  <c r="B65" i="103"/>
  <c r="B66" i="103"/>
  <c r="B67" i="103"/>
  <c r="B68" i="103"/>
  <c r="B69" i="103"/>
  <c r="B70" i="103"/>
  <c r="B71" i="103"/>
  <c r="B72" i="103"/>
  <c r="B73" i="103"/>
  <c r="B74" i="103"/>
  <c r="B75" i="103"/>
  <c r="B76" i="103"/>
  <c r="B77" i="103"/>
  <c r="B78" i="103"/>
  <c r="B79" i="103"/>
  <c r="B80" i="103"/>
  <c r="B81" i="103"/>
  <c r="B82" i="103"/>
  <c r="B83" i="103"/>
  <c r="B84" i="103"/>
  <c r="B85" i="103"/>
  <c r="B86" i="103"/>
  <c r="B87" i="103"/>
  <c r="B88" i="103"/>
  <c r="B89" i="103"/>
  <c r="B90" i="103"/>
  <c r="B91" i="103"/>
  <c r="B92" i="103"/>
  <c r="B93" i="103"/>
  <c r="B94" i="103"/>
  <c r="B95" i="103"/>
  <c r="B96" i="103"/>
  <c r="B97" i="103"/>
  <c r="B98" i="103"/>
  <c r="B99" i="103"/>
  <c r="B100" i="103"/>
  <c r="B101" i="103"/>
  <c r="B102" i="103"/>
  <c r="B103" i="103"/>
  <c r="B104" i="103"/>
  <c r="B105" i="103"/>
  <c r="B106" i="103"/>
  <c r="B107" i="103"/>
  <c r="B108" i="103"/>
  <c r="B109" i="103"/>
  <c r="B110" i="103"/>
  <c r="B111" i="103"/>
  <c r="B112" i="103"/>
  <c r="B113" i="103"/>
  <c r="B114" i="103"/>
  <c r="B115" i="103"/>
  <c r="B116" i="103"/>
  <c r="B117" i="103"/>
  <c r="B118" i="103"/>
  <c r="B119" i="103"/>
  <c r="B120" i="103"/>
  <c r="B121" i="103"/>
  <c r="B122" i="103"/>
  <c r="B123" i="103"/>
  <c r="B124" i="103"/>
  <c r="B125" i="103"/>
  <c r="B126" i="103"/>
  <c r="B127" i="103"/>
  <c r="B128" i="103"/>
  <c r="B129" i="103"/>
  <c r="B130" i="103"/>
  <c r="B131" i="103"/>
  <c r="B132" i="103"/>
  <c r="B133" i="103"/>
  <c r="B134" i="103"/>
  <c r="B135" i="103"/>
  <c r="B136" i="103"/>
  <c r="B137" i="103"/>
  <c r="B138" i="103"/>
  <c r="B139" i="103"/>
  <c r="B140" i="103"/>
  <c r="B141" i="103"/>
  <c r="B142" i="103"/>
  <c r="B143" i="103"/>
  <c r="B144" i="103"/>
  <c r="B145" i="103"/>
  <c r="B146" i="103"/>
  <c r="B147" i="103"/>
  <c r="B148" i="103"/>
  <c r="B149" i="103"/>
  <c r="B150" i="103"/>
  <c r="B151" i="103"/>
  <c r="B152" i="103"/>
  <c r="B4" i="103"/>
  <c r="M34" i="107"/>
  <c r="M35" i="107"/>
  <c r="E128" i="104"/>
  <c r="D128" i="104"/>
  <c r="E129" i="104"/>
  <c r="D129" i="104"/>
  <c r="E130" i="104"/>
  <c r="D130" i="104"/>
  <c r="E131" i="104"/>
  <c r="D131" i="104"/>
  <c r="E132" i="104"/>
  <c r="D132" i="104"/>
  <c r="E133" i="104"/>
  <c r="D133" i="104"/>
  <c r="E134" i="104"/>
  <c r="D134" i="104"/>
  <c r="E135" i="104"/>
  <c r="D135" i="104"/>
  <c r="E136" i="104"/>
  <c r="D136" i="104"/>
  <c r="E137" i="104"/>
  <c r="D137" i="104"/>
  <c r="E138" i="104"/>
  <c r="D138" i="104"/>
  <c r="E139" i="104"/>
  <c r="D139" i="104"/>
  <c r="E140" i="104"/>
  <c r="D140" i="104"/>
  <c r="E141" i="104"/>
  <c r="D141" i="104"/>
  <c r="E142" i="104"/>
  <c r="D142" i="104"/>
  <c r="E143" i="104"/>
  <c r="D143" i="104"/>
  <c r="E144" i="104"/>
  <c r="D144" i="104"/>
  <c r="E145" i="104"/>
  <c r="D145" i="104"/>
  <c r="E146" i="104"/>
  <c r="D146" i="104"/>
  <c r="E147" i="104"/>
  <c r="D147" i="104"/>
  <c r="E148" i="104"/>
  <c r="D148" i="104"/>
  <c r="E149" i="104"/>
  <c r="D149" i="104"/>
  <c r="E150" i="104"/>
  <c r="D150" i="104"/>
  <c r="E151" i="104"/>
  <c r="D151" i="104"/>
  <c r="E152" i="104"/>
  <c r="D152" i="104"/>
  <c r="E153" i="104"/>
  <c r="D153" i="104"/>
  <c r="E154" i="104"/>
  <c r="D154" i="104"/>
  <c r="E155" i="104"/>
  <c r="D155" i="104"/>
  <c r="E156" i="104"/>
  <c r="D156" i="104"/>
  <c r="E157" i="104"/>
  <c r="D157" i="104"/>
  <c r="E158" i="104"/>
  <c r="D158" i="104"/>
  <c r="E159" i="104"/>
  <c r="D159" i="104"/>
  <c r="E160" i="104"/>
  <c r="D160" i="104"/>
  <c r="E161" i="104"/>
  <c r="D161" i="104"/>
  <c r="E162" i="104"/>
  <c r="D162" i="104"/>
  <c r="E163" i="104"/>
  <c r="D163" i="104"/>
  <c r="E164" i="104"/>
  <c r="D164" i="104"/>
  <c r="E165" i="104"/>
  <c r="D165" i="104"/>
  <c r="E166" i="104"/>
  <c r="D166" i="104"/>
  <c r="E167" i="104"/>
  <c r="D167" i="104"/>
  <c r="E168" i="104"/>
  <c r="D168" i="104"/>
  <c r="E169" i="104"/>
  <c r="D169" i="104"/>
  <c r="E170" i="104"/>
  <c r="D170" i="104"/>
  <c r="E171" i="104"/>
  <c r="D171" i="104"/>
  <c r="E172" i="104"/>
  <c r="D172" i="104"/>
  <c r="E173" i="104"/>
  <c r="D173" i="104"/>
  <c r="E174" i="104"/>
  <c r="D174" i="104"/>
  <c r="E175" i="104"/>
  <c r="D175" i="104"/>
  <c r="E176" i="104"/>
  <c r="D176" i="104"/>
  <c r="E177" i="104"/>
  <c r="D177" i="104"/>
  <c r="E178" i="104"/>
  <c r="D178" i="104"/>
  <c r="E179" i="104"/>
  <c r="D179" i="104"/>
  <c r="E180" i="104"/>
  <c r="D180" i="104"/>
  <c r="E181" i="104"/>
  <c r="D181" i="104"/>
  <c r="E182" i="104"/>
  <c r="D182" i="104"/>
  <c r="E183" i="104"/>
  <c r="D183" i="104"/>
  <c r="E184" i="104"/>
  <c r="D184" i="104"/>
  <c r="E185" i="104"/>
  <c r="D185" i="104"/>
  <c r="E186" i="104"/>
  <c r="D186" i="104"/>
  <c r="E187" i="104"/>
  <c r="D187" i="104"/>
  <c r="E188" i="104"/>
  <c r="D188" i="104"/>
  <c r="E189" i="104"/>
  <c r="D189" i="104"/>
  <c r="E190" i="104"/>
  <c r="D190" i="104"/>
  <c r="E191" i="104"/>
  <c r="D191" i="104"/>
  <c r="E192" i="104"/>
  <c r="D192" i="104"/>
  <c r="E193" i="104"/>
  <c r="D193" i="104"/>
  <c r="E194" i="104"/>
  <c r="D194" i="104"/>
  <c r="E195" i="104"/>
  <c r="D195" i="104"/>
  <c r="E196" i="104"/>
  <c r="D196" i="104"/>
  <c r="E197" i="104"/>
  <c r="D197" i="104"/>
  <c r="E198" i="104"/>
  <c r="D198" i="104"/>
  <c r="E199" i="104"/>
  <c r="D199" i="104"/>
  <c r="E200" i="104"/>
  <c r="D200" i="104"/>
  <c r="E201" i="104"/>
  <c r="D201" i="104"/>
  <c r="D9" i="104"/>
  <c r="D10" i="104"/>
  <c r="D11" i="104"/>
  <c r="D12" i="104"/>
  <c r="D13" i="104"/>
  <c r="D14" i="104"/>
  <c r="D15" i="104"/>
  <c r="D16" i="104"/>
  <c r="D17" i="104"/>
  <c r="D18" i="104"/>
  <c r="D19" i="104"/>
  <c r="D20" i="104"/>
  <c r="D21" i="104"/>
  <c r="D22" i="104"/>
  <c r="D23" i="104"/>
  <c r="D24" i="104"/>
  <c r="D25" i="104"/>
  <c r="D26" i="104"/>
  <c r="D27" i="104"/>
  <c r="D28" i="104"/>
  <c r="D29" i="104"/>
  <c r="D30" i="104"/>
  <c r="D31" i="104"/>
  <c r="D32" i="104"/>
  <c r="D33" i="104"/>
  <c r="D34" i="104"/>
  <c r="D35" i="104"/>
  <c r="D36" i="104"/>
  <c r="D37" i="104"/>
  <c r="D38" i="104"/>
  <c r="D39" i="104"/>
  <c r="D40" i="104"/>
  <c r="D41" i="104"/>
  <c r="D42" i="104"/>
  <c r="D43" i="104"/>
  <c r="D44" i="104"/>
  <c r="D45" i="104"/>
  <c r="D46" i="104"/>
  <c r="D47" i="104"/>
  <c r="D48" i="104"/>
  <c r="D49" i="104"/>
  <c r="D50" i="104"/>
  <c r="D51" i="104"/>
  <c r="D52" i="104"/>
  <c r="D53" i="104"/>
  <c r="D54" i="104"/>
  <c r="D56" i="104"/>
  <c r="D57" i="104"/>
  <c r="D58" i="104"/>
  <c r="D59" i="104"/>
  <c r="D60" i="104"/>
  <c r="D61" i="104"/>
  <c r="D62" i="104"/>
  <c r="D63" i="104"/>
  <c r="D64" i="104"/>
  <c r="D65" i="104"/>
  <c r="D66" i="104"/>
  <c r="D67" i="104"/>
  <c r="D68" i="104"/>
  <c r="D69" i="104"/>
  <c r="D70" i="104"/>
  <c r="D71" i="104"/>
  <c r="D72" i="104"/>
  <c r="D73" i="104"/>
  <c r="D74" i="104"/>
  <c r="D75" i="104"/>
  <c r="D76" i="104"/>
  <c r="D77" i="104"/>
  <c r="D78" i="104"/>
  <c r="D79" i="104"/>
  <c r="D80" i="104"/>
  <c r="D81" i="104"/>
  <c r="D82" i="104"/>
  <c r="D83" i="104"/>
  <c r="D84" i="104"/>
  <c r="D85" i="104"/>
  <c r="D86" i="104"/>
  <c r="D87" i="104"/>
  <c r="D88" i="104"/>
  <c r="D89" i="104"/>
  <c r="D90" i="104"/>
  <c r="D91" i="104"/>
  <c r="D92" i="104"/>
  <c r="D93" i="104"/>
  <c r="D94" i="104"/>
  <c r="D95" i="104"/>
  <c r="D96" i="104"/>
  <c r="D97" i="104"/>
  <c r="D98" i="104"/>
  <c r="D99" i="104"/>
  <c r="D100" i="104"/>
  <c r="D101" i="104"/>
  <c r="D102" i="104"/>
  <c r="D103" i="104"/>
  <c r="D104" i="104"/>
  <c r="D105" i="104"/>
  <c r="D106" i="104"/>
  <c r="D107" i="104"/>
  <c r="D108" i="104"/>
  <c r="D109" i="104"/>
  <c r="D110" i="104"/>
  <c r="D111" i="104"/>
  <c r="D112" i="104"/>
  <c r="D113" i="104"/>
  <c r="D114" i="104"/>
  <c r="D115" i="104"/>
  <c r="D116" i="104"/>
  <c r="D117" i="104"/>
  <c r="D118" i="104"/>
  <c r="D119" i="104"/>
  <c r="D120" i="104"/>
  <c r="D121" i="104"/>
  <c r="D122" i="104"/>
  <c r="D123" i="104"/>
  <c r="D124" i="104"/>
  <c r="D125" i="104"/>
  <c r="D126" i="104"/>
  <c r="D127" i="104"/>
  <c r="E9" i="104"/>
  <c r="E10" i="104"/>
  <c r="E11" i="104"/>
  <c r="E12" i="104"/>
  <c r="E13" i="104"/>
  <c r="E14" i="104"/>
  <c r="E15" i="104"/>
  <c r="E16" i="104"/>
  <c r="E17" i="104"/>
  <c r="E18" i="104"/>
  <c r="E19" i="104"/>
  <c r="E20" i="104"/>
  <c r="E21" i="104"/>
  <c r="E22" i="104"/>
  <c r="E23" i="104"/>
  <c r="E24" i="104"/>
  <c r="E25" i="104"/>
  <c r="E26" i="104"/>
  <c r="E27" i="104"/>
  <c r="E28" i="104"/>
  <c r="E29" i="104"/>
  <c r="E30" i="104"/>
  <c r="E31" i="104"/>
  <c r="E32" i="104"/>
  <c r="E33" i="104"/>
  <c r="E34" i="104"/>
  <c r="E35" i="104"/>
  <c r="E36" i="104"/>
  <c r="E37" i="104"/>
  <c r="E38" i="104"/>
  <c r="E39" i="104"/>
  <c r="E40" i="104"/>
  <c r="E41" i="104"/>
  <c r="E42" i="104"/>
  <c r="E43" i="104"/>
  <c r="E44" i="104"/>
  <c r="E45" i="104"/>
  <c r="E46" i="104"/>
  <c r="E47" i="104"/>
  <c r="E48" i="104"/>
  <c r="E49" i="104"/>
  <c r="E50" i="104"/>
  <c r="E51" i="104"/>
  <c r="E52" i="104"/>
  <c r="E53" i="104"/>
  <c r="E54" i="104"/>
  <c r="E55" i="104"/>
  <c r="E56" i="104"/>
  <c r="E57" i="104"/>
  <c r="E58" i="104"/>
  <c r="E59" i="104"/>
  <c r="E60" i="104"/>
  <c r="E61" i="104"/>
  <c r="E62" i="104"/>
  <c r="E63" i="104"/>
  <c r="E64" i="104"/>
  <c r="E65" i="104"/>
  <c r="E66" i="104"/>
  <c r="E67" i="104"/>
  <c r="E68" i="104"/>
  <c r="E69" i="104"/>
  <c r="E70" i="104"/>
  <c r="E71" i="104"/>
  <c r="E72" i="104"/>
  <c r="E73" i="104"/>
  <c r="E74" i="104"/>
  <c r="E75" i="104"/>
  <c r="E76" i="104"/>
  <c r="E77" i="104"/>
  <c r="E78" i="104"/>
  <c r="E79" i="104"/>
  <c r="E80" i="104"/>
  <c r="E81" i="104"/>
  <c r="E82" i="104"/>
  <c r="E83" i="104"/>
  <c r="E84" i="104"/>
  <c r="E85" i="104"/>
  <c r="E86" i="104"/>
  <c r="E87" i="104"/>
  <c r="E88" i="104"/>
  <c r="E89" i="104"/>
  <c r="E90" i="104"/>
  <c r="E91" i="104"/>
  <c r="E92" i="104"/>
  <c r="E93" i="104"/>
  <c r="E94" i="104"/>
  <c r="E95" i="104"/>
  <c r="E96" i="104"/>
  <c r="E97" i="104"/>
  <c r="E98" i="104"/>
  <c r="E99" i="104"/>
  <c r="E100" i="104"/>
  <c r="E101" i="104"/>
  <c r="E102" i="104"/>
  <c r="E103" i="104"/>
  <c r="E104" i="104"/>
  <c r="E105" i="104"/>
  <c r="E106" i="104"/>
  <c r="E107" i="104"/>
  <c r="E108" i="104"/>
  <c r="E109" i="104"/>
  <c r="E110" i="104"/>
  <c r="E111" i="104"/>
  <c r="E112" i="104"/>
  <c r="E113" i="104"/>
  <c r="E114" i="104"/>
  <c r="E115" i="104"/>
  <c r="E116" i="104"/>
  <c r="E117" i="104"/>
  <c r="E118" i="104"/>
  <c r="E119" i="104"/>
  <c r="E120" i="104"/>
  <c r="E121" i="104"/>
  <c r="E122" i="104"/>
  <c r="E123" i="104"/>
  <c r="E124" i="104"/>
  <c r="E125" i="104"/>
  <c r="E126" i="104"/>
  <c r="E127" i="104"/>
  <c r="E8" i="104"/>
  <c r="AB8" i="104" s="1"/>
  <c r="V199" i="104"/>
  <c r="H267" i="84" s="1"/>
  <c r="V195" i="104"/>
  <c r="H263" i="84" s="1"/>
  <c r="V197" i="104"/>
  <c r="H262" i="84" s="1"/>
  <c r="V196" i="104"/>
  <c r="H259" i="84" s="1"/>
  <c r="U192" i="104"/>
  <c r="V188" i="104"/>
  <c r="V191" i="104"/>
  <c r="V183" i="104"/>
  <c r="V181" i="104"/>
  <c r="H244" i="84" s="1"/>
  <c r="V185" i="104"/>
  <c r="H240" i="84" s="1"/>
  <c r="V180" i="104"/>
  <c r="V175" i="104"/>
  <c r="U66" i="104"/>
  <c r="V173" i="104"/>
  <c r="H228" i="84" s="1"/>
  <c r="V165" i="104"/>
  <c r="H227" i="84" s="1"/>
  <c r="V172" i="104"/>
  <c r="V157" i="104"/>
  <c r="H224" i="84" s="1"/>
  <c r="U160" i="104"/>
  <c r="V167" i="104"/>
  <c r="U62" i="104"/>
  <c r="I216" i="84" s="1"/>
  <c r="V166" i="104"/>
  <c r="V159" i="104"/>
  <c r="H212" i="84" s="1"/>
  <c r="W171" i="104"/>
  <c r="X171" i="104" s="1"/>
  <c r="J211" i="84" s="1"/>
  <c r="V149" i="104"/>
  <c r="V198" i="104"/>
  <c r="V141" i="104"/>
  <c r="H200" i="84" s="1"/>
  <c r="U144" i="104"/>
  <c r="V143" i="104"/>
  <c r="U136" i="104"/>
  <c r="V127" i="104"/>
  <c r="H184" i="84" s="1"/>
  <c r="V135" i="104"/>
  <c r="W129" i="104"/>
  <c r="V131" i="104"/>
  <c r="V133" i="104"/>
  <c r="H179" i="84" s="1"/>
  <c r="V126" i="104"/>
  <c r="H176" i="84" s="1"/>
  <c r="V110" i="104"/>
  <c r="H173" i="84" s="1"/>
  <c r="V117" i="104"/>
  <c r="H172" i="84" s="1"/>
  <c r="V116" i="104"/>
  <c r="H171" i="84" s="1"/>
  <c r="V124" i="104"/>
  <c r="W121" i="104"/>
  <c r="X121" i="104" s="1"/>
  <c r="J168" i="84" s="1"/>
  <c r="U115" i="104"/>
  <c r="I160" i="84" s="1"/>
  <c r="U112" i="104"/>
  <c r="I157" i="84" s="1"/>
  <c r="V109" i="104"/>
  <c r="H156" i="84" s="1"/>
  <c r="V148" i="104"/>
  <c r="U123" i="104"/>
  <c r="I153" i="84" s="1"/>
  <c r="V108" i="104"/>
  <c r="H149" i="84" s="1"/>
  <c r="V107" i="104"/>
  <c r="W153" i="104"/>
  <c r="W105" i="104"/>
  <c r="X105" i="104" s="1"/>
  <c r="J136" i="84" s="1"/>
  <c r="U99" i="104"/>
  <c r="I132" i="84" s="1"/>
  <c r="V147" i="104"/>
  <c r="V37" i="104"/>
  <c r="H128" i="84" s="1"/>
  <c r="U96" i="104"/>
  <c r="I125" i="84" s="1"/>
  <c r="U94" i="104"/>
  <c r="V92" i="104"/>
  <c r="V91" i="104"/>
  <c r="H120" i="84" s="1"/>
  <c r="V85" i="104"/>
  <c r="H119" i="84" s="1"/>
  <c r="W89" i="104"/>
  <c r="X89" i="104" s="1"/>
  <c r="J118" i="84" s="1"/>
  <c r="V83" i="104"/>
  <c r="W81" i="104"/>
  <c r="X81" i="104" s="1"/>
  <c r="J99" i="84" s="1"/>
  <c r="V77" i="104"/>
  <c r="U80" i="104"/>
  <c r="I92" i="84" s="1"/>
  <c r="U72" i="104"/>
  <c r="I91" i="84" s="1"/>
  <c r="V75" i="104"/>
  <c r="H88" i="84" s="1"/>
  <c r="U190" i="104"/>
  <c r="V119" i="104"/>
  <c r="H84" i="84" s="1"/>
  <c r="V68" i="104"/>
  <c r="V69" i="104"/>
  <c r="H80" i="84" s="1"/>
  <c r="W65" i="104"/>
  <c r="W169" i="104"/>
  <c r="V61" i="104"/>
  <c r="H72" i="84" s="1"/>
  <c r="W60" i="104"/>
  <c r="X60" i="104" s="1"/>
  <c r="J71" i="84" s="1"/>
  <c r="U59" i="104"/>
  <c r="I64" i="84" s="1"/>
  <c r="V56" i="104"/>
  <c r="H63" i="84" s="1"/>
  <c r="W57" i="104"/>
  <c r="X57" i="104" s="1"/>
  <c r="J61" i="84" s="1"/>
  <c r="V53" i="104"/>
  <c r="H59" i="84" s="1"/>
  <c r="V52" i="104"/>
  <c r="V51" i="104"/>
  <c r="H55" i="84" s="1"/>
  <c r="V48" i="104"/>
  <c r="H53" i="84" s="1"/>
  <c r="U36" i="104"/>
  <c r="V45" i="104"/>
  <c r="H51" i="84" s="1"/>
  <c r="V43" i="104"/>
  <c r="H45" i="84" s="1"/>
  <c r="U42" i="104"/>
  <c r="V174" i="104"/>
  <c r="U39" i="104"/>
  <c r="I40" i="84" s="1"/>
  <c r="W27" i="104"/>
  <c r="X27" i="104" s="1"/>
  <c r="J37" i="84" s="1"/>
  <c r="V32" i="104"/>
  <c r="H36" i="84" s="1"/>
  <c r="V22" i="104"/>
  <c r="H35" i="84" s="1"/>
  <c r="U28" i="104"/>
  <c r="I33" i="84" s="1"/>
  <c r="V19" i="104"/>
  <c r="H28" i="84" s="1"/>
  <c r="U20" i="104"/>
  <c r="V33" i="104"/>
  <c r="W21" i="104"/>
  <c r="X21" i="104" s="1"/>
  <c r="J25" i="84" s="1"/>
  <c r="U34" i="104"/>
  <c r="V24" i="104"/>
  <c r="H22" i="84" s="1"/>
  <c r="W35" i="104"/>
  <c r="X35" i="104" s="1"/>
  <c r="J21" i="84" s="1"/>
  <c r="U18" i="104"/>
  <c r="W17" i="104"/>
  <c r="V11" i="104"/>
  <c r="H11" i="84" s="1"/>
  <c r="U12" i="104"/>
  <c r="V201" i="104"/>
  <c r="H270" i="84" s="1"/>
  <c r="U200" i="104"/>
  <c r="U184" i="104"/>
  <c r="W179" i="104"/>
  <c r="X179" i="104" s="1"/>
  <c r="J242" i="84" s="1"/>
  <c r="V177" i="104"/>
  <c r="H238" i="84" s="1"/>
  <c r="V164" i="104"/>
  <c r="W163" i="104"/>
  <c r="V158" i="104"/>
  <c r="V156" i="104"/>
  <c r="W155" i="104"/>
  <c r="X155" i="104" s="1"/>
  <c r="J265" i="84" s="1"/>
  <c r="U152" i="104"/>
  <c r="V151" i="104"/>
  <c r="V140" i="104"/>
  <c r="W139" i="104"/>
  <c r="AA139" i="104" s="1"/>
  <c r="W137" i="104"/>
  <c r="X137" i="104" s="1"/>
  <c r="J189" i="84" s="1"/>
  <c r="V134" i="104"/>
  <c r="AB134" i="104" s="1"/>
  <c r="V132" i="104"/>
  <c r="V125" i="104"/>
  <c r="H165" i="84" s="1"/>
  <c r="U120" i="104"/>
  <c r="I154" i="84" s="1"/>
  <c r="V111" i="104"/>
  <c r="H174" i="84" s="1"/>
  <c r="U104" i="104"/>
  <c r="I146" i="84" s="1"/>
  <c r="U102" i="104"/>
  <c r="I150" i="84" s="1"/>
  <c r="V101" i="104"/>
  <c r="H134" i="84" s="1"/>
  <c r="W97" i="104"/>
  <c r="X97" i="104" s="1"/>
  <c r="J126" i="84" s="1"/>
  <c r="V93" i="104"/>
  <c r="U88" i="104"/>
  <c r="I117" i="84" s="1"/>
  <c r="U86" i="104"/>
  <c r="V84" i="104"/>
  <c r="U82" i="104"/>
  <c r="U78" i="104"/>
  <c r="I97" i="84" s="1"/>
  <c r="V76" i="104"/>
  <c r="U70" i="104"/>
  <c r="I82" i="84" s="1"/>
  <c r="V67" i="104"/>
  <c r="W64" i="104"/>
  <c r="X64" i="104" s="1"/>
  <c r="J74" i="84" s="1"/>
  <c r="U58" i="104"/>
  <c r="U54" i="104"/>
  <c r="I198" i="84" s="1"/>
  <c r="W49" i="104"/>
  <c r="X49" i="104" s="1"/>
  <c r="J46" i="84" s="1"/>
  <c r="U46" i="104"/>
  <c r="I49" i="84" s="1"/>
  <c r="V44" i="104"/>
  <c r="U41" i="104"/>
  <c r="U31" i="104"/>
  <c r="I34" i="84" s="1"/>
  <c r="V30" i="104"/>
  <c r="W29" i="104"/>
  <c r="V23" i="104"/>
  <c r="H30" i="84" s="1"/>
  <c r="V16" i="104"/>
  <c r="H18" i="84" s="1"/>
  <c r="V14" i="104"/>
  <c r="H14" i="84" s="1"/>
  <c r="W13" i="104"/>
  <c r="X13" i="104" s="1"/>
  <c r="J17" i="84" s="1"/>
  <c r="U10" i="104"/>
  <c r="V9" i="104"/>
  <c r="W113" i="104"/>
  <c r="X113" i="104" s="1"/>
  <c r="J163" i="84" s="1"/>
  <c r="V113" i="104"/>
  <c r="V137" i="104"/>
  <c r="U49" i="104"/>
  <c r="V31" i="104"/>
  <c r="H34" i="84" s="1"/>
  <c r="V49" i="104"/>
  <c r="V89" i="104"/>
  <c r="H118" i="84" s="1"/>
  <c r="U22" i="104"/>
  <c r="I35" i="84" s="1"/>
  <c r="W31" i="104"/>
  <c r="X31" i="104" s="1"/>
  <c r="J34" i="84" s="1"/>
  <c r="W187" i="104"/>
  <c r="X187" i="104" s="1"/>
  <c r="J252" i="84" s="1"/>
  <c r="U187" i="104"/>
  <c r="U168" i="104"/>
  <c r="V168" i="104"/>
  <c r="V189" i="104"/>
  <c r="H13" i="84" s="1"/>
  <c r="W189" i="104"/>
  <c r="W43" i="104"/>
  <c r="X43" i="104" s="1"/>
  <c r="J45" i="84" s="1"/>
  <c r="W75" i="104"/>
  <c r="U107" i="104"/>
  <c r="W109" i="104"/>
  <c r="W112" i="104"/>
  <c r="X112" i="104" s="1"/>
  <c r="J157" i="84" s="1"/>
  <c r="U117" i="104"/>
  <c r="I172" i="84" s="1"/>
  <c r="W200" i="104"/>
  <c r="X200" i="104" s="1"/>
  <c r="J269" i="84" s="1"/>
  <c r="W9" i="104"/>
  <c r="W12" i="104"/>
  <c r="X12" i="104" s="1"/>
  <c r="J9" i="84" s="1"/>
  <c r="V41" i="104"/>
  <c r="U83" i="104"/>
  <c r="W59" i="104"/>
  <c r="W83" i="104"/>
  <c r="V99" i="104"/>
  <c r="W107" i="104"/>
  <c r="V112" i="104"/>
  <c r="H157" i="84" s="1"/>
  <c r="V136" i="104"/>
  <c r="U91" i="104"/>
  <c r="W110" i="104"/>
  <c r="X110" i="104" s="1"/>
  <c r="J173" i="84" s="1"/>
  <c r="W123" i="104"/>
  <c r="X123" i="104" s="1"/>
  <c r="J153" i="84" s="1"/>
  <c r="U196" i="104"/>
  <c r="I259" i="84" s="1"/>
  <c r="V34" i="104"/>
  <c r="W70" i="104"/>
  <c r="W91" i="104"/>
  <c r="U147" i="104"/>
  <c r="W181" i="104"/>
  <c r="X181" i="104" s="1"/>
  <c r="J244" i="84" s="1"/>
  <c r="U17" i="104"/>
  <c r="W23" i="104"/>
  <c r="W141" i="104"/>
  <c r="X141" i="104" s="1"/>
  <c r="J200" i="84" s="1"/>
  <c r="U149" i="104"/>
  <c r="I206" i="84" s="1"/>
  <c r="W41" i="104"/>
  <c r="X41" i="104" s="1"/>
  <c r="J234" i="84" s="1"/>
  <c r="W46" i="104"/>
  <c r="X46" i="104" s="1"/>
  <c r="J49" i="84" s="1"/>
  <c r="W68" i="104"/>
  <c r="X68" i="104" s="1"/>
  <c r="J81" i="84" s="1"/>
  <c r="U57" i="104"/>
  <c r="V62" i="104"/>
  <c r="V72" i="104"/>
  <c r="H91" i="84" s="1"/>
  <c r="U14" i="104"/>
  <c r="I14" i="84" s="1"/>
  <c r="W20" i="104"/>
  <c r="X20" i="104" s="1"/>
  <c r="J27" i="84" s="1"/>
  <c r="V57" i="104"/>
  <c r="U69" i="104"/>
  <c r="I80" i="84" s="1"/>
  <c r="V102" i="104"/>
  <c r="H150" i="84" s="1"/>
  <c r="U139" i="104"/>
  <c r="V144" i="104"/>
  <c r="W149" i="104"/>
  <c r="X149" i="104" s="1"/>
  <c r="J206" i="84" s="1"/>
  <c r="U157" i="104"/>
  <c r="I224" i="84" s="1"/>
  <c r="U165" i="104"/>
  <c r="I227" i="84" s="1"/>
  <c r="W190" i="104"/>
  <c r="V139" i="104"/>
  <c r="W165" i="104"/>
  <c r="V190" i="104"/>
  <c r="W69" i="104"/>
  <c r="X69" i="104" s="1"/>
  <c r="J80" i="84" s="1"/>
  <c r="U53" i="104"/>
  <c r="I59" i="84" s="1"/>
  <c r="U75" i="104"/>
  <c r="I88" i="84" s="1"/>
  <c r="U81" i="104"/>
  <c r="W84" i="104"/>
  <c r="W136" i="104"/>
  <c r="X136" i="104" s="1"/>
  <c r="J187" i="84" s="1"/>
  <c r="V187" i="104"/>
  <c r="H252" i="84" s="1"/>
  <c r="V17" i="104"/>
  <c r="V59" i="104"/>
  <c r="V70" i="104"/>
  <c r="H82" i="84" s="1"/>
  <c r="W99" i="104"/>
  <c r="V123" i="104"/>
  <c r="H153" i="84" s="1"/>
  <c r="W131" i="104"/>
  <c r="U141" i="104"/>
  <c r="I200" i="84" s="1"/>
  <c r="W147" i="104"/>
  <c r="X147" i="104" s="1"/>
  <c r="J131" i="84" s="1"/>
  <c r="V160" i="104"/>
  <c r="W184" i="104"/>
  <c r="U188" i="104"/>
  <c r="V200" i="104"/>
  <c r="H269" i="84" s="1"/>
  <c r="V184" i="104"/>
  <c r="V13" i="104"/>
  <c r="H17" i="84" s="1"/>
  <c r="W10" i="104"/>
  <c r="X10" i="104" s="1"/>
  <c r="J65" i="84" s="1"/>
  <c r="W18" i="104"/>
  <c r="W33" i="104"/>
  <c r="V36" i="104"/>
  <c r="W44" i="104"/>
  <c r="U48" i="104"/>
  <c r="I53" i="84" s="1"/>
  <c r="U51" i="104"/>
  <c r="V64" i="104"/>
  <c r="H74" i="84" s="1"/>
  <c r="W67" i="104"/>
  <c r="X67" i="104" s="1"/>
  <c r="J77" i="84" s="1"/>
  <c r="V78" i="104"/>
  <c r="H97" i="84" s="1"/>
  <c r="W86" i="104"/>
  <c r="X86" i="104" s="1"/>
  <c r="J114" i="84" s="1"/>
  <c r="W93" i="104"/>
  <c r="X93" i="104" s="1"/>
  <c r="J122" i="84" s="1"/>
  <c r="V96" i="104"/>
  <c r="H125" i="84" s="1"/>
  <c r="W104" i="104"/>
  <c r="X104" i="104" s="1"/>
  <c r="J146" i="84" s="1"/>
  <c r="W115" i="104"/>
  <c r="X115" i="104" s="1"/>
  <c r="J160" i="84" s="1"/>
  <c r="W120" i="104"/>
  <c r="V129" i="104"/>
  <c r="H181" i="84" s="1"/>
  <c r="U133" i="104"/>
  <c r="I179" i="84" s="1"/>
  <c r="U155" i="104"/>
  <c r="W158" i="104"/>
  <c r="X158" i="104" s="1"/>
  <c r="J210" i="84" s="1"/>
  <c r="U163" i="104"/>
  <c r="W166" i="104"/>
  <c r="X166" i="104" s="1"/>
  <c r="J214" i="84" s="1"/>
  <c r="V169" i="104"/>
  <c r="H75" i="84" s="1"/>
  <c r="W173" i="104"/>
  <c r="U179" i="104"/>
  <c r="U197" i="104"/>
  <c r="I262" i="84" s="1"/>
  <c r="V21" i="104"/>
  <c r="H25" i="84" s="1"/>
  <c r="U30" i="104"/>
  <c r="U33" i="104"/>
  <c r="W36" i="104"/>
  <c r="W96" i="104"/>
  <c r="V86" i="104"/>
  <c r="H114" i="84" s="1"/>
  <c r="V179" i="104"/>
  <c r="W197" i="104"/>
  <c r="U67" i="104"/>
  <c r="U158" i="104"/>
  <c r="U166" i="104"/>
  <c r="U173" i="104"/>
  <c r="I228" i="84" s="1"/>
  <c r="V10" i="104"/>
  <c r="W48" i="104"/>
  <c r="X48" i="104" s="1"/>
  <c r="J53" i="84" s="1"/>
  <c r="V104" i="104"/>
  <c r="H146" i="84" s="1"/>
  <c r="W133" i="104"/>
  <c r="X133" i="104" s="1"/>
  <c r="J179" i="84" s="1"/>
  <c r="V155" i="104"/>
  <c r="W28" i="104"/>
  <c r="X28" i="104" s="1"/>
  <c r="J33" i="84" s="1"/>
  <c r="W45" i="104"/>
  <c r="X45" i="104" s="1"/>
  <c r="J51" i="84" s="1"/>
  <c r="W52" i="104"/>
  <c r="X52" i="104" s="1"/>
  <c r="J58" i="84" s="1"/>
  <c r="W94" i="104"/>
  <c r="V97" i="104"/>
  <c r="U101" i="104"/>
  <c r="I134" i="84" s="1"/>
  <c r="W152" i="104"/>
  <c r="U171" i="104"/>
  <c r="U174" i="104"/>
  <c r="W78" i="104"/>
  <c r="X78" i="104" s="1"/>
  <c r="J97" i="84" s="1"/>
  <c r="U93" i="104"/>
  <c r="I122" i="84" s="1"/>
  <c r="V18" i="104"/>
  <c r="V115" i="104"/>
  <c r="V120" i="104"/>
  <c r="H154" i="84" s="1"/>
  <c r="V163" i="104"/>
  <c r="H213" i="84" s="1"/>
  <c r="U65" i="104"/>
  <c r="U125" i="104"/>
  <c r="I165" i="84" s="1"/>
  <c r="W192" i="104"/>
  <c r="X192" i="104" s="1"/>
  <c r="J256" i="84" s="1"/>
  <c r="U23" i="104"/>
  <c r="I30" i="84" s="1"/>
  <c r="V28" i="104"/>
  <c r="W34" i="104"/>
  <c r="X34" i="104" s="1"/>
  <c r="J24" i="84" s="1"/>
  <c r="V39" i="104"/>
  <c r="H40" i="84" s="1"/>
  <c r="U43" i="104"/>
  <c r="I45" i="84" s="1"/>
  <c r="W62" i="104"/>
  <c r="X62" i="104" s="1"/>
  <c r="J216" i="84" s="1"/>
  <c r="V65" i="104"/>
  <c r="V94" i="104"/>
  <c r="H124" i="84" s="1"/>
  <c r="W101" i="104"/>
  <c r="X101" i="104" s="1"/>
  <c r="J134" i="84" s="1"/>
  <c r="V105" i="104"/>
  <c r="U109" i="104"/>
  <c r="I156" i="84" s="1"/>
  <c r="V121" i="104"/>
  <c r="H168" i="84" s="1"/>
  <c r="W125" i="104"/>
  <c r="X125" i="104" s="1"/>
  <c r="J165" i="84" s="1"/>
  <c r="U131" i="104"/>
  <c r="W134" i="104"/>
  <c r="X134" i="104" s="1"/>
  <c r="V152" i="104"/>
  <c r="V171" i="104"/>
  <c r="H211" i="84" s="1"/>
  <c r="W174" i="104"/>
  <c r="AA174" i="104" s="1"/>
  <c r="U180" i="104"/>
  <c r="U189" i="104"/>
  <c r="I13" i="84" s="1"/>
  <c r="V192" i="104"/>
  <c r="W198" i="104"/>
  <c r="U9" i="104"/>
  <c r="V12" i="104"/>
  <c r="H9" i="84" s="1"/>
  <c r="V20" i="104"/>
  <c r="H27" i="84" s="1"/>
  <c r="V29" i="104"/>
  <c r="H29" i="84" s="1"/>
  <c r="V46" i="104"/>
  <c r="H49" i="84" s="1"/>
  <c r="W72" i="104"/>
  <c r="X72" i="104" s="1"/>
  <c r="J91" i="84" s="1"/>
  <c r="W76" i="104"/>
  <c r="X76" i="104" s="1"/>
  <c r="J94" i="84" s="1"/>
  <c r="V81" i="104"/>
  <c r="U89" i="104"/>
  <c r="W92" i="104"/>
  <c r="W102" i="104"/>
  <c r="W117" i="104"/>
  <c r="X117" i="104" s="1"/>
  <c r="J172" i="84" s="1"/>
  <c r="W126" i="104"/>
  <c r="X126" i="104" s="1"/>
  <c r="J176" i="84" s="1"/>
  <c r="W144" i="104"/>
  <c r="V153" i="104"/>
  <c r="H138" i="84" s="1"/>
  <c r="W157" i="104"/>
  <c r="X157" i="104" s="1"/>
  <c r="J224" i="84" s="1"/>
  <c r="W160" i="104"/>
  <c r="X160" i="104" s="1"/>
  <c r="J219" i="84" s="1"/>
  <c r="W168" i="104"/>
  <c r="X168" i="104" s="1"/>
  <c r="J268" i="84" s="1"/>
  <c r="U172" i="104"/>
  <c r="U181" i="104"/>
  <c r="I244" i="84" s="1"/>
  <c r="U25" i="104"/>
  <c r="V25" i="104"/>
  <c r="W25" i="104"/>
  <c r="W40" i="104"/>
  <c r="X40" i="104" s="1"/>
  <c r="J39" i="84" s="1"/>
  <c r="V40" i="104"/>
  <c r="H39" i="84" s="1"/>
  <c r="U40" i="104"/>
  <c r="I39" i="84" s="1"/>
  <c r="V103" i="104"/>
  <c r="H135" i="84" s="1"/>
  <c r="W103" i="104"/>
  <c r="X103" i="104" s="1"/>
  <c r="J135" i="84" s="1"/>
  <c r="U103" i="104"/>
  <c r="I135" i="84" s="1"/>
  <c r="V170" i="104"/>
  <c r="W170" i="104"/>
  <c r="X170" i="104" s="1"/>
  <c r="J143" i="84" s="1"/>
  <c r="U170" i="104"/>
  <c r="V162" i="104"/>
  <c r="W162" i="104"/>
  <c r="X162" i="104" s="1"/>
  <c r="J215" i="84" s="1"/>
  <c r="U162" i="104"/>
  <c r="V26" i="104"/>
  <c r="W26" i="104"/>
  <c r="X26" i="104" s="1"/>
  <c r="J23" i="84" s="1"/>
  <c r="U26" i="104"/>
  <c r="V87" i="104"/>
  <c r="H111" i="84" s="1"/>
  <c r="W87" i="104"/>
  <c r="X87" i="104" s="1"/>
  <c r="J111" i="84" s="1"/>
  <c r="U87" i="104"/>
  <c r="V122" i="104"/>
  <c r="W122" i="104"/>
  <c r="U122" i="104"/>
  <c r="V15" i="104"/>
  <c r="H15" i="84" s="1"/>
  <c r="W15" i="104"/>
  <c r="U15" i="104"/>
  <c r="I15" i="84" s="1"/>
  <c r="U38" i="104"/>
  <c r="W38" i="104"/>
  <c r="X38" i="104" s="1"/>
  <c r="J47" i="84" s="1"/>
  <c r="V38" i="104"/>
  <c r="H47" i="84" s="1"/>
  <c r="V74" i="104"/>
  <c r="W74" i="104"/>
  <c r="U128" i="104"/>
  <c r="V128" i="104"/>
  <c r="V145" i="104"/>
  <c r="H199" i="84" s="1"/>
  <c r="W145" i="104"/>
  <c r="U145" i="104"/>
  <c r="I199" i="84" s="1"/>
  <c r="V193" i="104"/>
  <c r="H255" i="84" s="1"/>
  <c r="W193" i="104"/>
  <c r="X193" i="104" s="1"/>
  <c r="J255" i="84" s="1"/>
  <c r="U193" i="104"/>
  <c r="I255" i="84" s="1"/>
  <c r="U19" i="104"/>
  <c r="W22" i="104"/>
  <c r="X22" i="104" s="1"/>
  <c r="J35" i="84" s="1"/>
  <c r="W30" i="104"/>
  <c r="X30" i="104" s="1"/>
  <c r="J38" i="84" s="1"/>
  <c r="U35" i="104"/>
  <c r="W51" i="104"/>
  <c r="X51" i="104" s="1"/>
  <c r="J55" i="84" s="1"/>
  <c r="U56" i="104"/>
  <c r="I63" i="84" s="1"/>
  <c r="V106" i="104"/>
  <c r="H137" i="84" s="1"/>
  <c r="W106" i="104"/>
  <c r="W47" i="104"/>
  <c r="X47" i="104" s="1"/>
  <c r="U47" i="104"/>
  <c r="W56" i="104"/>
  <c r="V66" i="104"/>
  <c r="W66" i="104"/>
  <c r="U77" i="104"/>
  <c r="I95" i="84" s="1"/>
  <c r="W80" i="104"/>
  <c r="X80" i="104" s="1"/>
  <c r="J92" i="84" s="1"/>
  <c r="W85" i="104"/>
  <c r="X85" i="104" s="1"/>
  <c r="J119" i="84" s="1"/>
  <c r="V88" i="104"/>
  <c r="H117" i="84" s="1"/>
  <c r="U106" i="104"/>
  <c r="I137" i="84" s="1"/>
  <c r="W128" i="104"/>
  <c r="X128" i="104" s="1"/>
  <c r="J183" i="84" s="1"/>
  <c r="V79" i="104"/>
  <c r="H90" i="84" s="1"/>
  <c r="W79" i="104"/>
  <c r="X79" i="104" s="1"/>
  <c r="J90" i="84" s="1"/>
  <c r="U79" i="104"/>
  <c r="I90" i="84" s="1"/>
  <c r="W73" i="104"/>
  <c r="U73" i="104"/>
  <c r="V100" i="104"/>
  <c r="W100" i="104"/>
  <c r="U100" i="104"/>
  <c r="I127" i="84" s="1"/>
  <c r="V150" i="104"/>
  <c r="W150" i="104"/>
  <c r="AA150" i="104" s="1"/>
  <c r="U150" i="104"/>
  <c r="V182" i="104"/>
  <c r="W182" i="104"/>
  <c r="X182" i="104" s="1"/>
  <c r="J247" i="84" s="1"/>
  <c r="U182" i="104"/>
  <c r="U11" i="104"/>
  <c r="W14" i="104"/>
  <c r="X14" i="104" s="1"/>
  <c r="J14" i="84" s="1"/>
  <c r="U27" i="104"/>
  <c r="W53" i="104"/>
  <c r="AA53" i="104" s="1"/>
  <c r="V194" i="104"/>
  <c r="W194" i="104"/>
  <c r="U194" i="104"/>
  <c r="U8" i="104"/>
  <c r="I8" i="84" s="1"/>
  <c r="W11" i="104"/>
  <c r="U16" i="104"/>
  <c r="I18" i="84" s="1"/>
  <c r="W19" i="104"/>
  <c r="X19" i="104" s="1"/>
  <c r="J28" i="84" s="1"/>
  <c r="W8" i="104"/>
  <c r="U13" i="104"/>
  <c r="I17" i="84" s="1"/>
  <c r="U21" i="104"/>
  <c r="I25" i="84" s="1"/>
  <c r="W24" i="104"/>
  <c r="V27" i="104"/>
  <c r="U29" i="104"/>
  <c r="I29" i="84" s="1"/>
  <c r="W32" i="104"/>
  <c r="X32" i="104" s="1"/>
  <c r="J36" i="84" s="1"/>
  <c r="V35" i="104"/>
  <c r="U37" i="104"/>
  <c r="V47" i="104"/>
  <c r="W54" i="104"/>
  <c r="U61" i="104"/>
  <c r="I72" i="84" s="1"/>
  <c r="U64" i="104"/>
  <c r="I74" i="84" s="1"/>
  <c r="V71" i="104"/>
  <c r="H85" i="84" s="1"/>
  <c r="W71" i="104"/>
  <c r="X71" i="104" s="1"/>
  <c r="J85" i="84" s="1"/>
  <c r="U71" i="104"/>
  <c r="I85" i="84" s="1"/>
  <c r="W77" i="104"/>
  <c r="X77" i="104" s="1"/>
  <c r="J95" i="84" s="1"/>
  <c r="V80" i="104"/>
  <c r="H92" i="84" s="1"/>
  <c r="V186" i="104"/>
  <c r="W186" i="104"/>
  <c r="U186" i="104"/>
  <c r="V142" i="104"/>
  <c r="W142" i="104"/>
  <c r="U142" i="104"/>
  <c r="W195" i="104"/>
  <c r="X195" i="104" s="1"/>
  <c r="J263" i="84" s="1"/>
  <c r="U195" i="104"/>
  <c r="I263" i="84" s="1"/>
  <c r="V63" i="104"/>
  <c r="H93" i="84" s="1"/>
  <c r="W63" i="104"/>
  <c r="X63" i="104" s="1"/>
  <c r="J93" i="84" s="1"/>
  <c r="U63" i="104"/>
  <c r="I93" i="84" s="1"/>
  <c r="U74" i="104"/>
  <c r="U85" i="104"/>
  <c r="I119" i="84" s="1"/>
  <c r="W88" i="104"/>
  <c r="X88" i="104" s="1"/>
  <c r="J117" i="84" s="1"/>
  <c r="V178" i="104"/>
  <c r="W178" i="104"/>
  <c r="AA178" i="104" s="1"/>
  <c r="U178" i="104"/>
  <c r="U24" i="104"/>
  <c r="I22" i="84" s="1"/>
  <c r="U32" i="104"/>
  <c r="I36" i="84" s="1"/>
  <c r="W16" i="104"/>
  <c r="W37" i="104"/>
  <c r="X37" i="104" s="1"/>
  <c r="J128" i="84" s="1"/>
  <c r="W39" i="104"/>
  <c r="U45" i="104"/>
  <c r="V54" i="104"/>
  <c r="H198" i="84" s="1"/>
  <c r="W61" i="104"/>
  <c r="X61" i="104" s="1"/>
  <c r="J72" i="84" s="1"/>
  <c r="V60" i="104"/>
  <c r="U60" i="104"/>
  <c r="V118" i="104"/>
  <c r="H159" i="84" s="1"/>
  <c r="W118" i="104"/>
  <c r="X118" i="104" s="1"/>
  <c r="J159" i="84" s="1"/>
  <c r="U118" i="104"/>
  <c r="V161" i="104"/>
  <c r="H231" i="84" s="1"/>
  <c r="W161" i="104"/>
  <c r="X161" i="104" s="1"/>
  <c r="J231" i="84" s="1"/>
  <c r="U161" i="104"/>
  <c r="I231" i="84" s="1"/>
  <c r="V50" i="104"/>
  <c r="W50" i="104"/>
  <c r="AA50" i="104" s="1"/>
  <c r="V98" i="104"/>
  <c r="W98" i="104"/>
  <c r="X98" i="104" s="1"/>
  <c r="J129" i="84" s="1"/>
  <c r="V114" i="104"/>
  <c r="H164" i="84" s="1"/>
  <c r="W114" i="104"/>
  <c r="U114" i="104"/>
  <c r="V130" i="104"/>
  <c r="W130" i="104"/>
  <c r="X130" i="104" s="1"/>
  <c r="J185" i="84" s="1"/>
  <c r="U130" i="104"/>
  <c r="V146" i="104"/>
  <c r="W146" i="104"/>
  <c r="X146" i="104" s="1"/>
  <c r="J205" i="84" s="1"/>
  <c r="U146" i="104"/>
  <c r="V154" i="104"/>
  <c r="W154" i="104"/>
  <c r="X154" i="104" s="1"/>
  <c r="J258" i="84" s="1"/>
  <c r="U154" i="104"/>
  <c r="V58" i="104"/>
  <c r="W58" i="104"/>
  <c r="AA58" i="104" s="1"/>
  <c r="U176" i="104"/>
  <c r="V176" i="104"/>
  <c r="U50" i="104"/>
  <c r="W55" i="104"/>
  <c r="X55" i="104" s="1"/>
  <c r="U55" i="104"/>
  <c r="V90" i="104"/>
  <c r="W90" i="104"/>
  <c r="AA90" i="104" s="1"/>
  <c r="U98" i="104"/>
  <c r="V42" i="104"/>
  <c r="W42" i="104"/>
  <c r="X42" i="104" s="1"/>
  <c r="J44" i="84" s="1"/>
  <c r="V55" i="104"/>
  <c r="V73" i="104"/>
  <c r="V82" i="104"/>
  <c r="W82" i="104"/>
  <c r="X82" i="104" s="1"/>
  <c r="J105" i="84" s="1"/>
  <c r="U90" i="104"/>
  <c r="V95" i="104"/>
  <c r="H123" i="84" s="1"/>
  <c r="W95" i="104"/>
  <c r="X95" i="104" s="1"/>
  <c r="J123" i="84" s="1"/>
  <c r="U95" i="104"/>
  <c r="I123" i="84" s="1"/>
  <c r="V138" i="104"/>
  <c r="W138" i="104"/>
  <c r="X138" i="104" s="1"/>
  <c r="J193" i="84" s="1"/>
  <c r="U138" i="104"/>
  <c r="W176" i="104"/>
  <c r="U111" i="104"/>
  <c r="I174" i="84" s="1"/>
  <c r="U119" i="104"/>
  <c r="I84" i="84" s="1"/>
  <c r="U127" i="104"/>
  <c r="I184" i="84" s="1"/>
  <c r="U135" i="104"/>
  <c r="U143" i="104"/>
  <c r="U151" i="104"/>
  <c r="U159" i="104"/>
  <c r="U167" i="104"/>
  <c r="U175" i="104"/>
  <c r="U183" i="104"/>
  <c r="U191" i="104"/>
  <c r="U199" i="104"/>
  <c r="I267" i="84" s="1"/>
  <c r="U44" i="104"/>
  <c r="U52" i="104"/>
  <c r="U68" i="104"/>
  <c r="I81" i="84" s="1"/>
  <c r="U76" i="104"/>
  <c r="I94" i="84" s="1"/>
  <c r="U84" i="104"/>
  <c r="U92" i="104"/>
  <c r="U108" i="104"/>
  <c r="W111" i="104"/>
  <c r="X111" i="104" s="1"/>
  <c r="J174" i="84" s="1"/>
  <c r="U116" i="104"/>
  <c r="W119" i="104"/>
  <c r="X119" i="104" s="1"/>
  <c r="J84" i="84" s="1"/>
  <c r="U124" i="104"/>
  <c r="I170" i="84" s="1"/>
  <c r="W127" i="104"/>
  <c r="X127" i="104" s="1"/>
  <c r="J184" i="84" s="1"/>
  <c r="U132" i="104"/>
  <c r="W135" i="104"/>
  <c r="U140" i="104"/>
  <c r="W143" i="104"/>
  <c r="U148" i="104"/>
  <c r="W151" i="104"/>
  <c r="X151" i="104" s="1"/>
  <c r="J208" i="84" s="1"/>
  <c r="U156" i="104"/>
  <c r="W159" i="104"/>
  <c r="X159" i="104" s="1"/>
  <c r="J212" i="84" s="1"/>
  <c r="U164" i="104"/>
  <c r="W167" i="104"/>
  <c r="X167" i="104" s="1"/>
  <c r="J218" i="84" s="1"/>
  <c r="W175" i="104"/>
  <c r="W183" i="104"/>
  <c r="X183" i="104" s="1"/>
  <c r="J248" i="84" s="1"/>
  <c r="W191" i="104"/>
  <c r="X191" i="104" s="1"/>
  <c r="J251" i="84" s="1"/>
  <c r="W199" i="104"/>
  <c r="X199" i="104" s="1"/>
  <c r="J267" i="84" s="1"/>
  <c r="U97" i="104"/>
  <c r="U105" i="104"/>
  <c r="W108" i="104"/>
  <c r="U113" i="104"/>
  <c r="W116" i="104"/>
  <c r="X116" i="104" s="1"/>
  <c r="J171" i="84" s="1"/>
  <c r="U121" i="104"/>
  <c r="W124" i="104"/>
  <c r="X124" i="104" s="1"/>
  <c r="J170" i="84" s="1"/>
  <c r="U129" i="104"/>
  <c r="I181" i="84" s="1"/>
  <c r="W132" i="104"/>
  <c r="X132" i="104" s="1"/>
  <c r="J178" i="84" s="1"/>
  <c r="U137" i="104"/>
  <c r="I189" i="84" s="1"/>
  <c r="W140" i="104"/>
  <c r="W148" i="104"/>
  <c r="X148" i="104" s="1"/>
  <c r="J155" i="84" s="1"/>
  <c r="U153" i="104"/>
  <c r="I138" i="84" s="1"/>
  <c r="W156" i="104"/>
  <c r="W164" i="104"/>
  <c r="X164" i="104" s="1"/>
  <c r="J226" i="84" s="1"/>
  <c r="U169" i="104"/>
  <c r="I75" i="84" s="1"/>
  <c r="W172" i="104"/>
  <c r="U177" i="104"/>
  <c r="I238" i="84" s="1"/>
  <c r="W180" i="104"/>
  <c r="X180" i="104" s="1"/>
  <c r="J237" i="84" s="1"/>
  <c r="U185" i="104"/>
  <c r="I240" i="84" s="1"/>
  <c r="W188" i="104"/>
  <c r="W196" i="104"/>
  <c r="U201" i="104"/>
  <c r="I270" i="84" s="1"/>
  <c r="U110" i="104"/>
  <c r="U126" i="104"/>
  <c r="I176" i="84" s="1"/>
  <c r="U134" i="104"/>
  <c r="Z134" i="104" s="1"/>
  <c r="W177" i="104"/>
  <c r="X177" i="104" s="1"/>
  <c r="J238" i="84" s="1"/>
  <c r="W185" i="104"/>
  <c r="U198" i="104"/>
  <c r="W201" i="104"/>
  <c r="X201" i="104" s="1"/>
  <c r="J270" i="84" s="1"/>
  <c r="AA166" i="104"/>
  <c r="AA73" i="104"/>
  <c r="C186" i="48"/>
  <c r="C107" i="63"/>
  <c r="D13" i="48" s="1"/>
  <c r="F270" i="84"/>
  <c r="F269" i="84"/>
  <c r="F268" i="84"/>
  <c r="F267" i="84"/>
  <c r="F266" i="84"/>
  <c r="F265" i="84"/>
  <c r="F264" i="84"/>
  <c r="F263" i="84"/>
  <c r="F262" i="84"/>
  <c r="F261" i="84"/>
  <c r="F260" i="84"/>
  <c r="F259" i="84"/>
  <c r="F258" i="84"/>
  <c r="F257" i="84"/>
  <c r="F256" i="84"/>
  <c r="F255" i="84"/>
  <c r="F254" i="84"/>
  <c r="F253" i="84"/>
  <c r="F252" i="84"/>
  <c r="F251" i="84"/>
  <c r="F250" i="84"/>
  <c r="F249" i="84"/>
  <c r="F248" i="84"/>
  <c r="F247" i="84"/>
  <c r="F246" i="84"/>
  <c r="F245" i="84"/>
  <c r="F244" i="84"/>
  <c r="F243" i="84"/>
  <c r="F242" i="84"/>
  <c r="F241" i="84"/>
  <c r="F240" i="84"/>
  <c r="F239" i="84"/>
  <c r="F238" i="84"/>
  <c r="F237" i="84"/>
  <c r="F236" i="84"/>
  <c r="F235" i="84"/>
  <c r="F234" i="84"/>
  <c r="F233" i="84"/>
  <c r="F232" i="84"/>
  <c r="F231" i="84"/>
  <c r="F230" i="84"/>
  <c r="F229" i="84"/>
  <c r="F228" i="84"/>
  <c r="F227" i="84"/>
  <c r="F226" i="84"/>
  <c r="F225" i="84"/>
  <c r="F224" i="84"/>
  <c r="F223" i="84"/>
  <c r="F222" i="84"/>
  <c r="F221" i="84"/>
  <c r="F220" i="84"/>
  <c r="F219" i="84"/>
  <c r="F218" i="84"/>
  <c r="F217" i="84"/>
  <c r="F216" i="84"/>
  <c r="F215" i="84"/>
  <c r="F214" i="84"/>
  <c r="F213" i="84"/>
  <c r="F212" i="84"/>
  <c r="F211" i="84"/>
  <c r="F210" i="84"/>
  <c r="F209" i="84"/>
  <c r="F208" i="84"/>
  <c r="F207" i="84"/>
  <c r="F206" i="84"/>
  <c r="F205" i="84"/>
  <c r="F204" i="84"/>
  <c r="F203" i="84"/>
  <c r="F202" i="84"/>
  <c r="F201" i="84"/>
  <c r="F200" i="84"/>
  <c r="F199" i="84"/>
  <c r="F198" i="84"/>
  <c r="F197" i="84"/>
  <c r="F196" i="84"/>
  <c r="F195" i="84"/>
  <c r="F194" i="84"/>
  <c r="F193" i="84"/>
  <c r="F192" i="84"/>
  <c r="F191" i="84"/>
  <c r="F190" i="84"/>
  <c r="F189" i="84"/>
  <c r="F188" i="84"/>
  <c r="F187" i="84"/>
  <c r="F186" i="84"/>
  <c r="F185" i="84"/>
  <c r="F184" i="84"/>
  <c r="F183" i="84"/>
  <c r="F182" i="84"/>
  <c r="F181" i="84"/>
  <c r="F180" i="84"/>
  <c r="F179" i="84"/>
  <c r="F178" i="84"/>
  <c r="F177" i="84"/>
  <c r="F176" i="84"/>
  <c r="F175" i="84"/>
  <c r="F174" i="84"/>
  <c r="F173" i="84"/>
  <c r="F172" i="84"/>
  <c r="F171" i="84"/>
  <c r="F170" i="84"/>
  <c r="F169" i="84"/>
  <c r="F168" i="84"/>
  <c r="F167" i="84"/>
  <c r="F166" i="84"/>
  <c r="F165" i="84"/>
  <c r="F164" i="84"/>
  <c r="F163" i="84"/>
  <c r="F162" i="84"/>
  <c r="F161" i="84"/>
  <c r="F160" i="84"/>
  <c r="F159" i="84"/>
  <c r="F158" i="84"/>
  <c r="F157" i="84"/>
  <c r="F156" i="84"/>
  <c r="F155" i="84"/>
  <c r="F154" i="84"/>
  <c r="F153" i="84"/>
  <c r="F152" i="84"/>
  <c r="F151" i="84"/>
  <c r="F150" i="84"/>
  <c r="F149" i="84"/>
  <c r="F148" i="84"/>
  <c r="F147" i="84"/>
  <c r="F146" i="84"/>
  <c r="F145" i="84"/>
  <c r="F144" i="84"/>
  <c r="F143" i="84"/>
  <c r="F142" i="84"/>
  <c r="F141" i="84"/>
  <c r="F140" i="84"/>
  <c r="F139" i="84"/>
  <c r="F138" i="84"/>
  <c r="F137" i="84"/>
  <c r="F136" i="84"/>
  <c r="F135" i="84"/>
  <c r="F134" i="84"/>
  <c r="F133" i="84"/>
  <c r="F132" i="84"/>
  <c r="F131" i="84"/>
  <c r="F130" i="84"/>
  <c r="F129" i="84"/>
  <c r="F128" i="84"/>
  <c r="F127" i="84"/>
  <c r="F126" i="84"/>
  <c r="F125" i="84"/>
  <c r="F124" i="84"/>
  <c r="F123" i="84"/>
  <c r="F122" i="84"/>
  <c r="F121" i="84"/>
  <c r="F120" i="84"/>
  <c r="F119" i="84"/>
  <c r="F118" i="84"/>
  <c r="F117" i="84"/>
  <c r="F116" i="84"/>
  <c r="F115" i="84"/>
  <c r="F114" i="84"/>
  <c r="F113" i="84"/>
  <c r="F112" i="84"/>
  <c r="F111" i="84"/>
  <c r="F110" i="84"/>
  <c r="F109" i="84"/>
  <c r="F108" i="84"/>
  <c r="F107" i="84"/>
  <c r="F106" i="84"/>
  <c r="F105" i="84"/>
  <c r="F104" i="84"/>
  <c r="F103" i="84"/>
  <c r="F102" i="84"/>
  <c r="F101" i="84"/>
  <c r="F100" i="84"/>
  <c r="F99" i="84"/>
  <c r="F98" i="84"/>
  <c r="F97" i="84"/>
  <c r="F96" i="84"/>
  <c r="F95" i="84"/>
  <c r="F94" i="84"/>
  <c r="F93" i="84"/>
  <c r="F92" i="84"/>
  <c r="F91" i="84"/>
  <c r="F90" i="84"/>
  <c r="F89" i="84"/>
  <c r="F88" i="84"/>
  <c r="F87" i="84"/>
  <c r="F86" i="84"/>
  <c r="F85" i="84"/>
  <c r="F84" i="84"/>
  <c r="F83" i="84"/>
  <c r="F82" i="84"/>
  <c r="F81" i="84"/>
  <c r="F80" i="84"/>
  <c r="F79" i="84"/>
  <c r="F78" i="84"/>
  <c r="F77" i="84"/>
  <c r="F76" i="84"/>
  <c r="F75" i="84"/>
  <c r="F74" i="84"/>
  <c r="F73" i="84"/>
  <c r="F72" i="84"/>
  <c r="F71" i="84"/>
  <c r="F70" i="84"/>
  <c r="F69" i="84"/>
  <c r="F68" i="84"/>
  <c r="F67" i="84"/>
  <c r="F66" i="84"/>
  <c r="F65" i="84"/>
  <c r="F64" i="84"/>
  <c r="F63" i="84"/>
  <c r="F62" i="84"/>
  <c r="F61" i="84"/>
  <c r="F60" i="84"/>
  <c r="F59" i="84"/>
  <c r="F58" i="84"/>
  <c r="F57" i="84"/>
  <c r="F56" i="84"/>
  <c r="F55" i="84"/>
  <c r="F54" i="84"/>
  <c r="F53" i="84"/>
  <c r="F52"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8" i="84"/>
  <c r="F7" i="84"/>
  <c r="E76" i="47"/>
  <c r="I10" i="90"/>
  <c r="B111" i="48"/>
  <c r="C194" i="48"/>
  <c r="D194" i="48"/>
  <c r="F194" i="48"/>
  <c r="C195" i="48"/>
  <c r="D195" i="48"/>
  <c r="F195" i="48"/>
  <c r="T71" i="45"/>
  <c r="T70" i="45"/>
  <c r="T110" i="45"/>
  <c r="A7" i="99"/>
  <c r="C185" i="48"/>
  <c r="F185" i="48"/>
  <c r="F186" i="48"/>
  <c r="C171" i="48"/>
  <c r="D171" i="48"/>
  <c r="F171" i="48"/>
  <c r="C172" i="48"/>
  <c r="D172" i="48"/>
  <c r="F172" i="48"/>
  <c r="C173" i="48"/>
  <c r="D173" i="48"/>
  <c r="F173" i="48"/>
  <c r="C174" i="48"/>
  <c r="D174" i="48"/>
  <c r="F174" i="48"/>
  <c r="C175" i="48"/>
  <c r="D175" i="48"/>
  <c r="F175" i="48"/>
  <c r="C176" i="48"/>
  <c r="D176" i="48"/>
  <c r="F176" i="48"/>
  <c r="C177" i="48"/>
  <c r="D177" i="48"/>
  <c r="F177" i="48"/>
  <c r="C178" i="48"/>
  <c r="D178" i="48"/>
  <c r="F178" i="48"/>
  <c r="C179" i="48"/>
  <c r="D179" i="48"/>
  <c r="F179" i="48"/>
  <c r="C180" i="48"/>
  <c r="D180" i="48"/>
  <c r="F180" i="48"/>
  <c r="C182" i="48"/>
  <c r="F182" i="48"/>
  <c r="C183" i="48"/>
  <c r="F183" i="48"/>
  <c r="C184" i="48"/>
  <c r="F184" i="48"/>
  <c r="C167" i="48"/>
  <c r="D167" i="48"/>
  <c r="F167" i="48"/>
  <c r="C168" i="48"/>
  <c r="D168" i="48"/>
  <c r="F168" i="48"/>
  <c r="C169" i="48"/>
  <c r="D169" i="48"/>
  <c r="F169" i="48"/>
  <c r="C170" i="48"/>
  <c r="D170" i="48"/>
  <c r="F170" i="48"/>
  <c r="C163" i="48"/>
  <c r="D163" i="48"/>
  <c r="F163" i="48"/>
  <c r="C164" i="48"/>
  <c r="D164" i="48"/>
  <c r="F164" i="48"/>
  <c r="C165" i="48"/>
  <c r="D165" i="48"/>
  <c r="F165" i="48"/>
  <c r="D183" i="48"/>
  <c r="D184" i="48"/>
  <c r="D185" i="48"/>
  <c r="D186" i="48"/>
  <c r="D182" i="48"/>
  <c r="C162" i="48"/>
  <c r="F162" i="48"/>
  <c r="D162" i="48"/>
  <c r="D161" i="48"/>
  <c r="B16" i="48"/>
  <c r="BR840" i="88"/>
  <c r="C214" i="45"/>
  <c r="C215" i="45" s="1"/>
  <c r="C216" i="45" s="1"/>
  <c r="C217" i="45" s="1"/>
  <c r="C218" i="45" s="1"/>
  <c r="C219" i="45" s="1"/>
  <c r="C220" i="45" s="1"/>
  <c r="C221" i="45" s="1"/>
  <c r="C222" i="45" s="1"/>
  <c r="C223" i="45" s="1"/>
  <c r="C224" i="45" s="1"/>
  <c r="C225" i="45" s="1"/>
  <c r="C226" i="45" s="1"/>
  <c r="C227" i="45" s="1"/>
  <c r="C228" i="45" s="1"/>
  <c r="C229" i="45" s="1"/>
  <c r="C230" i="45" s="1"/>
  <c r="C231" i="45" s="1"/>
  <c r="C232" i="45" s="1"/>
  <c r="C233" i="45" s="1"/>
  <c r="C234" i="45" s="1"/>
  <c r="C235" i="45" s="1"/>
  <c r="C236" i="45" s="1"/>
  <c r="C237" i="45" s="1"/>
  <c r="C238" i="45" s="1"/>
  <c r="C239" i="45" s="1"/>
  <c r="C240" i="45" s="1"/>
  <c r="C241" i="45" s="1"/>
  <c r="C242" i="45" s="1"/>
  <c r="BN827" i="88"/>
  <c r="K7" i="84" s="1"/>
  <c r="BN828" i="88"/>
  <c r="K8" i="84" s="1"/>
  <c r="BN829" i="88"/>
  <c r="K9" i="84" s="1"/>
  <c r="BN830" i="88"/>
  <c r="K10" i="84" s="1"/>
  <c r="BN831" i="88"/>
  <c r="K11" i="84" s="1"/>
  <c r="BN832" i="88"/>
  <c r="K12" i="84" s="1"/>
  <c r="BN833" i="88"/>
  <c r="K13" i="84" s="1"/>
  <c r="BN834" i="88"/>
  <c r="K14" i="84" s="1"/>
  <c r="BN835" i="88"/>
  <c r="K15" i="84" s="1"/>
  <c r="BN836" i="88"/>
  <c r="K16" i="84" s="1"/>
  <c r="BN837" i="88"/>
  <c r="K17" i="84" s="1"/>
  <c r="BN838" i="88"/>
  <c r="K18" i="84" s="1"/>
  <c r="BN839" i="88"/>
  <c r="K19" i="84" s="1"/>
  <c r="BN840" i="88"/>
  <c r="K20" i="84" s="1"/>
  <c r="BN841" i="88"/>
  <c r="K21" i="84" s="1"/>
  <c r="BN842" i="88"/>
  <c r="K22" i="84" s="1"/>
  <c r="BN843" i="88"/>
  <c r="K23" i="84" s="1"/>
  <c r="BN844" i="88"/>
  <c r="K24" i="84" s="1"/>
  <c r="BN845" i="88"/>
  <c r="K25" i="84" s="1"/>
  <c r="BN846" i="88"/>
  <c r="K26" i="84" s="1"/>
  <c r="BN847" i="88"/>
  <c r="K27" i="84" s="1"/>
  <c r="BN848" i="88"/>
  <c r="K28" i="84" s="1"/>
  <c r="BN849" i="88"/>
  <c r="K29" i="84" s="1"/>
  <c r="BN850" i="88"/>
  <c r="K30" i="84" s="1"/>
  <c r="BN851" i="88"/>
  <c r="K31" i="84" s="1"/>
  <c r="BN852" i="88"/>
  <c r="K32" i="84" s="1"/>
  <c r="BN853" i="88"/>
  <c r="K33" i="84" s="1"/>
  <c r="BN854" i="88"/>
  <c r="K34" i="84" s="1"/>
  <c r="BN855" i="88"/>
  <c r="K35" i="84" s="1"/>
  <c r="BN856" i="88"/>
  <c r="K36" i="84" s="1"/>
  <c r="BN857" i="88"/>
  <c r="K37" i="84" s="1"/>
  <c r="BN858" i="88"/>
  <c r="K38" i="84" s="1"/>
  <c r="BN859" i="88"/>
  <c r="K39" i="84" s="1"/>
  <c r="BN860" i="88"/>
  <c r="K40" i="84" s="1"/>
  <c r="BN861" i="88"/>
  <c r="K41" i="84" s="1"/>
  <c r="BN862" i="88"/>
  <c r="K42" i="84" s="1"/>
  <c r="BN863" i="88"/>
  <c r="K43" i="84" s="1"/>
  <c r="BN864" i="88"/>
  <c r="K44" i="84" s="1"/>
  <c r="BN865" i="88"/>
  <c r="K45" i="84" s="1"/>
  <c r="BN866" i="88"/>
  <c r="K46" i="84" s="1"/>
  <c r="BN867" i="88"/>
  <c r="K47" i="84" s="1"/>
  <c r="BN868" i="88"/>
  <c r="K48" i="84" s="1"/>
  <c r="BN869" i="88"/>
  <c r="K49" i="84" s="1"/>
  <c r="BN870" i="88"/>
  <c r="K50" i="84" s="1"/>
  <c r="BN871" i="88"/>
  <c r="K51" i="84" s="1"/>
  <c r="BN872" i="88"/>
  <c r="K52" i="84" s="1"/>
  <c r="BN873" i="88"/>
  <c r="K53" i="84" s="1"/>
  <c r="BN874" i="88"/>
  <c r="K54" i="84" s="1"/>
  <c r="BN875" i="88"/>
  <c r="K55" i="84" s="1"/>
  <c r="BN876" i="88"/>
  <c r="K56" i="84" s="1"/>
  <c r="BN877" i="88"/>
  <c r="K57" i="84" s="1"/>
  <c r="BN878" i="88"/>
  <c r="K58" i="84" s="1"/>
  <c r="BN879" i="88"/>
  <c r="K59" i="84" s="1"/>
  <c r="BN880" i="88"/>
  <c r="K60" i="84" s="1"/>
  <c r="BN881" i="88"/>
  <c r="K61" i="84" s="1"/>
  <c r="BN882" i="88"/>
  <c r="K62" i="84" s="1"/>
  <c r="BN883" i="88"/>
  <c r="K63" i="84" s="1"/>
  <c r="BN884" i="88"/>
  <c r="K64" i="84" s="1"/>
  <c r="BN885" i="88"/>
  <c r="K65" i="84" s="1"/>
  <c r="BN886" i="88"/>
  <c r="K66" i="84" s="1"/>
  <c r="BN887" i="88"/>
  <c r="K67" i="84" s="1"/>
  <c r="BN888" i="88"/>
  <c r="K68" i="84" s="1"/>
  <c r="BN889" i="88"/>
  <c r="K69" i="84" s="1"/>
  <c r="BN890" i="88"/>
  <c r="K70" i="84" s="1"/>
  <c r="BN891" i="88"/>
  <c r="K71" i="84" s="1"/>
  <c r="BN892" i="88"/>
  <c r="K72" i="84" s="1"/>
  <c r="BN893" i="88"/>
  <c r="K73" i="84" s="1"/>
  <c r="BN894" i="88"/>
  <c r="K74" i="84" s="1"/>
  <c r="BN895" i="88"/>
  <c r="K75" i="84" s="1"/>
  <c r="BN896" i="88"/>
  <c r="K76" i="84" s="1"/>
  <c r="BN897" i="88"/>
  <c r="K77" i="84" s="1"/>
  <c r="BN898" i="88"/>
  <c r="K78" i="84" s="1"/>
  <c r="BN899" i="88"/>
  <c r="K79" i="84" s="1"/>
  <c r="BN900" i="88"/>
  <c r="K80" i="84" s="1"/>
  <c r="BN901" i="88"/>
  <c r="K81" i="84" s="1"/>
  <c r="BN902" i="88"/>
  <c r="K82" i="84" s="1"/>
  <c r="BN903" i="88"/>
  <c r="K83" i="84" s="1"/>
  <c r="BN904" i="88"/>
  <c r="K84" i="84" s="1"/>
  <c r="BN905" i="88"/>
  <c r="K85" i="84" s="1"/>
  <c r="BN906" i="88"/>
  <c r="K86" i="84" s="1"/>
  <c r="BN907" i="88"/>
  <c r="K87" i="84" s="1"/>
  <c r="BN908" i="88"/>
  <c r="K88" i="84" s="1"/>
  <c r="BN909" i="88"/>
  <c r="K89" i="84" s="1"/>
  <c r="BN910" i="88"/>
  <c r="K90" i="84" s="1"/>
  <c r="BN911" i="88"/>
  <c r="K91" i="84" s="1"/>
  <c r="BN912" i="88"/>
  <c r="K92" i="84" s="1"/>
  <c r="BN913" i="88"/>
  <c r="K93" i="84" s="1"/>
  <c r="BN914" i="88"/>
  <c r="K94" i="84" s="1"/>
  <c r="BN915" i="88"/>
  <c r="K95" i="84" s="1"/>
  <c r="BN916" i="88"/>
  <c r="K96" i="84" s="1"/>
  <c r="BN917" i="88"/>
  <c r="K97" i="84" s="1"/>
  <c r="BN918" i="88"/>
  <c r="K98" i="84" s="1"/>
  <c r="BN919" i="88"/>
  <c r="K99" i="84" s="1"/>
  <c r="BN920" i="88"/>
  <c r="K100" i="84" s="1"/>
  <c r="BN921" i="88"/>
  <c r="K101" i="84" s="1"/>
  <c r="BN922" i="88"/>
  <c r="K102" i="84" s="1"/>
  <c r="BN923" i="88"/>
  <c r="K103" i="84" s="1"/>
  <c r="BN924" i="88"/>
  <c r="K104" i="84" s="1"/>
  <c r="BN925" i="88"/>
  <c r="K105" i="84" s="1"/>
  <c r="BN926" i="88"/>
  <c r="K106" i="84" s="1"/>
  <c r="BN927" i="88"/>
  <c r="K107" i="84" s="1"/>
  <c r="BN928" i="88"/>
  <c r="K108" i="84" s="1"/>
  <c r="BN929" i="88"/>
  <c r="K109" i="84" s="1"/>
  <c r="BN930" i="88"/>
  <c r="K110" i="84" s="1"/>
  <c r="BN931" i="88"/>
  <c r="K111" i="84" s="1"/>
  <c r="BN932" i="88"/>
  <c r="K112" i="84" s="1"/>
  <c r="BN933" i="88"/>
  <c r="K113" i="84" s="1"/>
  <c r="BN934" i="88"/>
  <c r="K114" i="84" s="1"/>
  <c r="BN935" i="88"/>
  <c r="K115" i="84" s="1"/>
  <c r="BN936" i="88"/>
  <c r="K116" i="84" s="1"/>
  <c r="BN937" i="88"/>
  <c r="K117" i="84" s="1"/>
  <c r="BN938" i="88"/>
  <c r="K118" i="84" s="1"/>
  <c r="BN939" i="88"/>
  <c r="K119" i="84" s="1"/>
  <c r="BN940" i="88"/>
  <c r="K120" i="84" s="1"/>
  <c r="BN941" i="88"/>
  <c r="K121" i="84" s="1"/>
  <c r="BN942" i="88"/>
  <c r="K122" i="84" s="1"/>
  <c r="BN943" i="88"/>
  <c r="K123" i="84" s="1"/>
  <c r="BN944" i="88"/>
  <c r="K124" i="84" s="1"/>
  <c r="BN945" i="88"/>
  <c r="K125" i="84" s="1"/>
  <c r="BN946" i="88"/>
  <c r="K126" i="84" s="1"/>
  <c r="BN947" i="88"/>
  <c r="K127" i="84" s="1"/>
  <c r="BN948" i="88"/>
  <c r="K128" i="84" s="1"/>
  <c r="BN949" i="88"/>
  <c r="K129" i="84" s="1"/>
  <c r="BN950" i="88"/>
  <c r="K130" i="84" s="1"/>
  <c r="BN951" i="88"/>
  <c r="K131" i="84" s="1"/>
  <c r="BN952" i="88"/>
  <c r="K132" i="84" s="1"/>
  <c r="BN953" i="88"/>
  <c r="K133" i="84" s="1"/>
  <c r="BN954" i="88"/>
  <c r="K134" i="84" s="1"/>
  <c r="BN955" i="88"/>
  <c r="K135" i="84" s="1"/>
  <c r="BN956" i="88"/>
  <c r="K136" i="84" s="1"/>
  <c r="BN957" i="88"/>
  <c r="K137" i="84" s="1"/>
  <c r="BN958" i="88"/>
  <c r="K138" i="84" s="1"/>
  <c r="BN959" i="88"/>
  <c r="K139" i="84" s="1"/>
  <c r="BN960" i="88"/>
  <c r="K140" i="84" s="1"/>
  <c r="BN961" i="88"/>
  <c r="K141" i="84" s="1"/>
  <c r="BN962" i="88"/>
  <c r="K142" i="84" s="1"/>
  <c r="BN963" i="88"/>
  <c r="K143" i="84" s="1"/>
  <c r="BN964" i="88"/>
  <c r="K144" i="84" s="1"/>
  <c r="BN965" i="88"/>
  <c r="K145" i="84" s="1"/>
  <c r="BN966" i="88"/>
  <c r="K146" i="84" s="1"/>
  <c r="BN967" i="88"/>
  <c r="K147" i="84" s="1"/>
  <c r="BN968" i="88"/>
  <c r="K148" i="84" s="1"/>
  <c r="BN969" i="88"/>
  <c r="K149" i="84" s="1"/>
  <c r="BN970" i="88"/>
  <c r="K150" i="84" s="1"/>
  <c r="BN971" i="88"/>
  <c r="K151" i="84" s="1"/>
  <c r="BN972" i="88"/>
  <c r="K152" i="84" s="1"/>
  <c r="BN973" i="88"/>
  <c r="K153" i="84" s="1"/>
  <c r="BN974" i="88"/>
  <c r="K154" i="84" s="1"/>
  <c r="BN975" i="88"/>
  <c r="K155" i="84" s="1"/>
  <c r="BN976" i="88"/>
  <c r="K156" i="84" s="1"/>
  <c r="BN977" i="88"/>
  <c r="K157" i="84" s="1"/>
  <c r="BN978" i="88"/>
  <c r="K158" i="84" s="1"/>
  <c r="BN979" i="88"/>
  <c r="K159" i="84" s="1"/>
  <c r="BN980" i="88"/>
  <c r="K160" i="84" s="1"/>
  <c r="BN981" i="88"/>
  <c r="K161" i="84" s="1"/>
  <c r="BN982" i="88"/>
  <c r="K162" i="84" s="1"/>
  <c r="BN983" i="88"/>
  <c r="K163" i="84" s="1"/>
  <c r="BN984" i="88"/>
  <c r="K164" i="84" s="1"/>
  <c r="BN985" i="88"/>
  <c r="K165" i="84" s="1"/>
  <c r="BN986" i="88"/>
  <c r="K166" i="84" s="1"/>
  <c r="BN987" i="88"/>
  <c r="K167" i="84" s="1"/>
  <c r="BN988" i="88"/>
  <c r="K168" i="84" s="1"/>
  <c r="BN989" i="88"/>
  <c r="K169" i="84" s="1"/>
  <c r="BN990" i="88"/>
  <c r="K170" i="84" s="1"/>
  <c r="BN991" i="88"/>
  <c r="K171" i="84" s="1"/>
  <c r="BN992" i="88"/>
  <c r="K172" i="84" s="1"/>
  <c r="BN993" i="88"/>
  <c r="K173" i="84" s="1"/>
  <c r="BN994" i="88"/>
  <c r="K174" i="84" s="1"/>
  <c r="BN995" i="88"/>
  <c r="K175" i="84" s="1"/>
  <c r="BN996" i="88"/>
  <c r="K176" i="84" s="1"/>
  <c r="BN997" i="88"/>
  <c r="K177" i="84" s="1"/>
  <c r="BN998" i="88"/>
  <c r="K178" i="84" s="1"/>
  <c r="BN999" i="88"/>
  <c r="K179" i="84" s="1"/>
  <c r="BN1000" i="88"/>
  <c r="K180" i="84" s="1"/>
  <c r="BN1001" i="88"/>
  <c r="K181" i="84" s="1"/>
  <c r="BN1002" i="88"/>
  <c r="K182" i="84" s="1"/>
  <c r="BN1003" i="88"/>
  <c r="K183" i="84" s="1"/>
  <c r="BN1004" i="88"/>
  <c r="K184" i="84" s="1"/>
  <c r="BN1005" i="88"/>
  <c r="K185" i="84" s="1"/>
  <c r="BN1006" i="88"/>
  <c r="K186" i="84" s="1"/>
  <c r="BN1007" i="88"/>
  <c r="K187" i="84" s="1"/>
  <c r="BN1008" i="88"/>
  <c r="K188" i="84" s="1"/>
  <c r="BN1009" i="88"/>
  <c r="K189" i="84" s="1"/>
  <c r="BN1010" i="88"/>
  <c r="K190" i="84" s="1"/>
  <c r="BN1011" i="88"/>
  <c r="K191" i="84" s="1"/>
  <c r="BN1012" i="88"/>
  <c r="K192" i="84" s="1"/>
  <c r="BN1013" i="88"/>
  <c r="K193" i="84" s="1"/>
  <c r="BN1014" i="88"/>
  <c r="K194" i="84" s="1"/>
  <c r="BN1015" i="88"/>
  <c r="K195" i="84" s="1"/>
  <c r="BN1016" i="88"/>
  <c r="K196" i="84" s="1"/>
  <c r="BN1017" i="88"/>
  <c r="K197" i="84" s="1"/>
  <c r="BN1018" i="88"/>
  <c r="K198" i="84" s="1"/>
  <c r="BN1019" i="88"/>
  <c r="K199" i="84" s="1"/>
  <c r="BN1020" i="88"/>
  <c r="K200" i="84" s="1"/>
  <c r="BN1021" i="88"/>
  <c r="K201" i="84" s="1"/>
  <c r="BN1022" i="88"/>
  <c r="K202" i="84" s="1"/>
  <c r="BN1023" i="88"/>
  <c r="K203" i="84" s="1"/>
  <c r="BN1024" i="88"/>
  <c r="K204" i="84" s="1"/>
  <c r="BN1025" i="88"/>
  <c r="K205" i="84" s="1"/>
  <c r="BN1026" i="88"/>
  <c r="K206" i="84" s="1"/>
  <c r="BN1027" i="88"/>
  <c r="K207" i="84" s="1"/>
  <c r="BN1028" i="88"/>
  <c r="K208" i="84" s="1"/>
  <c r="BN1029" i="88"/>
  <c r="K209" i="84" s="1"/>
  <c r="BN1030" i="88"/>
  <c r="K210" i="84" s="1"/>
  <c r="BN1031" i="88"/>
  <c r="K211" i="84" s="1"/>
  <c r="BN1032" i="88"/>
  <c r="K212" i="84" s="1"/>
  <c r="BN1033" i="88"/>
  <c r="K213" i="84" s="1"/>
  <c r="BN1034" i="88"/>
  <c r="K214" i="84" s="1"/>
  <c r="BN1035" i="88"/>
  <c r="K215" i="84" s="1"/>
  <c r="BN1036" i="88"/>
  <c r="K216" i="84" s="1"/>
  <c r="BN1037" i="88"/>
  <c r="K217" i="84" s="1"/>
  <c r="BN1038" i="88"/>
  <c r="K218" i="84" s="1"/>
  <c r="BN1039" i="88"/>
  <c r="K219" i="84" s="1"/>
  <c r="BN1040" i="88"/>
  <c r="K220" i="84" s="1"/>
  <c r="BN1041" i="88"/>
  <c r="K221" i="84" s="1"/>
  <c r="BN1042" i="88"/>
  <c r="K222" i="84" s="1"/>
  <c r="BN1043" i="88"/>
  <c r="K223" i="84" s="1"/>
  <c r="BN1044" i="88"/>
  <c r="K224" i="84" s="1"/>
  <c r="BN1045" i="88"/>
  <c r="K225" i="84" s="1"/>
  <c r="BN1046" i="88"/>
  <c r="K226" i="84" s="1"/>
  <c r="BN1047" i="88"/>
  <c r="K227" i="84" s="1"/>
  <c r="BN1048" i="88"/>
  <c r="K228" i="84" s="1"/>
  <c r="BN1049" i="88"/>
  <c r="K229" i="84" s="1"/>
  <c r="BN1050" i="88"/>
  <c r="K230" i="84" s="1"/>
  <c r="BN1051" i="88"/>
  <c r="K231" i="84" s="1"/>
  <c r="BN1052" i="88"/>
  <c r="K232" i="84" s="1"/>
  <c r="BN1053" i="88"/>
  <c r="K233" i="84" s="1"/>
  <c r="BN1054" i="88"/>
  <c r="K234" i="84" s="1"/>
  <c r="BN1055" i="88"/>
  <c r="K235" i="84" s="1"/>
  <c r="BN1056" i="88"/>
  <c r="K236" i="84" s="1"/>
  <c r="BN1057" i="88"/>
  <c r="K237" i="84" s="1"/>
  <c r="BN1058" i="88"/>
  <c r="K238" i="84" s="1"/>
  <c r="BN1059" i="88"/>
  <c r="K239" i="84" s="1"/>
  <c r="BN1060" i="88"/>
  <c r="K240" i="84" s="1"/>
  <c r="BN1061" i="88"/>
  <c r="K241" i="84" s="1"/>
  <c r="BN1062" i="88"/>
  <c r="K242" i="84" s="1"/>
  <c r="BN1063" i="88"/>
  <c r="K243" i="84" s="1"/>
  <c r="BN1064" i="88"/>
  <c r="K244" i="84" s="1"/>
  <c r="BN1065" i="88"/>
  <c r="K245" i="84" s="1"/>
  <c r="BN1066" i="88"/>
  <c r="K246" i="84" s="1"/>
  <c r="BN1067" i="88"/>
  <c r="K247" i="84" s="1"/>
  <c r="BN1068" i="88"/>
  <c r="K248" i="84" s="1"/>
  <c r="BN1069" i="88"/>
  <c r="K249" i="84" s="1"/>
  <c r="BN1070" i="88"/>
  <c r="K250" i="84" s="1"/>
  <c r="BN1071" i="88"/>
  <c r="K251" i="84" s="1"/>
  <c r="BN1072" i="88"/>
  <c r="K252" i="84" s="1"/>
  <c r="BN1073" i="88"/>
  <c r="K253" i="84" s="1"/>
  <c r="BN1074" i="88"/>
  <c r="K254" i="84" s="1"/>
  <c r="BN1075" i="88"/>
  <c r="K255" i="84" s="1"/>
  <c r="BN1076" i="88"/>
  <c r="K256" i="84" s="1"/>
  <c r="BN1077" i="88"/>
  <c r="K257" i="84" s="1"/>
  <c r="BN1078" i="88"/>
  <c r="K258" i="84" s="1"/>
  <c r="BN1079" i="88"/>
  <c r="K259" i="84" s="1"/>
  <c r="BN1080" i="88"/>
  <c r="K260" i="84" s="1"/>
  <c r="BN1081" i="88"/>
  <c r="K261" i="84" s="1"/>
  <c r="BN1082" i="88"/>
  <c r="K262" i="84" s="1"/>
  <c r="BN1083" i="88"/>
  <c r="K263" i="84" s="1"/>
  <c r="BN1084" i="88"/>
  <c r="K264" i="84" s="1"/>
  <c r="BN1085" i="88"/>
  <c r="K265" i="84" s="1"/>
  <c r="BN1086" i="88"/>
  <c r="K266" i="84" s="1"/>
  <c r="BN1087" i="88"/>
  <c r="K267" i="84" s="1"/>
  <c r="BN1088" i="88"/>
  <c r="K268" i="84" s="1"/>
  <c r="BN1089" i="88"/>
  <c r="K269" i="84" s="1"/>
  <c r="BN1090" i="88"/>
  <c r="K270" i="84" s="1"/>
  <c r="BN556" i="88"/>
  <c r="BN557" i="88"/>
  <c r="BN558" i="88"/>
  <c r="BN559" i="88"/>
  <c r="BN560" i="88"/>
  <c r="BN561" i="88"/>
  <c r="BN562" i="88"/>
  <c r="BN563" i="88"/>
  <c r="BN564" i="88"/>
  <c r="BN565" i="88"/>
  <c r="BN566" i="88"/>
  <c r="BN567" i="88"/>
  <c r="BN568" i="88"/>
  <c r="BN569" i="88"/>
  <c r="BN570" i="88"/>
  <c r="BN571" i="88"/>
  <c r="BN572" i="88"/>
  <c r="BN573" i="88"/>
  <c r="BN574" i="88"/>
  <c r="BN575" i="88"/>
  <c r="BN576" i="88"/>
  <c r="BN577" i="88"/>
  <c r="BN578" i="88"/>
  <c r="BN579" i="88"/>
  <c r="BN580" i="88"/>
  <c r="BN581" i="88"/>
  <c r="BN582" i="88"/>
  <c r="BN583" i="88"/>
  <c r="BN584" i="88"/>
  <c r="BN585" i="88"/>
  <c r="BN586" i="88"/>
  <c r="BN587" i="88"/>
  <c r="BN588" i="88"/>
  <c r="BN589" i="88"/>
  <c r="BN590" i="88"/>
  <c r="BN591" i="88"/>
  <c r="BN592" i="88"/>
  <c r="BN593" i="88"/>
  <c r="BN594" i="88"/>
  <c r="BN595" i="88"/>
  <c r="BN596" i="88"/>
  <c r="BN597" i="88"/>
  <c r="BN598" i="88"/>
  <c r="BN599" i="88"/>
  <c r="BN600" i="88"/>
  <c r="BN601" i="88"/>
  <c r="BN602" i="88"/>
  <c r="BN603" i="88"/>
  <c r="BN604" i="88"/>
  <c r="BN605" i="88"/>
  <c r="BN606" i="88"/>
  <c r="BN607" i="88"/>
  <c r="BN608" i="88"/>
  <c r="BN609" i="88"/>
  <c r="BN610" i="88"/>
  <c r="BN611" i="88"/>
  <c r="BN612" i="88"/>
  <c r="BN613" i="88"/>
  <c r="BN614" i="88"/>
  <c r="BN615" i="88"/>
  <c r="BN616" i="88"/>
  <c r="BN617" i="88"/>
  <c r="BN618" i="88"/>
  <c r="BN619" i="88"/>
  <c r="BN620" i="88"/>
  <c r="BN621" i="88"/>
  <c r="BN622" i="88"/>
  <c r="BN623" i="88"/>
  <c r="BN624" i="88"/>
  <c r="BN625" i="88"/>
  <c r="BN626" i="88"/>
  <c r="BN627" i="88"/>
  <c r="BN628" i="88"/>
  <c r="BN629" i="88"/>
  <c r="BN630" i="88"/>
  <c r="BN631" i="88"/>
  <c r="BN632" i="88"/>
  <c r="BN633" i="88"/>
  <c r="BN634" i="88"/>
  <c r="BN635" i="88"/>
  <c r="BN636" i="88"/>
  <c r="BN637" i="88"/>
  <c r="BN638" i="88"/>
  <c r="BN639" i="88"/>
  <c r="BN640" i="88"/>
  <c r="BN641" i="88"/>
  <c r="BN642" i="88"/>
  <c r="BN643" i="88"/>
  <c r="BN644" i="88"/>
  <c r="BN645" i="88"/>
  <c r="BN646" i="88"/>
  <c r="BN647" i="88"/>
  <c r="BN648" i="88"/>
  <c r="BN649" i="88"/>
  <c r="BN650" i="88"/>
  <c r="BN651" i="88"/>
  <c r="BN652" i="88"/>
  <c r="BN653" i="88"/>
  <c r="BN654" i="88"/>
  <c r="BN655" i="88"/>
  <c r="BN656" i="88"/>
  <c r="BN657" i="88"/>
  <c r="BN658" i="88"/>
  <c r="BN659" i="88"/>
  <c r="BN660" i="88"/>
  <c r="BN661" i="88"/>
  <c r="BN662" i="88"/>
  <c r="BN663" i="88"/>
  <c r="BN664" i="88"/>
  <c r="BN665" i="88"/>
  <c r="BN666" i="88"/>
  <c r="BN667" i="88"/>
  <c r="BN668" i="88"/>
  <c r="BN669" i="88"/>
  <c r="BN670" i="88"/>
  <c r="BN671" i="88"/>
  <c r="BN672" i="88"/>
  <c r="BN673" i="88"/>
  <c r="BN674" i="88"/>
  <c r="BN675" i="88"/>
  <c r="BN676" i="88"/>
  <c r="BN677" i="88"/>
  <c r="BN678" i="88"/>
  <c r="BN679" i="88"/>
  <c r="BN680" i="88"/>
  <c r="BN681" i="88"/>
  <c r="BN682" i="88"/>
  <c r="BN683" i="88"/>
  <c r="BN684" i="88"/>
  <c r="BN685" i="88"/>
  <c r="BN686" i="88"/>
  <c r="BN687" i="88"/>
  <c r="BN688" i="88"/>
  <c r="BN689" i="88"/>
  <c r="BN690" i="88"/>
  <c r="BN691" i="88"/>
  <c r="BN692" i="88"/>
  <c r="BN693" i="88"/>
  <c r="BN694" i="88"/>
  <c r="BN695" i="88"/>
  <c r="BN696" i="88"/>
  <c r="BN697" i="88"/>
  <c r="BN698" i="88"/>
  <c r="BN699" i="88"/>
  <c r="BN700" i="88"/>
  <c r="BN701" i="88"/>
  <c r="BN702" i="88"/>
  <c r="BN703" i="88"/>
  <c r="BN704" i="88"/>
  <c r="BN705" i="88"/>
  <c r="BN706" i="88"/>
  <c r="BN707" i="88"/>
  <c r="BN708" i="88"/>
  <c r="BN709" i="88"/>
  <c r="BN710" i="88"/>
  <c r="BN711" i="88"/>
  <c r="BN712" i="88"/>
  <c r="BN713" i="88"/>
  <c r="BN714" i="88"/>
  <c r="BN715" i="88"/>
  <c r="BN716" i="88"/>
  <c r="BN717" i="88"/>
  <c r="BN718" i="88"/>
  <c r="BN719" i="88"/>
  <c r="BN720" i="88"/>
  <c r="BN721" i="88"/>
  <c r="BN722" i="88"/>
  <c r="BN723" i="88"/>
  <c r="BN724" i="88"/>
  <c r="BN725" i="88"/>
  <c r="BN726" i="88"/>
  <c r="BN727" i="88"/>
  <c r="BN728" i="88"/>
  <c r="BN729" i="88"/>
  <c r="BN730" i="88"/>
  <c r="BN731" i="88"/>
  <c r="BN732" i="88"/>
  <c r="BN733" i="88"/>
  <c r="BN734" i="88"/>
  <c r="BN735" i="88"/>
  <c r="BN736" i="88"/>
  <c r="BN737" i="88"/>
  <c r="BN738" i="88"/>
  <c r="BN739" i="88"/>
  <c r="BN740" i="88"/>
  <c r="BN741" i="88"/>
  <c r="BN742" i="88"/>
  <c r="BN743" i="88"/>
  <c r="BN744" i="88"/>
  <c r="BN745" i="88"/>
  <c r="BN746" i="88"/>
  <c r="BN747" i="88"/>
  <c r="BN748" i="88"/>
  <c r="BN749" i="88"/>
  <c r="BN750" i="88"/>
  <c r="BN751" i="88"/>
  <c r="BN752" i="88"/>
  <c r="BN753" i="88"/>
  <c r="BN754" i="88"/>
  <c r="BN755" i="88"/>
  <c r="BN756" i="88"/>
  <c r="BN757" i="88"/>
  <c r="BN758" i="88"/>
  <c r="BN759" i="88"/>
  <c r="BN760" i="88"/>
  <c r="BN761" i="88"/>
  <c r="BN762" i="88"/>
  <c r="BN763" i="88"/>
  <c r="BN764" i="88"/>
  <c r="BN765" i="88"/>
  <c r="BN766" i="88"/>
  <c r="BN767" i="88"/>
  <c r="BN768" i="88"/>
  <c r="BN769" i="88"/>
  <c r="BN770" i="88"/>
  <c r="BN771" i="88"/>
  <c r="BN772" i="88"/>
  <c r="BN773" i="88"/>
  <c r="BN774" i="88"/>
  <c r="BN775" i="88"/>
  <c r="BN776" i="88"/>
  <c r="BN777" i="88"/>
  <c r="BN778" i="88"/>
  <c r="BN779" i="88"/>
  <c r="BN780" i="88"/>
  <c r="BN781" i="88"/>
  <c r="BN782" i="88"/>
  <c r="BN783" i="88"/>
  <c r="BN784" i="88"/>
  <c r="BN785" i="88"/>
  <c r="BN786" i="88"/>
  <c r="BN787" i="88"/>
  <c r="BN788" i="88"/>
  <c r="BN789" i="88"/>
  <c r="BN790" i="88"/>
  <c r="BN791" i="88"/>
  <c r="BN792" i="88"/>
  <c r="BN793" i="88"/>
  <c r="BN794" i="88"/>
  <c r="BN795" i="88"/>
  <c r="BN796" i="88"/>
  <c r="BN797" i="88"/>
  <c r="BN798" i="88"/>
  <c r="BN799" i="88"/>
  <c r="BN800" i="88"/>
  <c r="BN801" i="88"/>
  <c r="BN802" i="88"/>
  <c r="BN803" i="88"/>
  <c r="BN804" i="88"/>
  <c r="BN805" i="88"/>
  <c r="BN806" i="88"/>
  <c r="BN807" i="88"/>
  <c r="BN808" i="88"/>
  <c r="BN809" i="88"/>
  <c r="BN810" i="88"/>
  <c r="BN811" i="88"/>
  <c r="BN812" i="88"/>
  <c r="BN813" i="88"/>
  <c r="BN814" i="88"/>
  <c r="BN815" i="88"/>
  <c r="BN816" i="88"/>
  <c r="BN817" i="88"/>
  <c r="BN818" i="88"/>
  <c r="BN819" i="88"/>
  <c r="BN285" i="88"/>
  <c r="BN286" i="88"/>
  <c r="BN287" i="88"/>
  <c r="BN288" i="88"/>
  <c r="BN289" i="88"/>
  <c r="BN290" i="88"/>
  <c r="BN291" i="88"/>
  <c r="BN292" i="88"/>
  <c r="BN293" i="88"/>
  <c r="BN294" i="88"/>
  <c r="BN295" i="88"/>
  <c r="BN296" i="88"/>
  <c r="BN297" i="88"/>
  <c r="BN298" i="88"/>
  <c r="BN299" i="88"/>
  <c r="BN300" i="88"/>
  <c r="BN301" i="88"/>
  <c r="BN302" i="88"/>
  <c r="BN303" i="88"/>
  <c r="BN304" i="88"/>
  <c r="BN305" i="88"/>
  <c r="BN306" i="88"/>
  <c r="BN307" i="88"/>
  <c r="BN308" i="88"/>
  <c r="BN309" i="88"/>
  <c r="BN310" i="88"/>
  <c r="BN311" i="88"/>
  <c r="BN312" i="88"/>
  <c r="BN313" i="88"/>
  <c r="BN314" i="88"/>
  <c r="BN315" i="88"/>
  <c r="BN316" i="88"/>
  <c r="BN317" i="88"/>
  <c r="BN318" i="88"/>
  <c r="BN319" i="88"/>
  <c r="BN320" i="88"/>
  <c r="BN321" i="88"/>
  <c r="BN322" i="88"/>
  <c r="BN323" i="88"/>
  <c r="BN324" i="88"/>
  <c r="BN325" i="88"/>
  <c r="BN326" i="88"/>
  <c r="BN327" i="88"/>
  <c r="BN328" i="88"/>
  <c r="BN329" i="88"/>
  <c r="BN330" i="88"/>
  <c r="BN331" i="88"/>
  <c r="BN332" i="88"/>
  <c r="BN333" i="88"/>
  <c r="BN334" i="88"/>
  <c r="BN335" i="88"/>
  <c r="BN336" i="88"/>
  <c r="BN337" i="88"/>
  <c r="BN338" i="88"/>
  <c r="BN339" i="88"/>
  <c r="BN340" i="88"/>
  <c r="BN341" i="88"/>
  <c r="BN342" i="88"/>
  <c r="BN343" i="88"/>
  <c r="BN344" i="88"/>
  <c r="BN345" i="88"/>
  <c r="BN346" i="88"/>
  <c r="BN347" i="88"/>
  <c r="BN348" i="88"/>
  <c r="BN349" i="88"/>
  <c r="BN350" i="88"/>
  <c r="BN351" i="88"/>
  <c r="BN352" i="88"/>
  <c r="BN353" i="88"/>
  <c r="BN354" i="88"/>
  <c r="BN355" i="88"/>
  <c r="BN356" i="88"/>
  <c r="BN357" i="88"/>
  <c r="BN358" i="88"/>
  <c r="BN359" i="88"/>
  <c r="BN360" i="88"/>
  <c r="BN361" i="88"/>
  <c r="BN362" i="88"/>
  <c r="BN363" i="88"/>
  <c r="BN364" i="88"/>
  <c r="BN365" i="88"/>
  <c r="BN366" i="88"/>
  <c r="BN367" i="88"/>
  <c r="BN368" i="88"/>
  <c r="BN369" i="88"/>
  <c r="BN370" i="88"/>
  <c r="BN371" i="88"/>
  <c r="BN372" i="88"/>
  <c r="BN373" i="88"/>
  <c r="BN374" i="88"/>
  <c r="BN375" i="88"/>
  <c r="BN376" i="88"/>
  <c r="BN377" i="88"/>
  <c r="BN378" i="88"/>
  <c r="BN379" i="88"/>
  <c r="BN380" i="88"/>
  <c r="BN381" i="88"/>
  <c r="BN382" i="88"/>
  <c r="BN383" i="88"/>
  <c r="BN384" i="88"/>
  <c r="BN385" i="88"/>
  <c r="BN386" i="88"/>
  <c r="BN387" i="88"/>
  <c r="BN388" i="88"/>
  <c r="BN389" i="88"/>
  <c r="BN390" i="88"/>
  <c r="BN391" i="88"/>
  <c r="BN392" i="88"/>
  <c r="BN393" i="88"/>
  <c r="BN394" i="88"/>
  <c r="BN395" i="88"/>
  <c r="BN396" i="88"/>
  <c r="BN397" i="88"/>
  <c r="BN398" i="88"/>
  <c r="BN399" i="88"/>
  <c r="BN400" i="88"/>
  <c r="BN401" i="88"/>
  <c r="BN402" i="88"/>
  <c r="BN403" i="88"/>
  <c r="BN404" i="88"/>
  <c r="BN405" i="88"/>
  <c r="BN406" i="88"/>
  <c r="BN407" i="88"/>
  <c r="BN408" i="88"/>
  <c r="BN409" i="88"/>
  <c r="BN410" i="88"/>
  <c r="BN411" i="88"/>
  <c r="BN412" i="88"/>
  <c r="BN413" i="88"/>
  <c r="BN414" i="88"/>
  <c r="BN415" i="88"/>
  <c r="BN416" i="88"/>
  <c r="BN417" i="88"/>
  <c r="BN418" i="88"/>
  <c r="BN419" i="88"/>
  <c r="BN420" i="88"/>
  <c r="BN421" i="88"/>
  <c r="BN422" i="88"/>
  <c r="BN423" i="88"/>
  <c r="BN424" i="88"/>
  <c r="BN425" i="88"/>
  <c r="BN426" i="88"/>
  <c r="BN427" i="88"/>
  <c r="BN428" i="88"/>
  <c r="BN429" i="88"/>
  <c r="BN430" i="88"/>
  <c r="BN431" i="88"/>
  <c r="BN432" i="88"/>
  <c r="BN433" i="88"/>
  <c r="BN434" i="88"/>
  <c r="BN435" i="88"/>
  <c r="BN436" i="88"/>
  <c r="BN437" i="88"/>
  <c r="BN438" i="88"/>
  <c r="BN439" i="88"/>
  <c r="BN440" i="88"/>
  <c r="BN441" i="88"/>
  <c r="BN442" i="88"/>
  <c r="BN443" i="88"/>
  <c r="BN444" i="88"/>
  <c r="BN445" i="88"/>
  <c r="BN446" i="88"/>
  <c r="BN447" i="88"/>
  <c r="BN448" i="88"/>
  <c r="BN449" i="88"/>
  <c r="BN450" i="88"/>
  <c r="BN451" i="88"/>
  <c r="BN452" i="88"/>
  <c r="BN453" i="88"/>
  <c r="BN454" i="88"/>
  <c r="BN455" i="88"/>
  <c r="BN456" i="88"/>
  <c r="BN457" i="88"/>
  <c r="BN458" i="88"/>
  <c r="BN459" i="88"/>
  <c r="BN460" i="88"/>
  <c r="BN461" i="88"/>
  <c r="BN462" i="88"/>
  <c r="BN463" i="88"/>
  <c r="BN464" i="88"/>
  <c r="BN465" i="88"/>
  <c r="BN466" i="88"/>
  <c r="BN467" i="88"/>
  <c r="BN468" i="88"/>
  <c r="BN469" i="88"/>
  <c r="BN470" i="88"/>
  <c r="BN471" i="88"/>
  <c r="BN472" i="88"/>
  <c r="BN473" i="88"/>
  <c r="BN474" i="88"/>
  <c r="BN475" i="88"/>
  <c r="BN476" i="88"/>
  <c r="BN477" i="88"/>
  <c r="BN478" i="88"/>
  <c r="BN479" i="88"/>
  <c r="BN480" i="88"/>
  <c r="BN481" i="88"/>
  <c r="BN482" i="88"/>
  <c r="BN483" i="88"/>
  <c r="BN484" i="88"/>
  <c r="BN485" i="88"/>
  <c r="BN486" i="88"/>
  <c r="BN487" i="88"/>
  <c r="BN488" i="88"/>
  <c r="BN489" i="88"/>
  <c r="BN490" i="88"/>
  <c r="BN491" i="88"/>
  <c r="BN492" i="88"/>
  <c r="BN493" i="88"/>
  <c r="BN494" i="88"/>
  <c r="BN495" i="88"/>
  <c r="BN496" i="88"/>
  <c r="BN497" i="88"/>
  <c r="BN498" i="88"/>
  <c r="BN499" i="88"/>
  <c r="BN500" i="88"/>
  <c r="BN501" i="88"/>
  <c r="BN502" i="88"/>
  <c r="BN503" i="88"/>
  <c r="BN504" i="88"/>
  <c r="BN505" i="88"/>
  <c r="BN506" i="88"/>
  <c r="BN507" i="88"/>
  <c r="BN508" i="88"/>
  <c r="BN509" i="88"/>
  <c r="BN510" i="88"/>
  <c r="BN511" i="88"/>
  <c r="BN512" i="88"/>
  <c r="BN513" i="88"/>
  <c r="BN514" i="88"/>
  <c r="BN515" i="88"/>
  <c r="BN516" i="88"/>
  <c r="BN517" i="88"/>
  <c r="BN518" i="88"/>
  <c r="BN519" i="88"/>
  <c r="BN520" i="88"/>
  <c r="BN521" i="88"/>
  <c r="BN522" i="88"/>
  <c r="BN523" i="88"/>
  <c r="BN524" i="88"/>
  <c r="BN525" i="88"/>
  <c r="BN526" i="88"/>
  <c r="BN527" i="88"/>
  <c r="BN528" i="88"/>
  <c r="BN529" i="88"/>
  <c r="BN530" i="88"/>
  <c r="BN531" i="88"/>
  <c r="BN532" i="88"/>
  <c r="BN533" i="88"/>
  <c r="BN534" i="88"/>
  <c r="BN535" i="88"/>
  <c r="BN536" i="88"/>
  <c r="BN537" i="88"/>
  <c r="BN538" i="88"/>
  <c r="BN539" i="88"/>
  <c r="BN540" i="88"/>
  <c r="BN541" i="88"/>
  <c r="BN542" i="88"/>
  <c r="BN543" i="88"/>
  <c r="BN544" i="88"/>
  <c r="BN545" i="88"/>
  <c r="BN546" i="88"/>
  <c r="BN547" i="88"/>
  <c r="BN548" i="88"/>
  <c r="C94" i="63"/>
  <c r="F94" i="63"/>
  <c r="H94" i="63"/>
  <c r="J94" i="63"/>
  <c r="C95" i="63"/>
  <c r="C96" i="63"/>
  <c r="C97" i="63"/>
  <c r="C98" i="63"/>
  <c r="C99" i="63"/>
  <c r="F120" i="48"/>
  <c r="F135" i="48" s="1"/>
  <c r="F145" i="48" s="1"/>
  <c r="F151" i="48" s="1"/>
  <c r="H120" i="48"/>
  <c r="H135" i="48" s="1"/>
  <c r="H145" i="48" s="1"/>
  <c r="H151" i="48" s="1"/>
  <c r="I120" i="48"/>
  <c r="I135" i="48" s="1"/>
  <c r="I145" i="48" s="1"/>
  <c r="I151" i="48" s="1"/>
  <c r="J120" i="48"/>
  <c r="J135" i="48" s="1"/>
  <c r="J145" i="48" s="1"/>
  <c r="J151" i="48" s="1"/>
  <c r="K120" i="48"/>
  <c r="K135" i="48" s="1"/>
  <c r="K145" i="48" s="1"/>
  <c r="K151" i="48" s="1"/>
  <c r="L120" i="48"/>
  <c r="L135" i="48" s="1"/>
  <c r="L145" i="48" s="1"/>
  <c r="L151" i="48" s="1"/>
  <c r="M120" i="48"/>
  <c r="M135" i="48" s="1"/>
  <c r="M145" i="48" s="1"/>
  <c r="M151" i="48" s="1"/>
  <c r="N120" i="48"/>
  <c r="N135" i="48" s="1"/>
  <c r="N145" i="48" s="1"/>
  <c r="N151" i="48" s="1"/>
  <c r="O120" i="48"/>
  <c r="O135" i="48" s="1"/>
  <c r="O145" i="48" s="1"/>
  <c r="O151" i="48" s="1"/>
  <c r="P120" i="48"/>
  <c r="P135" i="48" s="1"/>
  <c r="P145" i="48" s="1"/>
  <c r="P151" i="48" s="1"/>
  <c r="Q120" i="48"/>
  <c r="Q135" i="48" s="1"/>
  <c r="Q145" i="48" s="1"/>
  <c r="Q151" i="48" s="1"/>
  <c r="R120" i="48"/>
  <c r="R135" i="48" s="1"/>
  <c r="R145" i="48" s="1"/>
  <c r="R151" i="48" s="1"/>
  <c r="S120" i="48"/>
  <c r="S135" i="48" s="1"/>
  <c r="S145" i="48" s="1"/>
  <c r="S151" i="48" s="1"/>
  <c r="T120" i="48"/>
  <c r="T135" i="48" s="1"/>
  <c r="T145" i="48" s="1"/>
  <c r="T151" i="48" s="1"/>
  <c r="U120" i="48"/>
  <c r="U135" i="48" s="1"/>
  <c r="U145" i="48" s="1"/>
  <c r="U151" i="48" s="1"/>
  <c r="V120" i="48"/>
  <c r="V135" i="48" s="1"/>
  <c r="V145" i="48" s="1"/>
  <c r="V151" i="48" s="1"/>
  <c r="W120" i="48"/>
  <c r="W135" i="48" s="1"/>
  <c r="W145" i="48" s="1"/>
  <c r="W151" i="48" s="1"/>
  <c r="X120" i="48"/>
  <c r="X135" i="48" s="1"/>
  <c r="X145" i="48" s="1"/>
  <c r="X151" i="48" s="1"/>
  <c r="Y120" i="48"/>
  <c r="Y135" i="48" s="1"/>
  <c r="Y145" i="48" s="1"/>
  <c r="Y151" i="48" s="1"/>
  <c r="Z120" i="48"/>
  <c r="Z135" i="48" s="1"/>
  <c r="Z145" i="48" s="1"/>
  <c r="Z151" i="48" s="1"/>
  <c r="AA120" i="48"/>
  <c r="AA135" i="48" s="1"/>
  <c r="AA145" i="48" s="1"/>
  <c r="AA151" i="48" s="1"/>
  <c r="AB120" i="48"/>
  <c r="AB135" i="48" s="1"/>
  <c r="AB145" i="48" s="1"/>
  <c r="AB151" i="48" s="1"/>
  <c r="AC120" i="48"/>
  <c r="AC135" i="48" s="1"/>
  <c r="AC145" i="48" s="1"/>
  <c r="AC151" i="48" s="1"/>
  <c r="AD120" i="48"/>
  <c r="AD135" i="48" s="1"/>
  <c r="AD145" i="48" s="1"/>
  <c r="AD151" i="48" s="1"/>
  <c r="AE120" i="48"/>
  <c r="AE135" i="48" s="1"/>
  <c r="AE145" i="48" s="1"/>
  <c r="AE151" i="48" s="1"/>
  <c r="AF120" i="48"/>
  <c r="AF135" i="48" s="1"/>
  <c r="AF145" i="48" s="1"/>
  <c r="AF151" i="48" s="1"/>
  <c r="AG120" i="48"/>
  <c r="AG135" i="48" s="1"/>
  <c r="AG145" i="48" s="1"/>
  <c r="AG151" i="48" s="1"/>
  <c r="AH120" i="48"/>
  <c r="AH135" i="48" s="1"/>
  <c r="AH145" i="48" s="1"/>
  <c r="AH151" i="48" s="1"/>
  <c r="AI120" i="48"/>
  <c r="AI135" i="48" s="1"/>
  <c r="AI145" i="48" s="1"/>
  <c r="AI151" i="48" s="1"/>
  <c r="AJ120" i="48"/>
  <c r="AJ135" i="48" s="1"/>
  <c r="AJ145" i="48" s="1"/>
  <c r="AJ151" i="48" s="1"/>
  <c r="AK120" i="48"/>
  <c r="AK135" i="48" s="1"/>
  <c r="AK145" i="48" s="1"/>
  <c r="AK151" i="48" s="1"/>
  <c r="AL120" i="48"/>
  <c r="AL135" i="48" s="1"/>
  <c r="AL145" i="48" s="1"/>
  <c r="AL151" i="48" s="1"/>
  <c r="AM120" i="48"/>
  <c r="AM135" i="48" s="1"/>
  <c r="AM145" i="48" s="1"/>
  <c r="AM151" i="48" s="1"/>
  <c r="AN120" i="48"/>
  <c r="AN135" i="48" s="1"/>
  <c r="AN145" i="48" s="1"/>
  <c r="AN151" i="48" s="1"/>
  <c r="AO120" i="48"/>
  <c r="AO135" i="48" s="1"/>
  <c r="AO145" i="48" s="1"/>
  <c r="AO151" i="48" s="1"/>
  <c r="AP120" i="48"/>
  <c r="AP135" i="48" s="1"/>
  <c r="AP145" i="48" s="1"/>
  <c r="AP151" i="48" s="1"/>
  <c r="AQ120" i="48"/>
  <c r="AQ135" i="48" s="1"/>
  <c r="AQ145" i="48" s="1"/>
  <c r="AQ151" i="48" s="1"/>
  <c r="AR120" i="48"/>
  <c r="AR135" i="48" s="1"/>
  <c r="AR145" i="48" s="1"/>
  <c r="AR151" i="48" s="1"/>
  <c r="AS120" i="48"/>
  <c r="AS135" i="48" s="1"/>
  <c r="AS145" i="48" s="1"/>
  <c r="AS151" i="48" s="1"/>
  <c r="AT120" i="48"/>
  <c r="AT135" i="48" s="1"/>
  <c r="AT145" i="48" s="1"/>
  <c r="AT151" i="48" s="1"/>
  <c r="AU120" i="48"/>
  <c r="AU135" i="48" s="1"/>
  <c r="AU145" i="48" s="1"/>
  <c r="AU151" i="48" s="1"/>
  <c r="AV120" i="48"/>
  <c r="AV135" i="48" s="1"/>
  <c r="AV145" i="48" s="1"/>
  <c r="AV151" i="48" s="1"/>
  <c r="AW120" i="48"/>
  <c r="AW135" i="48" s="1"/>
  <c r="AW145" i="48" s="1"/>
  <c r="AW151" i="48" s="1"/>
  <c r="AX120" i="48"/>
  <c r="AX135" i="48" s="1"/>
  <c r="AX145" i="48" s="1"/>
  <c r="AX151" i="48" s="1"/>
  <c r="AY120" i="48"/>
  <c r="AY135" i="48" s="1"/>
  <c r="AY145" i="48" s="1"/>
  <c r="AY151" i="48" s="1"/>
  <c r="AZ120" i="48"/>
  <c r="AZ135" i="48" s="1"/>
  <c r="AZ145" i="48" s="1"/>
  <c r="AZ151" i="48" s="1"/>
  <c r="BA120" i="48"/>
  <c r="BA135" i="48" s="1"/>
  <c r="BA145" i="48" s="1"/>
  <c r="BA151" i="48" s="1"/>
  <c r="BB120" i="48"/>
  <c r="BB135" i="48" s="1"/>
  <c r="BB145" i="48" s="1"/>
  <c r="BB151" i="48" s="1"/>
  <c r="BC120" i="48"/>
  <c r="BC135" i="48" s="1"/>
  <c r="BC145" i="48" s="1"/>
  <c r="BC151" i="48" s="1"/>
  <c r="BD120" i="48"/>
  <c r="BD135" i="48" s="1"/>
  <c r="BD145" i="48" s="1"/>
  <c r="BD151" i="48" s="1"/>
  <c r="BE120" i="48"/>
  <c r="BF120" i="48"/>
  <c r="BG120" i="48"/>
  <c r="BH120" i="48"/>
  <c r="BI120" i="48"/>
  <c r="BJ120" i="48"/>
  <c r="BK120" i="48"/>
  <c r="BL120" i="48"/>
  <c r="BM120" i="48"/>
  <c r="BN120" i="48"/>
  <c r="G120" i="48"/>
  <c r="G135" i="48" s="1"/>
  <c r="G145" i="48" s="1"/>
  <c r="G151" i="48" s="1"/>
  <c r="G273" i="84"/>
  <c r="G274" i="84"/>
  <c r="G275" i="84"/>
  <c r="G272" i="84"/>
  <c r="G32" i="84"/>
  <c r="G74" i="84"/>
  <c r="G96" i="84"/>
  <c r="G107" i="84"/>
  <c r="G108" i="84"/>
  <c r="G109" i="84"/>
  <c r="G110" i="84"/>
  <c r="G112" i="84"/>
  <c r="G152" i="84"/>
  <c r="G230" i="84"/>
  <c r="I7" i="90"/>
  <c r="I8" i="90"/>
  <c r="I9" i="90"/>
  <c r="I6" i="90"/>
  <c r="BN13" i="88"/>
  <c r="BN14" i="88"/>
  <c r="BN15" i="88"/>
  <c r="BN16" i="88"/>
  <c r="BN17" i="88"/>
  <c r="BN18" i="88"/>
  <c r="BN19" i="88"/>
  <c r="BN20" i="88"/>
  <c r="BN21" i="88"/>
  <c r="BN22" i="88"/>
  <c r="BN23" i="88"/>
  <c r="BN24" i="88"/>
  <c r="BN25" i="88"/>
  <c r="BN26" i="88"/>
  <c r="BN27" i="88"/>
  <c r="BN28" i="88"/>
  <c r="BN29" i="88"/>
  <c r="BN30" i="88"/>
  <c r="BN31" i="88"/>
  <c r="BN32" i="88"/>
  <c r="BN33" i="88"/>
  <c r="BN34" i="88"/>
  <c r="BN35" i="88"/>
  <c r="BN36" i="88"/>
  <c r="BN37" i="88"/>
  <c r="BN38" i="88"/>
  <c r="BN39" i="88"/>
  <c r="BN40" i="88"/>
  <c r="BN41" i="88"/>
  <c r="BN42" i="88"/>
  <c r="BN43" i="88"/>
  <c r="BN44" i="88"/>
  <c r="BN45" i="88"/>
  <c r="BN46" i="88"/>
  <c r="BN47" i="88"/>
  <c r="BN48" i="88"/>
  <c r="BN49" i="88"/>
  <c r="BN50" i="88"/>
  <c r="BN51" i="88"/>
  <c r="BN52" i="88"/>
  <c r="BN53" i="88"/>
  <c r="BN54" i="88"/>
  <c r="BN55" i="88"/>
  <c r="BN56" i="88"/>
  <c r="BN57" i="88"/>
  <c r="BN58" i="88"/>
  <c r="BN59" i="88"/>
  <c r="BN60" i="88"/>
  <c r="BN61" i="88"/>
  <c r="BN62" i="88"/>
  <c r="BN63" i="88"/>
  <c r="BN64" i="88"/>
  <c r="BN65" i="88"/>
  <c r="BN66" i="88"/>
  <c r="BN67" i="88"/>
  <c r="BN68" i="88"/>
  <c r="BN69" i="88"/>
  <c r="BN70" i="88"/>
  <c r="BN71" i="88"/>
  <c r="BN72" i="88"/>
  <c r="BN73" i="88"/>
  <c r="BN74" i="88"/>
  <c r="BN75" i="88"/>
  <c r="BN76" i="88"/>
  <c r="BN77" i="88"/>
  <c r="BN78" i="88"/>
  <c r="BN79" i="88"/>
  <c r="BN80" i="88"/>
  <c r="BN81" i="88"/>
  <c r="BN82" i="88"/>
  <c r="BN83" i="88"/>
  <c r="BN84" i="88"/>
  <c r="BN85" i="88"/>
  <c r="BN86" i="88"/>
  <c r="BN87" i="88"/>
  <c r="BN88" i="88"/>
  <c r="BN89" i="88"/>
  <c r="BN90" i="88"/>
  <c r="BN91" i="88"/>
  <c r="BN92" i="88"/>
  <c r="BN93" i="88"/>
  <c r="BN94" i="88"/>
  <c r="BN95" i="88"/>
  <c r="BN96" i="88"/>
  <c r="BN97" i="88"/>
  <c r="BN98" i="88"/>
  <c r="BN99" i="88"/>
  <c r="BN100" i="88"/>
  <c r="BN101" i="88"/>
  <c r="BN102" i="88"/>
  <c r="BN103" i="88"/>
  <c r="BN104" i="88"/>
  <c r="BN105" i="88"/>
  <c r="BN106" i="88"/>
  <c r="BN107" i="88"/>
  <c r="BN108" i="88"/>
  <c r="BN109" i="88"/>
  <c r="BN110" i="88"/>
  <c r="BN111" i="88"/>
  <c r="BN112" i="88"/>
  <c r="BN113" i="88"/>
  <c r="BN114" i="88"/>
  <c r="BN115" i="88"/>
  <c r="BN116" i="88"/>
  <c r="BN117" i="88"/>
  <c r="BN118" i="88"/>
  <c r="BN119" i="88"/>
  <c r="BN120" i="88"/>
  <c r="BN121" i="88"/>
  <c r="BN122" i="88"/>
  <c r="BN123" i="88"/>
  <c r="BN124" i="88"/>
  <c r="BN125" i="88"/>
  <c r="BN126" i="88"/>
  <c r="BN127" i="88"/>
  <c r="BN128" i="88"/>
  <c r="BN129" i="88"/>
  <c r="BN130" i="88"/>
  <c r="BN131" i="88"/>
  <c r="BN132" i="88"/>
  <c r="BN133" i="88"/>
  <c r="BN134" i="88"/>
  <c r="BN135" i="88"/>
  <c r="BN136" i="88"/>
  <c r="BN137" i="88"/>
  <c r="BN138" i="88"/>
  <c r="BN139" i="88"/>
  <c r="BN140" i="88"/>
  <c r="BN141" i="88"/>
  <c r="BN142" i="88"/>
  <c r="BN143" i="88"/>
  <c r="BN144" i="88"/>
  <c r="BN145" i="88"/>
  <c r="BN146" i="88"/>
  <c r="BN147" i="88"/>
  <c r="BN148" i="88"/>
  <c r="BN149" i="88"/>
  <c r="BN150" i="88"/>
  <c r="BN151" i="88"/>
  <c r="BN152" i="88"/>
  <c r="BN153" i="88"/>
  <c r="BN154" i="88"/>
  <c r="BN155" i="88"/>
  <c r="BN156" i="88"/>
  <c r="BN157" i="88"/>
  <c r="BN158" i="88"/>
  <c r="BN159" i="88"/>
  <c r="BN160" i="88"/>
  <c r="BN161" i="88"/>
  <c r="BN162" i="88"/>
  <c r="BN163" i="88"/>
  <c r="BN164" i="88"/>
  <c r="BN165" i="88"/>
  <c r="BN166" i="88"/>
  <c r="BN167" i="88"/>
  <c r="BN168" i="88"/>
  <c r="BN169" i="88"/>
  <c r="BN170" i="88"/>
  <c r="BN171" i="88"/>
  <c r="BN172" i="88"/>
  <c r="BN173" i="88"/>
  <c r="BN174" i="88"/>
  <c r="BN175" i="88"/>
  <c r="BN176" i="88"/>
  <c r="BN177" i="88"/>
  <c r="BN178" i="88"/>
  <c r="BN179" i="88"/>
  <c r="BN180" i="88"/>
  <c r="BN181" i="88"/>
  <c r="BN182" i="88"/>
  <c r="BN183" i="88"/>
  <c r="BN184" i="88"/>
  <c r="BN185" i="88"/>
  <c r="BN186" i="88"/>
  <c r="BN187" i="88"/>
  <c r="BN188" i="88"/>
  <c r="BN189" i="88"/>
  <c r="BN190" i="88"/>
  <c r="BN191" i="88"/>
  <c r="BN192" i="88"/>
  <c r="BN193" i="88"/>
  <c r="BN194" i="88"/>
  <c r="BN195" i="88"/>
  <c r="BN196" i="88"/>
  <c r="BN197" i="88"/>
  <c r="BN198" i="88"/>
  <c r="BN199" i="88"/>
  <c r="BN200" i="88"/>
  <c r="BN201" i="88"/>
  <c r="BN202" i="88"/>
  <c r="BN203" i="88"/>
  <c r="BN204" i="88"/>
  <c r="BN205" i="88"/>
  <c r="BN206" i="88"/>
  <c r="BN207" i="88"/>
  <c r="BN208" i="88"/>
  <c r="BN209" i="88"/>
  <c r="BN210" i="88"/>
  <c r="BN211" i="88"/>
  <c r="BN212" i="88"/>
  <c r="BN213" i="88"/>
  <c r="BN214" i="88"/>
  <c r="BN215" i="88"/>
  <c r="BN216" i="88"/>
  <c r="BN217" i="88"/>
  <c r="BN218" i="88"/>
  <c r="BN219" i="88"/>
  <c r="BN220" i="88"/>
  <c r="BN221" i="88"/>
  <c r="BN222" i="88"/>
  <c r="BN223" i="88"/>
  <c r="BN224" i="88"/>
  <c r="BN225" i="88"/>
  <c r="BN226" i="88"/>
  <c r="BN227" i="88"/>
  <c r="BN228" i="88"/>
  <c r="BN229" i="88"/>
  <c r="BN230" i="88"/>
  <c r="BN231" i="88"/>
  <c r="BN232" i="88"/>
  <c r="BN233" i="88"/>
  <c r="BN234" i="88"/>
  <c r="BN235" i="88"/>
  <c r="BN236" i="88"/>
  <c r="BN237" i="88"/>
  <c r="BN238" i="88"/>
  <c r="BN239" i="88"/>
  <c r="BN240" i="88"/>
  <c r="BN241" i="88"/>
  <c r="BN242" i="88"/>
  <c r="BN243" i="88"/>
  <c r="BN244" i="88"/>
  <c r="BN245" i="88"/>
  <c r="BN246" i="88"/>
  <c r="BN247" i="88"/>
  <c r="BN248" i="88"/>
  <c r="BN249" i="88"/>
  <c r="BN250" i="88"/>
  <c r="BN251" i="88"/>
  <c r="BN252" i="88"/>
  <c r="BN253" i="88"/>
  <c r="BN254" i="88"/>
  <c r="BN255" i="88"/>
  <c r="BN256" i="88"/>
  <c r="BN257" i="88"/>
  <c r="BN258" i="88"/>
  <c r="BN259" i="88"/>
  <c r="BN260" i="88"/>
  <c r="BN261" i="88"/>
  <c r="BN262" i="88"/>
  <c r="BN263" i="88"/>
  <c r="BN264" i="88"/>
  <c r="BN265" i="88"/>
  <c r="BN266" i="88"/>
  <c r="BN267" i="88"/>
  <c r="BN268" i="88"/>
  <c r="BN269" i="88"/>
  <c r="BN270" i="88"/>
  <c r="BN271" i="88"/>
  <c r="BN272" i="88"/>
  <c r="BN273" i="88"/>
  <c r="BN274" i="88"/>
  <c r="BN275" i="88"/>
  <c r="BN276" i="88"/>
  <c r="C27" i="70"/>
  <c r="C28" i="70"/>
  <c r="C29" i="70"/>
  <c r="C26" i="70"/>
  <c r="G65" i="84"/>
  <c r="G7" i="84"/>
  <c r="G43" i="84"/>
  <c r="G267" i="84"/>
  <c r="G255" i="84"/>
  <c r="G264" i="84"/>
  <c r="G201" i="84"/>
  <c r="G261" i="84"/>
  <c r="G262" i="84"/>
  <c r="G259" i="84"/>
  <c r="G263" i="84"/>
  <c r="G257" i="84"/>
  <c r="G86" i="84"/>
  <c r="G248" i="84"/>
  <c r="G270" i="84"/>
  <c r="G253" i="84"/>
  <c r="G247" i="84"/>
  <c r="G242" i="84"/>
  <c r="G225" i="84"/>
  <c r="G254" i="84"/>
  <c r="G256" i="84"/>
  <c r="AU88" i="103"/>
  <c r="AN47" i="103"/>
  <c r="AT143" i="103"/>
  <c r="AO87" i="103"/>
  <c r="AX134" i="103"/>
  <c r="AN58" i="103"/>
  <c r="G252" i="84"/>
  <c r="AU5" i="103"/>
  <c r="AW11" i="103"/>
  <c r="AR143" i="103"/>
  <c r="AW88" i="103"/>
  <c r="AY137" i="103"/>
  <c r="AK135" i="103"/>
  <c r="G220" i="84"/>
  <c r="AT23" i="103"/>
  <c r="G269" i="84"/>
  <c r="G240" i="84"/>
  <c r="AP112" i="103"/>
  <c r="G130" i="84"/>
  <c r="AT11" i="103"/>
  <c r="AN150" i="103"/>
  <c r="G13" i="84"/>
  <c r="G249" i="84"/>
  <c r="AU66" i="103"/>
  <c r="AL71" i="103"/>
  <c r="G233" i="84"/>
  <c r="AN147" i="103"/>
  <c r="G246" i="84"/>
  <c r="G222" i="84"/>
  <c r="G258" i="84"/>
  <c r="G221" i="84"/>
  <c r="AV88" i="103"/>
  <c r="AL150" i="103"/>
  <c r="AM47" i="103"/>
  <c r="AO137" i="103"/>
  <c r="G238" i="84"/>
  <c r="G251" i="84"/>
  <c r="G239" i="84"/>
  <c r="AQ82" i="103"/>
  <c r="AZ147" i="103"/>
  <c r="G42" i="84"/>
  <c r="AW28" i="103"/>
  <c r="AQ28" i="103"/>
  <c r="AN44" i="103"/>
  <c r="AZ126" i="103"/>
  <c r="AO126" i="103"/>
  <c r="G75" i="84"/>
  <c r="AY59" i="103"/>
  <c r="AU59" i="103"/>
  <c r="AQ59" i="103"/>
  <c r="AM59" i="103"/>
  <c r="AS71" i="103"/>
  <c r="AU47" i="103"/>
  <c r="AS48" i="103"/>
  <c r="AR73" i="103"/>
  <c r="G250" i="84"/>
  <c r="G228" i="84"/>
  <c r="AQ23" i="103"/>
  <c r="AN82" i="103"/>
  <c r="AU28" i="103"/>
  <c r="AL119" i="103"/>
  <c r="G268" i="84"/>
  <c r="G215" i="84"/>
  <c r="AK7" i="103"/>
  <c r="G232" i="84"/>
  <c r="G209" i="84"/>
  <c r="G213" i="84"/>
  <c r="G223" i="84"/>
  <c r="AN48" i="103"/>
  <c r="G211" i="84"/>
  <c r="G218" i="84"/>
  <c r="G227" i="84"/>
  <c r="AV11" i="103"/>
  <c r="AN88" i="103"/>
  <c r="AM87" i="103"/>
  <c r="G244" i="84"/>
  <c r="G237" i="84"/>
  <c r="G219" i="84"/>
  <c r="G208" i="84"/>
  <c r="G138" i="84"/>
  <c r="AV127" i="103"/>
  <c r="G214" i="84"/>
  <c r="AP53" i="103"/>
  <c r="AY45" i="103"/>
  <c r="AM45" i="103"/>
  <c r="AZ26" i="103"/>
  <c r="AT26" i="103"/>
  <c r="AO26" i="103"/>
  <c r="G265" i="84"/>
  <c r="G245" i="84"/>
  <c r="G210" i="84"/>
  <c r="G197" i="84"/>
  <c r="AZ127" i="103"/>
  <c r="AP127" i="103"/>
  <c r="G212" i="84"/>
  <c r="G205" i="84"/>
  <c r="AX48" i="103"/>
  <c r="AP73" i="103"/>
  <c r="G143" i="84"/>
  <c r="G207" i="84"/>
  <c r="G192" i="84"/>
  <c r="AS81" i="103"/>
  <c r="AY81" i="103"/>
  <c r="AV24" i="103"/>
  <c r="G231" i="84"/>
  <c r="G196" i="84"/>
  <c r="AY73" i="103"/>
  <c r="AX45" i="103"/>
  <c r="AO81" i="103"/>
  <c r="G217" i="84"/>
  <c r="AV82" i="103"/>
  <c r="AX26" i="103"/>
  <c r="AN26" i="103"/>
  <c r="AZ106" i="103"/>
  <c r="AO106" i="103"/>
  <c r="AZ56" i="103"/>
  <c r="AR56" i="103"/>
  <c r="G226" i="84"/>
  <c r="G199" i="84"/>
  <c r="G190" i="84"/>
  <c r="G182" i="84"/>
  <c r="G177" i="84"/>
  <c r="G206" i="84"/>
  <c r="G194" i="84"/>
  <c r="G115" i="84"/>
  <c r="G185" i="84"/>
  <c r="G191" i="84"/>
  <c r="G187" i="84"/>
  <c r="AZ53" i="103"/>
  <c r="G188" i="84"/>
  <c r="G179" i="84"/>
  <c r="G202" i="84"/>
  <c r="G175" i="84"/>
  <c r="AR80" i="103"/>
  <c r="G224" i="84"/>
  <c r="AT151" i="103"/>
  <c r="AQ15" i="103"/>
  <c r="G189" i="84"/>
  <c r="G162" i="84"/>
  <c r="G200" i="84"/>
  <c r="G178" i="84"/>
  <c r="G193" i="84"/>
  <c r="AK118" i="103"/>
  <c r="G183" i="84"/>
  <c r="G154" i="84"/>
  <c r="G195" i="84"/>
  <c r="AW118" i="103"/>
  <c r="G167" i="84"/>
  <c r="G84" i="84"/>
  <c r="AU91" i="103"/>
  <c r="G180" i="84"/>
  <c r="G153" i="84"/>
  <c r="G158" i="84"/>
  <c r="G186" i="84"/>
  <c r="G165" i="84"/>
  <c r="G243" i="84"/>
  <c r="G203" i="84"/>
  <c r="AS79" i="103"/>
  <c r="G176" i="84"/>
  <c r="G164" i="84"/>
  <c r="G144" i="84"/>
  <c r="G135" i="84"/>
  <c r="G127" i="84"/>
  <c r="G155" i="84"/>
  <c r="G160" i="84"/>
  <c r="G149" i="84"/>
  <c r="G146" i="84"/>
  <c r="G134" i="84"/>
  <c r="G125" i="84"/>
  <c r="AK27" i="103"/>
  <c r="AQ18" i="103"/>
  <c r="G166" i="84"/>
  <c r="G172" i="84"/>
  <c r="G156" i="84"/>
  <c r="G137" i="84"/>
  <c r="G139" i="84"/>
  <c r="G129" i="84"/>
  <c r="AY91" i="103"/>
  <c r="G169" i="84"/>
  <c r="AK19" i="103"/>
  <c r="G161" i="84"/>
  <c r="G173" i="84"/>
  <c r="G142" i="84"/>
  <c r="G184" i="84"/>
  <c r="G174" i="84"/>
  <c r="G148" i="84"/>
  <c r="G181" i="84"/>
  <c r="G145" i="84"/>
  <c r="G136" i="84"/>
  <c r="G241" i="84"/>
  <c r="AQ61" i="103"/>
  <c r="G113" i="84"/>
  <c r="G101" i="84"/>
  <c r="G97" i="84"/>
  <c r="AM18" i="103"/>
  <c r="G171" i="84"/>
  <c r="G120" i="84"/>
  <c r="G106" i="84"/>
  <c r="G90" i="84"/>
  <c r="G170" i="84"/>
  <c r="AY128" i="103"/>
  <c r="G159" i="84"/>
  <c r="G157" i="84"/>
  <c r="G266" i="84"/>
  <c r="G126" i="84"/>
  <c r="G114" i="84"/>
  <c r="G99" i="84"/>
  <c r="G89" i="84"/>
  <c r="AW27" i="103"/>
  <c r="G141" i="84"/>
  <c r="AY57" i="103"/>
  <c r="G140" i="84"/>
  <c r="G131" i="84"/>
  <c r="G123" i="84"/>
  <c r="AO149" i="103"/>
  <c r="G124" i="84"/>
  <c r="G122" i="84"/>
  <c r="G111" i="84"/>
  <c r="G105" i="84"/>
  <c r="AZ133" i="103"/>
  <c r="AK121" i="103"/>
  <c r="AO12" i="103"/>
  <c r="G151" i="84"/>
  <c r="G150" i="84"/>
  <c r="G118" i="84"/>
  <c r="G100" i="84"/>
  <c r="G95" i="84"/>
  <c r="G168" i="84"/>
  <c r="AX110" i="103"/>
  <c r="AO111" i="103"/>
  <c r="AQ123" i="103"/>
  <c r="G117" i="84"/>
  <c r="AM93" i="103"/>
  <c r="G60" i="84"/>
  <c r="AZ9" i="103"/>
  <c r="AO22" i="103"/>
  <c r="G121" i="84"/>
  <c r="G98" i="84"/>
  <c r="G88" i="84"/>
  <c r="G80" i="84"/>
  <c r="G77" i="84"/>
  <c r="G235" i="84"/>
  <c r="G163" i="84"/>
  <c r="AP141" i="103"/>
  <c r="G82" i="84"/>
  <c r="G70" i="84"/>
  <c r="G72" i="84"/>
  <c r="G61" i="84"/>
  <c r="AO85" i="103"/>
  <c r="AS19" i="103"/>
  <c r="G133" i="84"/>
  <c r="G198" i="84"/>
  <c r="AS110" i="103"/>
  <c r="AM144" i="103"/>
  <c r="G102" i="84"/>
  <c r="G204" i="84"/>
  <c r="G69" i="84"/>
  <c r="G216" i="84"/>
  <c r="AR46" i="103"/>
  <c r="AX57" i="103"/>
  <c r="AO118" i="103"/>
  <c r="AQ109" i="103"/>
  <c r="AO37" i="103"/>
  <c r="AP102" i="103"/>
  <c r="G79" i="84"/>
  <c r="G229" i="84"/>
  <c r="AX114" i="103"/>
  <c r="AO142" i="103"/>
  <c r="AM4" i="103"/>
  <c r="G103" i="84"/>
  <c r="G85" i="84"/>
  <c r="AW84" i="103"/>
  <c r="G78" i="84"/>
  <c r="G71" i="84"/>
  <c r="AM12" i="103"/>
  <c r="G147" i="84"/>
  <c r="AY41" i="103"/>
  <c r="AU149" i="103"/>
  <c r="AZ152" i="103"/>
  <c r="AR152" i="103"/>
  <c r="G76" i="84"/>
  <c r="AS57" i="103"/>
  <c r="G87" i="84"/>
  <c r="AX77" i="103"/>
  <c r="G236" i="84"/>
  <c r="G73" i="84"/>
  <c r="AX102" i="103"/>
  <c r="G66" i="84"/>
  <c r="G132" i="84"/>
  <c r="G116" i="84"/>
  <c r="G81" i="84"/>
  <c r="AR122" i="103"/>
  <c r="G119" i="84"/>
  <c r="AZ93" i="103"/>
  <c r="G92" i="84"/>
  <c r="G91" i="84"/>
  <c r="G93" i="84"/>
  <c r="G45" i="84"/>
  <c r="AQ63" i="103"/>
  <c r="G40" i="84"/>
  <c r="AM60" i="103"/>
  <c r="AR31" i="103"/>
  <c r="G260" i="84"/>
  <c r="AL89" i="103"/>
  <c r="G31" i="84"/>
  <c r="AL46" i="103"/>
  <c r="AY115" i="103"/>
  <c r="AP115" i="103"/>
  <c r="AU51" i="103"/>
  <c r="AU33" i="103"/>
  <c r="AU85" i="103"/>
  <c r="AL85" i="103"/>
  <c r="AX64" i="103"/>
  <c r="AT64" i="103"/>
  <c r="AP64" i="103"/>
  <c r="AL64" i="103"/>
  <c r="AW104" i="103"/>
  <c r="AS104" i="103"/>
  <c r="AO104" i="103"/>
  <c r="AK104" i="103"/>
  <c r="G50" i="84"/>
  <c r="AY101" i="103"/>
  <c r="AU101" i="103"/>
  <c r="AQ101" i="103"/>
  <c r="AM101" i="103"/>
  <c r="AX95" i="103"/>
  <c r="AT95" i="103"/>
  <c r="AP95" i="103"/>
  <c r="AL95" i="103"/>
  <c r="G54" i="84"/>
  <c r="AX10" i="103"/>
  <c r="AT10" i="103"/>
  <c r="AP10" i="103"/>
  <c r="AL10" i="103"/>
  <c r="AW116" i="103"/>
  <c r="AS116" i="103"/>
  <c r="AO116" i="103"/>
  <c r="AK116" i="103"/>
  <c r="G36" i="84"/>
  <c r="AY138" i="103"/>
  <c r="AU138" i="103"/>
  <c r="AQ138" i="103"/>
  <c r="AM138" i="103"/>
  <c r="AX90" i="103"/>
  <c r="AT90" i="103"/>
  <c r="AP90" i="103"/>
  <c r="AL90" i="103"/>
  <c r="AW92" i="103"/>
  <c r="AS92" i="103"/>
  <c r="AO92" i="103"/>
  <c r="AK92" i="103"/>
  <c r="G23" i="84"/>
  <c r="AY13" i="103"/>
  <c r="AU13" i="103"/>
  <c r="AQ13" i="103"/>
  <c r="AM13" i="103"/>
  <c r="AX100" i="103"/>
  <c r="AT100" i="103"/>
  <c r="AP100" i="103"/>
  <c r="AL100" i="103"/>
  <c r="G64" i="84"/>
  <c r="AT115" i="103"/>
  <c r="AK115" i="103"/>
  <c r="G62" i="84"/>
  <c r="G51" i="84"/>
  <c r="AW95" i="103"/>
  <c r="G57" i="84"/>
  <c r="G26" i="84"/>
  <c r="AX138" i="103"/>
  <c r="G28" i="84"/>
  <c r="AM141" i="103"/>
  <c r="AY34" i="103"/>
  <c r="G83" i="84"/>
  <c r="G67" i="84"/>
  <c r="G49" i="84"/>
  <c r="G41" i="84"/>
  <c r="AW60" i="103"/>
  <c r="AN30" i="103"/>
  <c r="G21" i="84"/>
  <c r="G33" i="84"/>
  <c r="AY93" i="103"/>
  <c r="AY114" i="103"/>
  <c r="G53" i="84"/>
  <c r="G234" i="84"/>
  <c r="AY30" i="103"/>
  <c r="G52" i="84"/>
  <c r="AQ145" i="103"/>
  <c r="AP99" i="103"/>
  <c r="AN36" i="103"/>
  <c r="AS83" i="103"/>
  <c r="AX99" i="103"/>
  <c r="AS97" i="103"/>
  <c r="AQ65" i="103"/>
  <c r="AZ83" i="103"/>
  <c r="AO75" i="103"/>
  <c r="AX92" i="103"/>
  <c r="AQ64" i="103"/>
  <c r="AQ30" i="103"/>
  <c r="G10" i="84"/>
  <c r="AK62" i="103"/>
  <c r="AT99" i="103"/>
  <c r="AZ36" i="103"/>
  <c r="AK97" i="103"/>
  <c r="AW14" i="103"/>
  <c r="AY92" i="103"/>
  <c r="G12" i="84"/>
  <c r="G25" i="84"/>
  <c r="AQ75" i="103"/>
  <c r="G128" i="84"/>
  <c r="G59" i="84"/>
  <c r="AV36" i="103"/>
  <c r="AW94" i="103"/>
  <c r="AP92" i="103"/>
  <c r="AY90" i="103"/>
  <c r="G104" i="84"/>
  <c r="AM33" i="103"/>
  <c r="G14" i="84"/>
  <c r="G39" i="84"/>
  <c r="G17" i="84"/>
  <c r="AY94" i="103"/>
  <c r="G34" i="84"/>
  <c r="AQ14" i="103"/>
  <c r="G44" i="84"/>
  <c r="AO62" i="103"/>
  <c r="AL99" i="103"/>
  <c r="AR36" i="103"/>
  <c r="AW97" i="103"/>
  <c r="G22" i="84"/>
  <c r="G38" i="84"/>
  <c r="AN138" i="103"/>
  <c r="AM95" i="103"/>
  <c r="G58" i="84"/>
  <c r="AW13" i="103"/>
  <c r="AX101" i="103"/>
  <c r="G9" i="84"/>
  <c r="G20" i="84"/>
  <c r="G35" i="84"/>
  <c r="G24" i="84"/>
  <c r="AO10" i="103"/>
  <c r="G46" i="84"/>
  <c r="G55" i="84"/>
  <c r="G63" i="84"/>
  <c r="AU145" i="103"/>
  <c r="AN13" i="103"/>
  <c r="AW75" i="103"/>
  <c r="AU89" i="103"/>
  <c r="AT62" i="103"/>
  <c r="AT97" i="103"/>
  <c r="G11" i="84"/>
  <c r="G19" i="84"/>
  <c r="AS100" i="103"/>
  <c r="AK13" i="103"/>
  <c r="G29" i="84"/>
  <c r="G94" i="84"/>
  <c r="AS22" i="103"/>
  <c r="AT144" i="103"/>
  <c r="AY145" i="103"/>
  <c r="AS62" i="103"/>
  <c r="G15" i="84"/>
  <c r="G27" i="84"/>
  <c r="AV13" i="103"/>
  <c r="AQ90" i="103"/>
  <c r="G8" i="84"/>
  <c r="AL70" i="103"/>
  <c r="AP70" i="103"/>
  <c r="AT70" i="103"/>
  <c r="AX70" i="103"/>
  <c r="G16" i="84"/>
  <c r="AL55" i="103"/>
  <c r="AP55" i="103"/>
  <c r="AT55" i="103"/>
  <c r="AX55" i="103"/>
  <c r="AM78" i="103"/>
  <c r="AQ78" i="103"/>
  <c r="AU78" i="103"/>
  <c r="AY78" i="103"/>
  <c r="G18" i="84"/>
  <c r="AR72" i="103"/>
  <c r="AV72" i="103"/>
  <c r="AK94" i="103"/>
  <c r="AP94" i="103"/>
  <c r="AM129" i="103"/>
  <c r="AT129" i="103"/>
  <c r="G30" i="84"/>
  <c r="AN100" i="103"/>
  <c r="AU100" i="103"/>
  <c r="AT13" i="103"/>
  <c r="G37" i="84"/>
  <c r="AT116" i="103"/>
  <c r="G47" i="84"/>
  <c r="AS35" i="103"/>
  <c r="G48" i="84"/>
  <c r="G56" i="84"/>
  <c r="G68" i="84"/>
  <c r="AX119" i="103"/>
  <c r="AT102" i="103"/>
  <c r="AM68" i="103"/>
  <c r="AU93" i="103"/>
  <c r="AV123" i="103"/>
  <c r="AQ119" i="103"/>
  <c r="AZ6" i="103"/>
  <c r="AQ117" i="103"/>
  <c r="AW120" i="103"/>
  <c r="AR42" i="103"/>
  <c r="AS142" i="103"/>
  <c r="AX105" i="103"/>
  <c r="AX131" i="103"/>
  <c r="AR29" i="103"/>
  <c r="AY61" i="103"/>
  <c r="AO71" i="103"/>
  <c r="AY88" i="103"/>
  <c r="AX21" i="103"/>
  <c r="AK125" i="103"/>
  <c r="AS132" i="103"/>
  <c r="AZ20" i="103"/>
  <c r="AL127" i="103"/>
  <c r="AW76" i="103"/>
  <c r="AU39" i="103"/>
  <c r="AW102" i="103"/>
  <c r="AK111" i="103"/>
  <c r="AP21" i="103"/>
  <c r="AU61" i="103"/>
  <c r="AX52" i="103"/>
  <c r="AS42" i="103"/>
  <c r="AW12" i="103"/>
  <c r="AK126" i="103"/>
  <c r="AP75" i="103"/>
  <c r="AV104" i="103"/>
  <c r="AP138" i="103"/>
  <c r="AO64" i="103"/>
  <c r="AU148" i="103"/>
  <c r="AP140" i="103"/>
  <c r="AW43" i="103"/>
  <c r="AX148" i="103"/>
  <c r="AQ56" i="103"/>
  <c r="AN106" i="103"/>
  <c r="AN120" i="103"/>
  <c r="AS118" i="103"/>
  <c r="AV107" i="103"/>
  <c r="AT73" i="103"/>
  <c r="AL88" i="103"/>
  <c r="AO5" i="103"/>
  <c r="AN71" i="103"/>
  <c r="AL48" i="103"/>
  <c r="AY11" i="103"/>
  <c r="AZ59" i="103"/>
  <c r="AN7" i="103"/>
  <c r="AW74" i="103"/>
  <c r="AN92" i="103"/>
  <c r="AN118" i="103"/>
  <c r="AV79" i="103"/>
  <c r="AQ81" i="103"/>
  <c r="AV59" i="103"/>
  <c r="AT85" i="103"/>
  <c r="AY123" i="103"/>
  <c r="AO115" i="103"/>
  <c r="AT127" i="103"/>
  <c r="AZ38" i="103"/>
  <c r="AL151" i="103"/>
  <c r="AK33" i="103"/>
  <c r="AW56" i="103"/>
  <c r="AQ106" i="103"/>
  <c r="AR65" i="103"/>
  <c r="AX14" i="103"/>
  <c r="AQ116" i="103"/>
  <c r="AO101" i="103"/>
  <c r="AV136" i="103"/>
  <c r="AW139" i="103"/>
  <c r="AQ98" i="103"/>
  <c r="AN37" i="103"/>
  <c r="AO61" i="103"/>
  <c r="AN130" i="103"/>
  <c r="AV110" i="103"/>
  <c r="AW108" i="103"/>
  <c r="AL57" i="103"/>
  <c r="AV12" i="103"/>
  <c r="AM19" i="103"/>
  <c r="AV125" i="103"/>
  <c r="AP106" i="103"/>
  <c r="AY7" i="103"/>
  <c r="AW31" i="103"/>
  <c r="AZ90" i="103"/>
  <c r="AW90" i="103"/>
  <c r="AU94" i="103"/>
  <c r="AK36" i="103"/>
  <c r="AR38" i="103"/>
  <c r="AM123" i="103"/>
  <c r="AZ80" i="103"/>
  <c r="AL138" i="103"/>
  <c r="AZ151" i="103"/>
  <c r="AL56" i="103"/>
  <c r="AZ92" i="103"/>
  <c r="AO33" i="103"/>
  <c r="AX98" i="103"/>
  <c r="AV98" i="103"/>
  <c r="AL130" i="103"/>
  <c r="AL21" i="103"/>
  <c r="AR96" i="103"/>
  <c r="AW119" i="103"/>
  <c r="AN45" i="103"/>
  <c r="AV145" i="103"/>
  <c r="AR33" i="103"/>
  <c r="AK100" i="103"/>
  <c r="AX129" i="103"/>
  <c r="AQ97" i="103"/>
  <c r="AX36" i="103"/>
  <c r="AW145" i="103"/>
  <c r="AX94" i="103"/>
  <c r="AR138" i="103"/>
  <c r="AQ34" i="103"/>
  <c r="AN89" i="103"/>
  <c r="AO56" i="103"/>
  <c r="AN63" i="103"/>
  <c r="AR86" i="103"/>
  <c r="AK8" i="103"/>
  <c r="AL77" i="103"/>
  <c r="AS80" i="103"/>
  <c r="AP86" i="103"/>
  <c r="AS90" i="103"/>
  <c r="AW36" i="103"/>
  <c r="AM92" i="103"/>
  <c r="AK40" i="103"/>
  <c r="AZ84" i="103"/>
  <c r="AS148" i="103"/>
  <c r="AX24" i="103"/>
  <c r="AS28" i="103"/>
  <c r="AN73" i="103"/>
  <c r="AQ147" i="103"/>
  <c r="AL145" i="103"/>
  <c r="AL86" i="103"/>
  <c r="AM85" i="103"/>
  <c r="AP104" i="103"/>
  <c r="AO72" i="103"/>
  <c r="AM70" i="103"/>
  <c r="AU65" i="103"/>
  <c r="AY72" i="103"/>
  <c r="AX13" i="103"/>
  <c r="AR64" i="103"/>
  <c r="AN46" i="103"/>
  <c r="AO95" i="103"/>
  <c r="AZ114" i="103"/>
  <c r="AM83" i="103"/>
  <c r="AT142" i="103"/>
  <c r="AS133" i="103"/>
  <c r="AO117" i="103"/>
  <c r="AX107" i="103"/>
  <c r="AO139" i="103"/>
  <c r="AO130" i="103"/>
  <c r="AK69" i="103"/>
  <c r="AK109" i="103"/>
  <c r="AK12" i="103"/>
  <c r="AM9" i="103"/>
  <c r="AW133" i="103"/>
  <c r="AO97" i="103"/>
  <c r="AY38" i="103"/>
  <c r="AY35" i="103"/>
  <c r="AK75" i="103"/>
  <c r="AO78" i="103"/>
  <c r="AV101" i="103"/>
  <c r="AQ93" i="103"/>
  <c r="AU109" i="103"/>
  <c r="AT103" i="103"/>
  <c r="AV52" i="103"/>
  <c r="AW81" i="103"/>
  <c r="AL20" i="103"/>
  <c r="AL53" i="103"/>
  <c r="AQ29" i="103"/>
  <c r="AY56" i="103"/>
  <c r="AY106" i="103"/>
  <c r="AT88" i="103"/>
  <c r="AX49" i="103"/>
  <c r="AL23" i="103"/>
  <c r="AY119" i="103"/>
  <c r="AM7" i="103"/>
  <c r="AK137" i="103"/>
  <c r="AX5" i="103"/>
  <c r="AL58" i="103"/>
  <c r="AV105" i="103"/>
  <c r="AP15" i="103"/>
  <c r="AL131" i="103"/>
  <c r="AV65" i="103"/>
  <c r="AZ72" i="103"/>
  <c r="AK14" i="103"/>
  <c r="AR104" i="103"/>
  <c r="AS86" i="103"/>
  <c r="AS111" i="103"/>
  <c r="AP61" i="103"/>
  <c r="AN72" i="103"/>
  <c r="AZ122" i="103"/>
  <c r="AO89" i="103"/>
  <c r="AW30" i="103"/>
  <c r="AP60" i="103"/>
  <c r="AX63" i="103"/>
  <c r="AR14" i="103"/>
  <c r="AT89" i="103"/>
  <c r="AU144" i="103"/>
  <c r="AO110" i="103"/>
  <c r="AU17" i="103"/>
  <c r="AS25" i="103"/>
  <c r="AN17" i="103"/>
  <c r="AU108" i="103"/>
  <c r="AS16" i="103"/>
  <c r="AU54" i="103"/>
  <c r="AM117" i="103"/>
  <c r="AY76" i="103"/>
  <c r="AW91" i="103"/>
  <c r="AP107" i="103"/>
  <c r="AX43" i="103"/>
  <c r="AO90" i="103"/>
  <c r="AT75" i="103"/>
  <c r="AP97" i="103"/>
  <c r="AT114" i="103"/>
  <c r="AW62" i="103"/>
  <c r="AS138" i="103"/>
  <c r="AL14" i="103"/>
  <c r="AU104" i="103"/>
  <c r="AN33" i="103"/>
  <c r="AP42" i="103"/>
  <c r="AO136" i="103"/>
  <c r="AW152" i="103"/>
  <c r="AX34" i="103"/>
  <c r="AQ40" i="103"/>
  <c r="AS21" i="103"/>
  <c r="AL39" i="103"/>
  <c r="AT4" i="103"/>
  <c r="AL93" i="103"/>
  <c r="AT123" i="103"/>
  <c r="AM111" i="103"/>
  <c r="AY121" i="103"/>
  <c r="AV128" i="103"/>
  <c r="AR131" i="103"/>
  <c r="AW52" i="103"/>
  <c r="AP19" i="103"/>
  <c r="AX118" i="103"/>
  <c r="AO74" i="103"/>
  <c r="AP101" i="103"/>
  <c r="AM109" i="103"/>
  <c r="AU98" i="103"/>
  <c r="AS136" i="103"/>
  <c r="AZ68" i="103"/>
  <c r="AN108" i="103"/>
  <c r="AZ142" i="103"/>
  <c r="AU40" i="103"/>
  <c r="AW121" i="103"/>
  <c r="AW21" i="103"/>
  <c r="AP39" i="103"/>
  <c r="AX4" i="103"/>
  <c r="AS12" i="103"/>
  <c r="AP93" i="103"/>
  <c r="AX123" i="103"/>
  <c r="AQ111" i="103"/>
  <c r="AU57" i="103"/>
  <c r="AM91" i="103"/>
  <c r="AV131" i="103"/>
  <c r="AT19" i="103"/>
  <c r="AN56" i="103"/>
  <c r="AQ74" i="103"/>
  <c r="AV140" i="103"/>
  <c r="AZ140" i="103"/>
  <c r="AZ49" i="103"/>
  <c r="AX58" i="103"/>
  <c r="AV53" i="103"/>
  <c r="AK48" i="103"/>
  <c r="AW126" i="103"/>
  <c r="AM28" i="103"/>
  <c r="AO119" i="103"/>
  <c r="AV45" i="103"/>
  <c r="AM137" i="103"/>
  <c r="AT5" i="103"/>
  <c r="AZ150" i="103"/>
  <c r="AW134" i="103"/>
  <c r="AO105" i="103"/>
  <c r="AL139" i="103"/>
  <c r="AN110" i="103"/>
  <c r="AL149" i="103"/>
  <c r="AL61" i="103"/>
  <c r="AN12" i="103"/>
  <c r="AL128" i="103"/>
  <c r="AT17" i="103"/>
  <c r="AT119" i="103"/>
  <c r="AU82" i="103"/>
  <c r="AW150" i="103"/>
  <c r="AK47" i="103"/>
  <c r="AU11" i="103"/>
  <c r="AR145" i="103"/>
  <c r="AU92" i="103"/>
  <c r="AR97" i="103"/>
  <c r="AK10" i="103"/>
  <c r="AO100" i="103"/>
  <c r="AM94" i="103"/>
  <c r="AP72" i="103"/>
  <c r="AW78" i="103"/>
  <c r="AP62" i="103"/>
  <c r="AT86" i="103"/>
  <c r="AS85" i="103"/>
  <c r="AT51" i="103"/>
  <c r="AP136" i="103"/>
  <c r="AS69" i="103"/>
  <c r="AO102" i="103"/>
  <c r="AM17" i="103"/>
  <c r="AK57" i="103"/>
  <c r="AW79" i="103"/>
  <c r="AV22" i="103"/>
  <c r="AS26" i="103"/>
  <c r="AN24" i="103"/>
  <c r="AR26" i="103"/>
  <c r="AP45" i="103"/>
  <c r="AO80" i="103"/>
  <c r="AW15" i="103"/>
  <c r="AZ44" i="103"/>
  <c r="AL106" i="103"/>
  <c r="AU73" i="103"/>
  <c r="AW47" i="103"/>
  <c r="AM120" i="103"/>
  <c r="AK150" i="103"/>
  <c r="AK5" i="103"/>
  <c r="AM134" i="103"/>
  <c r="AL51" i="103"/>
  <c r="AO8" i="103"/>
  <c r="AP77" i="103"/>
  <c r="AM39" i="103"/>
  <c r="AL102" i="103"/>
  <c r="AN111" i="103"/>
  <c r="AK113" i="103"/>
  <c r="AL103" i="103"/>
  <c r="AU122" i="103"/>
  <c r="AZ46" i="103"/>
  <c r="AM6" i="103"/>
  <c r="AU69" i="103"/>
  <c r="AK144" i="103"/>
  <c r="AM124" i="103"/>
  <c r="AS46" i="103"/>
  <c r="AL109" i="103"/>
  <c r="AS27" i="103"/>
  <c r="AR107" i="103"/>
  <c r="AN113" i="103"/>
  <c r="AL18" i="103"/>
  <c r="AT128" i="103"/>
  <c r="AM133" i="103"/>
  <c r="AZ52" i="103"/>
  <c r="AP79" i="103"/>
  <c r="AM73" i="103"/>
  <c r="AS131" i="103"/>
  <c r="AL91" i="103"/>
  <c r="AW29" i="103"/>
  <c r="AZ24" i="103"/>
  <c r="AM52" i="103"/>
  <c r="AR20" i="103"/>
  <c r="AW49" i="103"/>
  <c r="AK44" i="103"/>
  <c r="AT44" i="103"/>
  <c r="AP137" i="103"/>
  <c r="AO120" i="103"/>
  <c r="AM61" i="103"/>
  <c r="AT21" i="103"/>
  <c r="AY50" i="103"/>
  <c r="AP57" i="103"/>
  <c r="AK22" i="103"/>
  <c r="AW142" i="103"/>
  <c r="AT18" i="103"/>
  <c r="AR76" i="103"/>
  <c r="AZ125" i="103"/>
  <c r="AR118" i="103"/>
  <c r="AZ79" i="103"/>
  <c r="AU137" i="103"/>
  <c r="AT41" i="103"/>
  <c r="AT149" i="103"/>
  <c r="AM145" i="103"/>
  <c r="AS10" i="103"/>
  <c r="AK86" i="103"/>
  <c r="AU114" i="103"/>
  <c r="AO40" i="103"/>
  <c r="AR67" i="103"/>
  <c r="AZ123" i="103"/>
  <c r="AL105" i="103"/>
  <c r="AX42" i="103"/>
  <c r="AS9" i="103"/>
  <c r="AT113" i="103"/>
  <c r="AS125" i="103"/>
  <c r="AY74" i="103"/>
  <c r="AV60" i="103"/>
  <c r="AT139" i="103"/>
  <c r="AL114" i="103"/>
  <c r="AK152" i="103"/>
  <c r="AR93" i="103"/>
  <c r="AQ68" i="103"/>
  <c r="AL34" i="103"/>
  <c r="AV69" i="103"/>
  <c r="AY122" i="103"/>
  <c r="AQ6" i="103"/>
  <c r="AY69" i="103"/>
  <c r="AO144" i="103"/>
  <c r="AU12" i="103"/>
  <c r="AK76" i="103"/>
  <c r="AW46" i="103"/>
  <c r="AP109" i="103"/>
  <c r="AR113" i="103"/>
  <c r="AW19" i="103"/>
  <c r="AK52" i="103"/>
  <c r="AL118" i="103"/>
  <c r="AT79" i="103"/>
  <c r="AU45" i="103"/>
  <c r="AL45" i="103"/>
  <c r="AR116" i="103"/>
  <c r="AR10" i="103"/>
  <c r="AZ95" i="103"/>
  <c r="AW77" i="103"/>
  <c r="AY14" i="103"/>
  <c r="AV116" i="103"/>
  <c r="AQ31" i="103"/>
  <c r="AZ75" i="103"/>
  <c r="AR35" i="103"/>
  <c r="AQ114" i="103"/>
  <c r="AM98" i="103"/>
  <c r="AQ50" i="103"/>
  <c r="AN69" i="103"/>
  <c r="AN84" i="103"/>
  <c r="AS149" i="103"/>
  <c r="AM114" i="103"/>
  <c r="AL152" i="103"/>
  <c r="AU4" i="103"/>
  <c r="AW22" i="103"/>
  <c r="AT132" i="103"/>
  <c r="AL16" i="103"/>
  <c r="AT124" i="103"/>
  <c r="AS37" i="103"/>
  <c r="AS61" i="103"/>
  <c r="AM22" i="103"/>
  <c r="AN6" i="103"/>
  <c r="AW57" i="103"/>
  <c r="AU18" i="103"/>
  <c r="AV37" i="103"/>
  <c r="AN133" i="103"/>
  <c r="AN132" i="103"/>
  <c r="AV130" i="103"/>
  <c r="AL42" i="103"/>
  <c r="AL141" i="103"/>
  <c r="AW65" i="103"/>
  <c r="AP83" i="103"/>
  <c r="AK85" i="103"/>
  <c r="AO114" i="103"/>
  <c r="AN98" i="103"/>
  <c r="AT98" i="103"/>
  <c r="AP152" i="103"/>
  <c r="AV34" i="103"/>
  <c r="AL50" i="103"/>
  <c r="AZ121" i="103"/>
  <c r="AR54" i="103"/>
  <c r="AK103" i="103"/>
  <c r="AP85" i="103"/>
  <c r="AW130" i="103"/>
  <c r="AQ136" i="103"/>
  <c r="AX152" i="103"/>
  <c r="AL124" i="103"/>
  <c r="AX136" i="103"/>
  <c r="AV40" i="103"/>
  <c r="AV38" i="103"/>
  <c r="AK132" i="103"/>
  <c r="AR105" i="103"/>
  <c r="AP124" i="103"/>
  <c r="AX144" i="103"/>
  <c r="AR61" i="103"/>
  <c r="AT105" i="103"/>
  <c r="AT110" i="103"/>
  <c r="AW111" i="103"/>
  <c r="AY39" i="103"/>
  <c r="AL110" i="103"/>
  <c r="AU128" i="103"/>
  <c r="AT130" i="103"/>
  <c r="AR149" i="103"/>
  <c r="AL142" i="103"/>
  <c r="AO25" i="103"/>
  <c r="AO42" i="103"/>
  <c r="AO141" i="103"/>
  <c r="AX41" i="103"/>
  <c r="AV96" i="103"/>
  <c r="AT16" i="103"/>
  <c r="AS113" i="103"/>
  <c r="AN54" i="103"/>
  <c r="AR22" i="103"/>
  <c r="AO109" i="103"/>
  <c r="AT46" i="103"/>
  <c r="AR68" i="103"/>
  <c r="AW110" i="103"/>
  <c r="AO49" i="103"/>
  <c r="AZ19" i="103"/>
  <c r="AX74" i="103"/>
  <c r="AP48" i="103"/>
  <c r="AR120" i="103"/>
  <c r="AV58" i="103"/>
  <c r="AU134" i="103"/>
  <c r="AM58" i="103"/>
  <c r="AW58" i="103"/>
  <c r="AO134" i="103"/>
  <c r="AV5" i="103"/>
  <c r="AW147" i="103"/>
  <c r="AS137" i="103"/>
  <c r="AN22" i="103"/>
  <c r="AS109" i="103"/>
  <c r="AP43" i="103"/>
  <c r="AX103" i="103"/>
  <c r="AS76" i="103"/>
  <c r="AQ45" i="103"/>
  <c r="AM67" i="103"/>
  <c r="AU9" i="103"/>
  <c r="AK124" i="103"/>
  <c r="AU117" i="103"/>
  <c r="AL121" i="103"/>
  <c r="AO125" i="103"/>
  <c r="AT15" i="103"/>
  <c r="AM43" i="103"/>
  <c r="AW117" i="103"/>
  <c r="AP32" i="103"/>
  <c r="AQ125" i="103"/>
  <c r="AS49" i="103"/>
  <c r="AP29" i="103"/>
  <c r="AY49" i="103"/>
  <c r="AN49" i="103"/>
  <c r="AM119" i="103"/>
  <c r="AZ73" i="103"/>
  <c r="AQ58" i="103"/>
  <c r="AT82" i="103"/>
  <c r="AK28" i="103"/>
  <c r="AT112" i="103"/>
  <c r="AL28" i="103"/>
  <c r="AK23" i="103"/>
  <c r="AP66" i="103"/>
  <c r="AM11" i="103"/>
  <c r="AU7" i="103"/>
  <c r="AP135" i="103"/>
  <c r="AV120" i="103"/>
  <c r="AV150" i="103"/>
  <c r="AY29" i="103"/>
  <c r="AO151" i="103"/>
  <c r="AR148" i="103"/>
  <c r="AK80" i="103"/>
  <c r="AW59" i="103"/>
  <c r="AM146" i="103"/>
  <c r="AU26" i="103"/>
  <c r="AL44" i="103"/>
  <c r="AM48" i="103"/>
  <c r="AT58" i="103"/>
  <c r="AO7" i="103"/>
  <c r="AL143" i="103"/>
  <c r="AX66" i="103"/>
  <c r="AR71" i="103"/>
  <c r="AR133" i="103"/>
  <c r="AM57" i="103"/>
  <c r="AM128" i="103"/>
  <c r="AV15" i="103"/>
  <c r="AU16" i="103"/>
  <c r="AK9" i="103"/>
  <c r="AL113" i="103"/>
  <c r="AO103" i="103"/>
  <c r="AZ27" i="103"/>
  <c r="AZ54" i="103"/>
  <c r="AM108" i="103"/>
  <c r="AU67" i="103"/>
  <c r="AK16" i="103"/>
  <c r="AS124" i="103"/>
  <c r="AL17" i="103"/>
  <c r="AN52" i="103"/>
  <c r="AR32" i="103"/>
  <c r="AO79" i="103"/>
  <c r="AU107" i="103"/>
  <c r="AV19" i="103"/>
  <c r="AK74" i="103"/>
  <c r="AX73" i="103"/>
  <c r="AN140" i="103"/>
  <c r="AT20" i="103"/>
  <c r="AO20" i="103"/>
  <c r="AV49" i="103"/>
  <c r="AY53" i="103"/>
  <c r="AR53" i="103"/>
  <c r="AP119" i="103"/>
  <c r="AY26" i="103"/>
  <c r="AQ44" i="103"/>
  <c r="AW87" i="103"/>
  <c r="AL147" i="103"/>
  <c r="AT150" i="103"/>
  <c r="AY58" i="103"/>
  <c r="AW7" i="103"/>
  <c r="AZ58" i="103"/>
  <c r="AU112" i="103"/>
  <c r="AS5" i="103"/>
  <c r="AV71" i="103"/>
  <c r="AY44" i="103"/>
  <c r="AM5" i="103"/>
  <c r="AS120" i="103"/>
  <c r="AU119" i="103"/>
  <c r="AL94" i="103"/>
  <c r="AM64" i="103"/>
  <c r="AV85" i="103"/>
  <c r="AL92" i="103"/>
  <c r="AZ13" i="103"/>
  <c r="AV55" i="103"/>
  <c r="AN70" i="103"/>
  <c r="AU35" i="103"/>
  <c r="AM89" i="103"/>
  <c r="AN10" i="103"/>
  <c r="AV95" i="103"/>
  <c r="AR98" i="103"/>
  <c r="AS98" i="103"/>
  <c r="AM38" i="103"/>
  <c r="AW69" i="103"/>
  <c r="AO113" i="103"/>
  <c r="AK98" i="103"/>
  <c r="AL136" i="103"/>
  <c r="AN68" i="103"/>
  <c r="AO27" i="103"/>
  <c r="AP110" i="103"/>
  <c r="AT136" i="103"/>
  <c r="AL144" i="103"/>
  <c r="AS6" i="103"/>
  <c r="AY4" i="103"/>
  <c r="AV142" i="103"/>
  <c r="AV46" i="103"/>
  <c r="AM50" i="103"/>
  <c r="AR69" i="103"/>
  <c r="AP130" i="103"/>
  <c r="AY144" i="103"/>
  <c r="AX142" i="103"/>
  <c r="AP16" i="103"/>
  <c r="AQ4" i="103"/>
  <c r="AR25" i="103"/>
  <c r="AU50" i="103"/>
  <c r="AS130" i="103"/>
  <c r="AN122" i="103"/>
  <c r="AQ22" i="103"/>
  <c r="AM121" i="103"/>
  <c r="AO57" i="103"/>
  <c r="AY12" i="103"/>
  <c r="AX46" i="103"/>
  <c r="AT141" i="103"/>
  <c r="AQ57" i="103"/>
  <c r="AK105" i="103"/>
  <c r="AZ132" i="103"/>
  <c r="AZ25" i="103"/>
  <c r="AZ42" i="103"/>
  <c r="AY17" i="103"/>
  <c r="AU121" i="103"/>
  <c r="AV56" i="103"/>
  <c r="AY16" i="103"/>
  <c r="AO9" i="103"/>
  <c r="AQ124" i="103"/>
  <c r="AP113" i="103"/>
  <c r="AQ115" i="103"/>
  <c r="AO69" i="103"/>
  <c r="AQ39" i="103"/>
  <c r="AR136" i="103"/>
  <c r="AZ69" i="103"/>
  <c r="AM96" i="103"/>
  <c r="AK142" i="103"/>
  <c r="AW37" i="103"/>
  <c r="AX149" i="103"/>
  <c r="AP105" i="103"/>
  <c r="AV133" i="103"/>
  <c r="AQ54" i="103"/>
  <c r="AZ15" i="103"/>
  <c r="AR24" i="103"/>
  <c r="AW80" i="103"/>
  <c r="AT101" i="103"/>
  <c r="AU123" i="103"/>
  <c r="AZ67" i="103"/>
  <c r="AZ63" i="103"/>
  <c r="AU30" i="103"/>
  <c r="AU99" i="103"/>
  <c r="AK64" i="103"/>
  <c r="AR60" i="103"/>
  <c r="AW85" i="103"/>
  <c r="AK89" i="103"/>
  <c r="AS30" i="103"/>
  <c r="AL60" i="103"/>
  <c r="AT63" i="103"/>
  <c r="AN14" i="103"/>
  <c r="AP51" i="103"/>
  <c r="AV68" i="103"/>
  <c r="AS84" i="103"/>
  <c r="AZ98" i="103"/>
  <c r="AK102" i="103"/>
  <c r="AN93" i="103"/>
  <c r="AK130" i="103"/>
  <c r="AW109" i="103"/>
  <c r="AV122" i="103"/>
  <c r="AP149" i="103"/>
  <c r="AN121" i="103"/>
  <c r="AW103" i="103"/>
  <c r="AP18" i="103"/>
  <c r="AP121" i="103"/>
  <c r="AW125" i="103"/>
  <c r="AY117" i="103"/>
  <c r="AP131" i="103"/>
  <c r="AN32" i="103"/>
  <c r="AO76" i="103"/>
  <c r="AN107" i="103"/>
  <c r="AN53" i="103"/>
  <c r="AM81" i="103"/>
  <c r="AL140" i="103"/>
  <c r="AL29" i="103"/>
  <c r="AX151" i="103"/>
  <c r="AQ148" i="103"/>
  <c r="AL74" i="103"/>
  <c r="AR140" i="103"/>
  <c r="AK81" i="103"/>
  <c r="AZ47" i="103"/>
  <c r="AX127" i="103"/>
  <c r="AK43" i="103"/>
  <c r="AS151" i="103"/>
  <c r="AL148" i="103"/>
  <c r="AS44" i="103"/>
  <c r="AZ5" i="103"/>
  <c r="AP20" i="103"/>
  <c r="AM82" i="103"/>
  <c r="AT135" i="103"/>
  <c r="AK119" i="103"/>
  <c r="AQ73" i="103"/>
  <c r="AQ80" i="103"/>
  <c r="AO150" i="103"/>
  <c r="AR45" i="103"/>
  <c r="AK147" i="103"/>
  <c r="AW5" i="103"/>
  <c r="AS7" i="103"/>
  <c r="AO146" i="103"/>
  <c r="AT147" i="103"/>
  <c r="AO48" i="103"/>
  <c r="AQ5" i="103"/>
  <c r="AP58" i="103"/>
  <c r="AQ146" i="103"/>
  <c r="AQ47" i="103"/>
  <c r="AW71" i="103"/>
  <c r="AX87" i="103"/>
  <c r="AZ11" i="103"/>
  <c r="AL66" i="103"/>
  <c r="AR112" i="103"/>
  <c r="AS23" i="103"/>
  <c r="AT140" i="103"/>
  <c r="AL24" i="103"/>
  <c r="AS59" i="103"/>
  <c r="AM147" i="103"/>
  <c r="AX20" i="103"/>
  <c r="AS147" i="103"/>
  <c r="AT137" i="103"/>
  <c r="AV134" i="103"/>
  <c r="AU44" i="103"/>
  <c r="AV146" i="103"/>
  <c r="AZ88" i="103"/>
  <c r="AN143" i="103"/>
  <c r="AR147" i="103"/>
  <c r="AR146" i="103"/>
  <c r="AQ137" i="103"/>
  <c r="AQ128" i="103"/>
  <c r="AQ12" i="103"/>
  <c r="AP46" i="103"/>
  <c r="AY109" i="103"/>
  <c r="AQ17" i="103"/>
  <c r="AW105" i="103"/>
  <c r="AZ22" i="103"/>
  <c r="AP142" i="103"/>
  <c r="AR121" i="103"/>
  <c r="AV54" i="103"/>
  <c r="AR128" i="103"/>
  <c r="AX109" i="103"/>
  <c r="AS121" i="103"/>
  <c r="AY54" i="103"/>
  <c r="AR27" i="103"/>
  <c r="AO19" i="103"/>
  <c r="AQ67" i="103"/>
  <c r="AY9" i="103"/>
  <c r="AO124" i="103"/>
  <c r="AZ113" i="103"/>
  <c r="AN128" i="103"/>
  <c r="AZ32" i="103"/>
  <c r="AQ91" i="103"/>
  <c r="AM148" i="103"/>
  <c r="AP128" i="103"/>
  <c r="AX17" i="103"/>
  <c r="AT131" i="103"/>
  <c r="AT32" i="103"/>
  <c r="AM76" i="103"/>
  <c r="AU125" i="103"/>
  <c r="AN131" i="103"/>
  <c r="AK91" i="103"/>
  <c r="AU106" i="103"/>
  <c r="AS52" i="103"/>
  <c r="AL19" i="103"/>
  <c r="AT118" i="103"/>
  <c r="AO131" i="103"/>
  <c r="AR15" i="103"/>
  <c r="AY15" i="103"/>
  <c r="AU81" i="103"/>
  <c r="AT24" i="103"/>
  <c r="AU53" i="103"/>
  <c r="AS74" i="103"/>
  <c r="AV48" i="103"/>
  <c r="AP24" i="103"/>
  <c r="AS146" i="103"/>
  <c r="AU151" i="103"/>
  <c r="AN148" i="103"/>
  <c r="AK56" i="103"/>
  <c r="AS45" i="103"/>
  <c r="AX71" i="103"/>
  <c r="AM44" i="103"/>
  <c r="AP5" i="103"/>
  <c r="AZ66" i="103"/>
  <c r="AN127" i="103"/>
  <c r="AV73" i="103"/>
  <c r="AQ120" i="103"/>
  <c r="AV147" i="103"/>
  <c r="AR134" i="103"/>
  <c r="AR126" i="103"/>
  <c r="AT28" i="103"/>
  <c r="AZ82" i="103"/>
  <c r="AO135" i="103"/>
  <c r="AZ112" i="103"/>
  <c r="AQ88" i="103"/>
  <c r="AY87" i="103"/>
  <c r="AT126" i="103"/>
  <c r="AV7" i="103"/>
  <c r="AQ11" i="103"/>
  <c r="AO47" i="103"/>
  <c r="AS11" i="103"/>
  <c r="AR137" i="103"/>
  <c r="AT48" i="103"/>
  <c r="AY134" i="103"/>
  <c r="AU48" i="103"/>
  <c r="AL135" i="103"/>
  <c r="AX120" i="103"/>
  <c r="AK11" i="103"/>
  <c r="AR135" i="103"/>
  <c r="AZ120" i="103"/>
  <c r="AM88" i="103"/>
  <c r="AQ134" i="103"/>
  <c r="AS143" i="103"/>
  <c r="AK65" i="103"/>
  <c r="AQ62" i="103"/>
  <c r="AW101" i="103"/>
  <c r="AR129" i="103"/>
  <c r="AW89" i="103"/>
  <c r="AR75" i="103"/>
  <c r="AT77" i="103"/>
  <c r="AO65" i="103"/>
  <c r="AZ86" i="103"/>
  <c r="AX60" i="103"/>
  <c r="AZ14" i="103"/>
  <c r="AU136" i="103"/>
  <c r="AU14" i="103"/>
  <c r="AL13" i="103"/>
  <c r="AX115" i="103"/>
  <c r="AO51" i="103"/>
  <c r="AW100" i="103"/>
  <c r="AK139" i="103"/>
  <c r="AV14" i="103"/>
  <c r="AX97" i="103"/>
  <c r="AO83" i="103"/>
  <c r="AP35" i="103"/>
  <c r="AO77" i="103"/>
  <c r="AT138" i="103"/>
  <c r="AS31" i="103"/>
  <c r="AZ97" i="103"/>
  <c r="AY116" i="103"/>
  <c r="AY97" i="103"/>
  <c r="AS95" i="103"/>
  <c r="AO55" i="103"/>
  <c r="AZ60" i="103"/>
  <c r="AQ70" i="103"/>
  <c r="AX35" i="103"/>
  <c r="AZ129" i="103"/>
  <c r="AZ104" i="103"/>
  <c r="AL129" i="103"/>
  <c r="AR90" i="103"/>
  <c r="AU64" i="103"/>
  <c r="AM35" i="103"/>
  <c r="AN116" i="103"/>
  <c r="AR92" i="103"/>
  <c r="AL62" i="103"/>
  <c r="AN78" i="103"/>
  <c r="AN64" i="103"/>
  <c r="AZ40" i="103"/>
  <c r="AY86" i="103"/>
  <c r="AR89" i="103"/>
  <c r="AT83" i="103"/>
  <c r="AU31" i="103"/>
  <c r="AK30" i="103"/>
  <c r="AL63" i="103"/>
  <c r="AY33" i="103"/>
  <c r="AV94" i="103"/>
  <c r="AV35" i="103"/>
  <c r="AS139" i="103"/>
  <c r="AP30" i="103"/>
  <c r="AX51" i="103"/>
  <c r="AM14" i="103"/>
  <c r="AV33" i="103"/>
  <c r="AW64" i="103"/>
  <c r="AM100" i="103"/>
  <c r="AN101" i="103"/>
  <c r="AO138" i="103"/>
  <c r="AZ10" i="103"/>
  <c r="AQ104" i="103"/>
  <c r="AT145" i="103"/>
  <c r="AL101" i="103"/>
  <c r="AK95" i="103"/>
  <c r="AM75" i="103"/>
  <c r="AY70" i="103"/>
  <c r="AR40" i="103"/>
  <c r="AS64" i="103"/>
  <c r="AP139" i="103"/>
  <c r="AS89" i="103"/>
  <c r="AT60" i="103"/>
  <c r="AN75" i="103"/>
  <c r="AK31" i="103"/>
  <c r="AX75" i="103"/>
  <c r="AS63" i="103"/>
  <c r="AN90" i="103"/>
  <c r="AR85" i="103"/>
  <c r="AU75" i="103"/>
  <c r="AK55" i="103"/>
  <c r="AQ92" i="103"/>
  <c r="AM30" i="103"/>
  <c r="AO31" i="103"/>
  <c r="AV97" i="103"/>
  <c r="AL116" i="103"/>
  <c r="AX86" i="103"/>
  <c r="AL36" i="103"/>
  <c r="AK145" i="103"/>
  <c r="AP13" i="103"/>
  <c r="AV70" i="103"/>
  <c r="AO14" i="103"/>
  <c r="AZ78" i="103"/>
  <c r="AK35" i="103"/>
  <c r="AK51" i="103"/>
  <c r="AQ108" i="103"/>
  <c r="AY67" i="103"/>
  <c r="AO16" i="103"/>
  <c r="AW124" i="103"/>
  <c r="AU76" i="103"/>
  <c r="AS91" i="103"/>
  <c r="AL107" i="103"/>
  <c r="AS56" i="103"/>
  <c r="AK106" i="103"/>
  <c r="AY98" i="103"/>
  <c r="AW136" i="103"/>
  <c r="AY40" i="103"/>
  <c r="AT39" i="103"/>
  <c r="AM122" i="103"/>
  <c r="AT93" i="103"/>
  <c r="AM69" i="103"/>
  <c r="AU111" i="103"/>
  <c r="AK46" i="103"/>
  <c r="AR17" i="103"/>
  <c r="AZ131" i="103"/>
  <c r="AX19" i="103"/>
  <c r="AV47" i="103"/>
  <c r="AS40" i="103"/>
  <c r="AN105" i="103"/>
  <c r="AR123" i="103"/>
  <c r="AN123" i="103"/>
  <c r="AK110" i="103"/>
  <c r="AV93" i="103"/>
  <c r="AX39" i="103"/>
  <c r="AQ122" i="103"/>
  <c r="AX93" i="103"/>
  <c r="AQ69" i="103"/>
  <c r="AY111" i="103"/>
  <c r="AR110" i="103"/>
  <c r="AQ149" i="103"/>
  <c r="AR12" i="103"/>
  <c r="AO46" i="103"/>
  <c r="AY18" i="103"/>
  <c r="AY108" i="103"/>
  <c r="AW16" i="103"/>
  <c r="AO133" i="103"/>
  <c r="AT107" i="103"/>
  <c r="AL79" i="103"/>
  <c r="AS43" i="103"/>
  <c r="AT148" i="103"/>
  <c r="AM56" i="103"/>
  <c r="AV106" i="103"/>
  <c r="AZ45" i="103"/>
  <c r="AX16" i="103"/>
  <c r="AM49" i="103"/>
  <c r="AU147" i="103"/>
  <c r="AS135" i="103"/>
  <c r="AO98" i="103"/>
  <c r="AW8" i="103"/>
  <c r="AS114" i="103"/>
  <c r="AN50" i="103"/>
  <c r="AR111" i="103"/>
  <c r="AL132" i="103"/>
  <c r="AW38" i="103"/>
  <c r="AV111" i="103"/>
  <c r="AQ144" i="103"/>
  <c r="AS4" i="103"/>
  <c r="AN42" i="103"/>
  <c r="AR37" i="103"/>
  <c r="AK61" i="103"/>
  <c r="AR130" i="103"/>
  <c r="AZ110" i="103"/>
  <c r="AZ149" i="103"/>
  <c r="AZ61" i="103"/>
  <c r="AT57" i="103"/>
  <c r="AS105" i="103"/>
  <c r="AZ12" i="103"/>
  <c r="AP103" i="103"/>
  <c r="AQ9" i="103"/>
  <c r="AX128" i="103"/>
  <c r="AQ133" i="103"/>
  <c r="AS117" i="103"/>
  <c r="AL32" i="103"/>
  <c r="AM125" i="103"/>
  <c r="AW131" i="103"/>
  <c r="AP91" i="103"/>
  <c r="AR43" i="103"/>
  <c r="AQ52" i="103"/>
  <c r="AK49" i="103"/>
  <c r="AT56" i="103"/>
  <c r="AP26" i="103"/>
  <c r="AM29" i="103"/>
  <c r="AU56" i="103"/>
  <c r="AS106" i="103"/>
  <c r="AW26" i="103"/>
  <c r="AR7" i="103"/>
  <c r="AW48" i="103"/>
  <c r="AK88" i="103"/>
  <c r="AK146" i="103"/>
  <c r="AN152" i="103"/>
  <c r="AR34" i="103"/>
  <c r="AN34" i="103"/>
  <c r="AR6" i="103"/>
  <c r="AR142" i="103"/>
  <c r="AX61" i="103"/>
  <c r="AM41" i="103"/>
  <c r="AX124" i="103"/>
  <c r="AW113" i="103"/>
  <c r="AT109" i="103"/>
  <c r="AX18" i="103"/>
  <c r="AN27" i="103"/>
  <c r="AT121" i="103"/>
  <c r="AU133" i="103"/>
  <c r="AV76" i="103"/>
  <c r="AT91" i="103"/>
  <c r="AM107" i="103"/>
  <c r="AU52" i="103"/>
  <c r="AN19" i="103"/>
  <c r="AV118" i="103"/>
  <c r="AU43" i="103"/>
  <c r="AK29" i="103"/>
  <c r="AQ49" i="103"/>
  <c r="AM74" i="103"/>
  <c r="AX140" i="103"/>
  <c r="AQ151" i="103"/>
  <c r="AR48" i="103"/>
  <c r="AT106" i="103"/>
  <c r="AM26" i="103"/>
  <c r="AW44" i="103"/>
  <c r="AL82" i="103"/>
  <c r="AL137" i="103"/>
  <c r="AY47" i="103"/>
  <c r="AY5" i="103"/>
  <c r="AK143" i="103"/>
  <c r="AS102" i="103"/>
  <c r="AV152" i="103"/>
  <c r="AZ34" i="103"/>
  <c r="AR50" i="103"/>
  <c r="AX130" i="103"/>
  <c r="AP114" i="103"/>
  <c r="AN40" i="103"/>
  <c r="AW114" i="103"/>
  <c r="AS8" i="103"/>
  <c r="AT152" i="103"/>
  <c r="AK37" i="103"/>
  <c r="AU25" i="103"/>
  <c r="AL122" i="103"/>
  <c r="AZ37" i="103"/>
  <c r="AQ96" i="103"/>
  <c r="AR132" i="103"/>
  <c r="AZ130" i="103"/>
  <c r="AQ25" i="103"/>
  <c r="AQ16" i="103"/>
  <c r="AY124" i="103"/>
  <c r="AV27" i="103"/>
  <c r="AX121" i="103"/>
  <c r="AY133" i="103"/>
  <c r="AR52" i="103"/>
  <c r="AV32" i="103"/>
  <c r="AX15" i="103"/>
  <c r="AZ76" i="103"/>
  <c r="AX91" i="103"/>
  <c r="AQ107" i="103"/>
  <c r="AY52" i="103"/>
  <c r="AR19" i="103"/>
  <c r="AZ118" i="103"/>
  <c r="AZ29" i="103"/>
  <c r="AN43" i="103"/>
  <c r="AK148" i="103"/>
  <c r="AW20" i="103"/>
  <c r="AU29" i="103"/>
  <c r="AK151" i="103"/>
  <c r="AX106" i="103"/>
  <c r="AQ26" i="103"/>
  <c r="AN59" i="103"/>
  <c r="AR44" i="103"/>
  <c r="AL120" i="103"/>
  <c r="AT36" i="103"/>
  <c r="AR78" i="103"/>
  <c r="AV138" i="103"/>
  <c r="AY129" i="103"/>
  <c r="AY36" i="103"/>
  <c r="AR101" i="103"/>
  <c r="AW83" i="103"/>
  <c r="AO94" i="103"/>
  <c r="AQ72" i="103"/>
  <c r="AX78" i="103"/>
  <c r="AW70" i="103"/>
  <c r="AY10" i="103"/>
  <c r="AM90" i="103"/>
  <c r="AR99" i="103"/>
  <c r="AY62" i="103"/>
  <c r="AY95" i="103"/>
  <c r="AW10" i="103"/>
  <c r="AZ55" i="103"/>
  <c r="AR70" i="103"/>
  <c r="AX139" i="103"/>
  <c r="AZ145" i="103"/>
  <c r="AR63" i="103"/>
  <c r="AR95" i="103"/>
  <c r="AZ64" i="103"/>
  <c r="AT31" i="103"/>
  <c r="AK63" i="103"/>
  <c r="AS51" i="103"/>
  <c r="AY85" i="103"/>
  <c r="AS129" i="103"/>
  <c r="AL65" i="103"/>
  <c r="AU60" i="103"/>
  <c r="AU115" i="103"/>
  <c r="AV114" i="103"/>
  <c r="AW98" i="103"/>
  <c r="AQ38" i="103"/>
  <c r="AZ8" i="103"/>
  <c r="AK6" i="103"/>
  <c r="AL33" i="103"/>
  <c r="AM139" i="103"/>
  <c r="AS34" i="103"/>
  <c r="AL40" i="103"/>
  <c r="AP144" i="103"/>
  <c r="AR139" i="103"/>
  <c r="AM152" i="103"/>
  <c r="AP132" i="103"/>
  <c r="AR102" i="103"/>
  <c r="AZ21" i="103"/>
  <c r="AW39" i="103"/>
  <c r="AP122" i="103"/>
  <c r="AY132" i="103"/>
  <c r="AO93" i="103"/>
  <c r="AZ144" i="103"/>
  <c r="AW123" i="103"/>
  <c r="AP111" i="103"/>
  <c r="AK42" i="103"/>
  <c r="AO108" i="103"/>
  <c r="AN67" i="103"/>
  <c r="AR9" i="103"/>
  <c r="AV132" i="103"/>
  <c r="AM105" i="103"/>
  <c r="AY102" i="103"/>
  <c r="AO68" i="103"/>
  <c r="AZ39" i="103"/>
  <c r="AW122" i="103"/>
  <c r="AP37" i="103"/>
  <c r="AR108" i="103"/>
  <c r="AZ128" i="103"/>
  <c r="AQ141" i="103"/>
  <c r="AZ16" i="103"/>
  <c r="AP9" i="103"/>
  <c r="AQ113" i="103"/>
  <c r="AL25" i="103"/>
  <c r="AT96" i="103"/>
  <c r="AT22" i="103"/>
  <c r="AM142" i="103"/>
  <c r="AV109" i="103"/>
  <c r="AV121" i="103"/>
  <c r="AS103" i="103"/>
  <c r="AS128" i="103"/>
  <c r="AL133" i="103"/>
  <c r="AU19" i="103"/>
  <c r="AT27" i="103"/>
  <c r="AV103" i="103"/>
  <c r="AS18" i="103"/>
  <c r="AL54" i="103"/>
  <c r="AX32" i="103"/>
  <c r="AQ76" i="103"/>
  <c r="AY125" i="103"/>
  <c r="AO91" i="103"/>
  <c r="AL117" i="103"/>
  <c r="AM97" i="103"/>
  <c r="AY65" i="103"/>
  <c r="AZ62" i="103"/>
  <c r="AN97" i="103"/>
  <c r="AU36" i="103"/>
  <c r="AV62" i="103"/>
  <c r="AX145" i="103"/>
  <c r="AM55" i="103"/>
  <c r="AN104" i="103"/>
  <c r="AS14" i="103"/>
  <c r="AM72" i="103"/>
  <c r="AT78" i="103"/>
  <c r="AS70" i="103"/>
  <c r="AX116" i="103"/>
  <c r="AX62" i="103"/>
  <c r="AU55" i="103"/>
  <c r="AS75" i="103"/>
  <c r="AN99" i="103"/>
  <c r="AU62" i="103"/>
  <c r="AL104" i="103"/>
  <c r="AM10" i="103"/>
  <c r="AK90" i="103"/>
  <c r="AY75" i="103"/>
  <c r="AV83" i="103"/>
  <c r="AL72" i="103"/>
  <c r="AS78" i="103"/>
  <c r="AU116" i="103"/>
  <c r="AS101" i="103"/>
  <c r="AL35" i="103"/>
  <c r="AN85" i="103"/>
  <c r="AN51" i="103"/>
  <c r="AX31" i="103"/>
  <c r="AO63" i="103"/>
  <c r="AX85" i="103"/>
  <c r="AN129" i="103"/>
  <c r="AV86" i="103"/>
  <c r="AW129" i="103"/>
  <c r="AP65" i="103"/>
  <c r="AX89" i="103"/>
  <c r="AY60" i="103"/>
  <c r="AZ33" i="103"/>
  <c r="AK77" i="103"/>
  <c r="AO84" i="103"/>
  <c r="AP33" i="103"/>
  <c r="AQ139" i="103"/>
  <c r="AW34" i="103"/>
  <c r="AP40" i="103"/>
  <c r="AV139" i="103"/>
  <c r="AL38" i="103"/>
  <c r="AM84" i="103"/>
  <c r="AQ152" i="103"/>
  <c r="AX132" i="103"/>
  <c r="AV102" i="103"/>
  <c r="AL68" i="103"/>
  <c r="AT122" i="103"/>
  <c r="AM37" i="103"/>
  <c r="AN149" i="103"/>
  <c r="AN61" i="103"/>
  <c r="AS93" i="103"/>
  <c r="AL69" i="103"/>
  <c r="AT111" i="103"/>
  <c r="AM110" i="103"/>
  <c r="AY25" i="103"/>
  <c r="AV108" i="103"/>
  <c r="AY22" i="103"/>
  <c r="AV67" i="103"/>
  <c r="AK50" i="103"/>
  <c r="AS68" i="103"/>
  <c r="AT37" i="103"/>
  <c r="AV149" i="103"/>
  <c r="AV61" i="103"/>
  <c r="AN96" i="103"/>
  <c r="AU141" i="103"/>
  <c r="AN41" i="103"/>
  <c r="AK96" i="103"/>
  <c r="AL67" i="103"/>
  <c r="AT9" i="103"/>
  <c r="AU113" i="103"/>
  <c r="AP25" i="103"/>
  <c r="AX96" i="103"/>
  <c r="AX22" i="103"/>
  <c r="AQ142" i="103"/>
  <c r="AZ109" i="103"/>
  <c r="AM54" i="103"/>
  <c r="AW128" i="103"/>
  <c r="AP133" i="103"/>
  <c r="AP17" i="103"/>
  <c r="AX27" i="103"/>
  <c r="AZ103" i="103"/>
  <c r="AW18" i="103"/>
  <c r="AP54" i="103"/>
  <c r="AT52" i="103"/>
  <c r="AP117" i="103"/>
  <c r="AV92" i="103"/>
  <c r="AU95" i="103"/>
  <c r="AR62" i="103"/>
  <c r="AU70" i="103"/>
  <c r="AQ35" i="103"/>
  <c r="AS13" i="103"/>
  <c r="AQ36" i="103"/>
  <c r="AP145" i="103"/>
  <c r="AY89" i="103"/>
  <c r="AP78" i="103"/>
  <c r="AY100" i="103"/>
  <c r="AN83" i="103"/>
  <c r="AM86" i="103"/>
  <c r="AK60" i="103"/>
  <c r="AY51" i="103"/>
  <c r="AT65" i="103"/>
  <c r="AN31" i="103"/>
  <c r="AV84" i="103"/>
  <c r="AM34" i="103"/>
  <c r="AN8" i="103"/>
  <c r="AZ136" i="103"/>
  <c r="AT33" i="103"/>
  <c r="AU139" i="103"/>
  <c r="AK38" i="103"/>
  <c r="AL84" i="103"/>
  <c r="AT40" i="103"/>
  <c r="AZ139" i="103"/>
  <c r="AP38" i="103"/>
  <c r="AQ84" i="103"/>
  <c r="AO132" i="103"/>
  <c r="AU152" i="103"/>
  <c r="AZ102" i="103"/>
  <c r="AP68" i="103"/>
  <c r="AX122" i="103"/>
  <c r="AQ37" i="103"/>
  <c r="AW93" i="103"/>
  <c r="AP69" i="103"/>
  <c r="AX111" i="103"/>
  <c r="AQ110" i="103"/>
  <c r="AT42" i="103"/>
  <c r="AK141" i="103"/>
  <c r="AO50" i="103"/>
  <c r="AW68" i="103"/>
  <c r="AX37" i="103"/>
  <c r="AK67" i="103"/>
  <c r="AY141" i="103"/>
  <c r="AR41" i="103"/>
  <c r="AO96" i="103"/>
  <c r="AP67" i="103"/>
  <c r="AX9" i="103"/>
  <c r="AY113" i="103"/>
  <c r="AT25" i="103"/>
  <c r="AM42" i="103"/>
  <c r="AU142" i="103"/>
  <c r="AN57" i="103"/>
  <c r="AL12" i="103"/>
  <c r="AT133" i="103"/>
  <c r="AM103" i="103"/>
  <c r="AT54" i="103"/>
  <c r="AM27" i="103"/>
  <c r="AY64" i="103"/>
  <c r="AW55" i="103"/>
  <c r="AO70" i="103"/>
  <c r="AR55" i="103"/>
  <c r="AN60" i="103"/>
  <c r="AN62" i="103"/>
  <c r="AM99" i="103"/>
  <c r="AV78" i="103"/>
  <c r="AR51" i="103"/>
  <c r="AV90" i="103"/>
  <c r="AM36" i="103"/>
  <c r="AV100" i="103"/>
  <c r="AQ89" i="103"/>
  <c r="AL78" i="103"/>
  <c r="AS55" i="103"/>
  <c r="AK70" i="103"/>
  <c r="AO35" i="103"/>
  <c r="AZ116" i="103"/>
  <c r="AR100" i="103"/>
  <c r="AU97" i="103"/>
  <c r="AM62" i="103"/>
  <c r="AW35" i="103"/>
  <c r="AS72" i="103"/>
  <c r="AQ95" i="103"/>
  <c r="AK78" i="103"/>
  <c r="AN55" i="103"/>
  <c r="AS36" i="103"/>
  <c r="AM51" i="103"/>
  <c r="AO13" i="103"/>
  <c r="AQ99" i="103"/>
  <c r="AU10" i="103"/>
  <c r="AK138" i="103"/>
  <c r="AV10" i="103"/>
  <c r="AT35" i="103"/>
  <c r="AM104" i="103"/>
  <c r="AW51" i="103"/>
  <c r="AQ86" i="103"/>
  <c r="AR30" i="103"/>
  <c r="AO60" i="103"/>
  <c r="AW63" i="103"/>
  <c r="AV129" i="103"/>
  <c r="AS65" i="103"/>
  <c r="AL83" i="103"/>
  <c r="AM31" i="103"/>
  <c r="AN136" i="103"/>
  <c r="AN94" i="103"/>
  <c r="AV75" i="103"/>
  <c r="AN35" i="103"/>
  <c r="AX65" i="103"/>
  <c r="AQ83" i="103"/>
  <c r="AQ85" i="103"/>
  <c r="AQ51" i="103"/>
  <c r="AV8" i="103"/>
  <c r="AR8" i="103"/>
  <c r="AU34" i="103"/>
  <c r="AY136" i="103"/>
  <c r="AS77" i="103"/>
  <c r="AM136" i="103"/>
  <c r="AW40" i="103"/>
  <c r="AL98" i="103"/>
  <c r="AK84" i="103"/>
  <c r="AX33" i="103"/>
  <c r="AY139" i="103"/>
  <c r="AO38" i="103"/>
  <c r="AP84" i="103"/>
  <c r="AX40" i="103"/>
  <c r="AZ50" i="103"/>
  <c r="AT38" i="103"/>
  <c r="AM8" i="103"/>
  <c r="AU84" i="103"/>
  <c r="AN77" i="103"/>
  <c r="AW132" i="103"/>
  <c r="AY152" i="103"/>
  <c r="AO6" i="103"/>
  <c r="AZ111" i="103"/>
  <c r="AT68" i="103"/>
  <c r="AU37" i="103"/>
  <c r="AK4" i="103"/>
  <c r="AW149" i="103"/>
  <c r="AW61" i="103"/>
  <c r="AN9" i="103"/>
  <c r="AN142" i="103"/>
  <c r="AL6" i="103"/>
  <c r="AT69" i="103"/>
  <c r="AM130" i="103"/>
  <c r="AU110" i="103"/>
  <c r="AK149" i="103"/>
  <c r="AS50" i="103"/>
  <c r="AM21" i="103"/>
  <c r="AN4" i="103"/>
  <c r="AM25" i="103"/>
  <c r="AP41" i="103"/>
  <c r="AY96" i="103"/>
  <c r="AO67" i="103"/>
  <c r="AW9" i="103"/>
  <c r="AX113" i="103"/>
  <c r="AK133" i="103"/>
  <c r="AV17" i="103"/>
  <c r="AV41" i="103"/>
  <c r="AS96" i="103"/>
  <c r="AL108" i="103"/>
  <c r="AT67" i="103"/>
  <c r="AN124" i="103"/>
  <c r="AX25" i="103"/>
  <c r="AQ42" i="103"/>
  <c r="AQ105" i="103"/>
  <c r="AY142" i="103"/>
  <c r="AR57" i="103"/>
  <c r="AP12" i="103"/>
  <c r="AX133" i="103"/>
  <c r="AQ103" i="103"/>
  <c r="AP52" i="103"/>
  <c r="AK79" i="103"/>
  <c r="AX54" i="103"/>
  <c r="AQ27" i="103"/>
  <c r="AQ19" i="103"/>
  <c r="AK117" i="103"/>
  <c r="AP116" i="103"/>
  <c r="AT92" i="103"/>
  <c r="AQ94" i="103"/>
  <c r="AK72" i="103"/>
  <c r="AM115" i="103"/>
  <c r="AZ138" i="103"/>
  <c r="AU86" i="103"/>
  <c r="AV30" i="103"/>
  <c r="AS60" i="103"/>
  <c r="AS33" i="103"/>
  <c r="AS115" i="103"/>
  <c r="AR94" i="103"/>
  <c r="AU83" i="103"/>
  <c r="AV31" i="103"/>
  <c r="AL30" i="103"/>
  <c r="AM63" i="103"/>
  <c r="AN114" i="103"/>
  <c r="AR84" i="103"/>
  <c r="AN115" i="103"/>
  <c r="AS38" i="103"/>
  <c r="AL8" i="103"/>
  <c r="AT84" i="103"/>
  <c r="AM77" i="103"/>
  <c r="AX38" i="103"/>
  <c r="AQ8" i="103"/>
  <c r="AY84" i="103"/>
  <c r="AR77" i="103"/>
  <c r="AW6" i="103"/>
  <c r="AP50" i="103"/>
  <c r="AX68" i="103"/>
  <c r="AY37" i="103"/>
  <c r="AO4" i="103"/>
  <c r="AS108" i="103"/>
  <c r="AP6" i="103"/>
  <c r="AX69" i="103"/>
  <c r="AQ130" i="103"/>
  <c r="AY110" i="103"/>
  <c r="AW50" i="103"/>
  <c r="AQ21" i="103"/>
  <c r="AR4" i="103"/>
  <c r="AU41" i="103"/>
  <c r="AS67" i="103"/>
  <c r="AZ41" i="103"/>
  <c r="AW96" i="103"/>
  <c r="AP108" i="103"/>
  <c r="AX67" i="103"/>
  <c r="AR124" i="103"/>
  <c r="AO121" i="103"/>
  <c r="AU42" i="103"/>
  <c r="AN141" i="103"/>
  <c r="AK41" i="103"/>
  <c r="AU105" i="103"/>
  <c r="AV57" i="103"/>
  <c r="AT12" i="103"/>
  <c r="AM46" i="103"/>
  <c r="AK17" i="103"/>
  <c r="AL52" i="103"/>
  <c r="AU103" i="103"/>
  <c r="AN18" i="103"/>
  <c r="AK54" i="103"/>
  <c r="AU27" i="103"/>
  <c r="AU32" i="103"/>
  <c r="AN76" i="103"/>
  <c r="AM79" i="103"/>
  <c r="AZ107" i="103"/>
  <c r="AQ129" i="103"/>
  <c r="AY83" i="103"/>
  <c r="AO86" i="103"/>
  <c r="AZ31" i="103"/>
  <c r="AZ85" i="103"/>
  <c r="AZ51" i="103"/>
  <c r="AR115" i="103"/>
  <c r="AP8" i="103"/>
  <c r="AX84" i="103"/>
  <c r="AQ77" i="103"/>
  <c r="AU8" i="103"/>
  <c r="AV77" i="103"/>
  <c r="AT50" i="103"/>
  <c r="AN21" i="103"/>
  <c r="AK39" i="103"/>
  <c r="AN25" i="103"/>
  <c r="AL41" i="103"/>
  <c r="AZ108" i="103"/>
  <c r="AT6" i="103"/>
  <c r="AM132" i="103"/>
  <c r="AU130" i="103"/>
  <c r="AN144" i="103"/>
  <c r="AK123" i="103"/>
  <c r="AM102" i="103"/>
  <c r="AU21" i="103"/>
  <c r="AN39" i="103"/>
  <c r="AK122" i="103"/>
  <c r="AV4" i="103"/>
  <c r="AV25" i="103"/>
  <c r="AV42" i="103"/>
  <c r="AW141" i="103"/>
  <c r="AW67" i="103"/>
  <c r="AT108" i="103"/>
  <c r="AN16" i="103"/>
  <c r="AV124" i="103"/>
  <c r="AY42" i="103"/>
  <c r="AR141" i="103"/>
  <c r="AO41" i="103"/>
  <c r="AY105" i="103"/>
  <c r="AZ57" i="103"/>
  <c r="AX12" i="103"/>
  <c r="AQ46" i="103"/>
  <c r="AO17" i="103"/>
  <c r="AY103" i="103"/>
  <c r="AR18" i="103"/>
  <c r="AO54" i="103"/>
  <c r="AY27" i="103"/>
  <c r="AZ17" i="103"/>
  <c r="AY32" i="103"/>
  <c r="AW99" i="103"/>
  <c r="AS99" i="103"/>
  <c r="AZ65" i="103"/>
  <c r="AS145" i="103"/>
  <c r="AZ30" i="103"/>
  <c r="AO99" i="103"/>
  <c r="AQ10" i="103"/>
  <c r="AL75" i="103"/>
  <c r="AK83" i="103"/>
  <c r="AK99" i="103"/>
  <c r="AW72" i="103"/>
  <c r="AX104" i="103"/>
  <c r="AR13" i="103"/>
  <c r="AP36" i="103"/>
  <c r="AZ99" i="103"/>
  <c r="AO145" i="103"/>
  <c r="AT104" i="103"/>
  <c r="AQ55" i="103"/>
  <c r="AV51" i="103"/>
  <c r="AX72" i="103"/>
  <c r="AZ70" i="103"/>
  <c r="AQ100" i="103"/>
  <c r="AY99" i="103"/>
  <c r="AP129" i="103"/>
  <c r="AY55" i="103"/>
  <c r="AW138" i="103"/>
  <c r="AP14" i="103"/>
  <c r="AY104" i="103"/>
  <c r="AV89" i="103"/>
  <c r="AL31" i="103"/>
  <c r="AX83" i="103"/>
  <c r="AY31" i="103"/>
  <c r="AO30" i="103"/>
  <c r="AP63" i="103"/>
  <c r="AZ94" i="103"/>
  <c r="AZ35" i="103"/>
  <c r="AK129" i="103"/>
  <c r="AT30" i="103"/>
  <c r="AU63" i="103"/>
  <c r="AL115" i="103"/>
  <c r="AK114" i="103"/>
  <c r="AN38" i="103"/>
  <c r="AR114" i="103"/>
  <c r="AP98" i="103"/>
  <c r="AO152" i="103"/>
  <c r="AV115" i="103"/>
  <c r="AT8" i="103"/>
  <c r="AU77" i="103"/>
  <c r="AK34" i="103"/>
  <c r="AY8" i="103"/>
  <c r="AZ77" i="103"/>
  <c r="AP34" i="103"/>
  <c r="AX50" i="103"/>
  <c r="AR21" i="103"/>
  <c r="AO39" i="103"/>
  <c r="AW4" i="103"/>
  <c r="AS141" i="103"/>
  <c r="AQ41" i="103"/>
  <c r="AU96" i="103"/>
  <c r="AU68" i="103"/>
  <c r="AK21" i="103"/>
  <c r="AL4" i="103"/>
  <c r="AX6" i="103"/>
  <c r="AQ132" i="103"/>
  <c r="AY130" i="103"/>
  <c r="AR144" i="103"/>
  <c r="AO123" i="103"/>
  <c r="AK25" i="103"/>
  <c r="AY149" i="103"/>
  <c r="AU6" i="103"/>
  <c r="AS144" i="103"/>
  <c r="AL123" i="103"/>
  <c r="AQ102" i="103"/>
  <c r="AY21" i="103"/>
  <c r="AR39" i="103"/>
  <c r="AO122" i="103"/>
  <c r="AZ4" i="103"/>
  <c r="AZ105" i="103"/>
  <c r="AM16" i="103"/>
  <c r="AU124" i="103"/>
  <c r="AX108" i="103"/>
  <c r="AR16" i="103"/>
  <c r="AZ124" i="103"/>
  <c r="AV141" i="103"/>
  <c r="AS41" i="103"/>
  <c r="AL96" i="103"/>
  <c r="AV113" i="103"/>
  <c r="AL22" i="103"/>
  <c r="AU46" i="103"/>
  <c r="AN109" i="103"/>
  <c r="AK128" i="103"/>
  <c r="AS17" i="103"/>
  <c r="AV18" i="103"/>
  <c r="AS54" i="103"/>
  <c r="AL27" i="103"/>
  <c r="AN103" i="103"/>
  <c r="AK18" i="103"/>
  <c r="AO52" i="103"/>
  <c r="AP118" i="103"/>
  <c r="AX79" i="103"/>
  <c r="AR83" i="103"/>
  <c r="AZ100" i="103"/>
  <c r="AN65" i="103"/>
  <c r="AT94" i="103"/>
  <c r="AU72" i="103"/>
  <c r="AV63" i="103"/>
  <c r="AU90" i="103"/>
  <c r="AV99" i="103"/>
  <c r="AO36" i="103"/>
  <c r="AN145" i="103"/>
  <c r="AZ101" i="103"/>
  <c r="AM65" i="103"/>
  <c r="AS94" i="103"/>
  <c r="AT72" i="103"/>
  <c r="AL97" i="103"/>
  <c r="AU129" i="103"/>
  <c r="AT14" i="103"/>
  <c r="AM116" i="103"/>
  <c r="AN95" i="103"/>
  <c r="AK101" i="103"/>
  <c r="AV64" i="103"/>
  <c r="AW33" i="103"/>
  <c r="AW115" i="103"/>
  <c r="AZ89" i="103"/>
  <c r="AP31" i="103"/>
  <c r="AN86" i="103"/>
  <c r="AO129" i="103"/>
  <c r="AW86" i="103"/>
  <c r="AP89" i="103"/>
  <c r="AX30" i="103"/>
  <c r="AQ60" i="103"/>
  <c r="AY63" i="103"/>
  <c r="AQ33" i="103"/>
  <c r="AU38" i="103"/>
  <c r="AK136" i="103"/>
  <c r="AS152" i="103"/>
  <c r="AZ115" i="103"/>
  <c r="AX8" i="103"/>
  <c r="AY77" i="103"/>
  <c r="AO34" i="103"/>
  <c r="AN139" i="103"/>
  <c r="AT34" i="103"/>
  <c r="AM40" i="103"/>
  <c r="AV6" i="103"/>
  <c r="AV50" i="103"/>
  <c r="AN102" i="103"/>
  <c r="AV21" i="103"/>
  <c r="AS39" i="103"/>
  <c r="AW25" i="103"/>
  <c r="AW42" i="103"/>
  <c r="AX141" i="103"/>
  <c r="AZ96" i="103"/>
  <c r="AY68" i="103"/>
  <c r="AO21" i="103"/>
  <c r="AP4" i="103"/>
  <c r="AU132" i="103"/>
  <c r="AK93" i="103"/>
  <c r="AV144" i="103"/>
  <c r="AS123" i="103"/>
  <c r="AL111" i="103"/>
  <c r="AT61" i="103"/>
  <c r="AY6" i="103"/>
  <c r="AW144" i="103"/>
  <c r="AP123" i="103"/>
  <c r="AU102" i="103"/>
  <c r="AK68" i="103"/>
  <c r="AV39" i="103"/>
  <c r="AS122" i="103"/>
  <c r="AL37" i="103"/>
  <c r="AM149" i="103"/>
  <c r="AK108" i="103"/>
  <c r="AU22" i="103"/>
  <c r="AV9" i="103"/>
  <c r="AV16" i="103"/>
  <c r="AL9" i="103"/>
  <c r="AM113" i="103"/>
  <c r="AZ141" i="103"/>
  <c r="AW41" i="103"/>
  <c r="AP96" i="103"/>
  <c r="AP22" i="103"/>
  <c r="AY46" i="103"/>
  <c r="AR109" i="103"/>
  <c r="AQ121" i="103"/>
  <c r="AO128" i="103"/>
  <c r="AW17" i="103"/>
  <c r="AZ18" i="103"/>
  <c r="AW54" i="103"/>
  <c r="AP27" i="103"/>
  <c r="AY19" i="103"/>
  <c r="AR103" i="103"/>
  <c r="AO18" i="103"/>
  <c r="AQ118" i="103"/>
  <c r="AY79" i="103"/>
  <c r="AQ79" i="103"/>
  <c r="AM15" i="103"/>
  <c r="AR117" i="103"/>
  <c r="AO32" i="103"/>
  <c r="AP125" i="103"/>
  <c r="AO29" i="103"/>
  <c r="AU15" i="103"/>
  <c r="AL43" i="103"/>
  <c r="AP74" i="103"/>
  <c r="AN151" i="103"/>
  <c r="AU140" i="103"/>
  <c r="AN81" i="103"/>
  <c r="AS20" i="103"/>
  <c r="AT49" i="103"/>
  <c r="AM151" i="103"/>
  <c r="AT81" i="103"/>
  <c r="AU20" i="103"/>
  <c r="AK53" i="103"/>
  <c r="AS119" i="103"/>
  <c r="AV119" i="103"/>
  <c r="AS73" i="103"/>
  <c r="AP71" i="103"/>
  <c r="AX126" i="103"/>
  <c r="AY112" i="103"/>
  <c r="AX28" i="103"/>
  <c r="AX82" i="103"/>
  <c r="AM126" i="103"/>
  <c r="AQ7" i="103"/>
  <c r="AU146" i="103"/>
  <c r="AU58" i="103"/>
  <c r="AL112" i="103"/>
  <c r="AV135" i="103"/>
  <c r="AZ134" i="103"/>
  <c r="AP120" i="103"/>
  <c r="AL7" i="103"/>
  <c r="AW137" i="103"/>
  <c r="AY135" i="103"/>
  <c r="AX143" i="103"/>
  <c r="AX23" i="103"/>
  <c r="AQ71" i="103"/>
  <c r="AY143" i="103"/>
  <c r="AR23" i="103"/>
  <c r="AM118" i="103"/>
  <c r="AU79" i="103"/>
  <c r="AV117" i="103"/>
  <c r="AS32" i="103"/>
  <c r="AL76" i="103"/>
  <c r="AT125" i="103"/>
  <c r="AM131" i="103"/>
  <c r="AT29" i="103"/>
  <c r="AY148" i="103"/>
  <c r="AQ43" i="103"/>
  <c r="AV151" i="103"/>
  <c r="AP56" i="103"/>
  <c r="AY140" i="103"/>
  <c r="AR81" i="103"/>
  <c r="AX81" i="103"/>
  <c r="AV20" i="103"/>
  <c r="AM80" i="103"/>
  <c r="AY20" i="103"/>
  <c r="AO53" i="103"/>
  <c r="AZ119" i="103"/>
  <c r="AW73" i="103"/>
  <c r="AY28" i="103"/>
  <c r="AP82" i="103"/>
  <c r="AN5" i="103"/>
  <c r="AQ126" i="103"/>
  <c r="AX112" i="103"/>
  <c r="AZ146" i="103"/>
  <c r="AQ112" i="103"/>
  <c r="AY146" i="103"/>
  <c r="AU120" i="103"/>
  <c r="AP7" i="103"/>
  <c r="AL134" i="103"/>
  <c r="AP11" i="103"/>
  <c r="AK112" i="103"/>
  <c r="AL47" i="103"/>
  <c r="AT134" i="103"/>
  <c r="AK120" i="103"/>
  <c r="AU71" i="103"/>
  <c r="AN87" i="103"/>
  <c r="AK66" i="103"/>
  <c r="AV23" i="103"/>
  <c r="AZ117" i="103"/>
  <c r="AW32" i="103"/>
  <c r="AP76" i="103"/>
  <c r="AX125" i="103"/>
  <c r="AQ131" i="103"/>
  <c r="AT74" i="103"/>
  <c r="AY107" i="103"/>
  <c r="AV43" i="103"/>
  <c r="AX56" i="103"/>
  <c r="AK26" i="103"/>
  <c r="AN74" i="103"/>
  <c r="AK24" i="103"/>
  <c r="AV81" i="103"/>
  <c r="AM24" i="103"/>
  <c r="AT45" i="103"/>
  <c r="AU80" i="103"/>
  <c r="AS53" i="103"/>
  <c r="AL80" i="103"/>
  <c r="AV126" i="103"/>
  <c r="AQ66" i="103"/>
  <c r="AO44" i="103"/>
  <c r="AO147" i="103"/>
  <c r="AU126" i="103"/>
  <c r="AN28" i="103"/>
  <c r="AK82" i="103"/>
  <c r="AZ7" i="103"/>
  <c r="AV143" i="103"/>
  <c r="AV112" i="103"/>
  <c r="AP150" i="103"/>
  <c r="AS87" i="103"/>
  <c r="AL11" i="103"/>
  <c r="AT7" i="103"/>
  <c r="AN112" i="103"/>
  <c r="AN146" i="103"/>
  <c r="AN135" i="103"/>
  <c r="AY120" i="103"/>
  <c r="AO112" i="103"/>
  <c r="AP47" i="103"/>
  <c r="AK71" i="103"/>
  <c r="AO11" i="103"/>
  <c r="AY71" i="103"/>
  <c r="AR87" i="103"/>
  <c r="AO66" i="103"/>
  <c r="AZ23" i="103"/>
  <c r="AU118" i="103"/>
  <c r="AT76" i="103"/>
  <c r="AU131" i="103"/>
  <c r="AN91" i="103"/>
  <c r="AK107" i="103"/>
  <c r="AP151" i="103"/>
  <c r="AT43" i="103"/>
  <c r="AV29" i="103"/>
  <c r="AO45" i="103"/>
  <c r="AV26" i="103"/>
  <c r="AR49" i="103"/>
  <c r="AL126" i="103"/>
  <c r="AR74" i="103"/>
  <c r="AO24" i="103"/>
  <c r="AZ81" i="103"/>
  <c r="AY151" i="103"/>
  <c r="AQ24" i="103"/>
  <c r="AO59" i="103"/>
  <c r="AM53" i="103"/>
  <c r="AW53" i="103"/>
  <c r="AP80" i="103"/>
  <c r="AL59" i="103"/>
  <c r="AP44" i="103"/>
  <c r="AY82" i="103"/>
  <c r="AP88" i="103"/>
  <c r="AY126" i="103"/>
  <c r="AR28" i="103"/>
  <c r="AO82" i="103"/>
  <c r="AV137" i="103"/>
  <c r="AS47" i="103"/>
  <c r="AS150" i="103"/>
  <c r="AN66" i="103"/>
  <c r="AR11" i="103"/>
  <c r="AX7" i="103"/>
  <c r="AR47" i="103"/>
  <c r="AR150" i="103"/>
  <c r="AM66" i="103"/>
  <c r="AZ143" i="103"/>
  <c r="AS112" i="103"/>
  <c r="AL146" i="103"/>
  <c r="AT47" i="103"/>
  <c r="AM150" i="103"/>
  <c r="AT120" i="103"/>
  <c r="AV87" i="103"/>
  <c r="AS66" i="103"/>
  <c r="AY118" i="103"/>
  <c r="AX76" i="103"/>
  <c r="AY131" i="103"/>
  <c r="AR91" i="103"/>
  <c r="AO107" i="103"/>
  <c r="AY43" i="103"/>
  <c r="AR106" i="103"/>
  <c r="AN15" i="103"/>
  <c r="AU49" i="103"/>
  <c r="AO148" i="103"/>
  <c r="AK15" i="103"/>
  <c r="AV74" i="103"/>
  <c r="AS24" i="103"/>
  <c r="AW45" i="103"/>
  <c r="AV148" i="103"/>
  <c r="AU24" i="103"/>
  <c r="AK140" i="103"/>
  <c r="AT80" i="103"/>
  <c r="AM127" i="103"/>
  <c r="AK127" i="103"/>
  <c r="AP59" i="103"/>
  <c r="AP147" i="103"/>
  <c r="AZ135" i="103"/>
  <c r="AX88" i="103"/>
  <c r="AX44" i="103"/>
  <c r="AX147" i="103"/>
  <c r="AX135" i="103"/>
  <c r="AK58" i="103"/>
  <c r="AV28" i="103"/>
  <c r="AS82" i="103"/>
  <c r="AQ48" i="103"/>
  <c r="AX150" i="103"/>
  <c r="AZ137" i="103"/>
  <c r="AL87" i="103"/>
  <c r="AW146" i="103"/>
  <c r="AW135" i="103"/>
  <c r="AR66" i="103"/>
  <c r="AW112" i="103"/>
  <c r="AP146" i="103"/>
  <c r="AX47" i="103"/>
  <c r="AQ150" i="103"/>
  <c r="AT71" i="103"/>
  <c r="AK87" i="103"/>
  <c r="AX11" i="103"/>
  <c r="AZ87" i="103"/>
  <c r="AW66" i="103"/>
  <c r="AT117" i="103"/>
  <c r="AM32" i="103"/>
  <c r="AN125" i="103"/>
  <c r="AK131" i="103"/>
  <c r="AZ43" i="103"/>
  <c r="AN79" i="103"/>
  <c r="AV91" i="103"/>
  <c r="AS107" i="103"/>
  <c r="AU74" i="103"/>
  <c r="AN29" i="103"/>
  <c r="AW148" i="103"/>
  <c r="AO43" i="103"/>
  <c r="AW151" i="103"/>
  <c r="AP148" i="103"/>
  <c r="AO15" i="103"/>
  <c r="AZ74" i="103"/>
  <c r="AW24" i="103"/>
  <c r="AZ148" i="103"/>
  <c r="AY24" i="103"/>
  <c r="AO140" i="103"/>
  <c r="AN80" i="103"/>
  <c r="AX53" i="103"/>
  <c r="AV80" i="103"/>
  <c r="AX80" i="103"/>
  <c r="AQ127" i="103"/>
  <c r="AO127" i="103"/>
  <c r="AK59" i="103"/>
  <c r="AP134" i="103"/>
  <c r="AV44" i="103"/>
  <c r="AT59" i="103"/>
  <c r="AV66" i="103"/>
  <c r="AZ28" i="103"/>
  <c r="AW82" i="103"/>
  <c r="AO88" i="103"/>
  <c r="AZ71" i="103"/>
  <c r="AQ87" i="103"/>
  <c r="AY66" i="103"/>
  <c r="AP87" i="103"/>
  <c r="AP143" i="103"/>
  <c r="AP23" i="103"/>
  <c r="AT146" i="103"/>
  <c r="AM135" i="103"/>
  <c r="AU150" i="103"/>
  <c r="AM143" i="103"/>
  <c r="AX117" i="103"/>
  <c r="AQ32" i="103"/>
  <c r="AR125" i="103"/>
  <c r="AR79" i="103"/>
  <c r="AZ91" i="103"/>
  <c r="AW107" i="103"/>
  <c r="AL15" i="103"/>
  <c r="AR151" i="103"/>
  <c r="AS29" i="103"/>
  <c r="AM106" i="103"/>
  <c r="AL26" i="103"/>
  <c r="AK45" i="103"/>
  <c r="AS15" i="103"/>
  <c r="AM140" i="103"/>
  <c r="AL49" i="103"/>
  <c r="AS140" i="103"/>
  <c r="AL81" i="103"/>
  <c r="AM20" i="103"/>
  <c r="AU127" i="103"/>
  <c r="AS127" i="103"/>
  <c r="AR59" i="103"/>
  <c r="AL73" i="103"/>
  <c r="AN119" i="103"/>
  <c r="AK73" i="103"/>
  <c r="AR82" i="103"/>
  <c r="AX59" i="103"/>
  <c r="AN126" i="103"/>
  <c r="AW143" i="103"/>
  <c r="AY147" i="103"/>
  <c r="AO28" i="103"/>
  <c r="AX137" i="103"/>
  <c r="AZ48" i="103"/>
  <c r="AN134" i="103"/>
  <c r="AU23" i="103"/>
  <c r="AN137" i="103"/>
  <c r="AU87" i="103"/>
  <c r="AX146" i="103"/>
  <c r="AQ135" i="103"/>
  <c r="AY150" i="103"/>
  <c r="AT87" i="103"/>
  <c r="AO143" i="103"/>
  <c r="AO23" i="103"/>
  <c r="AQ143" i="103"/>
  <c r="AN117" i="103"/>
  <c r="AK32" i="103"/>
  <c r="AL125" i="103"/>
  <c r="AX29" i="103"/>
  <c r="AW106" i="103"/>
  <c r="AQ53" i="103"/>
  <c r="AQ140" i="103"/>
  <c r="AN20" i="103"/>
  <c r="AT53" i="103"/>
  <c r="AR127" i="103"/>
  <c r="AP49" i="103"/>
  <c r="AW140" i="103"/>
  <c r="AP81" i="103"/>
  <c r="AK20" i="103"/>
  <c r="AY80" i="103"/>
  <c r="AQ20" i="103"/>
  <c r="AY127" i="103"/>
  <c r="AW127" i="103"/>
  <c r="AR119" i="103"/>
  <c r="AO73" i="103"/>
  <c r="AS126" i="103"/>
  <c r="AP126" i="103"/>
  <c r="AP28" i="103"/>
  <c r="AN11" i="103"/>
  <c r="AY48" i="103"/>
  <c r="AL5" i="103"/>
  <c r="AM112" i="103"/>
  <c r="AO58" i="103"/>
  <c r="AW23" i="103"/>
  <c r="AS134" i="103"/>
  <c r="AS58" i="103"/>
  <c r="AS88" i="103"/>
  <c r="AR5" i="103"/>
  <c r="AR58" i="103"/>
  <c r="AR88" i="103"/>
  <c r="AM23" i="103"/>
  <c r="AY23" i="103"/>
  <c r="AU135" i="103"/>
  <c r="AK134" i="103"/>
  <c r="AT66" i="103"/>
  <c r="AM71" i="103"/>
  <c r="AU143" i="103"/>
  <c r="AN23" i="103"/>
  <c r="B74" i="76"/>
  <c r="B75" i="76" s="1"/>
  <c r="B76" i="76" s="1"/>
  <c r="B77" i="76" s="1"/>
  <c r="B78" i="76" s="1"/>
  <c r="B79" i="76" s="1"/>
  <c r="B80" i="76" s="1"/>
  <c r="B81" i="76" s="1"/>
  <c r="B82" i="76" s="1"/>
  <c r="B83" i="76" s="1"/>
  <c r="B84" i="76" s="1"/>
  <c r="B85" i="76" s="1"/>
  <c r="B86" i="76" s="1"/>
  <c r="B87" i="76"/>
  <c r="B88" i="76"/>
  <c r="B89" i="76"/>
  <c r="B90" i="76"/>
  <c r="B91" i="76"/>
  <c r="B92" i="76"/>
  <c r="B93" i="76"/>
  <c r="B94" i="76"/>
  <c r="B95" i="76"/>
  <c r="B96" i="76"/>
  <c r="B97" i="76"/>
  <c r="B98" i="76"/>
  <c r="B99" i="76"/>
  <c r="B100" i="76"/>
  <c r="B101" i="76"/>
  <c r="B102" i="76"/>
  <c r="B103" i="76"/>
  <c r="B104" i="76"/>
  <c r="B105" i="76"/>
  <c r="B106" i="76"/>
  <c r="B107" i="76"/>
  <c r="B108" i="76"/>
  <c r="B109" i="76"/>
  <c r="B110" i="76"/>
  <c r="B111" i="76"/>
  <c r="B112" i="76"/>
  <c r="B113" i="76"/>
  <c r="B114" i="76"/>
  <c r="B115" i="76"/>
  <c r="B116" i="76"/>
  <c r="B117" i="76"/>
  <c r="B118" i="76"/>
  <c r="B119" i="76"/>
  <c r="B120" i="76"/>
  <c r="B121" i="76"/>
  <c r="B122" i="76"/>
  <c r="B123" i="76"/>
  <c r="B124" i="76"/>
  <c r="B125" i="76"/>
  <c r="AA135" i="104" l="1"/>
  <c r="AA172" i="104"/>
  <c r="AA156" i="104"/>
  <c r="AA152" i="104"/>
  <c r="AA188" i="104"/>
  <c r="AA144" i="104"/>
  <c r="AA176" i="104"/>
  <c r="N264" i="84"/>
  <c r="N256" i="84"/>
  <c r="N248" i="84"/>
  <c r="N240" i="84"/>
  <c r="N232" i="84"/>
  <c r="N224" i="84"/>
  <c r="N216" i="84"/>
  <c r="N208" i="84"/>
  <c r="N200" i="84"/>
  <c r="N192" i="84"/>
  <c r="N184" i="84"/>
  <c r="N176" i="84"/>
  <c r="N168" i="84"/>
  <c r="N160" i="84"/>
  <c r="N152" i="84"/>
  <c r="N144" i="84"/>
  <c r="N136" i="84"/>
  <c r="N128" i="84"/>
  <c r="N120" i="84"/>
  <c r="N112" i="84"/>
  <c r="N104" i="84"/>
  <c r="N96" i="84"/>
  <c r="N88" i="84"/>
  <c r="N80" i="84"/>
  <c r="N72" i="84"/>
  <c r="N64" i="84"/>
  <c r="N56" i="84"/>
  <c r="N48" i="84"/>
  <c r="N40" i="84"/>
  <c r="N32" i="84"/>
  <c r="N24" i="84"/>
  <c r="N16" i="84"/>
  <c r="N8" i="84"/>
  <c r="N263" i="84"/>
  <c r="N255" i="84"/>
  <c r="N247" i="84"/>
  <c r="N239" i="84"/>
  <c r="N231" i="84"/>
  <c r="N223" i="84"/>
  <c r="N215" i="84"/>
  <c r="N207" i="84"/>
  <c r="N199" i="84"/>
  <c r="N191" i="84"/>
  <c r="N183" i="84"/>
  <c r="N175" i="84"/>
  <c r="N167" i="84"/>
  <c r="N159" i="84"/>
  <c r="N151" i="84"/>
  <c r="N143" i="84"/>
  <c r="N135" i="84"/>
  <c r="N127" i="84"/>
  <c r="N119" i="84"/>
  <c r="N111" i="84"/>
  <c r="N103" i="84"/>
  <c r="N95" i="84"/>
  <c r="N87" i="84"/>
  <c r="N79" i="84"/>
  <c r="N71" i="84"/>
  <c r="N63" i="84"/>
  <c r="N55" i="84"/>
  <c r="N47" i="84"/>
  <c r="N39" i="84"/>
  <c r="N31" i="84"/>
  <c r="N23" i="84"/>
  <c r="N15" i="84"/>
  <c r="N7" i="84"/>
  <c r="AA66" i="104"/>
  <c r="X66" i="104"/>
  <c r="J229" i="84" s="1"/>
  <c r="N270" i="84"/>
  <c r="N262" i="84"/>
  <c r="N254" i="84"/>
  <c r="N246" i="84"/>
  <c r="N238" i="84"/>
  <c r="N230" i="84"/>
  <c r="N222" i="84"/>
  <c r="N214" i="84"/>
  <c r="N206" i="84"/>
  <c r="N198" i="84"/>
  <c r="N190" i="84"/>
  <c r="N182" i="84"/>
  <c r="N174" i="84"/>
  <c r="N166" i="84"/>
  <c r="N158" i="84"/>
  <c r="N150" i="84"/>
  <c r="N142" i="84"/>
  <c r="N134" i="84"/>
  <c r="N126" i="84"/>
  <c r="N118" i="84"/>
  <c r="N110" i="84"/>
  <c r="N102" i="84"/>
  <c r="N94" i="84"/>
  <c r="N86" i="84"/>
  <c r="N78" i="84"/>
  <c r="N70" i="84"/>
  <c r="N62" i="84"/>
  <c r="N54" i="84"/>
  <c r="N46" i="84"/>
  <c r="N38" i="84"/>
  <c r="N30" i="84"/>
  <c r="N22" i="84"/>
  <c r="N14" i="84"/>
  <c r="AA75" i="104"/>
  <c r="X75" i="104"/>
  <c r="J88" i="84" s="1"/>
  <c r="BB68" i="103"/>
  <c r="N269" i="84"/>
  <c r="N261" i="84"/>
  <c r="N253" i="84"/>
  <c r="N245" i="84"/>
  <c r="N237" i="84"/>
  <c r="N229" i="84"/>
  <c r="N221" i="84"/>
  <c r="N213" i="84"/>
  <c r="N205" i="84"/>
  <c r="N197" i="84"/>
  <c r="N189" i="84"/>
  <c r="N181" i="84"/>
  <c r="N173" i="84"/>
  <c r="N165" i="84"/>
  <c r="N157" i="84"/>
  <c r="N149" i="84"/>
  <c r="N141" i="84"/>
  <c r="N133" i="84"/>
  <c r="N125" i="84"/>
  <c r="N117" i="84"/>
  <c r="N109" i="84"/>
  <c r="N101" i="84"/>
  <c r="N93" i="84"/>
  <c r="N85" i="84"/>
  <c r="N77" i="84"/>
  <c r="N69" i="84"/>
  <c r="N61" i="84"/>
  <c r="N53" i="84"/>
  <c r="N45" i="84"/>
  <c r="N37" i="84"/>
  <c r="N29" i="84"/>
  <c r="N21" i="84"/>
  <c r="N13" i="84"/>
  <c r="AA142" i="104"/>
  <c r="X142" i="104"/>
  <c r="J191" i="84" s="1"/>
  <c r="AA18" i="104"/>
  <c r="N268" i="84"/>
  <c r="N260" i="84"/>
  <c r="N252" i="84"/>
  <c r="N244" i="84"/>
  <c r="N236" i="84"/>
  <c r="N228" i="84"/>
  <c r="N220" i="84"/>
  <c r="N212" i="84"/>
  <c r="N204" i="84"/>
  <c r="N196" i="84"/>
  <c r="N188" i="84"/>
  <c r="N180" i="84"/>
  <c r="N172" i="84"/>
  <c r="N164" i="84"/>
  <c r="N156" i="84"/>
  <c r="N148" i="84"/>
  <c r="N140" i="84"/>
  <c r="N132" i="84"/>
  <c r="N124" i="84"/>
  <c r="N116" i="84"/>
  <c r="N108" i="84"/>
  <c r="N100" i="84"/>
  <c r="N92" i="84"/>
  <c r="N84" i="84"/>
  <c r="N76" i="84"/>
  <c r="N68" i="84"/>
  <c r="N60" i="84"/>
  <c r="N52" i="84"/>
  <c r="N44" i="84"/>
  <c r="N36" i="84"/>
  <c r="N28" i="84"/>
  <c r="N20" i="84"/>
  <c r="N12" i="84"/>
  <c r="D189" i="48"/>
  <c r="D40" i="115"/>
  <c r="N267" i="84"/>
  <c r="N259" i="84"/>
  <c r="N251" i="84"/>
  <c r="N243" i="84"/>
  <c r="N235" i="84"/>
  <c r="N227" i="84"/>
  <c r="N219" i="84"/>
  <c r="N211" i="84"/>
  <c r="N203" i="84"/>
  <c r="N195" i="84"/>
  <c r="N187" i="84"/>
  <c r="N179" i="84"/>
  <c r="N171" i="84"/>
  <c r="N163" i="84"/>
  <c r="N155" i="84"/>
  <c r="N147" i="84"/>
  <c r="N139" i="84"/>
  <c r="N131" i="84"/>
  <c r="N123" i="84"/>
  <c r="N115" i="84"/>
  <c r="N107" i="84"/>
  <c r="N99" i="84"/>
  <c r="N91" i="84"/>
  <c r="N83" i="84"/>
  <c r="N75" i="84"/>
  <c r="N67" i="84"/>
  <c r="N59" i="84"/>
  <c r="N51" i="84"/>
  <c r="N43" i="84"/>
  <c r="N35" i="84"/>
  <c r="N27" i="84"/>
  <c r="N19" i="84"/>
  <c r="N11" i="84"/>
  <c r="AA131" i="104"/>
  <c r="X131" i="104"/>
  <c r="J180" i="84" s="1"/>
  <c r="N266" i="84"/>
  <c r="N258" i="84"/>
  <c r="N250" i="84"/>
  <c r="N242" i="84"/>
  <c r="N234" i="84"/>
  <c r="N226" i="84"/>
  <c r="N218" i="84"/>
  <c r="N210" i="84"/>
  <c r="N202" i="84"/>
  <c r="N194" i="84"/>
  <c r="N186" i="84"/>
  <c r="N178" i="84"/>
  <c r="N170" i="84"/>
  <c r="N162" i="84"/>
  <c r="N154" i="84"/>
  <c r="N146" i="84"/>
  <c r="N138" i="84"/>
  <c r="N130" i="84"/>
  <c r="N122" i="84"/>
  <c r="N114" i="84"/>
  <c r="N106" i="84"/>
  <c r="N98" i="84"/>
  <c r="N90" i="84"/>
  <c r="N82" i="84"/>
  <c r="N74" i="84"/>
  <c r="N66" i="84"/>
  <c r="N58" i="84"/>
  <c r="N50" i="84"/>
  <c r="N42" i="84"/>
  <c r="N34" i="84"/>
  <c r="N26" i="84"/>
  <c r="N18" i="84"/>
  <c r="N10" i="84"/>
  <c r="N265" i="84"/>
  <c r="N257" i="84"/>
  <c r="N249" i="84"/>
  <c r="N241" i="84"/>
  <c r="N233" i="84"/>
  <c r="N225" i="84"/>
  <c r="N217" i="84"/>
  <c r="N209" i="84"/>
  <c r="N201" i="84"/>
  <c r="N193" i="84"/>
  <c r="N185" i="84"/>
  <c r="N177" i="84"/>
  <c r="N169" i="84"/>
  <c r="N161" i="84"/>
  <c r="N153" i="84"/>
  <c r="N145" i="84"/>
  <c r="N137" i="84"/>
  <c r="N129" i="84"/>
  <c r="N121" i="84"/>
  <c r="N113" i="84"/>
  <c r="N105" i="84"/>
  <c r="N97" i="84"/>
  <c r="N89" i="84"/>
  <c r="N81" i="84"/>
  <c r="N73" i="84"/>
  <c r="N65" i="84"/>
  <c r="N57" i="84"/>
  <c r="N49" i="84"/>
  <c r="N41" i="84"/>
  <c r="N33" i="84"/>
  <c r="N25" i="84"/>
  <c r="N17" i="84"/>
  <c r="N9" i="84"/>
  <c r="I180" i="93"/>
  <c r="I181" i="93"/>
  <c r="S57" i="45" s="1"/>
  <c r="I49" i="93"/>
  <c r="I48" i="93"/>
  <c r="L112" i="84"/>
  <c r="L144" i="84"/>
  <c r="L41" i="84"/>
  <c r="L73" i="84"/>
  <c r="L145" i="84"/>
  <c r="L161" i="84"/>
  <c r="L209" i="84"/>
  <c r="L241" i="84"/>
  <c r="L66" i="84"/>
  <c r="L186" i="84"/>
  <c r="L202" i="84"/>
  <c r="L107" i="84"/>
  <c r="L139" i="84"/>
  <c r="L203" i="84"/>
  <c r="L235" i="84"/>
  <c r="L67" i="84"/>
  <c r="L115" i="84"/>
  <c r="L147" i="84"/>
  <c r="L243" i="84"/>
  <c r="L222" i="84"/>
  <c r="L12" i="84"/>
  <c r="L68" i="84"/>
  <c r="L100" i="84"/>
  <c r="L108" i="84"/>
  <c r="L140" i="84"/>
  <c r="L188" i="84"/>
  <c r="L196" i="84"/>
  <c r="L220" i="84"/>
  <c r="L236" i="84"/>
  <c r="L78" i="84"/>
  <c r="L158" i="84"/>
  <c r="L254" i="84"/>
  <c r="L69" i="84"/>
  <c r="L109" i="84"/>
  <c r="L133" i="84"/>
  <c r="L141" i="84"/>
  <c r="L245" i="84"/>
  <c r="L54" i="84"/>
  <c r="L70" i="84"/>
  <c r="L110" i="84"/>
  <c r="L166" i="84"/>
  <c r="L246" i="84"/>
  <c r="L79" i="84"/>
  <c r="L103" i="84"/>
  <c r="L175" i="84"/>
  <c r="L223" i="84"/>
  <c r="L264" i="84"/>
  <c r="I41" i="84"/>
  <c r="J41" i="84"/>
  <c r="H66" i="84"/>
  <c r="J66" i="84"/>
  <c r="I66" i="84"/>
  <c r="H139" i="84"/>
  <c r="I139" i="84"/>
  <c r="J139" i="84"/>
  <c r="H254" i="84"/>
  <c r="I254" i="84"/>
  <c r="J254" i="84"/>
  <c r="H112" i="84"/>
  <c r="J112" i="84"/>
  <c r="I112" i="84"/>
  <c r="H272" i="84"/>
  <c r="J272" i="84"/>
  <c r="I272" i="84"/>
  <c r="H103" i="84"/>
  <c r="I103" i="84"/>
  <c r="J103" i="84"/>
  <c r="H110" i="84"/>
  <c r="J110" i="84"/>
  <c r="I110" i="84"/>
  <c r="H275" i="84"/>
  <c r="J275" i="84"/>
  <c r="I275" i="84"/>
  <c r="I12" i="84"/>
  <c r="J12" i="84"/>
  <c r="I70" i="84"/>
  <c r="J70" i="84"/>
  <c r="H241" i="84"/>
  <c r="I241" i="84"/>
  <c r="J241" i="84"/>
  <c r="H220" i="84"/>
  <c r="I220" i="84"/>
  <c r="J220" i="84"/>
  <c r="H236" i="84"/>
  <c r="J236" i="84"/>
  <c r="I236" i="84"/>
  <c r="H161" i="84"/>
  <c r="J161" i="84"/>
  <c r="I161" i="84"/>
  <c r="H203" i="84"/>
  <c r="I203" i="84"/>
  <c r="J203" i="84"/>
  <c r="H175" i="84"/>
  <c r="I175" i="84"/>
  <c r="J175" i="84"/>
  <c r="I115" i="84"/>
  <c r="J115" i="84"/>
  <c r="H222" i="84"/>
  <c r="I222" i="84"/>
  <c r="J222" i="84"/>
  <c r="H109" i="84"/>
  <c r="J109" i="84"/>
  <c r="I109" i="84"/>
  <c r="H274" i="84"/>
  <c r="I274" i="84"/>
  <c r="J274" i="84"/>
  <c r="H68" i="84"/>
  <c r="I68" i="84"/>
  <c r="J68" i="84"/>
  <c r="H67" i="84"/>
  <c r="I67" i="84"/>
  <c r="J67" i="84"/>
  <c r="I147" i="84"/>
  <c r="J147" i="84"/>
  <c r="H145" i="84"/>
  <c r="J145" i="84"/>
  <c r="I145" i="84"/>
  <c r="H202" i="84"/>
  <c r="I202" i="84"/>
  <c r="J202" i="84"/>
  <c r="H246" i="84"/>
  <c r="I246" i="84"/>
  <c r="J246" i="84"/>
  <c r="H108" i="84"/>
  <c r="J108" i="84"/>
  <c r="I108" i="84"/>
  <c r="H273" i="84"/>
  <c r="J273" i="84"/>
  <c r="I273" i="84"/>
  <c r="H73" i="84"/>
  <c r="J73" i="84"/>
  <c r="I73" i="84"/>
  <c r="H140" i="84"/>
  <c r="I140" i="84"/>
  <c r="J140" i="84"/>
  <c r="I166" i="84"/>
  <c r="J166" i="84"/>
  <c r="J243" i="84"/>
  <c r="I243" i="84"/>
  <c r="J223" i="84"/>
  <c r="I223" i="84"/>
  <c r="H133" i="84"/>
  <c r="I133" i="84"/>
  <c r="J133" i="84"/>
  <c r="H107" i="84"/>
  <c r="J107" i="84"/>
  <c r="I107" i="84"/>
  <c r="I235" i="84"/>
  <c r="J235" i="84"/>
  <c r="H141" i="84"/>
  <c r="J141" i="84"/>
  <c r="I141" i="84"/>
  <c r="H188" i="84"/>
  <c r="J188" i="84"/>
  <c r="I188" i="84"/>
  <c r="J196" i="84"/>
  <c r="I196" i="84"/>
  <c r="H54" i="84"/>
  <c r="I54" i="84"/>
  <c r="J54" i="84"/>
  <c r="H100" i="84"/>
  <c r="I100" i="84"/>
  <c r="J100" i="84"/>
  <c r="H186" i="84"/>
  <c r="J186" i="84"/>
  <c r="I186" i="84"/>
  <c r="H245" i="84"/>
  <c r="I245" i="84"/>
  <c r="J245" i="84"/>
  <c r="H209" i="84"/>
  <c r="J209" i="84"/>
  <c r="I209" i="84"/>
  <c r="I78" i="84"/>
  <c r="J78" i="84"/>
  <c r="H79" i="84"/>
  <c r="I79" i="84"/>
  <c r="J79" i="84"/>
  <c r="H69" i="84"/>
  <c r="J69" i="84"/>
  <c r="I69" i="84"/>
  <c r="J144" i="84"/>
  <c r="I144" i="84"/>
  <c r="H158" i="84"/>
  <c r="I158" i="84"/>
  <c r="J158" i="84"/>
  <c r="H264" i="84"/>
  <c r="J264" i="84"/>
  <c r="I264" i="84"/>
  <c r="Z97" i="104"/>
  <c r="I126" i="84"/>
  <c r="Z156" i="104"/>
  <c r="I217" i="84"/>
  <c r="Z159" i="104"/>
  <c r="I212" i="84"/>
  <c r="Z138" i="104"/>
  <c r="I193" i="84"/>
  <c r="AB82" i="104"/>
  <c r="H105" i="84"/>
  <c r="Z114" i="104"/>
  <c r="I164" i="84"/>
  <c r="AB194" i="104"/>
  <c r="H257" i="84"/>
  <c r="Z150" i="104"/>
  <c r="I207" i="84"/>
  <c r="AB122" i="104"/>
  <c r="H167" i="84"/>
  <c r="AB152" i="104"/>
  <c r="H130" i="84"/>
  <c r="Z166" i="104"/>
  <c r="I214" i="84"/>
  <c r="Z33" i="104"/>
  <c r="I26" i="84"/>
  <c r="Z163" i="104"/>
  <c r="I213" i="84"/>
  <c r="Z188" i="104"/>
  <c r="I253" i="84"/>
  <c r="Z187" i="104"/>
  <c r="I252" i="84"/>
  <c r="AB137" i="104"/>
  <c r="H189" i="84"/>
  <c r="AB84" i="104"/>
  <c r="H106" i="84"/>
  <c r="AB151" i="104"/>
  <c r="H208" i="84"/>
  <c r="Z36" i="104"/>
  <c r="I52" i="84"/>
  <c r="AB149" i="104"/>
  <c r="H206" i="84"/>
  <c r="AB172" i="104"/>
  <c r="H225" i="84"/>
  <c r="AB183" i="104"/>
  <c r="H248" i="84"/>
  <c r="AB162" i="104"/>
  <c r="H215" i="84"/>
  <c r="Z174" i="104"/>
  <c r="I42" i="84"/>
  <c r="Z30" i="104"/>
  <c r="I38" i="84"/>
  <c r="AB144" i="104"/>
  <c r="H195" i="84"/>
  <c r="Z83" i="104"/>
  <c r="I102" i="84"/>
  <c r="Z86" i="104"/>
  <c r="I114" i="84"/>
  <c r="Z152" i="104"/>
  <c r="I130" i="84"/>
  <c r="Z148" i="104"/>
  <c r="I155" i="84"/>
  <c r="Z116" i="104"/>
  <c r="I171" i="84"/>
  <c r="Z44" i="104"/>
  <c r="I50" i="84"/>
  <c r="Z143" i="104"/>
  <c r="I192" i="84"/>
  <c r="AB138" i="104"/>
  <c r="H193" i="84"/>
  <c r="Z50" i="104"/>
  <c r="I104" i="84"/>
  <c r="Z146" i="104"/>
  <c r="I205" i="84"/>
  <c r="Z118" i="104"/>
  <c r="I159" i="84"/>
  <c r="Z142" i="104"/>
  <c r="I191" i="84"/>
  <c r="AB35" i="104"/>
  <c r="H21" i="84"/>
  <c r="Z27" i="104"/>
  <c r="I37" i="84"/>
  <c r="AB150" i="104"/>
  <c r="H207" i="84"/>
  <c r="AB66" i="104"/>
  <c r="H229" i="84"/>
  <c r="Z35" i="104"/>
  <c r="I21" i="84"/>
  <c r="Z38" i="104"/>
  <c r="I47" i="84"/>
  <c r="Z170" i="104"/>
  <c r="I143" i="84"/>
  <c r="AB81" i="104"/>
  <c r="H99" i="84"/>
  <c r="Z131" i="104"/>
  <c r="I180" i="84"/>
  <c r="Z65" i="104"/>
  <c r="I76" i="84"/>
  <c r="Z171" i="104"/>
  <c r="I211" i="84"/>
  <c r="AB155" i="104"/>
  <c r="H265" i="84"/>
  <c r="Z67" i="104"/>
  <c r="I77" i="84"/>
  <c r="Z155" i="104"/>
  <c r="I265" i="84"/>
  <c r="AB160" i="104"/>
  <c r="H219" i="84"/>
  <c r="AB17" i="104"/>
  <c r="H19" i="84"/>
  <c r="AB190" i="104"/>
  <c r="H86" i="84"/>
  <c r="Z139" i="104"/>
  <c r="I190" i="84"/>
  <c r="Z57" i="104"/>
  <c r="I61" i="84"/>
  <c r="Z91" i="104"/>
  <c r="I120" i="84"/>
  <c r="AB41" i="104"/>
  <c r="H234" i="84"/>
  <c r="AB30" i="104"/>
  <c r="H38" i="84"/>
  <c r="Z200" i="104"/>
  <c r="I269" i="84"/>
  <c r="Z34" i="104"/>
  <c r="I24" i="84"/>
  <c r="Z94" i="104"/>
  <c r="I124" i="84"/>
  <c r="AB188" i="104"/>
  <c r="H253" i="84"/>
  <c r="AB73" i="104"/>
  <c r="H87" i="84"/>
  <c r="Z45" i="104"/>
  <c r="I51" i="84"/>
  <c r="Z9" i="104"/>
  <c r="I10" i="84"/>
  <c r="Z107" i="104"/>
  <c r="I148" i="84"/>
  <c r="AB176" i="104"/>
  <c r="H239" i="84"/>
  <c r="Z147" i="104"/>
  <c r="I131" i="84"/>
  <c r="AB136" i="104"/>
  <c r="H187" i="84"/>
  <c r="AB9" i="104"/>
  <c r="H10" i="84"/>
  <c r="AB67" i="104"/>
  <c r="H77" i="84"/>
  <c r="AB93" i="104"/>
  <c r="H122" i="84"/>
  <c r="AB132" i="104"/>
  <c r="H178" i="84"/>
  <c r="AB156" i="104"/>
  <c r="H217" i="84"/>
  <c r="AB52" i="104"/>
  <c r="H58" i="84"/>
  <c r="AB77" i="104"/>
  <c r="H95" i="84"/>
  <c r="Z136" i="104"/>
  <c r="I187" i="84"/>
  <c r="AB166" i="104"/>
  <c r="H214" i="84"/>
  <c r="Z66" i="104"/>
  <c r="I229" i="84"/>
  <c r="Z192" i="104"/>
  <c r="I256" i="84"/>
  <c r="Z110" i="104"/>
  <c r="I173" i="84"/>
  <c r="Z198" i="104"/>
  <c r="I201" i="84"/>
  <c r="Z140" i="104"/>
  <c r="I194" i="84"/>
  <c r="Z108" i="104"/>
  <c r="I149" i="84"/>
  <c r="Z191" i="104"/>
  <c r="I251" i="84"/>
  <c r="AB42" i="104"/>
  <c r="H44" i="84"/>
  <c r="Z176" i="104"/>
  <c r="I239" i="84"/>
  <c r="AB146" i="104"/>
  <c r="H205" i="84"/>
  <c r="AB98" i="104"/>
  <c r="H129" i="84"/>
  <c r="Z74" i="104"/>
  <c r="I60" i="84"/>
  <c r="AB142" i="104"/>
  <c r="H191" i="84"/>
  <c r="Z11" i="104"/>
  <c r="I11" i="84"/>
  <c r="AB128" i="104"/>
  <c r="H183" i="84"/>
  <c r="Z26" i="104"/>
  <c r="I23" i="84"/>
  <c r="AB170" i="104"/>
  <c r="H143" i="84"/>
  <c r="AB25" i="104"/>
  <c r="H31" i="84"/>
  <c r="AB179" i="104"/>
  <c r="H242" i="84"/>
  <c r="Z179" i="104"/>
  <c r="I242" i="84"/>
  <c r="AB139" i="104"/>
  <c r="H190" i="84"/>
  <c r="Z10" i="104"/>
  <c r="I65" i="84"/>
  <c r="Z41" i="104"/>
  <c r="I234" i="84"/>
  <c r="AB158" i="104"/>
  <c r="H210" i="84"/>
  <c r="Z12" i="104"/>
  <c r="I9" i="84"/>
  <c r="AB33" i="104"/>
  <c r="H26" i="84"/>
  <c r="AB174" i="104"/>
  <c r="H42" i="84"/>
  <c r="AB148" i="104"/>
  <c r="H155" i="84"/>
  <c r="AB143" i="104"/>
  <c r="H192" i="84"/>
  <c r="AB175" i="104"/>
  <c r="H232" i="84"/>
  <c r="Z52" i="104"/>
  <c r="I58" i="84"/>
  <c r="Z37" i="104"/>
  <c r="I128" i="84"/>
  <c r="Z87" i="104"/>
  <c r="I111" i="84"/>
  <c r="Z184" i="104"/>
  <c r="I249" i="84"/>
  <c r="AB92" i="104"/>
  <c r="H121" i="84"/>
  <c r="AB124" i="104"/>
  <c r="H170" i="84"/>
  <c r="AB135" i="104"/>
  <c r="H182" i="84"/>
  <c r="Z121" i="104"/>
  <c r="I168" i="84"/>
  <c r="Z135" i="104"/>
  <c r="I182" i="84"/>
  <c r="Z113" i="104"/>
  <c r="I163" i="84"/>
  <c r="Z92" i="104"/>
  <c r="I121" i="84"/>
  <c r="Z183" i="104"/>
  <c r="I248" i="84"/>
  <c r="Z98" i="104"/>
  <c r="I129" i="84"/>
  <c r="Z130" i="104"/>
  <c r="I185" i="84"/>
  <c r="Z60" i="104"/>
  <c r="I71" i="84"/>
  <c r="Z186" i="104"/>
  <c r="I250" i="84"/>
  <c r="AB27" i="104"/>
  <c r="H37" i="84"/>
  <c r="Z182" i="104"/>
  <c r="I247" i="84"/>
  <c r="AB100" i="104"/>
  <c r="H127" i="84"/>
  <c r="Z19" i="104"/>
  <c r="I28" i="84"/>
  <c r="Z128" i="104"/>
  <c r="I183" i="84"/>
  <c r="Z25" i="104"/>
  <c r="I31" i="84"/>
  <c r="Z180" i="104"/>
  <c r="I237" i="84"/>
  <c r="AB115" i="104"/>
  <c r="H160" i="84"/>
  <c r="AB97" i="104"/>
  <c r="H126" i="84"/>
  <c r="AB57" i="104"/>
  <c r="H61" i="84"/>
  <c r="AB49" i="104"/>
  <c r="H46" i="84"/>
  <c r="AB44" i="104"/>
  <c r="H50" i="84"/>
  <c r="AB76" i="104"/>
  <c r="H94" i="84"/>
  <c r="Z20" i="104"/>
  <c r="I27" i="84"/>
  <c r="Z42" i="104"/>
  <c r="I44" i="84"/>
  <c r="AB68" i="104"/>
  <c r="H81" i="84"/>
  <c r="AB83" i="104"/>
  <c r="H102" i="84"/>
  <c r="AB147" i="104"/>
  <c r="H131" i="84"/>
  <c r="Z144" i="104"/>
  <c r="I195" i="84"/>
  <c r="AB167" i="104"/>
  <c r="H218" i="84"/>
  <c r="AB180" i="104"/>
  <c r="H237" i="84"/>
  <c r="Z158" i="104"/>
  <c r="I210" i="84"/>
  <c r="AB36" i="104"/>
  <c r="H52" i="84"/>
  <c r="Z17" i="104"/>
  <c r="I19" i="84"/>
  <c r="AB113" i="104"/>
  <c r="H163" i="84"/>
  <c r="AB107" i="104"/>
  <c r="H148" i="84"/>
  <c r="AB192" i="104"/>
  <c r="H256" i="84"/>
  <c r="Z164" i="104"/>
  <c r="I226" i="84"/>
  <c r="Z132" i="104"/>
  <c r="I178" i="84"/>
  <c r="Z84" i="104"/>
  <c r="I106" i="84"/>
  <c r="Z175" i="104"/>
  <c r="I232" i="84"/>
  <c r="Z90" i="104"/>
  <c r="I116" i="84"/>
  <c r="AB58" i="104"/>
  <c r="H62" i="84"/>
  <c r="AB50" i="104"/>
  <c r="H104" i="84"/>
  <c r="AB60" i="104"/>
  <c r="H71" i="84"/>
  <c r="Z194" i="104"/>
  <c r="I257" i="84"/>
  <c r="Z73" i="104"/>
  <c r="I87" i="84"/>
  <c r="Z122" i="104"/>
  <c r="I167" i="84"/>
  <c r="AB26" i="104"/>
  <c r="H23" i="84"/>
  <c r="AB105" i="104"/>
  <c r="H136" i="84"/>
  <c r="AB28" i="104"/>
  <c r="H33" i="84"/>
  <c r="AB18" i="104"/>
  <c r="H20" i="84"/>
  <c r="AB10" i="104"/>
  <c r="H65" i="84"/>
  <c r="Z51" i="104"/>
  <c r="I55" i="84"/>
  <c r="AB184" i="104"/>
  <c r="H249" i="84"/>
  <c r="Z81" i="104"/>
  <c r="I99" i="84"/>
  <c r="AB34" i="104"/>
  <c r="H24" i="84"/>
  <c r="AB99" i="104"/>
  <c r="H132" i="84"/>
  <c r="AB168" i="104"/>
  <c r="H268" i="84"/>
  <c r="AB164" i="104"/>
  <c r="H226" i="84"/>
  <c r="Z160" i="104"/>
  <c r="I219" i="84"/>
  <c r="Z151" i="104"/>
  <c r="I208" i="84"/>
  <c r="AB154" i="104"/>
  <c r="H258" i="84"/>
  <c r="AB178" i="104"/>
  <c r="H162" i="84"/>
  <c r="Z89" i="104"/>
  <c r="I118" i="84"/>
  <c r="AB65" i="104"/>
  <c r="H76" i="84"/>
  <c r="AB59" i="104"/>
  <c r="H64" i="84"/>
  <c r="AB62" i="104"/>
  <c r="H216" i="84"/>
  <c r="Z58" i="104"/>
  <c r="I62" i="84"/>
  <c r="AB191" i="104"/>
  <c r="H251" i="84"/>
  <c r="Z105" i="104"/>
  <c r="I136" i="84"/>
  <c r="Z167" i="104"/>
  <c r="I218" i="84"/>
  <c r="AB90" i="104"/>
  <c r="H116" i="84"/>
  <c r="Z154" i="104"/>
  <c r="I258" i="84"/>
  <c r="AB130" i="104"/>
  <c r="H185" i="84"/>
  <c r="Z178" i="104"/>
  <c r="I162" i="84"/>
  <c r="AB186" i="104"/>
  <c r="H250" i="84"/>
  <c r="AB182" i="104"/>
  <c r="H247" i="84"/>
  <c r="AB74" i="104"/>
  <c r="H60" i="84"/>
  <c r="Z162" i="104"/>
  <c r="I215" i="84"/>
  <c r="Z172" i="104"/>
  <c r="I225" i="84"/>
  <c r="Z168" i="104"/>
  <c r="I268" i="84"/>
  <c r="Z49" i="104"/>
  <c r="I46" i="84"/>
  <c r="Z82" i="104"/>
  <c r="I105" i="84"/>
  <c r="AB140" i="104"/>
  <c r="H194" i="84"/>
  <c r="Z18" i="104"/>
  <c r="I20" i="84"/>
  <c r="Z190" i="104"/>
  <c r="I86" i="84"/>
  <c r="AB131" i="104"/>
  <c r="H180" i="84"/>
  <c r="AB198" i="104"/>
  <c r="H201" i="84"/>
  <c r="H115" i="84"/>
  <c r="H166" i="84"/>
  <c r="H243" i="84"/>
  <c r="H147" i="84"/>
  <c r="H223" i="84"/>
  <c r="H235" i="84"/>
  <c r="H196" i="84"/>
  <c r="H78" i="84"/>
  <c r="H144" i="84"/>
  <c r="H70" i="84"/>
  <c r="H41" i="84"/>
  <c r="H12" i="84"/>
  <c r="Z125" i="104"/>
  <c r="Z29" i="104"/>
  <c r="AB121" i="104"/>
  <c r="AB89" i="104"/>
  <c r="Z169" i="104"/>
  <c r="Z129" i="104"/>
  <c r="AA114" i="104"/>
  <c r="AB161" i="104"/>
  <c r="Z145" i="104"/>
  <c r="AB40" i="104"/>
  <c r="AA195" i="104"/>
  <c r="AB114" i="104"/>
  <c r="Z106" i="104"/>
  <c r="AB106" i="104"/>
  <c r="Z126" i="104"/>
  <c r="AB54" i="104"/>
  <c r="AB38" i="104"/>
  <c r="AB94" i="104"/>
  <c r="AB70" i="104"/>
  <c r="AB23" i="104"/>
  <c r="Z54" i="104"/>
  <c r="AB111" i="104"/>
  <c r="AB22" i="104"/>
  <c r="AB75" i="104"/>
  <c r="AB91" i="104"/>
  <c r="AB78" i="104"/>
  <c r="AB102" i="104"/>
  <c r="Z22" i="104"/>
  <c r="Z31" i="104"/>
  <c r="Z39" i="104"/>
  <c r="Z123" i="104"/>
  <c r="AB55" i="104"/>
  <c r="AB79" i="104"/>
  <c r="Z127" i="104"/>
  <c r="AB71" i="104"/>
  <c r="Z47" i="104"/>
  <c r="AB39" i="104"/>
  <c r="Z101" i="104"/>
  <c r="Z69" i="104"/>
  <c r="Z70" i="104"/>
  <c r="Z62" i="104"/>
  <c r="AB196" i="104"/>
  <c r="AB95" i="104"/>
  <c r="Z63" i="104"/>
  <c r="AB15" i="104"/>
  <c r="AB46" i="104"/>
  <c r="AB123" i="104"/>
  <c r="Z46" i="104"/>
  <c r="Z78" i="104"/>
  <c r="Z102" i="104"/>
  <c r="Z71" i="104"/>
  <c r="AB200" i="104"/>
  <c r="Z14" i="104"/>
  <c r="Z196" i="104"/>
  <c r="AB21" i="104"/>
  <c r="Z120" i="104"/>
  <c r="AB61" i="104"/>
  <c r="Z72" i="104"/>
  <c r="Z201" i="104"/>
  <c r="Z199" i="104"/>
  <c r="Z95" i="104"/>
  <c r="Z85" i="104"/>
  <c r="Z16" i="104"/>
  <c r="Z100" i="104"/>
  <c r="Z15" i="104"/>
  <c r="AB87" i="104"/>
  <c r="Z43" i="104"/>
  <c r="AB163" i="104"/>
  <c r="Z197" i="104"/>
  <c r="Z133" i="104"/>
  <c r="AB187" i="104"/>
  <c r="Z88" i="104"/>
  <c r="AB125" i="104"/>
  <c r="AA155" i="104"/>
  <c r="AB51" i="104"/>
  <c r="Z80" i="104"/>
  <c r="AB108" i="104"/>
  <c r="AB116" i="104"/>
  <c r="AB127" i="104"/>
  <c r="AB159" i="104"/>
  <c r="Z189" i="104"/>
  <c r="Z141" i="104"/>
  <c r="Z96" i="104"/>
  <c r="AB117" i="104"/>
  <c r="Z185" i="104"/>
  <c r="Z119" i="104"/>
  <c r="Z32" i="104"/>
  <c r="Z64" i="104"/>
  <c r="Z8" i="104"/>
  <c r="Z103" i="104"/>
  <c r="Z109" i="104"/>
  <c r="AB13" i="104"/>
  <c r="AB53" i="104"/>
  <c r="AB69" i="104"/>
  <c r="AB37" i="104"/>
  <c r="Z111" i="104"/>
  <c r="Z61" i="104"/>
  <c r="Z193" i="104"/>
  <c r="Z181" i="104"/>
  <c r="AB29" i="104"/>
  <c r="Z165" i="104"/>
  <c r="Z149" i="104"/>
  <c r="Z117" i="104"/>
  <c r="AB101" i="104"/>
  <c r="AB11" i="104"/>
  <c r="AB109" i="104"/>
  <c r="Z177" i="104"/>
  <c r="Z137" i="104"/>
  <c r="Z76" i="104"/>
  <c r="Z161" i="104"/>
  <c r="AA61" i="104"/>
  <c r="AB63" i="104"/>
  <c r="Z21" i="104"/>
  <c r="AB103" i="104"/>
  <c r="AB20" i="104"/>
  <c r="AB171" i="104"/>
  <c r="Z23" i="104"/>
  <c r="Z93" i="104"/>
  <c r="Z173" i="104"/>
  <c r="Z48" i="104"/>
  <c r="Z75" i="104"/>
  <c r="Z157" i="104"/>
  <c r="AB31" i="104"/>
  <c r="AB19" i="104"/>
  <c r="AB43" i="104"/>
  <c r="Z99" i="104"/>
  <c r="Z112" i="104"/>
  <c r="AB195" i="104"/>
  <c r="Z153" i="104"/>
  <c r="Z24" i="104"/>
  <c r="Z124" i="104"/>
  <c r="Z68" i="104"/>
  <c r="Z55" i="104"/>
  <c r="Z195" i="104"/>
  <c r="AB47" i="104"/>
  <c r="Z13" i="104"/>
  <c r="Z79" i="104"/>
  <c r="Z77" i="104"/>
  <c r="Z56" i="104"/>
  <c r="Z40" i="104"/>
  <c r="AB12" i="104"/>
  <c r="Z53" i="104"/>
  <c r="Z104" i="104"/>
  <c r="Z28" i="104"/>
  <c r="AB45" i="104"/>
  <c r="Z59" i="104"/>
  <c r="AB85" i="104"/>
  <c r="Z115" i="104"/>
  <c r="AB199" i="104"/>
  <c r="AB24" i="104"/>
  <c r="AB32" i="104"/>
  <c r="AB48" i="104"/>
  <c r="AB165" i="104"/>
  <c r="AB145" i="104"/>
  <c r="AB153" i="104"/>
  <c r="AB173" i="104"/>
  <c r="AB118" i="104"/>
  <c r="AB120" i="104"/>
  <c r="AB104" i="104"/>
  <c r="AB129" i="104"/>
  <c r="AB112" i="104"/>
  <c r="AB201" i="104"/>
  <c r="AB88" i="104"/>
  <c r="AB86" i="104"/>
  <c r="AB64" i="104"/>
  <c r="AA70" i="104"/>
  <c r="AB110" i="104"/>
  <c r="AB169" i="104"/>
  <c r="AB189" i="104"/>
  <c r="AB126" i="104"/>
  <c r="AB197" i="104"/>
  <c r="AA102" i="104"/>
  <c r="AB14" i="104"/>
  <c r="AB56" i="104"/>
  <c r="AB119" i="104"/>
  <c r="AB133" i="104"/>
  <c r="AB141" i="104"/>
  <c r="AB185" i="104"/>
  <c r="AB80" i="104"/>
  <c r="AB193" i="104"/>
  <c r="AB96" i="104"/>
  <c r="AB72" i="104"/>
  <c r="AB16" i="104"/>
  <c r="AB177" i="104"/>
  <c r="AB157" i="104"/>
  <c r="AB181" i="104"/>
  <c r="AA10" i="104"/>
  <c r="AA110" i="104"/>
  <c r="AA74" i="104"/>
  <c r="AA160" i="104"/>
  <c r="AA158" i="104"/>
  <c r="AA77" i="104"/>
  <c r="AA51" i="104"/>
  <c r="AA30" i="104"/>
  <c r="AA34" i="104"/>
  <c r="AA78" i="104"/>
  <c r="AA168" i="104"/>
  <c r="AA159" i="104"/>
  <c r="AA71" i="104"/>
  <c r="AA39" i="104"/>
  <c r="AA15" i="104"/>
  <c r="AA197" i="104"/>
  <c r="AA193" i="104"/>
  <c r="AA165" i="104"/>
  <c r="AA149" i="104"/>
  <c r="AA115" i="104"/>
  <c r="AA125" i="104"/>
  <c r="AA148" i="104"/>
  <c r="AA123" i="104"/>
  <c r="AA171" i="104"/>
  <c r="AA41" i="104"/>
  <c r="AA180" i="104"/>
  <c r="AA106" i="104"/>
  <c r="AA9" i="104"/>
  <c r="AA186" i="104"/>
  <c r="AA198" i="104"/>
  <c r="AA194" i="104"/>
  <c r="AA97" i="104"/>
  <c r="AA43" i="104"/>
  <c r="AA184" i="104"/>
  <c r="AA25" i="104"/>
  <c r="AA109" i="104"/>
  <c r="AA91" i="104"/>
  <c r="AA187" i="104"/>
  <c r="AA107" i="104"/>
  <c r="AA23" i="104"/>
  <c r="AA157" i="104"/>
  <c r="AA69" i="104"/>
  <c r="AA95" i="104"/>
  <c r="AA133" i="104"/>
  <c r="AA49" i="104"/>
  <c r="AA173" i="104"/>
  <c r="AA85" i="104"/>
  <c r="AA190" i="104"/>
  <c r="AA153" i="104"/>
  <c r="AA129" i="104"/>
  <c r="D78" i="47"/>
  <c r="C86" i="63"/>
  <c r="C18" i="63" s="1"/>
  <c r="E102" i="93"/>
  <c r="E101" i="93" s="1"/>
  <c r="I101" i="93" s="1"/>
  <c r="I173" i="93"/>
  <c r="I185" i="93"/>
  <c r="I170" i="93"/>
  <c r="I90" i="93"/>
  <c r="I82" i="93"/>
  <c r="I169" i="93"/>
  <c r="I108" i="93"/>
  <c r="I186" i="93"/>
  <c r="I114" i="93"/>
  <c r="I107" i="93"/>
  <c r="I53" i="93"/>
  <c r="I116" i="93"/>
  <c r="I86" i="93"/>
  <c r="I111" i="93"/>
  <c r="I47" i="93"/>
  <c r="I87" i="93"/>
  <c r="I184" i="93"/>
  <c r="I83" i="93"/>
  <c r="I74" i="93"/>
  <c r="BB149" i="103"/>
  <c r="AA8" i="104"/>
  <c r="AA124" i="104"/>
  <c r="AA120" i="104"/>
  <c r="AA116" i="104"/>
  <c r="AA112" i="104"/>
  <c r="AA108" i="104"/>
  <c r="AA100" i="104"/>
  <c r="AA92" i="104"/>
  <c r="AA88" i="104"/>
  <c r="AA84" i="104"/>
  <c r="AA80" i="104"/>
  <c r="AA76" i="104"/>
  <c r="AA68" i="104"/>
  <c r="AA52" i="104"/>
  <c r="AA48" i="104"/>
  <c r="AA44" i="104"/>
  <c r="AA40" i="104"/>
  <c r="AA36" i="104"/>
  <c r="AA24" i="104"/>
  <c r="AA16" i="104"/>
  <c r="BB36" i="103"/>
  <c r="AA177" i="104"/>
  <c r="AA127" i="104"/>
  <c r="AA103" i="104"/>
  <c r="AA87" i="104"/>
  <c r="AA79" i="104"/>
  <c r="AA59" i="104"/>
  <c r="AA183" i="104"/>
  <c r="AA181" i="104"/>
  <c r="AA179" i="104"/>
  <c r="AA175" i="104"/>
  <c r="AA141" i="104"/>
  <c r="G114" i="99"/>
  <c r="G303" i="99"/>
  <c r="G308" i="99"/>
  <c r="G106" i="99"/>
  <c r="G239" i="99"/>
  <c r="G348" i="99"/>
  <c r="G220" i="99"/>
  <c r="G346" i="99"/>
  <c r="G264" i="99"/>
  <c r="G218" i="99"/>
  <c r="G327" i="99"/>
  <c r="G263" i="99"/>
  <c r="G164" i="99"/>
  <c r="G162" i="99"/>
  <c r="G112" i="99"/>
  <c r="BB37" i="103"/>
  <c r="AA126" i="104"/>
  <c r="BB85" i="103"/>
  <c r="AA37" i="104"/>
  <c r="AA19" i="104"/>
  <c r="AA182" i="104"/>
  <c r="AA22" i="104"/>
  <c r="AA146" i="104"/>
  <c r="AA151" i="104"/>
  <c r="AA161" i="104"/>
  <c r="I11" i="90"/>
  <c r="AA138" i="104"/>
  <c r="AA93" i="104"/>
  <c r="AA86" i="104"/>
  <c r="AA47" i="104"/>
  <c r="AA185" i="104"/>
  <c r="AA143" i="104"/>
  <c r="AA145" i="104"/>
  <c r="AA99" i="104"/>
  <c r="AA31" i="104"/>
  <c r="AA45" i="104"/>
  <c r="AA128" i="104"/>
  <c r="AA162" i="104"/>
  <c r="AA122" i="104"/>
  <c r="AA189" i="104"/>
  <c r="AA137" i="104"/>
  <c r="AA163" i="104"/>
  <c r="G328" i="99"/>
  <c r="G244" i="99"/>
  <c r="G13" i="99"/>
  <c r="G284" i="99"/>
  <c r="G200" i="99"/>
  <c r="G367" i="99"/>
  <c r="G282" i="99"/>
  <c r="G199" i="99"/>
  <c r="G362" i="99"/>
  <c r="G343" i="99"/>
  <c r="G319" i="99"/>
  <c r="G298" i="99"/>
  <c r="G279" i="99"/>
  <c r="G255" i="99"/>
  <c r="G234" i="99"/>
  <c r="G215" i="99"/>
  <c r="G191" i="99"/>
  <c r="G144" i="99"/>
  <c r="G100" i="99"/>
  <c r="G364" i="99"/>
  <c r="G344" i="99"/>
  <c r="G324" i="99"/>
  <c r="G300" i="99"/>
  <c r="G280" i="99"/>
  <c r="G260" i="99"/>
  <c r="G236" i="99"/>
  <c r="G216" i="99"/>
  <c r="G196" i="99"/>
  <c r="G154" i="99"/>
  <c r="G360" i="99"/>
  <c r="G340" i="99"/>
  <c r="G316" i="99"/>
  <c r="G296" i="99"/>
  <c r="G276" i="99"/>
  <c r="G252" i="99"/>
  <c r="G232" i="99"/>
  <c r="G212" i="99"/>
  <c r="G180" i="99"/>
  <c r="G143" i="99"/>
  <c r="G67" i="99"/>
  <c r="G372" i="99"/>
  <c r="G359" i="99"/>
  <c r="G335" i="99"/>
  <c r="G314" i="99"/>
  <c r="G295" i="99"/>
  <c r="G271" i="99"/>
  <c r="G250" i="99"/>
  <c r="G231" i="99"/>
  <c r="G207" i="99"/>
  <c r="G178" i="99"/>
  <c r="G138" i="99"/>
  <c r="G356" i="99"/>
  <c r="G332" i="99"/>
  <c r="G312" i="99"/>
  <c r="G292" i="99"/>
  <c r="G268" i="99"/>
  <c r="G248" i="99"/>
  <c r="G228" i="99"/>
  <c r="G204" i="99"/>
  <c r="G176" i="99"/>
  <c r="G132" i="99"/>
  <c r="G351" i="99"/>
  <c r="G330" i="99"/>
  <c r="G311" i="99"/>
  <c r="G287" i="99"/>
  <c r="G266" i="99"/>
  <c r="G247" i="99"/>
  <c r="G223" i="99"/>
  <c r="G202" i="99"/>
  <c r="G170" i="99"/>
  <c r="G130" i="99"/>
  <c r="G188" i="99"/>
  <c r="G160" i="99"/>
  <c r="G128" i="99"/>
  <c r="G186" i="99"/>
  <c r="G159" i="99"/>
  <c r="G116" i="99"/>
  <c r="G370" i="99"/>
  <c r="G354" i="99"/>
  <c r="G338" i="99"/>
  <c r="G322" i="99"/>
  <c r="G306" i="99"/>
  <c r="G290" i="99"/>
  <c r="G274" i="99"/>
  <c r="G258" i="99"/>
  <c r="G242" i="99"/>
  <c r="G226" i="99"/>
  <c r="G210" i="99"/>
  <c r="G194" i="99"/>
  <c r="G175" i="99"/>
  <c r="G148" i="99"/>
  <c r="G127" i="99"/>
  <c r="G90" i="99"/>
  <c r="G368" i="99"/>
  <c r="G352" i="99"/>
  <c r="G336" i="99"/>
  <c r="G320" i="99"/>
  <c r="G304" i="99"/>
  <c r="G288" i="99"/>
  <c r="G272" i="99"/>
  <c r="G256" i="99"/>
  <c r="G240" i="99"/>
  <c r="G224" i="99"/>
  <c r="G208" i="99"/>
  <c r="G192" i="99"/>
  <c r="G172" i="99"/>
  <c r="G146" i="99"/>
  <c r="G122" i="99"/>
  <c r="G87" i="99"/>
  <c r="G111" i="99"/>
  <c r="G156" i="99"/>
  <c r="G140" i="99"/>
  <c r="G124" i="99"/>
  <c r="G108" i="99"/>
  <c r="G59" i="99"/>
  <c r="G184" i="99"/>
  <c r="G168" i="99"/>
  <c r="G152" i="99"/>
  <c r="G136" i="99"/>
  <c r="G120" i="99"/>
  <c r="G104" i="99"/>
  <c r="G183" i="99"/>
  <c r="G167" i="99"/>
  <c r="G151" i="99"/>
  <c r="G135" i="99"/>
  <c r="G119" i="99"/>
  <c r="G103" i="99"/>
  <c r="I50" i="93"/>
  <c r="I75" i="93"/>
  <c r="BB52" i="103"/>
  <c r="BB141" i="103"/>
  <c r="BB134" i="103"/>
  <c r="BB119" i="103"/>
  <c r="BB125" i="103"/>
  <c r="BB73" i="103"/>
  <c r="BB106" i="103"/>
  <c r="BB135" i="103"/>
  <c r="BB58" i="103"/>
  <c r="BB11" i="103"/>
  <c r="BB45" i="103"/>
  <c r="BB107" i="103"/>
  <c r="BB82" i="103"/>
  <c r="BB112" i="103"/>
  <c r="BB93" i="103"/>
  <c r="BB18" i="103"/>
  <c r="BB21" i="103"/>
  <c r="BB34" i="103"/>
  <c r="BB114" i="103"/>
  <c r="BB129" i="103"/>
  <c r="BB99" i="103"/>
  <c r="BB54" i="103"/>
  <c r="BB16" i="103"/>
  <c r="BB98" i="103"/>
  <c r="BB138" i="103"/>
  <c r="BB27" i="103"/>
  <c r="BB12" i="103"/>
  <c r="BB42" i="103"/>
  <c r="BB151" i="103"/>
  <c r="BB26" i="103"/>
  <c r="BB105" i="103"/>
  <c r="BB110" i="103"/>
  <c r="BB40" i="103"/>
  <c r="BB90" i="103"/>
  <c r="BB65" i="103"/>
  <c r="BB22" i="103"/>
  <c r="BB137" i="103"/>
  <c r="BB49" i="103"/>
  <c r="BB6" i="103"/>
  <c r="BB84" i="103"/>
  <c r="BB67" i="103"/>
  <c r="BB120" i="103"/>
  <c r="BB109" i="103"/>
  <c r="BB136" i="103"/>
  <c r="BB62" i="103"/>
  <c r="BB139" i="103"/>
  <c r="BB33" i="103"/>
  <c r="AA64" i="104"/>
  <c r="AA60" i="104"/>
  <c r="AA119" i="104"/>
  <c r="AA200" i="104"/>
  <c r="AA167" i="104"/>
  <c r="AA12" i="104"/>
  <c r="AA82" i="104"/>
  <c r="AA46" i="104"/>
  <c r="AA111" i="104"/>
  <c r="AA191" i="104"/>
  <c r="AA134" i="104"/>
  <c r="AA130" i="104"/>
  <c r="AA14" i="104"/>
  <c r="AA132" i="104"/>
  <c r="AA121" i="104"/>
  <c r="AA105" i="104"/>
  <c r="AA101" i="104"/>
  <c r="AA57" i="104"/>
  <c r="AA13" i="104"/>
  <c r="G84" i="99"/>
  <c r="G52" i="99"/>
  <c r="G98" i="99"/>
  <c r="G79" i="99"/>
  <c r="G49" i="99"/>
  <c r="G96" i="99"/>
  <c r="G78" i="99"/>
  <c r="G44" i="99"/>
  <c r="G95" i="99"/>
  <c r="G73" i="99"/>
  <c r="G40" i="99"/>
  <c r="G92" i="99"/>
  <c r="G69" i="99"/>
  <c r="G32" i="99"/>
  <c r="G88" i="99"/>
  <c r="G65" i="99"/>
  <c r="G31" i="99"/>
  <c r="G82" i="99"/>
  <c r="G56" i="99"/>
  <c r="G369" i="99"/>
  <c r="G361" i="99"/>
  <c r="G353" i="99"/>
  <c r="G345" i="99"/>
  <c r="G337" i="99"/>
  <c r="G329" i="99"/>
  <c r="G321" i="99"/>
  <c r="G313" i="99"/>
  <c r="G305" i="99"/>
  <c r="G297" i="99"/>
  <c r="G289" i="99"/>
  <c r="G281" i="99"/>
  <c r="G273" i="99"/>
  <c r="G265" i="99"/>
  <c r="G257" i="99"/>
  <c r="G249" i="99"/>
  <c r="G241" i="99"/>
  <c r="G233" i="99"/>
  <c r="G225" i="99"/>
  <c r="G217" i="99"/>
  <c r="G209" i="99"/>
  <c r="G201" i="99"/>
  <c r="G193" i="99"/>
  <c r="G185" i="99"/>
  <c r="G177" i="99"/>
  <c r="G169" i="99"/>
  <c r="G161" i="99"/>
  <c r="G153" i="99"/>
  <c r="G145" i="99"/>
  <c r="G137" i="99"/>
  <c r="G129" i="99"/>
  <c r="G121" i="99"/>
  <c r="G113" i="99"/>
  <c r="G105" i="99"/>
  <c r="G97" i="99"/>
  <c r="G89" i="99"/>
  <c r="G80" i="99"/>
  <c r="G68" i="99"/>
  <c r="G54" i="99"/>
  <c r="G36" i="99"/>
  <c r="G366" i="99"/>
  <c r="G358" i="99"/>
  <c r="G350" i="99"/>
  <c r="G342" i="99"/>
  <c r="G334" i="99"/>
  <c r="G326" i="99"/>
  <c r="G318" i="99"/>
  <c r="G310" i="99"/>
  <c r="G302" i="99"/>
  <c r="G294" i="99"/>
  <c r="G286" i="99"/>
  <c r="G278" i="99"/>
  <c r="G270" i="99"/>
  <c r="G262" i="99"/>
  <c r="G254" i="99"/>
  <c r="G246" i="99"/>
  <c r="G238" i="99"/>
  <c r="G230" i="99"/>
  <c r="G222" i="99"/>
  <c r="G214" i="99"/>
  <c r="G206" i="99"/>
  <c r="G198" i="99"/>
  <c r="G190" i="99"/>
  <c r="G182" i="99"/>
  <c r="G174" i="99"/>
  <c r="G166" i="99"/>
  <c r="G158" i="99"/>
  <c r="G150" i="99"/>
  <c r="G142" i="99"/>
  <c r="G134" i="99"/>
  <c r="G126" i="99"/>
  <c r="G118" i="99"/>
  <c r="G110" i="99"/>
  <c r="G102" i="99"/>
  <c r="G94" i="99"/>
  <c r="G86" i="99"/>
  <c r="G77" i="99"/>
  <c r="G62" i="99"/>
  <c r="G48" i="99"/>
  <c r="G24" i="99"/>
  <c r="G365" i="99"/>
  <c r="G357" i="99"/>
  <c r="G349" i="99"/>
  <c r="G341" i="99"/>
  <c r="G333" i="99"/>
  <c r="G325" i="99"/>
  <c r="G317" i="99"/>
  <c r="G309" i="99"/>
  <c r="G301" i="99"/>
  <c r="G293" i="99"/>
  <c r="G285" i="99"/>
  <c r="G277" i="99"/>
  <c r="G269" i="99"/>
  <c r="G261" i="99"/>
  <c r="G253" i="99"/>
  <c r="G245" i="99"/>
  <c r="G237" i="99"/>
  <c r="G229" i="99"/>
  <c r="G221" i="99"/>
  <c r="G213" i="99"/>
  <c r="G205" i="99"/>
  <c r="G197" i="99"/>
  <c r="G189" i="99"/>
  <c r="G181" i="99"/>
  <c r="G173" i="99"/>
  <c r="G165" i="99"/>
  <c r="G157" i="99"/>
  <c r="G149" i="99"/>
  <c r="G141" i="99"/>
  <c r="G133" i="99"/>
  <c r="G125" i="99"/>
  <c r="G117" i="99"/>
  <c r="G109" i="99"/>
  <c r="G101" i="99"/>
  <c r="G93" i="99"/>
  <c r="G85" i="99"/>
  <c r="G76" i="99"/>
  <c r="G60" i="99"/>
  <c r="G45" i="99"/>
  <c r="G21" i="99"/>
  <c r="G371" i="99"/>
  <c r="G363" i="99"/>
  <c r="G355" i="99"/>
  <c r="G347" i="99"/>
  <c r="G339" i="99"/>
  <c r="G331" i="99"/>
  <c r="G323" i="99"/>
  <c r="G315" i="99"/>
  <c r="G307" i="99"/>
  <c r="G299" i="99"/>
  <c r="G291" i="99"/>
  <c r="G283" i="99"/>
  <c r="G275" i="99"/>
  <c r="G267" i="99"/>
  <c r="G259" i="99"/>
  <c r="G251" i="99"/>
  <c r="G243" i="99"/>
  <c r="G235" i="99"/>
  <c r="G227" i="99"/>
  <c r="G219" i="99"/>
  <c r="G211" i="99"/>
  <c r="G203" i="99"/>
  <c r="G195" i="99"/>
  <c r="G187" i="99"/>
  <c r="G179" i="99"/>
  <c r="G171" i="99"/>
  <c r="G163" i="99"/>
  <c r="G155" i="99"/>
  <c r="G147" i="99"/>
  <c r="G139" i="99"/>
  <c r="G131" i="99"/>
  <c r="G123" i="99"/>
  <c r="G115" i="99"/>
  <c r="G107" i="99"/>
  <c r="G99" i="99"/>
  <c r="G91" i="99"/>
  <c r="G83" i="99"/>
  <c r="G70" i="99"/>
  <c r="G57" i="99"/>
  <c r="G43" i="99"/>
  <c r="G75" i="99"/>
  <c r="G64" i="99"/>
  <c r="G53" i="99"/>
  <c r="G41" i="99"/>
  <c r="G10" i="99"/>
  <c r="G81" i="99"/>
  <c r="G72" i="99"/>
  <c r="G61" i="99"/>
  <c r="G51" i="99"/>
  <c r="G37" i="99"/>
  <c r="G46" i="99"/>
  <c r="G35" i="99"/>
  <c r="G74" i="99"/>
  <c r="G66" i="99"/>
  <c r="G58" i="99"/>
  <c r="G50" i="99"/>
  <c r="G42" i="99"/>
  <c r="G33" i="99"/>
  <c r="G9" i="99"/>
  <c r="G71" i="99"/>
  <c r="G63" i="99"/>
  <c r="G55" i="99"/>
  <c r="G47" i="99"/>
  <c r="G39" i="99"/>
  <c r="G29" i="99"/>
  <c r="G38" i="99"/>
  <c r="G27" i="99"/>
  <c r="C12" i="63"/>
  <c r="E126" i="93"/>
  <c r="I126" i="93" s="1"/>
  <c r="C143" i="63" s="1"/>
  <c r="E124" i="93"/>
  <c r="I124" i="93" s="1"/>
  <c r="D76" i="47"/>
  <c r="F102" i="93"/>
  <c r="U11" i="48"/>
  <c r="E127" i="93"/>
  <c r="I127" i="93" s="1"/>
  <c r="E133" i="93"/>
  <c r="I133" i="93" s="1"/>
  <c r="C146" i="63" s="1"/>
  <c r="C23" i="48"/>
  <c r="E125" i="93"/>
  <c r="I125" i="93" s="1"/>
  <c r="E138" i="93"/>
  <c r="I138" i="93" s="1"/>
  <c r="I172" i="93"/>
  <c r="I171" i="93"/>
  <c r="I65" i="93"/>
  <c r="I104" i="93"/>
  <c r="T108" i="45" s="1"/>
  <c r="D34" i="93"/>
  <c r="I54" i="93"/>
  <c r="I134" i="93"/>
  <c r="C152" i="63" s="1"/>
  <c r="D152" i="63" s="1"/>
  <c r="E152" i="63" s="1"/>
  <c r="G28" i="99"/>
  <c r="G20" i="99"/>
  <c r="G34" i="99"/>
  <c r="G30" i="99"/>
  <c r="G25" i="99"/>
  <c r="G17" i="99"/>
  <c r="G15" i="99"/>
  <c r="G23" i="99"/>
  <c r="G19" i="99"/>
  <c r="G14" i="99"/>
  <c r="G26" i="99"/>
  <c r="G22" i="99"/>
  <c r="G18" i="99"/>
  <c r="BK30" i="48"/>
  <c r="BB32" i="103"/>
  <c r="BB71" i="103"/>
  <c r="BB43" i="103"/>
  <c r="BB83" i="103"/>
  <c r="BB77" i="103"/>
  <c r="BB31" i="103"/>
  <c r="BB51" i="103"/>
  <c r="BB38" i="103"/>
  <c r="BB97" i="103"/>
  <c r="BB132" i="103"/>
  <c r="BB25" i="103"/>
  <c r="BB79" i="103"/>
  <c r="BB35" i="103"/>
  <c r="BB95" i="103"/>
  <c r="BB60" i="103"/>
  <c r="BB113" i="103"/>
  <c r="BB103" i="103"/>
  <c r="BB61" i="103"/>
  <c r="BB140" i="103"/>
  <c r="BB150" i="103"/>
  <c r="BB94" i="103"/>
  <c r="BB50" i="103"/>
  <c r="BB70" i="103"/>
  <c r="BB72" i="103"/>
  <c r="BB13" i="103"/>
  <c r="BB66" i="103"/>
  <c r="BB5" i="103"/>
  <c r="BB17" i="103"/>
  <c r="BB128" i="103"/>
  <c r="BB133" i="103"/>
  <c r="BB91" i="103"/>
  <c r="BB69" i="103"/>
  <c r="BB131" i="103"/>
  <c r="BB53" i="103"/>
  <c r="BB88" i="103"/>
  <c r="BB127" i="103"/>
  <c r="BB41" i="103"/>
  <c r="BB30" i="103"/>
  <c r="BB104" i="103"/>
  <c r="BB29" i="103"/>
  <c r="BB19" i="103"/>
  <c r="BB148" i="103"/>
  <c r="BB142" i="103"/>
  <c r="BB144" i="103"/>
  <c r="BB108" i="103"/>
  <c r="BB48" i="103"/>
  <c r="BB28" i="103"/>
  <c r="BB9" i="103"/>
  <c r="BB57" i="103"/>
  <c r="BB74" i="103"/>
  <c r="BB86" i="103"/>
  <c r="BB20" i="103"/>
  <c r="BB15" i="103"/>
  <c r="BB126" i="103"/>
  <c r="BB24" i="103"/>
  <c r="BB76" i="103"/>
  <c r="BB7" i="103"/>
  <c r="BB111" i="103"/>
  <c r="BB101" i="103"/>
  <c r="BB123" i="103"/>
  <c r="BB115" i="103"/>
  <c r="BB124" i="103"/>
  <c r="BB117" i="103"/>
  <c r="BB63" i="103"/>
  <c r="BB122" i="103"/>
  <c r="BB146" i="103"/>
  <c r="BB46" i="103"/>
  <c r="BB145" i="103"/>
  <c r="BB55" i="103"/>
  <c r="BB78" i="103"/>
  <c r="BB47" i="103"/>
  <c r="BB147" i="103"/>
  <c r="BB81" i="103"/>
  <c r="BB102" i="103"/>
  <c r="BB64" i="103"/>
  <c r="BB96" i="103"/>
  <c r="BB4" i="103"/>
  <c r="BB130" i="103"/>
  <c r="BB143" i="103"/>
  <c r="BB44" i="103"/>
  <c r="BB80" i="103"/>
  <c r="BB121" i="103"/>
  <c r="BB152" i="103"/>
  <c r="BB10" i="103"/>
  <c r="BB39" i="103"/>
  <c r="BB14" i="103"/>
  <c r="BB23" i="103"/>
  <c r="BB75" i="103"/>
  <c r="BB8" i="103"/>
  <c r="BB89" i="103"/>
  <c r="BB100" i="103"/>
  <c r="BB56" i="103"/>
  <c r="BB92" i="103"/>
  <c r="BB116" i="103"/>
  <c r="BB118" i="103"/>
  <c r="BB87" i="103"/>
  <c r="BB59" i="103"/>
  <c r="AA154" i="104"/>
  <c r="AA98" i="104"/>
  <c r="AA11" i="104"/>
  <c r="AA56" i="104"/>
  <c r="AA72" i="104"/>
  <c r="AA28" i="104"/>
  <c r="AA96" i="104"/>
  <c r="AA21" i="104"/>
  <c r="AA169" i="104"/>
  <c r="E78" i="93"/>
  <c r="AA140" i="104"/>
  <c r="AA26" i="104"/>
  <c r="AA192" i="104"/>
  <c r="AA67" i="104"/>
  <c r="AA33" i="104"/>
  <c r="AA147" i="104"/>
  <c r="AA35" i="104"/>
  <c r="AA38" i="104"/>
  <c r="AA201" i="104"/>
  <c r="AA164" i="104"/>
  <c r="AA32" i="104"/>
  <c r="AA81" i="104"/>
  <c r="AA196" i="104"/>
  <c r="AA94" i="104"/>
  <c r="AA104" i="104"/>
  <c r="AA20" i="104"/>
  <c r="AA83" i="104"/>
  <c r="AA113" i="104"/>
  <c r="AA62" i="104"/>
  <c r="AA42" i="104"/>
  <c r="AA117" i="104"/>
  <c r="AA199" i="104"/>
  <c r="AA27" i="104"/>
  <c r="AA29" i="104"/>
  <c r="AA65" i="104"/>
  <c r="I100" i="93"/>
  <c r="AA54" i="104"/>
  <c r="AA118" i="104"/>
  <c r="AA63" i="104"/>
  <c r="AA55" i="104"/>
  <c r="AA136" i="104"/>
  <c r="AA170" i="104"/>
  <c r="AA17" i="104"/>
  <c r="AA89" i="104"/>
  <c r="I41" i="93"/>
  <c r="I44" i="93"/>
  <c r="I43" i="93"/>
  <c r="I42" i="93"/>
  <c r="I144" i="93"/>
  <c r="I131" i="93"/>
  <c r="C158" i="63" s="1"/>
  <c r="D158" i="63" s="1"/>
  <c r="I136" i="93"/>
  <c r="C159" i="63" s="1"/>
  <c r="D159" i="63" s="1"/>
  <c r="I141" i="93"/>
  <c r="C160" i="63" s="1"/>
  <c r="D160" i="63" s="1"/>
  <c r="I145" i="93"/>
  <c r="I129" i="93"/>
  <c r="C150" i="63" s="1"/>
  <c r="D150" i="63" s="1"/>
  <c r="I130" i="93"/>
  <c r="I139" i="93"/>
  <c r="C154" i="63" s="1"/>
  <c r="D154" i="63" s="1"/>
  <c r="E154" i="63" s="1"/>
  <c r="I140" i="93"/>
  <c r="I128" i="93"/>
  <c r="I135" i="93"/>
  <c r="G7" i="99"/>
  <c r="G8" i="99"/>
  <c r="G12" i="99"/>
  <c r="G16" i="99"/>
  <c r="G11" i="99"/>
  <c r="T14" i="48" l="1"/>
  <c r="X15" i="48" s="1"/>
  <c r="U15" i="48" s="1"/>
  <c r="S56" i="45"/>
  <c r="S82" i="45"/>
  <c r="P79" i="45"/>
  <c r="P81" i="45"/>
  <c r="P80" i="45"/>
  <c r="P73" i="45"/>
  <c r="S59" i="45"/>
  <c r="S78" i="45"/>
  <c r="S58" i="45"/>
  <c r="P85" i="45"/>
  <c r="P84" i="45"/>
  <c r="P83" i="45"/>
  <c r="D56" i="45"/>
  <c r="D54" i="115" s="1"/>
  <c r="D55" i="45"/>
  <c r="D53" i="115" s="1"/>
  <c r="D57" i="45"/>
  <c r="D55" i="115" s="1"/>
  <c r="AF12" i="104"/>
  <c r="AF10" i="104"/>
  <c r="AF9" i="104"/>
  <c r="AE9" i="104"/>
  <c r="AE12" i="104"/>
  <c r="AE10" i="104"/>
  <c r="AE11" i="104"/>
  <c r="AF11" i="104"/>
  <c r="AG9" i="104"/>
  <c r="F49" i="63"/>
  <c r="C50" i="63"/>
  <c r="C53" i="63"/>
  <c r="B20" i="93"/>
  <c r="B22" i="93"/>
  <c r="G13" i="90"/>
  <c r="E167" i="93"/>
  <c r="I167" i="93" s="1"/>
  <c r="D103" i="63"/>
  <c r="C23" i="93"/>
  <c r="D105" i="63"/>
  <c r="D102" i="63"/>
  <c r="D104" i="63"/>
  <c r="C111" i="63"/>
  <c r="E79" i="47"/>
  <c r="D79" i="47"/>
  <c r="D88" i="47" s="1"/>
  <c r="AG12" i="104"/>
  <c r="E13" i="97"/>
  <c r="H8" i="97" s="1"/>
  <c r="C17" i="63"/>
  <c r="C19" i="63" s="1"/>
  <c r="E97" i="93" s="1"/>
  <c r="I97" i="93" s="1"/>
  <c r="D101" i="93" s="1"/>
  <c r="C42" i="63"/>
  <c r="I78" i="93"/>
  <c r="T15" i="48"/>
  <c r="X16" i="48" s="1"/>
  <c r="AM14" i="48" s="1"/>
  <c r="AN14" i="48"/>
  <c r="I102" i="93"/>
  <c r="T64" i="45"/>
  <c r="T109" i="45"/>
  <c r="C41" i="63"/>
  <c r="T104" i="45"/>
  <c r="T67" i="45"/>
  <c r="T51" i="45"/>
  <c r="D75" i="47"/>
  <c r="E75" i="47"/>
  <c r="C8" i="97"/>
  <c r="T103" i="45"/>
  <c r="T106" i="45"/>
  <c r="T105" i="45"/>
  <c r="T65" i="45"/>
  <c r="T66" i="45"/>
  <c r="E164" i="93"/>
  <c r="I164" i="93" s="1"/>
  <c r="C40" i="63"/>
  <c r="D151" i="63"/>
  <c r="C151" i="63"/>
  <c r="C144" i="63"/>
  <c r="C9" i="97"/>
  <c r="D153" i="63"/>
  <c r="I15" i="97" s="1"/>
  <c r="C153" i="63"/>
  <c r="C145" i="63"/>
  <c r="C10" i="97"/>
  <c r="C11" i="97"/>
  <c r="C142" i="63"/>
  <c r="C7" i="97"/>
  <c r="AG10" i="104"/>
  <c r="F115" i="48"/>
  <c r="S68" i="48" s="1"/>
  <c r="AG11" i="104"/>
  <c r="C141" i="63"/>
  <c r="C6" i="97"/>
  <c r="C147" i="63"/>
  <c r="C12" i="97"/>
  <c r="D155" i="63"/>
  <c r="I16" i="97" s="1"/>
  <c r="C155" i="63"/>
  <c r="E150" i="63"/>
  <c r="D202" i="48" l="1"/>
  <c r="D203" i="48"/>
  <c r="D204" i="48"/>
  <c r="X36" i="104"/>
  <c r="J52" i="84" s="1"/>
  <c r="X83" i="104"/>
  <c r="J102" i="84" s="1"/>
  <c r="X197" i="104"/>
  <c r="J262" i="84" s="1"/>
  <c r="X140" i="104"/>
  <c r="J194" i="84" s="1"/>
  <c r="X143" i="104"/>
  <c r="J192" i="84" s="1"/>
  <c r="X198" i="104"/>
  <c r="J201" i="84" s="1"/>
  <c r="X188" i="104"/>
  <c r="J253" i="84" s="1"/>
  <c r="X100" i="104"/>
  <c r="J127" i="84" s="1"/>
  <c r="X194" i="104"/>
  <c r="J257" i="84" s="1"/>
  <c r="J16" i="84"/>
  <c r="J266" i="84"/>
  <c r="X186" i="104"/>
  <c r="J250" i="84" s="1"/>
  <c r="X73" i="104"/>
  <c r="J87" i="84" s="1"/>
  <c r="X96" i="104"/>
  <c r="J125" i="84" s="1"/>
  <c r="X15" i="104"/>
  <c r="J15" i="84" s="1"/>
  <c r="X172" i="104"/>
  <c r="J225" i="84" s="1"/>
  <c r="X44" i="104"/>
  <c r="J50" i="84" s="1"/>
  <c r="X178" i="104"/>
  <c r="J162" i="84" s="1"/>
  <c r="X29" i="104"/>
  <c r="J29" i="84" s="1"/>
  <c r="X58" i="104"/>
  <c r="J62" i="84" s="1"/>
  <c r="X33" i="104"/>
  <c r="J26" i="84" s="1"/>
  <c r="X153" i="104"/>
  <c r="J138" i="84" s="1"/>
  <c r="X59" i="104"/>
  <c r="J64" i="84" s="1"/>
  <c r="X150" i="104"/>
  <c r="J207" i="84" s="1"/>
  <c r="X25" i="104"/>
  <c r="J31" i="84" s="1"/>
  <c r="X18" i="104"/>
  <c r="J20" i="84" s="1"/>
  <c r="X196" i="104"/>
  <c r="J259" i="84" s="1"/>
  <c r="X122" i="104"/>
  <c r="J167" i="84" s="1"/>
  <c r="X9" i="104"/>
  <c r="J10" i="84" s="1"/>
  <c r="X185" i="104"/>
  <c r="J240" i="84" s="1"/>
  <c r="X184" i="104"/>
  <c r="J249" i="84" s="1"/>
  <c r="X106" i="104"/>
  <c r="J137" i="84" s="1"/>
  <c r="X23" i="104"/>
  <c r="J30" i="84" s="1"/>
  <c r="J48" i="84"/>
  <c r="J221" i="84"/>
  <c r="X90" i="104"/>
  <c r="J116" i="84" s="1"/>
  <c r="X169" i="104"/>
  <c r="J75" i="84" s="1"/>
  <c r="X102" i="104"/>
  <c r="J150" i="84" s="1"/>
  <c r="X53" i="104"/>
  <c r="J59" i="84" s="1"/>
  <c r="X91" i="104"/>
  <c r="J120" i="84" s="1"/>
  <c r="X74" i="104"/>
  <c r="J60" i="84" s="1"/>
  <c r="X65" i="104"/>
  <c r="J76" i="84" s="1"/>
  <c r="X56" i="104"/>
  <c r="J63" i="84" s="1"/>
  <c r="X165" i="104"/>
  <c r="J227" i="84" s="1"/>
  <c r="X94" i="104"/>
  <c r="J124" i="84" s="1"/>
  <c r="X156" i="104"/>
  <c r="J217" i="84" s="1"/>
  <c r="X174" i="104"/>
  <c r="J42" i="84" s="1"/>
  <c r="X24" i="104"/>
  <c r="J22" i="84" s="1"/>
  <c r="X70" i="104"/>
  <c r="J82" i="84" s="1"/>
  <c r="X152" i="104"/>
  <c r="J130" i="84" s="1"/>
  <c r="X50" i="104"/>
  <c r="J104" i="84" s="1"/>
  <c r="X16" i="104"/>
  <c r="J18" i="84" s="1"/>
  <c r="X145" i="104"/>
  <c r="J199" i="84" s="1"/>
  <c r="X144" i="104"/>
  <c r="J195" i="84" s="1"/>
  <c r="X163" i="104"/>
  <c r="J213" i="84" s="1"/>
  <c r="X11" i="104"/>
  <c r="J11" i="84" s="1"/>
  <c r="X17" i="104"/>
  <c r="J19" i="84" s="1"/>
  <c r="X129" i="104"/>
  <c r="J181" i="84" s="1"/>
  <c r="X108" i="104"/>
  <c r="J149" i="84" s="1"/>
  <c r="X189" i="104"/>
  <c r="J13" i="84" s="1"/>
  <c r="X139" i="104"/>
  <c r="J190" i="84" s="1"/>
  <c r="X114" i="104"/>
  <c r="J164" i="84" s="1"/>
  <c r="X39" i="104"/>
  <c r="J40" i="84" s="1"/>
  <c r="X92" i="104"/>
  <c r="J121" i="84" s="1"/>
  <c r="X135" i="104"/>
  <c r="J182" i="84" s="1"/>
  <c r="X107" i="104"/>
  <c r="J148" i="84" s="1"/>
  <c r="X190" i="104"/>
  <c r="J86" i="84" s="1"/>
  <c r="X120" i="104"/>
  <c r="J154" i="84" s="1"/>
  <c r="X173" i="104"/>
  <c r="J228" i="84" s="1"/>
  <c r="X84" i="104"/>
  <c r="J106" i="84" s="1"/>
  <c r="X99" i="104"/>
  <c r="J132" i="84" s="1"/>
  <c r="X8" i="104"/>
  <c r="J8" i="84" s="1"/>
  <c r="X175" i="104"/>
  <c r="J232" i="84" s="1"/>
  <c r="X54" i="104"/>
  <c r="J198" i="84" s="1"/>
  <c r="X176" i="104"/>
  <c r="J239" i="84" s="1"/>
  <c r="X109" i="104"/>
  <c r="J156" i="84" s="1"/>
  <c r="J32" i="84"/>
  <c r="J56" i="84"/>
  <c r="J96" i="84"/>
  <c r="J152" i="84"/>
  <c r="J7" i="84"/>
  <c r="J57" i="84"/>
  <c r="J89" i="84"/>
  <c r="J113" i="84"/>
  <c r="J169" i="84"/>
  <c r="J177" i="84"/>
  <c r="J233" i="84"/>
  <c r="J260" i="84"/>
  <c r="J151" i="84"/>
  <c r="J98" i="84"/>
  <c r="J43" i="84"/>
  <c r="J83" i="84"/>
  <c r="J204" i="84"/>
  <c r="J230" i="84"/>
  <c r="J101" i="84"/>
  <c r="J197" i="84"/>
  <c r="J261" i="84"/>
  <c r="J142" i="84"/>
  <c r="I16" i="84"/>
  <c r="I266" i="84"/>
  <c r="I221" i="84"/>
  <c r="I48" i="84"/>
  <c r="I43" i="84"/>
  <c r="I83" i="84"/>
  <c r="I204" i="84"/>
  <c r="I260" i="84"/>
  <c r="I7" i="84"/>
  <c r="I101" i="84"/>
  <c r="I197" i="84"/>
  <c r="I261" i="84"/>
  <c r="I142" i="84"/>
  <c r="I230" i="84"/>
  <c r="I151" i="84"/>
  <c r="I32" i="84"/>
  <c r="I56" i="84"/>
  <c r="I96" i="84"/>
  <c r="I152" i="84"/>
  <c r="I98" i="84"/>
  <c r="I89" i="84"/>
  <c r="I233" i="84"/>
  <c r="I57" i="84"/>
  <c r="I113" i="84"/>
  <c r="I169" i="84"/>
  <c r="I177" i="84"/>
  <c r="H48" i="84"/>
  <c r="H221" i="84"/>
  <c r="H32" i="84"/>
  <c r="H56" i="84"/>
  <c r="H96" i="84"/>
  <c r="H152" i="84"/>
  <c r="H142" i="84"/>
  <c r="H230" i="84"/>
  <c r="H57" i="84"/>
  <c r="H89" i="84"/>
  <c r="H113" i="84"/>
  <c r="H169" i="84"/>
  <c r="H177" i="84"/>
  <c r="H233" i="84"/>
  <c r="H98" i="84"/>
  <c r="H7" i="84"/>
  <c r="H43" i="84"/>
  <c r="H83" i="84"/>
  <c r="H151" i="84"/>
  <c r="H204" i="84"/>
  <c r="H260" i="84"/>
  <c r="H261" i="84"/>
  <c r="H101" i="84"/>
  <c r="H197" i="84"/>
  <c r="H16" i="84"/>
  <c r="H266" i="84"/>
  <c r="AE8" i="104"/>
  <c r="I271" i="84" s="1"/>
  <c r="AF8" i="104"/>
  <c r="AG8" i="104"/>
  <c r="C110" i="63"/>
  <c r="D205" i="76" s="1"/>
  <c r="D102" i="93"/>
  <c r="D100" i="93"/>
  <c r="L50" i="48"/>
  <c r="L29" i="48"/>
  <c r="L85" i="48"/>
  <c r="D12" i="97"/>
  <c r="E11" i="97"/>
  <c r="H6" i="97" s="1"/>
  <c r="C159" i="93"/>
  <c r="D11" i="97"/>
  <c r="E10" i="97"/>
  <c r="D10" i="97"/>
  <c r="D8" i="97"/>
  <c r="E8" i="97"/>
  <c r="E6" i="97"/>
  <c r="D6" i="97"/>
  <c r="D9" i="97"/>
  <c r="E9" i="97"/>
  <c r="E7" i="97"/>
  <c r="D7" i="97"/>
  <c r="E12" i="97"/>
  <c r="C25" i="63"/>
  <c r="D10" i="47"/>
  <c r="D13" i="47" s="1"/>
  <c r="D135" i="99"/>
  <c r="D246" i="99"/>
  <c r="D25" i="99"/>
  <c r="D241" i="99"/>
  <c r="D159" i="99"/>
  <c r="D185" i="99"/>
  <c r="D155" i="99"/>
  <c r="D70" i="99"/>
  <c r="D256" i="99"/>
  <c r="D351" i="99"/>
  <c r="D329" i="99"/>
  <c r="D139" i="99"/>
  <c r="D212" i="99"/>
  <c r="D105" i="99"/>
  <c r="D14" i="99"/>
  <c r="D23" i="99"/>
  <c r="D181" i="99"/>
  <c r="D347" i="99"/>
  <c r="D85" i="99"/>
  <c r="D144" i="99"/>
  <c r="D363" i="99"/>
  <c r="D36" i="99"/>
  <c r="D322" i="99"/>
  <c r="D332" i="99"/>
  <c r="D306" i="99"/>
  <c r="D360" i="99"/>
  <c r="D316" i="99"/>
  <c r="D283" i="99"/>
  <c r="D251" i="99"/>
  <c r="D290" i="99"/>
  <c r="D127" i="99"/>
  <c r="D47" i="99"/>
  <c r="D61" i="99"/>
  <c r="D150" i="99"/>
  <c r="D208" i="99"/>
  <c r="D209" i="99"/>
  <c r="D147" i="99"/>
  <c r="D317" i="99"/>
  <c r="D336" i="99"/>
  <c r="D299" i="99"/>
  <c r="D305" i="99"/>
  <c r="D80" i="99"/>
  <c r="D272" i="99"/>
  <c r="D292" i="99"/>
  <c r="D279" i="99"/>
  <c r="D237" i="99"/>
  <c r="D120" i="99"/>
  <c r="D82" i="99"/>
  <c r="D320" i="99"/>
  <c r="D284" i="99"/>
  <c r="D151" i="99"/>
  <c r="D236" i="99"/>
  <c r="D254" i="99"/>
  <c r="D30" i="99"/>
  <c r="D78" i="99"/>
  <c r="D372" i="99"/>
  <c r="D71" i="99"/>
  <c r="D343" i="99"/>
  <c r="D264" i="99"/>
  <c r="D285" i="99"/>
  <c r="D370" i="99"/>
  <c r="D242" i="99"/>
  <c r="D111" i="99"/>
  <c r="D165" i="99"/>
  <c r="D106" i="99"/>
  <c r="D15" i="99"/>
  <c r="D368" i="99"/>
  <c r="D296" i="99"/>
  <c r="D364" i="99"/>
  <c r="D239" i="99"/>
  <c r="D335" i="99"/>
  <c r="D263" i="99"/>
  <c r="D369" i="99"/>
  <c r="D281" i="99"/>
  <c r="D203" i="99"/>
  <c r="D366" i="99"/>
  <c r="D207" i="99"/>
  <c r="D230" i="99"/>
  <c r="D188" i="99"/>
  <c r="D99" i="99"/>
  <c r="D153" i="99"/>
  <c r="D90" i="99"/>
  <c r="D52" i="99"/>
  <c r="D12" i="99"/>
  <c r="D304" i="99"/>
  <c r="D257" i="99"/>
  <c r="D174" i="99"/>
  <c r="D219" i="99"/>
  <c r="D278" i="99"/>
  <c r="D192" i="99"/>
  <c r="D56" i="99"/>
  <c r="D352" i="99"/>
  <c r="D255" i="99"/>
  <c r="D348" i="99"/>
  <c r="D191" i="99"/>
  <c r="D327" i="99"/>
  <c r="D247" i="99"/>
  <c r="D361" i="99"/>
  <c r="D273" i="99"/>
  <c r="D187" i="99"/>
  <c r="D350" i="99"/>
  <c r="D108" i="99"/>
  <c r="D116" i="99"/>
  <c r="D164" i="99"/>
  <c r="D95" i="99"/>
  <c r="D145" i="99"/>
  <c r="D86" i="99"/>
  <c r="D13" i="99"/>
  <c r="D319" i="99"/>
  <c r="D231" i="99"/>
  <c r="D349" i="99"/>
  <c r="D268" i="99"/>
  <c r="D186" i="99"/>
  <c r="D334" i="99"/>
  <c r="D225" i="99"/>
  <c r="D115" i="99"/>
  <c r="D160" i="99"/>
  <c r="D91" i="99"/>
  <c r="D121" i="99"/>
  <c r="D67" i="99"/>
  <c r="D49" i="99"/>
  <c r="D134" i="99"/>
  <c r="D143" i="99"/>
  <c r="D324" i="99"/>
  <c r="D367" i="99"/>
  <c r="D303" i="99"/>
  <c r="D167" i="99"/>
  <c r="D345" i="99"/>
  <c r="D252" i="99"/>
  <c r="D163" i="99"/>
  <c r="D326" i="99"/>
  <c r="D217" i="99"/>
  <c r="D88" i="99"/>
  <c r="D148" i="99"/>
  <c r="D63" i="99"/>
  <c r="D117" i="99"/>
  <c r="D65" i="99"/>
  <c r="D41" i="99"/>
  <c r="D311" i="99"/>
  <c r="D248" i="99"/>
  <c r="D220" i="99"/>
  <c r="D321" i="99"/>
  <c r="D261" i="99"/>
  <c r="D202" i="99"/>
  <c r="D123" i="99"/>
  <c r="D310" i="99"/>
  <c r="D221" i="99"/>
  <c r="D226" i="99"/>
  <c r="D204" i="99"/>
  <c r="D128" i="99"/>
  <c r="D69" i="99"/>
  <c r="D161" i="99"/>
  <c r="D101" i="99"/>
  <c r="D74" i="99"/>
  <c r="D64" i="99"/>
  <c r="D29" i="99"/>
  <c r="D295" i="99"/>
  <c r="D213" i="99"/>
  <c r="D365" i="99"/>
  <c r="D301" i="99"/>
  <c r="D245" i="99"/>
  <c r="D170" i="99"/>
  <c r="D354" i="99"/>
  <c r="D286" i="99"/>
  <c r="D270" i="99"/>
  <c r="D104" i="99"/>
  <c r="D172" i="99"/>
  <c r="D118" i="99"/>
  <c r="D201" i="99"/>
  <c r="D137" i="99"/>
  <c r="D79" i="99"/>
  <c r="D51" i="99"/>
  <c r="D40" i="99"/>
  <c r="D32" i="99"/>
  <c r="D197" i="99"/>
  <c r="D125" i="99"/>
  <c r="D10" i="99"/>
  <c r="D50" i="99"/>
  <c r="D35" i="99"/>
  <c r="D28" i="99"/>
  <c r="D166" i="99"/>
  <c r="D288" i="99"/>
  <c r="D122" i="99"/>
  <c r="D300" i="99"/>
  <c r="D124" i="99"/>
  <c r="D331" i="99"/>
  <c r="D287" i="99"/>
  <c r="D233" i="99"/>
  <c r="D228" i="99"/>
  <c r="D353" i="99"/>
  <c r="D313" i="99"/>
  <c r="D269" i="99"/>
  <c r="D243" i="99"/>
  <c r="D195" i="99"/>
  <c r="D154" i="99"/>
  <c r="D358" i="99"/>
  <c r="D318" i="99"/>
  <c r="D274" i="99"/>
  <c r="D210" i="99"/>
  <c r="D238" i="99"/>
  <c r="D96" i="99"/>
  <c r="D196" i="99"/>
  <c r="D156" i="99"/>
  <c r="D119" i="99"/>
  <c r="D77" i="99"/>
  <c r="D193" i="99"/>
  <c r="D149" i="99"/>
  <c r="D109" i="99"/>
  <c r="D27" i="99"/>
  <c r="D73" i="99"/>
  <c r="D39" i="99"/>
  <c r="D48" i="99"/>
  <c r="D37" i="99"/>
  <c r="D22" i="99"/>
  <c r="D328" i="99"/>
  <c r="D224" i="99"/>
  <c r="D356" i="99"/>
  <c r="D271" i="99"/>
  <c r="D359" i="99"/>
  <c r="D315" i="99"/>
  <c r="D265" i="99"/>
  <c r="D199" i="99"/>
  <c r="D158" i="99"/>
  <c r="D337" i="99"/>
  <c r="D297" i="99"/>
  <c r="D260" i="99"/>
  <c r="D227" i="99"/>
  <c r="D179" i="99"/>
  <c r="D138" i="99"/>
  <c r="D342" i="99"/>
  <c r="D302" i="99"/>
  <c r="D92" i="99"/>
  <c r="D262" i="99"/>
  <c r="D222" i="99"/>
  <c r="D55" i="99"/>
  <c r="D180" i="99"/>
  <c r="D140" i="99"/>
  <c r="D110" i="99"/>
  <c r="D46" i="99"/>
  <c r="D177" i="99"/>
  <c r="D133" i="99"/>
  <c r="D93" i="99"/>
  <c r="D102" i="99"/>
  <c r="D59" i="99"/>
  <c r="D72" i="99"/>
  <c r="D34" i="99"/>
  <c r="D21" i="99"/>
  <c r="D20" i="99"/>
  <c r="D142" i="99"/>
  <c r="D333" i="99"/>
  <c r="D289" i="99"/>
  <c r="D259" i="99"/>
  <c r="D223" i="99"/>
  <c r="D171" i="99"/>
  <c r="D131" i="99"/>
  <c r="D338" i="99"/>
  <c r="D294" i="99"/>
  <c r="D42" i="99"/>
  <c r="D258" i="99"/>
  <c r="D214" i="99"/>
  <c r="D54" i="99"/>
  <c r="D176" i="99"/>
  <c r="D132" i="99"/>
  <c r="D107" i="99"/>
  <c r="D38" i="99"/>
  <c r="D169" i="99"/>
  <c r="D129" i="99"/>
  <c r="D89" i="99"/>
  <c r="D94" i="99"/>
  <c r="D58" i="99"/>
  <c r="D68" i="99"/>
  <c r="D18" i="99"/>
  <c r="D9" i="99"/>
  <c r="D16" i="99"/>
  <c r="D198" i="99"/>
  <c r="D344" i="99"/>
  <c r="D280" i="99"/>
  <c r="D182" i="99"/>
  <c r="D340" i="99"/>
  <c r="D276" i="99"/>
  <c r="D371" i="99"/>
  <c r="D339" i="99"/>
  <c r="D307" i="99"/>
  <c r="D275" i="99"/>
  <c r="D232" i="99"/>
  <c r="D100" i="99"/>
  <c r="D84" i="99"/>
  <c r="D341" i="99"/>
  <c r="D309" i="99"/>
  <c r="D277" i="99"/>
  <c r="D253" i="99"/>
  <c r="D235" i="99"/>
  <c r="D194" i="99"/>
  <c r="D162" i="99"/>
  <c r="D130" i="99"/>
  <c r="D346" i="99"/>
  <c r="D314" i="99"/>
  <c r="D282" i="99"/>
  <c r="D229" i="99"/>
  <c r="D266" i="99"/>
  <c r="D234" i="99"/>
  <c r="D114" i="99"/>
  <c r="D24" i="99"/>
  <c r="D184" i="99"/>
  <c r="D152" i="99"/>
  <c r="D126" i="99"/>
  <c r="D103" i="99"/>
  <c r="D53" i="99"/>
  <c r="D189" i="99"/>
  <c r="D157" i="99"/>
  <c r="D62" i="99"/>
  <c r="D97" i="99"/>
  <c r="D19" i="99"/>
  <c r="D75" i="99"/>
  <c r="D57" i="99"/>
  <c r="D76" i="99"/>
  <c r="D44" i="99"/>
  <c r="D45" i="99"/>
  <c r="D7" i="99"/>
  <c r="D11" i="99"/>
  <c r="D240" i="99"/>
  <c r="D312" i="99"/>
  <c r="D175" i="99"/>
  <c r="D31" i="99"/>
  <c r="D308" i="99"/>
  <c r="D216" i="99"/>
  <c r="D355" i="99"/>
  <c r="D323" i="99"/>
  <c r="D291" i="99"/>
  <c r="D249" i="99"/>
  <c r="D183" i="99"/>
  <c r="D190" i="99"/>
  <c r="D357" i="99"/>
  <c r="D325" i="99"/>
  <c r="D293" i="99"/>
  <c r="D267" i="99"/>
  <c r="D244" i="99"/>
  <c r="D215" i="99"/>
  <c r="D178" i="99"/>
  <c r="D146" i="99"/>
  <c r="D362" i="99"/>
  <c r="D330" i="99"/>
  <c r="D298" i="99"/>
  <c r="D206" i="99"/>
  <c r="D211" i="99"/>
  <c r="D250" i="99"/>
  <c r="D218" i="99"/>
  <c r="D83" i="99"/>
  <c r="D200" i="99"/>
  <c r="D168" i="99"/>
  <c r="D136" i="99"/>
  <c r="D112" i="99"/>
  <c r="D87" i="99"/>
  <c r="D205" i="99"/>
  <c r="D173" i="99"/>
  <c r="D141" i="99"/>
  <c r="D113" i="99"/>
  <c r="D81" i="99"/>
  <c r="D98" i="99"/>
  <c r="D66" i="99"/>
  <c r="D43" i="99"/>
  <c r="D60" i="99"/>
  <c r="D33" i="99"/>
  <c r="D17" i="99"/>
  <c r="D26" i="99"/>
  <c r="D8" i="99"/>
  <c r="B99" i="93"/>
  <c r="D11" i="47"/>
  <c r="C166" i="63"/>
  <c r="D166" i="63" s="1"/>
  <c r="C165" i="63"/>
  <c r="D165" i="63" s="1"/>
  <c r="C164" i="63"/>
  <c r="D164" i="63" s="1"/>
  <c r="H271" i="84" l="1"/>
  <c r="C24" i="63" s="1"/>
  <c r="J271" i="84"/>
  <c r="C115" i="63"/>
  <c r="D238" i="76"/>
  <c r="D210" i="76"/>
  <c r="D240" i="76"/>
  <c r="D224" i="76"/>
  <c r="D220" i="76"/>
  <c r="D233" i="76"/>
  <c r="D211" i="76"/>
  <c r="D204" i="76"/>
  <c r="D230" i="76"/>
  <c r="D221" i="76"/>
  <c r="D194" i="76"/>
  <c r="D196" i="76"/>
  <c r="D228" i="76"/>
  <c r="D222" i="76"/>
  <c r="D207" i="76"/>
  <c r="D188" i="76"/>
  <c r="D197" i="76"/>
  <c r="D191" i="76"/>
  <c r="H7" i="99"/>
  <c r="D239" i="76"/>
  <c r="D193" i="76"/>
  <c r="D229" i="76"/>
  <c r="D223" i="76"/>
  <c r="D232" i="76"/>
  <c r="D189" i="76"/>
  <c r="D225" i="76"/>
  <c r="D236" i="76"/>
  <c r="D209" i="76"/>
  <c r="D213" i="76"/>
  <c r="D195" i="76"/>
  <c r="D218" i="76"/>
  <c r="D187" i="76"/>
  <c r="D237" i="76"/>
  <c r="D227" i="76"/>
  <c r="D217" i="76"/>
  <c r="D216" i="76"/>
  <c r="D214" i="76"/>
  <c r="D201" i="76"/>
  <c r="D198" i="76"/>
  <c r="D192" i="76"/>
  <c r="D200" i="76"/>
  <c r="D206" i="76"/>
  <c r="D208" i="76"/>
  <c r="D215" i="76"/>
  <c r="D190" i="76"/>
  <c r="D199" i="76"/>
  <c r="D234" i="76"/>
  <c r="D203" i="76"/>
  <c r="D231" i="76"/>
  <c r="D226" i="76"/>
  <c r="D219" i="76"/>
  <c r="D212" i="76"/>
  <c r="D202" i="76"/>
  <c r="D235" i="76"/>
  <c r="C118" i="63"/>
  <c r="C119" i="63" s="1"/>
  <c r="T13" i="48"/>
  <c r="X13" i="48" s="1"/>
  <c r="J7" i="99" s="1"/>
  <c r="L55" i="48"/>
  <c r="F7" i="97"/>
  <c r="F8" i="97"/>
  <c r="F11" i="97"/>
  <c r="F9" i="97"/>
  <c r="E14" i="97"/>
  <c r="E15" i="97" s="1"/>
  <c r="F6" i="97"/>
  <c r="H7" i="97"/>
  <c r="F12" i="97"/>
  <c r="D12" i="47"/>
  <c r="E161" i="93"/>
  <c r="D14" i="97"/>
  <c r="D15" i="97" s="1"/>
  <c r="H5" i="97"/>
  <c r="C27" i="63" l="1"/>
  <c r="C32" i="63" s="1"/>
  <c r="I7" i="99"/>
  <c r="K7" i="99" s="1"/>
  <c r="I7" i="97"/>
  <c r="F15" i="97"/>
  <c r="I6" i="97"/>
  <c r="I5" i="97"/>
  <c r="I8" i="97"/>
  <c r="E162" i="93" l="1"/>
  <c r="I162" i="93" s="1"/>
  <c r="F161" i="93" s="1"/>
  <c r="J8" i="99"/>
  <c r="C148" i="93"/>
  <c r="E148" i="93"/>
  <c r="B164" i="93" l="1"/>
  <c r="D18" i="47"/>
  <c r="E150" i="93"/>
  <c r="I150" i="93" s="1"/>
  <c r="F150" i="93"/>
  <c r="G75" i="47" l="1"/>
  <c r="G76" i="47"/>
  <c r="M75" i="47" l="1"/>
  <c r="N76" i="47"/>
  <c r="L75" i="47" l="1"/>
  <c r="I75" i="47" l="1"/>
  <c r="I76" i="47"/>
  <c r="K76" i="47" l="1"/>
  <c r="M76" i="47"/>
  <c r="O76" i="47"/>
  <c r="Q76" i="47"/>
  <c r="S76" i="47"/>
  <c r="U76" i="47"/>
  <c r="W76" i="47"/>
  <c r="Y76" i="47"/>
  <c r="AA76" i="47"/>
  <c r="AC76" i="47"/>
  <c r="AE76" i="47"/>
  <c r="AG76" i="47"/>
  <c r="AI76" i="47"/>
  <c r="AK76" i="47"/>
  <c r="AM76" i="47"/>
  <c r="AO76" i="47"/>
  <c r="AQ76" i="47"/>
  <c r="AS76" i="47"/>
  <c r="AU76" i="47"/>
  <c r="AW76" i="47"/>
  <c r="AY76" i="47"/>
  <c r="BA76" i="47"/>
  <c r="BC76" i="47"/>
  <c r="K75" i="47"/>
  <c r="N75" i="47"/>
  <c r="P75" i="47"/>
  <c r="R75" i="47"/>
  <c r="T75" i="47"/>
  <c r="V75" i="47"/>
  <c r="X75" i="47"/>
  <c r="Z75" i="47"/>
  <c r="AB75" i="47"/>
  <c r="AD75" i="47"/>
  <c r="AF75" i="47"/>
  <c r="AH75" i="47"/>
  <c r="AJ75" i="47"/>
  <c r="AL75" i="47"/>
  <c r="AN75" i="47"/>
  <c r="AP75" i="47"/>
  <c r="AR75" i="47"/>
  <c r="AT75" i="47"/>
  <c r="AV75" i="47"/>
  <c r="AX75" i="47"/>
  <c r="AZ75" i="47"/>
  <c r="BB75" i="47"/>
  <c r="BD75" i="47"/>
  <c r="J76" i="47"/>
  <c r="L76" i="47"/>
  <c r="H76" i="47"/>
  <c r="J75" i="47"/>
  <c r="H75" i="47"/>
  <c r="P76" i="47"/>
  <c r="R76" i="47"/>
  <c r="T76" i="47"/>
  <c r="V76" i="47"/>
  <c r="X76" i="47"/>
  <c r="Z76" i="47"/>
  <c r="AB76" i="47"/>
  <c r="AD76" i="47"/>
  <c r="AF76" i="47"/>
  <c r="AH76" i="47"/>
  <c r="AJ76" i="47"/>
  <c r="AL76" i="47"/>
  <c r="AN76" i="47"/>
  <c r="AP76" i="47"/>
  <c r="AR76" i="47"/>
  <c r="AT76" i="47"/>
  <c r="AV76" i="47"/>
  <c r="AX76" i="47"/>
  <c r="AZ76" i="47"/>
  <c r="BB76" i="47"/>
  <c r="BD76" i="47"/>
  <c r="O75" i="47"/>
  <c r="Q75" i="47"/>
  <c r="S75" i="47"/>
  <c r="U75" i="47"/>
  <c r="W75" i="47"/>
  <c r="Y75" i="47"/>
  <c r="AA75" i="47"/>
  <c r="AC75" i="47"/>
  <c r="AE75" i="47"/>
  <c r="AG75" i="47"/>
  <c r="AI75" i="47"/>
  <c r="AK75" i="47"/>
  <c r="AM75" i="47"/>
  <c r="AO75" i="47"/>
  <c r="AQ75" i="47"/>
  <c r="AS75" i="47"/>
  <c r="AU75" i="47"/>
  <c r="AW75" i="47"/>
  <c r="AY75" i="47"/>
  <c r="BA75" i="47"/>
  <c r="BC75" i="47"/>
  <c r="F76" i="47"/>
  <c r="F75" i="47"/>
  <c r="BF52" i="45" l="1"/>
  <c r="H199" i="48" s="1"/>
  <c r="AM18" i="48"/>
  <c r="AN18" i="48" s="1"/>
  <c r="AM16" i="48"/>
  <c r="AN16" i="48" s="1"/>
  <c r="AM17" i="48"/>
  <c r="AN17" i="48" s="1"/>
  <c r="AM15" i="48"/>
  <c r="AN15" i="48" s="1"/>
  <c r="C78" i="99" l="1"/>
  <c r="C79" i="99"/>
  <c r="C80" i="99"/>
  <c r="C84" i="99"/>
  <c r="C92" i="99"/>
  <c r="C100" i="99"/>
  <c r="C108" i="99"/>
  <c r="C116" i="99"/>
  <c r="C124" i="99"/>
  <c r="C85" i="99"/>
  <c r="C93" i="99"/>
  <c r="C101" i="99"/>
  <c r="C109" i="99"/>
  <c r="C77" i="99"/>
  <c r="C86" i="99"/>
  <c r="C106" i="99"/>
  <c r="C112" i="99"/>
  <c r="C132" i="99"/>
  <c r="C140" i="99"/>
  <c r="C148" i="99"/>
  <c r="C156" i="99"/>
  <c r="C164" i="99"/>
  <c r="C172" i="99"/>
  <c r="C83" i="99"/>
  <c r="C99" i="99"/>
  <c r="C105" i="99"/>
  <c r="C111" i="99"/>
  <c r="C133" i="99"/>
  <c r="C141" i="99"/>
  <c r="C149" i="99"/>
  <c r="C157" i="99"/>
  <c r="C165" i="99"/>
  <c r="C98" i="99"/>
  <c r="C104" i="99"/>
  <c r="C110" i="99"/>
  <c r="C125" i="99"/>
  <c r="C126" i="99"/>
  <c r="C134" i="99"/>
  <c r="C82" i="99"/>
  <c r="C91" i="99"/>
  <c r="C97" i="99"/>
  <c r="C103" i="99"/>
  <c r="C117" i="99"/>
  <c r="C118" i="99"/>
  <c r="C119" i="99"/>
  <c r="C120" i="99"/>
  <c r="C121" i="99"/>
  <c r="C122" i="99"/>
  <c r="C123" i="99"/>
  <c r="C127" i="99"/>
  <c r="C135" i="99"/>
  <c r="C89" i="99"/>
  <c r="C95" i="99"/>
  <c r="C115" i="99"/>
  <c r="C129" i="99"/>
  <c r="C137" i="99"/>
  <c r="C145" i="99"/>
  <c r="C88" i="99"/>
  <c r="C94" i="99"/>
  <c r="C114" i="99"/>
  <c r="C130" i="99"/>
  <c r="C138" i="99"/>
  <c r="C146" i="99"/>
  <c r="C139" i="99"/>
  <c r="C143" i="99"/>
  <c r="C151" i="99"/>
  <c r="C175" i="99"/>
  <c r="C183" i="99"/>
  <c r="C191" i="99"/>
  <c r="C199" i="99"/>
  <c r="C207" i="99"/>
  <c r="C215" i="99"/>
  <c r="C96" i="99"/>
  <c r="C150" i="99"/>
  <c r="C176" i="99"/>
  <c r="C184" i="99"/>
  <c r="C192" i="99"/>
  <c r="C200" i="99"/>
  <c r="C208" i="99"/>
  <c r="C216" i="99"/>
  <c r="C224" i="99"/>
  <c r="C81" i="99"/>
  <c r="C87" i="99"/>
  <c r="C131" i="99"/>
  <c r="C147" i="99"/>
  <c r="C163" i="99"/>
  <c r="C177" i="99"/>
  <c r="C185" i="99"/>
  <c r="C193" i="99"/>
  <c r="C201" i="99"/>
  <c r="C102" i="99"/>
  <c r="C128" i="99"/>
  <c r="C142" i="99"/>
  <c r="C162" i="99"/>
  <c r="C178" i="99"/>
  <c r="C144" i="99"/>
  <c r="C154" i="99"/>
  <c r="C160" i="99"/>
  <c r="C180" i="99"/>
  <c r="C188" i="99"/>
  <c r="C196" i="99"/>
  <c r="C204" i="99"/>
  <c r="C113" i="99"/>
  <c r="C136" i="99"/>
  <c r="C153" i="99"/>
  <c r="C159" i="99"/>
  <c r="C166" i="99"/>
  <c r="C167" i="99"/>
  <c r="C168" i="99"/>
  <c r="C169" i="99"/>
  <c r="C170" i="99"/>
  <c r="C171" i="99"/>
  <c r="C173" i="99"/>
  <c r="C181" i="99"/>
  <c r="C179" i="99"/>
  <c r="C190" i="99"/>
  <c r="C212" i="99"/>
  <c r="C230" i="99"/>
  <c r="C238" i="99"/>
  <c r="C246" i="99"/>
  <c r="C254" i="99"/>
  <c r="C262" i="99"/>
  <c r="C270" i="99"/>
  <c r="C278" i="99"/>
  <c r="C286" i="99"/>
  <c r="C294" i="99"/>
  <c r="C302" i="99"/>
  <c r="C194" i="99"/>
  <c r="C211" i="99"/>
  <c r="C231" i="99"/>
  <c r="C239" i="99"/>
  <c r="C247" i="99"/>
  <c r="C255" i="99"/>
  <c r="C263" i="99"/>
  <c r="C271" i="99"/>
  <c r="C279" i="99"/>
  <c r="C287" i="99"/>
  <c r="C295" i="99"/>
  <c r="C303" i="99"/>
  <c r="C311" i="99"/>
  <c r="C319" i="99"/>
  <c r="C327" i="99"/>
  <c r="C107" i="99"/>
  <c r="C161" i="99"/>
  <c r="C198" i="99"/>
  <c r="C205" i="99"/>
  <c r="C226" i="99"/>
  <c r="C234" i="99"/>
  <c r="C242" i="99"/>
  <c r="C250" i="99"/>
  <c r="C258" i="99"/>
  <c r="C266" i="99"/>
  <c r="C274" i="99"/>
  <c r="C282" i="99"/>
  <c r="C290" i="99"/>
  <c r="C90" i="99"/>
  <c r="C152" i="99"/>
  <c r="C174" i="99"/>
  <c r="C186" i="99"/>
  <c r="C202" i="99"/>
  <c r="C227" i="99"/>
  <c r="C235" i="99"/>
  <c r="C243" i="99"/>
  <c r="C251" i="99"/>
  <c r="C259" i="99"/>
  <c r="C267" i="99"/>
  <c r="C275" i="99"/>
  <c r="C283" i="99"/>
  <c r="C291" i="99"/>
  <c r="C299" i="99"/>
  <c r="C307" i="99"/>
  <c r="C315" i="99"/>
  <c r="C323" i="99"/>
  <c r="C331" i="99"/>
  <c r="C195" i="99"/>
  <c r="C236" i="99"/>
  <c r="C252" i="99"/>
  <c r="C268" i="99"/>
  <c r="C284" i="99"/>
  <c r="C314" i="99"/>
  <c r="C320" i="99"/>
  <c r="C333" i="99"/>
  <c r="C338" i="99"/>
  <c r="C346" i="99"/>
  <c r="C354" i="99"/>
  <c r="C362" i="99"/>
  <c r="C370" i="99"/>
  <c r="C213" i="99"/>
  <c r="C229" i="99"/>
  <c r="C245" i="99"/>
  <c r="C261" i="99"/>
  <c r="C277" i="99"/>
  <c r="C293" i="99"/>
  <c r="C298" i="99"/>
  <c r="C313" i="99"/>
  <c r="C326" i="99"/>
  <c r="C332" i="99"/>
  <c r="C339" i="99"/>
  <c r="C347" i="99"/>
  <c r="C355" i="99"/>
  <c r="C363" i="99"/>
  <c r="C371" i="99"/>
  <c r="C155" i="99"/>
  <c r="C203" i="99"/>
  <c r="C206" i="99"/>
  <c r="C240" i="99"/>
  <c r="C256" i="99"/>
  <c r="C272" i="99"/>
  <c r="C288" i="99"/>
  <c r="C301" i="99"/>
  <c r="C306" i="99"/>
  <c r="C312" i="99"/>
  <c r="C325" i="99"/>
  <c r="C340" i="99"/>
  <c r="C348" i="99"/>
  <c r="C356" i="99"/>
  <c r="C364" i="99"/>
  <c r="C158" i="99"/>
  <c r="C182" i="99"/>
  <c r="C197" i="99"/>
  <c r="C237" i="99"/>
  <c r="C253" i="99"/>
  <c r="C269" i="99"/>
  <c r="C285" i="99"/>
  <c r="C310" i="99"/>
  <c r="C316" i="99"/>
  <c r="C329" i="99"/>
  <c r="C343" i="99"/>
  <c r="C351" i="99"/>
  <c r="C359" i="99"/>
  <c r="C367" i="99"/>
  <c r="C187" i="99"/>
  <c r="C210" i="99"/>
  <c r="C232" i="99"/>
  <c r="C248" i="99"/>
  <c r="C264" i="99"/>
  <c r="C280" i="99"/>
  <c r="C296" i="99"/>
  <c r="C309" i="99"/>
  <c r="C322" i="99"/>
  <c r="C328" i="99"/>
  <c r="C344" i="99"/>
  <c r="C352" i="99"/>
  <c r="C360" i="99"/>
  <c r="C368" i="99"/>
  <c r="C257" i="99"/>
  <c r="C276" i="99"/>
  <c r="C281" i="99"/>
  <c r="C337" i="99"/>
  <c r="C349" i="99"/>
  <c r="C189" i="99"/>
  <c r="C219" i="99"/>
  <c r="C342" i="99"/>
  <c r="C361" i="99"/>
  <c r="C214" i="99"/>
  <c r="C220" i="99"/>
  <c r="C225" i="99"/>
  <c r="C244" i="99"/>
  <c r="C249" i="99"/>
  <c r="C300" i="99"/>
  <c r="C335" i="99"/>
  <c r="C366" i="99"/>
  <c r="C209" i="99"/>
  <c r="C273" i="99"/>
  <c r="C292" i="99"/>
  <c r="C297" i="99"/>
  <c r="C304" i="99"/>
  <c r="C345" i="99"/>
  <c r="C357" i="99"/>
  <c r="C222" i="99"/>
  <c r="C241" i="99"/>
  <c r="C260" i="99"/>
  <c r="C265" i="99"/>
  <c r="C305" i="99"/>
  <c r="C308" i="99"/>
  <c r="C324" i="99"/>
  <c r="C330" i="99"/>
  <c r="C336" i="99"/>
  <c r="C341" i="99"/>
  <c r="C217" i="99"/>
  <c r="C289" i="99"/>
  <c r="C318" i="99"/>
  <c r="C321" i="99"/>
  <c r="C353" i="99"/>
  <c r="C365" i="99"/>
  <c r="C223" i="99"/>
  <c r="C228" i="99"/>
  <c r="C358" i="99"/>
  <c r="C317" i="99"/>
  <c r="C350" i="99"/>
  <c r="C369" i="99"/>
  <c r="C218" i="99"/>
  <c r="C334" i="99"/>
  <c r="C233" i="99"/>
  <c r="C221" i="99"/>
  <c r="C372" i="99"/>
  <c r="C15" i="99"/>
  <c r="C23" i="99"/>
  <c r="C31" i="99"/>
  <c r="C39" i="99"/>
  <c r="C47" i="99"/>
  <c r="C55" i="99"/>
  <c r="C63" i="99"/>
  <c r="C71" i="99"/>
  <c r="C8" i="99"/>
  <c r="C16" i="99"/>
  <c r="C24" i="99"/>
  <c r="C32" i="99"/>
  <c r="C40" i="99"/>
  <c r="C48" i="99"/>
  <c r="C56" i="99"/>
  <c r="C64" i="99"/>
  <c r="C72" i="99"/>
  <c r="C7" i="99"/>
  <c r="E7" i="99" s="1"/>
  <c r="C9" i="99"/>
  <c r="C17" i="99"/>
  <c r="C25" i="99"/>
  <c r="C33" i="99"/>
  <c r="C41" i="99"/>
  <c r="C49" i="99"/>
  <c r="C57" i="99"/>
  <c r="C65" i="99"/>
  <c r="C73" i="99"/>
  <c r="C10" i="99"/>
  <c r="C18" i="99"/>
  <c r="C26" i="99"/>
  <c r="C34" i="99"/>
  <c r="C42" i="99"/>
  <c r="C50" i="99"/>
  <c r="C11" i="99"/>
  <c r="C19" i="99"/>
  <c r="C27" i="99"/>
  <c r="C35" i="99"/>
  <c r="C43" i="99"/>
  <c r="C14" i="99"/>
  <c r="C22" i="99"/>
  <c r="C30" i="99"/>
  <c r="C38" i="99"/>
  <c r="C21" i="99"/>
  <c r="C67" i="99"/>
  <c r="C36" i="99"/>
  <c r="C44" i="99"/>
  <c r="C46" i="99"/>
  <c r="C54" i="99"/>
  <c r="C60" i="99"/>
  <c r="C29" i="99"/>
  <c r="C51" i="99"/>
  <c r="C66" i="99"/>
  <c r="C70" i="99"/>
  <c r="C13" i="99"/>
  <c r="C28" i="99"/>
  <c r="C59" i="99"/>
  <c r="C61" i="99"/>
  <c r="C68" i="99"/>
  <c r="C75" i="99"/>
  <c r="C37" i="99"/>
  <c r="C45" i="99"/>
  <c r="C52" i="99"/>
  <c r="C12" i="99"/>
  <c r="C53" i="99"/>
  <c r="C58" i="99"/>
  <c r="C74" i="99"/>
  <c r="C62" i="99"/>
  <c r="C76" i="99"/>
  <c r="C69" i="99"/>
  <c r="C20" i="99"/>
  <c r="F7" i="99" l="1"/>
  <c r="H8" i="99" l="1"/>
  <c r="I8" i="99"/>
  <c r="E8" i="99" l="1"/>
  <c r="F8" i="99" s="1"/>
  <c r="K8" i="99"/>
  <c r="L8" i="99" s="1"/>
  <c r="A8" i="99" s="1"/>
  <c r="J9" i="99"/>
  <c r="H9" i="99" l="1"/>
  <c r="I9" i="99"/>
  <c r="K9" i="99" l="1"/>
  <c r="L9" i="99" s="1"/>
  <c r="A9" i="99" s="1"/>
  <c r="J10" i="99"/>
  <c r="E9" i="99"/>
  <c r="F9" i="99" l="1"/>
  <c r="H10" i="99" l="1"/>
  <c r="I10" i="99"/>
  <c r="K10" i="99" l="1"/>
  <c r="L10" i="99" s="1"/>
  <c r="A10" i="99" s="1"/>
  <c r="J11" i="99"/>
  <c r="E10" i="99"/>
  <c r="F10" i="99" l="1"/>
  <c r="I11" i="99" l="1"/>
  <c r="H11" i="99"/>
  <c r="E11" i="99" l="1"/>
  <c r="F11" i="99" s="1"/>
  <c r="K11" i="99"/>
  <c r="L11" i="99" s="1"/>
  <c r="A11" i="99" s="1"/>
  <c r="J12" i="99"/>
  <c r="I12" i="99" l="1"/>
  <c r="H12" i="99"/>
  <c r="E12" i="99" l="1"/>
  <c r="F12" i="99" s="1"/>
  <c r="K12" i="99"/>
  <c r="L12" i="99" s="1"/>
  <c r="A12" i="99" s="1"/>
  <c r="J13" i="99"/>
  <c r="I13" i="99" l="1"/>
  <c r="H13" i="99"/>
  <c r="E13" i="99" l="1"/>
  <c r="F13" i="99" s="1"/>
  <c r="K13" i="99"/>
  <c r="L13" i="99" s="1"/>
  <c r="A13" i="99" s="1"/>
  <c r="J14" i="99"/>
  <c r="H14" i="99" l="1"/>
  <c r="I14" i="99"/>
  <c r="K14" i="99" l="1"/>
  <c r="L14" i="99" s="1"/>
  <c r="A14" i="99" s="1"/>
  <c r="J15" i="99"/>
  <c r="E14" i="99"/>
  <c r="F14" i="99" l="1"/>
  <c r="H15" i="99" l="1"/>
  <c r="I15" i="99"/>
  <c r="K15" i="99" l="1"/>
  <c r="L15" i="99" s="1"/>
  <c r="A15" i="99" s="1"/>
  <c r="J16" i="99"/>
  <c r="E15" i="99"/>
  <c r="F15" i="99" l="1"/>
  <c r="H16" i="99" l="1"/>
  <c r="I16" i="99"/>
  <c r="E16" i="99" l="1"/>
  <c r="F16" i="99" s="1"/>
  <c r="J17" i="99"/>
  <c r="K16" i="99"/>
  <c r="L16" i="99" s="1"/>
  <c r="A16" i="99" s="1"/>
  <c r="H17" i="99" l="1"/>
  <c r="I17" i="99"/>
  <c r="K17" i="99" l="1"/>
  <c r="L17" i="99" s="1"/>
  <c r="A17" i="99" s="1"/>
  <c r="J18" i="99"/>
  <c r="E17" i="99"/>
  <c r="F17" i="99" l="1"/>
  <c r="H18" i="99" l="1"/>
  <c r="I18" i="99"/>
  <c r="K18" i="99" l="1"/>
  <c r="L18" i="99" s="1"/>
  <c r="A18" i="99" s="1"/>
  <c r="J19" i="99"/>
  <c r="E18" i="99"/>
  <c r="F18" i="99" l="1"/>
  <c r="I19" i="99" l="1"/>
  <c r="H19" i="99"/>
  <c r="E19" i="99" l="1"/>
  <c r="F19" i="99" s="1"/>
  <c r="K19" i="99"/>
  <c r="L19" i="99" s="1"/>
  <c r="A19" i="99" s="1"/>
  <c r="J20" i="99"/>
  <c r="I20" i="99" l="1"/>
  <c r="H20" i="99"/>
  <c r="E20" i="99" l="1"/>
  <c r="F20" i="99" s="1"/>
  <c r="K20" i="99"/>
  <c r="L20" i="99" s="1"/>
  <c r="A20" i="99" s="1"/>
  <c r="J21" i="99"/>
  <c r="I21" i="99" l="1"/>
  <c r="H21" i="99"/>
  <c r="K21" i="99" l="1"/>
  <c r="L21" i="99" s="1"/>
  <c r="A21" i="99" s="1"/>
  <c r="J22" i="99"/>
  <c r="E21" i="99"/>
  <c r="F21" i="99" l="1"/>
  <c r="H22" i="99" l="1"/>
  <c r="I22" i="99"/>
  <c r="K22" i="99" l="1"/>
  <c r="L22" i="99" s="1"/>
  <c r="A22" i="99" s="1"/>
  <c r="J23" i="99"/>
  <c r="E22" i="99"/>
  <c r="F22" i="99" l="1"/>
  <c r="H23" i="99" l="1"/>
  <c r="I23" i="99"/>
  <c r="K23" i="99" l="1"/>
  <c r="L23" i="99" s="1"/>
  <c r="A23" i="99" s="1"/>
  <c r="J24" i="99"/>
  <c r="E23" i="99"/>
  <c r="F23" i="99" l="1"/>
  <c r="H24" i="99" l="1"/>
  <c r="I24" i="99"/>
  <c r="J25" i="99" l="1"/>
  <c r="K24" i="99"/>
  <c r="L24" i="99" s="1"/>
  <c r="A24" i="99" s="1"/>
  <c r="E24" i="99"/>
  <c r="F24" i="99" l="1"/>
  <c r="H25" i="99" l="1"/>
  <c r="I25" i="99"/>
  <c r="K25" i="99" l="1"/>
  <c r="L25" i="99" s="1"/>
  <c r="A25" i="99" s="1"/>
  <c r="J26" i="99"/>
  <c r="E25" i="99"/>
  <c r="F25" i="99" l="1"/>
  <c r="H26" i="99" l="1"/>
  <c r="I26" i="99"/>
  <c r="K26" i="99" l="1"/>
  <c r="L26" i="99" s="1"/>
  <c r="A26" i="99" s="1"/>
  <c r="J27" i="99"/>
  <c r="E26" i="99"/>
  <c r="F26" i="99" l="1"/>
  <c r="I27" i="99" l="1"/>
  <c r="H27" i="99"/>
  <c r="E27" i="99" l="1"/>
  <c r="F27" i="99" s="1"/>
  <c r="K27" i="99"/>
  <c r="L27" i="99" s="1"/>
  <c r="A27" i="99" s="1"/>
  <c r="J28" i="99"/>
  <c r="I28" i="99" l="1"/>
  <c r="H28" i="99"/>
  <c r="E28" i="99" l="1"/>
  <c r="F28" i="99" s="1"/>
  <c r="K28" i="99"/>
  <c r="L28" i="99" s="1"/>
  <c r="A28" i="99" s="1"/>
  <c r="J29" i="99"/>
  <c r="I29" i="99" l="1"/>
  <c r="H29" i="99"/>
  <c r="E29" i="99" l="1"/>
  <c r="F29" i="99" s="1"/>
  <c r="K29" i="99"/>
  <c r="L29" i="99" s="1"/>
  <c r="A29" i="99" s="1"/>
  <c r="J30" i="99"/>
  <c r="H30" i="99" l="1"/>
  <c r="I30" i="99"/>
  <c r="E30" i="99" l="1"/>
  <c r="K30" i="99"/>
  <c r="L30" i="99" s="1"/>
  <c r="A30" i="99" s="1"/>
  <c r="J31" i="99"/>
  <c r="F30" i="99" l="1"/>
  <c r="H31" i="99" l="1"/>
  <c r="I31" i="99"/>
  <c r="K31" i="99" l="1"/>
  <c r="L31" i="99" s="1"/>
  <c r="A31" i="99" s="1"/>
  <c r="J32" i="99"/>
  <c r="E31" i="99"/>
  <c r="F31" i="99" l="1"/>
  <c r="H32" i="99" l="1"/>
  <c r="I32" i="99"/>
  <c r="K32" i="99" l="1"/>
  <c r="L32" i="99" s="1"/>
  <c r="A32" i="99" s="1"/>
  <c r="J33" i="99"/>
  <c r="E32" i="99"/>
  <c r="F32" i="99" l="1"/>
  <c r="H33" i="99" l="1"/>
  <c r="I33" i="99"/>
  <c r="K33" i="99" l="1"/>
  <c r="L33" i="99" s="1"/>
  <c r="A33" i="99" s="1"/>
  <c r="J34" i="99"/>
  <c r="E33" i="99"/>
  <c r="F33" i="99" l="1"/>
  <c r="H34" i="99" l="1"/>
  <c r="I34" i="99"/>
  <c r="K34" i="99" l="1"/>
  <c r="L34" i="99" s="1"/>
  <c r="A34" i="99" s="1"/>
  <c r="J35" i="99"/>
  <c r="E34" i="99"/>
  <c r="F34" i="99" l="1"/>
  <c r="I35" i="99" l="1"/>
  <c r="H35" i="99"/>
  <c r="E35" i="99" l="1"/>
  <c r="F35" i="99" s="1"/>
  <c r="K35" i="99"/>
  <c r="L35" i="99" s="1"/>
  <c r="A35" i="99" s="1"/>
  <c r="J36" i="99"/>
  <c r="I36" i="99" l="1"/>
  <c r="H36" i="99"/>
  <c r="E36" i="99" l="1"/>
  <c r="F36" i="99" s="1"/>
  <c r="K36" i="99"/>
  <c r="L36" i="99" s="1"/>
  <c r="A36" i="99" s="1"/>
  <c r="J37" i="99"/>
  <c r="I37" i="99" l="1"/>
  <c r="H37" i="99"/>
  <c r="E37" i="99" l="1"/>
  <c r="F37" i="99" s="1"/>
  <c r="K37" i="99"/>
  <c r="L37" i="99" s="1"/>
  <c r="A37" i="99" s="1"/>
  <c r="J38" i="99"/>
  <c r="H38" i="99" l="1"/>
  <c r="I38" i="99"/>
  <c r="K38" i="99" l="1"/>
  <c r="L38" i="99" s="1"/>
  <c r="A38" i="99" s="1"/>
  <c r="J39" i="99"/>
  <c r="E38" i="99"/>
  <c r="F38" i="99" l="1"/>
  <c r="H39" i="99" l="1"/>
  <c r="I39" i="99"/>
  <c r="J40" i="99" l="1"/>
  <c r="K39" i="99"/>
  <c r="L39" i="99" s="1"/>
  <c r="A39" i="99" s="1"/>
  <c r="E39" i="99"/>
  <c r="F39" i="99" l="1"/>
  <c r="H40" i="99" l="1"/>
  <c r="I40" i="99"/>
  <c r="J41" i="99" l="1"/>
  <c r="K40" i="99"/>
  <c r="L40" i="99" s="1"/>
  <c r="A40" i="99" s="1"/>
  <c r="E40" i="99"/>
  <c r="F40" i="99" l="1"/>
  <c r="H41" i="99" l="1"/>
  <c r="I41" i="99"/>
  <c r="J42" i="99" l="1"/>
  <c r="K41" i="99"/>
  <c r="L41" i="99" s="1"/>
  <c r="A41" i="99" s="1"/>
  <c r="E41" i="99"/>
  <c r="F41" i="99" l="1"/>
  <c r="H42" i="99" l="1"/>
  <c r="I42" i="99"/>
  <c r="K42" i="99" l="1"/>
  <c r="L42" i="99" s="1"/>
  <c r="A42" i="99" s="1"/>
  <c r="J43" i="99"/>
  <c r="E42" i="99"/>
  <c r="F42" i="99" l="1"/>
  <c r="I43" i="99" l="1"/>
  <c r="H43" i="99"/>
  <c r="E43" i="99" l="1"/>
  <c r="F43" i="99" s="1"/>
  <c r="K43" i="99"/>
  <c r="L43" i="99" s="1"/>
  <c r="A43" i="99" s="1"/>
  <c r="J44" i="99"/>
  <c r="I44" i="99" l="1"/>
  <c r="H44" i="99"/>
  <c r="E44" i="99" l="1"/>
  <c r="F44" i="99" s="1"/>
  <c r="K44" i="99"/>
  <c r="L44" i="99" s="1"/>
  <c r="A44" i="99" s="1"/>
  <c r="J45" i="99"/>
  <c r="I45" i="99" l="1"/>
  <c r="H45" i="99"/>
  <c r="E45" i="99" l="1"/>
  <c r="F45" i="99" s="1"/>
  <c r="K45" i="99"/>
  <c r="L45" i="99" s="1"/>
  <c r="A45" i="99" s="1"/>
  <c r="J46" i="99"/>
  <c r="H46" i="99" l="1"/>
  <c r="I46" i="99"/>
  <c r="K46" i="99" l="1"/>
  <c r="L46" i="99" s="1"/>
  <c r="A46" i="99" s="1"/>
  <c r="J47" i="99"/>
  <c r="E46" i="99"/>
  <c r="F46" i="99" l="1"/>
  <c r="H47" i="99" l="1"/>
  <c r="I47" i="99"/>
  <c r="K47" i="99" l="1"/>
  <c r="L47" i="99" s="1"/>
  <c r="A47" i="99" s="1"/>
  <c r="J48" i="99"/>
  <c r="E47" i="99"/>
  <c r="F47" i="99" l="1"/>
  <c r="H48" i="99" l="1"/>
  <c r="I48" i="99"/>
  <c r="J49" i="99" l="1"/>
  <c r="K48" i="99"/>
  <c r="L48" i="99" s="1"/>
  <c r="A48" i="99" s="1"/>
  <c r="E48" i="99"/>
  <c r="F48" i="99" l="1"/>
  <c r="H49" i="99" l="1"/>
  <c r="I49" i="99"/>
  <c r="K49" i="99" l="1"/>
  <c r="L49" i="99" s="1"/>
  <c r="A49" i="99" s="1"/>
  <c r="J50" i="99"/>
  <c r="E49" i="99"/>
  <c r="F49" i="99" l="1"/>
  <c r="I50" i="99" l="1"/>
  <c r="H50" i="99"/>
  <c r="E50" i="99" l="1"/>
  <c r="F50" i="99" s="1"/>
  <c r="K50" i="99"/>
  <c r="L50" i="99" s="1"/>
  <c r="A50" i="99" s="1"/>
  <c r="J51" i="99"/>
  <c r="I51" i="99" l="1"/>
  <c r="H51" i="99"/>
  <c r="E51" i="99" l="1"/>
  <c r="F51" i="99" s="1"/>
  <c r="K51" i="99"/>
  <c r="L51" i="99" s="1"/>
  <c r="A51" i="99" s="1"/>
  <c r="J52" i="99"/>
  <c r="I52" i="99" l="1"/>
  <c r="H52" i="99"/>
  <c r="E52" i="99" l="1"/>
  <c r="F52" i="99" s="1"/>
  <c r="K52" i="99"/>
  <c r="L52" i="99" s="1"/>
  <c r="A52" i="99" s="1"/>
  <c r="J53" i="99"/>
  <c r="I53" i="99" l="1"/>
  <c r="H53" i="99"/>
  <c r="K53" i="99" l="1"/>
  <c r="L53" i="99" s="1"/>
  <c r="A53" i="99" s="1"/>
  <c r="J54" i="99"/>
  <c r="E53" i="99"/>
  <c r="F53" i="99" l="1"/>
  <c r="H54" i="99" l="1"/>
  <c r="I54" i="99"/>
  <c r="J55" i="99" l="1"/>
  <c r="K54" i="99"/>
  <c r="L54" i="99" s="1"/>
  <c r="A54" i="99" s="1"/>
  <c r="E54" i="99"/>
  <c r="F54" i="99" l="1"/>
  <c r="H55" i="99" l="1"/>
  <c r="I55" i="99"/>
  <c r="E55" i="99" l="1"/>
  <c r="F55" i="99" s="1"/>
  <c r="J56" i="99"/>
  <c r="K55" i="99"/>
  <c r="L55" i="99" s="1"/>
  <c r="A55" i="99" s="1"/>
  <c r="H56" i="99" l="1"/>
  <c r="I56" i="99"/>
  <c r="K56" i="99" l="1"/>
  <c r="L56" i="99" s="1"/>
  <c r="A56" i="99" s="1"/>
  <c r="J57" i="99"/>
  <c r="E56" i="99"/>
  <c r="F56" i="99" l="1"/>
  <c r="H57" i="99" l="1"/>
  <c r="I57" i="99"/>
  <c r="K57" i="99" l="1"/>
  <c r="L57" i="99" s="1"/>
  <c r="A57" i="99" s="1"/>
  <c r="J58" i="99"/>
  <c r="E57" i="99"/>
  <c r="F57" i="99" l="1"/>
  <c r="I58" i="99" l="1"/>
  <c r="H58" i="99"/>
  <c r="E58" i="99" l="1"/>
  <c r="F58" i="99" s="1"/>
  <c r="K58" i="99"/>
  <c r="L58" i="99" s="1"/>
  <c r="A58" i="99" s="1"/>
  <c r="J59" i="99"/>
  <c r="I59" i="99" l="1"/>
  <c r="H59" i="99"/>
  <c r="E59" i="99" l="1"/>
  <c r="F59" i="99" s="1"/>
  <c r="K59" i="99"/>
  <c r="L59" i="99" s="1"/>
  <c r="A59" i="99" s="1"/>
  <c r="J60" i="99"/>
  <c r="I60" i="99" l="1"/>
  <c r="H60" i="99"/>
  <c r="E60" i="99" l="1"/>
  <c r="F60" i="99" s="1"/>
  <c r="K60" i="99"/>
  <c r="L60" i="99" s="1"/>
  <c r="A60" i="99" s="1"/>
  <c r="J61" i="99"/>
  <c r="I61" i="99" l="1"/>
  <c r="H61" i="99"/>
  <c r="E61" i="99" l="1"/>
  <c r="F61" i="99" s="1"/>
  <c r="J62" i="99"/>
  <c r="K61" i="99"/>
  <c r="L61" i="99" s="1"/>
  <c r="A61" i="99" s="1"/>
  <c r="H62" i="99" l="1"/>
  <c r="I62" i="99"/>
  <c r="E62" i="99" l="1"/>
  <c r="F62" i="99" s="1"/>
  <c r="K62" i="99"/>
  <c r="L62" i="99" s="1"/>
  <c r="A62" i="99" s="1"/>
  <c r="J63" i="99"/>
  <c r="H63" i="99" l="1"/>
  <c r="I63" i="99"/>
  <c r="E63" i="99" l="1"/>
  <c r="F63" i="99" s="1"/>
  <c r="K63" i="99"/>
  <c r="L63" i="99" s="1"/>
  <c r="A63" i="99" s="1"/>
  <c r="J64" i="99"/>
  <c r="H64" i="99" l="1"/>
  <c r="I64" i="99"/>
  <c r="E64" i="99" l="1"/>
  <c r="F64" i="99" s="1"/>
  <c r="K64" i="99"/>
  <c r="L64" i="99" s="1"/>
  <c r="A64" i="99" s="1"/>
  <c r="J65" i="99"/>
  <c r="I65" i="99" l="1"/>
  <c r="H65" i="99"/>
  <c r="E65" i="99" l="1"/>
  <c r="F65" i="99" s="1"/>
  <c r="J66" i="99"/>
  <c r="K65" i="99"/>
  <c r="L65" i="99" s="1"/>
  <c r="A65" i="99" s="1"/>
  <c r="I66" i="99" l="1"/>
  <c r="H66" i="99"/>
  <c r="K66" i="99" l="1"/>
  <c r="L66" i="99" s="1"/>
  <c r="A66" i="99" s="1"/>
  <c r="J67" i="99"/>
  <c r="E66" i="99"/>
  <c r="F66" i="99" l="1"/>
  <c r="H67" i="99" l="1"/>
  <c r="I67" i="99"/>
  <c r="K67" i="99" l="1"/>
  <c r="L67" i="99" s="1"/>
  <c r="A67" i="99" s="1"/>
  <c r="J68" i="99"/>
  <c r="E67" i="99"/>
  <c r="F67" i="99" l="1"/>
  <c r="I68" i="99" l="1"/>
  <c r="H68" i="99"/>
  <c r="E68" i="99" l="1"/>
  <c r="F68" i="99" s="1"/>
  <c r="K68" i="99"/>
  <c r="L68" i="99" s="1"/>
  <c r="A68" i="99" s="1"/>
  <c r="J69" i="99"/>
  <c r="I69" i="99" l="1"/>
  <c r="H69" i="99"/>
  <c r="E69" i="99" l="1"/>
  <c r="F69" i="99" s="1"/>
  <c r="K69" i="99"/>
  <c r="L69" i="99" s="1"/>
  <c r="A69" i="99" s="1"/>
  <c r="J70" i="99"/>
  <c r="H70" i="99" l="1"/>
  <c r="I70" i="99"/>
  <c r="J71" i="99" l="1"/>
  <c r="K70" i="99"/>
  <c r="L70" i="99" s="1"/>
  <c r="A70" i="99" s="1"/>
  <c r="E70" i="99"/>
  <c r="F70" i="99" l="1"/>
  <c r="H71" i="99" l="1"/>
  <c r="I71" i="99"/>
  <c r="J72" i="99" l="1"/>
  <c r="K71" i="99"/>
  <c r="L71" i="99" s="1"/>
  <c r="A71" i="99" s="1"/>
  <c r="E71" i="99"/>
  <c r="F71" i="99" l="1"/>
  <c r="H72" i="99" l="1"/>
  <c r="I72" i="99"/>
  <c r="J73" i="99" l="1"/>
  <c r="K72" i="99"/>
  <c r="L72" i="99" s="1"/>
  <c r="A72" i="99" s="1"/>
  <c r="E72" i="99"/>
  <c r="F72" i="99" l="1"/>
  <c r="H73" i="99" l="1"/>
  <c r="I73" i="99"/>
  <c r="K73" i="99" l="1"/>
  <c r="L73" i="99" s="1"/>
  <c r="A73" i="99" s="1"/>
  <c r="J74" i="99"/>
  <c r="E73" i="99"/>
  <c r="F73" i="99" l="1"/>
  <c r="H74" i="99" l="1"/>
  <c r="I74" i="99"/>
  <c r="K74" i="99" l="1"/>
  <c r="L74" i="99" s="1"/>
  <c r="A74" i="99" s="1"/>
  <c r="J75" i="99"/>
  <c r="E74" i="99"/>
  <c r="F74" i="99" l="1"/>
  <c r="H75" i="99" l="1"/>
  <c r="I75" i="99"/>
  <c r="E75" i="99" l="1"/>
  <c r="F75" i="99" s="1"/>
  <c r="K75" i="99"/>
  <c r="L75" i="99" s="1"/>
  <c r="A75" i="99" s="1"/>
  <c r="J76" i="99"/>
  <c r="I76" i="99" l="1"/>
  <c r="H76" i="99"/>
  <c r="E76" i="99" l="1"/>
  <c r="F76" i="99" s="1"/>
  <c r="K76" i="99"/>
  <c r="L76" i="99" s="1"/>
  <c r="A76" i="99" s="1"/>
  <c r="J77" i="99"/>
  <c r="H77" i="99" l="1"/>
  <c r="I77" i="99"/>
  <c r="J78" i="99" l="1"/>
  <c r="K77" i="99"/>
  <c r="L77" i="99" s="1"/>
  <c r="A77" i="99" s="1"/>
  <c r="E77" i="99"/>
  <c r="F77" i="99" l="1"/>
  <c r="H78" i="99" l="1"/>
  <c r="I78" i="99"/>
  <c r="J79" i="99" l="1"/>
  <c r="K78" i="99"/>
  <c r="L78" i="99" s="1"/>
  <c r="A78" i="99" s="1"/>
  <c r="E78" i="99"/>
  <c r="F78" i="99" l="1"/>
  <c r="H79" i="99" l="1"/>
  <c r="I79" i="99"/>
  <c r="J80" i="99" l="1"/>
  <c r="K79" i="99"/>
  <c r="L79" i="99" s="1"/>
  <c r="A79" i="99" s="1"/>
  <c r="E79" i="99"/>
  <c r="F79" i="99" l="1"/>
  <c r="H80" i="99" l="1"/>
  <c r="I80" i="99"/>
  <c r="K80" i="99" l="1"/>
  <c r="L80" i="99" s="1"/>
  <c r="A80" i="99" s="1"/>
  <c r="J81" i="99"/>
  <c r="E80" i="99"/>
  <c r="F80" i="99" l="1"/>
  <c r="H81" i="99" l="1"/>
  <c r="I81" i="99"/>
  <c r="K81" i="99" l="1"/>
  <c r="L81" i="99" s="1"/>
  <c r="A81" i="99" s="1"/>
  <c r="J82" i="99"/>
  <c r="E81" i="99"/>
  <c r="F81" i="99" l="1"/>
  <c r="I82" i="99" l="1"/>
  <c r="H82" i="99"/>
  <c r="E82" i="99" l="1"/>
  <c r="F82" i="99" s="1"/>
  <c r="K82" i="99"/>
  <c r="L82" i="99" s="1"/>
  <c r="A82" i="99" s="1"/>
  <c r="J83" i="99"/>
  <c r="H83" i="99" l="1"/>
  <c r="I83" i="99"/>
  <c r="J84" i="99" l="1"/>
  <c r="K83" i="99"/>
  <c r="L83" i="99" s="1"/>
  <c r="A83" i="99" s="1"/>
  <c r="E83" i="99"/>
  <c r="F83" i="99" l="1"/>
  <c r="H84" i="99" l="1"/>
  <c r="I84" i="99"/>
  <c r="J85" i="99" l="1"/>
  <c r="K84" i="99"/>
  <c r="L84" i="99" s="1"/>
  <c r="A84" i="99" s="1"/>
  <c r="E84" i="99"/>
  <c r="F84" i="99" l="1"/>
  <c r="H85" i="99" l="1"/>
  <c r="I85" i="99"/>
  <c r="K85" i="99" l="1"/>
  <c r="L85" i="99" s="1"/>
  <c r="A85" i="99" s="1"/>
  <c r="J86" i="99"/>
  <c r="E85" i="99"/>
  <c r="F85" i="99" l="1"/>
  <c r="H86" i="99" l="1"/>
  <c r="I86" i="99"/>
  <c r="K86" i="99" l="1"/>
  <c r="L86" i="99" s="1"/>
  <c r="A86" i="99" s="1"/>
  <c r="J87" i="99"/>
  <c r="E86" i="99"/>
  <c r="F86" i="99" l="1"/>
  <c r="H87" i="99" l="1"/>
  <c r="I87" i="99"/>
  <c r="K87" i="99" l="1"/>
  <c r="L87" i="99" s="1"/>
  <c r="A87" i="99" s="1"/>
  <c r="J88" i="99"/>
  <c r="E87" i="99"/>
  <c r="F87" i="99" l="1"/>
  <c r="I88" i="99" l="1"/>
  <c r="H88" i="99"/>
  <c r="E88" i="99" l="1"/>
  <c r="F88" i="99" s="1"/>
  <c r="K88" i="99"/>
  <c r="L88" i="99" s="1"/>
  <c r="A88" i="99" s="1"/>
  <c r="J89" i="99"/>
  <c r="I89" i="99" l="1"/>
  <c r="H89" i="99"/>
  <c r="E89" i="99" l="1"/>
  <c r="F89" i="99" s="1"/>
  <c r="J90" i="99"/>
  <c r="K89" i="99"/>
  <c r="L89" i="99" s="1"/>
  <c r="A89" i="99" s="1"/>
  <c r="I90" i="99" l="1"/>
  <c r="H90" i="99"/>
  <c r="E90" i="99" l="1"/>
  <c r="F90" i="99" s="1"/>
  <c r="K90" i="99"/>
  <c r="L90" i="99" s="1"/>
  <c r="A90" i="99" s="1"/>
  <c r="J91" i="99"/>
  <c r="H91" i="99" l="1"/>
  <c r="I91" i="99"/>
  <c r="K91" i="99" l="1"/>
  <c r="L91" i="99" s="1"/>
  <c r="A91" i="99" s="1"/>
  <c r="J92" i="99"/>
  <c r="E91" i="99"/>
  <c r="F91" i="99" l="1"/>
  <c r="H92" i="99" l="1"/>
  <c r="I92" i="99"/>
  <c r="J93" i="99" l="1"/>
  <c r="K92" i="99"/>
  <c r="L92" i="99" s="1"/>
  <c r="A92" i="99" s="1"/>
  <c r="E92" i="99"/>
  <c r="F92" i="99" l="1"/>
  <c r="H93" i="99" l="1"/>
  <c r="I93" i="99"/>
  <c r="E93" i="99" l="1"/>
  <c r="F93" i="99" s="1"/>
  <c r="K93" i="99"/>
  <c r="L93" i="99" s="1"/>
  <c r="A93" i="99" s="1"/>
  <c r="J94" i="99"/>
  <c r="I94" i="99" l="1"/>
  <c r="H94" i="99"/>
  <c r="E94" i="99" l="1"/>
  <c r="F94" i="99" s="1"/>
  <c r="J95" i="99"/>
  <c r="K94" i="99"/>
  <c r="L94" i="99" s="1"/>
  <c r="A94" i="99" s="1"/>
  <c r="I95" i="99" l="1"/>
  <c r="H95" i="99"/>
  <c r="E95" i="99" l="1"/>
  <c r="F95" i="99" s="1"/>
  <c r="K95" i="99"/>
  <c r="L95" i="99" s="1"/>
  <c r="A95" i="99" s="1"/>
  <c r="J96" i="99"/>
  <c r="I96" i="99" l="1"/>
  <c r="H96" i="99"/>
  <c r="E96" i="99" l="1"/>
  <c r="F96" i="99" s="1"/>
  <c r="K96" i="99"/>
  <c r="L96" i="99" s="1"/>
  <c r="A96" i="99" s="1"/>
  <c r="J97" i="99"/>
  <c r="I97" i="99" l="1"/>
  <c r="H97" i="99"/>
  <c r="E97" i="99" l="1"/>
  <c r="F97" i="99" s="1"/>
  <c r="K97" i="99"/>
  <c r="L97" i="99" s="1"/>
  <c r="A97" i="99" s="1"/>
  <c r="J98" i="99"/>
  <c r="I98" i="99" l="1"/>
  <c r="H98" i="99"/>
  <c r="E98" i="99" l="1"/>
  <c r="F98" i="99" s="1"/>
  <c r="J99" i="99"/>
  <c r="K98" i="99"/>
  <c r="L98" i="99" s="1"/>
  <c r="A98" i="99" s="1"/>
  <c r="H99" i="99" l="1"/>
  <c r="I99" i="99"/>
  <c r="K99" i="99" l="1"/>
  <c r="L99" i="99" s="1"/>
  <c r="A99" i="99" s="1"/>
  <c r="J100" i="99"/>
  <c r="E99" i="99"/>
  <c r="F99" i="99" l="1"/>
  <c r="H100" i="99" l="1"/>
  <c r="I100" i="99"/>
  <c r="J101" i="99" l="1"/>
  <c r="K100" i="99"/>
  <c r="L100" i="99" s="1"/>
  <c r="A100" i="99" s="1"/>
  <c r="E100" i="99"/>
  <c r="F100" i="99" l="1"/>
  <c r="I101" i="99" l="1"/>
  <c r="H101" i="99"/>
  <c r="E101" i="99" l="1"/>
  <c r="F101" i="99" s="1"/>
  <c r="J102" i="99"/>
  <c r="K101" i="99"/>
  <c r="L101" i="99" s="1"/>
  <c r="A101" i="99" s="1"/>
  <c r="I102" i="99" l="1"/>
  <c r="H102" i="99"/>
  <c r="E102" i="99" l="1"/>
  <c r="F102" i="99" s="1"/>
  <c r="J103" i="99"/>
  <c r="K102" i="99"/>
  <c r="L102" i="99" s="1"/>
  <c r="A102" i="99" s="1"/>
  <c r="I103" i="99" l="1"/>
  <c r="H103" i="99"/>
  <c r="E103" i="99" l="1"/>
  <c r="F103" i="99" s="1"/>
  <c r="K103" i="99"/>
  <c r="L103" i="99" s="1"/>
  <c r="A103" i="99" s="1"/>
  <c r="J104" i="99"/>
  <c r="H104" i="99" l="1"/>
  <c r="I104" i="99"/>
  <c r="K104" i="99" l="1"/>
  <c r="L104" i="99" s="1"/>
  <c r="A104" i="99" s="1"/>
  <c r="J105" i="99"/>
  <c r="E104" i="99"/>
  <c r="F104" i="99" l="1"/>
  <c r="I105" i="99" l="1"/>
  <c r="H105" i="99"/>
  <c r="E105" i="99" l="1"/>
  <c r="F105" i="99" s="1"/>
  <c r="K105" i="99"/>
  <c r="L105" i="99" s="1"/>
  <c r="A105" i="99" s="1"/>
  <c r="J106" i="99"/>
  <c r="I106" i="99" l="1"/>
  <c r="H106" i="99"/>
  <c r="E106" i="99" l="1"/>
  <c r="F106" i="99" s="1"/>
  <c r="J107" i="99"/>
  <c r="K106" i="99"/>
  <c r="L106" i="99" s="1"/>
  <c r="A106" i="99" s="1"/>
  <c r="H107" i="99" l="1"/>
  <c r="I107" i="99"/>
  <c r="J108" i="99" l="1"/>
  <c r="K107" i="99"/>
  <c r="L107" i="99" s="1"/>
  <c r="A107" i="99" s="1"/>
  <c r="E107" i="99"/>
  <c r="F107" i="99" l="1"/>
  <c r="H108" i="99" l="1"/>
  <c r="I108" i="99"/>
  <c r="J109" i="99" l="1"/>
  <c r="K108" i="99"/>
  <c r="L108" i="99" s="1"/>
  <c r="A108" i="99" s="1"/>
  <c r="E108" i="99"/>
  <c r="F108" i="99" l="1"/>
  <c r="I109" i="99" l="1"/>
  <c r="H109" i="99"/>
  <c r="E109" i="99" l="1"/>
  <c r="F109" i="99" s="1"/>
  <c r="J110" i="99"/>
  <c r="K109" i="99"/>
  <c r="L109" i="99" s="1"/>
  <c r="A109" i="99" s="1"/>
  <c r="H110" i="99" l="1"/>
  <c r="I110" i="99"/>
  <c r="K110" i="99" l="1"/>
  <c r="L110" i="99" s="1"/>
  <c r="A110" i="99" s="1"/>
  <c r="J111" i="99"/>
  <c r="E110" i="99"/>
  <c r="F110" i="99" l="1"/>
  <c r="H111" i="99" l="1"/>
  <c r="I111" i="99"/>
  <c r="K111" i="99" l="1"/>
  <c r="L111" i="99" s="1"/>
  <c r="A111" i="99" s="1"/>
  <c r="J112" i="99"/>
  <c r="E111" i="99"/>
  <c r="F111" i="99" l="1"/>
  <c r="H112" i="99" l="1"/>
  <c r="I112" i="99"/>
  <c r="K112" i="99" l="1"/>
  <c r="L112" i="99" s="1"/>
  <c r="A112" i="99" s="1"/>
  <c r="J113" i="99"/>
  <c r="E112" i="99"/>
  <c r="F112" i="99" l="1"/>
  <c r="I113" i="99" l="1"/>
  <c r="H113" i="99"/>
  <c r="E113" i="99" l="1"/>
  <c r="F113" i="99" s="1"/>
  <c r="J114" i="99"/>
  <c r="K113" i="99"/>
  <c r="L113" i="99" s="1"/>
  <c r="A113" i="99" s="1"/>
  <c r="I114" i="99" l="1"/>
  <c r="H114" i="99"/>
  <c r="E114" i="99" l="1"/>
  <c r="F114" i="99" s="1"/>
  <c r="J115" i="99"/>
  <c r="K114" i="99"/>
  <c r="L114" i="99" s="1"/>
  <c r="A114" i="99" s="1"/>
  <c r="H115" i="99" l="1"/>
  <c r="I115" i="99"/>
  <c r="J116" i="99" l="1"/>
  <c r="K115" i="99"/>
  <c r="L115" i="99" s="1"/>
  <c r="A115" i="99" s="1"/>
  <c r="E115" i="99"/>
  <c r="F115" i="99" l="1"/>
  <c r="I116" i="99" l="1"/>
  <c r="H116" i="99"/>
  <c r="E116" i="99" l="1"/>
  <c r="F116" i="99" s="1"/>
  <c r="J117" i="99"/>
  <c r="K116" i="99"/>
  <c r="L116" i="99" s="1"/>
  <c r="A116" i="99" s="1"/>
  <c r="H117" i="99" l="1"/>
  <c r="I117" i="99"/>
  <c r="J118" i="99" l="1"/>
  <c r="K117" i="99"/>
  <c r="L117" i="99" s="1"/>
  <c r="A117" i="99" s="1"/>
  <c r="E117" i="99"/>
  <c r="F117" i="99" l="1"/>
  <c r="I118" i="99" l="1"/>
  <c r="H118" i="99"/>
  <c r="E118" i="99" l="1"/>
  <c r="F118" i="99" s="1"/>
  <c r="J119" i="99"/>
  <c r="K118" i="99"/>
  <c r="L118" i="99" s="1"/>
  <c r="A118" i="99" s="1"/>
  <c r="I119" i="99" l="1"/>
  <c r="H119" i="99"/>
  <c r="E119" i="99" l="1"/>
  <c r="F119" i="99" s="1"/>
  <c r="K119" i="99"/>
  <c r="L119" i="99" s="1"/>
  <c r="A119" i="99" s="1"/>
  <c r="J120" i="99"/>
  <c r="I120" i="99" l="1"/>
  <c r="H120" i="99"/>
  <c r="E120" i="99" l="1"/>
  <c r="F120" i="99" s="1"/>
  <c r="K120" i="99"/>
  <c r="L120" i="99" s="1"/>
  <c r="A120" i="99" s="1"/>
  <c r="J121" i="99"/>
  <c r="I121" i="99" l="1"/>
  <c r="H121" i="99"/>
  <c r="E121" i="99" l="1"/>
  <c r="F121" i="99" s="1"/>
  <c r="K121" i="99"/>
  <c r="L121" i="99" s="1"/>
  <c r="A121" i="99" s="1"/>
  <c r="J122" i="99"/>
  <c r="I122" i="99" l="1"/>
  <c r="H122" i="99"/>
  <c r="E122" i="99" l="1"/>
  <c r="F122" i="99" s="1"/>
  <c r="K122" i="99"/>
  <c r="L122" i="99" s="1"/>
  <c r="A122" i="99" s="1"/>
  <c r="J123" i="99"/>
  <c r="H123" i="99" l="1"/>
  <c r="I123" i="99"/>
  <c r="K123" i="99" l="1"/>
  <c r="L123" i="99" s="1"/>
  <c r="A123" i="99" s="1"/>
  <c r="J124" i="99"/>
  <c r="E123" i="99"/>
  <c r="F123" i="99" l="1"/>
  <c r="H124" i="99" l="1"/>
  <c r="I124" i="99"/>
  <c r="K124" i="99" l="1"/>
  <c r="L124" i="99" s="1"/>
  <c r="A124" i="99" s="1"/>
  <c r="J125" i="99"/>
  <c r="E124" i="99"/>
  <c r="F124" i="99" l="1"/>
  <c r="H125" i="99" l="1"/>
  <c r="I125" i="99"/>
  <c r="E125" i="99" l="1"/>
  <c r="F125" i="99" s="1"/>
  <c r="K125" i="99"/>
  <c r="L125" i="99" s="1"/>
  <c r="A125" i="99" s="1"/>
  <c r="J126" i="99"/>
  <c r="H126" i="99" l="1"/>
  <c r="I126" i="99"/>
  <c r="K126" i="99" l="1"/>
  <c r="L126" i="99" s="1"/>
  <c r="A126" i="99" s="1"/>
  <c r="J127" i="99"/>
  <c r="E126" i="99"/>
  <c r="F126" i="99" l="1"/>
  <c r="I127" i="99" l="1"/>
  <c r="H127" i="99"/>
  <c r="E127" i="99" l="1"/>
  <c r="F127" i="99" s="1"/>
  <c r="K127" i="99"/>
  <c r="L127" i="99" s="1"/>
  <c r="A127" i="99" s="1"/>
  <c r="J128" i="99"/>
  <c r="H128" i="99" l="1"/>
  <c r="I128" i="99"/>
  <c r="K128" i="99" l="1"/>
  <c r="L128" i="99" s="1"/>
  <c r="A128" i="99" s="1"/>
  <c r="J129" i="99"/>
  <c r="E128" i="99"/>
  <c r="F128" i="99" l="1"/>
  <c r="I129" i="99" l="1"/>
  <c r="H129" i="99"/>
  <c r="E129" i="99" l="1"/>
  <c r="F129" i="99" s="1"/>
  <c r="K129" i="99"/>
  <c r="L129" i="99" s="1"/>
  <c r="A129" i="99" s="1"/>
  <c r="J130" i="99"/>
  <c r="I130" i="99" l="1"/>
  <c r="H130" i="99"/>
  <c r="E130" i="99" l="1"/>
  <c r="F130" i="99" s="1"/>
  <c r="K130" i="99"/>
  <c r="L130" i="99" s="1"/>
  <c r="A130" i="99" s="1"/>
  <c r="J131" i="99"/>
  <c r="H131" i="99" l="1"/>
  <c r="I131" i="99"/>
  <c r="K131" i="99" l="1"/>
  <c r="L131" i="99" s="1"/>
  <c r="A131" i="99" s="1"/>
  <c r="J132" i="99"/>
  <c r="E131" i="99"/>
  <c r="F131" i="99" l="1"/>
  <c r="H132" i="99" l="1"/>
  <c r="I132" i="99"/>
  <c r="K132" i="99" l="1"/>
  <c r="L132" i="99" s="1"/>
  <c r="A132" i="99" s="1"/>
  <c r="J133" i="99"/>
  <c r="E132" i="99"/>
  <c r="F132" i="99" l="1"/>
  <c r="H133" i="99" l="1"/>
  <c r="I133" i="99"/>
  <c r="K133" i="99" l="1"/>
  <c r="L133" i="99" s="1"/>
  <c r="A133" i="99" s="1"/>
  <c r="J134" i="99"/>
  <c r="E133" i="99"/>
  <c r="F133" i="99" l="1"/>
  <c r="H134" i="99" l="1"/>
  <c r="I134" i="99"/>
  <c r="K134" i="99" l="1"/>
  <c r="L134" i="99" s="1"/>
  <c r="A134" i="99" s="1"/>
  <c r="J135" i="99"/>
  <c r="E134" i="99"/>
  <c r="F134" i="99" l="1"/>
  <c r="I135" i="99" l="1"/>
  <c r="H135" i="99"/>
  <c r="E135" i="99" l="1"/>
  <c r="F135" i="99" s="1"/>
  <c r="K135" i="99"/>
  <c r="L135" i="99" s="1"/>
  <c r="A135" i="99" s="1"/>
  <c r="J136" i="99"/>
  <c r="H136" i="99" l="1"/>
  <c r="I136" i="99"/>
  <c r="K136" i="99" l="1"/>
  <c r="L136" i="99" s="1"/>
  <c r="A136" i="99" s="1"/>
  <c r="J137" i="99"/>
  <c r="E136" i="99"/>
  <c r="F136" i="99" l="1"/>
  <c r="I137" i="99" l="1"/>
  <c r="H137" i="99"/>
  <c r="E137" i="99" l="1"/>
  <c r="F137" i="99" s="1"/>
  <c r="K137" i="99"/>
  <c r="L137" i="99" s="1"/>
  <c r="A137" i="99" s="1"/>
  <c r="J138" i="99"/>
  <c r="I138" i="99" l="1"/>
  <c r="H138" i="99"/>
  <c r="E138" i="99" l="1"/>
  <c r="F138" i="99" s="1"/>
  <c r="K138" i="99"/>
  <c r="L138" i="99" s="1"/>
  <c r="A138" i="99" s="1"/>
  <c r="J139" i="99"/>
  <c r="H139" i="99" l="1"/>
  <c r="I139" i="99"/>
  <c r="E139" i="99" l="1"/>
  <c r="F139" i="99" s="1"/>
  <c r="J140" i="99"/>
  <c r="K139" i="99"/>
  <c r="L139" i="99" s="1"/>
  <c r="A139" i="99" s="1"/>
  <c r="H140" i="99" l="1"/>
  <c r="I140" i="99"/>
  <c r="E140" i="99" l="1"/>
  <c r="F140" i="99" s="1"/>
  <c r="K140" i="99"/>
  <c r="L140" i="99" s="1"/>
  <c r="A140" i="99" s="1"/>
  <c r="J141" i="99"/>
  <c r="I141" i="99" l="1"/>
  <c r="H141" i="99"/>
  <c r="E141" i="99" l="1"/>
  <c r="F141" i="99" s="1"/>
  <c r="K141" i="99"/>
  <c r="L141" i="99" s="1"/>
  <c r="A141" i="99" s="1"/>
  <c r="J142" i="99"/>
  <c r="I142" i="99" l="1"/>
  <c r="H142" i="99"/>
  <c r="E142" i="99" l="1"/>
  <c r="F142" i="99" s="1"/>
  <c r="K142" i="99"/>
  <c r="L142" i="99" s="1"/>
  <c r="A142" i="99" s="1"/>
  <c r="J143" i="99"/>
  <c r="I143" i="99" l="1"/>
  <c r="H143" i="99"/>
  <c r="E143" i="99" l="1"/>
  <c r="F143" i="99" s="1"/>
  <c r="K143" i="99"/>
  <c r="L143" i="99" s="1"/>
  <c r="A143" i="99" s="1"/>
  <c r="J144" i="99"/>
  <c r="H144" i="99" l="1"/>
  <c r="I144" i="99"/>
  <c r="K144" i="99" l="1"/>
  <c r="L144" i="99" s="1"/>
  <c r="A144" i="99" s="1"/>
  <c r="J145" i="99"/>
  <c r="E144" i="99"/>
  <c r="F144" i="99" l="1"/>
  <c r="I145" i="99" l="1"/>
  <c r="H145" i="99"/>
  <c r="E145" i="99" l="1"/>
  <c r="F145" i="99" s="1"/>
  <c r="J146" i="99"/>
  <c r="K145" i="99"/>
  <c r="L145" i="99" s="1"/>
  <c r="A145" i="99" s="1"/>
  <c r="I146" i="99" l="1"/>
  <c r="H146" i="99"/>
  <c r="E146" i="99" l="1"/>
  <c r="F146" i="99" s="1"/>
  <c r="J147" i="99"/>
  <c r="K146" i="99"/>
  <c r="L146" i="99" s="1"/>
  <c r="A146" i="99" s="1"/>
  <c r="H147" i="99" l="1"/>
  <c r="I147" i="99"/>
  <c r="K147" i="99" l="1"/>
  <c r="L147" i="99" s="1"/>
  <c r="A147" i="99" s="1"/>
  <c r="J148" i="99"/>
  <c r="E147" i="99"/>
  <c r="F147" i="99" l="1"/>
  <c r="H148" i="99" l="1"/>
  <c r="I148" i="99"/>
  <c r="K148" i="99" l="1"/>
  <c r="L148" i="99" s="1"/>
  <c r="A148" i="99" s="1"/>
  <c r="J149" i="99"/>
  <c r="E148" i="99"/>
  <c r="F148" i="99" l="1"/>
  <c r="I149" i="99" l="1"/>
  <c r="H149" i="99"/>
  <c r="E149" i="99" l="1"/>
  <c r="F149" i="99" s="1"/>
  <c r="K149" i="99"/>
  <c r="L149" i="99" s="1"/>
  <c r="A149" i="99" s="1"/>
  <c r="J150" i="99"/>
  <c r="H150" i="99" l="1"/>
  <c r="I150" i="99"/>
  <c r="E150" i="99" l="1"/>
  <c r="F150" i="99" s="1"/>
  <c r="K150" i="99"/>
  <c r="L150" i="99" s="1"/>
  <c r="A150" i="99" s="1"/>
  <c r="J151" i="99"/>
  <c r="H151" i="99" l="1"/>
  <c r="I151" i="99"/>
  <c r="K151" i="99" l="1"/>
  <c r="L151" i="99" s="1"/>
  <c r="A151" i="99" s="1"/>
  <c r="J152" i="99"/>
  <c r="E151" i="99"/>
  <c r="F151" i="99" l="1"/>
  <c r="H152" i="99" l="1"/>
  <c r="I152" i="99"/>
  <c r="K152" i="99" l="1"/>
  <c r="L152" i="99" s="1"/>
  <c r="A152" i="99" s="1"/>
  <c r="J153" i="99"/>
  <c r="E152" i="99"/>
  <c r="F152" i="99" l="1"/>
  <c r="I153" i="99" l="1"/>
  <c r="H153" i="99"/>
  <c r="E153" i="99" l="1"/>
  <c r="F153" i="99" s="1"/>
  <c r="J154" i="99"/>
  <c r="K153" i="99"/>
  <c r="L153" i="99" s="1"/>
  <c r="A153" i="99" s="1"/>
  <c r="I154" i="99" l="1"/>
  <c r="H154" i="99"/>
  <c r="E154" i="99" l="1"/>
  <c r="F154" i="99" s="1"/>
  <c r="J155" i="99"/>
  <c r="K154" i="99"/>
  <c r="L154" i="99" s="1"/>
  <c r="A154" i="99" s="1"/>
  <c r="H155" i="99" l="1"/>
  <c r="I155" i="99"/>
  <c r="K155" i="99" l="1"/>
  <c r="L155" i="99" s="1"/>
  <c r="A155" i="99" s="1"/>
  <c r="J156" i="99"/>
  <c r="E155" i="99"/>
  <c r="F155" i="99" l="1"/>
  <c r="H156" i="99" l="1"/>
  <c r="I156" i="99"/>
  <c r="K156" i="99" l="1"/>
  <c r="L156" i="99" s="1"/>
  <c r="A156" i="99" s="1"/>
  <c r="J157" i="99"/>
  <c r="E156" i="99"/>
  <c r="F156" i="99" l="1"/>
  <c r="H157" i="99" l="1"/>
  <c r="I157" i="99"/>
  <c r="J158" i="99" l="1"/>
  <c r="K157" i="99"/>
  <c r="L157" i="99" s="1"/>
  <c r="A157" i="99" s="1"/>
  <c r="E157" i="99"/>
  <c r="F157" i="99" l="1"/>
  <c r="H158" i="99" l="1"/>
  <c r="I158" i="99"/>
  <c r="K158" i="99" l="1"/>
  <c r="L158" i="99" s="1"/>
  <c r="A158" i="99" s="1"/>
  <c r="J159" i="99"/>
  <c r="E158" i="99"/>
  <c r="F158" i="99" l="1"/>
  <c r="I159" i="99" l="1"/>
  <c r="H159" i="99"/>
  <c r="E159" i="99" l="1"/>
  <c r="K159" i="99"/>
  <c r="L159" i="99" s="1"/>
  <c r="A159" i="99" s="1"/>
  <c r="J160" i="99"/>
  <c r="F159" i="99" l="1"/>
  <c r="I160" i="99" l="1"/>
  <c r="H160" i="99"/>
  <c r="E160" i="99" l="1"/>
  <c r="F160" i="99" s="1"/>
  <c r="K160" i="99"/>
  <c r="L160" i="99" s="1"/>
  <c r="A160" i="99" s="1"/>
  <c r="J161" i="99"/>
  <c r="I161" i="99" l="1"/>
  <c r="H161" i="99"/>
  <c r="E161" i="99" l="1"/>
  <c r="F161" i="99" s="1"/>
  <c r="K161" i="99"/>
  <c r="L161" i="99" s="1"/>
  <c r="A161" i="99" s="1"/>
  <c r="J162" i="99"/>
  <c r="I162" i="99" l="1"/>
  <c r="H162" i="99"/>
  <c r="E162" i="99" l="1"/>
  <c r="F162" i="99" s="1"/>
  <c r="K162" i="99"/>
  <c r="L162" i="99" s="1"/>
  <c r="A162" i="99" s="1"/>
  <c r="J163" i="99"/>
  <c r="H163" i="99" l="1"/>
  <c r="I163" i="99"/>
  <c r="J164" i="99" l="1"/>
  <c r="K163" i="99"/>
  <c r="L163" i="99" s="1"/>
  <c r="A163" i="99" s="1"/>
  <c r="E163" i="99"/>
  <c r="F163" i="99" l="1"/>
  <c r="H164" i="99" l="1"/>
  <c r="I164" i="99"/>
  <c r="E164" i="99" l="1"/>
  <c r="F164" i="99" s="1"/>
  <c r="K164" i="99"/>
  <c r="L164" i="99" s="1"/>
  <c r="A164" i="99" s="1"/>
  <c r="J165" i="99"/>
  <c r="I165" i="99" l="1"/>
  <c r="H165" i="99"/>
  <c r="E165" i="99" l="1"/>
  <c r="J166" i="99"/>
  <c r="K165" i="99"/>
  <c r="L165" i="99" s="1"/>
  <c r="A165" i="99" s="1"/>
  <c r="F165" i="99" l="1"/>
  <c r="I166" i="99" l="1"/>
  <c r="H166" i="99"/>
  <c r="E166" i="99" l="1"/>
  <c r="F166" i="99" s="1"/>
  <c r="J167" i="99"/>
  <c r="K166" i="99"/>
  <c r="L166" i="99" s="1"/>
  <c r="A166" i="99" s="1"/>
  <c r="I167" i="99" l="1"/>
  <c r="H167" i="99"/>
  <c r="E167" i="99" l="1"/>
  <c r="F167" i="99" s="1"/>
  <c r="K167" i="99"/>
  <c r="L167" i="99" s="1"/>
  <c r="A167" i="99" s="1"/>
  <c r="J168" i="99"/>
  <c r="I168" i="99" l="1"/>
  <c r="H168" i="99"/>
  <c r="E168" i="99" l="1"/>
  <c r="F168" i="99" s="1"/>
  <c r="J169" i="99"/>
  <c r="K168" i="99"/>
  <c r="L168" i="99" s="1"/>
  <c r="A168" i="99" s="1"/>
  <c r="I169" i="99" l="1"/>
  <c r="H169" i="99"/>
  <c r="E169" i="99" l="1"/>
  <c r="F169" i="99" s="1"/>
  <c r="J170" i="99"/>
  <c r="K169" i="99"/>
  <c r="L169" i="99" s="1"/>
  <c r="A169" i="99" s="1"/>
  <c r="I170" i="99" l="1"/>
  <c r="H170" i="99"/>
  <c r="E170" i="99" l="1"/>
  <c r="F170" i="99" s="1"/>
  <c r="J171" i="99"/>
  <c r="K170" i="99"/>
  <c r="L170" i="99" s="1"/>
  <c r="A170" i="99" s="1"/>
  <c r="H171" i="99" l="1"/>
  <c r="I171" i="99"/>
  <c r="E171" i="99" l="1"/>
  <c r="F171" i="99" s="1"/>
  <c r="J172" i="99"/>
  <c r="K171" i="99"/>
  <c r="L171" i="99" s="1"/>
  <c r="A171" i="99" s="1"/>
  <c r="I172" i="99" l="1"/>
  <c r="H172" i="99"/>
  <c r="E172" i="99" l="1"/>
  <c r="F172" i="99" s="1"/>
  <c r="J173" i="99"/>
  <c r="K172" i="99"/>
  <c r="L172" i="99" s="1"/>
  <c r="A172" i="99" s="1"/>
  <c r="I173" i="99" l="1"/>
  <c r="H173" i="99"/>
  <c r="E173" i="99" l="1"/>
  <c r="F173" i="99" s="1"/>
  <c r="K173" i="99"/>
  <c r="L173" i="99" s="1"/>
  <c r="A173" i="99" s="1"/>
  <c r="J174" i="99"/>
  <c r="H174" i="99" l="1"/>
  <c r="I174" i="99"/>
  <c r="K174" i="99" l="1"/>
  <c r="L174" i="99" s="1"/>
  <c r="A174" i="99" s="1"/>
  <c r="J175" i="99"/>
  <c r="E174" i="99"/>
  <c r="F174" i="99" l="1"/>
  <c r="H175" i="99" l="1"/>
  <c r="I175" i="99"/>
  <c r="K175" i="99" l="1"/>
  <c r="L175" i="99" s="1"/>
  <c r="A175" i="99" s="1"/>
  <c r="J176" i="99"/>
  <c r="E175" i="99"/>
  <c r="F175" i="99" l="1"/>
  <c r="H176" i="99" l="1"/>
  <c r="I176" i="99"/>
  <c r="K176" i="99" l="1"/>
  <c r="L176" i="99" s="1"/>
  <c r="A176" i="99" s="1"/>
  <c r="J177" i="99"/>
  <c r="E176" i="99"/>
  <c r="F176" i="99" l="1"/>
  <c r="H177" i="99" l="1"/>
  <c r="I177" i="99"/>
  <c r="J178" i="99" l="1"/>
  <c r="K177" i="99"/>
  <c r="L177" i="99" s="1"/>
  <c r="A177" i="99" s="1"/>
  <c r="E177" i="99"/>
  <c r="F177" i="99" l="1"/>
  <c r="I178" i="99" l="1"/>
  <c r="H178" i="99"/>
  <c r="E178" i="99" l="1"/>
  <c r="F178" i="99"/>
  <c r="K178" i="99"/>
  <c r="L178" i="99" s="1"/>
  <c r="A178" i="99" s="1"/>
  <c r="J179" i="99"/>
  <c r="H179" i="99" l="1"/>
  <c r="I179" i="99"/>
  <c r="K179" i="99" l="1"/>
  <c r="L179" i="99" s="1"/>
  <c r="A179" i="99" s="1"/>
  <c r="J180" i="99"/>
  <c r="E179" i="99"/>
  <c r="F179" i="99" l="1"/>
  <c r="I180" i="99" l="1"/>
  <c r="H180" i="99"/>
  <c r="E180" i="99" l="1"/>
  <c r="F180" i="99" s="1"/>
  <c r="K180" i="99"/>
  <c r="L180" i="99" s="1"/>
  <c r="A180" i="99" s="1"/>
  <c r="J181" i="99"/>
  <c r="I181" i="99" l="1"/>
  <c r="H181" i="99"/>
  <c r="E181" i="99" l="1"/>
  <c r="F181" i="99" s="1"/>
  <c r="K181" i="99"/>
  <c r="L181" i="99" s="1"/>
  <c r="A181" i="99" s="1"/>
  <c r="J182" i="99"/>
  <c r="H182" i="99" l="1"/>
  <c r="I182" i="99"/>
  <c r="J183" i="99" l="1"/>
  <c r="K182" i="99"/>
  <c r="L182" i="99" s="1"/>
  <c r="A182" i="99" s="1"/>
  <c r="E182" i="99"/>
  <c r="F182" i="99" l="1"/>
  <c r="H183" i="99" l="1"/>
  <c r="I183" i="99"/>
  <c r="E183" i="99" l="1"/>
  <c r="F183" i="99" s="1"/>
  <c r="K183" i="99"/>
  <c r="L183" i="99" s="1"/>
  <c r="A183" i="99" s="1"/>
  <c r="J184" i="99"/>
  <c r="H184" i="99" l="1"/>
  <c r="I184" i="99"/>
  <c r="K184" i="99" l="1"/>
  <c r="L184" i="99" s="1"/>
  <c r="A184" i="99" s="1"/>
  <c r="J185" i="99"/>
  <c r="E184" i="99"/>
  <c r="F184" i="99" l="1"/>
  <c r="I185" i="99" l="1"/>
  <c r="H185" i="99"/>
  <c r="E185" i="99" l="1"/>
  <c r="F185" i="99" s="1"/>
  <c r="K185" i="99"/>
  <c r="L185" i="99" s="1"/>
  <c r="A185" i="99" s="1"/>
  <c r="J186" i="99"/>
  <c r="I186" i="99" l="1"/>
  <c r="H186" i="99"/>
  <c r="E186" i="99" l="1"/>
  <c r="F186" i="99" s="1"/>
  <c r="K186" i="99"/>
  <c r="L186" i="99" s="1"/>
  <c r="A186" i="99" s="1"/>
  <c r="J187" i="99"/>
  <c r="H187" i="99" l="1"/>
  <c r="I187" i="99"/>
  <c r="K187" i="99" l="1"/>
  <c r="L187" i="99" s="1"/>
  <c r="A187" i="99" s="1"/>
  <c r="J188" i="99"/>
  <c r="E187" i="99"/>
  <c r="F187" i="99" l="1"/>
  <c r="I188" i="99" l="1"/>
  <c r="H188" i="99"/>
  <c r="E188" i="99" l="1"/>
  <c r="F188" i="99" s="1"/>
  <c r="K188" i="99"/>
  <c r="L188" i="99" s="1"/>
  <c r="A188" i="99" s="1"/>
  <c r="J189" i="99"/>
  <c r="I189" i="99" l="1"/>
  <c r="H189" i="99"/>
  <c r="E189" i="99" l="1"/>
  <c r="F189" i="99" s="1"/>
  <c r="K189" i="99"/>
  <c r="L189" i="99" s="1"/>
  <c r="A189" i="99" s="1"/>
  <c r="J190" i="99"/>
  <c r="H190" i="99" l="1"/>
  <c r="I190" i="99"/>
  <c r="J191" i="99" l="1"/>
  <c r="K190" i="99"/>
  <c r="L190" i="99" s="1"/>
  <c r="A190" i="99" s="1"/>
  <c r="E190" i="99"/>
  <c r="F190" i="99" l="1"/>
  <c r="H191" i="99" l="1"/>
  <c r="I191" i="99"/>
  <c r="K191" i="99" l="1"/>
  <c r="L191" i="99" s="1"/>
  <c r="A191" i="99" s="1"/>
  <c r="J192" i="99"/>
  <c r="E191" i="99"/>
  <c r="F191" i="99" l="1"/>
  <c r="H192" i="99" l="1"/>
  <c r="I192" i="99"/>
  <c r="K192" i="99" l="1"/>
  <c r="L192" i="99" s="1"/>
  <c r="A192" i="99" s="1"/>
  <c r="J193" i="99"/>
  <c r="E192" i="99"/>
  <c r="F192" i="99" l="1"/>
  <c r="I193" i="99" l="1"/>
  <c r="H193" i="99"/>
  <c r="E193" i="99" l="1"/>
  <c r="F193" i="99" s="1"/>
  <c r="J194" i="99"/>
  <c r="K193" i="99"/>
  <c r="L193" i="99" s="1"/>
  <c r="A193" i="99" s="1"/>
  <c r="I194" i="99" l="1"/>
  <c r="H194" i="99"/>
  <c r="E194" i="99" l="1"/>
  <c r="F194" i="99" s="1"/>
  <c r="K194" i="99"/>
  <c r="L194" i="99" s="1"/>
  <c r="A194" i="99" s="1"/>
  <c r="J195" i="99"/>
  <c r="H195" i="99" l="1"/>
  <c r="I195" i="99"/>
  <c r="K195" i="99" l="1"/>
  <c r="L195" i="99" s="1"/>
  <c r="A195" i="99" s="1"/>
  <c r="J196" i="99"/>
  <c r="E195" i="99"/>
  <c r="F195" i="99" l="1"/>
  <c r="I196" i="99" l="1"/>
  <c r="H196" i="99"/>
  <c r="K196" i="99" l="1"/>
  <c r="L196" i="99" s="1"/>
  <c r="A196" i="99" s="1"/>
  <c r="J197" i="99"/>
  <c r="E196" i="99"/>
  <c r="F196" i="99" l="1"/>
  <c r="I197" i="99" l="1"/>
  <c r="H197" i="99"/>
  <c r="E197" i="99" l="1"/>
  <c r="F197" i="99" s="1"/>
  <c r="J198" i="99"/>
  <c r="K197" i="99"/>
  <c r="L197" i="99" s="1"/>
  <c r="A197" i="99" s="1"/>
  <c r="H198" i="99" l="1"/>
  <c r="I198" i="99"/>
  <c r="E198" i="99" l="1"/>
  <c r="F198" i="99" s="1"/>
  <c r="J199" i="99"/>
  <c r="K198" i="99"/>
  <c r="L198" i="99" s="1"/>
  <c r="A198" i="99" s="1"/>
  <c r="H199" i="99" l="1"/>
  <c r="I199" i="99"/>
  <c r="E199" i="99" l="1"/>
  <c r="F199" i="99" s="1"/>
  <c r="K199" i="99"/>
  <c r="L199" i="99" s="1"/>
  <c r="A199" i="99" s="1"/>
  <c r="J200" i="99"/>
  <c r="H200" i="99" l="1"/>
  <c r="I200" i="99"/>
  <c r="J201" i="99" l="1"/>
  <c r="K200" i="99"/>
  <c r="L200" i="99" s="1"/>
  <c r="A200" i="99" s="1"/>
  <c r="E200" i="99"/>
  <c r="F200" i="99" l="1"/>
  <c r="I201" i="99" l="1"/>
  <c r="H201" i="99"/>
  <c r="E201" i="99" l="1"/>
  <c r="F201" i="99" s="1"/>
  <c r="K201" i="99"/>
  <c r="L201" i="99" s="1"/>
  <c r="A201" i="99" s="1"/>
  <c r="J202" i="99"/>
  <c r="H202" i="99" l="1"/>
  <c r="I202" i="99"/>
  <c r="K202" i="99" l="1"/>
  <c r="L202" i="99" s="1"/>
  <c r="A202" i="99" s="1"/>
  <c r="J203" i="99"/>
  <c r="E202" i="99"/>
  <c r="F202" i="99" l="1"/>
  <c r="H203" i="99" l="1"/>
  <c r="I203" i="99"/>
  <c r="E203" i="99" l="1"/>
  <c r="F203" i="99" s="1"/>
  <c r="K203" i="99"/>
  <c r="L203" i="99" s="1"/>
  <c r="A203" i="99" s="1"/>
  <c r="J204" i="99"/>
  <c r="I204" i="99" l="1"/>
  <c r="H204" i="99"/>
  <c r="K204" i="99" l="1"/>
  <c r="L204" i="99" s="1"/>
  <c r="A204" i="99" s="1"/>
  <c r="J205" i="99"/>
  <c r="E204" i="99"/>
  <c r="F204" i="99" l="1"/>
  <c r="I205" i="99" l="1"/>
  <c r="H205" i="99"/>
  <c r="J206" i="99" l="1"/>
  <c r="K205" i="99"/>
  <c r="L205" i="99" s="1"/>
  <c r="A205" i="99" s="1"/>
  <c r="E205" i="99"/>
  <c r="F205" i="99" l="1"/>
  <c r="H206" i="99" l="1"/>
  <c r="I206" i="99"/>
  <c r="K206" i="99" l="1"/>
  <c r="L206" i="99" s="1"/>
  <c r="A206" i="99" s="1"/>
  <c r="J207" i="99"/>
  <c r="E206" i="99"/>
  <c r="F206" i="99" l="1"/>
  <c r="H207" i="99" l="1"/>
  <c r="I207" i="99"/>
  <c r="K207" i="99" l="1"/>
  <c r="L207" i="99" s="1"/>
  <c r="A207" i="99" s="1"/>
  <c r="J208" i="99"/>
  <c r="E207" i="99"/>
  <c r="F207" i="99" l="1"/>
  <c r="H208" i="99" l="1"/>
  <c r="I208" i="99"/>
  <c r="E208" i="99" l="1"/>
  <c r="F208" i="99" s="1"/>
  <c r="J209" i="99"/>
  <c r="K208" i="99"/>
  <c r="L208" i="99" s="1"/>
  <c r="A208" i="99" s="1"/>
  <c r="I209" i="99" l="1"/>
  <c r="H209" i="99"/>
  <c r="J210" i="99" l="1"/>
  <c r="K209" i="99"/>
  <c r="L209" i="99" s="1"/>
  <c r="A209" i="99" s="1"/>
  <c r="E209" i="99"/>
  <c r="F209" i="99" l="1"/>
  <c r="I210" i="99" l="1"/>
  <c r="H210" i="99"/>
  <c r="E210" i="99" l="1"/>
  <c r="F210" i="99" s="1"/>
  <c r="K210" i="99"/>
  <c r="L210" i="99" s="1"/>
  <c r="A210" i="99" s="1"/>
  <c r="J211" i="99"/>
  <c r="I211" i="99" l="1"/>
  <c r="H211" i="99"/>
  <c r="E211" i="99" l="1"/>
  <c r="F211" i="99" s="1"/>
  <c r="K211" i="99"/>
  <c r="L211" i="99" s="1"/>
  <c r="A211" i="99" s="1"/>
  <c r="J212" i="99"/>
  <c r="I212" i="99" l="1"/>
  <c r="H212" i="99"/>
  <c r="E212" i="99" l="1"/>
  <c r="F212" i="99" s="1"/>
  <c r="K212" i="99"/>
  <c r="L212" i="99" s="1"/>
  <c r="A212" i="99" s="1"/>
  <c r="J213" i="99"/>
  <c r="I213" i="99" l="1"/>
  <c r="H213" i="99"/>
  <c r="K213" i="99" l="1"/>
  <c r="L213" i="99" s="1"/>
  <c r="A213" i="99" s="1"/>
  <c r="J214" i="99"/>
  <c r="E213" i="99"/>
  <c r="F213" i="99" l="1"/>
  <c r="H214" i="99" l="1"/>
  <c r="I214" i="99"/>
  <c r="J215" i="99" l="1"/>
  <c r="K214" i="99"/>
  <c r="L214" i="99" s="1"/>
  <c r="A214" i="99" s="1"/>
  <c r="E214" i="99"/>
  <c r="F214" i="99" l="1"/>
  <c r="H215" i="99" l="1"/>
  <c r="I215" i="99"/>
  <c r="E215" i="99" l="1"/>
  <c r="F215" i="99" s="1"/>
  <c r="J216" i="99"/>
  <c r="K215" i="99"/>
  <c r="L215" i="99" s="1"/>
  <c r="A215" i="99" s="1"/>
  <c r="H216" i="99" l="1"/>
  <c r="I216" i="99"/>
  <c r="J217" i="99" l="1"/>
  <c r="K216" i="99"/>
  <c r="L216" i="99" s="1"/>
  <c r="A216" i="99" s="1"/>
  <c r="E216" i="99"/>
  <c r="F216" i="99" l="1"/>
  <c r="H217" i="99" l="1"/>
  <c r="I217" i="99"/>
  <c r="J218" i="99" l="1"/>
  <c r="K217" i="99"/>
  <c r="L217" i="99" s="1"/>
  <c r="A217" i="99" s="1"/>
  <c r="E217" i="99"/>
  <c r="F217" i="99" l="1"/>
  <c r="H218" i="99" l="1"/>
  <c r="I218" i="99"/>
  <c r="J219" i="99" l="1"/>
  <c r="K218" i="99"/>
  <c r="L218" i="99" s="1"/>
  <c r="A218" i="99" s="1"/>
  <c r="E218" i="99"/>
  <c r="F218" i="99" l="1"/>
  <c r="H219" i="99" l="1"/>
  <c r="I219" i="99"/>
  <c r="K219" i="99" l="1"/>
  <c r="L219" i="99" s="1"/>
  <c r="A219" i="99" s="1"/>
  <c r="J220" i="99"/>
  <c r="E219" i="99"/>
  <c r="F219" i="99" l="1"/>
  <c r="H220" i="99" l="1"/>
  <c r="I220" i="99"/>
  <c r="K220" i="99" l="1"/>
  <c r="L220" i="99" s="1"/>
  <c r="A220" i="99" s="1"/>
  <c r="J221" i="99"/>
  <c r="E220" i="99"/>
  <c r="F220" i="99" l="1"/>
  <c r="I221" i="99" l="1"/>
  <c r="H221" i="99"/>
  <c r="E221" i="99" l="1"/>
  <c r="F221" i="99" s="1"/>
  <c r="K221" i="99"/>
  <c r="L221" i="99" s="1"/>
  <c r="A221" i="99" s="1"/>
  <c r="J222" i="99"/>
  <c r="H222" i="99" l="1"/>
  <c r="I222" i="99"/>
  <c r="E222" i="99" l="1"/>
  <c r="F222" i="99" s="1"/>
  <c r="K222" i="99"/>
  <c r="L222" i="99" s="1"/>
  <c r="A222" i="99" s="1"/>
  <c r="J223" i="99"/>
  <c r="H223" i="99" l="1"/>
  <c r="I223" i="99"/>
  <c r="K223" i="99" l="1"/>
  <c r="L223" i="99" s="1"/>
  <c r="A223" i="99" s="1"/>
  <c r="J224" i="99"/>
  <c r="E223" i="99"/>
  <c r="F223" i="99" l="1"/>
  <c r="I224" i="99" l="1"/>
  <c r="H224" i="99"/>
  <c r="E224" i="99" l="1"/>
  <c r="F224" i="99" s="1"/>
  <c r="K224" i="99"/>
  <c r="L224" i="99" s="1"/>
  <c r="A224" i="99" s="1"/>
  <c r="J225" i="99"/>
  <c r="H225" i="99" l="1"/>
  <c r="I225" i="99"/>
  <c r="K225" i="99" l="1"/>
  <c r="L225" i="99" s="1"/>
  <c r="A225" i="99" s="1"/>
  <c r="J226" i="99"/>
  <c r="E225" i="99"/>
  <c r="F225" i="99" l="1"/>
  <c r="H226" i="99" l="1"/>
  <c r="I226" i="99"/>
  <c r="K226" i="99" l="1"/>
  <c r="L226" i="99" s="1"/>
  <c r="A226" i="99" s="1"/>
  <c r="J227" i="99"/>
  <c r="E226" i="99"/>
  <c r="F226" i="99" l="1"/>
  <c r="I227" i="99" l="1"/>
  <c r="H227" i="99"/>
  <c r="E227" i="99" l="1"/>
  <c r="F227" i="99" s="1"/>
  <c r="J228" i="99"/>
  <c r="K227" i="99"/>
  <c r="L227" i="99" s="1"/>
  <c r="A227" i="99" s="1"/>
  <c r="I228" i="99" l="1"/>
  <c r="H228" i="99"/>
  <c r="E228" i="99" l="1"/>
  <c r="F228" i="99" s="1"/>
  <c r="J229" i="99"/>
  <c r="K228" i="99"/>
  <c r="L228" i="99" s="1"/>
  <c r="A228" i="99" s="1"/>
  <c r="H229" i="99" l="1"/>
  <c r="I229" i="99"/>
  <c r="K229" i="99" l="1"/>
  <c r="L229" i="99" s="1"/>
  <c r="A229" i="99" s="1"/>
  <c r="J230" i="99"/>
  <c r="E229" i="99"/>
  <c r="F229" i="99" l="1"/>
  <c r="H230" i="99" l="1"/>
  <c r="I230" i="99"/>
  <c r="K230" i="99" l="1"/>
  <c r="L230" i="99" s="1"/>
  <c r="A230" i="99" s="1"/>
  <c r="J231" i="99"/>
  <c r="E230" i="99"/>
  <c r="F230" i="99" l="1"/>
  <c r="I231" i="99" l="1"/>
  <c r="H231" i="99"/>
  <c r="E231" i="99" l="1"/>
  <c r="F231" i="99" s="1"/>
  <c r="K231" i="99"/>
  <c r="L231" i="99" s="1"/>
  <c r="A231" i="99" s="1"/>
  <c r="J232" i="99"/>
  <c r="I232" i="99" l="1"/>
  <c r="H232" i="99"/>
  <c r="E232" i="99" l="1"/>
  <c r="F232" i="99" s="1"/>
  <c r="J233" i="99"/>
  <c r="K232" i="99"/>
  <c r="L232" i="99" s="1"/>
  <c r="A232" i="99" s="1"/>
  <c r="H233" i="99" l="1"/>
  <c r="I233" i="99"/>
  <c r="K233" i="99" l="1"/>
  <c r="L233" i="99" s="1"/>
  <c r="A233" i="99" s="1"/>
  <c r="J234" i="99"/>
  <c r="E233" i="99"/>
  <c r="F233" i="99" l="1"/>
  <c r="H234" i="99" l="1"/>
  <c r="I234" i="99"/>
  <c r="K234" i="99" l="1"/>
  <c r="L234" i="99" s="1"/>
  <c r="A234" i="99" s="1"/>
  <c r="J235" i="99"/>
  <c r="E234" i="99"/>
  <c r="F234" i="99" l="1"/>
  <c r="I235" i="99" l="1"/>
  <c r="H235" i="99"/>
  <c r="E235" i="99" l="1"/>
  <c r="F235" i="99" s="1"/>
  <c r="K235" i="99"/>
  <c r="L235" i="99" s="1"/>
  <c r="A235" i="99" s="1"/>
  <c r="J236" i="99"/>
  <c r="I236" i="99" l="1"/>
  <c r="H236" i="99"/>
  <c r="E236" i="99" l="1"/>
  <c r="F236" i="99" s="1"/>
  <c r="J237" i="99"/>
  <c r="K236" i="99"/>
  <c r="L236" i="99" s="1"/>
  <c r="A236" i="99" s="1"/>
  <c r="H237" i="99" l="1"/>
  <c r="I237" i="99"/>
  <c r="K237" i="99" l="1"/>
  <c r="L237" i="99" s="1"/>
  <c r="A237" i="99" s="1"/>
  <c r="J238" i="99"/>
  <c r="E237" i="99"/>
  <c r="F237" i="99" l="1"/>
  <c r="H238" i="99" l="1"/>
  <c r="I238" i="99"/>
  <c r="K238" i="99" l="1"/>
  <c r="L238" i="99" s="1"/>
  <c r="A238" i="99" s="1"/>
  <c r="J239" i="99"/>
  <c r="E238" i="99"/>
  <c r="F238" i="99" l="1"/>
  <c r="I239" i="99" l="1"/>
  <c r="H239" i="99"/>
  <c r="E239" i="99" l="1"/>
  <c r="F239" i="99" s="1"/>
  <c r="J240" i="99"/>
  <c r="K239" i="99"/>
  <c r="L239" i="99" s="1"/>
  <c r="A239" i="99" s="1"/>
  <c r="I240" i="99" l="1"/>
  <c r="H240" i="99"/>
  <c r="E240" i="99" l="1"/>
  <c r="F240" i="99" s="1"/>
  <c r="K240" i="99"/>
  <c r="L240" i="99" s="1"/>
  <c r="A240" i="99" s="1"/>
  <c r="J241" i="99"/>
  <c r="H241" i="99" l="1"/>
  <c r="I241" i="99"/>
  <c r="K241" i="99" l="1"/>
  <c r="L241" i="99" s="1"/>
  <c r="A241" i="99" s="1"/>
  <c r="J242" i="99"/>
  <c r="E241" i="99"/>
  <c r="F241" i="99" l="1"/>
  <c r="H242" i="99" l="1"/>
  <c r="I242" i="99"/>
  <c r="K242" i="99" l="1"/>
  <c r="L242" i="99" s="1"/>
  <c r="A242" i="99" s="1"/>
  <c r="J243" i="99"/>
  <c r="E242" i="99"/>
  <c r="F242" i="99" l="1"/>
  <c r="I243" i="99" l="1"/>
  <c r="H243" i="99"/>
  <c r="E243" i="99" l="1"/>
  <c r="F243" i="99" s="1"/>
  <c r="J244" i="99"/>
  <c r="K243" i="99"/>
  <c r="L243" i="99" s="1"/>
  <c r="A243" i="99" s="1"/>
  <c r="I244" i="99" l="1"/>
  <c r="H244" i="99"/>
  <c r="E244" i="99" l="1"/>
  <c r="F244" i="99" s="1"/>
  <c r="K244" i="99"/>
  <c r="L244" i="99" s="1"/>
  <c r="A244" i="99" s="1"/>
  <c r="J245" i="99"/>
  <c r="H245" i="99" l="1"/>
  <c r="I245" i="99"/>
  <c r="K245" i="99" l="1"/>
  <c r="L245" i="99" s="1"/>
  <c r="A245" i="99" s="1"/>
  <c r="J246" i="99"/>
  <c r="E245" i="99"/>
  <c r="F245" i="99" l="1"/>
  <c r="H246" i="99" l="1"/>
  <c r="I246" i="99"/>
  <c r="K246" i="99" l="1"/>
  <c r="L246" i="99" s="1"/>
  <c r="A246" i="99" s="1"/>
  <c r="J247" i="99"/>
  <c r="E246" i="99"/>
  <c r="F246" i="99" l="1"/>
  <c r="I247" i="99" l="1"/>
  <c r="H247" i="99"/>
  <c r="E247" i="99" l="1"/>
  <c r="F247" i="99" s="1"/>
  <c r="K247" i="99"/>
  <c r="L247" i="99" s="1"/>
  <c r="A247" i="99" s="1"/>
  <c r="J248" i="99"/>
  <c r="I248" i="99" l="1"/>
  <c r="H248" i="99"/>
  <c r="E248" i="99" l="1"/>
  <c r="F248" i="99" s="1"/>
  <c r="J249" i="99"/>
  <c r="K248" i="99"/>
  <c r="L248" i="99" s="1"/>
  <c r="A248" i="99" s="1"/>
  <c r="H249" i="99" l="1"/>
  <c r="I249" i="99"/>
  <c r="K249" i="99" l="1"/>
  <c r="L249" i="99" s="1"/>
  <c r="A249" i="99" s="1"/>
  <c r="J250" i="99"/>
  <c r="E249" i="99"/>
  <c r="F249" i="99" l="1"/>
  <c r="H250" i="99" l="1"/>
  <c r="I250" i="99"/>
  <c r="K250" i="99" l="1"/>
  <c r="L250" i="99" s="1"/>
  <c r="A250" i="99" s="1"/>
  <c r="J251" i="99"/>
  <c r="E250" i="99"/>
  <c r="F250" i="99" l="1"/>
  <c r="I251" i="99" l="1"/>
  <c r="H251" i="99"/>
  <c r="E251" i="99" l="1"/>
  <c r="F251" i="99" s="1"/>
  <c r="K251" i="99"/>
  <c r="L251" i="99" s="1"/>
  <c r="A251" i="99" s="1"/>
  <c r="J252" i="99"/>
  <c r="I252" i="99" l="1"/>
  <c r="H252" i="99"/>
  <c r="E252" i="99" l="1"/>
  <c r="F252" i="99" s="1"/>
  <c r="J253" i="99"/>
  <c r="K252" i="99"/>
  <c r="L252" i="99" s="1"/>
  <c r="A252" i="99" s="1"/>
  <c r="H253" i="99" l="1"/>
  <c r="I253" i="99"/>
  <c r="K253" i="99" l="1"/>
  <c r="L253" i="99" s="1"/>
  <c r="A253" i="99" s="1"/>
  <c r="J254" i="99"/>
  <c r="E253" i="99"/>
  <c r="F253" i="99" l="1"/>
  <c r="H254" i="99" l="1"/>
  <c r="I254" i="99"/>
  <c r="K254" i="99" l="1"/>
  <c r="L254" i="99" s="1"/>
  <c r="A254" i="99" s="1"/>
  <c r="J255" i="99"/>
  <c r="E254" i="99"/>
  <c r="F254" i="99" l="1"/>
  <c r="I255" i="99" l="1"/>
  <c r="H255" i="99"/>
  <c r="E255" i="99" l="1"/>
  <c r="F255" i="99" s="1"/>
  <c r="J256" i="99"/>
  <c r="K255" i="99"/>
  <c r="L255" i="99" s="1"/>
  <c r="A255" i="99" s="1"/>
  <c r="I256" i="99" l="1"/>
  <c r="H256" i="99"/>
  <c r="E256" i="99" l="1"/>
  <c r="F256" i="99" s="1"/>
  <c r="K256" i="99"/>
  <c r="L256" i="99" s="1"/>
  <c r="A256" i="99" s="1"/>
  <c r="J257" i="99"/>
  <c r="H257" i="99" l="1"/>
  <c r="I257" i="99"/>
  <c r="K257" i="99" l="1"/>
  <c r="L257" i="99" s="1"/>
  <c r="A257" i="99" s="1"/>
  <c r="J258" i="99"/>
  <c r="E257" i="99"/>
  <c r="F257" i="99" l="1"/>
  <c r="H258" i="99" l="1"/>
  <c r="I258" i="99"/>
  <c r="K258" i="99" l="1"/>
  <c r="L258" i="99" s="1"/>
  <c r="A258" i="99" s="1"/>
  <c r="J259" i="99"/>
  <c r="E258" i="99"/>
  <c r="F258" i="99" l="1"/>
  <c r="I259" i="99" l="1"/>
  <c r="H259" i="99"/>
  <c r="E259" i="99" l="1"/>
  <c r="F259" i="99" s="1"/>
  <c r="J260" i="99"/>
  <c r="K259" i="99"/>
  <c r="L259" i="99" s="1"/>
  <c r="A259" i="99" s="1"/>
  <c r="I260" i="99" l="1"/>
  <c r="H260" i="99"/>
  <c r="E260" i="99" l="1"/>
  <c r="F260" i="99" s="1"/>
  <c r="J261" i="99"/>
  <c r="K260" i="99"/>
  <c r="L260" i="99" s="1"/>
  <c r="A260" i="99" s="1"/>
  <c r="H261" i="99" l="1"/>
  <c r="I261" i="99"/>
  <c r="K261" i="99" l="1"/>
  <c r="L261" i="99" s="1"/>
  <c r="A261" i="99" s="1"/>
  <c r="J262" i="99"/>
  <c r="E261" i="99"/>
  <c r="F261" i="99" l="1"/>
  <c r="H262" i="99" l="1"/>
  <c r="I262" i="99"/>
  <c r="K262" i="99" l="1"/>
  <c r="L262" i="99" s="1"/>
  <c r="A262" i="99" s="1"/>
  <c r="J263" i="99"/>
  <c r="E262" i="99"/>
  <c r="F262" i="99" l="1"/>
  <c r="I263" i="99" l="1"/>
  <c r="H263" i="99"/>
  <c r="E263" i="99" l="1"/>
  <c r="F263" i="99" s="1"/>
  <c r="K263" i="99"/>
  <c r="L263" i="99" s="1"/>
  <c r="A263" i="99" s="1"/>
  <c r="J264" i="99"/>
  <c r="I264" i="99" l="1"/>
  <c r="H264" i="99"/>
  <c r="E264" i="99" l="1"/>
  <c r="F264" i="99" s="1"/>
  <c r="J265" i="99"/>
  <c r="K264" i="99"/>
  <c r="L264" i="99" s="1"/>
  <c r="A264" i="99" s="1"/>
  <c r="H265" i="99" l="1"/>
  <c r="I265" i="99"/>
  <c r="K265" i="99" l="1"/>
  <c r="L265" i="99" s="1"/>
  <c r="A265" i="99" s="1"/>
  <c r="J266" i="99"/>
  <c r="E265" i="99"/>
  <c r="F265" i="99" l="1"/>
  <c r="H266" i="99" l="1"/>
  <c r="I266" i="99"/>
  <c r="K266" i="99" l="1"/>
  <c r="L266" i="99" s="1"/>
  <c r="A266" i="99" s="1"/>
  <c r="J267" i="99"/>
  <c r="E266" i="99"/>
  <c r="F266" i="99" l="1"/>
  <c r="I267" i="99" l="1"/>
  <c r="H267" i="99"/>
  <c r="E267" i="99" l="1"/>
  <c r="F267" i="99" s="1"/>
  <c r="K267" i="99"/>
  <c r="L267" i="99" s="1"/>
  <c r="A267" i="99" s="1"/>
  <c r="J268" i="99"/>
  <c r="I268" i="99" l="1"/>
  <c r="H268" i="99"/>
  <c r="E268" i="99" l="1"/>
  <c r="F268" i="99" s="1"/>
  <c r="K268" i="99"/>
  <c r="L268" i="99" s="1"/>
  <c r="A268" i="99" s="1"/>
  <c r="J269" i="99"/>
  <c r="H269" i="99" l="1"/>
  <c r="I269" i="99"/>
  <c r="K269" i="99" l="1"/>
  <c r="L269" i="99" s="1"/>
  <c r="A269" i="99" s="1"/>
  <c r="J270" i="99"/>
  <c r="E269" i="99"/>
  <c r="F269" i="99" l="1"/>
  <c r="H270" i="99" l="1"/>
  <c r="I270" i="99"/>
  <c r="K270" i="99" l="1"/>
  <c r="L270" i="99" s="1"/>
  <c r="A270" i="99" s="1"/>
  <c r="J271" i="99"/>
  <c r="E270" i="99"/>
  <c r="F270" i="99" l="1"/>
  <c r="I271" i="99" l="1"/>
  <c r="H271" i="99"/>
  <c r="E271" i="99" l="1"/>
  <c r="F271" i="99" s="1"/>
  <c r="J272" i="99"/>
  <c r="K271" i="99"/>
  <c r="L271" i="99" s="1"/>
  <c r="A271" i="99" s="1"/>
  <c r="I272" i="99" l="1"/>
  <c r="H272" i="99"/>
  <c r="E272" i="99" l="1"/>
  <c r="F272" i="99" s="1"/>
  <c r="K272" i="99"/>
  <c r="L272" i="99" s="1"/>
  <c r="A272" i="99" s="1"/>
  <c r="J273" i="99"/>
  <c r="H273" i="99" l="1"/>
  <c r="I273" i="99"/>
  <c r="K273" i="99" l="1"/>
  <c r="L273" i="99" s="1"/>
  <c r="A273" i="99" s="1"/>
  <c r="J274" i="99"/>
  <c r="E273" i="99"/>
  <c r="F273" i="99" l="1"/>
  <c r="H274" i="99" l="1"/>
  <c r="I274" i="99"/>
  <c r="K274" i="99" l="1"/>
  <c r="L274" i="99" s="1"/>
  <c r="A274" i="99" s="1"/>
  <c r="J275" i="99"/>
  <c r="E274" i="99"/>
  <c r="F274" i="99" l="1"/>
  <c r="I275" i="99" l="1"/>
  <c r="H275" i="99"/>
  <c r="E275" i="99" l="1"/>
  <c r="F275" i="99" s="1"/>
  <c r="J276" i="99"/>
  <c r="K275" i="99"/>
  <c r="L275" i="99" s="1"/>
  <c r="A275" i="99" s="1"/>
  <c r="I276" i="99" l="1"/>
  <c r="H276" i="99"/>
  <c r="E276" i="99" l="1"/>
  <c r="F276" i="99" s="1"/>
  <c r="J277" i="99"/>
  <c r="K276" i="99"/>
  <c r="L276" i="99" s="1"/>
  <c r="A276" i="99" s="1"/>
  <c r="H277" i="99" l="1"/>
  <c r="I277" i="99"/>
  <c r="K277" i="99" l="1"/>
  <c r="L277" i="99" s="1"/>
  <c r="A277" i="99" s="1"/>
  <c r="J278" i="99"/>
  <c r="E277" i="99"/>
  <c r="F277" i="99" l="1"/>
  <c r="H278" i="99" l="1"/>
  <c r="I278" i="99"/>
  <c r="K278" i="99" l="1"/>
  <c r="L278" i="99" s="1"/>
  <c r="A278" i="99" s="1"/>
  <c r="J279" i="99"/>
  <c r="E278" i="99"/>
  <c r="F278" i="99" l="1"/>
  <c r="I279" i="99" l="1"/>
  <c r="H279" i="99"/>
  <c r="E279" i="99" l="1"/>
  <c r="F279" i="99" s="1"/>
  <c r="K279" i="99"/>
  <c r="L279" i="99" s="1"/>
  <c r="A279" i="99" s="1"/>
  <c r="J280" i="99"/>
  <c r="I280" i="99" l="1"/>
  <c r="H280" i="99"/>
  <c r="E280" i="99" l="1"/>
  <c r="F280" i="99" s="1"/>
  <c r="J281" i="99"/>
  <c r="K280" i="99"/>
  <c r="L280" i="99" s="1"/>
  <c r="A280" i="99" s="1"/>
  <c r="H281" i="99" l="1"/>
  <c r="I281" i="99"/>
  <c r="K281" i="99" l="1"/>
  <c r="L281" i="99" s="1"/>
  <c r="A281" i="99" s="1"/>
  <c r="J282" i="99"/>
  <c r="E281" i="99"/>
  <c r="F281" i="99" l="1"/>
  <c r="H282" i="99" l="1"/>
  <c r="I282" i="99"/>
  <c r="K282" i="99" l="1"/>
  <c r="L282" i="99" s="1"/>
  <c r="A282" i="99" s="1"/>
  <c r="J283" i="99"/>
  <c r="E282" i="99"/>
  <c r="F282" i="99" l="1"/>
  <c r="I283" i="99" l="1"/>
  <c r="H283" i="99"/>
  <c r="E283" i="99" l="1"/>
  <c r="F283" i="99" s="1"/>
  <c r="K283" i="99"/>
  <c r="L283" i="99" s="1"/>
  <c r="A283" i="99" s="1"/>
  <c r="J284" i="99"/>
  <c r="I284" i="99" l="1"/>
  <c r="H284" i="99"/>
  <c r="E284" i="99" l="1"/>
  <c r="F284" i="99" s="1"/>
  <c r="K284" i="99"/>
  <c r="L284" i="99" s="1"/>
  <c r="A284" i="99" s="1"/>
  <c r="J285" i="99"/>
  <c r="H285" i="99" l="1"/>
  <c r="I285" i="99"/>
  <c r="K285" i="99" l="1"/>
  <c r="L285" i="99" s="1"/>
  <c r="A285" i="99" s="1"/>
  <c r="J286" i="99"/>
  <c r="E285" i="99"/>
  <c r="F285" i="99" l="1"/>
  <c r="H286" i="99" l="1"/>
  <c r="I286" i="99"/>
  <c r="K286" i="99" l="1"/>
  <c r="L286" i="99" s="1"/>
  <c r="A286" i="99" s="1"/>
  <c r="J287" i="99"/>
  <c r="E286" i="99"/>
  <c r="F286" i="99" l="1"/>
  <c r="I287" i="99" l="1"/>
  <c r="H287" i="99"/>
  <c r="E287" i="99" l="1"/>
  <c r="F287" i="99" s="1"/>
  <c r="J288" i="99"/>
  <c r="K287" i="99"/>
  <c r="L287" i="99" s="1"/>
  <c r="A287" i="99" s="1"/>
  <c r="I288" i="99" l="1"/>
  <c r="H288" i="99"/>
  <c r="E288" i="99" l="1"/>
  <c r="F288" i="99" s="1"/>
  <c r="K288" i="99"/>
  <c r="L288" i="99" s="1"/>
  <c r="A288" i="99" s="1"/>
  <c r="J289" i="99"/>
  <c r="H289" i="99" l="1"/>
  <c r="I289" i="99"/>
  <c r="K289" i="99" l="1"/>
  <c r="L289" i="99" s="1"/>
  <c r="A289" i="99" s="1"/>
  <c r="J290" i="99"/>
  <c r="E289" i="99"/>
  <c r="F289" i="99" l="1"/>
  <c r="H290" i="99" l="1"/>
  <c r="I290" i="99"/>
  <c r="K290" i="99" l="1"/>
  <c r="L290" i="99" s="1"/>
  <c r="A290" i="99" s="1"/>
  <c r="J291" i="99"/>
  <c r="E290" i="99"/>
  <c r="F290" i="99" l="1"/>
  <c r="I291" i="99" l="1"/>
  <c r="H291" i="99"/>
  <c r="E291" i="99" l="1"/>
  <c r="F291" i="99" s="1"/>
  <c r="J292" i="99"/>
  <c r="K291" i="99"/>
  <c r="L291" i="99" s="1"/>
  <c r="A291" i="99" s="1"/>
  <c r="I292" i="99" l="1"/>
  <c r="H292" i="99"/>
  <c r="E292" i="99" l="1"/>
  <c r="F292" i="99" s="1"/>
  <c r="K292" i="99"/>
  <c r="L292" i="99" s="1"/>
  <c r="A292" i="99" s="1"/>
  <c r="J293" i="99"/>
  <c r="H293" i="99" l="1"/>
  <c r="I293" i="99"/>
  <c r="K293" i="99" l="1"/>
  <c r="L293" i="99" s="1"/>
  <c r="A293" i="99" s="1"/>
  <c r="J294" i="99"/>
  <c r="E293" i="99"/>
  <c r="F293" i="99" l="1"/>
  <c r="H294" i="99" l="1"/>
  <c r="I294" i="99"/>
  <c r="K294" i="99" l="1"/>
  <c r="L294" i="99" s="1"/>
  <c r="A294" i="99" s="1"/>
  <c r="J295" i="99"/>
  <c r="E294" i="99"/>
  <c r="F294" i="99" l="1"/>
  <c r="I295" i="99" l="1"/>
  <c r="H295" i="99"/>
  <c r="E295" i="99" l="1"/>
  <c r="F295" i="99" s="1"/>
  <c r="K295" i="99"/>
  <c r="L295" i="99" s="1"/>
  <c r="A295" i="99" s="1"/>
  <c r="J296" i="99"/>
  <c r="I296" i="99" l="1"/>
  <c r="H296" i="99"/>
  <c r="E296" i="99" l="1"/>
  <c r="F296" i="99" s="1"/>
  <c r="J297" i="99"/>
  <c r="K296" i="99"/>
  <c r="L296" i="99" s="1"/>
  <c r="A296" i="99" s="1"/>
  <c r="I297" i="99" l="1"/>
  <c r="H297" i="99"/>
  <c r="E297" i="99" l="1"/>
  <c r="F297" i="99" s="1"/>
  <c r="K297" i="99"/>
  <c r="L297" i="99" s="1"/>
  <c r="A297" i="99" s="1"/>
  <c r="J298" i="99"/>
  <c r="H298" i="99" l="1"/>
  <c r="I298" i="99"/>
  <c r="E298" i="99" l="1"/>
  <c r="F298" i="99" s="1"/>
  <c r="K298" i="99"/>
  <c r="L298" i="99" s="1"/>
  <c r="A298" i="99" s="1"/>
  <c r="J299" i="99"/>
  <c r="I299" i="99" l="1"/>
  <c r="H299" i="99"/>
  <c r="E299" i="99" l="1"/>
  <c r="F299" i="99" s="1"/>
  <c r="J300" i="99"/>
  <c r="K299" i="99"/>
  <c r="L299" i="99" s="1"/>
  <c r="A299" i="99" s="1"/>
  <c r="I300" i="99" l="1"/>
  <c r="H300" i="99"/>
  <c r="E300" i="99" l="1"/>
  <c r="F300" i="99" s="1"/>
  <c r="K300" i="99"/>
  <c r="L300" i="99" s="1"/>
  <c r="A300" i="99" s="1"/>
  <c r="J301" i="99"/>
  <c r="H301" i="99" l="1"/>
  <c r="I301" i="99"/>
  <c r="K301" i="99" l="1"/>
  <c r="L301" i="99" s="1"/>
  <c r="A301" i="99" s="1"/>
  <c r="J302" i="99"/>
  <c r="E301" i="99"/>
  <c r="F301" i="99" l="1"/>
  <c r="H302" i="99" l="1"/>
  <c r="I302" i="99"/>
  <c r="K302" i="99" l="1"/>
  <c r="L302" i="99" s="1"/>
  <c r="A302" i="99" s="1"/>
  <c r="J303" i="99"/>
  <c r="E302" i="99"/>
  <c r="F302" i="99" l="1"/>
  <c r="I303" i="99" l="1"/>
  <c r="H303" i="99"/>
  <c r="E303" i="99" l="1"/>
  <c r="F303" i="99" s="1"/>
  <c r="J304" i="99"/>
  <c r="K303" i="99"/>
  <c r="L303" i="99" s="1"/>
  <c r="A303" i="99" s="1"/>
  <c r="I304" i="99" l="1"/>
  <c r="H304" i="99"/>
  <c r="E304" i="99" l="1"/>
  <c r="F304" i="99" s="1"/>
  <c r="J305" i="99"/>
  <c r="K304" i="99"/>
  <c r="L304" i="99" s="1"/>
  <c r="A304" i="99" s="1"/>
  <c r="H305" i="99" l="1"/>
  <c r="I305" i="99"/>
  <c r="K305" i="99" l="1"/>
  <c r="L305" i="99" s="1"/>
  <c r="A305" i="99" s="1"/>
  <c r="J306" i="99"/>
  <c r="E305" i="99"/>
  <c r="F305" i="99" l="1"/>
  <c r="H306" i="99" l="1"/>
  <c r="I306" i="99"/>
  <c r="K306" i="99" l="1"/>
  <c r="L306" i="99" s="1"/>
  <c r="A306" i="99" s="1"/>
  <c r="J307" i="99"/>
  <c r="E306" i="99"/>
  <c r="F306" i="99" l="1"/>
  <c r="H307" i="99" l="1"/>
  <c r="I307" i="99"/>
  <c r="K307" i="99" l="1"/>
  <c r="L307" i="99" s="1"/>
  <c r="A307" i="99" s="1"/>
  <c r="J308" i="99"/>
  <c r="E307" i="99"/>
  <c r="F307" i="99" l="1"/>
  <c r="I308" i="99" l="1"/>
  <c r="H308" i="99"/>
  <c r="E308" i="99" l="1"/>
  <c r="F308" i="99" s="1"/>
  <c r="K308" i="99"/>
  <c r="L308" i="99" s="1"/>
  <c r="A308" i="99" s="1"/>
  <c r="J309" i="99"/>
  <c r="I309" i="99" l="1"/>
  <c r="H309" i="99"/>
  <c r="E309" i="99" l="1"/>
  <c r="F309" i="99" s="1"/>
  <c r="J310" i="99"/>
  <c r="K309" i="99"/>
  <c r="L309" i="99" s="1"/>
  <c r="A309" i="99" s="1"/>
  <c r="H310" i="99" l="1"/>
  <c r="I310" i="99"/>
  <c r="K310" i="99" l="1"/>
  <c r="L310" i="99" s="1"/>
  <c r="A310" i="99" s="1"/>
  <c r="J311" i="99"/>
  <c r="E310" i="99"/>
  <c r="F310" i="99" l="1"/>
  <c r="I311" i="99" l="1"/>
  <c r="H311" i="99"/>
  <c r="E311" i="99" l="1"/>
  <c r="F311" i="99" s="1"/>
  <c r="K311" i="99"/>
  <c r="L311" i="99" s="1"/>
  <c r="A311" i="99" s="1"/>
  <c r="J312" i="99"/>
  <c r="I312" i="99" l="1"/>
  <c r="H312" i="99"/>
  <c r="E312" i="99" l="1"/>
  <c r="F312" i="99" s="1"/>
  <c r="K312" i="99"/>
  <c r="L312" i="99" s="1"/>
  <c r="A312" i="99" s="1"/>
  <c r="J313" i="99"/>
  <c r="H313" i="99" l="1"/>
  <c r="I313" i="99"/>
  <c r="J314" i="99" l="1"/>
  <c r="K313" i="99"/>
  <c r="L313" i="99" s="1"/>
  <c r="A313" i="99" s="1"/>
  <c r="E313" i="99"/>
  <c r="F313" i="99" l="1"/>
  <c r="H314" i="99" l="1"/>
  <c r="I314" i="99"/>
  <c r="K314" i="99" l="1"/>
  <c r="L314" i="99" s="1"/>
  <c r="A314" i="99" s="1"/>
  <c r="J315" i="99"/>
  <c r="E314" i="99"/>
  <c r="F314" i="99" l="1"/>
  <c r="I315" i="99" l="1"/>
  <c r="H315" i="99"/>
  <c r="E315" i="99" l="1"/>
  <c r="F315" i="99" s="1"/>
  <c r="J316" i="99"/>
  <c r="K315" i="99"/>
  <c r="L315" i="99" s="1"/>
  <c r="A315" i="99" s="1"/>
  <c r="I316" i="99" l="1"/>
  <c r="H316" i="99"/>
  <c r="E316" i="99" l="1"/>
  <c r="F316" i="99" s="1"/>
  <c r="J317" i="99"/>
  <c r="K316" i="99"/>
  <c r="L316" i="99" s="1"/>
  <c r="A316" i="99" s="1"/>
  <c r="I317" i="99" l="1"/>
  <c r="H317" i="99"/>
  <c r="E317" i="99" l="1"/>
  <c r="F317" i="99" s="1"/>
  <c r="J318" i="99"/>
  <c r="K317" i="99"/>
  <c r="L317" i="99" s="1"/>
  <c r="A317" i="99" s="1"/>
  <c r="H318" i="99" l="1"/>
  <c r="I318" i="99"/>
  <c r="K318" i="99" l="1"/>
  <c r="L318" i="99" s="1"/>
  <c r="A318" i="99" s="1"/>
  <c r="J319" i="99"/>
  <c r="E318" i="99"/>
  <c r="F318" i="99" l="1"/>
  <c r="H319" i="99" l="1"/>
  <c r="I319" i="99"/>
  <c r="J320" i="99" l="1"/>
  <c r="K319" i="99"/>
  <c r="L319" i="99" s="1"/>
  <c r="A319" i="99" s="1"/>
  <c r="E319" i="99"/>
  <c r="F319" i="99" l="1"/>
  <c r="I320" i="99" l="1"/>
  <c r="H320" i="99"/>
  <c r="E320" i="99" l="1"/>
  <c r="F320" i="99" s="1"/>
  <c r="K320" i="99"/>
  <c r="L320" i="99" s="1"/>
  <c r="A320" i="99" s="1"/>
  <c r="J321" i="99"/>
  <c r="H321" i="99" l="1"/>
  <c r="I321" i="99"/>
  <c r="K321" i="99" l="1"/>
  <c r="L321" i="99" s="1"/>
  <c r="A321" i="99" s="1"/>
  <c r="J322" i="99"/>
  <c r="E321" i="99"/>
  <c r="F321" i="99" l="1"/>
  <c r="H322" i="99" l="1"/>
  <c r="I322" i="99"/>
  <c r="K322" i="99" l="1"/>
  <c r="L322" i="99" s="1"/>
  <c r="A322" i="99" s="1"/>
  <c r="J323" i="99"/>
  <c r="E322" i="99"/>
  <c r="F322" i="99" l="1"/>
  <c r="I323" i="99" l="1"/>
  <c r="H323" i="99"/>
  <c r="E323" i="99" l="1"/>
  <c r="F323" i="99" s="1"/>
  <c r="J324" i="99"/>
  <c r="K323" i="99"/>
  <c r="L323" i="99" s="1"/>
  <c r="A323" i="99" s="1"/>
  <c r="I324" i="99" l="1"/>
  <c r="H324" i="99"/>
  <c r="E324" i="99" l="1"/>
  <c r="F324" i="99" s="1"/>
  <c r="K324" i="99"/>
  <c r="L324" i="99" s="1"/>
  <c r="A324" i="99" s="1"/>
  <c r="J325" i="99"/>
  <c r="I325" i="99" l="1"/>
  <c r="H325" i="99"/>
  <c r="E325" i="99" l="1"/>
  <c r="F325" i="99" s="1"/>
  <c r="K325" i="99"/>
  <c r="L325" i="99" s="1"/>
  <c r="A325" i="99" s="1"/>
  <c r="J326" i="99"/>
  <c r="H326" i="99" l="1"/>
  <c r="I326" i="99"/>
  <c r="E326" i="99" l="1"/>
  <c r="F326" i="99" s="1"/>
  <c r="K326" i="99"/>
  <c r="L326" i="99" s="1"/>
  <c r="A326" i="99" s="1"/>
  <c r="J327" i="99"/>
  <c r="H327" i="99" l="1"/>
  <c r="I327" i="99"/>
  <c r="K327" i="99" l="1"/>
  <c r="L327" i="99" s="1"/>
  <c r="A327" i="99" s="1"/>
  <c r="J328" i="99"/>
  <c r="E327" i="99"/>
  <c r="F327" i="99" l="1"/>
  <c r="I328" i="99" l="1"/>
  <c r="H328" i="99"/>
  <c r="E328" i="99" l="1"/>
  <c r="F328" i="99" s="1"/>
  <c r="J329" i="99"/>
  <c r="K328" i="99"/>
  <c r="L328" i="99" s="1"/>
  <c r="A328" i="99" s="1"/>
  <c r="I329" i="99" l="1"/>
  <c r="H329" i="99"/>
  <c r="E329" i="99" l="1"/>
  <c r="F329" i="99" s="1"/>
  <c r="J330" i="99"/>
  <c r="K329" i="99"/>
  <c r="L329" i="99" s="1"/>
  <c r="A329" i="99" s="1"/>
  <c r="H330" i="99" l="1"/>
  <c r="I330" i="99"/>
  <c r="K330" i="99" l="1"/>
  <c r="L330" i="99" s="1"/>
  <c r="A330" i="99" s="1"/>
  <c r="J331" i="99"/>
  <c r="E330" i="99"/>
  <c r="F330" i="99" l="1"/>
  <c r="I331" i="99" l="1"/>
  <c r="H331" i="99"/>
  <c r="K331" i="99" l="1"/>
  <c r="L331" i="99" s="1"/>
  <c r="A331" i="99" s="1"/>
  <c r="J332" i="99"/>
  <c r="E331" i="99"/>
  <c r="F331" i="99" l="1"/>
  <c r="I332" i="99" l="1"/>
  <c r="H332" i="99"/>
  <c r="E332" i="99" l="1"/>
  <c r="F332" i="99" s="1"/>
  <c r="J333" i="99"/>
  <c r="K332" i="99"/>
  <c r="L332" i="99" s="1"/>
  <c r="A332" i="99" s="1"/>
  <c r="H333" i="99" l="1"/>
  <c r="I333" i="99"/>
  <c r="E333" i="99" l="1"/>
  <c r="F333" i="99" s="1"/>
  <c r="K333" i="99"/>
  <c r="L333" i="99" s="1"/>
  <c r="A333" i="99" s="1"/>
  <c r="J334" i="99"/>
  <c r="H334" i="99" l="1"/>
  <c r="I334" i="99"/>
  <c r="E334" i="99" l="1"/>
  <c r="F334" i="99" s="1"/>
  <c r="K334" i="99"/>
  <c r="L334" i="99" s="1"/>
  <c r="A334" i="99" s="1"/>
  <c r="J335" i="99"/>
  <c r="H335" i="99" l="1"/>
  <c r="I335" i="99"/>
  <c r="K335" i="99" l="1"/>
  <c r="L335" i="99" s="1"/>
  <c r="A335" i="99" s="1"/>
  <c r="J336" i="99"/>
  <c r="E335" i="99"/>
  <c r="F335" i="99" l="1"/>
  <c r="I336" i="99" l="1"/>
  <c r="H336" i="99"/>
  <c r="E336" i="99" l="1"/>
  <c r="F336" i="99" s="1"/>
  <c r="J337" i="99"/>
  <c r="K336" i="99"/>
  <c r="L336" i="99" s="1"/>
  <c r="A336" i="99" s="1"/>
  <c r="H337" i="99" l="1"/>
  <c r="I337" i="99"/>
  <c r="E337" i="99" l="1"/>
  <c r="F337" i="99" s="1"/>
  <c r="J338" i="99"/>
  <c r="K337" i="99"/>
  <c r="L337" i="99" s="1"/>
  <c r="A337" i="99" s="1"/>
  <c r="H338" i="99" l="1"/>
  <c r="I338" i="99"/>
  <c r="K338" i="99" l="1"/>
  <c r="L338" i="99" s="1"/>
  <c r="A338" i="99" s="1"/>
  <c r="J339" i="99"/>
  <c r="E338" i="99"/>
  <c r="F338" i="99" l="1"/>
  <c r="H339" i="99" l="1"/>
  <c r="I339" i="99"/>
  <c r="K339" i="99" l="1"/>
  <c r="L339" i="99" s="1"/>
  <c r="A339" i="99" s="1"/>
  <c r="J340" i="99"/>
  <c r="E339" i="99"/>
  <c r="F339" i="99" l="1"/>
  <c r="I340" i="99" l="1"/>
  <c r="H340" i="99"/>
  <c r="E340" i="99" l="1"/>
  <c r="F340" i="99" s="1"/>
  <c r="K340" i="99"/>
  <c r="L340" i="99" s="1"/>
  <c r="A340" i="99" s="1"/>
  <c r="J341" i="99"/>
  <c r="I341" i="99" l="1"/>
  <c r="H341" i="99"/>
  <c r="E341" i="99" l="1"/>
  <c r="F341" i="99" s="1"/>
  <c r="K341" i="99"/>
  <c r="L341" i="99" s="1"/>
  <c r="A341" i="99" s="1"/>
  <c r="J342" i="99"/>
  <c r="H342" i="99" l="1"/>
  <c r="I342" i="99"/>
  <c r="E342" i="99" l="1"/>
  <c r="F342" i="99" s="1"/>
  <c r="K342" i="99"/>
  <c r="L342" i="99" s="1"/>
  <c r="A342" i="99" s="1"/>
  <c r="J343" i="99"/>
  <c r="I343" i="99" l="1"/>
  <c r="H343" i="99"/>
  <c r="K343" i="99" l="1"/>
  <c r="L343" i="99" s="1"/>
  <c r="A343" i="99" s="1"/>
  <c r="J344" i="99"/>
  <c r="E343" i="99"/>
  <c r="F343" i="99" l="1"/>
  <c r="I344" i="99" l="1"/>
  <c r="H344" i="99"/>
  <c r="J345" i="99" l="1"/>
  <c r="K344" i="99"/>
  <c r="L344" i="99" s="1"/>
  <c r="A344" i="99" s="1"/>
  <c r="E344" i="99"/>
  <c r="F344" i="99" l="1"/>
  <c r="H345" i="99" l="1"/>
  <c r="I345" i="99"/>
  <c r="E345" i="99" l="1"/>
  <c r="F345" i="99" s="1"/>
  <c r="K345" i="99"/>
  <c r="L345" i="99" s="1"/>
  <c r="A345" i="99" s="1"/>
  <c r="J346" i="99"/>
  <c r="H346" i="99" l="1"/>
  <c r="I346" i="99"/>
  <c r="K346" i="99" l="1"/>
  <c r="L346" i="99" s="1"/>
  <c r="A346" i="99" s="1"/>
  <c r="J347" i="99"/>
  <c r="E346" i="99"/>
  <c r="F346" i="99" l="1"/>
  <c r="H347" i="99" l="1"/>
  <c r="I347" i="99"/>
  <c r="K347" i="99" l="1"/>
  <c r="L347" i="99" s="1"/>
  <c r="A347" i="99" s="1"/>
  <c r="J348" i="99"/>
  <c r="E347" i="99"/>
  <c r="F347" i="99" l="1"/>
  <c r="I348" i="99" l="1"/>
  <c r="H348" i="99"/>
  <c r="E348" i="99" l="1"/>
  <c r="F348" i="99" s="1"/>
  <c r="K348" i="99"/>
  <c r="L348" i="99" s="1"/>
  <c r="A348" i="99" s="1"/>
  <c r="J349" i="99"/>
  <c r="I349" i="99" l="1"/>
  <c r="H349" i="99"/>
  <c r="K349" i="99" l="1"/>
  <c r="L349" i="99" s="1"/>
  <c r="A349" i="99" s="1"/>
  <c r="J350" i="99"/>
  <c r="E349" i="99"/>
  <c r="F349" i="99" l="1"/>
  <c r="H350" i="99" l="1"/>
  <c r="I350" i="99"/>
  <c r="E350" i="99" l="1"/>
  <c r="F350" i="99" s="1"/>
  <c r="K350" i="99"/>
  <c r="L350" i="99" s="1"/>
  <c r="A350" i="99" s="1"/>
  <c r="J351" i="99"/>
  <c r="I351" i="99" l="1"/>
  <c r="H351" i="99"/>
  <c r="E351" i="99" l="1"/>
  <c r="F351" i="99" s="1"/>
  <c r="K351" i="99"/>
  <c r="L351" i="99" s="1"/>
  <c r="A351" i="99" s="1"/>
  <c r="J352" i="99"/>
  <c r="I352" i="99" l="1"/>
  <c r="H352" i="99"/>
  <c r="K352" i="99" l="1"/>
  <c r="L352" i="99" s="1"/>
  <c r="A352" i="99" s="1"/>
  <c r="J353" i="99"/>
  <c r="E352" i="99"/>
  <c r="F352" i="99" l="1"/>
  <c r="H353" i="99" l="1"/>
  <c r="I353" i="99"/>
  <c r="E353" i="99" l="1"/>
  <c r="F353" i="99" s="1"/>
  <c r="J354" i="99"/>
  <c r="K353" i="99"/>
  <c r="L353" i="99" s="1"/>
  <c r="A353" i="99" s="1"/>
  <c r="H354" i="99" l="1"/>
  <c r="I354" i="99"/>
  <c r="K354" i="99" l="1"/>
  <c r="L354" i="99" s="1"/>
  <c r="A354" i="99" s="1"/>
  <c r="J355" i="99"/>
  <c r="E354" i="99"/>
  <c r="F354" i="99" l="1"/>
  <c r="H355" i="99" l="1"/>
  <c r="I355" i="99"/>
  <c r="E355" i="99" l="1"/>
  <c r="F355" i="99" s="1"/>
  <c r="K355" i="99"/>
  <c r="L355" i="99" s="1"/>
  <c r="A355" i="99" s="1"/>
  <c r="J356" i="99"/>
  <c r="I356" i="99" l="1"/>
  <c r="H356" i="99"/>
  <c r="E356" i="99" l="1"/>
  <c r="F356" i="99" s="1"/>
  <c r="J357" i="99"/>
  <c r="K356" i="99"/>
  <c r="L356" i="99" s="1"/>
  <c r="A356" i="99" s="1"/>
  <c r="I357" i="99" l="1"/>
  <c r="H357" i="99"/>
  <c r="E357" i="99" l="1"/>
  <c r="F357" i="99" s="1"/>
  <c r="K357" i="99"/>
  <c r="L357" i="99" s="1"/>
  <c r="A357" i="99" s="1"/>
  <c r="J358" i="99"/>
  <c r="H358" i="99" l="1"/>
  <c r="I358" i="99"/>
  <c r="K358" i="99" l="1"/>
  <c r="L358" i="99" s="1"/>
  <c r="A358" i="99" s="1"/>
  <c r="J359" i="99"/>
  <c r="E358" i="99"/>
  <c r="F358" i="99" l="1"/>
  <c r="I359" i="99" l="1"/>
  <c r="H359" i="99"/>
  <c r="K359" i="99" l="1"/>
  <c r="L359" i="99" s="1"/>
  <c r="A359" i="99" s="1"/>
  <c r="J360" i="99"/>
  <c r="E359" i="99"/>
  <c r="F359" i="99" l="1"/>
  <c r="I360" i="99" l="1"/>
  <c r="H360" i="99"/>
  <c r="K360" i="99" l="1"/>
  <c r="L360" i="99" s="1"/>
  <c r="A360" i="99" s="1"/>
  <c r="J361" i="99"/>
  <c r="E360" i="99"/>
  <c r="F360" i="99" l="1"/>
  <c r="H361" i="99" l="1"/>
  <c r="I361" i="99"/>
  <c r="K361" i="99" l="1"/>
  <c r="L361" i="99" s="1"/>
  <c r="A361" i="99" s="1"/>
  <c r="J362" i="99"/>
  <c r="E361" i="99"/>
  <c r="F361" i="99" l="1"/>
  <c r="H362" i="99" l="1"/>
  <c r="I362" i="99"/>
  <c r="K362" i="99" l="1"/>
  <c r="L362" i="99" s="1"/>
  <c r="A362" i="99" s="1"/>
  <c r="J363" i="99"/>
  <c r="E362" i="99"/>
  <c r="F362" i="99" l="1"/>
  <c r="H363" i="99" l="1"/>
  <c r="I363" i="99"/>
  <c r="K363" i="99" l="1"/>
  <c r="L363" i="99" s="1"/>
  <c r="A363" i="99" s="1"/>
  <c r="J364" i="99"/>
  <c r="E363" i="99"/>
  <c r="F363" i="99" l="1"/>
  <c r="I364" i="99" l="1"/>
  <c r="H364" i="99"/>
  <c r="E364" i="99" l="1"/>
  <c r="F364" i="99" s="1"/>
  <c r="K364" i="99"/>
  <c r="L364" i="99" s="1"/>
  <c r="A364" i="99" s="1"/>
  <c r="J365" i="99"/>
  <c r="I365" i="99" l="1"/>
  <c r="H365" i="99"/>
  <c r="K365" i="99" l="1"/>
  <c r="L365" i="99" s="1"/>
  <c r="A365" i="99" s="1"/>
  <c r="J366" i="99"/>
  <c r="E365" i="99"/>
  <c r="F365" i="99" l="1"/>
  <c r="H366" i="99" l="1"/>
  <c r="I366" i="99"/>
  <c r="K366" i="99" l="1"/>
  <c r="L366" i="99" s="1"/>
  <c r="A366" i="99" s="1"/>
  <c r="J367" i="99"/>
  <c r="E366" i="99"/>
  <c r="F366" i="99" l="1"/>
  <c r="I367" i="99" l="1"/>
  <c r="H367" i="99"/>
  <c r="E367" i="99" l="1"/>
  <c r="F367" i="99" s="1"/>
  <c r="K367" i="99"/>
  <c r="L367" i="99" s="1"/>
  <c r="A367" i="99" s="1"/>
  <c r="J368" i="99"/>
  <c r="I368" i="99" l="1"/>
  <c r="H368" i="99"/>
  <c r="E368" i="99" l="1"/>
  <c r="F368" i="99" s="1"/>
  <c r="H369" i="99" s="1"/>
  <c r="J369" i="99"/>
  <c r="K368" i="99"/>
  <c r="L368" i="99" s="1"/>
  <c r="A368" i="99" s="1"/>
  <c r="I369" i="99" l="1"/>
  <c r="K369" i="99" s="1"/>
  <c r="L369" i="99" s="1"/>
  <c r="A369" i="99" s="1"/>
  <c r="E369" i="99" l="1"/>
  <c r="F369" i="99" s="1"/>
  <c r="H370" i="99" s="1"/>
  <c r="J370" i="99"/>
  <c r="I370" i="99" l="1"/>
  <c r="K370" i="99" s="1"/>
  <c r="L370" i="99" s="1"/>
  <c r="A370" i="99" s="1"/>
  <c r="E370" i="99" l="1"/>
  <c r="F370" i="99" s="1"/>
  <c r="H371" i="99" s="1"/>
  <c r="J371" i="99"/>
  <c r="I371" i="99" l="1"/>
  <c r="K371" i="99" s="1"/>
  <c r="L371" i="99" s="1"/>
  <c r="A371" i="99" s="1"/>
  <c r="E371" i="99" l="1"/>
  <c r="F371" i="99" s="1"/>
  <c r="I372" i="99" s="1"/>
  <c r="J372" i="99"/>
  <c r="H372" i="99" l="1"/>
  <c r="E372" i="99" s="1"/>
  <c r="F372" i="99" s="1"/>
  <c r="K372" i="99"/>
  <c r="L372" i="99" s="1"/>
  <c r="A372" i="99" s="1"/>
  <c r="N7" i="99" s="1"/>
  <c r="O7" i="99" s="1" a="1"/>
  <c r="O7" i="99" s="1"/>
  <c r="N8" i="99" l="1"/>
  <c r="N9" i="99" s="1"/>
  <c r="O8" i="99" l="1" a="1"/>
  <c r="O8" i="99" s="1"/>
  <c r="N10" i="99"/>
  <c r="O9" i="99" a="1"/>
  <c r="O9" i="99" s="1"/>
  <c r="N11" i="99" l="1"/>
  <c r="O10" i="99" a="1"/>
  <c r="O10" i="99" s="1"/>
  <c r="N12" i="99" l="1"/>
  <c r="O11" i="99" a="1"/>
  <c r="O11" i="99" s="1"/>
  <c r="N13" i="99" l="1"/>
  <c r="O12" i="99" a="1"/>
  <c r="O12" i="99" s="1"/>
  <c r="N14" i="99" l="1"/>
  <c r="O13" i="99" a="1"/>
  <c r="O13" i="99" s="1"/>
  <c r="N15" i="99" l="1"/>
  <c r="O14" i="99" a="1"/>
  <c r="O14" i="99" s="1"/>
  <c r="N16" i="99" l="1"/>
  <c r="O15" i="99" a="1"/>
  <c r="O15" i="99" s="1"/>
  <c r="N17" i="99" l="1"/>
  <c r="O16" i="99" a="1"/>
  <c r="O16" i="99" s="1"/>
  <c r="N18" i="99" l="1"/>
  <c r="O17" i="99" a="1"/>
  <c r="O17" i="99" s="1"/>
  <c r="N19" i="99" l="1"/>
  <c r="O18" i="99" a="1"/>
  <c r="O18" i="99" s="1"/>
  <c r="N20" i="99" l="1"/>
  <c r="O19" i="99" a="1"/>
  <c r="O19" i="99" s="1"/>
  <c r="N21" i="99" l="1"/>
  <c r="O20" i="99" a="1"/>
  <c r="O20" i="99" s="1"/>
  <c r="N22" i="99" l="1"/>
  <c r="O21" i="99" a="1"/>
  <c r="O21" i="99" s="1"/>
  <c r="N23" i="99" l="1"/>
  <c r="O22" i="99" a="1"/>
  <c r="O22" i="99" s="1"/>
  <c r="N24" i="99" l="1"/>
  <c r="O23" i="99" a="1"/>
  <c r="O23" i="99" s="1"/>
  <c r="N25" i="99" l="1"/>
  <c r="O24" i="99" a="1"/>
  <c r="O24" i="99" s="1"/>
  <c r="N26" i="99" l="1"/>
  <c r="O25" i="99" a="1"/>
  <c r="O25" i="99" s="1"/>
  <c r="N27" i="99" l="1"/>
  <c r="O26" i="99" a="1"/>
  <c r="O26" i="99" s="1"/>
  <c r="N28" i="99" l="1"/>
  <c r="O27" i="99" a="1"/>
  <c r="O27" i="99" s="1"/>
  <c r="N29" i="99" l="1"/>
  <c r="O28" i="99" a="1"/>
  <c r="O28" i="99" s="1"/>
  <c r="N30" i="99" l="1"/>
  <c r="O29" i="99" a="1"/>
  <c r="O29" i="99" s="1"/>
  <c r="N31" i="99" l="1"/>
  <c r="O30" i="99" a="1"/>
  <c r="O30" i="99" s="1"/>
  <c r="N32" i="99" l="1"/>
  <c r="O31" i="99" a="1"/>
  <c r="O31" i="99" s="1"/>
  <c r="N33" i="99" l="1"/>
  <c r="O32" i="99" a="1"/>
  <c r="O32" i="99" s="1"/>
  <c r="N34" i="99" l="1"/>
  <c r="O33" i="99" a="1"/>
  <c r="O33" i="99" s="1"/>
  <c r="N35" i="99" l="1"/>
  <c r="O34" i="99" a="1"/>
  <c r="O34" i="99" s="1"/>
  <c r="N36" i="99" l="1"/>
  <c r="O35" i="99" a="1"/>
  <c r="O35" i="99" s="1"/>
  <c r="N37" i="99" l="1"/>
  <c r="O36" i="99" a="1"/>
  <c r="O36" i="99" s="1"/>
  <c r="N38" i="99" l="1"/>
  <c r="O37" i="99" a="1"/>
  <c r="O37" i="99" s="1"/>
  <c r="N39" i="99" l="1"/>
  <c r="O38" i="99" a="1"/>
  <c r="O38" i="99" s="1"/>
  <c r="N40" i="99" l="1"/>
  <c r="O39" i="99" a="1"/>
  <c r="O39" i="99" s="1"/>
  <c r="O40" i="99" l="1" a="1"/>
  <c r="O40" i="99" s="1"/>
  <c r="N41" i="99"/>
  <c r="N42" i="99" l="1"/>
  <c r="O41" i="99" a="1"/>
  <c r="O41" i="99" s="1"/>
  <c r="N43" i="99" l="1"/>
  <c r="O42" i="99" a="1"/>
  <c r="O42" i="99" s="1"/>
  <c r="N44" i="99" l="1"/>
  <c r="O43" i="99" a="1"/>
  <c r="O43" i="99" s="1"/>
  <c r="N45" i="99" l="1"/>
  <c r="O44" i="99" a="1"/>
  <c r="O44" i="99" s="1"/>
  <c r="N46" i="99" l="1"/>
  <c r="O45" i="99" a="1"/>
  <c r="O45" i="99" s="1"/>
  <c r="N47" i="99" l="1"/>
  <c r="O46" i="99" a="1"/>
  <c r="O46" i="99" s="1"/>
  <c r="N48" i="99" l="1"/>
  <c r="O47" i="99" a="1"/>
  <c r="O47" i="99" s="1"/>
  <c r="O48" i="99" l="1" a="1"/>
  <c r="O48" i="99" s="1"/>
  <c r="N49" i="99"/>
  <c r="N50" i="99" l="1"/>
  <c r="O49" i="99" a="1"/>
  <c r="O49" i="99" s="1"/>
  <c r="N51" i="99" l="1"/>
  <c r="O50" i="99" a="1"/>
  <c r="O50" i="99" s="1"/>
  <c r="N52" i="99" l="1"/>
  <c r="O51" i="99" a="1"/>
  <c r="O51" i="99" s="1"/>
  <c r="N53" i="99" l="1"/>
  <c r="O52" i="99" a="1"/>
  <c r="O52" i="99" s="1"/>
  <c r="N54" i="99" l="1"/>
  <c r="O53" i="99" a="1"/>
  <c r="O53" i="99" s="1"/>
  <c r="N55" i="99" l="1"/>
  <c r="O54" i="99" a="1"/>
  <c r="O54" i="99" s="1"/>
  <c r="N56" i="99" l="1"/>
  <c r="O55" i="99" a="1"/>
  <c r="O55" i="99" s="1"/>
  <c r="O56" i="99" l="1" a="1"/>
  <c r="O56" i="99" s="1"/>
  <c r="N57" i="99"/>
  <c r="N58" i="99" l="1"/>
  <c r="O57" i="99" a="1"/>
  <c r="O57" i="99" s="1"/>
  <c r="N59" i="99" l="1"/>
  <c r="O58" i="99" a="1"/>
  <c r="O58" i="99" s="1"/>
  <c r="N60" i="99" l="1"/>
  <c r="O59" i="99" a="1"/>
  <c r="O59" i="99" s="1"/>
  <c r="N61" i="99" l="1"/>
  <c r="O60" i="99" a="1"/>
  <c r="O60" i="99" s="1"/>
  <c r="N62" i="99" l="1"/>
  <c r="O61" i="99" a="1"/>
  <c r="O61" i="99" s="1"/>
  <c r="N63" i="99" l="1"/>
  <c r="O62" i="99" a="1"/>
  <c r="O62" i="99" s="1"/>
  <c r="N64" i="99" l="1"/>
  <c r="O63" i="99" a="1"/>
  <c r="O63" i="99" s="1"/>
  <c r="N65" i="99" l="1"/>
  <c r="O64" i="99" a="1"/>
  <c r="O64" i="99" s="1"/>
  <c r="N66" i="99" l="1"/>
  <c r="O65" i="99" a="1"/>
  <c r="O65" i="99" s="1"/>
  <c r="N67" i="99" l="1"/>
  <c r="O66" i="99" a="1"/>
  <c r="O66" i="99" s="1"/>
  <c r="N68" i="99" l="1"/>
  <c r="O67" i="99" a="1"/>
  <c r="O67" i="99" s="1"/>
  <c r="N69" i="99" l="1"/>
  <c r="O68" i="99" a="1"/>
  <c r="O68" i="99" s="1"/>
  <c r="N70" i="99" l="1"/>
  <c r="O69" i="99" a="1"/>
  <c r="O69" i="99" s="1"/>
  <c r="N71" i="99" l="1"/>
  <c r="O70" i="99" a="1"/>
  <c r="O70" i="99" s="1"/>
  <c r="N72" i="99" l="1"/>
  <c r="O71" i="99" a="1"/>
  <c r="O71" i="99" s="1"/>
  <c r="N73" i="99" l="1"/>
  <c r="O72" i="99" a="1"/>
  <c r="O72" i="99" s="1"/>
  <c r="N74" i="99" l="1"/>
  <c r="O73" i="99" a="1"/>
  <c r="O73" i="99" s="1"/>
  <c r="N75" i="99" l="1"/>
  <c r="O74" i="99" a="1"/>
  <c r="O74" i="99" s="1"/>
  <c r="N76" i="99" l="1"/>
  <c r="O75" i="99" a="1"/>
  <c r="O75" i="99" s="1"/>
  <c r="N77" i="99" l="1"/>
  <c r="O76" i="99" a="1"/>
  <c r="O76" i="99" s="1"/>
  <c r="N78" i="99" l="1"/>
  <c r="O77" i="99" a="1"/>
  <c r="O77" i="99" s="1"/>
  <c r="N79" i="99" l="1"/>
  <c r="O78" i="99" a="1"/>
  <c r="O78" i="99" s="1"/>
  <c r="N80" i="99" l="1"/>
  <c r="O79" i="99" a="1"/>
  <c r="O79" i="99" s="1"/>
  <c r="N81" i="99" l="1"/>
  <c r="O80" i="99" a="1"/>
  <c r="O80" i="99" s="1"/>
  <c r="N82" i="99" l="1"/>
  <c r="O81" i="99" a="1"/>
  <c r="O81" i="99" s="1"/>
  <c r="N83" i="99" l="1"/>
  <c r="O82" i="99" a="1"/>
  <c r="O82" i="99" s="1"/>
  <c r="N84" i="99" l="1"/>
  <c r="O83" i="99" a="1"/>
  <c r="O83" i="99" s="1"/>
  <c r="N85" i="99" l="1"/>
  <c r="O84" i="99" a="1"/>
  <c r="O84" i="99" s="1"/>
  <c r="N86" i="99" l="1"/>
  <c r="O85" i="99" a="1"/>
  <c r="O85" i="99" s="1"/>
  <c r="N87" i="99" l="1"/>
  <c r="O86" i="99" a="1"/>
  <c r="O86" i="99" s="1"/>
  <c r="N88" i="99" l="1"/>
  <c r="O87" i="99" a="1"/>
  <c r="O87" i="99" s="1"/>
  <c r="N89" i="99" l="1"/>
  <c r="O88" i="99" a="1"/>
  <c r="O88" i="99" s="1"/>
  <c r="N90" i="99" l="1"/>
  <c r="O89" i="99" a="1"/>
  <c r="O89" i="99" s="1"/>
  <c r="N91" i="99" l="1"/>
  <c r="O90" i="99" a="1"/>
  <c r="O90" i="99" s="1"/>
  <c r="N92" i="99" l="1"/>
  <c r="O91" i="99" a="1"/>
  <c r="O91" i="99" s="1"/>
  <c r="N93" i="99" l="1"/>
  <c r="O92" i="99" a="1"/>
  <c r="O92" i="99" s="1"/>
  <c r="N94" i="99" l="1"/>
  <c r="O93" i="99" a="1"/>
  <c r="O93" i="99" s="1"/>
  <c r="N95" i="99" l="1"/>
  <c r="O94" i="99" a="1"/>
  <c r="O94" i="99" s="1"/>
  <c r="N96" i="99" l="1"/>
  <c r="O95" i="99" a="1"/>
  <c r="O95" i="99" s="1"/>
  <c r="N97" i="99" l="1"/>
  <c r="O96" i="99" a="1"/>
  <c r="O96" i="99" s="1"/>
  <c r="N98" i="99" l="1"/>
  <c r="O97" i="99" a="1"/>
  <c r="O97" i="99" s="1"/>
  <c r="N99" i="99" l="1"/>
  <c r="O98" i="99" a="1"/>
  <c r="O98" i="99" s="1"/>
  <c r="N100" i="99" l="1"/>
  <c r="O99" i="99" a="1"/>
  <c r="O99" i="99" s="1"/>
  <c r="N101" i="99" l="1"/>
  <c r="O100" i="99" a="1"/>
  <c r="O100" i="99" s="1"/>
  <c r="N102" i="99" l="1"/>
  <c r="O101" i="99" a="1"/>
  <c r="O101" i="99" s="1"/>
  <c r="N103" i="99" l="1"/>
  <c r="O102" i="99" a="1"/>
  <c r="O102" i="99" s="1"/>
  <c r="N104" i="99" l="1"/>
  <c r="O103" i="99" a="1"/>
  <c r="O103" i="99" s="1"/>
  <c r="N105" i="99" l="1"/>
  <c r="O104" i="99" a="1"/>
  <c r="O104" i="99" s="1"/>
  <c r="N106" i="99" l="1"/>
  <c r="O105" i="99" a="1"/>
  <c r="O105" i="99" s="1"/>
  <c r="N107" i="99" l="1"/>
  <c r="O106" i="99" a="1"/>
  <c r="O106" i="99" s="1"/>
  <c r="N108" i="99" l="1"/>
  <c r="O107" i="99" a="1"/>
  <c r="O107" i="99" s="1"/>
  <c r="N109" i="99" l="1"/>
  <c r="O108" i="99" a="1"/>
  <c r="O108" i="99" s="1"/>
  <c r="N110" i="99" l="1"/>
  <c r="O109" i="99" a="1"/>
  <c r="O109" i="99" s="1"/>
  <c r="N111" i="99" l="1"/>
  <c r="O110" i="99" a="1"/>
  <c r="O110" i="99" s="1"/>
  <c r="N112" i="99" l="1"/>
  <c r="O111" i="99" a="1"/>
  <c r="O111" i="99" s="1"/>
  <c r="N113" i="99" l="1"/>
  <c r="O112" i="99" a="1"/>
  <c r="O112" i="99" s="1"/>
  <c r="N114" i="99" l="1"/>
  <c r="O113" i="99" a="1"/>
  <c r="O113" i="99" s="1"/>
  <c r="N115" i="99" l="1"/>
  <c r="O114" i="99" a="1"/>
  <c r="O114" i="99" s="1"/>
  <c r="N116" i="99" l="1"/>
  <c r="O115" i="99" a="1"/>
  <c r="O115" i="99" s="1"/>
  <c r="N117" i="99" l="1"/>
  <c r="O116" i="99" a="1"/>
  <c r="O116" i="99" s="1"/>
  <c r="N118" i="99" l="1"/>
  <c r="O117" i="99" a="1"/>
  <c r="O117" i="99" s="1"/>
  <c r="N119" i="99" l="1"/>
  <c r="O118" i="99" a="1"/>
  <c r="O118" i="99" s="1"/>
  <c r="N120" i="99" l="1"/>
  <c r="O119" i="99" a="1"/>
  <c r="O119" i="99" s="1"/>
  <c r="N121" i="99" l="1"/>
  <c r="O120" i="99" a="1"/>
  <c r="O120" i="99" s="1"/>
  <c r="N122" i="99" l="1"/>
  <c r="O121" i="99" a="1"/>
  <c r="O121" i="99" s="1"/>
  <c r="O122" i="99" l="1" a="1"/>
  <c r="O122" i="99" s="1"/>
  <c r="B130" i="76"/>
  <c r="B131" i="76" l="1"/>
  <c r="C130" i="76"/>
  <c r="B13" i="76"/>
  <c r="T13" i="76" l="1"/>
  <c r="M13" i="76"/>
  <c r="N13" i="76"/>
  <c r="Q13" i="76"/>
  <c r="R13" i="76"/>
  <c r="O13" i="76"/>
  <c r="P13" i="76"/>
  <c r="S13" i="76"/>
  <c r="C13" i="76"/>
  <c r="B132" i="76"/>
  <c r="C131" i="76"/>
  <c r="C132" i="76" l="1"/>
  <c r="B133" i="76"/>
  <c r="E13" i="76"/>
  <c r="U13" i="76" s="1"/>
  <c r="I13" i="76"/>
  <c r="W13" i="76" s="1"/>
  <c r="K13" i="76"/>
  <c r="X13" i="76" s="1"/>
  <c r="G13" i="76"/>
  <c r="V13" i="76" s="1"/>
  <c r="Y13" i="76"/>
  <c r="D13" i="76"/>
  <c r="L13" i="76" l="1"/>
  <c r="F13" i="76"/>
  <c r="J13" i="76"/>
  <c r="H13" i="76"/>
  <c r="Z13" i="76"/>
  <c r="C133" i="76"/>
  <c r="B134" i="76"/>
  <c r="B135" i="76" l="1"/>
  <c r="C134" i="76"/>
  <c r="B136" i="76" l="1"/>
  <c r="C135" i="76"/>
  <c r="C136" i="76" l="1"/>
  <c r="B137" i="76"/>
  <c r="B138" i="76" l="1"/>
  <c r="C137" i="76"/>
  <c r="B139" i="76" l="1"/>
  <c r="C138" i="76"/>
  <c r="C139" i="76" l="1"/>
  <c r="B140" i="76"/>
  <c r="C140" i="76" l="1"/>
  <c r="B141" i="76"/>
  <c r="B142" i="76" l="1"/>
  <c r="C141" i="76"/>
  <c r="B143" i="76" l="1"/>
  <c r="C142" i="76"/>
  <c r="C143" i="76" l="1"/>
  <c r="B144" i="76"/>
  <c r="C144" i="76" l="1"/>
  <c r="B145" i="76"/>
  <c r="B146" i="76" l="1"/>
  <c r="C145" i="76"/>
  <c r="B147" i="76" l="1"/>
  <c r="C146" i="76"/>
  <c r="C147" i="76" l="1"/>
  <c r="B148" i="76"/>
  <c r="C148" i="76" l="1"/>
  <c r="B149" i="76"/>
  <c r="B150" i="76" l="1"/>
  <c r="C149" i="76"/>
  <c r="B151" i="76" l="1"/>
  <c r="C150" i="76"/>
  <c r="C151" i="76" l="1"/>
  <c r="B152" i="76"/>
  <c r="C152" i="76" l="1"/>
  <c r="B153" i="76"/>
  <c r="B154" i="76" l="1"/>
  <c r="C153" i="76"/>
  <c r="B155" i="76" l="1"/>
  <c r="C154" i="76"/>
  <c r="C155" i="76" l="1"/>
  <c r="B156" i="76"/>
  <c r="C156" i="76" l="1"/>
  <c r="B157" i="76"/>
  <c r="B158" i="76" l="1"/>
  <c r="C157" i="76"/>
  <c r="B159" i="76" l="1"/>
  <c r="C158" i="76"/>
  <c r="B160" i="76" l="1"/>
  <c r="C159" i="76"/>
  <c r="B161" i="76" l="1"/>
  <c r="C160" i="76"/>
  <c r="B162" i="76" l="1"/>
  <c r="C161" i="76"/>
  <c r="B163" i="76" l="1"/>
  <c r="C162" i="76"/>
  <c r="B164" i="76" l="1"/>
  <c r="C163" i="76"/>
  <c r="B165" i="76" l="1"/>
  <c r="C164" i="76"/>
  <c r="B166" i="76" l="1"/>
  <c r="C165" i="76"/>
  <c r="B167" i="76" l="1"/>
  <c r="C166" i="76"/>
  <c r="B168" i="76" l="1"/>
  <c r="C167" i="76"/>
  <c r="B169" i="76" l="1"/>
  <c r="C168" i="76"/>
  <c r="B170" i="76" l="1"/>
  <c r="C169" i="76"/>
  <c r="B171" i="76" l="1"/>
  <c r="C170" i="76"/>
  <c r="B172" i="76" l="1"/>
  <c r="C171" i="76"/>
  <c r="B173" i="76" l="1"/>
  <c r="C172" i="76"/>
  <c r="B174" i="76" l="1"/>
  <c r="C173" i="76"/>
  <c r="B175" i="76" l="1"/>
  <c r="C174" i="76"/>
  <c r="B176" i="76" l="1"/>
  <c r="C175" i="76"/>
  <c r="B177" i="76" l="1"/>
  <c r="C176" i="76"/>
  <c r="B178" i="76" l="1"/>
  <c r="C177" i="76"/>
  <c r="B179" i="76" l="1"/>
  <c r="C178" i="76"/>
  <c r="B180" i="76" l="1"/>
  <c r="C179" i="76"/>
  <c r="B181" i="76" l="1"/>
  <c r="C180" i="76"/>
  <c r="B182" i="76" l="1"/>
  <c r="C181" i="76"/>
  <c r="C182" i="76" l="1"/>
  <c r="J12" i="48"/>
  <c r="G12" i="48" s="1"/>
  <c r="I12" i="48" l="1"/>
  <c r="C124" i="63" l="1"/>
  <c r="L54" i="48"/>
  <c r="L53" i="48"/>
  <c r="D73" i="47" l="1"/>
  <c r="D74" i="47"/>
  <c r="AY135" i="47"/>
  <c r="AQ135" i="47"/>
  <c r="AI135" i="47"/>
  <c r="AA135" i="47"/>
  <c r="S135" i="47"/>
  <c r="BH135" i="47" s="1" a="1"/>
  <c r="BH135" i="47" s="1"/>
  <c r="K135" i="47"/>
  <c r="BD134" i="47"/>
  <c r="AV134" i="47"/>
  <c r="AN134" i="47"/>
  <c r="AF134" i="47"/>
  <c r="X134" i="47"/>
  <c r="AF135" i="47"/>
  <c r="H135" i="47"/>
  <c r="AC134" i="47"/>
  <c r="V135" i="47"/>
  <c r="AI134" i="47"/>
  <c r="AX135" i="47"/>
  <c r="AP135" i="47"/>
  <c r="AH135" i="47"/>
  <c r="Z135" i="47"/>
  <c r="R135" i="47"/>
  <c r="J135" i="47"/>
  <c r="BC134" i="47"/>
  <c r="AU134" i="47"/>
  <c r="AM134" i="47"/>
  <c r="AE134" i="47"/>
  <c r="W134" i="47"/>
  <c r="AN135" i="47"/>
  <c r="P135" i="47"/>
  <c r="AS134" i="47"/>
  <c r="AD135" i="47"/>
  <c r="AQ134" i="47"/>
  <c r="AW135" i="47"/>
  <c r="AO135" i="47"/>
  <c r="AG135" i="47"/>
  <c r="Y135" i="47"/>
  <c r="Q135" i="47"/>
  <c r="I135" i="47"/>
  <c r="BB134" i="47"/>
  <c r="AT134" i="47"/>
  <c r="AL134" i="47"/>
  <c r="AD134" i="47"/>
  <c r="V134" i="47"/>
  <c r="AV135" i="47"/>
  <c r="X135" i="47"/>
  <c r="BA134" i="47"/>
  <c r="U134" i="47"/>
  <c r="AT135" i="47"/>
  <c r="AY134" i="47"/>
  <c r="BD135" i="47"/>
  <c r="AK134" i="47"/>
  <c r="F135" i="47"/>
  <c r="BC135" i="47"/>
  <c r="AU135" i="47"/>
  <c r="AM135" i="47"/>
  <c r="AE135" i="47"/>
  <c r="W135" i="47"/>
  <c r="O135" i="47"/>
  <c r="G135" i="47"/>
  <c r="AZ134" i="47"/>
  <c r="AR134" i="47"/>
  <c r="AJ134" i="47"/>
  <c r="AB134" i="47"/>
  <c r="T134" i="47"/>
  <c r="AL135" i="47"/>
  <c r="AA134" i="47"/>
  <c r="BB135" i="47"/>
  <c r="N135" i="47"/>
  <c r="S134" i="47"/>
  <c r="AR135" i="47"/>
  <c r="L135" i="47"/>
  <c r="AG134" i="47"/>
  <c r="E135" i="47"/>
  <c r="Z134" i="47"/>
  <c r="D135" i="47"/>
  <c r="Y134" i="47"/>
  <c r="AX134" i="47"/>
  <c r="AW134" i="47"/>
  <c r="BA135" i="47"/>
  <c r="AK135" i="47"/>
  <c r="R134" i="47"/>
  <c r="G134" i="47"/>
  <c r="AP134" i="47"/>
  <c r="AJ135" i="47"/>
  <c r="AC135" i="47"/>
  <c r="AB135" i="47"/>
  <c r="U135" i="47"/>
  <c r="AH134" i="47"/>
  <c r="AZ135" i="47"/>
  <c r="T135" i="47"/>
  <c r="AO134" i="47"/>
  <c r="AS135" i="47"/>
  <c r="M135" i="47"/>
  <c r="I134" i="47"/>
  <c r="Q134" i="47"/>
  <c r="H134" i="47"/>
  <c r="P134" i="47"/>
  <c r="F134" i="47"/>
  <c r="D134" i="47"/>
  <c r="J134" i="47"/>
  <c r="O134" i="47"/>
  <c r="L134" i="47"/>
  <c r="E134" i="47"/>
  <c r="M134" i="47"/>
  <c r="K134" i="47"/>
  <c r="N134" i="47"/>
  <c r="G115" i="48"/>
  <c r="B188" i="76"/>
  <c r="BH134" i="47" l="1" a="1"/>
  <c r="BH134" i="47" s="1"/>
  <c r="AG29" i="45" s="1"/>
  <c r="BF135" i="47"/>
  <c r="F131" i="48"/>
  <c r="F130" i="48"/>
  <c r="BF134" i="47"/>
  <c r="G131" i="48"/>
  <c r="G130" i="48"/>
  <c r="B189" i="76"/>
  <c r="B14" i="76"/>
  <c r="H115" i="48"/>
  <c r="H131" i="48" s="1"/>
  <c r="AG16" i="45" l="1"/>
  <c r="H130" i="48"/>
  <c r="AG15" i="45"/>
  <c r="T14" i="76"/>
  <c r="E74" i="47" s="1"/>
  <c r="M14" i="76"/>
  <c r="N14" i="76"/>
  <c r="O14" i="76"/>
  <c r="P14" i="76"/>
  <c r="C14" i="76"/>
  <c r="D14" i="76" s="1"/>
  <c r="S14" i="76"/>
  <c r="Q14" i="76"/>
  <c r="R14" i="76"/>
  <c r="E73" i="47" s="1"/>
  <c r="B190" i="76"/>
  <c r="B15" i="76"/>
  <c r="AG23" i="45"/>
  <c r="AG28" i="45"/>
  <c r="AG31" i="45"/>
  <c r="AG20" i="45"/>
  <c r="AG32" i="45"/>
  <c r="AG33" i="45"/>
  <c r="AG30" i="45"/>
  <c r="AG17" i="45"/>
  <c r="AG27" i="45"/>
  <c r="AG18" i="45"/>
  <c r="I115" i="48"/>
  <c r="I130" i="48" l="1"/>
  <c r="I131" i="48"/>
  <c r="M15" i="76"/>
  <c r="N15" i="76"/>
  <c r="C15" i="76"/>
  <c r="D15" i="76" s="1"/>
  <c r="S15" i="76"/>
  <c r="P15" i="76"/>
  <c r="T15" i="76"/>
  <c r="F74" i="47" s="1"/>
  <c r="O15" i="76"/>
  <c r="B191" i="76"/>
  <c r="B16" i="76"/>
  <c r="E14" i="76"/>
  <c r="U14" i="76" s="1"/>
  <c r="Y14" i="76"/>
  <c r="I14" i="76"/>
  <c r="W14" i="76" s="1"/>
  <c r="K14" i="76"/>
  <c r="X14" i="76" s="1"/>
  <c r="G14" i="76"/>
  <c r="V14" i="76" s="1"/>
  <c r="J14" i="76"/>
  <c r="H14" i="76"/>
  <c r="Z14" i="76"/>
  <c r="L14" i="76"/>
  <c r="F14" i="76"/>
  <c r="J115" i="48"/>
  <c r="R15" i="76" l="1"/>
  <c r="F73" i="47" s="1"/>
  <c r="J131" i="48"/>
  <c r="J130" i="48"/>
  <c r="Q15" i="76"/>
  <c r="B192" i="76"/>
  <c r="B17" i="76"/>
  <c r="C16" i="76"/>
  <c r="S16" i="76"/>
  <c r="O16" i="76"/>
  <c r="M16" i="76"/>
  <c r="T16" i="76"/>
  <c r="G74" i="47" s="1"/>
  <c r="N16" i="76"/>
  <c r="P16" i="76"/>
  <c r="G15" i="76"/>
  <c r="V15" i="76" s="1"/>
  <c r="K15" i="76"/>
  <c r="X15" i="76" s="1"/>
  <c r="Y15" i="76"/>
  <c r="E15" i="76"/>
  <c r="U15" i="76" s="1"/>
  <c r="I15" i="76"/>
  <c r="L15" i="76"/>
  <c r="J15" i="76"/>
  <c r="F15" i="76"/>
  <c r="H15" i="76"/>
  <c r="Z15" i="76"/>
  <c r="K115" i="48"/>
  <c r="R16" i="76" l="1"/>
  <c r="G73" i="47" s="1"/>
  <c r="K130" i="48"/>
  <c r="K131" i="48"/>
  <c r="W15" i="76"/>
  <c r="Q16" i="76"/>
  <c r="D16" i="76"/>
  <c r="K16" i="76"/>
  <c r="X16" i="76" s="1"/>
  <c r="G16" i="76"/>
  <c r="V16" i="76" s="1"/>
  <c r="I16" i="76"/>
  <c r="E16" i="76"/>
  <c r="U16" i="76" s="1"/>
  <c r="Y16" i="76"/>
  <c r="N17" i="76"/>
  <c r="O17" i="76"/>
  <c r="C17" i="76"/>
  <c r="D17" i="76" s="1"/>
  <c r="S17" i="76"/>
  <c r="M17" i="76"/>
  <c r="P17" i="76"/>
  <c r="T17" i="76"/>
  <c r="H74" i="47" s="1"/>
  <c r="B193" i="76"/>
  <c r="B18" i="76"/>
  <c r="L115" i="48"/>
  <c r="L137" i="48" s="1"/>
  <c r="L152" i="48" s="1"/>
  <c r="L131" i="48" l="1"/>
  <c r="L130" i="48"/>
  <c r="W16" i="76"/>
  <c r="Q17" i="76"/>
  <c r="C18" i="76"/>
  <c r="S18" i="76"/>
  <c r="M18" i="76"/>
  <c r="O18" i="76"/>
  <c r="Y17" i="76"/>
  <c r="E17" i="76"/>
  <c r="U17" i="76" s="1"/>
  <c r="I17" i="76"/>
  <c r="G17" i="76"/>
  <c r="V17" i="76" s="1"/>
  <c r="K17" i="76"/>
  <c r="X17" i="76" s="1"/>
  <c r="B194" i="76"/>
  <c r="B19" i="76"/>
  <c r="J16" i="76"/>
  <c r="H16" i="76"/>
  <c r="L16" i="76"/>
  <c r="F16" i="76"/>
  <c r="Z16" i="76"/>
  <c r="L17" i="76"/>
  <c r="Z17" i="76"/>
  <c r="H17" i="76"/>
  <c r="F17" i="76"/>
  <c r="J17" i="76"/>
  <c r="R18" i="76" s="1"/>
  <c r="I73" i="47" s="1"/>
  <c r="M115" i="48"/>
  <c r="N18" i="76" l="1"/>
  <c r="T18" i="76"/>
  <c r="I74" i="47" s="1"/>
  <c r="P18" i="76"/>
  <c r="R17" i="76"/>
  <c r="H73" i="47" s="1"/>
  <c r="M131" i="48"/>
  <c r="M130" i="48"/>
  <c r="W17" i="76"/>
  <c r="Q18" i="76"/>
  <c r="P19" i="76"/>
  <c r="N19" i="76"/>
  <c r="T19" i="76"/>
  <c r="J74" i="47" s="1"/>
  <c r="M19" i="76"/>
  <c r="O19" i="76"/>
  <c r="S19" i="76"/>
  <c r="C19" i="76"/>
  <c r="D19" i="76" s="1"/>
  <c r="B195" i="76"/>
  <c r="B20" i="76"/>
  <c r="D18" i="76"/>
  <c r="E18" i="76"/>
  <c r="U18" i="76" s="1"/>
  <c r="I18" i="76"/>
  <c r="Y18" i="76"/>
  <c r="G18" i="76"/>
  <c r="V18" i="76" s="1"/>
  <c r="K18" i="76"/>
  <c r="X18" i="76" s="1"/>
  <c r="N115" i="48"/>
  <c r="N130" i="48" l="1"/>
  <c r="N131" i="48"/>
  <c r="W18" i="76"/>
  <c r="Q19" i="76"/>
  <c r="J18" i="76"/>
  <c r="R19" i="76" s="1"/>
  <c r="J73" i="47" s="1"/>
  <c r="L18" i="76"/>
  <c r="F18" i="76"/>
  <c r="N20" i="76" s="1"/>
  <c r="Z18" i="76"/>
  <c r="H18" i="76"/>
  <c r="P20" i="76" s="1"/>
  <c r="L19" i="76"/>
  <c r="H19" i="76"/>
  <c r="F19" i="76"/>
  <c r="Z19" i="76"/>
  <c r="J19" i="76"/>
  <c r="R20" i="76" s="1"/>
  <c r="T20" i="76"/>
  <c r="O20" i="76"/>
  <c r="C20" i="76"/>
  <c r="D20" i="76" s="1"/>
  <c r="S20" i="76"/>
  <c r="M20" i="76"/>
  <c r="B196" i="76"/>
  <c r="B21" i="76"/>
  <c r="Y19" i="76"/>
  <c r="G19" i="76"/>
  <c r="V19" i="76" s="1"/>
  <c r="I19" i="76"/>
  <c r="K19" i="76"/>
  <c r="X19" i="76" s="1"/>
  <c r="E19" i="76"/>
  <c r="U19" i="76" s="1"/>
  <c r="O115" i="48"/>
  <c r="O130" i="48" l="1"/>
  <c r="O131" i="48"/>
  <c r="H20" i="76"/>
  <c r="F20" i="76"/>
  <c r="L20" i="76"/>
  <c r="J20" i="76"/>
  <c r="R21" i="76" s="1"/>
  <c r="Z20" i="76"/>
  <c r="C21" i="76"/>
  <c r="S21" i="76"/>
  <c r="M21" i="76"/>
  <c r="N21" i="76"/>
  <c r="O21" i="76"/>
  <c r="P21" i="76"/>
  <c r="B197" i="76"/>
  <c r="B22" i="76"/>
  <c r="Q20" i="76"/>
  <c r="W19" i="76"/>
  <c r="I20" i="76"/>
  <c r="Q21" i="76" s="1"/>
  <c r="K20" i="76"/>
  <c r="X20" i="76" s="1"/>
  <c r="E20" i="76"/>
  <c r="U20" i="76" s="1"/>
  <c r="G20" i="76"/>
  <c r="V20" i="76" s="1"/>
  <c r="Y20" i="76"/>
  <c r="T21" i="76"/>
  <c r="P115" i="48"/>
  <c r="P130" i="48" l="1"/>
  <c r="P131" i="48"/>
  <c r="T22" i="76"/>
  <c r="N22" i="76"/>
  <c r="P22" i="76"/>
  <c r="S22" i="76"/>
  <c r="M22" i="76"/>
  <c r="O22" i="76"/>
  <c r="C22" i="76"/>
  <c r="B198" i="76"/>
  <c r="B23" i="76"/>
  <c r="D21" i="76"/>
  <c r="Y21" i="76"/>
  <c r="G21" i="76"/>
  <c r="V21" i="76" s="1"/>
  <c r="I21" i="76"/>
  <c r="W21" i="76" s="1"/>
  <c r="K21" i="76"/>
  <c r="X21" i="76" s="1"/>
  <c r="E21" i="76"/>
  <c r="U21" i="76" s="1"/>
  <c r="W20" i="76"/>
  <c r="Q115" i="48"/>
  <c r="Q130" i="48" l="1"/>
  <c r="Q131" i="48"/>
  <c r="Q22" i="76"/>
  <c r="D22" i="76"/>
  <c r="K22" i="76"/>
  <c r="X22" i="76" s="1"/>
  <c r="Y22" i="76"/>
  <c r="E22" i="76"/>
  <c r="U22" i="76" s="1"/>
  <c r="I22" i="76"/>
  <c r="G22" i="76"/>
  <c r="V22" i="76" s="1"/>
  <c r="F21" i="76"/>
  <c r="N23" i="76" s="1"/>
  <c r="H21" i="76"/>
  <c r="P23" i="76" s="1"/>
  <c r="J21" i="76"/>
  <c r="R22" i="76" s="1"/>
  <c r="Z21" i="76"/>
  <c r="L21" i="76"/>
  <c r="T23" i="76" s="1"/>
  <c r="S23" i="76"/>
  <c r="M23" i="76"/>
  <c r="C23" i="76"/>
  <c r="O23" i="76"/>
  <c r="B199" i="76"/>
  <c r="B24" i="76"/>
  <c r="R115" i="48"/>
  <c r="W22" i="76" l="1"/>
  <c r="R131" i="48"/>
  <c r="R130" i="48"/>
  <c r="Q23" i="76"/>
  <c r="B200" i="76"/>
  <c r="B25" i="76"/>
  <c r="D23" i="76"/>
  <c r="K23" i="76"/>
  <c r="X23" i="76" s="1"/>
  <c r="G23" i="76"/>
  <c r="V23" i="76" s="1"/>
  <c r="I23" i="76"/>
  <c r="E23" i="76"/>
  <c r="U23" i="76" s="1"/>
  <c r="Y23" i="76"/>
  <c r="L22" i="76"/>
  <c r="T24" i="76" s="1"/>
  <c r="F22" i="76"/>
  <c r="N24" i="76" s="1"/>
  <c r="J22" i="76"/>
  <c r="R23" i="76" s="1"/>
  <c r="H22" i="76"/>
  <c r="P24" i="76" s="1"/>
  <c r="Z22" i="76"/>
  <c r="S24" i="76"/>
  <c r="O24" i="76"/>
  <c r="C24" i="76"/>
  <c r="D24" i="76" s="1"/>
  <c r="M24" i="76"/>
  <c r="S115" i="48"/>
  <c r="S130" i="48" l="1"/>
  <c r="S131" i="48"/>
  <c r="W23" i="76"/>
  <c r="Q24" i="76"/>
  <c r="H24" i="76"/>
  <c r="F24" i="76"/>
  <c r="Z24" i="76"/>
  <c r="L24" i="76"/>
  <c r="J24" i="76"/>
  <c r="R25" i="76" s="1"/>
  <c r="L23" i="76"/>
  <c r="T25" i="76" s="1"/>
  <c r="J23" i="76"/>
  <c r="R24" i="76" s="1"/>
  <c r="F23" i="76"/>
  <c r="N25" i="76" s="1"/>
  <c r="Z23" i="76"/>
  <c r="H23" i="76"/>
  <c r="P25" i="76" s="1"/>
  <c r="I24" i="76"/>
  <c r="K24" i="76"/>
  <c r="X24" i="76" s="1"/>
  <c r="Y24" i="76"/>
  <c r="E24" i="76"/>
  <c r="U24" i="76" s="1"/>
  <c r="G24" i="76"/>
  <c r="V24" i="76" s="1"/>
  <c r="C25" i="76"/>
  <c r="S25" i="76"/>
  <c r="O25" i="76"/>
  <c r="M25" i="76"/>
  <c r="B201" i="76"/>
  <c r="B26" i="76"/>
  <c r="T115" i="48"/>
  <c r="T130" i="48" l="1"/>
  <c r="T131" i="48"/>
  <c r="W24" i="76"/>
  <c r="Q25" i="76"/>
  <c r="M26" i="76"/>
  <c r="O26" i="76"/>
  <c r="C26" i="76"/>
  <c r="D26" i="76" s="1"/>
  <c r="S26" i="76"/>
  <c r="D25" i="76"/>
  <c r="K25" i="76"/>
  <c r="X25" i="76" s="1"/>
  <c r="E25" i="76"/>
  <c r="U25" i="76" s="1"/>
  <c r="Y25" i="76"/>
  <c r="G25" i="76"/>
  <c r="V25" i="76" s="1"/>
  <c r="I25" i="76"/>
  <c r="Q26" i="76" s="1"/>
  <c r="T26" i="76"/>
  <c r="B202" i="76"/>
  <c r="B27" i="76"/>
  <c r="N26" i="76"/>
  <c r="P26" i="76"/>
  <c r="U115" i="48"/>
  <c r="U130" i="48" l="1"/>
  <c r="U131" i="48"/>
  <c r="W25" i="76"/>
  <c r="Z26" i="76"/>
  <c r="L26" i="76"/>
  <c r="F26" i="76"/>
  <c r="J26" i="76"/>
  <c r="R27" i="76" s="1"/>
  <c r="H26" i="76"/>
  <c r="Y26" i="76"/>
  <c r="E26" i="76"/>
  <c r="U26" i="76" s="1"/>
  <c r="I26" i="76"/>
  <c r="W26" i="76" s="1"/>
  <c r="K26" i="76"/>
  <c r="X26" i="76" s="1"/>
  <c r="G26" i="76"/>
  <c r="V26" i="76" s="1"/>
  <c r="C27" i="76"/>
  <c r="S27" i="76"/>
  <c r="D27" i="76"/>
  <c r="O27" i="76"/>
  <c r="M27" i="76"/>
  <c r="Q27" i="76"/>
  <c r="Z25" i="76"/>
  <c r="J25" i="76"/>
  <c r="R26" i="76" s="1"/>
  <c r="F25" i="76"/>
  <c r="N27" i="76" s="1"/>
  <c r="H25" i="76"/>
  <c r="P27" i="76" s="1"/>
  <c r="L25" i="76"/>
  <c r="T27" i="76" s="1"/>
  <c r="B203" i="76"/>
  <c r="B28" i="76"/>
  <c r="V115" i="48"/>
  <c r="V130" i="48" l="1"/>
  <c r="V131" i="48"/>
  <c r="P28" i="76"/>
  <c r="J27" i="76"/>
  <c r="R28" i="76" s="1"/>
  <c r="L27" i="76"/>
  <c r="H27" i="76"/>
  <c r="F27" i="76"/>
  <c r="Z27" i="76"/>
  <c r="G27" i="76"/>
  <c r="V27" i="76" s="1"/>
  <c r="E27" i="76"/>
  <c r="U27" i="76" s="1"/>
  <c r="I27" i="76"/>
  <c r="W27" i="76" s="1"/>
  <c r="Y27" i="76"/>
  <c r="K27" i="76"/>
  <c r="X27" i="76" s="1"/>
  <c r="M28" i="76"/>
  <c r="C28" i="76"/>
  <c r="O28" i="76"/>
  <c r="S28" i="76"/>
  <c r="Q28" i="76"/>
  <c r="B204" i="76"/>
  <c r="B29" i="76"/>
  <c r="N28" i="76"/>
  <c r="T28" i="76"/>
  <c r="W115" i="48"/>
  <c r="W130" i="48" l="1"/>
  <c r="W131" i="48"/>
  <c r="D28" i="76"/>
  <c r="I28" i="76"/>
  <c r="W28" i="76" s="1"/>
  <c r="E28" i="76"/>
  <c r="U28" i="76" s="1"/>
  <c r="G28" i="76"/>
  <c r="V28" i="76" s="1"/>
  <c r="K28" i="76"/>
  <c r="X28" i="76" s="1"/>
  <c r="Y28" i="76"/>
  <c r="C29" i="76"/>
  <c r="D29" i="76" s="1"/>
  <c r="S29" i="76"/>
  <c r="T29" i="76"/>
  <c r="N29" i="76"/>
  <c r="O29" i="76"/>
  <c r="M29" i="76"/>
  <c r="P29" i="76"/>
  <c r="Q29" i="76"/>
  <c r="B205" i="76"/>
  <c r="B30" i="76"/>
  <c r="X115" i="48"/>
  <c r="X131" i="48" l="1"/>
  <c r="X130" i="48"/>
  <c r="K29" i="76"/>
  <c r="X29" i="76" s="1"/>
  <c r="E29" i="76"/>
  <c r="U29" i="76" s="1"/>
  <c r="G29" i="76"/>
  <c r="V29" i="76" s="1"/>
  <c r="I29" i="76"/>
  <c r="W29" i="76" s="1"/>
  <c r="Y29" i="76"/>
  <c r="B206" i="76"/>
  <c r="B31" i="76"/>
  <c r="O30" i="76"/>
  <c r="S30" i="76"/>
  <c r="C30" i="76"/>
  <c r="M30" i="76"/>
  <c r="Q30" i="76"/>
  <c r="F29" i="76"/>
  <c r="H29" i="76"/>
  <c r="L29" i="76"/>
  <c r="J29" i="76"/>
  <c r="R30" i="76" s="1"/>
  <c r="Z29" i="76"/>
  <c r="H28" i="76"/>
  <c r="P30" i="76" s="1"/>
  <c r="J28" i="76"/>
  <c r="R29" i="76" s="1"/>
  <c r="F28" i="76"/>
  <c r="N30" i="76" s="1"/>
  <c r="L28" i="76"/>
  <c r="T30" i="76" s="1"/>
  <c r="Z28" i="76"/>
  <c r="Y115" i="48"/>
  <c r="Y130" i="48" l="1"/>
  <c r="Y131" i="48"/>
  <c r="B207" i="76"/>
  <c r="B32" i="76"/>
  <c r="D30" i="76"/>
  <c r="G30" i="76"/>
  <c r="V30" i="76" s="1"/>
  <c r="Y30" i="76"/>
  <c r="E30" i="76"/>
  <c r="U30" i="76" s="1"/>
  <c r="I30" i="76"/>
  <c r="W30" i="76" s="1"/>
  <c r="K30" i="76"/>
  <c r="X30" i="76" s="1"/>
  <c r="S31" i="76"/>
  <c r="T31" i="76"/>
  <c r="O31" i="76"/>
  <c r="P31" i="76"/>
  <c r="M31" i="76"/>
  <c r="N31" i="76"/>
  <c r="Q31" i="76"/>
  <c r="C31" i="76"/>
  <c r="D31" i="76" s="1"/>
  <c r="Z115" i="48"/>
  <c r="Z125" i="48" l="1"/>
  <c r="Z126" i="48"/>
  <c r="Z127" i="48"/>
  <c r="Z146" i="48"/>
  <c r="Z128" i="48"/>
  <c r="Z147" i="48"/>
  <c r="Z129" i="48"/>
  <c r="Z121" i="48"/>
  <c r="Z131" i="48"/>
  <c r="Z130" i="48"/>
  <c r="Z122" i="48"/>
  <c r="Z123" i="48"/>
  <c r="Z124" i="48"/>
  <c r="Z137" i="48"/>
  <c r="Z152" i="48" s="1"/>
  <c r="Z155" i="48" s="1"/>
  <c r="Z141" i="48"/>
  <c r="L30" i="76"/>
  <c r="F30" i="76"/>
  <c r="J30" i="76"/>
  <c r="R31" i="76" s="1"/>
  <c r="H30" i="76"/>
  <c r="Z30" i="76"/>
  <c r="H31" i="76"/>
  <c r="F31" i="76"/>
  <c r="J31" i="76"/>
  <c r="R32" i="76" s="1"/>
  <c r="L31" i="76"/>
  <c r="Z31" i="76"/>
  <c r="K31" i="76"/>
  <c r="X31" i="76" s="1"/>
  <c r="G31" i="76"/>
  <c r="V31" i="76" s="1"/>
  <c r="I31" i="76"/>
  <c r="W31" i="76" s="1"/>
  <c r="E31" i="76"/>
  <c r="U31" i="76" s="1"/>
  <c r="Y31" i="76"/>
  <c r="M32" i="76"/>
  <c r="N32" i="76"/>
  <c r="C32" i="76"/>
  <c r="O32" i="76"/>
  <c r="S32" i="76"/>
  <c r="P32" i="76"/>
  <c r="Q32" i="76"/>
  <c r="T32" i="76"/>
  <c r="B208" i="76"/>
  <c r="B33" i="76"/>
  <c r="AF31" i="48"/>
  <c r="AA115" i="48"/>
  <c r="AF33" i="48"/>
  <c r="AF34" i="48"/>
  <c r="Z140" i="48"/>
  <c r="AF32" i="48"/>
  <c r="Z136" i="48"/>
  <c r="Z153" i="48" l="1"/>
  <c r="Z154" i="48"/>
  <c r="AA126" i="48"/>
  <c r="AA127" i="48"/>
  <c r="AA146" i="48"/>
  <c r="AA128" i="48"/>
  <c r="AA147" i="48"/>
  <c r="AA129" i="48"/>
  <c r="AA121" i="48"/>
  <c r="AA130" i="48"/>
  <c r="AA122" i="48"/>
  <c r="AA131" i="48"/>
  <c r="AA123" i="48"/>
  <c r="AA125" i="48"/>
  <c r="AA124" i="48"/>
  <c r="AA137" i="48"/>
  <c r="AA152" i="48" s="1"/>
  <c r="AA155" i="48" s="1"/>
  <c r="AA141" i="48"/>
  <c r="P33" i="76"/>
  <c r="O33" i="76"/>
  <c r="M33" i="76"/>
  <c r="C33" i="76"/>
  <c r="D33" i="76" s="1"/>
  <c r="S33" i="76"/>
  <c r="Q33" i="76"/>
  <c r="D32" i="76"/>
  <c r="K32" i="76"/>
  <c r="X32" i="76" s="1"/>
  <c r="E32" i="76"/>
  <c r="U32" i="76" s="1"/>
  <c r="Y32" i="76"/>
  <c r="G32" i="76"/>
  <c r="V32" i="76" s="1"/>
  <c r="I32" i="76"/>
  <c r="W32" i="76" s="1"/>
  <c r="B209" i="76"/>
  <c r="B34" i="76"/>
  <c r="T33" i="76"/>
  <c r="Z143" i="48"/>
  <c r="N33" i="76"/>
  <c r="Z139" i="48"/>
  <c r="AB115" i="48"/>
  <c r="AG32" i="48"/>
  <c r="AA140" i="48"/>
  <c r="AG34" i="48"/>
  <c r="AG31" i="48"/>
  <c r="AG33" i="48"/>
  <c r="AA136" i="48"/>
  <c r="AF30" i="48"/>
  <c r="Z142" i="48"/>
  <c r="Z138" i="48"/>
  <c r="AA153" i="48" l="1"/>
  <c r="AA154" i="48"/>
  <c r="AB127" i="48"/>
  <c r="AB146" i="48"/>
  <c r="AB128" i="48"/>
  <c r="AB147" i="48"/>
  <c r="AB129" i="48"/>
  <c r="AB121" i="48"/>
  <c r="AB130" i="48"/>
  <c r="AB122" i="48"/>
  <c r="AB131" i="48"/>
  <c r="AB123" i="48"/>
  <c r="AB124" i="48"/>
  <c r="AB126" i="48"/>
  <c r="AB125" i="48"/>
  <c r="AB141" i="48"/>
  <c r="AB137" i="48"/>
  <c r="AB152" i="48" s="1"/>
  <c r="AB155" i="48" s="1"/>
  <c r="B210" i="76"/>
  <c r="B35" i="76"/>
  <c r="G33" i="76"/>
  <c r="V33" i="76" s="1"/>
  <c r="K33" i="76"/>
  <c r="X33" i="76" s="1"/>
  <c r="E33" i="76"/>
  <c r="U33" i="76" s="1"/>
  <c r="I33" i="76"/>
  <c r="Y33" i="76"/>
  <c r="H32" i="76"/>
  <c r="F32" i="76"/>
  <c r="J32" i="76"/>
  <c r="R33" i="76" s="1"/>
  <c r="Z32" i="76"/>
  <c r="L32" i="76"/>
  <c r="AA139" i="48"/>
  <c r="C34" i="76"/>
  <c r="T34" i="76"/>
  <c r="M34" i="76"/>
  <c r="N34" i="76"/>
  <c r="O34" i="76"/>
  <c r="P34" i="76"/>
  <c r="S34" i="76"/>
  <c r="D34" i="76"/>
  <c r="F33" i="76"/>
  <c r="H33" i="76"/>
  <c r="L33" i="76"/>
  <c r="Z33" i="76"/>
  <c r="J33" i="76"/>
  <c r="R34" i="76" s="1"/>
  <c r="AA143" i="48"/>
  <c r="AG30" i="48"/>
  <c r="AA142" i="48"/>
  <c r="AC115" i="48"/>
  <c r="AB140" i="48"/>
  <c r="AH32" i="48"/>
  <c r="AB136" i="48"/>
  <c r="AH34" i="48"/>
  <c r="AH33" i="48"/>
  <c r="AH31" i="48"/>
  <c r="AA138" i="48"/>
  <c r="T35" i="76" l="1"/>
  <c r="AB154" i="48"/>
  <c r="AB153" i="48"/>
  <c r="AC128" i="48"/>
  <c r="AC147" i="48"/>
  <c r="AC129" i="48"/>
  <c r="AC121" i="48"/>
  <c r="AC130" i="48"/>
  <c r="AC122" i="48"/>
  <c r="AC131" i="48"/>
  <c r="AC123" i="48"/>
  <c r="AC124" i="48"/>
  <c r="AC125" i="48"/>
  <c r="AC127" i="48"/>
  <c r="AC126" i="48"/>
  <c r="AC146" i="48"/>
  <c r="AC141" i="48"/>
  <c r="AC137" i="48"/>
  <c r="AC152" i="48" s="1"/>
  <c r="AC155" i="48" s="1"/>
  <c r="N35" i="76"/>
  <c r="L34" i="76"/>
  <c r="F34" i="76"/>
  <c r="J34" i="76"/>
  <c r="R35" i="76" s="1"/>
  <c r="H34" i="76"/>
  <c r="Z34" i="76"/>
  <c r="Q34" i="76"/>
  <c r="W33" i="76"/>
  <c r="C35" i="76"/>
  <c r="S35" i="76"/>
  <c r="D35" i="76"/>
  <c r="O35" i="76"/>
  <c r="P35" i="76"/>
  <c r="M35" i="76"/>
  <c r="Q35" i="76"/>
  <c r="K34" i="76"/>
  <c r="X34" i="76" s="1"/>
  <c r="Y34" i="76"/>
  <c r="E34" i="76"/>
  <c r="U34" i="76" s="1"/>
  <c r="I34" i="76"/>
  <c r="G34" i="76"/>
  <c r="V34" i="76" s="1"/>
  <c r="B211" i="76"/>
  <c r="B36" i="76"/>
  <c r="AB143" i="48"/>
  <c r="AH30" i="48"/>
  <c r="AB139" i="48"/>
  <c r="AB138" i="48"/>
  <c r="AD115" i="48"/>
  <c r="AC136" i="48"/>
  <c r="AI32" i="48"/>
  <c r="AI33" i="48"/>
  <c r="AI34" i="48"/>
  <c r="AC140" i="48"/>
  <c r="AI31" i="48"/>
  <c r="AB142" i="48"/>
  <c r="AC153" i="48" l="1"/>
  <c r="AC154" i="48"/>
  <c r="AD129" i="48"/>
  <c r="AD121" i="48"/>
  <c r="AD130" i="48"/>
  <c r="AD122" i="48"/>
  <c r="AD131" i="48"/>
  <c r="AD123" i="48"/>
  <c r="AD124" i="48"/>
  <c r="AD125" i="48"/>
  <c r="AD126" i="48"/>
  <c r="AD147" i="48"/>
  <c r="AD127" i="48"/>
  <c r="AD146" i="48"/>
  <c r="AD128" i="48"/>
  <c r="AD141" i="48"/>
  <c r="AD137" i="48"/>
  <c r="AD152" i="48" s="1"/>
  <c r="AD155" i="48" s="1"/>
  <c r="W34" i="76"/>
  <c r="M36" i="76"/>
  <c r="S36" i="76"/>
  <c r="C36" i="76"/>
  <c r="O36" i="76"/>
  <c r="Q36" i="76"/>
  <c r="B212" i="76"/>
  <c r="B37" i="76"/>
  <c r="P36" i="76"/>
  <c r="Z35" i="76"/>
  <c r="J35" i="76"/>
  <c r="R36" i="76" s="1"/>
  <c r="L35" i="76"/>
  <c r="H35" i="76"/>
  <c r="F35" i="76"/>
  <c r="N36" i="76"/>
  <c r="T36" i="76"/>
  <c r="K35" i="76"/>
  <c r="X35" i="76" s="1"/>
  <c r="G35" i="76"/>
  <c r="V35" i="76" s="1"/>
  <c r="I35" i="76"/>
  <c r="W35" i="76" s="1"/>
  <c r="Y35" i="76"/>
  <c r="E35" i="76"/>
  <c r="U35" i="76" s="1"/>
  <c r="AC139" i="48"/>
  <c r="AC138" i="48"/>
  <c r="AI30" i="48"/>
  <c r="AD136" i="48"/>
  <c r="AE115" i="48"/>
  <c r="AJ32" i="48"/>
  <c r="AD140" i="48"/>
  <c r="AJ33" i="48"/>
  <c r="AJ31" i="48"/>
  <c r="AJ34" i="48"/>
  <c r="AC143" i="48"/>
  <c r="AC142" i="48"/>
  <c r="AD154" i="48" l="1"/>
  <c r="AD153" i="48"/>
  <c r="AE130" i="48"/>
  <c r="AE122" i="48"/>
  <c r="AE131" i="48"/>
  <c r="AE123" i="48"/>
  <c r="AE124" i="48"/>
  <c r="AE125" i="48"/>
  <c r="AE126" i="48"/>
  <c r="AE127" i="48"/>
  <c r="AE146" i="48"/>
  <c r="AE129" i="48"/>
  <c r="AE128" i="48"/>
  <c r="AE121" i="48"/>
  <c r="AE147" i="48"/>
  <c r="AE141" i="48"/>
  <c r="AE137" i="48"/>
  <c r="AE152" i="48" s="1"/>
  <c r="AE155" i="48" s="1"/>
  <c r="C37" i="76"/>
  <c r="S37" i="76"/>
  <c r="T37" i="76"/>
  <c r="M37" i="76"/>
  <c r="N37" i="76"/>
  <c r="R37" i="76"/>
  <c r="D37" i="76"/>
  <c r="Q37" i="76"/>
  <c r="O37" i="76"/>
  <c r="P37" i="76"/>
  <c r="B213" i="76"/>
  <c r="B38" i="76"/>
  <c r="D36" i="76"/>
  <c r="G36" i="76"/>
  <c r="V36" i="76" s="1"/>
  <c r="I36" i="76"/>
  <c r="W36" i="76" s="1"/>
  <c r="E36" i="76"/>
  <c r="U36" i="76" s="1"/>
  <c r="K36" i="76"/>
  <c r="X36" i="76" s="1"/>
  <c r="Y36" i="76"/>
  <c r="AD143" i="48"/>
  <c r="AD139" i="48"/>
  <c r="AD138" i="48"/>
  <c r="AJ30" i="48"/>
  <c r="AD142" i="48"/>
  <c r="AF115" i="48"/>
  <c r="AK34" i="48"/>
  <c r="AE140" i="48"/>
  <c r="AK31" i="48"/>
  <c r="AK32" i="48"/>
  <c r="AK33" i="48"/>
  <c r="AE136" i="48"/>
  <c r="AE153" i="48" l="1"/>
  <c r="AE154" i="48"/>
  <c r="AF131" i="48"/>
  <c r="AF123" i="48"/>
  <c r="AF124" i="48"/>
  <c r="AF129" i="48"/>
  <c r="AF125" i="48"/>
  <c r="AF126" i="48"/>
  <c r="AF127" i="48"/>
  <c r="AF146" i="48"/>
  <c r="AF128" i="48"/>
  <c r="AF147" i="48"/>
  <c r="AF121" i="48"/>
  <c r="AF122" i="48"/>
  <c r="AF130" i="48"/>
  <c r="AF141" i="48"/>
  <c r="AF137" i="48"/>
  <c r="AF152" i="48" s="1"/>
  <c r="AF155" i="48" s="1"/>
  <c r="F37" i="76"/>
  <c r="H37" i="76"/>
  <c r="L37" i="76"/>
  <c r="Z37" i="76"/>
  <c r="J37" i="76"/>
  <c r="H36" i="76"/>
  <c r="J36" i="76"/>
  <c r="L36" i="76"/>
  <c r="F36" i="76"/>
  <c r="Z36" i="76"/>
  <c r="O38" i="76"/>
  <c r="T38" i="76"/>
  <c r="M38" i="76"/>
  <c r="N38" i="76"/>
  <c r="R38" i="76"/>
  <c r="P38" i="76"/>
  <c r="S38" i="76"/>
  <c r="C38" i="76"/>
  <c r="Q38" i="76"/>
  <c r="D38" i="76"/>
  <c r="B214" i="76"/>
  <c r="B39" i="76"/>
  <c r="G37" i="76"/>
  <c r="V37" i="76" s="1"/>
  <c r="K37" i="76"/>
  <c r="X37" i="76" s="1"/>
  <c r="E37" i="76"/>
  <c r="U37" i="76" s="1"/>
  <c r="I37" i="76"/>
  <c r="W37" i="76" s="1"/>
  <c r="Y37" i="76"/>
  <c r="AE139" i="48"/>
  <c r="AK30" i="48"/>
  <c r="AE142" i="48"/>
  <c r="AE138" i="48"/>
  <c r="AG115" i="48"/>
  <c r="AL31" i="48"/>
  <c r="AL32" i="48"/>
  <c r="AL33" i="48"/>
  <c r="AL34" i="48"/>
  <c r="AF140" i="48"/>
  <c r="AF136" i="48"/>
  <c r="AE143" i="48"/>
  <c r="AF154" i="48" l="1"/>
  <c r="AF153" i="48"/>
  <c r="AG124" i="48"/>
  <c r="AG125" i="48"/>
  <c r="AG130" i="48"/>
  <c r="AG126" i="48"/>
  <c r="AG146" i="48"/>
  <c r="AG127" i="48"/>
  <c r="AG128" i="48"/>
  <c r="AG147" i="48"/>
  <c r="AG129" i="48"/>
  <c r="AG121" i="48"/>
  <c r="AG131" i="48"/>
  <c r="AG123" i="48"/>
  <c r="AG122" i="48"/>
  <c r="AG137" i="48"/>
  <c r="AG152" i="48" s="1"/>
  <c r="AG155" i="48" s="1"/>
  <c r="AG141" i="48"/>
  <c r="B215" i="76"/>
  <c r="B40" i="76"/>
  <c r="J38" i="76"/>
  <c r="R39" i="76" s="1"/>
  <c r="H38" i="76"/>
  <c r="Z38" i="76"/>
  <c r="L38" i="76"/>
  <c r="F38" i="76"/>
  <c r="E38" i="76"/>
  <c r="U38" i="76" s="1"/>
  <c r="Y38" i="76"/>
  <c r="I38" i="76"/>
  <c r="W38" i="76" s="1"/>
  <c r="K38" i="76"/>
  <c r="X38" i="76" s="1"/>
  <c r="G38" i="76"/>
  <c r="V38" i="76" s="1"/>
  <c r="C39" i="76"/>
  <c r="T39" i="76"/>
  <c r="O39" i="76"/>
  <c r="M39" i="76"/>
  <c r="N39" i="76"/>
  <c r="S39" i="76"/>
  <c r="P39" i="76"/>
  <c r="Q39" i="76"/>
  <c r="AF139" i="48"/>
  <c r="AF138" i="48"/>
  <c r="AH115" i="48"/>
  <c r="AG140" i="48"/>
  <c r="AM31" i="48"/>
  <c r="AM33" i="48"/>
  <c r="AG136" i="48"/>
  <c r="AM34" i="48"/>
  <c r="AM32" i="48"/>
  <c r="AF142" i="48"/>
  <c r="AF143" i="48"/>
  <c r="AL30" i="48"/>
  <c r="AG153" i="48" l="1"/>
  <c r="AG154" i="48"/>
  <c r="AH125" i="48"/>
  <c r="AH126" i="48"/>
  <c r="AH131" i="48"/>
  <c r="AH127" i="48"/>
  <c r="AH146" i="48"/>
  <c r="AH128" i="48"/>
  <c r="AH147" i="48"/>
  <c r="AH129" i="48"/>
  <c r="AH121" i="48"/>
  <c r="AH130" i="48"/>
  <c r="AH122" i="48"/>
  <c r="AH124" i="48"/>
  <c r="AH123" i="48"/>
  <c r="AH141" i="48"/>
  <c r="AH137" i="48"/>
  <c r="AH152" i="48" s="1"/>
  <c r="AH155" i="48" s="1"/>
  <c r="N40" i="76"/>
  <c r="T40" i="76"/>
  <c r="AG142" i="48"/>
  <c r="AG138" i="48"/>
  <c r="AG143" i="48"/>
  <c r="D39" i="76"/>
  <c r="K39" i="76"/>
  <c r="X39" i="76" s="1"/>
  <c r="G39" i="76"/>
  <c r="V39" i="76" s="1"/>
  <c r="E39" i="76"/>
  <c r="U39" i="76" s="1"/>
  <c r="I39" i="76"/>
  <c r="W39" i="76" s="1"/>
  <c r="Y39" i="76"/>
  <c r="R40" i="76"/>
  <c r="M40" i="76"/>
  <c r="O40" i="76"/>
  <c r="S40" i="76"/>
  <c r="P40" i="76"/>
  <c r="Q40" i="76"/>
  <c r="C40" i="76"/>
  <c r="D40" i="76"/>
  <c r="B216" i="76"/>
  <c r="B41" i="76"/>
  <c r="AM30" i="48"/>
  <c r="AN32" i="48"/>
  <c r="AN33" i="48"/>
  <c r="AI115" i="48"/>
  <c r="AN34" i="48"/>
  <c r="AH140" i="48"/>
  <c r="AN31" i="48"/>
  <c r="AH136" i="48"/>
  <c r="AG139" i="48"/>
  <c r="AH153" i="48" l="1"/>
  <c r="AH154" i="48"/>
  <c r="AI126" i="48"/>
  <c r="AI127" i="48"/>
  <c r="AI146" i="48"/>
  <c r="AI128" i="48"/>
  <c r="AI147" i="48"/>
  <c r="AI129" i="48"/>
  <c r="AI121" i="48"/>
  <c r="AI130" i="48"/>
  <c r="AI122" i="48"/>
  <c r="AI131" i="48"/>
  <c r="AI123" i="48"/>
  <c r="AI125" i="48"/>
  <c r="AI124" i="48"/>
  <c r="AI137" i="48"/>
  <c r="AI152" i="48" s="1"/>
  <c r="AI155" i="48" s="1"/>
  <c r="AI141" i="48"/>
  <c r="AH142" i="48"/>
  <c r="AH138" i="48"/>
  <c r="S41" i="76"/>
  <c r="N41" i="76"/>
  <c r="Q41" i="76"/>
  <c r="R41" i="76"/>
  <c r="O41" i="76"/>
  <c r="M41" i="76"/>
  <c r="T41" i="76"/>
  <c r="D41" i="76"/>
  <c r="P41" i="76"/>
  <c r="C41" i="76"/>
  <c r="B217" i="76"/>
  <c r="B42" i="76"/>
  <c r="J40" i="76"/>
  <c r="F40" i="76"/>
  <c r="L40" i="76"/>
  <c r="Z40" i="76"/>
  <c r="H40" i="76"/>
  <c r="I40" i="76"/>
  <c r="W40" i="76" s="1"/>
  <c r="E40" i="76"/>
  <c r="U40" i="76" s="1"/>
  <c r="Y40" i="76"/>
  <c r="G40" i="76"/>
  <c r="V40" i="76" s="1"/>
  <c r="K40" i="76"/>
  <c r="X40" i="76" s="1"/>
  <c r="J39" i="76"/>
  <c r="L39" i="76"/>
  <c r="H39" i="76"/>
  <c r="F39" i="76"/>
  <c r="Z39" i="76"/>
  <c r="AN30" i="48"/>
  <c r="AH139" i="48"/>
  <c r="AO31" i="48"/>
  <c r="AO32" i="48"/>
  <c r="AI140" i="48"/>
  <c r="AO33" i="48"/>
  <c r="AJ115" i="48"/>
  <c r="AO34" i="48"/>
  <c r="AI136" i="48"/>
  <c r="AH143" i="48"/>
  <c r="AI153" i="48" l="1"/>
  <c r="AI154" i="48"/>
  <c r="AJ127" i="48"/>
  <c r="AJ146" i="48"/>
  <c r="AJ128" i="48"/>
  <c r="AJ147" i="48"/>
  <c r="AJ129" i="48"/>
  <c r="AJ121" i="48"/>
  <c r="AJ130" i="48"/>
  <c r="AJ122" i="48"/>
  <c r="AJ131" i="48"/>
  <c r="AJ123" i="48"/>
  <c r="AJ124" i="48"/>
  <c r="AJ125" i="48"/>
  <c r="AJ126" i="48"/>
  <c r="AJ141" i="48"/>
  <c r="AJ137" i="48"/>
  <c r="AJ152" i="48" s="1"/>
  <c r="AJ155" i="48" s="1"/>
  <c r="AI142" i="48"/>
  <c r="AI138" i="48"/>
  <c r="L41" i="76"/>
  <c r="Z41" i="76"/>
  <c r="J41" i="76"/>
  <c r="F41" i="76"/>
  <c r="H41" i="76"/>
  <c r="N42" i="76"/>
  <c r="O42" i="76"/>
  <c r="P42" i="76"/>
  <c r="R42" i="76"/>
  <c r="S42" i="76"/>
  <c r="D42" i="76"/>
  <c r="T42" i="76"/>
  <c r="C42" i="76"/>
  <c r="Q42" i="76"/>
  <c r="M42" i="76"/>
  <c r="B218" i="76"/>
  <c r="B43" i="76"/>
  <c r="AI143" i="48"/>
  <c r="I41" i="76"/>
  <c r="W41" i="76" s="1"/>
  <c r="K41" i="76"/>
  <c r="X41" i="76" s="1"/>
  <c r="G41" i="76"/>
  <c r="V41" i="76" s="1"/>
  <c r="E41" i="76"/>
  <c r="U41" i="76" s="1"/>
  <c r="Y41" i="76"/>
  <c r="AI139" i="48"/>
  <c r="AK115" i="48"/>
  <c r="AP31" i="48"/>
  <c r="AP32" i="48"/>
  <c r="AP33" i="48"/>
  <c r="AP34" i="48"/>
  <c r="AJ136" i="48"/>
  <c r="AJ140" i="48"/>
  <c r="AO30" i="48"/>
  <c r="AJ154" i="48" l="1"/>
  <c r="AJ153" i="48"/>
  <c r="AK128" i="48"/>
  <c r="AK147" i="48"/>
  <c r="AK129" i="48"/>
  <c r="AK121" i="48"/>
  <c r="AK130" i="48"/>
  <c r="AK122" i="48"/>
  <c r="AK131" i="48"/>
  <c r="AK123" i="48"/>
  <c r="AK124" i="48"/>
  <c r="AK125" i="48"/>
  <c r="AK146" i="48"/>
  <c r="AK127" i="48"/>
  <c r="AK126" i="48"/>
  <c r="AK141" i="48"/>
  <c r="AK137" i="48"/>
  <c r="AK152" i="48" s="1"/>
  <c r="AK155" i="48" s="1"/>
  <c r="AJ138" i="48"/>
  <c r="AJ142" i="48"/>
  <c r="AJ143" i="48"/>
  <c r="B219" i="76"/>
  <c r="B44" i="76"/>
  <c r="E42" i="76"/>
  <c r="U42" i="76" s="1"/>
  <c r="G42" i="76"/>
  <c r="V42" i="76" s="1"/>
  <c r="K42" i="76"/>
  <c r="X42" i="76" s="1"/>
  <c r="I42" i="76"/>
  <c r="W42" i="76" s="1"/>
  <c r="Y42" i="76"/>
  <c r="L42" i="76"/>
  <c r="Z42" i="76"/>
  <c r="H42" i="76"/>
  <c r="F42" i="76"/>
  <c r="J42" i="76"/>
  <c r="D43" i="76"/>
  <c r="T43" i="76"/>
  <c r="N43" i="76"/>
  <c r="R43" i="76"/>
  <c r="O43" i="76"/>
  <c r="M43" i="76"/>
  <c r="P43" i="76"/>
  <c r="Q43" i="76"/>
  <c r="C43" i="76"/>
  <c r="S43" i="76"/>
  <c r="AP30" i="48"/>
  <c r="AL115" i="48"/>
  <c r="AK140" i="48"/>
  <c r="AQ32" i="48"/>
  <c r="AQ33" i="48"/>
  <c r="AQ34" i="48"/>
  <c r="AK136" i="48"/>
  <c r="AQ31" i="48"/>
  <c r="AJ139" i="48"/>
  <c r="AK153" i="48" l="1"/>
  <c r="AK154" i="48"/>
  <c r="AL129" i="48"/>
  <c r="AL121" i="48"/>
  <c r="AL130" i="48"/>
  <c r="AL122" i="48"/>
  <c r="AL131" i="48"/>
  <c r="AL123" i="48"/>
  <c r="AL124" i="48"/>
  <c r="AL125" i="48"/>
  <c r="AL126" i="48"/>
  <c r="AL146" i="48"/>
  <c r="AL128" i="48"/>
  <c r="AL127" i="48"/>
  <c r="AL147" i="48"/>
  <c r="AL141" i="48"/>
  <c r="AL137" i="48"/>
  <c r="AL152" i="48" s="1"/>
  <c r="AL155" i="48" s="1"/>
  <c r="AK138" i="48"/>
  <c r="AK142" i="48"/>
  <c r="AK139" i="48"/>
  <c r="E43" i="76"/>
  <c r="U43" i="76" s="1"/>
  <c r="K43" i="76"/>
  <c r="X43" i="76" s="1"/>
  <c r="Y43" i="76"/>
  <c r="G43" i="76"/>
  <c r="V43" i="76" s="1"/>
  <c r="I43" i="76"/>
  <c r="W43" i="76" s="1"/>
  <c r="H43" i="76"/>
  <c r="L43" i="76"/>
  <c r="J43" i="76"/>
  <c r="Z43" i="76"/>
  <c r="F43" i="76"/>
  <c r="T44" i="76"/>
  <c r="P44" i="76"/>
  <c r="Q44" i="76"/>
  <c r="M44" i="76"/>
  <c r="N44" i="76"/>
  <c r="O44" i="76"/>
  <c r="S44" i="76"/>
  <c r="C44" i="76"/>
  <c r="D44" i="76"/>
  <c r="R44" i="76"/>
  <c r="B220" i="76"/>
  <c r="B45" i="76"/>
  <c r="AQ30" i="48"/>
  <c r="AK143" i="48"/>
  <c r="AL140" i="48"/>
  <c r="AL136" i="48"/>
  <c r="AR34" i="48"/>
  <c r="AR32" i="48"/>
  <c r="AR33" i="48"/>
  <c r="AM115" i="48"/>
  <c r="AR31" i="48"/>
  <c r="AL153" i="48" l="1"/>
  <c r="AL154" i="48"/>
  <c r="AM130" i="48"/>
  <c r="AM122" i="48"/>
  <c r="AM131" i="48"/>
  <c r="AM123" i="48"/>
  <c r="AM124" i="48"/>
  <c r="AM128" i="48"/>
  <c r="AM125" i="48"/>
  <c r="AM126" i="48"/>
  <c r="AM127" i="48"/>
  <c r="AM146" i="48"/>
  <c r="AM121" i="48"/>
  <c r="AM129" i="48"/>
  <c r="AM147" i="48"/>
  <c r="AM141" i="48"/>
  <c r="AM137" i="48"/>
  <c r="AM152" i="48" s="1"/>
  <c r="AM155" i="48" s="1"/>
  <c r="AL142" i="48"/>
  <c r="AL138" i="48"/>
  <c r="N45" i="76"/>
  <c r="O45" i="76"/>
  <c r="P45" i="76"/>
  <c r="Q45" i="76"/>
  <c r="D45" i="76"/>
  <c r="R45" i="76"/>
  <c r="T45" i="76"/>
  <c r="C45" i="76"/>
  <c r="S45" i="76"/>
  <c r="M45" i="76"/>
  <c r="B221" i="76"/>
  <c r="B46" i="76"/>
  <c r="H44" i="76"/>
  <c r="J44" i="76"/>
  <c r="L44" i="76"/>
  <c r="F44" i="76"/>
  <c r="Z44" i="76"/>
  <c r="K44" i="76"/>
  <c r="X44" i="76" s="1"/>
  <c r="Y44" i="76"/>
  <c r="G44" i="76"/>
  <c r="V44" i="76" s="1"/>
  <c r="I44" i="76"/>
  <c r="W44" i="76" s="1"/>
  <c r="E44" i="76"/>
  <c r="U44" i="76" s="1"/>
  <c r="AR30" i="48"/>
  <c r="AL139" i="48"/>
  <c r="AN115" i="48"/>
  <c r="AS31" i="48"/>
  <c r="AS32" i="48"/>
  <c r="AS33" i="48"/>
  <c r="AS34" i="48"/>
  <c r="AM136" i="48"/>
  <c r="AM140" i="48"/>
  <c r="AL143" i="48"/>
  <c r="AM154" i="48" l="1"/>
  <c r="AM153" i="48"/>
  <c r="AN131" i="48"/>
  <c r="AN123" i="48"/>
  <c r="AN124" i="48"/>
  <c r="AN125" i="48"/>
  <c r="AN126" i="48"/>
  <c r="AN127" i="48"/>
  <c r="AN146" i="48"/>
  <c r="AN128" i="48"/>
  <c r="AN147" i="48"/>
  <c r="AN129" i="48"/>
  <c r="AN121" i="48"/>
  <c r="AN122" i="48"/>
  <c r="AN130" i="48"/>
  <c r="AN141" i="48"/>
  <c r="AN137" i="48"/>
  <c r="AN152" i="48" s="1"/>
  <c r="AN155" i="48" s="1"/>
  <c r="AM143" i="48"/>
  <c r="AM142" i="48"/>
  <c r="AM138" i="48"/>
  <c r="I45" i="76"/>
  <c r="W45" i="76" s="1"/>
  <c r="K45" i="76"/>
  <c r="X45" i="76" s="1"/>
  <c r="E45" i="76"/>
  <c r="U45" i="76" s="1"/>
  <c r="G45" i="76"/>
  <c r="V45" i="76" s="1"/>
  <c r="Y45" i="76"/>
  <c r="J45" i="76"/>
  <c r="F45" i="76"/>
  <c r="L45" i="76"/>
  <c r="Z45" i="76"/>
  <c r="H45" i="76"/>
  <c r="Q46" i="76"/>
  <c r="M46" i="76"/>
  <c r="R46" i="76"/>
  <c r="P46" i="76"/>
  <c r="C46" i="76"/>
  <c r="S46" i="76"/>
  <c r="D46" i="76"/>
  <c r="T46" i="76"/>
  <c r="N46" i="76"/>
  <c r="O46" i="76"/>
  <c r="B222" i="76"/>
  <c r="B47" i="76"/>
  <c r="AS30" i="48"/>
  <c r="AO115" i="48"/>
  <c r="AN140" i="48"/>
  <c r="AN136" i="48"/>
  <c r="AT31" i="48"/>
  <c r="AT33" i="48"/>
  <c r="AT34" i="48"/>
  <c r="AT32" i="48"/>
  <c r="AM139" i="48"/>
  <c r="AN153" i="48" l="1"/>
  <c r="AN154" i="48"/>
  <c r="AO124" i="48"/>
  <c r="AO125" i="48"/>
  <c r="AO126" i="48"/>
  <c r="AO127" i="48"/>
  <c r="AO146" i="48"/>
  <c r="AO128" i="48"/>
  <c r="AO147" i="48"/>
  <c r="AO129" i="48"/>
  <c r="AO121" i="48"/>
  <c r="AO130" i="48"/>
  <c r="AO131" i="48"/>
  <c r="AO123" i="48"/>
  <c r="AO122" i="48"/>
  <c r="AO137" i="48"/>
  <c r="AO152" i="48" s="1"/>
  <c r="AO155" i="48" s="1"/>
  <c r="AO141" i="48"/>
  <c r="AN138" i="48"/>
  <c r="AN142" i="48"/>
  <c r="E46" i="76"/>
  <c r="U46" i="76" s="1"/>
  <c r="Y46" i="76"/>
  <c r="G46" i="76"/>
  <c r="V46" i="76" s="1"/>
  <c r="I46" i="76"/>
  <c r="W46" i="76" s="1"/>
  <c r="K46" i="76"/>
  <c r="X46" i="76" s="1"/>
  <c r="D47" i="76"/>
  <c r="T47" i="76"/>
  <c r="M47" i="76"/>
  <c r="O47" i="76"/>
  <c r="P47" i="76"/>
  <c r="R47" i="76"/>
  <c r="N47" i="76"/>
  <c r="C47" i="76"/>
  <c r="Q47" i="76"/>
  <c r="S47" i="76"/>
  <c r="B223" i="76"/>
  <c r="B48" i="76"/>
  <c r="J46" i="76"/>
  <c r="L46" i="76"/>
  <c r="F46" i="76"/>
  <c r="H46" i="76"/>
  <c r="Z46" i="76"/>
  <c r="AN143" i="48"/>
  <c r="AP115" i="48"/>
  <c r="AO140" i="48"/>
  <c r="AU32" i="48"/>
  <c r="AO136" i="48"/>
  <c r="AU33" i="48"/>
  <c r="AU31" i="48"/>
  <c r="AU34" i="48"/>
  <c r="AT30" i="48"/>
  <c r="AN139" i="48"/>
  <c r="AO153" i="48" l="1"/>
  <c r="AO154" i="48"/>
  <c r="AP125" i="48"/>
  <c r="AP126" i="48"/>
  <c r="AP127" i="48"/>
  <c r="AP146" i="48"/>
  <c r="AP131" i="48"/>
  <c r="AP128" i="48"/>
  <c r="AP147" i="48"/>
  <c r="AP129" i="48"/>
  <c r="AP121" i="48"/>
  <c r="AP130" i="48"/>
  <c r="AP122" i="48"/>
  <c r="AP124" i="48"/>
  <c r="AP123" i="48"/>
  <c r="AP137" i="48"/>
  <c r="AP152" i="48" s="1"/>
  <c r="AP155" i="48" s="1"/>
  <c r="AP141" i="48"/>
  <c r="AO138" i="48"/>
  <c r="AO142" i="48"/>
  <c r="B224" i="76"/>
  <c r="B49" i="76"/>
  <c r="J47" i="76"/>
  <c r="L47" i="76"/>
  <c r="H47" i="76"/>
  <c r="Z47" i="76"/>
  <c r="F47" i="76"/>
  <c r="I47" i="76"/>
  <c r="W47" i="76" s="1"/>
  <c r="G47" i="76"/>
  <c r="V47" i="76" s="1"/>
  <c r="Y47" i="76"/>
  <c r="K47" i="76"/>
  <c r="X47" i="76" s="1"/>
  <c r="E47" i="76"/>
  <c r="U47" i="76" s="1"/>
  <c r="N48" i="76"/>
  <c r="O48" i="76"/>
  <c r="S48" i="76"/>
  <c r="D48" i="76"/>
  <c r="T48" i="76"/>
  <c r="P48" i="76"/>
  <c r="Q48" i="76"/>
  <c r="C48" i="76"/>
  <c r="R48" i="76"/>
  <c r="M48" i="76"/>
  <c r="AO143" i="48"/>
  <c r="AU30" i="48"/>
  <c r="AO139" i="48"/>
  <c r="AQ115" i="48"/>
  <c r="AV32" i="48"/>
  <c r="AP140" i="48"/>
  <c r="AV33" i="48"/>
  <c r="AP136" i="48"/>
  <c r="AV31" i="48"/>
  <c r="AV34" i="48"/>
  <c r="AP153" i="48" l="1"/>
  <c r="AP154" i="48"/>
  <c r="AQ126" i="48"/>
  <c r="AQ127" i="48"/>
  <c r="AQ146" i="48"/>
  <c r="AQ128" i="48"/>
  <c r="AQ147" i="48"/>
  <c r="AQ129" i="48"/>
  <c r="AQ121" i="48"/>
  <c r="AQ130" i="48"/>
  <c r="AQ122" i="48"/>
  <c r="AQ131" i="48"/>
  <c r="AQ123" i="48"/>
  <c r="AQ125" i="48"/>
  <c r="AQ124" i="48"/>
  <c r="AQ137" i="48"/>
  <c r="AQ152" i="48" s="1"/>
  <c r="AQ155" i="48" s="1"/>
  <c r="AQ141" i="48"/>
  <c r="AP142" i="48"/>
  <c r="AP138" i="48"/>
  <c r="AP139" i="48"/>
  <c r="L48" i="76"/>
  <c r="F48" i="76"/>
  <c r="H48" i="76"/>
  <c r="J48" i="76"/>
  <c r="Z48" i="76"/>
  <c r="G48" i="76"/>
  <c r="V48" i="76" s="1"/>
  <c r="Y48" i="76"/>
  <c r="K48" i="76"/>
  <c r="X48" i="76" s="1"/>
  <c r="E48" i="76"/>
  <c r="U48" i="76" s="1"/>
  <c r="I48" i="76"/>
  <c r="W48" i="76" s="1"/>
  <c r="N49" i="76"/>
  <c r="O49" i="76"/>
  <c r="Q49" i="76"/>
  <c r="C49" i="76"/>
  <c r="R49" i="76"/>
  <c r="S49" i="76"/>
  <c r="D49" i="76"/>
  <c r="P49" i="76"/>
  <c r="T49" i="76"/>
  <c r="M49" i="76"/>
  <c r="AP143" i="48"/>
  <c r="B225" i="76"/>
  <c r="B50" i="76"/>
  <c r="AV30" i="48"/>
  <c r="AW34" i="48"/>
  <c r="AQ140" i="48"/>
  <c r="AW31" i="48"/>
  <c r="AQ136" i="48"/>
  <c r="AR115" i="48"/>
  <c r="AW32" i="48"/>
  <c r="AW33" i="48"/>
  <c r="AQ153" i="48" l="1"/>
  <c r="AQ154" i="48"/>
  <c r="AR127" i="48"/>
  <c r="AR146" i="48"/>
  <c r="AR128" i="48"/>
  <c r="AR147" i="48"/>
  <c r="AR129" i="48"/>
  <c r="AR121" i="48"/>
  <c r="AR130" i="48"/>
  <c r="AR122" i="48"/>
  <c r="AR131" i="48"/>
  <c r="AR123" i="48"/>
  <c r="AR124" i="48"/>
  <c r="AR125" i="48"/>
  <c r="AR126" i="48"/>
  <c r="AR141" i="48"/>
  <c r="AR137" i="48"/>
  <c r="AR152" i="48" s="1"/>
  <c r="AR155" i="48" s="1"/>
  <c r="AQ138" i="48"/>
  <c r="AQ142" i="48"/>
  <c r="S50" i="76"/>
  <c r="D50" i="76"/>
  <c r="M50" i="76"/>
  <c r="Q50" i="76"/>
  <c r="N50" i="76"/>
  <c r="T50" i="76"/>
  <c r="P50" i="76"/>
  <c r="O50" i="76"/>
  <c r="R50" i="76"/>
  <c r="C50" i="76"/>
  <c r="B226" i="76"/>
  <c r="B51" i="76"/>
  <c r="E49" i="76"/>
  <c r="U49" i="76" s="1"/>
  <c r="G49" i="76"/>
  <c r="V49" i="76" s="1"/>
  <c r="I49" i="76"/>
  <c r="W49" i="76" s="1"/>
  <c r="K49" i="76"/>
  <c r="X49" i="76" s="1"/>
  <c r="Y49" i="76"/>
  <c r="H49" i="76"/>
  <c r="Z49" i="76"/>
  <c r="L49" i="76"/>
  <c r="F49" i="76"/>
  <c r="J49" i="76"/>
  <c r="AQ143" i="48"/>
  <c r="AS115" i="48"/>
  <c r="AR136" i="48"/>
  <c r="AX33" i="48"/>
  <c r="AX34" i="48"/>
  <c r="AR140" i="48"/>
  <c r="AX31" i="48"/>
  <c r="AX32" i="48"/>
  <c r="AQ139" i="48"/>
  <c r="AW30" i="48"/>
  <c r="AR154" i="48" l="1"/>
  <c r="AR153" i="48"/>
  <c r="AS128" i="48"/>
  <c r="AS147" i="48"/>
  <c r="AS129" i="48"/>
  <c r="AS121" i="48"/>
  <c r="AS130" i="48"/>
  <c r="AS122" i="48"/>
  <c r="AS131" i="48"/>
  <c r="AS123" i="48"/>
  <c r="AS124" i="48"/>
  <c r="AS125" i="48"/>
  <c r="AS127" i="48"/>
  <c r="AS126" i="48"/>
  <c r="AS146" i="48"/>
  <c r="AS141" i="48"/>
  <c r="AS137" i="48"/>
  <c r="AS152" i="48" s="1"/>
  <c r="AS155" i="48" s="1"/>
  <c r="AR142" i="48"/>
  <c r="AR138" i="48"/>
  <c r="AR139" i="48"/>
  <c r="S51" i="76"/>
  <c r="T51" i="76"/>
  <c r="N51" i="76"/>
  <c r="R51" i="76"/>
  <c r="P51" i="76"/>
  <c r="D51" i="76"/>
  <c r="M51" i="76"/>
  <c r="O51" i="76"/>
  <c r="Q51" i="76"/>
  <c r="C51" i="76"/>
  <c r="B227" i="76"/>
  <c r="B52" i="76"/>
  <c r="I50" i="76"/>
  <c r="W50" i="76" s="1"/>
  <c r="G50" i="76"/>
  <c r="V50" i="76" s="1"/>
  <c r="K50" i="76"/>
  <c r="X50" i="76" s="1"/>
  <c r="Y50" i="76"/>
  <c r="E50" i="76"/>
  <c r="U50" i="76" s="1"/>
  <c r="H50" i="76"/>
  <c r="L50" i="76"/>
  <c r="F50" i="76"/>
  <c r="J50" i="76"/>
  <c r="Z50" i="76"/>
  <c r="AR143" i="48"/>
  <c r="AX30" i="48"/>
  <c r="AT115" i="48"/>
  <c r="AS136" i="48"/>
  <c r="AY32" i="48"/>
  <c r="AY33" i="48"/>
  <c r="AY34" i="48"/>
  <c r="AS140" i="48"/>
  <c r="AY31" i="48"/>
  <c r="AS153" i="48" l="1"/>
  <c r="AS154" i="48"/>
  <c r="AT129" i="48"/>
  <c r="AT121" i="48"/>
  <c r="AT130" i="48"/>
  <c r="AT122" i="48"/>
  <c r="AT131" i="48"/>
  <c r="AT123" i="48"/>
  <c r="AT124" i="48"/>
  <c r="AT125" i="48"/>
  <c r="AT126" i="48"/>
  <c r="AT146" i="48"/>
  <c r="AT147" i="48"/>
  <c r="AT128" i="48"/>
  <c r="AT127" i="48"/>
  <c r="AT141" i="48"/>
  <c r="AT137" i="48"/>
  <c r="AT152" i="48" s="1"/>
  <c r="AT155" i="48" s="1"/>
  <c r="AS138" i="48"/>
  <c r="AS142" i="48"/>
  <c r="J51" i="76"/>
  <c r="Z51" i="76"/>
  <c r="F51" i="76"/>
  <c r="H51" i="76"/>
  <c r="L51" i="76"/>
  <c r="M52" i="76"/>
  <c r="N52" i="76"/>
  <c r="O52" i="76"/>
  <c r="S52" i="76"/>
  <c r="P52" i="76"/>
  <c r="C52" i="76"/>
  <c r="Q52" i="76"/>
  <c r="R52" i="76"/>
  <c r="D52" i="76"/>
  <c r="T52" i="76"/>
  <c r="B228" i="76"/>
  <c r="B53" i="76"/>
  <c r="G51" i="76"/>
  <c r="V51" i="76" s="1"/>
  <c r="I51" i="76"/>
  <c r="W51" i="76" s="1"/>
  <c r="K51" i="76"/>
  <c r="X51" i="76" s="1"/>
  <c r="E51" i="76"/>
  <c r="U51" i="76" s="1"/>
  <c r="Y51" i="76"/>
  <c r="AY30" i="48"/>
  <c r="AS139" i="48"/>
  <c r="AS143" i="48"/>
  <c r="AZ31" i="48"/>
  <c r="AZ32" i="48"/>
  <c r="AZ34" i="48"/>
  <c r="AZ33" i="48"/>
  <c r="AT140" i="48"/>
  <c r="AU115" i="48"/>
  <c r="AT136" i="48"/>
  <c r="AT153" i="48" l="1"/>
  <c r="AT154" i="48"/>
  <c r="AU130" i="48"/>
  <c r="AU122" i="48"/>
  <c r="AU131" i="48"/>
  <c r="AU123" i="48"/>
  <c r="AU124" i="48"/>
  <c r="AU125" i="48"/>
  <c r="AU126" i="48"/>
  <c r="AU127" i="48"/>
  <c r="AU146" i="48"/>
  <c r="AU129" i="48"/>
  <c r="AU121" i="48"/>
  <c r="AU147" i="48"/>
  <c r="AU128" i="48"/>
  <c r="AU141" i="48"/>
  <c r="AU137" i="48"/>
  <c r="AU152" i="48" s="1"/>
  <c r="AU155" i="48" s="1"/>
  <c r="AT138" i="48"/>
  <c r="AT142" i="48"/>
  <c r="B229" i="76"/>
  <c r="B54" i="76"/>
  <c r="F52" i="76"/>
  <c r="Z52" i="76"/>
  <c r="J52" i="76"/>
  <c r="H52" i="76"/>
  <c r="L52" i="76"/>
  <c r="K52" i="76"/>
  <c r="X52" i="76" s="1"/>
  <c r="G52" i="76"/>
  <c r="V52" i="76" s="1"/>
  <c r="I52" i="76"/>
  <c r="W52" i="76" s="1"/>
  <c r="E52" i="76"/>
  <c r="U52" i="76" s="1"/>
  <c r="Y52" i="76"/>
  <c r="AT139" i="48"/>
  <c r="P53" i="76"/>
  <c r="T53" i="76"/>
  <c r="Q53" i="76"/>
  <c r="D53" i="76"/>
  <c r="R53" i="76"/>
  <c r="M53" i="76"/>
  <c r="O53" i="76"/>
  <c r="C53" i="76"/>
  <c r="S53" i="76"/>
  <c r="N53" i="76"/>
  <c r="AT143" i="48"/>
  <c r="AZ30" i="48"/>
  <c r="AV115" i="48"/>
  <c r="BA31" i="48"/>
  <c r="BA32" i="48"/>
  <c r="AU136" i="48"/>
  <c r="BA33" i="48"/>
  <c r="BA34" i="48"/>
  <c r="AU140" i="48"/>
  <c r="AU154" i="48" l="1"/>
  <c r="AU153" i="48"/>
  <c r="AV131" i="48"/>
  <c r="AV123" i="48"/>
  <c r="AV124" i="48"/>
  <c r="AV125" i="48"/>
  <c r="AV129" i="48"/>
  <c r="AV126" i="48"/>
  <c r="AV127" i="48"/>
  <c r="AV146" i="48"/>
  <c r="AV128" i="48"/>
  <c r="AV147" i="48"/>
  <c r="AV122" i="48"/>
  <c r="AV121" i="48"/>
  <c r="AV130" i="48"/>
  <c r="AV141" i="48"/>
  <c r="AV137" i="48"/>
  <c r="AV152" i="48" s="1"/>
  <c r="AV155" i="48" s="1"/>
  <c r="AU138" i="48"/>
  <c r="AU142" i="48"/>
  <c r="I53" i="76"/>
  <c r="W53" i="76" s="1"/>
  <c r="K53" i="76"/>
  <c r="X53" i="76" s="1"/>
  <c r="G53" i="76"/>
  <c r="V53" i="76" s="1"/>
  <c r="E53" i="76"/>
  <c r="U53" i="76" s="1"/>
  <c r="Y53" i="76"/>
  <c r="Q54" i="76"/>
  <c r="M54" i="76"/>
  <c r="T54" i="76"/>
  <c r="N54" i="76"/>
  <c r="O54" i="76"/>
  <c r="R54" i="76"/>
  <c r="P54" i="76"/>
  <c r="C54" i="76"/>
  <c r="S54" i="76"/>
  <c r="D54" i="76"/>
  <c r="H53" i="76"/>
  <c r="J53" i="76"/>
  <c r="F53" i="76"/>
  <c r="L53" i="76"/>
  <c r="Z53" i="76"/>
  <c r="B230" i="76"/>
  <c r="B55" i="76"/>
  <c r="BA30" i="48"/>
  <c r="AW115" i="48"/>
  <c r="AV140" i="48"/>
  <c r="AV136" i="48"/>
  <c r="BB31" i="48"/>
  <c r="BB33" i="48"/>
  <c r="BB34" i="48"/>
  <c r="BB32" i="48"/>
  <c r="AU139" i="48"/>
  <c r="AU143" i="48"/>
  <c r="AV153" i="48" l="1"/>
  <c r="AV154" i="48"/>
  <c r="AW124" i="48"/>
  <c r="AW125" i="48"/>
  <c r="AW126" i="48"/>
  <c r="AW127" i="48"/>
  <c r="AW146" i="48"/>
  <c r="AW128" i="48"/>
  <c r="AW147" i="48"/>
  <c r="AW129" i="48"/>
  <c r="AW121" i="48"/>
  <c r="AW130" i="48"/>
  <c r="AW123" i="48"/>
  <c r="AW131" i="48"/>
  <c r="AW122" i="48"/>
  <c r="AW137" i="48"/>
  <c r="AW152" i="48" s="1"/>
  <c r="AW155" i="48" s="1"/>
  <c r="AW141" i="48"/>
  <c r="AV138" i="48"/>
  <c r="AV142" i="48"/>
  <c r="AV139" i="48"/>
  <c r="AV143" i="48"/>
  <c r="L54" i="76"/>
  <c r="J54" i="76"/>
  <c r="F54" i="76"/>
  <c r="Z54" i="76"/>
  <c r="H54" i="76"/>
  <c r="D55" i="76"/>
  <c r="M55" i="76"/>
  <c r="P55" i="76"/>
  <c r="R55" i="76"/>
  <c r="C55" i="76"/>
  <c r="T55" i="76"/>
  <c r="O55" i="76"/>
  <c r="N55" i="76"/>
  <c r="Q55" i="76"/>
  <c r="S55" i="76"/>
  <c r="B231" i="76"/>
  <c r="B56" i="76"/>
  <c r="I54" i="76"/>
  <c r="W54" i="76" s="1"/>
  <c r="E54" i="76"/>
  <c r="U54" i="76" s="1"/>
  <c r="K54" i="76"/>
  <c r="X54" i="76" s="1"/>
  <c r="G54" i="76"/>
  <c r="V54" i="76" s="1"/>
  <c r="Y54" i="76"/>
  <c r="BB30" i="48"/>
  <c r="AX115" i="48"/>
  <c r="BC33" i="48"/>
  <c r="BC34" i="48"/>
  <c r="AW136" i="48"/>
  <c r="AW140" i="48"/>
  <c r="BC31" i="48"/>
  <c r="BC32" i="48"/>
  <c r="AW153" i="48" l="1"/>
  <c r="AW154" i="48"/>
  <c r="AX125" i="48"/>
  <c r="AX131" i="48"/>
  <c r="AX126" i="48"/>
  <c r="AX127" i="48"/>
  <c r="AX146" i="48"/>
  <c r="AX128" i="48"/>
  <c r="AX147" i="48"/>
  <c r="AX129" i="48"/>
  <c r="AX121" i="48"/>
  <c r="AX130" i="48"/>
  <c r="AX122" i="48"/>
  <c r="AX123" i="48"/>
  <c r="AX124" i="48"/>
  <c r="AX137" i="48"/>
  <c r="AX152" i="48" s="1"/>
  <c r="AX155" i="48" s="1"/>
  <c r="AX141" i="48"/>
  <c r="BC30" i="48"/>
  <c r="AW142" i="48"/>
  <c r="AW138" i="48"/>
  <c r="B232" i="76"/>
  <c r="B57" i="76"/>
  <c r="L55" i="76"/>
  <c r="H55" i="76"/>
  <c r="F55" i="76"/>
  <c r="Z55" i="76"/>
  <c r="J55" i="76"/>
  <c r="AW143" i="48"/>
  <c r="K55" i="76"/>
  <c r="X55" i="76" s="1"/>
  <c r="E55" i="76"/>
  <c r="U55" i="76" s="1"/>
  <c r="G55" i="76"/>
  <c r="V55" i="76" s="1"/>
  <c r="I55" i="76"/>
  <c r="W55" i="76" s="1"/>
  <c r="Y55" i="76"/>
  <c r="T56" i="76"/>
  <c r="M56" i="76"/>
  <c r="N56" i="76"/>
  <c r="P56" i="76"/>
  <c r="Q56" i="76"/>
  <c r="C56" i="76"/>
  <c r="R56" i="76"/>
  <c r="S56" i="76"/>
  <c r="O56" i="76"/>
  <c r="D56" i="76"/>
  <c r="AW139" i="48"/>
  <c r="AY115" i="48"/>
  <c r="BD32" i="48"/>
  <c r="BD33" i="48"/>
  <c r="BD34" i="48"/>
  <c r="AX140" i="48"/>
  <c r="BD31" i="48"/>
  <c r="AX136" i="48"/>
  <c r="AX153" i="48" l="1"/>
  <c r="AX154" i="48"/>
  <c r="AY126" i="48"/>
  <c r="AY127" i="48"/>
  <c r="AY146" i="48"/>
  <c r="AY128" i="48"/>
  <c r="AY147" i="48"/>
  <c r="AY129" i="48"/>
  <c r="AY121" i="48"/>
  <c r="AY130" i="48"/>
  <c r="AY122" i="48"/>
  <c r="AY131" i="48"/>
  <c r="AY123" i="48"/>
  <c r="AY124" i="48"/>
  <c r="AY125" i="48"/>
  <c r="AY137" i="48"/>
  <c r="AY152" i="48" s="1"/>
  <c r="AY155" i="48" s="1"/>
  <c r="AY141" i="48"/>
  <c r="AX138" i="48"/>
  <c r="AX142" i="48"/>
  <c r="L56" i="76"/>
  <c r="F56" i="76"/>
  <c r="H56" i="76"/>
  <c r="J56" i="76"/>
  <c r="Z56" i="76"/>
  <c r="K56" i="76"/>
  <c r="X56" i="76" s="1"/>
  <c r="E56" i="76"/>
  <c r="U56" i="76" s="1"/>
  <c r="I56" i="76"/>
  <c r="W56" i="76" s="1"/>
  <c r="G56" i="76"/>
  <c r="V56" i="76" s="1"/>
  <c r="Y56" i="76"/>
  <c r="N57" i="76"/>
  <c r="O57" i="76"/>
  <c r="Q57" i="76"/>
  <c r="R57" i="76"/>
  <c r="C57" i="76"/>
  <c r="D57" i="76"/>
  <c r="P57" i="76"/>
  <c r="T57" i="76"/>
  <c r="S57" i="76"/>
  <c r="M57" i="76"/>
  <c r="AX139" i="48"/>
  <c r="B233" i="76"/>
  <c r="B58" i="76"/>
  <c r="AX143" i="48"/>
  <c r="BD30" i="48"/>
  <c r="AY140" i="48"/>
  <c r="BE33" i="48"/>
  <c r="AZ115" i="48"/>
  <c r="BE34" i="48"/>
  <c r="AY136" i="48"/>
  <c r="BE31" i="48"/>
  <c r="BE32" i="48"/>
  <c r="AY153" i="48" l="1"/>
  <c r="AY154" i="48"/>
  <c r="AZ127" i="48"/>
  <c r="AZ146" i="48"/>
  <c r="AZ128" i="48"/>
  <c r="AZ147" i="48"/>
  <c r="AZ129" i="48"/>
  <c r="AZ121" i="48"/>
  <c r="AZ130" i="48"/>
  <c r="AZ122" i="48"/>
  <c r="AZ131" i="48"/>
  <c r="AZ123" i="48"/>
  <c r="AZ124" i="48"/>
  <c r="AZ126" i="48"/>
  <c r="AZ125" i="48"/>
  <c r="AZ141" i="48"/>
  <c r="AZ137" i="48"/>
  <c r="AZ152" i="48" s="1"/>
  <c r="AZ155" i="48" s="1"/>
  <c r="AY138" i="48"/>
  <c r="AY142" i="48"/>
  <c r="L57" i="76"/>
  <c r="F57" i="76"/>
  <c r="J57" i="76"/>
  <c r="H57" i="76"/>
  <c r="Z57" i="76"/>
  <c r="K57" i="76"/>
  <c r="X57" i="76" s="1"/>
  <c r="Y57" i="76"/>
  <c r="E57" i="76"/>
  <c r="U57" i="76" s="1"/>
  <c r="G57" i="76"/>
  <c r="V57" i="76" s="1"/>
  <c r="I57" i="76"/>
  <c r="W57" i="76" s="1"/>
  <c r="B234" i="76"/>
  <c r="B59" i="76"/>
  <c r="M58" i="76"/>
  <c r="Q58" i="76"/>
  <c r="N58" i="76"/>
  <c r="T58" i="76"/>
  <c r="O58" i="76"/>
  <c r="P58" i="76"/>
  <c r="D58" i="76"/>
  <c r="R58" i="76"/>
  <c r="C58" i="76"/>
  <c r="S58" i="76"/>
  <c r="AY143" i="48"/>
  <c r="AY139" i="48"/>
  <c r="BA115" i="48"/>
  <c r="BF31" i="48"/>
  <c r="BF32" i="48"/>
  <c r="BF33" i="48"/>
  <c r="AZ140" i="48"/>
  <c r="BF34" i="48"/>
  <c r="AZ136" i="48"/>
  <c r="BE30" i="48"/>
  <c r="AZ154" i="48" l="1"/>
  <c r="AZ153" i="48"/>
  <c r="BA128" i="48"/>
  <c r="BA147" i="48"/>
  <c r="BA129" i="48"/>
  <c r="BA121" i="48"/>
  <c r="BA130" i="48"/>
  <c r="BA122" i="48"/>
  <c r="BA131" i="48"/>
  <c r="BA123" i="48"/>
  <c r="BA124" i="48"/>
  <c r="BA125" i="48"/>
  <c r="BA146" i="48"/>
  <c r="BA127" i="48"/>
  <c r="BA126" i="48"/>
  <c r="BA141" i="48"/>
  <c r="BA137" i="48"/>
  <c r="BA152" i="48" s="1"/>
  <c r="BA155" i="48" s="1"/>
  <c r="AZ138" i="48"/>
  <c r="AZ142" i="48"/>
  <c r="AZ139" i="48"/>
  <c r="I58" i="76"/>
  <c r="W58" i="76" s="1"/>
  <c r="Y58" i="76"/>
  <c r="E58" i="76"/>
  <c r="U58" i="76" s="1"/>
  <c r="G58" i="76"/>
  <c r="V58" i="76" s="1"/>
  <c r="K58" i="76"/>
  <c r="X58" i="76" s="1"/>
  <c r="D59" i="76"/>
  <c r="T59" i="76"/>
  <c r="N59" i="76"/>
  <c r="M59" i="76"/>
  <c r="O59" i="76"/>
  <c r="R59" i="76"/>
  <c r="P59" i="76"/>
  <c r="Q59" i="76"/>
  <c r="C59" i="76"/>
  <c r="S59" i="76"/>
  <c r="F58" i="76"/>
  <c r="H58" i="76"/>
  <c r="J58" i="76"/>
  <c r="L58" i="76"/>
  <c r="Z58" i="76"/>
  <c r="B235" i="76"/>
  <c r="B60" i="76"/>
  <c r="BF30" i="48"/>
  <c r="BG34" i="48"/>
  <c r="BA136" i="48"/>
  <c r="BB115" i="48"/>
  <c r="BG32" i="48"/>
  <c r="BG33" i="48"/>
  <c r="BA140" i="48"/>
  <c r="BG31" i="48"/>
  <c r="AZ143" i="48"/>
  <c r="BA153" i="48" l="1"/>
  <c r="BA154" i="48"/>
  <c r="BB129" i="48"/>
  <c r="BB121" i="48"/>
  <c r="BB130" i="48"/>
  <c r="BB122" i="48"/>
  <c r="BB131" i="48"/>
  <c r="BB123" i="48"/>
  <c r="BB124" i="48"/>
  <c r="BB125" i="48"/>
  <c r="BB126" i="48"/>
  <c r="BB128" i="48"/>
  <c r="BB146" i="48"/>
  <c r="BB127" i="48"/>
  <c r="BB147" i="48"/>
  <c r="BB141" i="48"/>
  <c r="BB137" i="48"/>
  <c r="BB152" i="48" s="1"/>
  <c r="BB155" i="48" s="1"/>
  <c r="BA142" i="48"/>
  <c r="BA138" i="48"/>
  <c r="BA143" i="48"/>
  <c r="R60" i="76"/>
  <c r="T60" i="76"/>
  <c r="M60" i="76"/>
  <c r="O60" i="76"/>
  <c r="C60" i="76"/>
  <c r="Q60" i="76"/>
  <c r="D60" i="76"/>
  <c r="N60" i="76"/>
  <c r="S60" i="76"/>
  <c r="P60" i="76"/>
  <c r="G59" i="76"/>
  <c r="V59" i="76" s="1"/>
  <c r="K59" i="76"/>
  <c r="X59" i="76" s="1"/>
  <c r="Y59" i="76"/>
  <c r="I59" i="76"/>
  <c r="W59" i="76" s="1"/>
  <c r="E59" i="76"/>
  <c r="U59" i="76" s="1"/>
  <c r="L59" i="76"/>
  <c r="J59" i="76"/>
  <c r="F59" i="76"/>
  <c r="H59" i="76"/>
  <c r="Z59" i="76"/>
  <c r="BA139" i="48"/>
  <c r="B236" i="76"/>
  <c r="B61" i="76"/>
  <c r="BG30" i="48"/>
  <c r="BH32" i="48"/>
  <c r="BH33" i="48"/>
  <c r="BB140" i="48"/>
  <c r="BH34" i="48"/>
  <c r="BC115" i="48"/>
  <c r="BB136" i="48"/>
  <c r="BH31" i="48"/>
  <c r="BB153" i="48" l="1"/>
  <c r="BB154" i="48"/>
  <c r="BC130" i="48"/>
  <c r="BC122" i="48"/>
  <c r="BC128" i="48"/>
  <c r="BC131" i="48"/>
  <c r="BC123" i="48"/>
  <c r="BC124" i="48"/>
  <c r="BC125" i="48"/>
  <c r="BC126" i="48"/>
  <c r="BC127" i="48"/>
  <c r="BC146" i="48"/>
  <c r="BC129" i="48"/>
  <c r="BC121" i="48"/>
  <c r="BC147" i="48"/>
  <c r="BC141" i="48"/>
  <c r="BC137" i="48"/>
  <c r="BC152" i="48" s="1"/>
  <c r="BC155" i="48" s="1"/>
  <c r="BH30" i="48"/>
  <c r="BB142" i="48"/>
  <c r="BB138" i="48"/>
  <c r="BB139" i="48"/>
  <c r="F60" i="76"/>
  <c r="Z60" i="76"/>
  <c r="H60" i="76"/>
  <c r="L60" i="76"/>
  <c r="J60" i="76"/>
  <c r="B237" i="76"/>
  <c r="B62" i="76"/>
  <c r="G60" i="76"/>
  <c r="V60" i="76" s="1"/>
  <c r="I60" i="76"/>
  <c r="W60" i="76" s="1"/>
  <c r="E60" i="76"/>
  <c r="U60" i="76" s="1"/>
  <c r="K60" i="76"/>
  <c r="X60" i="76" s="1"/>
  <c r="Y60" i="76"/>
  <c r="BB143" i="48"/>
  <c r="C61" i="76"/>
  <c r="S61" i="76"/>
  <c r="T61" i="76"/>
  <c r="Q61" i="76"/>
  <c r="M61" i="76"/>
  <c r="N61" i="76"/>
  <c r="D61" i="76"/>
  <c r="P61" i="76"/>
  <c r="O61" i="76"/>
  <c r="R61" i="76"/>
  <c r="BD115" i="48"/>
  <c r="BI31" i="48"/>
  <c r="BC136" i="48"/>
  <c r="BI34" i="48"/>
  <c r="BI32" i="48"/>
  <c r="BC140" i="48"/>
  <c r="BI33" i="48"/>
  <c r="BC154" i="48" l="1"/>
  <c r="BC153" i="48"/>
  <c r="BD131" i="48"/>
  <c r="BD123" i="48"/>
  <c r="BD129" i="48"/>
  <c r="BD124" i="48"/>
  <c r="BD125" i="48"/>
  <c r="BD126" i="48"/>
  <c r="BD127" i="48"/>
  <c r="BD146" i="48"/>
  <c r="BD128" i="48"/>
  <c r="BD147" i="48"/>
  <c r="BD130" i="48"/>
  <c r="BD122" i="48"/>
  <c r="BD121" i="48"/>
  <c r="BD141" i="48"/>
  <c r="BD137" i="48"/>
  <c r="BD152" i="48" s="1"/>
  <c r="BD155" i="48" s="1"/>
  <c r="BC142" i="48"/>
  <c r="BC138" i="48"/>
  <c r="Q62" i="76"/>
  <c r="M62" i="76"/>
  <c r="C62" i="76"/>
  <c r="S62" i="76"/>
  <c r="T62" i="76"/>
  <c r="R62" i="76"/>
  <c r="P62" i="76"/>
  <c r="D62" i="76"/>
  <c r="N62" i="76"/>
  <c r="O62" i="76"/>
  <c r="E61" i="76"/>
  <c r="U61" i="76" s="1"/>
  <c r="I61" i="76"/>
  <c r="W61" i="76" s="1"/>
  <c r="K61" i="76"/>
  <c r="X61" i="76" s="1"/>
  <c r="G61" i="76"/>
  <c r="V61" i="76" s="1"/>
  <c r="Y61" i="76"/>
  <c r="B238" i="76"/>
  <c r="B63" i="76"/>
  <c r="J61" i="76"/>
  <c r="L61" i="76"/>
  <c r="Z61" i="76"/>
  <c r="H61" i="76"/>
  <c r="F61" i="76"/>
  <c r="BC139" i="48"/>
  <c r="BI30" i="48"/>
  <c r="BC143" i="48"/>
  <c r="BD136" i="48"/>
  <c r="BJ32" i="48"/>
  <c r="BJ33" i="48"/>
  <c r="BD140" i="48"/>
  <c r="BJ34" i="48"/>
  <c r="BJ31" i="48"/>
  <c r="BD153" i="48" l="1"/>
  <c r="BD154" i="48"/>
  <c r="BD138" i="48"/>
  <c r="BD142" i="48"/>
  <c r="B239" i="76"/>
  <c r="B64" i="76"/>
  <c r="J62" i="76"/>
  <c r="L62" i="76"/>
  <c r="F62" i="76"/>
  <c r="H62" i="76"/>
  <c r="Z62" i="76"/>
  <c r="I62" i="76"/>
  <c r="W62" i="76" s="1"/>
  <c r="K62" i="76"/>
  <c r="X62" i="76" s="1"/>
  <c r="G62" i="76"/>
  <c r="V62" i="76" s="1"/>
  <c r="E62" i="76"/>
  <c r="U62" i="76" s="1"/>
  <c r="Y62" i="76"/>
  <c r="D63" i="76"/>
  <c r="T63" i="76"/>
  <c r="M63" i="76"/>
  <c r="O63" i="76"/>
  <c r="P63" i="76"/>
  <c r="R63" i="76"/>
  <c r="Q63" i="76"/>
  <c r="C63" i="76"/>
  <c r="N63" i="76"/>
  <c r="S63" i="76"/>
  <c r="BD139" i="48"/>
  <c r="BJ30" i="48"/>
  <c r="BD143" i="48"/>
  <c r="H63" i="76" l="1"/>
  <c r="F63" i="76"/>
  <c r="J63" i="76"/>
  <c r="L63" i="76"/>
  <c r="Z63" i="76"/>
  <c r="I63" i="76"/>
  <c r="W63" i="76" s="1"/>
  <c r="Y63" i="76"/>
  <c r="K63" i="76"/>
  <c r="X63" i="76" s="1"/>
  <c r="E63" i="76"/>
  <c r="U63" i="76" s="1"/>
  <c r="G63" i="76"/>
  <c r="V63" i="76" s="1"/>
  <c r="C64" i="76"/>
  <c r="O64" i="76"/>
  <c r="S64" i="76"/>
  <c r="R64" i="76"/>
  <c r="D64" i="76"/>
  <c r="N64" i="76"/>
  <c r="P64" i="76"/>
  <c r="Q64" i="76"/>
  <c r="T64" i="76"/>
  <c r="M64" i="76"/>
  <c r="B240" i="76"/>
  <c r="B65" i="76"/>
  <c r="T68" i="48" s="1"/>
  <c r="U68" i="48" s="1"/>
  <c r="V68" i="48" s="1"/>
  <c r="W68" i="48" s="1"/>
  <c r="X68" i="48" s="1"/>
  <c r="Y68" i="48" s="1"/>
  <c r="Z68" i="48" s="1"/>
  <c r="AA68" i="48" s="1"/>
  <c r="AB68" i="48" s="1"/>
  <c r="AC68" i="48" s="1"/>
  <c r="AD68" i="48" s="1"/>
  <c r="AE68" i="48" s="1"/>
  <c r="AF68" i="48" l="1"/>
  <c r="R65" i="76"/>
  <c r="M65" i="76"/>
  <c r="N65" i="76"/>
  <c r="O65" i="76"/>
  <c r="Q65" i="76"/>
  <c r="C65" i="76"/>
  <c r="D65" i="76"/>
  <c r="P65" i="76"/>
  <c r="S65" i="76"/>
  <c r="T65" i="76"/>
  <c r="M85" i="48"/>
  <c r="M50" i="48"/>
  <c r="M29" i="48"/>
  <c r="N29" i="48" s="1"/>
  <c r="O29" i="48" s="1"/>
  <c r="P29" i="48" s="1"/>
  <c r="Q29" i="48" s="1"/>
  <c r="R29" i="48" s="1"/>
  <c r="S29" i="48" s="1"/>
  <c r="T29" i="48" s="1"/>
  <c r="U29" i="48" s="1"/>
  <c r="V29" i="48" s="1"/>
  <c r="W29" i="48" s="1"/>
  <c r="X29" i="48" s="1"/>
  <c r="Y29" i="48" s="1"/>
  <c r="Z29" i="48" s="1"/>
  <c r="AA29" i="48" s="1"/>
  <c r="AB29" i="48" s="1"/>
  <c r="AC29" i="48" s="1"/>
  <c r="AD29" i="48" s="1"/>
  <c r="AE29" i="48" s="1"/>
  <c r="AF29" i="48" s="1"/>
  <c r="AG29" i="48" s="1"/>
  <c r="AH29" i="48" s="1"/>
  <c r="AI29" i="48" s="1"/>
  <c r="AJ29" i="48" s="1"/>
  <c r="AK29" i="48" s="1"/>
  <c r="AL29" i="48" s="1"/>
  <c r="AM29" i="48" s="1"/>
  <c r="AN29" i="48" s="1"/>
  <c r="AO29" i="48" s="1"/>
  <c r="AP29" i="48" s="1"/>
  <c r="AQ29" i="48" s="1"/>
  <c r="AR29" i="48" s="1"/>
  <c r="AS29" i="48" s="1"/>
  <c r="AT29" i="48" s="1"/>
  <c r="AU29" i="48" s="1"/>
  <c r="AV29" i="48" s="1"/>
  <c r="AW29" i="48" s="1"/>
  <c r="AX29" i="48" s="1"/>
  <c r="AY29" i="48" s="1"/>
  <c r="AZ29" i="48" s="1"/>
  <c r="BA29" i="48" s="1"/>
  <c r="BB29" i="48" s="1"/>
  <c r="BC29" i="48" s="1"/>
  <c r="BD29" i="48" s="1"/>
  <c r="BE29" i="48" s="1"/>
  <c r="BF29" i="48" s="1"/>
  <c r="BG29" i="48" s="1"/>
  <c r="BH29" i="48" s="1"/>
  <c r="BI29" i="48" s="1"/>
  <c r="BJ29" i="48" s="1"/>
  <c r="BK29" i="48" s="1"/>
  <c r="F64" i="76"/>
  <c r="L64" i="76"/>
  <c r="H64" i="76"/>
  <c r="J64" i="76"/>
  <c r="Z64" i="76"/>
  <c r="Y64" i="76"/>
  <c r="I64" i="76"/>
  <c r="W64" i="76" s="1"/>
  <c r="G64" i="76"/>
  <c r="V64" i="76" s="1"/>
  <c r="K64" i="76"/>
  <c r="X64" i="76" s="1"/>
  <c r="E64" i="76"/>
  <c r="U64" i="76" s="1"/>
  <c r="D71" i="47" l="1"/>
  <c r="D72" i="47"/>
  <c r="D43" i="47"/>
  <c r="AG68" i="48"/>
  <c r="AE72" i="47"/>
  <c r="R72" i="47"/>
  <c r="AC72" i="47"/>
  <c r="BC72" i="47"/>
  <c r="AS72" i="47"/>
  <c r="AK72" i="47"/>
  <c r="L72" i="47"/>
  <c r="W72" i="47"/>
  <c r="AF72" i="47"/>
  <c r="AI72" i="47"/>
  <c r="O72" i="47"/>
  <c r="P72" i="47"/>
  <c r="J72" i="47"/>
  <c r="AY72" i="47"/>
  <c r="AX72" i="47"/>
  <c r="AN72" i="47"/>
  <c r="AQ72" i="47"/>
  <c r="Q72" i="47"/>
  <c r="X72" i="47"/>
  <c r="AA72" i="47"/>
  <c r="AB72" i="47"/>
  <c r="AW72" i="47"/>
  <c r="AH72" i="47"/>
  <c r="AD72" i="47"/>
  <c r="AM72" i="47"/>
  <c r="BA72" i="47"/>
  <c r="AJ72" i="47"/>
  <c r="AR72" i="47"/>
  <c r="I72" i="47"/>
  <c r="BD72" i="47"/>
  <c r="M72" i="47"/>
  <c r="U72" i="47"/>
  <c r="E72" i="47"/>
  <c r="AL72" i="47"/>
  <c r="T72" i="47"/>
  <c r="Z72" i="47"/>
  <c r="AU72" i="47"/>
  <c r="AV72" i="47"/>
  <c r="K72" i="47"/>
  <c r="AT72" i="47"/>
  <c r="N72" i="47"/>
  <c r="AG72" i="47"/>
  <c r="AP72" i="47"/>
  <c r="V72" i="47"/>
  <c r="AO72" i="47"/>
  <c r="Y72" i="47"/>
  <c r="S72" i="47"/>
  <c r="BB72" i="47"/>
  <c r="AZ72" i="47"/>
  <c r="F72" i="47"/>
  <c r="G72" i="47"/>
  <c r="H72" i="47"/>
  <c r="H65" i="76"/>
  <c r="Z65" i="76"/>
  <c r="L65" i="76"/>
  <c r="F65" i="76"/>
  <c r="J65" i="76"/>
  <c r="N43" i="47"/>
  <c r="AU43" i="47"/>
  <c r="Y43" i="47"/>
  <c r="S43" i="47"/>
  <c r="X43" i="47"/>
  <c r="AE43" i="47"/>
  <c r="T43" i="47"/>
  <c r="AY43" i="47"/>
  <c r="P43" i="47"/>
  <c r="AV43" i="47"/>
  <c r="AQ43" i="47"/>
  <c r="AW43" i="47"/>
  <c r="BC43" i="47"/>
  <c r="AJ43" i="47"/>
  <c r="AL43" i="47"/>
  <c r="J43" i="47"/>
  <c r="AN43" i="47"/>
  <c r="AS43" i="47"/>
  <c r="V43" i="47"/>
  <c r="E43" i="47"/>
  <c r="AA43" i="47"/>
  <c r="AO43" i="47"/>
  <c r="Z43" i="47"/>
  <c r="AI43" i="47"/>
  <c r="G43" i="47"/>
  <c r="AX43" i="47"/>
  <c r="BB43" i="47"/>
  <c r="AT43" i="47"/>
  <c r="AC43" i="47"/>
  <c r="AF43" i="47"/>
  <c r="I43" i="47"/>
  <c r="AM43" i="47"/>
  <c r="AB43" i="47"/>
  <c r="AR43" i="47"/>
  <c r="K43" i="47"/>
  <c r="U43" i="47"/>
  <c r="BD43" i="47"/>
  <c r="Q43" i="47"/>
  <c r="AG43" i="47"/>
  <c r="F43" i="47"/>
  <c r="W43" i="47"/>
  <c r="O43" i="47"/>
  <c r="L43" i="47"/>
  <c r="BA43" i="47"/>
  <c r="M43" i="47"/>
  <c r="AK43" i="47"/>
  <c r="AP43" i="47"/>
  <c r="R43" i="47"/>
  <c r="AH43" i="47"/>
  <c r="AD43" i="47"/>
  <c r="AZ43" i="47"/>
  <c r="H43" i="47"/>
  <c r="E65" i="76"/>
  <c r="U65" i="76" s="1"/>
  <c r="G65" i="76"/>
  <c r="V65" i="76" s="1"/>
  <c r="I65" i="76"/>
  <c r="W65" i="76" s="1"/>
  <c r="K65" i="76"/>
  <c r="X65" i="76" s="1"/>
  <c r="Y65" i="76"/>
  <c r="N50" i="48"/>
  <c r="M55" i="48"/>
  <c r="M53" i="48"/>
  <c r="M54" i="48"/>
  <c r="N85" i="48"/>
  <c r="AA71" i="47"/>
  <c r="AW71" i="47"/>
  <c r="H71" i="47"/>
  <c r="AH71" i="47"/>
  <c r="N71" i="47"/>
  <c r="AL71" i="47"/>
  <c r="V71" i="47"/>
  <c r="BD71" i="47"/>
  <c r="AB71" i="47"/>
  <c r="L71" i="47"/>
  <c r="AV71" i="47"/>
  <c r="R71" i="47"/>
  <c r="AU71" i="47"/>
  <c r="X71" i="47"/>
  <c r="AY71" i="47"/>
  <c r="M71" i="47"/>
  <c r="AX71" i="47"/>
  <c r="AP71" i="47"/>
  <c r="I71" i="47"/>
  <c r="AJ71" i="47"/>
  <c r="AT71" i="47"/>
  <c r="P71" i="47"/>
  <c r="BC71" i="47"/>
  <c r="J71" i="47"/>
  <c r="AR71" i="47"/>
  <c r="AZ71" i="47"/>
  <c r="W71" i="47"/>
  <c r="AS71" i="47"/>
  <c r="O71" i="47"/>
  <c r="AK71" i="47"/>
  <c r="T71" i="47"/>
  <c r="AF71" i="47"/>
  <c r="S71" i="47"/>
  <c r="U71" i="47"/>
  <c r="Z71" i="47"/>
  <c r="BB71" i="47"/>
  <c r="Q71" i="47"/>
  <c r="AC71" i="47"/>
  <c r="AD71" i="47"/>
  <c r="AE71" i="47"/>
  <c r="AO71" i="47"/>
  <c r="AG71" i="47"/>
  <c r="AN71" i="47"/>
  <c r="BA71" i="47"/>
  <c r="AQ71" i="47"/>
  <c r="AM71" i="47"/>
  <c r="Y71" i="47"/>
  <c r="K71" i="47"/>
  <c r="AI71" i="47"/>
  <c r="E71" i="47"/>
  <c r="F71" i="47"/>
  <c r="G71" i="47"/>
  <c r="D85" i="47" l="1"/>
  <c r="D60" i="47"/>
  <c r="D65" i="47" s="1"/>
  <c r="D53" i="47" s="1"/>
  <c r="D46" i="47"/>
  <c r="D59" i="47"/>
  <c r="D64" i="47" s="1"/>
  <c r="D44" i="47"/>
  <c r="D90" i="47" s="1"/>
  <c r="D58" i="47"/>
  <c r="D62" i="47" s="1"/>
  <c r="D50" i="47" s="1"/>
  <c r="D47" i="47"/>
  <c r="D57" i="47"/>
  <c r="D61" i="47" s="1"/>
  <c r="D49" i="47" s="1"/>
  <c r="D48" i="47"/>
  <c r="D96" i="47" s="1"/>
  <c r="D99" i="47" s="1"/>
  <c r="D45" i="47"/>
  <c r="D95" i="47" s="1"/>
  <c r="D101" i="47" s="1"/>
  <c r="AH68" i="48"/>
  <c r="G85" i="47"/>
  <c r="E85" i="47"/>
  <c r="J85" i="47"/>
  <c r="F85" i="47"/>
  <c r="BH43" i="47" a="1"/>
  <c r="BH43" i="47" s="1"/>
  <c r="BF43" i="47"/>
  <c r="F100" i="48" s="1"/>
  <c r="AY59" i="47"/>
  <c r="AY64" i="47" s="1"/>
  <c r="J59" i="47"/>
  <c r="P59" i="47"/>
  <c r="AO59" i="47"/>
  <c r="AO64" i="47" s="1"/>
  <c r="M59" i="47"/>
  <c r="Z59" i="47"/>
  <c r="Z64" i="47" s="1"/>
  <c r="AU59" i="47"/>
  <c r="AU64" i="47" s="1"/>
  <c r="BA59" i="47"/>
  <c r="BA64" i="47" s="1"/>
  <c r="AC59" i="47"/>
  <c r="AC64" i="47" s="1"/>
  <c r="K59" i="47"/>
  <c r="N59" i="47"/>
  <c r="AK59" i="47"/>
  <c r="AK64" i="47" s="1"/>
  <c r="V59" i="47"/>
  <c r="AB59" i="47"/>
  <c r="AB64" i="47" s="1"/>
  <c r="AR59" i="47"/>
  <c r="AR64" i="47" s="1"/>
  <c r="AQ59" i="47"/>
  <c r="AQ64" i="47" s="1"/>
  <c r="AZ59" i="47"/>
  <c r="AZ64" i="47" s="1"/>
  <c r="X59" i="47"/>
  <c r="Y59" i="47"/>
  <c r="Y64" i="47" s="1"/>
  <c r="L59" i="47"/>
  <c r="I59" i="47"/>
  <c r="AE59" i="47"/>
  <c r="AE64" i="47" s="1"/>
  <c r="BC59" i="47"/>
  <c r="BC64" i="47" s="1"/>
  <c r="BD59" i="47"/>
  <c r="BD64" i="47" s="1"/>
  <c r="AH59" i="47"/>
  <c r="AH64" i="47" s="1"/>
  <c r="BB59" i="47"/>
  <c r="BB64" i="47" s="1"/>
  <c r="T59" i="47"/>
  <c r="AD59" i="47"/>
  <c r="AD64" i="47" s="1"/>
  <c r="W59" i="47"/>
  <c r="AX59" i="47"/>
  <c r="AX64" i="47" s="1"/>
  <c r="Q59" i="47"/>
  <c r="AG59" i="47"/>
  <c r="AG64" i="47" s="1"/>
  <c r="R59" i="47"/>
  <c r="O59" i="47"/>
  <c r="AV59" i="47"/>
  <c r="AV64" i="47" s="1"/>
  <c r="AM59" i="47"/>
  <c r="AM64" i="47" s="1"/>
  <c r="AF59" i="47"/>
  <c r="AF64" i="47" s="1"/>
  <c r="AW59" i="47"/>
  <c r="AW64" i="47" s="1"/>
  <c r="AS59" i="47"/>
  <c r="AS64" i="47" s="1"/>
  <c r="AT59" i="47"/>
  <c r="AT64" i="47" s="1"/>
  <c r="AI59" i="47"/>
  <c r="AI64" i="47" s="1"/>
  <c r="AP59" i="47"/>
  <c r="AP64" i="47" s="1"/>
  <c r="H59" i="47"/>
  <c r="AL59" i="47"/>
  <c r="AL64" i="47" s="1"/>
  <c r="AA59" i="47"/>
  <c r="AA64" i="47" s="1"/>
  <c r="S59" i="47"/>
  <c r="U59" i="47"/>
  <c r="AJ59" i="47"/>
  <c r="AJ64" i="47" s="1"/>
  <c r="AN59" i="47"/>
  <c r="AN64" i="47" s="1"/>
  <c r="E59" i="47"/>
  <c r="F59" i="47"/>
  <c r="G59" i="47"/>
  <c r="P44" i="47"/>
  <c r="AO44" i="47"/>
  <c r="AF44" i="47"/>
  <c r="X44" i="47"/>
  <c r="AE31" i="48" s="1"/>
  <c r="T44" i="47"/>
  <c r="AA31" i="48" s="1"/>
  <c r="J44" i="47"/>
  <c r="U44" i="47"/>
  <c r="AB31" i="48" s="1"/>
  <c r="I44" i="47"/>
  <c r="AE44" i="47"/>
  <c r="AV44" i="47"/>
  <c r="BD44" i="47"/>
  <c r="AP44" i="47"/>
  <c r="AA44" i="47"/>
  <c r="AL44" i="47"/>
  <c r="AN44" i="47"/>
  <c r="AH44" i="47"/>
  <c r="AS44" i="47"/>
  <c r="AI44" i="47"/>
  <c r="AY44" i="47"/>
  <c r="AZ44" i="47"/>
  <c r="R44" i="47"/>
  <c r="Y31" i="48" s="1"/>
  <c r="S44" i="47"/>
  <c r="Z31" i="48" s="1"/>
  <c r="AC44" i="47"/>
  <c r="AQ44" i="47"/>
  <c r="AX44" i="47"/>
  <c r="M44" i="47"/>
  <c r="Z44" i="47"/>
  <c r="N44" i="47"/>
  <c r="W44" i="47"/>
  <c r="AD31" i="48" s="1"/>
  <c r="AM44" i="47"/>
  <c r="AT44" i="47"/>
  <c r="Y44" i="47"/>
  <c r="Q44" i="47"/>
  <c r="X31" i="48" s="1"/>
  <c r="BB44" i="47"/>
  <c r="L44" i="47"/>
  <c r="AJ44" i="47"/>
  <c r="AR44" i="47"/>
  <c r="AD44" i="47"/>
  <c r="AK44" i="47"/>
  <c r="AU44" i="47"/>
  <c r="BA44" i="47"/>
  <c r="BC44" i="47"/>
  <c r="AB44" i="47"/>
  <c r="V44" i="47"/>
  <c r="AC31" i="48" s="1"/>
  <c r="O44" i="47"/>
  <c r="AW44" i="47"/>
  <c r="AG44" i="47"/>
  <c r="K44" i="47"/>
  <c r="E44" i="47"/>
  <c r="F44" i="47"/>
  <c r="H44" i="47"/>
  <c r="G44" i="47"/>
  <c r="U58" i="47"/>
  <c r="U62" i="47" s="1"/>
  <c r="AO58" i="47"/>
  <c r="AO62" i="47" s="1"/>
  <c r="AX58" i="47"/>
  <c r="AX62" i="47" s="1"/>
  <c r="AA58" i="47"/>
  <c r="AA62" i="47" s="1"/>
  <c r="AM58" i="47"/>
  <c r="AM62" i="47" s="1"/>
  <c r="AE58" i="47"/>
  <c r="AE62" i="47" s="1"/>
  <c r="AD58" i="47"/>
  <c r="AD62" i="47" s="1"/>
  <c r="AW58" i="47"/>
  <c r="AW62" i="47" s="1"/>
  <c r="AS58" i="47"/>
  <c r="AS62" i="47" s="1"/>
  <c r="Q58" i="47"/>
  <c r="Q62" i="47" s="1"/>
  <c r="Y58" i="47"/>
  <c r="Y62" i="47" s="1"/>
  <c r="AK58" i="47"/>
  <c r="AK62" i="47" s="1"/>
  <c r="AH58" i="47"/>
  <c r="AH62" i="47" s="1"/>
  <c r="AJ58" i="47"/>
  <c r="AJ62" i="47" s="1"/>
  <c r="AR58" i="47"/>
  <c r="AR62" i="47" s="1"/>
  <c r="AZ58" i="47"/>
  <c r="AZ62" i="47" s="1"/>
  <c r="W58" i="47"/>
  <c r="W62" i="47" s="1"/>
  <c r="S58" i="47"/>
  <c r="S62" i="47" s="1"/>
  <c r="AL58" i="47"/>
  <c r="AL62" i="47" s="1"/>
  <c r="AU58" i="47"/>
  <c r="AU62" i="47" s="1"/>
  <c r="P58" i="47"/>
  <c r="P62" i="47" s="1"/>
  <c r="AT58" i="47"/>
  <c r="AT62" i="47" s="1"/>
  <c r="AP58" i="47"/>
  <c r="AP62" i="47" s="1"/>
  <c r="AV58" i="47"/>
  <c r="AV62" i="47" s="1"/>
  <c r="H58" i="47"/>
  <c r="H62" i="47" s="1"/>
  <c r="N58" i="47"/>
  <c r="N62" i="47" s="1"/>
  <c r="X58" i="47"/>
  <c r="X62" i="47" s="1"/>
  <c r="BD58" i="47"/>
  <c r="BD62" i="47" s="1"/>
  <c r="BB58" i="47"/>
  <c r="BB62" i="47" s="1"/>
  <c r="BA58" i="47"/>
  <c r="BA62" i="47" s="1"/>
  <c r="J58" i="47"/>
  <c r="J62" i="47" s="1"/>
  <c r="L58" i="47"/>
  <c r="L62" i="47" s="1"/>
  <c r="M58" i="47"/>
  <c r="M62" i="47" s="1"/>
  <c r="AC58" i="47"/>
  <c r="AC62" i="47" s="1"/>
  <c r="AQ58" i="47"/>
  <c r="AQ62" i="47" s="1"/>
  <c r="AY58" i="47"/>
  <c r="AY62" i="47" s="1"/>
  <c r="Z58" i="47"/>
  <c r="Z62" i="47" s="1"/>
  <c r="BC58" i="47"/>
  <c r="BC62" i="47" s="1"/>
  <c r="AF58" i="47"/>
  <c r="AF62" i="47" s="1"/>
  <c r="AN58" i="47"/>
  <c r="AN62" i="47" s="1"/>
  <c r="K58" i="47"/>
  <c r="K62" i="47" s="1"/>
  <c r="AB58" i="47"/>
  <c r="AB62" i="47" s="1"/>
  <c r="V58" i="47"/>
  <c r="V62" i="47" s="1"/>
  <c r="AG58" i="47"/>
  <c r="AG62" i="47" s="1"/>
  <c r="AI58" i="47"/>
  <c r="AI62" i="47" s="1"/>
  <c r="R58" i="47"/>
  <c r="R62" i="47" s="1"/>
  <c r="O58" i="47"/>
  <c r="O62" i="47" s="1"/>
  <c r="T58" i="47"/>
  <c r="T62" i="47" s="1"/>
  <c r="E58" i="47"/>
  <c r="E62" i="47" s="1"/>
  <c r="I58" i="47"/>
  <c r="I62" i="47" s="1"/>
  <c r="F58" i="47"/>
  <c r="F62" i="47" s="1"/>
  <c r="G58" i="47"/>
  <c r="G62" i="47" s="1"/>
  <c r="S47" i="47"/>
  <c r="AJ47" i="47"/>
  <c r="AL74" i="47" s="1"/>
  <c r="AI47" i="47"/>
  <c r="AK74" i="47" s="1"/>
  <c r="V47" i="47"/>
  <c r="AL47" i="47"/>
  <c r="AN74" i="47" s="1"/>
  <c r="AH47" i="47"/>
  <c r="AJ74" i="47" s="1"/>
  <c r="AW47" i="47"/>
  <c r="AY74" i="47" s="1"/>
  <c r="X47" i="47"/>
  <c r="M47" i="47"/>
  <c r="O74" i="47" s="1"/>
  <c r="AV47" i="47"/>
  <c r="AX74" i="47" s="1"/>
  <c r="AZ47" i="47"/>
  <c r="BB74" i="47" s="1"/>
  <c r="AT47" i="47"/>
  <c r="AV74" i="47" s="1"/>
  <c r="Y47" i="47"/>
  <c r="AA74" i="47" s="1"/>
  <c r="BC47" i="47"/>
  <c r="L47" i="47"/>
  <c r="N74" i="47" s="1"/>
  <c r="BA47" i="47"/>
  <c r="BC74" i="47" s="1"/>
  <c r="AC47" i="47"/>
  <c r="AE74" i="47" s="1"/>
  <c r="P47" i="47"/>
  <c r="R74" i="47" s="1"/>
  <c r="AQ47" i="47"/>
  <c r="AS74" i="47" s="1"/>
  <c r="AY47" i="47"/>
  <c r="BA74" i="47" s="1"/>
  <c r="O47" i="47"/>
  <c r="Q74" i="47" s="1"/>
  <c r="AR47" i="47"/>
  <c r="AT74" i="47" s="1"/>
  <c r="AA47" i="47"/>
  <c r="AC74" i="47" s="1"/>
  <c r="Z47" i="47"/>
  <c r="AB74" i="47" s="1"/>
  <c r="R47" i="47"/>
  <c r="AE47" i="47"/>
  <c r="AG74" i="47" s="1"/>
  <c r="AK47" i="47"/>
  <c r="AM74" i="47" s="1"/>
  <c r="BB47" i="47"/>
  <c r="BD74" i="47" s="1"/>
  <c r="AG47" i="47"/>
  <c r="AI74" i="47" s="1"/>
  <c r="K47" i="47"/>
  <c r="M74" i="47" s="1"/>
  <c r="W47" i="47"/>
  <c r="AF47" i="47"/>
  <c r="AH74" i="47" s="1"/>
  <c r="N47" i="47"/>
  <c r="P74" i="47" s="1"/>
  <c r="AN47" i="47"/>
  <c r="AP74" i="47" s="1"/>
  <c r="AU47" i="47"/>
  <c r="AW74" i="47" s="1"/>
  <c r="AP47" i="47"/>
  <c r="AR74" i="47" s="1"/>
  <c r="AO47" i="47"/>
  <c r="AQ74" i="47" s="1"/>
  <c r="T47" i="47"/>
  <c r="AS47" i="47"/>
  <c r="AU74" i="47" s="1"/>
  <c r="AD47" i="47"/>
  <c r="AF74" i="47" s="1"/>
  <c r="AB47" i="47"/>
  <c r="AD74" i="47" s="1"/>
  <c r="BD47" i="47"/>
  <c r="AX47" i="47"/>
  <c r="AZ74" i="47" s="1"/>
  <c r="J47" i="47"/>
  <c r="L74" i="47" s="1"/>
  <c r="AM47" i="47"/>
  <c r="AO74" i="47" s="1"/>
  <c r="U47" i="47"/>
  <c r="Q47" i="47"/>
  <c r="E47" i="47"/>
  <c r="F47" i="47"/>
  <c r="G47" i="47"/>
  <c r="H47" i="47"/>
  <c r="I47" i="47"/>
  <c r="AU57" i="47"/>
  <c r="AU61" i="47" s="1"/>
  <c r="Z57" i="47"/>
  <c r="Z61" i="47" s="1"/>
  <c r="X57" i="47"/>
  <c r="X61" i="47" s="1"/>
  <c r="Y57" i="47"/>
  <c r="Y61" i="47" s="1"/>
  <c r="S57" i="47"/>
  <c r="S61" i="47" s="1"/>
  <c r="J57" i="47"/>
  <c r="J61" i="47" s="1"/>
  <c r="K57" i="47"/>
  <c r="K61" i="47" s="1"/>
  <c r="AS57" i="47"/>
  <c r="AS61" i="47" s="1"/>
  <c r="AM57" i="47"/>
  <c r="AM61" i="47" s="1"/>
  <c r="R57" i="47"/>
  <c r="R61" i="47" s="1"/>
  <c r="S49" i="47" s="1"/>
  <c r="I57" i="47"/>
  <c r="I61" i="47" s="1"/>
  <c r="AH57" i="47"/>
  <c r="AH61" i="47" s="1"/>
  <c r="AR57" i="47"/>
  <c r="AR61" i="47" s="1"/>
  <c r="AS49" i="47" s="1"/>
  <c r="T57" i="47"/>
  <c r="T61" i="47" s="1"/>
  <c r="AJ57" i="47"/>
  <c r="AJ61" i="47" s="1"/>
  <c r="AP57" i="47"/>
  <c r="AP61" i="47" s="1"/>
  <c r="M57" i="47"/>
  <c r="M61" i="47" s="1"/>
  <c r="BA57" i="47"/>
  <c r="BA61" i="47" s="1"/>
  <c r="H57" i="47"/>
  <c r="H61" i="47" s="1"/>
  <c r="W57" i="47"/>
  <c r="W61" i="47" s="1"/>
  <c r="AF57" i="47"/>
  <c r="AF61" i="47" s="1"/>
  <c r="Q57" i="47"/>
  <c r="Q61" i="47" s="1"/>
  <c r="AN57" i="47"/>
  <c r="AN61" i="47" s="1"/>
  <c r="AV57" i="47"/>
  <c r="AV61" i="47" s="1"/>
  <c r="AI57" i="47"/>
  <c r="AI61" i="47" s="1"/>
  <c r="AE57" i="47"/>
  <c r="AE61" i="47" s="1"/>
  <c r="N57" i="47"/>
  <c r="N61" i="47" s="1"/>
  <c r="AY57" i="47"/>
  <c r="AY61" i="47" s="1"/>
  <c r="AT57" i="47"/>
  <c r="AT61" i="47" s="1"/>
  <c r="BB57" i="47"/>
  <c r="BB61" i="47" s="1"/>
  <c r="BC49" i="47" s="1"/>
  <c r="U57" i="47"/>
  <c r="U61" i="47" s="1"/>
  <c r="BD57" i="47"/>
  <c r="BD61" i="47" s="1"/>
  <c r="AG57" i="47"/>
  <c r="AG61" i="47" s="1"/>
  <c r="AQ57" i="47"/>
  <c r="AQ61" i="47" s="1"/>
  <c r="AD57" i="47"/>
  <c r="AD61" i="47" s="1"/>
  <c r="L57" i="47"/>
  <c r="L61" i="47" s="1"/>
  <c r="AZ57" i="47"/>
  <c r="AZ61" i="47" s="1"/>
  <c r="BA49" i="47" s="1"/>
  <c r="P57" i="47"/>
  <c r="P61" i="47" s="1"/>
  <c r="AX57" i="47"/>
  <c r="AX61" i="47" s="1"/>
  <c r="AY49" i="47" s="1"/>
  <c r="AL57" i="47"/>
  <c r="AL61" i="47" s="1"/>
  <c r="AK57" i="47"/>
  <c r="AK61" i="47" s="1"/>
  <c r="O57" i="47"/>
  <c r="O61" i="47" s="1"/>
  <c r="AA57" i="47"/>
  <c r="AA61" i="47" s="1"/>
  <c r="BC57" i="47"/>
  <c r="BC61" i="47" s="1"/>
  <c r="AC57" i="47"/>
  <c r="AC61" i="47" s="1"/>
  <c r="AO57" i="47"/>
  <c r="AO61" i="47" s="1"/>
  <c r="AW57" i="47"/>
  <c r="AW61" i="47" s="1"/>
  <c r="V57" i="47"/>
  <c r="V61" i="47" s="1"/>
  <c r="AB57" i="47"/>
  <c r="AB61" i="47" s="1"/>
  <c r="F57" i="47"/>
  <c r="F61" i="47" s="1"/>
  <c r="E57" i="47"/>
  <c r="E61" i="47" s="1"/>
  <c r="G57" i="47"/>
  <c r="G61" i="47" s="1"/>
  <c r="Q48" i="47"/>
  <c r="AS48" i="47"/>
  <c r="AH48" i="47"/>
  <c r="K48" i="47"/>
  <c r="U48" i="47"/>
  <c r="AJ48" i="47"/>
  <c r="AU48" i="47"/>
  <c r="R48" i="47"/>
  <c r="AZ48" i="47"/>
  <c r="AC48" i="47"/>
  <c r="BC48" i="47"/>
  <c r="AI48" i="47"/>
  <c r="X48" i="47"/>
  <c r="AM48" i="47"/>
  <c r="AV48" i="47"/>
  <c r="W48" i="47"/>
  <c r="S48" i="47"/>
  <c r="AF48" i="47"/>
  <c r="AK48" i="47"/>
  <c r="AD48" i="47"/>
  <c r="AP48" i="47"/>
  <c r="N48" i="47"/>
  <c r="AG48" i="47"/>
  <c r="AQ48" i="47"/>
  <c r="BA48" i="47"/>
  <c r="AL48" i="47"/>
  <c r="AB48" i="47"/>
  <c r="AA48" i="47"/>
  <c r="P48" i="47"/>
  <c r="AE48" i="47"/>
  <c r="V48" i="47"/>
  <c r="T48" i="47"/>
  <c r="AX48" i="47"/>
  <c r="AW48" i="47"/>
  <c r="Z48" i="47"/>
  <c r="AY48" i="47"/>
  <c r="AT48" i="47"/>
  <c r="M48" i="47"/>
  <c r="I48" i="47"/>
  <c r="L48" i="47"/>
  <c r="BD48" i="47"/>
  <c r="AN48" i="47"/>
  <c r="O48" i="47"/>
  <c r="BB48" i="47"/>
  <c r="Y48" i="47"/>
  <c r="J48" i="47"/>
  <c r="AO48" i="47"/>
  <c r="AR48" i="47"/>
  <c r="E48" i="47"/>
  <c r="F48" i="47"/>
  <c r="H48" i="47"/>
  <c r="G48" i="47"/>
  <c r="I85" i="47"/>
  <c r="AZ45" i="47"/>
  <c r="AW45" i="47"/>
  <c r="AV45" i="47"/>
  <c r="BB45" i="47"/>
  <c r="I45" i="47"/>
  <c r="Q45" i="47"/>
  <c r="X32" i="48" s="1"/>
  <c r="R45" i="47"/>
  <c r="Y32" i="48" s="1"/>
  <c r="P45" i="47"/>
  <c r="AL45" i="47"/>
  <c r="AC45" i="47"/>
  <c r="O45" i="47"/>
  <c r="J45" i="47"/>
  <c r="AN45" i="47"/>
  <c r="AT45" i="47"/>
  <c r="AM45" i="47"/>
  <c r="M45" i="47"/>
  <c r="AD45" i="47"/>
  <c r="AH45" i="47"/>
  <c r="W45" i="47"/>
  <c r="AD32" i="48" s="1"/>
  <c r="AE45" i="47"/>
  <c r="AB45" i="47"/>
  <c r="AQ45" i="47"/>
  <c r="X45" i="47"/>
  <c r="AE32" i="48" s="1"/>
  <c r="BD45" i="47"/>
  <c r="AJ45" i="47"/>
  <c r="AA45" i="47"/>
  <c r="Z45" i="47"/>
  <c r="Y45" i="47"/>
  <c r="AG45" i="47"/>
  <c r="AX45" i="47"/>
  <c r="N45" i="47"/>
  <c r="AF45" i="47"/>
  <c r="S45" i="47"/>
  <c r="Z32" i="48" s="1"/>
  <c r="AI45" i="47"/>
  <c r="L45" i="47"/>
  <c r="AU45" i="47"/>
  <c r="AR45" i="47"/>
  <c r="AO45" i="47"/>
  <c r="V45" i="47"/>
  <c r="AC32" i="48" s="1"/>
  <c r="H45" i="47"/>
  <c r="K45" i="47"/>
  <c r="AK45" i="47"/>
  <c r="U45" i="47"/>
  <c r="AB32" i="48" s="1"/>
  <c r="BC45" i="47"/>
  <c r="BA45" i="47"/>
  <c r="AS45" i="47"/>
  <c r="AY45" i="47"/>
  <c r="AP45" i="47"/>
  <c r="T45" i="47"/>
  <c r="AA32" i="48" s="1"/>
  <c r="E45" i="47"/>
  <c r="F45" i="47"/>
  <c r="G45" i="47"/>
  <c r="N54" i="48"/>
  <c r="N55" i="48"/>
  <c r="O50" i="48"/>
  <c r="N53" i="48"/>
  <c r="H85" i="47"/>
  <c r="O85" i="48"/>
  <c r="P85" i="48" s="1"/>
  <c r="AT60" i="47"/>
  <c r="AT65" i="47" s="1"/>
  <c r="AL60" i="47"/>
  <c r="AL65" i="47" s="1"/>
  <c r="AG60" i="47"/>
  <c r="AG65" i="47" s="1"/>
  <c r="AZ60" i="47"/>
  <c r="AZ65" i="47" s="1"/>
  <c r="P60" i="47"/>
  <c r="AD60" i="47"/>
  <c r="AD65" i="47" s="1"/>
  <c r="BC60" i="47"/>
  <c r="BC65" i="47" s="1"/>
  <c r="AU60" i="47"/>
  <c r="AU65" i="47" s="1"/>
  <c r="AH60" i="47"/>
  <c r="AH65" i="47" s="1"/>
  <c r="R60" i="47"/>
  <c r="I60" i="47"/>
  <c r="J60" i="47"/>
  <c r="AX60" i="47"/>
  <c r="AX65" i="47" s="1"/>
  <c r="AS60" i="47"/>
  <c r="AS65" i="47" s="1"/>
  <c r="V60" i="47"/>
  <c r="AQ60" i="47"/>
  <c r="AQ65" i="47" s="1"/>
  <c r="AF60" i="47"/>
  <c r="AF65" i="47" s="1"/>
  <c r="AE60" i="47"/>
  <c r="AE65" i="47" s="1"/>
  <c r="AA60" i="47"/>
  <c r="AA65" i="47" s="1"/>
  <c r="N60" i="47"/>
  <c r="Y60" i="47"/>
  <c r="Y65" i="47" s="1"/>
  <c r="W60" i="47"/>
  <c r="AK60" i="47"/>
  <c r="AK65" i="47" s="1"/>
  <c r="AP60" i="47"/>
  <c r="AP65" i="47" s="1"/>
  <c r="Z60" i="47"/>
  <c r="Z65" i="47" s="1"/>
  <c r="AM60" i="47"/>
  <c r="AM65" i="47" s="1"/>
  <c r="L60" i="47"/>
  <c r="H60" i="47"/>
  <c r="K60" i="47"/>
  <c r="U60" i="47"/>
  <c r="O60" i="47"/>
  <c r="AV60" i="47"/>
  <c r="AV65" i="47" s="1"/>
  <c r="BB60" i="47"/>
  <c r="BB65" i="47" s="1"/>
  <c r="AC60" i="47"/>
  <c r="AC65" i="47" s="1"/>
  <c r="X60" i="47"/>
  <c r="AR60" i="47"/>
  <c r="AR65" i="47" s="1"/>
  <c r="AB60" i="47"/>
  <c r="AB65" i="47" s="1"/>
  <c r="S60" i="47"/>
  <c r="T60" i="47"/>
  <c r="BA60" i="47"/>
  <c r="BA65" i="47" s="1"/>
  <c r="AN60" i="47"/>
  <c r="AN65" i="47" s="1"/>
  <c r="AO60" i="47"/>
  <c r="AO65" i="47" s="1"/>
  <c r="AY60" i="47"/>
  <c r="AY65" i="47" s="1"/>
  <c r="BD60" i="47"/>
  <c r="BD65" i="47" s="1"/>
  <c r="Q60" i="47"/>
  <c r="AW60" i="47"/>
  <c r="AW65" i="47" s="1"/>
  <c r="M60" i="47"/>
  <c r="AJ60" i="47"/>
  <c r="AJ65" i="47" s="1"/>
  <c r="AI60" i="47"/>
  <c r="AI65" i="47" s="1"/>
  <c r="E60" i="47"/>
  <c r="F60" i="47"/>
  <c r="G60" i="47"/>
  <c r="AG46" i="47"/>
  <c r="AW46" i="47"/>
  <c r="AH46" i="47"/>
  <c r="T46" i="47"/>
  <c r="U73" i="47" s="1"/>
  <c r="AK46" i="47"/>
  <c r="P46" i="47"/>
  <c r="Q73" i="47" s="1"/>
  <c r="AU46" i="47"/>
  <c r="AS46" i="47"/>
  <c r="AA46" i="47"/>
  <c r="K46" i="47"/>
  <c r="L73" i="47" s="1"/>
  <c r="AN46" i="47"/>
  <c r="AZ46" i="47"/>
  <c r="AF46" i="47"/>
  <c r="R46" i="47"/>
  <c r="S73" i="47" s="1"/>
  <c r="L46" i="47"/>
  <c r="M73" i="47" s="1"/>
  <c r="M46" i="47"/>
  <c r="N73" i="47" s="1"/>
  <c r="AV46" i="47"/>
  <c r="J46" i="47"/>
  <c r="K73" i="47" s="1"/>
  <c r="AD46" i="47"/>
  <c r="E46" i="47"/>
  <c r="Z46" i="47"/>
  <c r="AE46" i="47"/>
  <c r="AY46" i="47"/>
  <c r="S46" i="47"/>
  <c r="T73" i="47" s="1"/>
  <c r="AP46" i="47"/>
  <c r="AC46" i="47"/>
  <c r="BD46" i="47"/>
  <c r="BD84" i="47" s="1"/>
  <c r="H46" i="47"/>
  <c r="U46" i="47"/>
  <c r="V73" i="47" s="1"/>
  <c r="O46" i="47"/>
  <c r="P73" i="47" s="1"/>
  <c r="P85" i="47" s="1"/>
  <c r="F46" i="47"/>
  <c r="W46" i="47"/>
  <c r="X73" i="47" s="1"/>
  <c r="AL46" i="47"/>
  <c r="BC46" i="47"/>
  <c r="AX46" i="47"/>
  <c r="BB46" i="47"/>
  <c r="Q46" i="47"/>
  <c r="R73" i="47" s="1"/>
  <c r="X46" i="47"/>
  <c r="Y73" i="47" s="1"/>
  <c r="AJ46" i="47"/>
  <c r="AR46" i="47"/>
  <c r="AQ46" i="47"/>
  <c r="AT46" i="47"/>
  <c r="Y46" i="47"/>
  <c r="V46" i="47"/>
  <c r="W73" i="47" s="1"/>
  <c r="AO46" i="47"/>
  <c r="N46" i="47"/>
  <c r="O73" i="47" s="1"/>
  <c r="O85" i="47" s="1"/>
  <c r="AM46" i="47"/>
  <c r="BA46" i="47"/>
  <c r="AB46" i="47"/>
  <c r="I46" i="47"/>
  <c r="AI46" i="47"/>
  <c r="G46" i="47"/>
  <c r="L49" i="47" l="1"/>
  <c r="D91" i="47"/>
  <c r="D92" i="47"/>
  <c r="L85" i="47"/>
  <c r="M85" i="47"/>
  <c r="Q85" i="47"/>
  <c r="R85" i="47"/>
  <c r="N85" i="47"/>
  <c r="BA84" i="47"/>
  <c r="BB73" i="47"/>
  <c r="BB85" i="47" s="1"/>
  <c r="AU84" i="47"/>
  <c r="AV73" i="47"/>
  <c r="AV85" i="47" s="1"/>
  <c r="AS84" i="47"/>
  <c r="AT73" i="47"/>
  <c r="AT85" i="47" s="1"/>
  <c r="AM84" i="47"/>
  <c r="AN73" i="47"/>
  <c r="AN85" i="47" s="1"/>
  <c r="AE84" i="47"/>
  <c r="AF73" i="47"/>
  <c r="AF85" i="47" s="1"/>
  <c r="AF83" i="47" s="1"/>
  <c r="Y34" i="48"/>
  <c r="T74" i="47"/>
  <c r="T85" i="47" s="1"/>
  <c r="Z34" i="48"/>
  <c r="U74" i="47"/>
  <c r="U85" i="47" s="1"/>
  <c r="Z84" i="47"/>
  <c r="AA73" i="47"/>
  <c r="AA85" i="47" s="1"/>
  <c r="AF84" i="47"/>
  <c r="AG73" i="47"/>
  <c r="AG85" i="47" s="1"/>
  <c r="AK84" i="47"/>
  <c r="AL73" i="47"/>
  <c r="AL85" i="47" s="1"/>
  <c r="AE34" i="48"/>
  <c r="Z74" i="47"/>
  <c r="AR84" i="47"/>
  <c r="AS73" i="47"/>
  <c r="AS85" i="47" s="1"/>
  <c r="AS83" i="47" s="1"/>
  <c r="AJ84" i="47"/>
  <c r="AK73" i="47"/>
  <c r="AK85" i="47" s="1"/>
  <c r="AK83" i="47" s="1"/>
  <c r="BB84" i="47"/>
  <c r="BC73" i="47"/>
  <c r="BC85" i="47" s="1"/>
  <c r="BC83" i="47" s="1"/>
  <c r="AZ84" i="47"/>
  <c r="BA73" i="47"/>
  <c r="BA85" i="47" s="1"/>
  <c r="BA83" i="47" s="1"/>
  <c r="X34" i="48"/>
  <c r="S74" i="47"/>
  <c r="S85" i="47" s="1"/>
  <c r="AD34" i="48"/>
  <c r="Y74" i="47"/>
  <c r="Y85" i="47" s="1"/>
  <c r="AO84" i="47"/>
  <c r="AP73" i="47"/>
  <c r="AP85" i="47" s="1"/>
  <c r="AX84" i="47"/>
  <c r="AY73" i="47"/>
  <c r="AY85" i="47" s="1"/>
  <c r="AY83" i="47" s="1"/>
  <c r="AD84" i="47"/>
  <c r="AE73" i="47"/>
  <c r="AE85" i="47" s="1"/>
  <c r="AE83" i="47" s="1"/>
  <c r="AN84" i="47"/>
  <c r="AO73" i="47"/>
  <c r="AO85" i="47" s="1"/>
  <c r="AO83" i="47" s="1"/>
  <c r="AH84" i="47"/>
  <c r="AI73" i="47"/>
  <c r="AI85" i="47" s="1"/>
  <c r="AI83" i="47" s="1"/>
  <c r="AB34" i="48"/>
  <c r="W74" i="47"/>
  <c r="W85" i="47" s="1"/>
  <c r="AA34" i="48"/>
  <c r="V74" i="47"/>
  <c r="V85" i="47" s="1"/>
  <c r="V83" i="47" s="1"/>
  <c r="AY84" i="47"/>
  <c r="AZ73" i="47"/>
  <c r="AZ85" i="47" s="1"/>
  <c r="AZ83" i="47" s="1"/>
  <c r="Y84" i="47"/>
  <c r="Z73" i="47"/>
  <c r="AT84" i="47"/>
  <c r="AU73" i="47"/>
  <c r="AU85" i="47" s="1"/>
  <c r="BC84" i="47"/>
  <c r="BD73" i="47"/>
  <c r="BD85" i="47" s="1"/>
  <c r="BD83" i="47" s="1"/>
  <c r="AC84" i="47"/>
  <c r="AD73" i="47"/>
  <c r="AD85" i="47" s="1"/>
  <c r="AW84" i="47"/>
  <c r="AX73" i="47"/>
  <c r="AX85" i="47" s="1"/>
  <c r="AX83" i="47" s="1"/>
  <c r="AI84" i="47"/>
  <c r="AJ73" i="47"/>
  <c r="AJ85" i="47" s="1"/>
  <c r="AB84" i="47"/>
  <c r="AC73" i="47"/>
  <c r="AC85" i="47" s="1"/>
  <c r="AC83" i="47" s="1"/>
  <c r="AQ84" i="47"/>
  <c r="AR73" i="47"/>
  <c r="AR85" i="47" s="1"/>
  <c r="AR83" i="47" s="1"/>
  <c r="AL84" i="47"/>
  <c r="AM73" i="47"/>
  <c r="AM85" i="47" s="1"/>
  <c r="AM83" i="47" s="1"/>
  <c r="AP84" i="47"/>
  <c r="AQ73" i="47"/>
  <c r="AQ85" i="47" s="1"/>
  <c r="AV84" i="47"/>
  <c r="AW73" i="47"/>
  <c r="AW85" i="47" s="1"/>
  <c r="AW83" i="47" s="1"/>
  <c r="AA84" i="47"/>
  <c r="AB73" i="47"/>
  <c r="AB85" i="47" s="1"/>
  <c r="AG84" i="47"/>
  <c r="AH73" i="47"/>
  <c r="AH85" i="47" s="1"/>
  <c r="AH83" i="47" s="1"/>
  <c r="P34" i="48"/>
  <c r="K74" i="47"/>
  <c r="K85" i="47" s="1"/>
  <c r="AC34" i="48"/>
  <c r="X74" i="47"/>
  <c r="X85" i="47" s="1"/>
  <c r="X84" i="47"/>
  <c r="AE33" i="48"/>
  <c r="AE30" i="48" s="1"/>
  <c r="X65" i="47"/>
  <c r="Y141" i="48" s="1"/>
  <c r="Y140" i="48"/>
  <c r="W64" i="47"/>
  <c r="X137" i="48" s="1"/>
  <c r="X136" i="48"/>
  <c r="X64" i="47"/>
  <c r="Y137" i="48" s="1"/>
  <c r="Y136" i="48"/>
  <c r="W65" i="47"/>
  <c r="X141" i="48" s="1"/>
  <c r="X140" i="48"/>
  <c r="W84" i="47"/>
  <c r="AD33" i="48"/>
  <c r="AD30" i="48" s="1"/>
  <c r="T65" i="47"/>
  <c r="U141" i="48" s="1"/>
  <c r="U140" i="48"/>
  <c r="S65" i="47"/>
  <c r="T141" i="48" s="1"/>
  <c r="T140" i="48"/>
  <c r="V84" i="47"/>
  <c r="AC33" i="48"/>
  <c r="T84" i="47"/>
  <c r="AA33" i="48"/>
  <c r="AA30" i="48" s="1"/>
  <c r="T64" i="47"/>
  <c r="U137" i="48" s="1"/>
  <c r="U136" i="48"/>
  <c r="U65" i="47"/>
  <c r="V141" i="48" s="1"/>
  <c r="V140" i="48"/>
  <c r="R64" i="47"/>
  <c r="S137" i="48" s="1"/>
  <c r="S136" i="48"/>
  <c r="Q65" i="47"/>
  <c r="R141" i="48" s="1"/>
  <c r="R140" i="48"/>
  <c r="S84" i="47"/>
  <c r="Z33" i="48"/>
  <c r="Z30" i="48" s="1"/>
  <c r="U64" i="47"/>
  <c r="V137" i="48" s="1"/>
  <c r="V136" i="48"/>
  <c r="Q64" i="47"/>
  <c r="R137" i="48" s="1"/>
  <c r="R136" i="48"/>
  <c r="V65" i="47"/>
  <c r="W141" i="48" s="1"/>
  <c r="W140" i="48"/>
  <c r="S64" i="47"/>
  <c r="T137" i="48" s="1"/>
  <c r="T136" i="48"/>
  <c r="R65" i="47"/>
  <c r="S141" i="48" s="1"/>
  <c r="S140" i="48"/>
  <c r="AD49" i="47"/>
  <c r="V64" i="47"/>
  <c r="W137" i="48" s="1"/>
  <c r="W136" i="48"/>
  <c r="R84" i="47"/>
  <c r="Y33" i="48"/>
  <c r="Y30" i="48" s="1"/>
  <c r="Q84" i="47"/>
  <c r="X33" i="48"/>
  <c r="X30" i="48" s="1"/>
  <c r="U84" i="47"/>
  <c r="AB33" i="48"/>
  <c r="AB30" i="48" s="1"/>
  <c r="D67" i="47"/>
  <c r="J49" i="47"/>
  <c r="AL49" i="47"/>
  <c r="AW49" i="47"/>
  <c r="AM49" i="47"/>
  <c r="W34" i="48"/>
  <c r="D84" i="47"/>
  <c r="D83" i="47" s="1"/>
  <c r="D94" i="47"/>
  <c r="D100" i="47" s="1"/>
  <c r="D131" i="47" s="1"/>
  <c r="F79" i="47"/>
  <c r="D66" i="47"/>
  <c r="D114" i="47" s="1"/>
  <c r="D52" i="47"/>
  <c r="K49" i="47"/>
  <c r="AU49" i="47"/>
  <c r="P31" i="48"/>
  <c r="O31" i="48"/>
  <c r="Q32" i="48"/>
  <c r="Q34" i="48"/>
  <c r="N32" i="48"/>
  <c r="U34" i="48"/>
  <c r="R34" i="48"/>
  <c r="U32" i="48"/>
  <c r="N34" i="48"/>
  <c r="D126" i="47"/>
  <c r="P32" i="48"/>
  <c r="S32" i="48"/>
  <c r="V31" i="48"/>
  <c r="N31" i="48"/>
  <c r="U31" i="48"/>
  <c r="O34" i="48"/>
  <c r="S31" i="48"/>
  <c r="M31" i="48"/>
  <c r="T31" i="48"/>
  <c r="M34" i="48"/>
  <c r="T34" i="48"/>
  <c r="W31" i="48"/>
  <c r="M32" i="48"/>
  <c r="V32" i="48"/>
  <c r="R31" i="48"/>
  <c r="S34" i="48"/>
  <c r="R32" i="48"/>
  <c r="Q31" i="48"/>
  <c r="O32" i="48"/>
  <c r="T32" i="48"/>
  <c r="W32" i="48"/>
  <c r="V34" i="48"/>
  <c r="AJ66" i="47"/>
  <c r="AT66" i="47"/>
  <c r="AG66" i="47"/>
  <c r="BD66" i="47"/>
  <c r="AQ66" i="47"/>
  <c r="BA66" i="47"/>
  <c r="AS66" i="47"/>
  <c r="BC66" i="47"/>
  <c r="AR66" i="47"/>
  <c r="AU66" i="47"/>
  <c r="AW66" i="47"/>
  <c r="AX66" i="47"/>
  <c r="AE66" i="47"/>
  <c r="AB66" i="47"/>
  <c r="Z66" i="47"/>
  <c r="AA66" i="47"/>
  <c r="AF66" i="47"/>
  <c r="W66" i="47"/>
  <c r="AL66" i="47"/>
  <c r="AM66" i="47"/>
  <c r="AD66" i="47"/>
  <c r="AK66" i="47"/>
  <c r="AO66" i="47"/>
  <c r="AV66" i="47"/>
  <c r="Y66" i="47"/>
  <c r="AP66" i="47"/>
  <c r="BB66" i="47"/>
  <c r="AN66" i="47"/>
  <c r="AI66" i="47"/>
  <c r="AH66" i="47"/>
  <c r="AZ66" i="47"/>
  <c r="AC66" i="47"/>
  <c r="AY66" i="47"/>
  <c r="W49" i="47"/>
  <c r="R49" i="47"/>
  <c r="T49" i="47"/>
  <c r="O49" i="47"/>
  <c r="AR49" i="47"/>
  <c r="AA49" i="47"/>
  <c r="I49" i="47"/>
  <c r="Y49" i="47"/>
  <c r="AH49" i="47"/>
  <c r="AQ49" i="47"/>
  <c r="AO49" i="47"/>
  <c r="D120" i="47"/>
  <c r="D121" i="47"/>
  <c r="D122" i="47"/>
  <c r="H49" i="47"/>
  <c r="BD49" i="47"/>
  <c r="M49" i="47"/>
  <c r="AZ49" i="47"/>
  <c r="X49" i="47"/>
  <c r="AI49" i="47"/>
  <c r="Z49" i="47"/>
  <c r="F49" i="47"/>
  <c r="AB49" i="47"/>
  <c r="G49" i="47"/>
  <c r="AF49" i="47"/>
  <c r="BB49" i="47"/>
  <c r="V49" i="47"/>
  <c r="AP49" i="47"/>
  <c r="AJ49" i="47"/>
  <c r="N49" i="47"/>
  <c r="AV49" i="47"/>
  <c r="AI68" i="48"/>
  <c r="AC49" i="47"/>
  <c r="AN49" i="47"/>
  <c r="AT49" i="47"/>
  <c r="AK49" i="47"/>
  <c r="U49" i="47"/>
  <c r="AG49" i="47"/>
  <c r="D89" i="47"/>
  <c r="BF48" i="47"/>
  <c r="BF44" i="47"/>
  <c r="F101" i="48" s="1"/>
  <c r="C27" i="48" s="1"/>
  <c r="C50" i="48" s="1"/>
  <c r="G84" i="47"/>
  <c r="G83" i="47" s="1"/>
  <c r="N33" i="48"/>
  <c r="H84" i="47"/>
  <c r="H83" i="47" s="1"/>
  <c r="O33" i="48"/>
  <c r="BF46" i="47"/>
  <c r="F103" i="48" s="1"/>
  <c r="C29" i="48" s="1"/>
  <c r="Q49" i="47"/>
  <c r="O65" i="47"/>
  <c r="P140" i="48"/>
  <c r="C40" i="48"/>
  <c r="C26" i="48"/>
  <c r="J84" i="47"/>
  <c r="J83" i="47" s="1"/>
  <c r="Q33" i="48"/>
  <c r="K84" i="47"/>
  <c r="R33" i="48"/>
  <c r="BF47" i="47"/>
  <c r="F104" i="48" s="1"/>
  <c r="C30" i="48" s="1"/>
  <c r="G64" i="47"/>
  <c r="H136" i="48"/>
  <c r="L64" i="47"/>
  <c r="M136" i="48"/>
  <c r="K65" i="47"/>
  <c r="L140" i="48"/>
  <c r="P65" i="47"/>
  <c r="Q141" i="48" s="1"/>
  <c r="Q140" i="48"/>
  <c r="BF45" i="47"/>
  <c r="F102" i="48" s="1"/>
  <c r="C28" i="48" s="1"/>
  <c r="C51" i="48" s="1"/>
  <c r="AE49" i="47"/>
  <c r="F64" i="47"/>
  <c r="G136" i="48"/>
  <c r="H64" i="47"/>
  <c r="I136" i="48"/>
  <c r="N64" i="47"/>
  <c r="O136" i="48"/>
  <c r="P64" i="47"/>
  <c r="Q136" i="48"/>
  <c r="M84" i="47"/>
  <c r="M83" i="47" s="1"/>
  <c r="T33" i="48"/>
  <c r="G65" i="47"/>
  <c r="H140" i="48"/>
  <c r="H65" i="47"/>
  <c r="I140" i="48"/>
  <c r="N65" i="47"/>
  <c r="O140" i="48"/>
  <c r="J65" i="47"/>
  <c r="K140" i="48"/>
  <c r="P49" i="47"/>
  <c r="O64" i="47"/>
  <c r="P136" i="48"/>
  <c r="K64" i="47"/>
  <c r="L136" i="48"/>
  <c r="J64" i="47"/>
  <c r="K136" i="48"/>
  <c r="M64" i="47"/>
  <c r="N136" i="48"/>
  <c r="F84" i="47"/>
  <c r="F83" i="47" s="1"/>
  <c r="M33" i="48"/>
  <c r="L84" i="47"/>
  <c r="S33" i="48"/>
  <c r="F65" i="47"/>
  <c r="G140" i="48"/>
  <c r="L65" i="47"/>
  <c r="M140" i="48"/>
  <c r="I65" i="47"/>
  <c r="J140" i="48"/>
  <c r="M65" i="47"/>
  <c r="N140" i="48"/>
  <c r="N84" i="47"/>
  <c r="U33" i="48"/>
  <c r="O84" i="47"/>
  <c r="O83" i="47" s="1"/>
  <c r="V33" i="48"/>
  <c r="P84" i="47"/>
  <c r="P83" i="47" s="1"/>
  <c r="W33" i="48"/>
  <c r="I64" i="47"/>
  <c r="J136" i="48"/>
  <c r="I84" i="47"/>
  <c r="I83" i="47" s="1"/>
  <c r="P33" i="48"/>
  <c r="AX49" i="47"/>
  <c r="E84" i="47"/>
  <c r="L33" i="48"/>
  <c r="BA95" i="47"/>
  <c r="BA101" i="47" s="1"/>
  <c r="BA91" i="47"/>
  <c r="AR95" i="47"/>
  <c r="AR101" i="47" s="1"/>
  <c r="AR91" i="47"/>
  <c r="AG95" i="47"/>
  <c r="AG101" i="47" s="1"/>
  <c r="AG91" i="47"/>
  <c r="AB95" i="47"/>
  <c r="AB101" i="47" s="1"/>
  <c r="AB91" i="47"/>
  <c r="AN95" i="47"/>
  <c r="AN101" i="47" s="1"/>
  <c r="AN91" i="47"/>
  <c r="I95" i="47"/>
  <c r="I91" i="47"/>
  <c r="F96" i="47"/>
  <c r="F99" i="47" s="1"/>
  <c r="F92" i="47"/>
  <c r="AN96" i="47"/>
  <c r="AN99" i="47" s="1"/>
  <c r="AN92" i="47"/>
  <c r="AW92" i="47"/>
  <c r="AW96" i="47"/>
  <c r="AW99" i="47" s="1"/>
  <c r="AL92" i="47"/>
  <c r="AL96" i="47"/>
  <c r="AL99" i="47" s="1"/>
  <c r="AF96" i="47"/>
  <c r="AF99" i="47" s="1"/>
  <c r="AF92" i="47"/>
  <c r="AC96" i="47"/>
  <c r="AC99" i="47" s="1"/>
  <c r="AC92" i="47"/>
  <c r="AS92" i="47"/>
  <c r="AS96" i="47"/>
  <c r="AS99" i="47" s="1"/>
  <c r="S50" i="47"/>
  <c r="BD50" i="47"/>
  <c r="BB50" i="47"/>
  <c r="AU50" i="47"/>
  <c r="AK50" i="47"/>
  <c r="AF50" i="47"/>
  <c r="H90" i="47"/>
  <c r="H94" i="47"/>
  <c r="H100" i="47" s="1"/>
  <c r="AB90" i="47"/>
  <c r="AB94" i="47"/>
  <c r="AB100" i="47" s="1"/>
  <c r="L94" i="47"/>
  <c r="L100" i="47" s="1"/>
  <c r="L90" i="47"/>
  <c r="Z94" i="47"/>
  <c r="Z100" i="47" s="1"/>
  <c r="Z90" i="47"/>
  <c r="AY90" i="47"/>
  <c r="AY94" i="47"/>
  <c r="AY100" i="47" s="1"/>
  <c r="BD94" i="47"/>
  <c r="BD100" i="47" s="1"/>
  <c r="BD90" i="47"/>
  <c r="AF90" i="47"/>
  <c r="AF94" i="47"/>
  <c r="AF100" i="47" s="1"/>
  <c r="AS67" i="47"/>
  <c r="AY35" i="115" s="1"/>
  <c r="BC67" i="47"/>
  <c r="BI35" i="115" s="1"/>
  <c r="AR67" i="47"/>
  <c r="AX35" i="115" s="1"/>
  <c r="AU67" i="47"/>
  <c r="BA35" i="115" s="1"/>
  <c r="Q85" i="48"/>
  <c r="G50" i="47"/>
  <c r="G91" i="47"/>
  <c r="G95" i="47"/>
  <c r="BC95" i="47"/>
  <c r="BC101" i="47" s="1"/>
  <c r="BC91" i="47"/>
  <c r="AU91" i="47"/>
  <c r="AU95" i="47"/>
  <c r="AU101" i="47" s="1"/>
  <c r="Y95" i="47"/>
  <c r="Y101" i="47" s="1"/>
  <c r="Y91" i="47"/>
  <c r="AE95" i="47"/>
  <c r="AE101" i="47" s="1"/>
  <c r="AE91" i="47"/>
  <c r="J95" i="47"/>
  <c r="J91" i="47"/>
  <c r="BB95" i="47"/>
  <c r="BB101" i="47" s="1"/>
  <c r="BB91" i="47"/>
  <c r="E96" i="47"/>
  <c r="E99" i="47" s="1"/>
  <c r="E92" i="47"/>
  <c r="BD92" i="47"/>
  <c r="BD96" i="47"/>
  <c r="BD99" i="47" s="1"/>
  <c r="AX96" i="47"/>
  <c r="AX99" i="47" s="1"/>
  <c r="AX92" i="47"/>
  <c r="BA92" i="47"/>
  <c r="BA96" i="47"/>
  <c r="BA99" i="47" s="1"/>
  <c r="S96" i="47"/>
  <c r="S99" i="47" s="1"/>
  <c r="S92" i="47"/>
  <c r="AZ96" i="47"/>
  <c r="AZ99" i="47" s="1"/>
  <c r="AZ92" i="47"/>
  <c r="Q92" i="47"/>
  <c r="Q96" i="47"/>
  <c r="Q99" i="47" s="1"/>
  <c r="AJ50" i="47"/>
  <c r="AA50" i="47"/>
  <c r="BC50" i="47"/>
  <c r="Q50" i="47"/>
  <c r="AI50" i="47"/>
  <c r="AN50" i="47"/>
  <c r="F90" i="47"/>
  <c r="F94" i="47"/>
  <c r="F100" i="47" s="1"/>
  <c r="BC94" i="47"/>
  <c r="BC100" i="47" s="1"/>
  <c r="BC90" i="47"/>
  <c r="BB94" i="47"/>
  <c r="BB100" i="47" s="1"/>
  <c r="BB90" i="47"/>
  <c r="M94" i="47"/>
  <c r="M100" i="47" s="1"/>
  <c r="M90" i="47"/>
  <c r="AI94" i="47"/>
  <c r="AI100" i="47" s="1"/>
  <c r="AI90" i="47"/>
  <c r="AV94" i="47"/>
  <c r="AV100" i="47" s="1"/>
  <c r="AV90" i="47"/>
  <c r="AO94" i="47"/>
  <c r="AO100" i="47" s="1"/>
  <c r="AO90" i="47"/>
  <c r="AW67" i="47"/>
  <c r="BC35" i="115" s="1"/>
  <c r="AX67" i="47"/>
  <c r="BD35" i="115" s="1"/>
  <c r="AE67" i="47"/>
  <c r="AK35" i="115" s="1"/>
  <c r="AB67" i="47"/>
  <c r="AH35" i="115" s="1"/>
  <c r="Z67" i="47"/>
  <c r="AF35" i="115" s="1"/>
  <c r="F91" i="47"/>
  <c r="F95" i="47"/>
  <c r="U95" i="47"/>
  <c r="U101" i="47" s="1"/>
  <c r="V146" i="48" s="1"/>
  <c r="U91" i="47"/>
  <c r="L95" i="47"/>
  <c r="L91" i="47"/>
  <c r="Z95" i="47"/>
  <c r="Z101" i="47" s="1"/>
  <c r="Z91" i="47"/>
  <c r="W95" i="47"/>
  <c r="W101" i="47" s="1"/>
  <c r="X146" i="48" s="1"/>
  <c r="W91" i="47"/>
  <c r="O95" i="47"/>
  <c r="O91" i="47"/>
  <c r="AV95" i="47"/>
  <c r="AV101" i="47" s="1"/>
  <c r="AV91" i="47"/>
  <c r="AR92" i="47"/>
  <c r="AR96" i="47"/>
  <c r="AR99" i="47" s="1"/>
  <c r="L96" i="47"/>
  <c r="L99" i="47" s="1"/>
  <c r="L92" i="47"/>
  <c r="T96" i="47"/>
  <c r="T99" i="47" s="1"/>
  <c r="T92" i="47"/>
  <c r="AQ96" i="47"/>
  <c r="AQ99" i="47" s="1"/>
  <c r="AQ92" i="47"/>
  <c r="W96" i="47"/>
  <c r="W99" i="47" s="1"/>
  <c r="W92" i="47"/>
  <c r="R96" i="47"/>
  <c r="R99" i="47" s="1"/>
  <c r="R92" i="47"/>
  <c r="L34" i="48"/>
  <c r="E53" i="47"/>
  <c r="H50" i="47"/>
  <c r="AH50" i="47"/>
  <c r="AZ50" i="47"/>
  <c r="AV50" i="47"/>
  <c r="AL50" i="47"/>
  <c r="AB50" i="47"/>
  <c r="E94" i="47"/>
  <c r="E100" i="47" s="1"/>
  <c r="E90" i="47"/>
  <c r="E49" i="47"/>
  <c r="L31" i="48"/>
  <c r="BA94" i="47"/>
  <c r="BA100" i="47" s="1"/>
  <c r="BA90" i="47"/>
  <c r="Q94" i="47"/>
  <c r="Q100" i="47" s="1"/>
  <c r="R147" i="48" s="1"/>
  <c r="Q90" i="47"/>
  <c r="AX94" i="47"/>
  <c r="AX100" i="47" s="1"/>
  <c r="AX90" i="47"/>
  <c r="AS94" i="47"/>
  <c r="AS100" i="47" s="1"/>
  <c r="AS90" i="47"/>
  <c r="AE94" i="47"/>
  <c r="AE100" i="47" s="1"/>
  <c r="AE90" i="47"/>
  <c r="P94" i="47"/>
  <c r="P100" i="47" s="1"/>
  <c r="P90" i="47"/>
  <c r="AA67" i="47"/>
  <c r="AG35" i="115" s="1"/>
  <c r="AF67" i="47"/>
  <c r="AL35" i="115" s="1"/>
  <c r="W67" i="47"/>
  <c r="AC35" i="115" s="1"/>
  <c r="L32" i="48"/>
  <c r="E91" i="47"/>
  <c r="E50" i="47"/>
  <c r="E95" i="47"/>
  <c r="E101" i="47" s="1"/>
  <c r="AK95" i="47"/>
  <c r="AK101" i="47" s="1"/>
  <c r="AK91" i="47"/>
  <c r="AI95" i="47"/>
  <c r="AI101" i="47" s="1"/>
  <c r="AI91" i="47"/>
  <c r="AA91" i="47"/>
  <c r="AA95" i="47"/>
  <c r="AA101" i="47" s="1"/>
  <c r="AH95" i="47"/>
  <c r="AH101" i="47" s="1"/>
  <c r="AH91" i="47"/>
  <c r="AC95" i="47"/>
  <c r="AC101" i="47" s="1"/>
  <c r="AC91" i="47"/>
  <c r="AW91" i="47"/>
  <c r="AW95" i="47"/>
  <c r="AW101" i="47" s="1"/>
  <c r="AO92" i="47"/>
  <c r="AO96" i="47"/>
  <c r="AO99" i="47" s="1"/>
  <c r="I96" i="47"/>
  <c r="I99" i="47" s="1"/>
  <c r="I92" i="47"/>
  <c r="V96" i="47"/>
  <c r="V99" i="47" s="1"/>
  <c r="V92" i="47"/>
  <c r="AG96" i="47"/>
  <c r="AG99" i="47" s="1"/>
  <c r="AG92" i="47"/>
  <c r="AV92" i="47"/>
  <c r="AV96" i="47"/>
  <c r="AV99" i="47" s="1"/>
  <c r="AU96" i="47"/>
  <c r="AU99" i="47" s="1"/>
  <c r="AU92" i="47"/>
  <c r="W50" i="47"/>
  <c r="AR50" i="47"/>
  <c r="Y50" i="47"/>
  <c r="AM50" i="47"/>
  <c r="Z50" i="47"/>
  <c r="AY50" i="47"/>
  <c r="K94" i="47"/>
  <c r="K100" i="47" s="1"/>
  <c r="K90" i="47"/>
  <c r="AU90" i="47"/>
  <c r="AU94" i="47"/>
  <c r="AU100" i="47" s="1"/>
  <c r="Y90" i="47"/>
  <c r="Y94" i="47"/>
  <c r="Y100" i="47" s="1"/>
  <c r="AQ94" i="47"/>
  <c r="AQ100" i="47" s="1"/>
  <c r="AQ90" i="47"/>
  <c r="AH90" i="47"/>
  <c r="AH94" i="47"/>
  <c r="AH100" i="47" s="1"/>
  <c r="I94" i="47"/>
  <c r="I100" i="47" s="1"/>
  <c r="I90" i="47"/>
  <c r="AL67" i="47"/>
  <c r="AR35" i="115" s="1"/>
  <c r="AM67" i="47"/>
  <c r="AS35" i="115" s="1"/>
  <c r="AD67" i="47"/>
  <c r="AJ35" i="115" s="1"/>
  <c r="AK67" i="47"/>
  <c r="AQ35" i="115" s="1"/>
  <c r="AO67" i="47"/>
  <c r="AU35" i="115" s="1"/>
  <c r="T95" i="47"/>
  <c r="T101" i="47" s="1"/>
  <c r="U146" i="48" s="1"/>
  <c r="T91" i="47"/>
  <c r="K91" i="47"/>
  <c r="K95" i="47"/>
  <c r="S91" i="47"/>
  <c r="S95" i="47"/>
  <c r="S101" i="47" s="1"/>
  <c r="T146" i="48" s="1"/>
  <c r="AJ95" i="47"/>
  <c r="AJ101" i="47" s="1"/>
  <c r="AJ91" i="47"/>
  <c r="AD95" i="47"/>
  <c r="AD101" i="47" s="1"/>
  <c r="AD91" i="47"/>
  <c r="AL91" i="47"/>
  <c r="AL95" i="47"/>
  <c r="AL101" i="47" s="1"/>
  <c r="AZ95" i="47"/>
  <c r="AZ101" i="47" s="1"/>
  <c r="AZ91" i="47"/>
  <c r="J96" i="47"/>
  <c r="J99" i="47" s="1"/>
  <c r="J92" i="47"/>
  <c r="M96" i="47"/>
  <c r="M99" i="47" s="1"/>
  <c r="M92" i="47"/>
  <c r="AE96" i="47"/>
  <c r="AE99" i="47" s="1"/>
  <c r="AE92" i="47"/>
  <c r="N96" i="47"/>
  <c r="N99" i="47" s="1"/>
  <c r="N92" i="47"/>
  <c r="AM96" i="47"/>
  <c r="AM99" i="47" s="1"/>
  <c r="AM92" i="47"/>
  <c r="AJ96" i="47"/>
  <c r="AJ99" i="47" s="1"/>
  <c r="AJ92" i="47"/>
  <c r="J50" i="47"/>
  <c r="AC50" i="47"/>
  <c r="AD50" i="47"/>
  <c r="O50" i="47"/>
  <c r="T50" i="47"/>
  <c r="R50" i="47"/>
  <c r="AP50" i="47"/>
  <c r="AG94" i="47"/>
  <c r="AG100" i="47" s="1"/>
  <c r="AG90" i="47"/>
  <c r="AK94" i="47"/>
  <c r="AK100" i="47" s="1"/>
  <c r="AK90" i="47"/>
  <c r="AT90" i="47"/>
  <c r="AT94" i="47"/>
  <c r="AT100" i="47" s="1"/>
  <c r="AC90" i="47"/>
  <c r="AC94" i="47"/>
  <c r="AC100" i="47" s="1"/>
  <c r="AN90" i="47"/>
  <c r="AN94" i="47"/>
  <c r="AN100" i="47" s="1"/>
  <c r="U90" i="47"/>
  <c r="U94" i="47"/>
  <c r="U100" i="47" s="1"/>
  <c r="V147" i="48" s="1"/>
  <c r="AV67" i="47"/>
  <c r="BB35" i="115" s="1"/>
  <c r="Y67" i="47"/>
  <c r="AE35" i="115" s="1"/>
  <c r="AP91" i="47"/>
  <c r="AP95" i="47"/>
  <c r="AP101" i="47" s="1"/>
  <c r="H95" i="47"/>
  <c r="H91" i="47"/>
  <c r="AF95" i="47"/>
  <c r="AF101" i="47" s="1"/>
  <c r="AF91" i="47"/>
  <c r="BD91" i="47"/>
  <c r="BD95" i="47"/>
  <c r="BD101" i="47" s="1"/>
  <c r="M95" i="47"/>
  <c r="M91" i="47"/>
  <c r="P91" i="47"/>
  <c r="P95" i="47"/>
  <c r="Y96" i="47"/>
  <c r="Y99" i="47" s="1"/>
  <c r="Y92" i="47"/>
  <c r="AT92" i="47"/>
  <c r="AT96" i="47"/>
  <c r="AT99" i="47" s="1"/>
  <c r="P96" i="47"/>
  <c r="P99" i="47" s="1"/>
  <c r="P92" i="47"/>
  <c r="AP96" i="47"/>
  <c r="AP99" i="47" s="1"/>
  <c r="AP92" i="47"/>
  <c r="X92" i="47"/>
  <c r="X96" i="47"/>
  <c r="X99" i="47" s="1"/>
  <c r="U96" i="47"/>
  <c r="U99" i="47" s="1"/>
  <c r="U92" i="47"/>
  <c r="F50" i="47"/>
  <c r="L50" i="47"/>
  <c r="N50" i="47"/>
  <c r="I50" i="47"/>
  <c r="X50" i="47"/>
  <c r="AT50" i="47"/>
  <c r="V50" i="47"/>
  <c r="AW94" i="47"/>
  <c r="AW100" i="47" s="1"/>
  <c r="AW90" i="47"/>
  <c r="AD94" i="47"/>
  <c r="AD100" i="47" s="1"/>
  <c r="AD90" i="47"/>
  <c r="AM94" i="47"/>
  <c r="AM100" i="47" s="1"/>
  <c r="AM90" i="47"/>
  <c r="S94" i="47"/>
  <c r="S100" i="47" s="1"/>
  <c r="S90" i="47"/>
  <c r="AL94" i="47"/>
  <c r="AL100" i="47" s="1"/>
  <c r="AL90" i="47"/>
  <c r="J94" i="47"/>
  <c r="J100" i="47" s="1"/>
  <c r="J90" i="47"/>
  <c r="E64" i="47"/>
  <c r="F136" i="48"/>
  <c r="AP67" i="47"/>
  <c r="AV35" i="115" s="1"/>
  <c r="BB67" i="47"/>
  <c r="BH35" i="115" s="1"/>
  <c r="F140" i="48"/>
  <c r="E65" i="47"/>
  <c r="P50" i="48"/>
  <c r="O54" i="48"/>
  <c r="O55" i="48"/>
  <c r="O53" i="48"/>
  <c r="AY95" i="47"/>
  <c r="AY101" i="47" s="1"/>
  <c r="AY91" i="47"/>
  <c r="V95" i="47"/>
  <c r="V101" i="47" s="1"/>
  <c r="W146" i="48" s="1"/>
  <c r="V91" i="47"/>
  <c r="N91" i="47"/>
  <c r="N95" i="47"/>
  <c r="X95" i="47"/>
  <c r="X101" i="47" s="1"/>
  <c r="Y146" i="48" s="1"/>
  <c r="X91" i="47"/>
  <c r="AM95" i="47"/>
  <c r="AM101" i="47" s="1"/>
  <c r="AM91" i="47"/>
  <c r="R95" i="47"/>
  <c r="R101" i="47" s="1"/>
  <c r="S146" i="48" s="1"/>
  <c r="R91" i="47"/>
  <c r="G96" i="47"/>
  <c r="G99" i="47" s="1"/>
  <c r="G92" i="47"/>
  <c r="BB96" i="47"/>
  <c r="BB99" i="47" s="1"/>
  <c r="BB92" i="47"/>
  <c r="AY96" i="47"/>
  <c r="AY99" i="47" s="1"/>
  <c r="AY92" i="47"/>
  <c r="AA92" i="47"/>
  <c r="AA96" i="47"/>
  <c r="AA99" i="47" s="1"/>
  <c r="AD96" i="47"/>
  <c r="AD99" i="47" s="1"/>
  <c r="AD92" i="47"/>
  <c r="AI96" i="47"/>
  <c r="AI99" i="47" s="1"/>
  <c r="AI92" i="47"/>
  <c r="K96" i="47"/>
  <c r="K99" i="47" s="1"/>
  <c r="K92" i="47"/>
  <c r="U50" i="47"/>
  <c r="AO50" i="47"/>
  <c r="M50" i="47"/>
  <c r="AW50" i="47"/>
  <c r="BA50" i="47"/>
  <c r="AX50" i="47"/>
  <c r="O94" i="47"/>
  <c r="O100" i="47" s="1"/>
  <c r="O90" i="47"/>
  <c r="AR94" i="47"/>
  <c r="AR100" i="47" s="1"/>
  <c r="AR90" i="47"/>
  <c r="W94" i="47"/>
  <c r="W100" i="47" s="1"/>
  <c r="X147" i="48" s="1"/>
  <c r="W90" i="47"/>
  <c r="R94" i="47"/>
  <c r="R100" i="47" s="1"/>
  <c r="S147" i="48" s="1"/>
  <c r="R90" i="47"/>
  <c r="AA94" i="47"/>
  <c r="AA100" i="47" s="1"/>
  <c r="AA90" i="47"/>
  <c r="T94" i="47"/>
  <c r="T100" i="47" s="1"/>
  <c r="T90" i="47"/>
  <c r="AN67" i="47"/>
  <c r="AT35" i="115" s="1"/>
  <c r="AI67" i="47"/>
  <c r="AO35" i="115" s="1"/>
  <c r="AH67" i="47"/>
  <c r="AN35" i="115" s="1"/>
  <c r="AZ67" i="47"/>
  <c r="BF35" i="115" s="1"/>
  <c r="AC67" i="47"/>
  <c r="AI35" i="115" s="1"/>
  <c r="AY67" i="47"/>
  <c r="BE35" i="115" s="1"/>
  <c r="AS95" i="47"/>
  <c r="AS101" i="47" s="1"/>
  <c r="AS91" i="47"/>
  <c r="AO95" i="47"/>
  <c r="AO101" i="47" s="1"/>
  <c r="AO91" i="47"/>
  <c r="AX95" i="47"/>
  <c r="AX101" i="47" s="1"/>
  <c r="AX91" i="47"/>
  <c r="AQ95" i="47"/>
  <c r="AQ101" i="47" s="1"/>
  <c r="AQ91" i="47"/>
  <c r="AT91" i="47"/>
  <c r="AT95" i="47"/>
  <c r="AT101" i="47" s="1"/>
  <c r="Q95" i="47"/>
  <c r="Q101" i="47" s="1"/>
  <c r="R146" i="48" s="1"/>
  <c r="Q91" i="47"/>
  <c r="H96" i="47"/>
  <c r="H99" i="47" s="1"/>
  <c r="H92" i="47"/>
  <c r="O96" i="47"/>
  <c r="O99" i="47" s="1"/>
  <c r="O92" i="47"/>
  <c r="Z92" i="47"/>
  <c r="Z96" i="47"/>
  <c r="Z99" i="47" s="1"/>
  <c r="AB96" i="47"/>
  <c r="AB99" i="47" s="1"/>
  <c r="AB92" i="47"/>
  <c r="AK96" i="47"/>
  <c r="AK99" i="47" s="1"/>
  <c r="AK92" i="47"/>
  <c r="BC96" i="47"/>
  <c r="BC99" i="47" s="1"/>
  <c r="BC92" i="47"/>
  <c r="AH92" i="47"/>
  <c r="AH96" i="47"/>
  <c r="AH99" i="47" s="1"/>
  <c r="P50" i="47"/>
  <c r="AG50" i="47"/>
  <c r="K50" i="47"/>
  <c r="AQ50" i="47"/>
  <c r="AS50" i="47"/>
  <c r="AE50" i="47"/>
  <c r="G94" i="47"/>
  <c r="G100" i="47" s="1"/>
  <c r="G90" i="47"/>
  <c r="V94" i="47"/>
  <c r="V100" i="47" s="1"/>
  <c r="W147" i="48" s="1"/>
  <c r="V90" i="47"/>
  <c r="AJ94" i="47"/>
  <c r="AJ100" i="47" s="1"/>
  <c r="AJ90" i="47"/>
  <c r="N94" i="47"/>
  <c r="N100" i="47" s="1"/>
  <c r="N90" i="47"/>
  <c r="AZ94" i="47"/>
  <c r="AZ100" i="47" s="1"/>
  <c r="AZ90" i="47"/>
  <c r="AP94" i="47"/>
  <c r="AP100" i="47" s="1"/>
  <c r="AP90" i="47"/>
  <c r="X94" i="47"/>
  <c r="X100" i="47" s="1"/>
  <c r="Y147" i="48" s="1"/>
  <c r="X90" i="47"/>
  <c r="AJ67" i="47"/>
  <c r="AP35" i="115" s="1"/>
  <c r="AT67" i="47"/>
  <c r="AZ35" i="115" s="1"/>
  <c r="AG67" i="47"/>
  <c r="AM35" i="115" s="1"/>
  <c r="BD67" i="47"/>
  <c r="BJ35" i="115" s="1"/>
  <c r="AQ67" i="47"/>
  <c r="AW35" i="115" s="1"/>
  <c r="BA67" i="47"/>
  <c r="BG35" i="115" s="1"/>
  <c r="L83" i="47" l="1"/>
  <c r="N83" i="47"/>
  <c r="R83" i="47"/>
  <c r="Q83" i="47"/>
  <c r="AB83" i="47"/>
  <c r="AD83" i="47"/>
  <c r="Y83" i="47"/>
  <c r="AU83" i="47"/>
  <c r="BF84" i="47"/>
  <c r="J147" i="48"/>
  <c r="T83" i="47"/>
  <c r="AV83" i="47"/>
  <c r="BB83" i="47"/>
  <c r="W83" i="47"/>
  <c r="AT83" i="47"/>
  <c r="U83" i="47"/>
  <c r="AP83" i="47"/>
  <c r="Z85" i="47"/>
  <c r="Z83" i="47" s="1"/>
  <c r="AL83" i="47"/>
  <c r="AA83" i="47"/>
  <c r="AQ83" i="47"/>
  <c r="AN83" i="47"/>
  <c r="BF85" i="47"/>
  <c r="F69" i="48" s="1"/>
  <c r="K83" i="47"/>
  <c r="AJ83" i="47"/>
  <c r="AC30" i="48"/>
  <c r="S83" i="47"/>
  <c r="AG83" i="47"/>
  <c r="X83" i="47"/>
  <c r="V66" i="47"/>
  <c r="AA131" i="47"/>
  <c r="X143" i="48"/>
  <c r="S67" i="47"/>
  <c r="Y35" i="115" s="1"/>
  <c r="Y143" i="48"/>
  <c r="S66" i="47"/>
  <c r="S114" i="47" s="1"/>
  <c r="T123" i="48" s="1"/>
  <c r="X67" i="47"/>
  <c r="AD35" i="115" s="1"/>
  <c r="T67" i="47"/>
  <c r="Z35" i="115" s="1"/>
  <c r="T66" i="47"/>
  <c r="T115" i="47" s="1"/>
  <c r="U124" i="48" s="1"/>
  <c r="V67" i="47"/>
  <c r="AB35" i="115" s="1"/>
  <c r="Y139" i="48"/>
  <c r="Y152" i="48"/>
  <c r="Y138" i="48"/>
  <c r="X139" i="48"/>
  <c r="X152" i="48"/>
  <c r="X138" i="48"/>
  <c r="Y153" i="48"/>
  <c r="Y154" i="48"/>
  <c r="Y142" i="48"/>
  <c r="X66" i="47"/>
  <c r="X114" i="47" s="1"/>
  <c r="Y123" i="48" s="1"/>
  <c r="X154" i="48"/>
  <c r="X153" i="48"/>
  <c r="X142" i="48"/>
  <c r="U139" i="48"/>
  <c r="U143" i="48"/>
  <c r="S139" i="48"/>
  <c r="R67" i="47"/>
  <c r="X35" i="115" s="1"/>
  <c r="U66" i="47"/>
  <c r="U116" i="47" s="1"/>
  <c r="V125" i="48" s="1"/>
  <c r="U67" i="47"/>
  <c r="AA35" i="115" s="1"/>
  <c r="R66" i="47"/>
  <c r="R115" i="47" s="1"/>
  <c r="S124" i="48" s="1"/>
  <c r="Q67" i="47"/>
  <c r="W35" i="115" s="1"/>
  <c r="Q66" i="47"/>
  <c r="Q115" i="47" s="1"/>
  <c r="R124" i="48" s="1"/>
  <c r="V143" i="48"/>
  <c r="T131" i="47"/>
  <c r="U147" i="48"/>
  <c r="T152" i="48"/>
  <c r="T138" i="48"/>
  <c r="S131" i="47"/>
  <c r="T147" i="48"/>
  <c r="W139" i="48"/>
  <c r="W143" i="48"/>
  <c r="W152" i="48"/>
  <c r="W138" i="48"/>
  <c r="W153" i="48"/>
  <c r="W154" i="48"/>
  <c r="W142" i="48"/>
  <c r="R139" i="48"/>
  <c r="R143" i="48"/>
  <c r="V154" i="48"/>
  <c r="V142" i="48"/>
  <c r="V153" i="48"/>
  <c r="T143" i="48"/>
  <c r="R152" i="48"/>
  <c r="R138" i="48"/>
  <c r="R153" i="48"/>
  <c r="AE70" i="48" s="1"/>
  <c r="R142" i="48"/>
  <c r="R154" i="48"/>
  <c r="T153" i="48"/>
  <c r="T142" i="48"/>
  <c r="T154" i="48"/>
  <c r="S143" i="48"/>
  <c r="V139" i="48"/>
  <c r="U152" i="48"/>
  <c r="U138" i="48"/>
  <c r="S153" i="48"/>
  <c r="S154" i="48"/>
  <c r="S142" i="48"/>
  <c r="V152" i="48"/>
  <c r="V138" i="48"/>
  <c r="T139" i="48"/>
  <c r="S152" i="48"/>
  <c r="S138" i="48"/>
  <c r="U153" i="48"/>
  <c r="U142" i="48"/>
  <c r="U154" i="48"/>
  <c r="D93" i="47"/>
  <c r="K33" i="115"/>
  <c r="E67" i="47"/>
  <c r="G147" i="48"/>
  <c r="I147" i="48"/>
  <c r="N147" i="48"/>
  <c r="V30" i="48"/>
  <c r="Q137" i="48"/>
  <c r="Q152" i="48" s="1"/>
  <c r="E78" i="47"/>
  <c r="E88" i="47" s="1"/>
  <c r="D87" i="47"/>
  <c r="D86" i="47" s="1"/>
  <c r="D116" i="47"/>
  <c r="D115" i="47"/>
  <c r="K147" i="48"/>
  <c r="BH64" i="47" a="1"/>
  <c r="BH64" i="47" s="1"/>
  <c r="BH65" i="47" a="1"/>
  <c r="BH65" i="47" s="1"/>
  <c r="O147" i="48"/>
  <c r="H147" i="48"/>
  <c r="M147" i="48"/>
  <c r="P147" i="48"/>
  <c r="Q147" i="48"/>
  <c r="L147" i="48"/>
  <c r="Q153" i="48"/>
  <c r="Q154" i="48"/>
  <c r="P30" i="48"/>
  <c r="BC126" i="47"/>
  <c r="Q30" i="48"/>
  <c r="Z126" i="47"/>
  <c r="AT126" i="47"/>
  <c r="AU126" i="47"/>
  <c r="AB126" i="47"/>
  <c r="R30" i="48"/>
  <c r="T30" i="48"/>
  <c r="AY126" i="47"/>
  <c r="S126" i="47"/>
  <c r="U126" i="47"/>
  <c r="G137" i="48"/>
  <c r="G152" i="48" s="1"/>
  <c r="AK126" i="47"/>
  <c r="S30" i="48"/>
  <c r="AI126" i="47"/>
  <c r="AE126" i="47"/>
  <c r="AA126" i="47"/>
  <c r="AJ126" i="47"/>
  <c r="O30" i="48"/>
  <c r="AM126" i="47"/>
  <c r="AV126" i="47"/>
  <c r="AO126" i="47"/>
  <c r="AR126" i="47"/>
  <c r="BA126" i="47"/>
  <c r="AL126" i="47"/>
  <c r="N30" i="48"/>
  <c r="X126" i="47"/>
  <c r="W126" i="47"/>
  <c r="U30" i="48"/>
  <c r="BB126" i="47"/>
  <c r="Y126" i="47"/>
  <c r="Q126" i="47"/>
  <c r="AS126" i="47"/>
  <c r="AW126" i="47"/>
  <c r="R126" i="47"/>
  <c r="AF126" i="47"/>
  <c r="AG126" i="47"/>
  <c r="AQ126" i="47"/>
  <c r="AX126" i="47"/>
  <c r="E126" i="47"/>
  <c r="AH126" i="47"/>
  <c r="AD126" i="47"/>
  <c r="AP126" i="47"/>
  <c r="BD126" i="47"/>
  <c r="V126" i="47"/>
  <c r="BH100" i="47" a="1"/>
  <c r="BH100" i="47" s="1"/>
  <c r="T126" i="47"/>
  <c r="AZ126" i="47"/>
  <c r="AC126" i="47"/>
  <c r="AN126" i="47"/>
  <c r="K141" i="48"/>
  <c r="M141" i="48"/>
  <c r="G141" i="48"/>
  <c r="O141" i="48"/>
  <c r="F147" i="48"/>
  <c r="BF100" i="47"/>
  <c r="I141" i="48"/>
  <c r="O137" i="48"/>
  <c r="O152" i="48" s="1"/>
  <c r="N141" i="48"/>
  <c r="F137" i="48"/>
  <c r="F152" i="48" s="1"/>
  <c r="F141" i="48"/>
  <c r="F154" i="48" s="1"/>
  <c r="N137" i="48"/>
  <c r="N152" i="48" s="1"/>
  <c r="J137" i="48"/>
  <c r="J152" i="48" s="1"/>
  <c r="M137" i="48"/>
  <c r="M152" i="48" s="1"/>
  <c r="K137" i="48"/>
  <c r="K152" i="48" s="1"/>
  <c r="H137" i="48"/>
  <c r="H152" i="48" s="1"/>
  <c r="P141" i="48"/>
  <c r="W30" i="48"/>
  <c r="M30" i="48"/>
  <c r="J141" i="48"/>
  <c r="J153" i="48" s="1"/>
  <c r="P137" i="48"/>
  <c r="P152" i="48" s="1"/>
  <c r="H141" i="48"/>
  <c r="I137" i="48"/>
  <c r="I152" i="48" s="1"/>
  <c r="L141" i="48"/>
  <c r="AZ131" i="47"/>
  <c r="AR131" i="47"/>
  <c r="P66" i="47"/>
  <c r="O66" i="47"/>
  <c r="L66" i="47"/>
  <c r="J66" i="47"/>
  <c r="K66" i="47"/>
  <c r="M66" i="47"/>
  <c r="N66" i="47"/>
  <c r="F66" i="47"/>
  <c r="G66" i="47"/>
  <c r="I66" i="47"/>
  <c r="E66" i="47"/>
  <c r="H66" i="47"/>
  <c r="AU131" i="47"/>
  <c r="AJ131" i="47"/>
  <c r="W131" i="47"/>
  <c r="AG131" i="47"/>
  <c r="AD131" i="47"/>
  <c r="V131" i="47"/>
  <c r="R131" i="47"/>
  <c r="Y131" i="47"/>
  <c r="AN89" i="47"/>
  <c r="AX131" i="47"/>
  <c r="Z131" i="47"/>
  <c r="AQ131" i="47"/>
  <c r="AY131" i="47"/>
  <c r="AM131" i="47"/>
  <c r="W114" i="47"/>
  <c r="X123" i="48" s="1"/>
  <c r="W115" i="47"/>
  <c r="X124" i="48" s="1"/>
  <c r="W116" i="47"/>
  <c r="X125" i="48" s="1"/>
  <c r="AB114" i="47"/>
  <c r="AB115" i="47"/>
  <c r="AB116" i="47"/>
  <c r="AU114" i="47"/>
  <c r="AU115" i="47"/>
  <c r="AU116" i="47"/>
  <c r="AY114" i="47"/>
  <c r="AY116" i="47"/>
  <c r="AY115" i="47"/>
  <c r="AD114" i="47"/>
  <c r="AD115" i="47"/>
  <c r="AD116" i="47"/>
  <c r="R120" i="47"/>
  <c r="S126" i="48" s="1"/>
  <c r="R122" i="47"/>
  <c r="S128" i="48" s="1"/>
  <c r="R121" i="47"/>
  <c r="S127" i="48" s="1"/>
  <c r="V120" i="47"/>
  <c r="W126" i="48" s="1"/>
  <c r="V121" i="47"/>
  <c r="W127" i="48" s="1"/>
  <c r="V122" i="47"/>
  <c r="W128" i="48" s="1"/>
  <c r="M101" i="47"/>
  <c r="M126" i="47" s="1"/>
  <c r="AC131" i="47"/>
  <c r="AD120" i="47"/>
  <c r="AD121" i="47"/>
  <c r="AD122" i="47"/>
  <c r="T120" i="47"/>
  <c r="U126" i="48" s="1"/>
  <c r="T121" i="47"/>
  <c r="U127" i="48" s="1"/>
  <c r="T122" i="47"/>
  <c r="U128" i="48" s="1"/>
  <c r="AH131" i="47"/>
  <c r="E120" i="47"/>
  <c r="E122" i="47"/>
  <c r="E121" i="47"/>
  <c r="F101" i="47"/>
  <c r="F126" i="47" s="1"/>
  <c r="AF131" i="47"/>
  <c r="AF114" i="47"/>
  <c r="AF115" i="47"/>
  <c r="AF116" i="47"/>
  <c r="AE114" i="47"/>
  <c r="AE115" i="47"/>
  <c r="AE116" i="47"/>
  <c r="AR114" i="47"/>
  <c r="AR115" i="47"/>
  <c r="AR116" i="47"/>
  <c r="BA114" i="47"/>
  <c r="BA116" i="47"/>
  <c r="BA115" i="47"/>
  <c r="AC115" i="47"/>
  <c r="AC114" i="47"/>
  <c r="AC116" i="47"/>
  <c r="AM114" i="47"/>
  <c r="AM115" i="47"/>
  <c r="AM116" i="47"/>
  <c r="AP122" i="47"/>
  <c r="AP120" i="47"/>
  <c r="AP121" i="47"/>
  <c r="AC122" i="47"/>
  <c r="AC121" i="47"/>
  <c r="AC120" i="47"/>
  <c r="E131" i="47"/>
  <c r="O101" i="47"/>
  <c r="O126" i="47" s="1"/>
  <c r="AE120" i="47"/>
  <c r="AE121" i="47"/>
  <c r="AE122" i="47"/>
  <c r="AQ121" i="47"/>
  <c r="AQ122" i="47"/>
  <c r="AQ120" i="47"/>
  <c r="AL131" i="47"/>
  <c r="AW131" i="47"/>
  <c r="BD120" i="47"/>
  <c r="BD121" i="47"/>
  <c r="BD122" i="47"/>
  <c r="AH121" i="47"/>
  <c r="AH122" i="47"/>
  <c r="AH120" i="47"/>
  <c r="Q131" i="47"/>
  <c r="W120" i="47"/>
  <c r="X126" i="48" s="1"/>
  <c r="W121" i="47"/>
  <c r="X127" i="48" s="1"/>
  <c r="W122" i="47"/>
  <c r="X128" i="48" s="1"/>
  <c r="AO131" i="47"/>
  <c r="BB131" i="47"/>
  <c r="Y121" i="47"/>
  <c r="Y120" i="47"/>
  <c r="Y122" i="47"/>
  <c r="AG121" i="47"/>
  <c r="AG122" i="47"/>
  <c r="AG120" i="47"/>
  <c r="AA115" i="47"/>
  <c r="AA114" i="47"/>
  <c r="AA116" i="47"/>
  <c r="AX114" i="47"/>
  <c r="AX116" i="47"/>
  <c r="AX115" i="47"/>
  <c r="BC114" i="47"/>
  <c r="BC115" i="47"/>
  <c r="BC116" i="47"/>
  <c r="AQ115" i="47"/>
  <c r="AQ116" i="47"/>
  <c r="AQ114" i="47"/>
  <c r="AZ114" i="47"/>
  <c r="AZ115" i="47"/>
  <c r="AZ116" i="47"/>
  <c r="X115" i="47"/>
  <c r="Y124" i="48" s="1"/>
  <c r="X116" i="47"/>
  <c r="Y125" i="48" s="1"/>
  <c r="Y116" i="47"/>
  <c r="Y115" i="47"/>
  <c r="Y114" i="47"/>
  <c r="AL114" i="47"/>
  <c r="AL115" i="47"/>
  <c r="AL116" i="47"/>
  <c r="U120" i="47"/>
  <c r="V126" i="48" s="1"/>
  <c r="U122" i="47"/>
  <c r="V128" i="48" s="1"/>
  <c r="U121" i="47"/>
  <c r="V127" i="48" s="1"/>
  <c r="AB120" i="47"/>
  <c r="AB121" i="47"/>
  <c r="AB122" i="47"/>
  <c r="X89" i="47"/>
  <c r="AM120" i="47"/>
  <c r="AM121" i="47"/>
  <c r="AM122" i="47"/>
  <c r="AY120" i="47"/>
  <c r="AY122" i="47"/>
  <c r="AY121" i="47"/>
  <c r="AT131" i="47"/>
  <c r="AJ120" i="47"/>
  <c r="AJ121" i="47"/>
  <c r="AJ122" i="47"/>
  <c r="AA121" i="47"/>
  <c r="AA122" i="47"/>
  <c r="AA120" i="47"/>
  <c r="AU120" i="47"/>
  <c r="AU121" i="47"/>
  <c r="AU122" i="47"/>
  <c r="AB131" i="47"/>
  <c r="AW114" i="47"/>
  <c r="AW116" i="47"/>
  <c r="AW115" i="47"/>
  <c r="BD114" i="47"/>
  <c r="BD115" i="47"/>
  <c r="BD116" i="47"/>
  <c r="AH114" i="47"/>
  <c r="AH116" i="47"/>
  <c r="AH115" i="47"/>
  <c r="BB114" i="47"/>
  <c r="BB115" i="47"/>
  <c r="BB116" i="47"/>
  <c r="T114" i="47"/>
  <c r="U123" i="48" s="1"/>
  <c r="AK120" i="47"/>
  <c r="AK121" i="47"/>
  <c r="AK122" i="47"/>
  <c r="X131" i="47"/>
  <c r="AX121" i="47"/>
  <c r="AX120" i="47"/>
  <c r="AX122" i="47"/>
  <c r="S120" i="47"/>
  <c r="T126" i="48" s="1"/>
  <c r="S122" i="47"/>
  <c r="T128" i="48" s="1"/>
  <c r="S121" i="47"/>
  <c r="T127" i="48" s="1"/>
  <c r="AE131" i="47"/>
  <c r="BA131" i="47"/>
  <c r="Z121" i="47"/>
  <c r="Z120" i="47"/>
  <c r="Z122" i="47"/>
  <c r="AV131" i="47"/>
  <c r="BC131" i="47"/>
  <c r="BB120" i="47"/>
  <c r="BB121" i="47"/>
  <c r="BB122" i="47"/>
  <c r="BD131" i="47"/>
  <c r="I101" i="47"/>
  <c r="I126" i="47" s="1"/>
  <c r="AR120" i="47"/>
  <c r="AR121" i="47"/>
  <c r="AR122" i="47"/>
  <c r="AS115" i="47"/>
  <c r="AS116" i="47"/>
  <c r="AS114" i="47"/>
  <c r="AG114" i="47"/>
  <c r="AG116" i="47"/>
  <c r="AG115" i="47"/>
  <c r="AP115" i="47"/>
  <c r="AP114" i="47"/>
  <c r="AP116" i="47"/>
  <c r="AV114" i="47"/>
  <c r="AV115" i="47"/>
  <c r="AV116" i="47"/>
  <c r="X120" i="47"/>
  <c r="Y126" i="48" s="1"/>
  <c r="X121" i="47"/>
  <c r="Y127" i="48" s="1"/>
  <c r="X122" i="47"/>
  <c r="Y128" i="48" s="1"/>
  <c r="AF120" i="47"/>
  <c r="AF121" i="47"/>
  <c r="AF122" i="47"/>
  <c r="U131" i="47"/>
  <c r="AZ120" i="47"/>
  <c r="AZ121" i="47"/>
  <c r="AZ122" i="47"/>
  <c r="AW121" i="47"/>
  <c r="AW120" i="47"/>
  <c r="AW122" i="47"/>
  <c r="U114" i="47"/>
  <c r="V123" i="48" s="1"/>
  <c r="AT114" i="47"/>
  <c r="AT115" i="47"/>
  <c r="AT116" i="47"/>
  <c r="AI114" i="47"/>
  <c r="AI116" i="47"/>
  <c r="AI115" i="47"/>
  <c r="AO122" i="47"/>
  <c r="AO120" i="47"/>
  <c r="AO121" i="47"/>
  <c r="N101" i="47"/>
  <c r="N126" i="47" s="1"/>
  <c r="P101" i="47"/>
  <c r="AL120" i="47"/>
  <c r="AL121" i="47"/>
  <c r="AL122" i="47"/>
  <c r="AS131" i="47"/>
  <c r="L101" i="47"/>
  <c r="L126" i="47" s="1"/>
  <c r="BC120" i="47"/>
  <c r="BC121" i="47"/>
  <c r="BC122" i="47"/>
  <c r="BA120" i="47"/>
  <c r="BA121" i="47"/>
  <c r="BA122" i="47"/>
  <c r="AJ114" i="47"/>
  <c r="AJ115" i="47"/>
  <c r="AJ116" i="47"/>
  <c r="AN114" i="47"/>
  <c r="AN115" i="47"/>
  <c r="AN116" i="47"/>
  <c r="AO115" i="47"/>
  <c r="AO114" i="47"/>
  <c r="AO116" i="47"/>
  <c r="AS121" i="47"/>
  <c r="AS122" i="47"/>
  <c r="AS120" i="47"/>
  <c r="AP131" i="47"/>
  <c r="Q120" i="47"/>
  <c r="R126" i="48" s="1"/>
  <c r="Q122" i="47"/>
  <c r="R128" i="48" s="1"/>
  <c r="Q121" i="47"/>
  <c r="R127" i="48" s="1"/>
  <c r="AK131" i="47"/>
  <c r="K101" i="47"/>
  <c r="AI120" i="47"/>
  <c r="AI121" i="47"/>
  <c r="AI122" i="47"/>
  <c r="AV120" i="47"/>
  <c r="AV121" i="47"/>
  <c r="AV122" i="47"/>
  <c r="AI131" i="47"/>
  <c r="J101" i="47"/>
  <c r="AN120" i="47"/>
  <c r="AN121" i="47"/>
  <c r="AN122" i="47"/>
  <c r="AT120" i="47"/>
  <c r="AT121" i="47"/>
  <c r="AT122" i="47"/>
  <c r="H101" i="47"/>
  <c r="AN131" i="47"/>
  <c r="G101" i="47"/>
  <c r="V114" i="47"/>
  <c r="W123" i="48" s="1"/>
  <c r="V115" i="47"/>
  <c r="W124" i="48" s="1"/>
  <c r="V116" i="47"/>
  <c r="W125" i="48" s="1"/>
  <c r="Z116" i="47"/>
  <c r="Z115" i="47"/>
  <c r="Z114" i="47"/>
  <c r="AK114" i="47"/>
  <c r="AK116" i="47"/>
  <c r="AK115" i="47"/>
  <c r="BA89" i="47"/>
  <c r="AL89" i="47"/>
  <c r="AJ68" i="48"/>
  <c r="AI69" i="48"/>
  <c r="W89" i="47"/>
  <c r="N67" i="47"/>
  <c r="T35" i="115" s="1"/>
  <c r="P67" i="47"/>
  <c r="V35" i="115" s="1"/>
  <c r="AW89" i="47"/>
  <c r="AR89" i="47"/>
  <c r="AZ89" i="47"/>
  <c r="I89" i="47"/>
  <c r="R89" i="47"/>
  <c r="I67" i="47"/>
  <c r="O67" i="47"/>
  <c r="U35" i="115" s="1"/>
  <c r="J67" i="47"/>
  <c r="G67" i="47"/>
  <c r="K67" i="47"/>
  <c r="H67" i="47"/>
  <c r="BF64" i="47"/>
  <c r="BF49" i="47"/>
  <c r="AG89" i="47"/>
  <c r="N89" i="47"/>
  <c r="L67" i="47"/>
  <c r="AC89" i="47"/>
  <c r="G89" i="47"/>
  <c r="BH92" i="47" a="1"/>
  <c r="BH92" i="47" s="1"/>
  <c r="BF92" i="47"/>
  <c r="T89" i="47"/>
  <c r="BF90" i="47"/>
  <c r="BH90" i="47" a="1"/>
  <c r="BH90" i="47" s="1"/>
  <c r="O89" i="47"/>
  <c r="BF65" i="47"/>
  <c r="F67" i="47"/>
  <c r="AU89" i="47"/>
  <c r="BF94" i="47"/>
  <c r="BH94" i="47" a="1"/>
  <c r="BH94" i="47" s="1"/>
  <c r="BH96" i="47" a="1"/>
  <c r="BH96" i="47" s="1"/>
  <c r="BF96" i="47"/>
  <c r="F67" i="48" s="1"/>
  <c r="G79" i="47"/>
  <c r="BF95" i="47"/>
  <c r="BH95" i="47" a="1"/>
  <c r="BH95" i="47" s="1"/>
  <c r="BF50" i="47"/>
  <c r="BF91" i="47"/>
  <c r="BH91" i="47" a="1"/>
  <c r="BH91" i="47" s="1"/>
  <c r="AP89" i="47"/>
  <c r="S89" i="47"/>
  <c r="AJ89" i="47"/>
  <c r="V89" i="47"/>
  <c r="M67" i="47"/>
  <c r="E83" i="47"/>
  <c r="BH84" i="47" a="1"/>
  <c r="BH84" i="47" s="1"/>
  <c r="E69" i="48"/>
  <c r="Y89" i="47"/>
  <c r="AX93" i="47"/>
  <c r="E93" i="47"/>
  <c r="M89" i="47"/>
  <c r="AF93" i="47"/>
  <c r="L89" i="47"/>
  <c r="L30" i="48"/>
  <c r="X93" i="47"/>
  <c r="AA89" i="47"/>
  <c r="S93" i="47"/>
  <c r="AT93" i="47"/>
  <c r="AU93" i="47"/>
  <c r="P89" i="47"/>
  <c r="Q89" i="47"/>
  <c r="M93" i="47"/>
  <c r="AF89" i="47"/>
  <c r="L93" i="47"/>
  <c r="P54" i="48"/>
  <c r="P55" i="48"/>
  <c r="Q50" i="48"/>
  <c r="P53" i="48"/>
  <c r="AA93" i="47"/>
  <c r="O93" i="47"/>
  <c r="AM89" i="47"/>
  <c r="AT89" i="47"/>
  <c r="I93" i="47"/>
  <c r="P93" i="47"/>
  <c r="Q93" i="47"/>
  <c r="AO89" i="47"/>
  <c r="BB89" i="47"/>
  <c r="BD89" i="47"/>
  <c r="AB93" i="47"/>
  <c r="AR93" i="47"/>
  <c r="AP93" i="47"/>
  <c r="V93" i="47"/>
  <c r="AM93" i="47"/>
  <c r="U93" i="47"/>
  <c r="AK89" i="47"/>
  <c r="AH93" i="47"/>
  <c r="K89" i="47"/>
  <c r="AE89" i="47"/>
  <c r="AO93" i="47"/>
  <c r="BB93" i="47"/>
  <c r="BD93" i="47"/>
  <c r="AB89" i="47"/>
  <c r="T93" i="47"/>
  <c r="AJ93" i="47"/>
  <c r="R93" i="47"/>
  <c r="J89" i="47"/>
  <c r="AD89" i="47"/>
  <c r="U89" i="47"/>
  <c r="AK93" i="47"/>
  <c r="AH89" i="47"/>
  <c r="K93" i="47"/>
  <c r="AE93" i="47"/>
  <c r="BA93" i="47"/>
  <c r="AV89" i="47"/>
  <c r="BC89" i="47"/>
  <c r="AY93" i="47"/>
  <c r="H93" i="47"/>
  <c r="AZ93" i="47"/>
  <c r="G93" i="47"/>
  <c r="J93" i="47"/>
  <c r="AD93" i="47"/>
  <c r="AN93" i="47"/>
  <c r="AQ89" i="47"/>
  <c r="AS89" i="47"/>
  <c r="AV93" i="47"/>
  <c r="BC93" i="47"/>
  <c r="R85" i="48"/>
  <c r="AY89" i="47"/>
  <c r="H89" i="47"/>
  <c r="W93" i="47"/>
  <c r="AG93" i="47"/>
  <c r="AQ93" i="47"/>
  <c r="AS93" i="47"/>
  <c r="AI89" i="47"/>
  <c r="F93" i="47"/>
  <c r="F53" i="47"/>
  <c r="H79" i="47" s="1"/>
  <c r="H53" i="47" s="1"/>
  <c r="J79" i="47" s="1"/>
  <c r="J53" i="47" s="1"/>
  <c r="L79" i="47" s="1"/>
  <c r="L53" i="47" s="1"/>
  <c r="N79" i="47" s="1"/>
  <c r="N53" i="47" s="1"/>
  <c r="P79" i="47" s="1"/>
  <c r="P53" i="47" s="1"/>
  <c r="R79" i="47" s="1"/>
  <c r="R53" i="47" s="1"/>
  <c r="T79" i="47" s="1"/>
  <c r="T53" i="47" s="1"/>
  <c r="V79" i="47" s="1"/>
  <c r="V53" i="47" s="1"/>
  <c r="X79" i="47" s="1"/>
  <c r="X53" i="47" s="1"/>
  <c r="Z79" i="47" s="1"/>
  <c r="Z53" i="47" s="1"/>
  <c r="AB79" i="47" s="1"/>
  <c r="AB53" i="47" s="1"/>
  <c r="AD79" i="47" s="1"/>
  <c r="AD53" i="47" s="1"/>
  <c r="AF79" i="47" s="1"/>
  <c r="AF53" i="47" s="1"/>
  <c r="AH79" i="47" s="1"/>
  <c r="AH53" i="47" s="1"/>
  <c r="AJ79" i="47" s="1"/>
  <c r="AJ53" i="47" s="1"/>
  <c r="AL79" i="47" s="1"/>
  <c r="AL53" i="47" s="1"/>
  <c r="AN79" i="47" s="1"/>
  <c r="AN53" i="47" s="1"/>
  <c r="AP79" i="47" s="1"/>
  <c r="AP53" i="47" s="1"/>
  <c r="AR79" i="47" s="1"/>
  <c r="AR53" i="47" s="1"/>
  <c r="AT79" i="47" s="1"/>
  <c r="AT53" i="47" s="1"/>
  <c r="AV79" i="47" s="1"/>
  <c r="AV53" i="47" s="1"/>
  <c r="AX79" i="47" s="1"/>
  <c r="AX53" i="47" s="1"/>
  <c r="AZ79" i="47" s="1"/>
  <c r="AZ53" i="47" s="1"/>
  <c r="BB79" i="47" s="1"/>
  <c r="BB53" i="47" s="1"/>
  <c r="BD79" i="47" s="1"/>
  <c r="BD53" i="47" s="1"/>
  <c r="Z89" i="47"/>
  <c r="N93" i="47"/>
  <c r="AL93" i="47"/>
  <c r="AW93" i="47"/>
  <c r="AC93" i="47"/>
  <c r="Y93" i="47"/>
  <c r="AX89" i="47"/>
  <c r="E89" i="47"/>
  <c r="AI93" i="47"/>
  <c r="F89" i="47"/>
  <c r="Z93" i="47"/>
  <c r="BH85" i="47" l="1" a="1"/>
  <c r="BH85" i="47" s="1"/>
  <c r="BF83" i="47"/>
  <c r="T116" i="47"/>
  <c r="U125" i="48" s="1"/>
  <c r="S115" i="47"/>
  <c r="T124" i="48" s="1"/>
  <c r="S116" i="47"/>
  <c r="T125" i="48" s="1"/>
  <c r="R116" i="47"/>
  <c r="S125" i="48" s="1"/>
  <c r="R114" i="47"/>
  <c r="S123" i="48" s="1"/>
  <c r="X155" i="48"/>
  <c r="Y155" i="48"/>
  <c r="AI70" i="48"/>
  <c r="AI71" i="48" s="1"/>
  <c r="Q116" i="47"/>
  <c r="R125" i="48" s="1"/>
  <c r="U115" i="47"/>
  <c r="V124" i="48" s="1"/>
  <c r="Q114" i="47"/>
  <c r="R123" i="48" s="1"/>
  <c r="AJ70" i="48"/>
  <c r="L33" i="115"/>
  <c r="M33" i="115" s="1"/>
  <c r="N33" i="115" s="1"/>
  <c r="S155" i="48"/>
  <c r="AF69" i="48"/>
  <c r="U155" i="48"/>
  <c r="AH69" i="48"/>
  <c r="D105" i="47"/>
  <c r="V155" i="48"/>
  <c r="R155" i="48"/>
  <c r="AE69" i="48"/>
  <c r="AE71" i="48" s="1"/>
  <c r="T155" i="48"/>
  <c r="AG69" i="48"/>
  <c r="AH70" i="48"/>
  <c r="AF70" i="48"/>
  <c r="AG70" i="48"/>
  <c r="W155" i="48"/>
  <c r="G146" i="48"/>
  <c r="Q35" i="115"/>
  <c r="O35" i="115"/>
  <c r="P35" i="115"/>
  <c r="S35" i="115"/>
  <c r="R35" i="115"/>
  <c r="N35" i="115"/>
  <c r="M35" i="115"/>
  <c r="L35" i="115"/>
  <c r="K35" i="115"/>
  <c r="J146" i="48"/>
  <c r="E52" i="47"/>
  <c r="D102" i="47"/>
  <c r="P146" i="48"/>
  <c r="K146" i="48"/>
  <c r="H146" i="48"/>
  <c r="Q146" i="48"/>
  <c r="AD70" i="48"/>
  <c r="Q155" i="48"/>
  <c r="F153" i="48"/>
  <c r="S70" i="48" s="1"/>
  <c r="H154" i="48"/>
  <c r="H153" i="48"/>
  <c r="I153" i="48"/>
  <c r="I154" i="48"/>
  <c r="J154" i="48"/>
  <c r="J155" i="48" s="1"/>
  <c r="O154" i="48"/>
  <c r="O153" i="48"/>
  <c r="G154" i="48"/>
  <c r="G153" i="48"/>
  <c r="P154" i="48"/>
  <c r="P153" i="48"/>
  <c r="M142" i="48"/>
  <c r="M154" i="48"/>
  <c r="M153" i="48"/>
  <c r="L153" i="48"/>
  <c r="L154" i="48"/>
  <c r="N154" i="48"/>
  <c r="N153" i="48"/>
  <c r="K153" i="48"/>
  <c r="K154" i="48"/>
  <c r="G53" i="47"/>
  <c r="I79" i="47" s="1"/>
  <c r="I53" i="47" s="1"/>
  <c r="H126" i="47"/>
  <c r="J126" i="47"/>
  <c r="G126" i="47"/>
  <c r="P126" i="47"/>
  <c r="K126" i="47"/>
  <c r="O131" i="47"/>
  <c r="O146" i="48"/>
  <c r="F131" i="47"/>
  <c r="BF101" i="47"/>
  <c r="F146" i="48"/>
  <c r="N131" i="47"/>
  <c r="N146" i="48"/>
  <c r="I131" i="47"/>
  <c r="I146" i="48"/>
  <c r="L131" i="47"/>
  <c r="L146" i="48"/>
  <c r="M131" i="47"/>
  <c r="M146" i="48"/>
  <c r="BH101" i="47" a="1"/>
  <c r="BH101" i="47" s="1"/>
  <c r="BH66" i="47" a="1"/>
  <c r="BH66" i="47" s="1"/>
  <c r="BF66" i="47"/>
  <c r="N139" i="48"/>
  <c r="H138" i="48"/>
  <c r="G114" i="47"/>
  <c r="M116" i="47"/>
  <c r="K142" i="48"/>
  <c r="L142" i="48"/>
  <c r="G143" i="48"/>
  <c r="L114" i="47"/>
  <c r="M51" i="48"/>
  <c r="G142" i="48"/>
  <c r="P116" i="47"/>
  <c r="I114" i="47"/>
  <c r="Q143" i="48"/>
  <c r="Q142" i="48"/>
  <c r="H114" i="47"/>
  <c r="H115" i="47"/>
  <c r="H116" i="47"/>
  <c r="P51" i="48"/>
  <c r="J142" i="48"/>
  <c r="J143" i="48"/>
  <c r="K115" i="47"/>
  <c r="K114" i="47"/>
  <c r="K116" i="47"/>
  <c r="N114" i="47"/>
  <c r="N115" i="47"/>
  <c r="N116" i="47"/>
  <c r="N51" i="48"/>
  <c r="H143" i="48"/>
  <c r="H142" i="48"/>
  <c r="P142" i="48"/>
  <c r="P143" i="48"/>
  <c r="N143" i="48"/>
  <c r="N142" i="48"/>
  <c r="H120" i="47"/>
  <c r="H121" i="47"/>
  <c r="H122" i="47"/>
  <c r="J121" i="47"/>
  <c r="J122" i="47"/>
  <c r="J120" i="47"/>
  <c r="M121" i="47"/>
  <c r="M122" i="47"/>
  <c r="M120" i="47"/>
  <c r="K121" i="47"/>
  <c r="K122" i="47"/>
  <c r="K120" i="47"/>
  <c r="P120" i="47"/>
  <c r="P126" i="48" s="1"/>
  <c r="P121" i="47"/>
  <c r="P127" i="48" s="1"/>
  <c r="P122" i="47"/>
  <c r="J114" i="47"/>
  <c r="J116" i="47"/>
  <c r="J115" i="47"/>
  <c r="P131" i="47"/>
  <c r="F120" i="47"/>
  <c r="F121" i="47"/>
  <c r="F122" i="47"/>
  <c r="L120" i="47"/>
  <c r="L126" i="48" s="1"/>
  <c r="L121" i="47"/>
  <c r="L122" i="47"/>
  <c r="J131" i="47"/>
  <c r="G120" i="47"/>
  <c r="G121" i="47"/>
  <c r="G122" i="47"/>
  <c r="E114" i="47"/>
  <c r="E116" i="47"/>
  <c r="E115" i="47"/>
  <c r="I121" i="47"/>
  <c r="I120" i="47"/>
  <c r="I122" i="47"/>
  <c r="O120" i="47"/>
  <c r="O121" i="47"/>
  <c r="O127" i="48" s="1"/>
  <c r="O122" i="47"/>
  <c r="O128" i="48" s="1"/>
  <c r="BH99" i="47" a="1"/>
  <c r="BH99" i="47" s="1"/>
  <c r="M115" i="47"/>
  <c r="M114" i="47"/>
  <c r="M143" i="48"/>
  <c r="N120" i="47"/>
  <c r="N126" i="48" s="1"/>
  <c r="N121" i="47"/>
  <c r="N122" i="47"/>
  <c r="H131" i="47"/>
  <c r="K131" i="47"/>
  <c r="G131" i="47"/>
  <c r="AK68" i="48"/>
  <c r="AK70" i="48" s="1"/>
  <c r="AJ69" i="48"/>
  <c r="O138" i="48"/>
  <c r="Q138" i="48"/>
  <c r="N138" i="48"/>
  <c r="L138" i="48"/>
  <c r="P138" i="48"/>
  <c r="H139" i="48"/>
  <c r="G139" i="48"/>
  <c r="C36" i="63"/>
  <c r="E67" i="48"/>
  <c r="F79" i="48" s="1"/>
  <c r="BF67" i="47"/>
  <c r="BH67" i="47" a="1"/>
  <c r="BH67" i="47" s="1"/>
  <c r="C58" i="63" s="1"/>
  <c r="F63" i="63" s="1"/>
  <c r="L139" i="48"/>
  <c r="I138" i="48"/>
  <c r="O52" i="48"/>
  <c r="BF89" i="47"/>
  <c r="BH89" i="47" a="1"/>
  <c r="BH89" i="47" s="1"/>
  <c r="BF93" i="47"/>
  <c r="BH93" i="47" a="1"/>
  <c r="BH93" i="47" s="1"/>
  <c r="P139" i="48"/>
  <c r="G138" i="48"/>
  <c r="M52" i="48"/>
  <c r="BH83" i="47" a="1"/>
  <c r="BH83" i="47" s="1"/>
  <c r="I139" i="48"/>
  <c r="Q139" i="48"/>
  <c r="S85" i="48"/>
  <c r="R50" i="48"/>
  <c r="Q55" i="48"/>
  <c r="Q54" i="48"/>
  <c r="Q53" i="48"/>
  <c r="I128" i="48" l="1"/>
  <c r="AH71" i="48"/>
  <c r="AG71" i="48"/>
  <c r="AF71" i="48"/>
  <c r="K46" i="115"/>
  <c r="K49" i="115"/>
  <c r="K45" i="115"/>
  <c r="K50" i="115"/>
  <c r="K58" i="115"/>
  <c r="K66" i="115"/>
  <c r="K73" i="115"/>
  <c r="K81" i="115"/>
  <c r="K71" i="115"/>
  <c r="K72" i="115"/>
  <c r="K65" i="115"/>
  <c r="K51" i="115"/>
  <c r="K59" i="115"/>
  <c r="K67" i="115"/>
  <c r="K74" i="115"/>
  <c r="K82" i="115"/>
  <c r="K64" i="115"/>
  <c r="K52" i="115"/>
  <c r="K60" i="115"/>
  <c r="K68" i="115"/>
  <c r="K75" i="115"/>
  <c r="K83" i="115"/>
  <c r="K78" i="115"/>
  <c r="K53" i="115"/>
  <c r="K61" i="115"/>
  <c r="K69" i="115"/>
  <c r="K76" i="115"/>
  <c r="K84" i="115"/>
  <c r="K77" i="115"/>
  <c r="K56" i="115"/>
  <c r="K80" i="115"/>
  <c r="K54" i="115"/>
  <c r="K62" i="115"/>
  <c r="K70" i="115"/>
  <c r="K79" i="115"/>
  <c r="K55" i="115"/>
  <c r="K63" i="115"/>
  <c r="K57" i="115"/>
  <c r="H35" i="115"/>
  <c r="O33" i="115"/>
  <c r="I126" i="48"/>
  <c r="C59" i="63"/>
  <c r="BE35" i="45"/>
  <c r="J128" i="48"/>
  <c r="F78" i="47"/>
  <c r="F88" i="47" s="1"/>
  <c r="E87" i="47"/>
  <c r="E86" i="47" s="1"/>
  <c r="E105" i="47" s="1"/>
  <c r="J127" i="48"/>
  <c r="N128" i="48"/>
  <c r="M127" i="48"/>
  <c r="F155" i="48"/>
  <c r="H123" i="48"/>
  <c r="K125" i="48"/>
  <c r="K123" i="48"/>
  <c r="T70" i="48"/>
  <c r="I127" i="48"/>
  <c r="L127" i="48"/>
  <c r="N123" i="48"/>
  <c r="P128" i="48"/>
  <c r="L123" i="48"/>
  <c r="Q126" i="48"/>
  <c r="Q128" i="48"/>
  <c r="U70" i="48"/>
  <c r="Q127" i="48"/>
  <c r="N127" i="48"/>
  <c r="O126" i="48"/>
  <c r="G127" i="48"/>
  <c r="K126" i="48"/>
  <c r="Q87" i="48" s="1"/>
  <c r="K124" i="48"/>
  <c r="K128" i="48"/>
  <c r="H128" i="48"/>
  <c r="I123" i="48"/>
  <c r="K127" i="48"/>
  <c r="H127" i="48"/>
  <c r="M123" i="48"/>
  <c r="L128" i="48"/>
  <c r="M126" i="48"/>
  <c r="S87" i="48" s="1"/>
  <c r="H126" i="48"/>
  <c r="N87" i="48" s="1"/>
  <c r="N125" i="48"/>
  <c r="G128" i="48"/>
  <c r="J123" i="48"/>
  <c r="M128" i="48"/>
  <c r="N124" i="48"/>
  <c r="Q125" i="48"/>
  <c r="AC70" i="48"/>
  <c r="Z70" i="48"/>
  <c r="X70" i="48"/>
  <c r="V70" i="48"/>
  <c r="AA70" i="48"/>
  <c r="Y70" i="48"/>
  <c r="AB70" i="48"/>
  <c r="G155" i="48"/>
  <c r="W70" i="48"/>
  <c r="H155" i="48"/>
  <c r="I155" i="48"/>
  <c r="L155" i="48"/>
  <c r="M155" i="48"/>
  <c r="O155" i="48"/>
  <c r="K155" i="48"/>
  <c r="P155" i="48"/>
  <c r="N155" i="48"/>
  <c r="T69" i="48"/>
  <c r="V69" i="48"/>
  <c r="K79" i="47"/>
  <c r="K53" i="47" s="1"/>
  <c r="M79" i="47" s="1"/>
  <c r="M53" i="47" s="1"/>
  <c r="O79" i="47" s="1"/>
  <c r="O53" i="47" s="1"/>
  <c r="Q79" i="47" s="1"/>
  <c r="Q53" i="47" s="1"/>
  <c r="S79" i="47" s="1"/>
  <c r="S53" i="47" s="1"/>
  <c r="U79" i="47" s="1"/>
  <c r="U53" i="47" s="1"/>
  <c r="W79" i="47" s="1"/>
  <c r="W53" i="47" s="1"/>
  <c r="Y79" i="47" s="1"/>
  <c r="Y53" i="47" s="1"/>
  <c r="AA79" i="47" s="1"/>
  <c r="AA53" i="47" s="1"/>
  <c r="AC79" i="47" s="1"/>
  <c r="AC53" i="47" s="1"/>
  <c r="AE79" i="47" s="1"/>
  <c r="AE53" i="47" s="1"/>
  <c r="AG79" i="47" s="1"/>
  <c r="AG53" i="47" s="1"/>
  <c r="AI79" i="47" s="1"/>
  <c r="AI53" i="47" s="1"/>
  <c r="AK79" i="47" s="1"/>
  <c r="AK53" i="47" s="1"/>
  <c r="AM79" i="47" s="1"/>
  <c r="AM53" i="47" s="1"/>
  <c r="AO79" i="47" s="1"/>
  <c r="AO53" i="47" s="1"/>
  <c r="AQ79" i="47" s="1"/>
  <c r="AQ53" i="47" s="1"/>
  <c r="AS79" i="47" s="1"/>
  <c r="AS53" i="47" s="1"/>
  <c r="AU79" i="47" s="1"/>
  <c r="AU53" i="47" s="1"/>
  <c r="AW79" i="47" s="1"/>
  <c r="AW53" i="47" s="1"/>
  <c r="AY79" i="47" s="1"/>
  <c r="AY53" i="47" s="1"/>
  <c r="BA79" i="47" s="1"/>
  <c r="BA53" i="47" s="1"/>
  <c r="BC79" i="47" s="1"/>
  <c r="BC53" i="47" s="1"/>
  <c r="C37" i="63"/>
  <c r="E73" i="93" s="1"/>
  <c r="I73" i="93" s="1"/>
  <c r="BH131" i="47" a="1"/>
  <c r="BH131" i="47" s="1"/>
  <c r="F128" i="48"/>
  <c r="BF122" i="47"/>
  <c r="BF99" i="47"/>
  <c r="BF131" i="47"/>
  <c r="F127" i="48"/>
  <c r="BF121" i="47"/>
  <c r="J126" i="48"/>
  <c r="P87" i="48" s="1"/>
  <c r="BF120" i="47"/>
  <c r="F126" i="48"/>
  <c r="L87" i="48" s="1"/>
  <c r="BH120" i="47" a="1"/>
  <c r="BH120" i="47" s="1"/>
  <c r="G126" i="48"/>
  <c r="M87" i="48" s="1"/>
  <c r="BH122" i="47" a="1"/>
  <c r="BH122" i="47" s="1"/>
  <c r="BH121" i="47" a="1"/>
  <c r="BH121" i="47" s="1"/>
  <c r="R87" i="48"/>
  <c r="O87" i="48"/>
  <c r="N52" i="48"/>
  <c r="G115" i="47"/>
  <c r="L116" i="47"/>
  <c r="L125" i="48" s="1"/>
  <c r="Q51" i="48"/>
  <c r="G116" i="47"/>
  <c r="K143" i="48"/>
  <c r="F105" i="48"/>
  <c r="P115" i="47"/>
  <c r="P114" i="47"/>
  <c r="L143" i="48"/>
  <c r="L115" i="47"/>
  <c r="L124" i="48" s="1"/>
  <c r="I115" i="47"/>
  <c r="I124" i="48" s="1"/>
  <c r="I116" i="47"/>
  <c r="I125" i="48" s="1"/>
  <c r="O143" i="48"/>
  <c r="O142" i="48"/>
  <c r="BH126" i="47" a="1"/>
  <c r="BH126" i="47" s="1"/>
  <c r="P52" i="48"/>
  <c r="J139" i="48"/>
  <c r="J138" i="48"/>
  <c r="I143" i="48"/>
  <c r="I142" i="48"/>
  <c r="O51" i="48"/>
  <c r="O114" i="47"/>
  <c r="O123" i="48" s="1"/>
  <c r="O115" i="47"/>
  <c r="O124" i="48" s="1"/>
  <c r="O116" i="47"/>
  <c r="O125" i="48" s="1"/>
  <c r="F114" i="47"/>
  <c r="F123" i="48" s="1"/>
  <c r="F115" i="47"/>
  <c r="F124" i="48" s="1"/>
  <c r="F116" i="47"/>
  <c r="F125" i="48" s="1"/>
  <c r="AJ71" i="48"/>
  <c r="AL68" i="48"/>
  <c r="AL70" i="48" s="1"/>
  <c r="AK69" i="48"/>
  <c r="AD69" i="48"/>
  <c r="AD71" i="48" s="1"/>
  <c r="AC69" i="48"/>
  <c r="Y69" i="48"/>
  <c r="Z69" i="48"/>
  <c r="AA69" i="48"/>
  <c r="S69" i="48"/>
  <c r="S71" i="48" s="1"/>
  <c r="O139" i="48"/>
  <c r="Q52" i="48"/>
  <c r="L52" i="48"/>
  <c r="AC24" i="45"/>
  <c r="AC25" i="45"/>
  <c r="AC26" i="45"/>
  <c r="K138" i="48"/>
  <c r="K139" i="48"/>
  <c r="C74" i="63"/>
  <c r="C78" i="63" s="1"/>
  <c r="F106" i="48"/>
  <c r="C75" i="63"/>
  <c r="C79" i="63" s="1"/>
  <c r="F107" i="48"/>
  <c r="F142" i="48"/>
  <c r="L51" i="48"/>
  <c r="F143" i="48"/>
  <c r="M138" i="48"/>
  <c r="M139" i="48"/>
  <c r="F138" i="48"/>
  <c r="F139" i="48"/>
  <c r="R54" i="48"/>
  <c r="S50" i="48"/>
  <c r="R55" i="48"/>
  <c r="R53" i="48"/>
  <c r="R51" i="48"/>
  <c r="R52" i="48"/>
  <c r="T85" i="48"/>
  <c r="P33" i="115" l="1"/>
  <c r="Q33" i="115" s="1"/>
  <c r="F65" i="63"/>
  <c r="BE37" i="45" s="1"/>
  <c r="K40" i="115"/>
  <c r="K38" i="115"/>
  <c r="K39" i="115"/>
  <c r="K34" i="115"/>
  <c r="K37" i="115"/>
  <c r="G182" i="48"/>
  <c r="Y33" i="45"/>
  <c r="Y25" i="45"/>
  <c r="Y16" i="45"/>
  <c r="Y31" i="45"/>
  <c r="Y22" i="45"/>
  <c r="Y21" i="45"/>
  <c r="Y27" i="45"/>
  <c r="Y26" i="45"/>
  <c r="Y32" i="45"/>
  <c r="Y24" i="45"/>
  <c r="Y15" i="45"/>
  <c r="Y23" i="45"/>
  <c r="Y28" i="45"/>
  <c r="Y30" i="45"/>
  <c r="Y20" i="45"/>
  <c r="Y17" i="45"/>
  <c r="Y29" i="45"/>
  <c r="Y18" i="45"/>
  <c r="BF114" i="47"/>
  <c r="BF115" i="47"/>
  <c r="BF116" i="47"/>
  <c r="AC71" i="48"/>
  <c r="F52" i="47"/>
  <c r="E102" i="47"/>
  <c r="BF35" i="45"/>
  <c r="H182" i="48" s="1"/>
  <c r="T71" i="48"/>
  <c r="G124" i="48"/>
  <c r="AA71" i="48"/>
  <c r="J125" i="48"/>
  <c r="M125" i="48"/>
  <c r="G125" i="48"/>
  <c r="M124" i="48"/>
  <c r="G123" i="48"/>
  <c r="P125" i="48"/>
  <c r="H124" i="48"/>
  <c r="P123" i="48"/>
  <c r="Q123" i="48"/>
  <c r="P124" i="48"/>
  <c r="Q124" i="48"/>
  <c r="H125" i="48"/>
  <c r="J124" i="48"/>
  <c r="Z71" i="48"/>
  <c r="U69" i="48"/>
  <c r="U71" i="48" s="1"/>
  <c r="BF53" i="47"/>
  <c r="E72" i="93"/>
  <c r="C43" i="63" s="1"/>
  <c r="C44" i="63" s="1"/>
  <c r="E66" i="93" s="1"/>
  <c r="I66" i="93" s="1"/>
  <c r="BF126" i="47"/>
  <c r="BH114" i="47" a="1"/>
  <c r="BH114" i="47" s="1"/>
  <c r="BH116" i="47" a="1"/>
  <c r="BH116" i="47" s="1"/>
  <c r="BH115" i="47" a="1"/>
  <c r="BH115" i="47" s="1"/>
  <c r="Y71" i="48"/>
  <c r="C33" i="63"/>
  <c r="W69" i="48"/>
  <c r="W71" i="48" s="1"/>
  <c r="V71" i="48"/>
  <c r="AK71" i="48"/>
  <c r="AM68" i="48"/>
  <c r="AM70" i="48" s="1"/>
  <c r="AL69" i="48"/>
  <c r="X69" i="48"/>
  <c r="X71" i="48" s="1"/>
  <c r="AB69" i="48"/>
  <c r="AB71" i="48" s="1"/>
  <c r="C80" i="63"/>
  <c r="F112" i="48" s="1"/>
  <c r="S53" i="48"/>
  <c r="S55" i="48"/>
  <c r="S54" i="48"/>
  <c r="T50" i="48"/>
  <c r="S51" i="48"/>
  <c r="S52" i="48"/>
  <c r="U85" i="48"/>
  <c r="T87" i="48"/>
  <c r="L45" i="115" l="1"/>
  <c r="L84" i="115"/>
  <c r="L46" i="115"/>
  <c r="L82" i="115"/>
  <c r="L74" i="115"/>
  <c r="L79" i="115"/>
  <c r="L81" i="115"/>
  <c r="L78" i="115"/>
  <c r="L80" i="115"/>
  <c r="L83" i="115"/>
  <c r="L73" i="115"/>
  <c r="L69" i="115"/>
  <c r="L76" i="115"/>
  <c r="L66" i="115"/>
  <c r="L71" i="115"/>
  <c r="L68" i="115"/>
  <c r="L75" i="115"/>
  <c r="L70" i="115"/>
  <c r="L77" i="115"/>
  <c r="L67" i="115"/>
  <c r="L58" i="115"/>
  <c r="L63" i="115"/>
  <c r="L60" i="115"/>
  <c r="L57" i="115"/>
  <c r="L62" i="115"/>
  <c r="L59" i="115"/>
  <c r="L72" i="115"/>
  <c r="L64" i="115"/>
  <c r="L54" i="115"/>
  <c r="L51" i="115"/>
  <c r="L56" i="115"/>
  <c r="L53" i="115"/>
  <c r="L50" i="115"/>
  <c r="L55" i="115"/>
  <c r="L65" i="115"/>
  <c r="L52" i="115"/>
  <c r="L61" i="115"/>
  <c r="R33" i="115"/>
  <c r="BF37" i="45"/>
  <c r="H184" i="48" s="1"/>
  <c r="G184" i="48"/>
  <c r="I182" i="48"/>
  <c r="K36" i="115"/>
  <c r="F87" i="47"/>
  <c r="F86" i="47" s="1"/>
  <c r="F105" i="47" s="1"/>
  <c r="G78" i="47"/>
  <c r="G52" i="47" s="1"/>
  <c r="M84" i="115" s="1"/>
  <c r="C53" i="48"/>
  <c r="F110" i="48" s="1"/>
  <c r="D19" i="47"/>
  <c r="Q113" i="47" s="1"/>
  <c r="R122" i="48" s="1"/>
  <c r="E67" i="93"/>
  <c r="I67" i="93" s="1"/>
  <c r="I72" i="93"/>
  <c r="AL71" i="48"/>
  <c r="AN68" i="48"/>
  <c r="AN70" i="48" s="1"/>
  <c r="AM69" i="48"/>
  <c r="C30" i="63"/>
  <c r="V85" i="48"/>
  <c r="U87" i="48"/>
  <c r="T54" i="48"/>
  <c r="T53" i="48"/>
  <c r="U50" i="48"/>
  <c r="T55" i="48"/>
  <c r="T51" i="48"/>
  <c r="T52" i="48"/>
  <c r="M45" i="115" l="1"/>
  <c r="M46" i="115"/>
  <c r="I184" i="48"/>
  <c r="M79" i="115"/>
  <c r="M76" i="115"/>
  <c r="M78" i="115"/>
  <c r="M83" i="115"/>
  <c r="M75" i="115"/>
  <c r="M77" i="115"/>
  <c r="M66" i="115"/>
  <c r="M81" i="115"/>
  <c r="M71" i="115"/>
  <c r="M68" i="115"/>
  <c r="M80" i="115"/>
  <c r="M82" i="115"/>
  <c r="M63" i="115"/>
  <c r="M60" i="115"/>
  <c r="M57" i="115"/>
  <c r="M70" i="115"/>
  <c r="M62" i="115"/>
  <c r="M59" i="115"/>
  <c r="M73" i="115"/>
  <c r="M72" i="115"/>
  <c r="M64" i="115"/>
  <c r="M65" i="115"/>
  <c r="M61" i="115"/>
  <c r="M69" i="115"/>
  <c r="M51" i="115"/>
  <c r="M56" i="115"/>
  <c r="M58" i="115"/>
  <c r="M53" i="115"/>
  <c r="M50" i="115"/>
  <c r="M55" i="115"/>
  <c r="M74" i="115"/>
  <c r="M52" i="115"/>
  <c r="M54" i="115"/>
  <c r="M67" i="115"/>
  <c r="S33" i="115"/>
  <c r="F102" i="47"/>
  <c r="L37" i="115"/>
  <c r="L34" i="115"/>
  <c r="G87" i="47"/>
  <c r="H78" i="47"/>
  <c r="H88" i="47" s="1"/>
  <c r="L40" i="115"/>
  <c r="L38" i="115"/>
  <c r="L39" i="115"/>
  <c r="G88" i="47"/>
  <c r="Y113" i="47"/>
  <c r="AM113" i="47"/>
  <c r="F113" i="47"/>
  <c r="AA113" i="47"/>
  <c r="N113" i="47"/>
  <c r="AS113" i="47"/>
  <c r="J113" i="47"/>
  <c r="AU113" i="47"/>
  <c r="M113" i="47"/>
  <c r="BD113" i="47"/>
  <c r="AD113" i="47"/>
  <c r="T113" i="47"/>
  <c r="U122" i="48" s="1"/>
  <c r="AQ113" i="47"/>
  <c r="AF113" i="47"/>
  <c r="AI113" i="47"/>
  <c r="P113" i="47"/>
  <c r="Q122" i="48" s="1"/>
  <c r="AK113" i="47"/>
  <c r="I113" i="47"/>
  <c r="AV113" i="47"/>
  <c r="AO113" i="47"/>
  <c r="AE113" i="47"/>
  <c r="AJ113" i="47"/>
  <c r="AC113" i="47"/>
  <c r="R113" i="47"/>
  <c r="S122" i="48" s="1"/>
  <c r="E113" i="47"/>
  <c r="BB113" i="47"/>
  <c r="S113" i="47"/>
  <c r="T122" i="48" s="1"/>
  <c r="K113" i="47"/>
  <c r="AG113" i="47"/>
  <c r="AB113" i="47"/>
  <c r="V113" i="47"/>
  <c r="W122" i="48" s="1"/>
  <c r="O113" i="47"/>
  <c r="P122" i="48" s="1"/>
  <c r="AX113" i="47"/>
  <c r="AN113" i="47"/>
  <c r="U113" i="47"/>
  <c r="V122" i="48" s="1"/>
  <c r="L113" i="47"/>
  <c r="AP113" i="47"/>
  <c r="AY113" i="47"/>
  <c r="AW113" i="47"/>
  <c r="H113" i="47"/>
  <c r="G113" i="47"/>
  <c r="W113" i="47"/>
  <c r="X122" i="48" s="1"/>
  <c r="Z113" i="47"/>
  <c r="AZ113" i="47"/>
  <c r="BA113" i="47"/>
  <c r="AT113" i="47"/>
  <c r="AL113" i="47"/>
  <c r="AR113" i="47"/>
  <c r="X113" i="47"/>
  <c r="Y122" i="48" s="1"/>
  <c r="BC113" i="47"/>
  <c r="D113" i="47"/>
  <c r="AH113" i="47"/>
  <c r="AJ110" i="47"/>
  <c r="C68" i="93"/>
  <c r="S110" i="47"/>
  <c r="O110" i="47"/>
  <c r="AH110" i="47"/>
  <c r="AG110" i="47"/>
  <c r="BB110" i="47"/>
  <c r="AR110" i="47"/>
  <c r="AQ110" i="47"/>
  <c r="D110" i="47"/>
  <c r="V110" i="47"/>
  <c r="AP110" i="47"/>
  <c r="AT110" i="47"/>
  <c r="Z110" i="47"/>
  <c r="J110" i="47"/>
  <c r="AI110" i="47"/>
  <c r="AC110" i="47"/>
  <c r="BD110" i="47"/>
  <c r="R110" i="47"/>
  <c r="U110" i="47"/>
  <c r="AV110" i="47"/>
  <c r="AN110" i="47"/>
  <c r="K110" i="47"/>
  <c r="P110" i="47"/>
  <c r="AU110" i="47"/>
  <c r="AO110" i="47"/>
  <c r="W110" i="47"/>
  <c r="AA110" i="47"/>
  <c r="L110" i="47"/>
  <c r="AM110" i="47"/>
  <c r="BA110" i="47"/>
  <c r="AL110" i="47"/>
  <c r="H110" i="47"/>
  <c r="E110" i="47"/>
  <c r="F110" i="47"/>
  <c r="AZ110" i="47"/>
  <c r="BC110" i="47"/>
  <c r="N110" i="47"/>
  <c r="AK110" i="47"/>
  <c r="AS110" i="47"/>
  <c r="AE110" i="47"/>
  <c r="AF110" i="47"/>
  <c r="AB110" i="47"/>
  <c r="AY110" i="47"/>
  <c r="Q110" i="47"/>
  <c r="I110" i="47"/>
  <c r="AD110" i="47"/>
  <c r="AX110" i="47"/>
  <c r="AW110" i="47"/>
  <c r="M110" i="47"/>
  <c r="X110" i="47"/>
  <c r="T110" i="47"/>
  <c r="Y110" i="47"/>
  <c r="G110" i="47"/>
  <c r="AM71" i="48"/>
  <c r="AO68" i="48"/>
  <c r="AO70" i="48" s="1"/>
  <c r="AN69" i="48"/>
  <c r="C31" i="63"/>
  <c r="E62" i="93" s="1"/>
  <c r="I62" i="93" s="1"/>
  <c r="V50" i="48"/>
  <c r="U55" i="48"/>
  <c r="U54" i="48"/>
  <c r="U53" i="48"/>
  <c r="U52" i="48"/>
  <c r="U51" i="48"/>
  <c r="W85" i="48"/>
  <c r="V87" i="48"/>
  <c r="T33" i="115" l="1"/>
  <c r="N122" i="48"/>
  <c r="I122" i="48"/>
  <c r="H122" i="48"/>
  <c r="M122" i="48"/>
  <c r="K122" i="48"/>
  <c r="O122" i="48"/>
  <c r="L122" i="48"/>
  <c r="G122" i="48"/>
  <c r="J122" i="48"/>
  <c r="L36" i="115"/>
  <c r="F122" i="48"/>
  <c r="BF113" i="47"/>
  <c r="G86" i="47"/>
  <c r="G105" i="47" s="1"/>
  <c r="H52" i="47"/>
  <c r="BH113" i="47" a="1"/>
  <c r="BH113" i="47" s="1"/>
  <c r="BH110" i="47" a="1"/>
  <c r="BH110" i="47" s="1"/>
  <c r="G118" i="48" s="1"/>
  <c r="BF110" i="47"/>
  <c r="D67" i="93"/>
  <c r="D16" i="47"/>
  <c r="D112" i="47" s="1"/>
  <c r="D17" i="47"/>
  <c r="AN71" i="48"/>
  <c r="AP68" i="48"/>
  <c r="AP70" i="48" s="1"/>
  <c r="AO69" i="48"/>
  <c r="B64" i="93"/>
  <c r="D65" i="93"/>
  <c r="D66" i="93"/>
  <c r="V54" i="48"/>
  <c r="V53" i="48"/>
  <c r="V55" i="48"/>
  <c r="W50" i="48"/>
  <c r="V51" i="48"/>
  <c r="V52" i="48"/>
  <c r="X85" i="48"/>
  <c r="W87" i="48"/>
  <c r="N46" i="115" l="1"/>
  <c r="N45" i="115"/>
  <c r="N84" i="115"/>
  <c r="N76" i="115"/>
  <c r="N81" i="115"/>
  <c r="N73" i="115"/>
  <c r="N83" i="115"/>
  <c r="N75" i="115"/>
  <c r="N80" i="115"/>
  <c r="N82" i="115"/>
  <c r="N74" i="115"/>
  <c r="N71" i="115"/>
  <c r="N68" i="115"/>
  <c r="N78" i="115"/>
  <c r="N65" i="115"/>
  <c r="N70" i="115"/>
  <c r="N77" i="115"/>
  <c r="N72" i="115"/>
  <c r="N60" i="115"/>
  <c r="N57" i="115"/>
  <c r="N62" i="115"/>
  <c r="N66" i="115"/>
  <c r="N59" i="115"/>
  <c r="N64" i="115"/>
  <c r="N61" i="115"/>
  <c r="N69" i="115"/>
  <c r="N67" i="115"/>
  <c r="N58" i="115"/>
  <c r="N56" i="115"/>
  <c r="N53" i="115"/>
  <c r="N79" i="115"/>
  <c r="N63" i="115"/>
  <c r="N50" i="115"/>
  <c r="N51" i="115"/>
  <c r="N55" i="115"/>
  <c r="N52" i="115"/>
  <c r="N54" i="115"/>
  <c r="U33" i="115"/>
  <c r="M34" i="115"/>
  <c r="I78" i="47"/>
  <c r="I88" i="47" s="1"/>
  <c r="H87" i="47"/>
  <c r="H86" i="47" s="1"/>
  <c r="H102" i="47" s="1"/>
  <c r="M40" i="115"/>
  <c r="M37" i="115"/>
  <c r="M39" i="115"/>
  <c r="M38" i="115"/>
  <c r="G102" i="47"/>
  <c r="D128" i="47"/>
  <c r="I128" i="47"/>
  <c r="Q128" i="47"/>
  <c r="R129" i="48" s="1"/>
  <c r="Y128" i="47"/>
  <c r="AG128" i="47"/>
  <c r="AO128" i="47"/>
  <c r="AW128" i="47"/>
  <c r="J128" i="47"/>
  <c r="R128" i="47"/>
  <c r="S129" i="48" s="1"/>
  <c r="AP128" i="47"/>
  <c r="K128" i="47"/>
  <c r="S128" i="47"/>
  <c r="T129" i="48" s="1"/>
  <c r="AA128" i="47"/>
  <c r="AI128" i="47"/>
  <c r="AQ128" i="47"/>
  <c r="AY128" i="47"/>
  <c r="L128" i="47"/>
  <c r="T128" i="47"/>
  <c r="U129" i="48" s="1"/>
  <c r="AB128" i="47"/>
  <c r="AR128" i="47"/>
  <c r="AZ128" i="47"/>
  <c r="P128" i="47"/>
  <c r="BD128" i="47"/>
  <c r="AJ128" i="47"/>
  <c r="X128" i="47"/>
  <c r="Y129" i="48" s="1"/>
  <c r="Z128" i="47"/>
  <c r="E128" i="47"/>
  <c r="M128" i="47"/>
  <c r="U128" i="47"/>
  <c r="V129" i="48" s="1"/>
  <c r="AC128" i="47"/>
  <c r="AK128" i="47"/>
  <c r="AS128" i="47"/>
  <c r="BA128" i="47"/>
  <c r="AV128" i="47"/>
  <c r="F128" i="47"/>
  <c r="N128" i="47"/>
  <c r="V128" i="47"/>
  <c r="W129" i="48" s="1"/>
  <c r="AD128" i="47"/>
  <c r="AL128" i="47"/>
  <c r="AT128" i="47"/>
  <c r="BB128" i="47"/>
  <c r="H128" i="47"/>
  <c r="AN128" i="47"/>
  <c r="AX128" i="47"/>
  <c r="G128" i="47"/>
  <c r="O128" i="47"/>
  <c r="W128" i="47"/>
  <c r="X129" i="48" s="1"/>
  <c r="AE128" i="47"/>
  <c r="AM128" i="47"/>
  <c r="AU128" i="47"/>
  <c r="BC128" i="47"/>
  <c r="AF128" i="47"/>
  <c r="AH128" i="47"/>
  <c r="F112" i="47"/>
  <c r="O112" i="47"/>
  <c r="W112" i="47"/>
  <c r="X121" i="48" s="1"/>
  <c r="AY112" i="47"/>
  <c r="V112" i="47"/>
  <c r="W121" i="48" s="1"/>
  <c r="I112" i="47"/>
  <c r="AD112" i="47"/>
  <c r="AE112" i="47"/>
  <c r="BB112" i="47"/>
  <c r="AU112" i="47"/>
  <c r="J112" i="47"/>
  <c r="AR112" i="47"/>
  <c r="U112" i="47"/>
  <c r="V121" i="48" s="1"/>
  <c r="AM112" i="47"/>
  <c r="AF112" i="47"/>
  <c r="AB112" i="47"/>
  <c r="AP112" i="47"/>
  <c r="AL112" i="47"/>
  <c r="K112" i="47"/>
  <c r="G112" i="47"/>
  <c r="N112" i="47"/>
  <c r="R112" i="47"/>
  <c r="S121" i="48" s="1"/>
  <c r="AC112" i="47"/>
  <c r="Z112" i="47"/>
  <c r="AX112" i="47"/>
  <c r="AZ112" i="47"/>
  <c r="AS112" i="47"/>
  <c r="AW112" i="47"/>
  <c r="E112" i="47"/>
  <c r="AT112" i="47"/>
  <c r="AA112" i="47"/>
  <c r="AQ112" i="47"/>
  <c r="Q112" i="47"/>
  <c r="R121" i="48" s="1"/>
  <c r="X86" i="48" s="1"/>
  <c r="AI112" i="47"/>
  <c r="L112" i="47"/>
  <c r="AV112" i="47"/>
  <c r="AK112" i="47"/>
  <c r="BA112" i="47"/>
  <c r="AN112" i="47"/>
  <c r="BC112" i="47"/>
  <c r="X112" i="47"/>
  <c r="Y121" i="48" s="1"/>
  <c r="T112" i="47"/>
  <c r="U121" i="48" s="1"/>
  <c r="AO112" i="47"/>
  <c r="M112" i="47"/>
  <c r="AJ112" i="47"/>
  <c r="BD112" i="47"/>
  <c r="AG112" i="47"/>
  <c r="S112" i="47"/>
  <c r="T121" i="48" s="1"/>
  <c r="H112" i="47"/>
  <c r="P112" i="47"/>
  <c r="Y112" i="47"/>
  <c r="AH112" i="47"/>
  <c r="AO71" i="48"/>
  <c r="AQ68" i="48"/>
  <c r="AQ70" i="48" s="1"/>
  <c r="AP69" i="48"/>
  <c r="H118" i="48"/>
  <c r="W53" i="48"/>
  <c r="X50" i="48"/>
  <c r="W55" i="48"/>
  <c r="W54" i="48"/>
  <c r="W51" i="48"/>
  <c r="W52" i="48"/>
  <c r="Y85" i="48"/>
  <c r="X87" i="48"/>
  <c r="X88" i="48"/>
  <c r="V33" i="115" l="1"/>
  <c r="W33" i="115" s="1"/>
  <c r="X33" i="115" s="1"/>
  <c r="Y33" i="115" s="1"/>
  <c r="AN25" i="115"/>
  <c r="AN30" i="115"/>
  <c r="AN29" i="115"/>
  <c r="AN21" i="115"/>
  <c r="AN26" i="115"/>
  <c r="AN31" i="115"/>
  <c r="AN18" i="115"/>
  <c r="AN28" i="115"/>
  <c r="BE30" i="115"/>
  <c r="BE29" i="115"/>
  <c r="BE21" i="115"/>
  <c r="BE26" i="115"/>
  <c r="BE18" i="115"/>
  <c r="BE31" i="115"/>
  <c r="BE28" i="115"/>
  <c r="BE25" i="115"/>
  <c r="AU28" i="115"/>
  <c r="AU25" i="115"/>
  <c r="AU30" i="115"/>
  <c r="AU29" i="115"/>
  <c r="AU21" i="115"/>
  <c r="AU26" i="115"/>
  <c r="AU31" i="115"/>
  <c r="AU18" i="115"/>
  <c r="M26" i="115"/>
  <c r="M31" i="115"/>
  <c r="M28" i="115"/>
  <c r="M25" i="115"/>
  <c r="M30" i="115"/>
  <c r="M29" i="115"/>
  <c r="M18" i="115"/>
  <c r="M21" i="115"/>
  <c r="AY29" i="115"/>
  <c r="AY21" i="115"/>
  <c r="AY26" i="115"/>
  <c r="AY18" i="115"/>
  <c r="AY31" i="115"/>
  <c r="AY28" i="115"/>
  <c r="AY25" i="115"/>
  <c r="AY30" i="115"/>
  <c r="AC26" i="115"/>
  <c r="AC31" i="115"/>
  <c r="AC28" i="115"/>
  <c r="AC25" i="115"/>
  <c r="AC30" i="115"/>
  <c r="AC29" i="115"/>
  <c r="AC21" i="115"/>
  <c r="AC18" i="115"/>
  <c r="V31" i="115"/>
  <c r="V28" i="115"/>
  <c r="V25" i="115"/>
  <c r="V30" i="115"/>
  <c r="V29" i="115"/>
  <c r="V21" i="115"/>
  <c r="V18" i="115"/>
  <c r="V26" i="115"/>
  <c r="Z29" i="115"/>
  <c r="Z21" i="115"/>
  <c r="Z26" i="115"/>
  <c r="Z31" i="115"/>
  <c r="Z28" i="115"/>
  <c r="Z25" i="115"/>
  <c r="Z30" i="115"/>
  <c r="Z18" i="115"/>
  <c r="AO30" i="115"/>
  <c r="AO29" i="115"/>
  <c r="AO21" i="115"/>
  <c r="AO26" i="115"/>
  <c r="AO31" i="115"/>
  <c r="AO28" i="115"/>
  <c r="AO25" i="115"/>
  <c r="AO18" i="115"/>
  <c r="BF29" i="115"/>
  <c r="BF21" i="115"/>
  <c r="BF26" i="115"/>
  <c r="BF31" i="115"/>
  <c r="BF28" i="115"/>
  <c r="BF25" i="115"/>
  <c r="BF18" i="115"/>
  <c r="BF30" i="115"/>
  <c r="AR29" i="115"/>
  <c r="AR21" i="115"/>
  <c r="AR26" i="115"/>
  <c r="AR31" i="115"/>
  <c r="AR28" i="115"/>
  <c r="AR25" i="115"/>
  <c r="AR30" i="115"/>
  <c r="AR18" i="115"/>
  <c r="BA26" i="115"/>
  <c r="BA31" i="115"/>
  <c r="BA28" i="115"/>
  <c r="BA25" i="115"/>
  <c r="BA30" i="115"/>
  <c r="BA21" i="115"/>
  <c r="BA29" i="115"/>
  <c r="BA18" i="115"/>
  <c r="U26" i="115"/>
  <c r="U31" i="115"/>
  <c r="U28" i="115"/>
  <c r="U25" i="115"/>
  <c r="U30" i="115"/>
  <c r="U29" i="115"/>
  <c r="U18" i="115"/>
  <c r="U21" i="115"/>
  <c r="S29" i="115"/>
  <c r="S21" i="115"/>
  <c r="S26" i="115"/>
  <c r="S31" i="115"/>
  <c r="S28" i="115"/>
  <c r="S25" i="115"/>
  <c r="S30" i="115"/>
  <c r="S18" i="115"/>
  <c r="Q30" i="115"/>
  <c r="Q29" i="115"/>
  <c r="Q21" i="115"/>
  <c r="Q26" i="115"/>
  <c r="Q31" i="115"/>
  <c r="Q28" i="115"/>
  <c r="Q25" i="115"/>
  <c r="Q18" i="115"/>
  <c r="N31" i="115"/>
  <c r="N28" i="115"/>
  <c r="N25" i="115"/>
  <c r="N30" i="115"/>
  <c r="N29" i="115"/>
  <c r="N21" i="115"/>
  <c r="N18" i="115"/>
  <c r="N26" i="115"/>
  <c r="AD31" i="115"/>
  <c r="AD28" i="115"/>
  <c r="AD25" i="115"/>
  <c r="AD30" i="115"/>
  <c r="AD29" i="115"/>
  <c r="AD21" i="115"/>
  <c r="AD18" i="115"/>
  <c r="AD26" i="115"/>
  <c r="W28" i="115"/>
  <c r="W25" i="115"/>
  <c r="W30" i="115"/>
  <c r="W29" i="115"/>
  <c r="W21" i="115"/>
  <c r="W26" i="115"/>
  <c r="W31" i="115"/>
  <c r="W18" i="115"/>
  <c r="BD25" i="115"/>
  <c r="BD30" i="115"/>
  <c r="BD29" i="115"/>
  <c r="BD21" i="115"/>
  <c r="BD26" i="115"/>
  <c r="BD31" i="115"/>
  <c r="BD18" i="115"/>
  <c r="BD28" i="115"/>
  <c r="AV25" i="115"/>
  <c r="AV30" i="115"/>
  <c r="AV29" i="115"/>
  <c r="AV21" i="115"/>
  <c r="AV26" i="115"/>
  <c r="AV31" i="115"/>
  <c r="AV18" i="115"/>
  <c r="AV28" i="115"/>
  <c r="BH29" i="115"/>
  <c r="BH21" i="115"/>
  <c r="BH26" i="115"/>
  <c r="BH18" i="115"/>
  <c r="BH31" i="115"/>
  <c r="BH28" i="115"/>
  <c r="BH25" i="115"/>
  <c r="BH30" i="115"/>
  <c r="L29" i="115"/>
  <c r="L21" i="115"/>
  <c r="L26" i="115"/>
  <c r="L31" i="115"/>
  <c r="L28" i="115"/>
  <c r="L25" i="115"/>
  <c r="L30" i="115"/>
  <c r="BB31" i="115"/>
  <c r="BB28" i="115"/>
  <c r="BB25" i="115"/>
  <c r="BB30" i="115"/>
  <c r="BB29" i="115"/>
  <c r="BB21" i="115"/>
  <c r="BB26" i="115"/>
  <c r="BB18" i="115"/>
  <c r="AF25" i="115"/>
  <c r="AF30" i="115"/>
  <c r="AF29" i="115"/>
  <c r="AF21" i="115"/>
  <c r="AF26" i="115"/>
  <c r="AF31" i="115"/>
  <c r="AF18" i="115"/>
  <c r="AF28" i="115"/>
  <c r="AX29" i="115"/>
  <c r="AX21" i="115"/>
  <c r="AX26" i="115"/>
  <c r="AX31" i="115"/>
  <c r="AX28" i="115"/>
  <c r="AX25" i="115"/>
  <c r="AX30" i="115"/>
  <c r="AX18" i="115"/>
  <c r="R29" i="115"/>
  <c r="R21" i="115"/>
  <c r="R26" i="115"/>
  <c r="R31" i="115"/>
  <c r="R28" i="115"/>
  <c r="R25" i="115"/>
  <c r="R30" i="115"/>
  <c r="R18" i="115"/>
  <c r="Y30" i="115"/>
  <c r="Y29" i="115"/>
  <c r="Y21" i="115"/>
  <c r="Y26" i="115"/>
  <c r="Y31" i="115"/>
  <c r="Y28" i="115"/>
  <c r="Y25" i="115"/>
  <c r="Y18" i="115"/>
  <c r="AM28" i="115"/>
  <c r="AM25" i="115"/>
  <c r="AM30" i="115"/>
  <c r="AM29" i="115"/>
  <c r="AM21" i="115"/>
  <c r="AM26" i="115"/>
  <c r="AM18" i="115"/>
  <c r="AM31" i="115"/>
  <c r="AT31" i="115"/>
  <c r="AT28" i="115"/>
  <c r="AT25" i="115"/>
  <c r="AT30" i="115"/>
  <c r="AT29" i="115"/>
  <c r="AT21" i="115"/>
  <c r="AT26" i="115"/>
  <c r="AT18" i="115"/>
  <c r="AG30" i="115"/>
  <c r="AG29" i="115"/>
  <c r="AG21" i="115"/>
  <c r="AG26" i="115"/>
  <c r="AG31" i="115"/>
  <c r="AG28" i="115"/>
  <c r="AG25" i="115"/>
  <c r="AG18" i="115"/>
  <c r="AI29" i="115"/>
  <c r="AI21" i="115"/>
  <c r="AI26" i="115"/>
  <c r="AI31" i="115"/>
  <c r="AI28" i="115"/>
  <c r="AI25" i="115"/>
  <c r="AI30" i="115"/>
  <c r="AI18" i="115"/>
  <c r="AL31" i="115"/>
  <c r="AL28" i="115"/>
  <c r="AL25" i="115"/>
  <c r="AL30" i="115"/>
  <c r="AL29" i="115"/>
  <c r="AL21" i="115"/>
  <c r="AL26" i="115"/>
  <c r="AL18" i="115"/>
  <c r="AJ29" i="115"/>
  <c r="AJ21" i="115"/>
  <c r="AJ26" i="115"/>
  <c r="AJ31" i="115"/>
  <c r="AJ28" i="115"/>
  <c r="AJ25" i="115"/>
  <c r="AJ30" i="115"/>
  <c r="AJ18" i="115"/>
  <c r="BC28" i="115"/>
  <c r="BC25" i="115"/>
  <c r="BC30" i="115"/>
  <c r="BC29" i="115"/>
  <c r="BC21" i="115"/>
  <c r="BC26" i="115"/>
  <c r="BC31" i="115"/>
  <c r="BC18" i="115"/>
  <c r="AE28" i="115"/>
  <c r="AE25" i="115"/>
  <c r="AE30" i="115"/>
  <c r="AE29" i="115"/>
  <c r="AE21" i="115"/>
  <c r="AE26" i="115"/>
  <c r="AE31" i="115"/>
  <c r="AE18" i="115"/>
  <c r="P25" i="115"/>
  <c r="P30" i="115"/>
  <c r="P29" i="115"/>
  <c r="P21" i="115"/>
  <c r="P26" i="115"/>
  <c r="P31" i="115"/>
  <c r="P28" i="115"/>
  <c r="P18" i="115"/>
  <c r="BI26" i="115"/>
  <c r="BI31" i="115"/>
  <c r="BI28" i="115"/>
  <c r="BI25" i="115"/>
  <c r="BI30" i="115"/>
  <c r="BI18" i="115"/>
  <c r="BI29" i="115"/>
  <c r="BI21" i="115"/>
  <c r="AH29" i="115"/>
  <c r="AH21" i="115"/>
  <c r="AH26" i="115"/>
  <c r="AH31" i="115"/>
  <c r="AH28" i="115"/>
  <c r="AH25" i="115"/>
  <c r="AH30" i="115"/>
  <c r="AH18" i="115"/>
  <c r="BJ31" i="115"/>
  <c r="BJ28" i="115"/>
  <c r="BJ25" i="115"/>
  <c r="BJ30" i="115"/>
  <c r="BJ29" i="115"/>
  <c r="BJ21" i="115"/>
  <c r="BJ26" i="115"/>
  <c r="BJ18" i="115"/>
  <c r="AZ29" i="115"/>
  <c r="AZ21" i="115"/>
  <c r="AZ26" i="115"/>
  <c r="AZ18" i="115"/>
  <c r="AZ31" i="115"/>
  <c r="AZ28" i="115"/>
  <c r="AZ25" i="115"/>
  <c r="AZ30" i="115"/>
  <c r="X25" i="115"/>
  <c r="X30" i="115"/>
  <c r="X29" i="115"/>
  <c r="X21" i="115"/>
  <c r="X26" i="115"/>
  <c r="X31" i="115"/>
  <c r="X18" i="115"/>
  <c r="X28" i="115"/>
  <c r="AS26" i="115"/>
  <c r="AS31" i="115"/>
  <c r="AS28" i="115"/>
  <c r="AS25" i="115"/>
  <c r="AS30" i="115"/>
  <c r="AS21" i="115"/>
  <c r="AS18" i="115"/>
  <c r="AS29" i="115"/>
  <c r="O28" i="115"/>
  <c r="O25" i="115"/>
  <c r="O30" i="115"/>
  <c r="O29" i="115"/>
  <c r="O21" i="115"/>
  <c r="O26" i="115"/>
  <c r="O31" i="115"/>
  <c r="O18" i="115"/>
  <c r="AW30" i="115"/>
  <c r="AW29" i="115"/>
  <c r="AW21" i="115"/>
  <c r="AW26" i="115"/>
  <c r="AW31" i="115"/>
  <c r="AW28" i="115"/>
  <c r="AW25" i="115"/>
  <c r="AW18" i="115"/>
  <c r="AK26" i="115"/>
  <c r="AK31" i="115"/>
  <c r="AK28" i="115"/>
  <c r="AK25" i="115"/>
  <c r="AK30" i="115"/>
  <c r="AK21" i="115"/>
  <c r="AK18" i="115"/>
  <c r="AK29" i="115"/>
  <c r="BG29" i="115"/>
  <c r="BG21" i="115"/>
  <c r="BG26" i="115"/>
  <c r="BG18" i="115"/>
  <c r="BG31" i="115"/>
  <c r="BG28" i="115"/>
  <c r="BG25" i="115"/>
  <c r="BG30" i="115"/>
  <c r="AP29" i="115"/>
  <c r="AP21" i="115"/>
  <c r="AP26" i="115"/>
  <c r="AP31" i="115"/>
  <c r="AP28" i="115"/>
  <c r="AP25" i="115"/>
  <c r="AP30" i="115"/>
  <c r="AP18" i="115"/>
  <c r="AQ29" i="115"/>
  <c r="AQ21" i="115"/>
  <c r="AQ26" i="115"/>
  <c r="AQ31" i="115"/>
  <c r="AQ28" i="115"/>
  <c r="AQ25" i="115"/>
  <c r="AQ30" i="115"/>
  <c r="AQ18" i="115"/>
  <c r="T29" i="115"/>
  <c r="T21" i="115"/>
  <c r="T26" i="115"/>
  <c r="T31" i="115"/>
  <c r="T28" i="115"/>
  <c r="T25" i="115"/>
  <c r="T30" i="115"/>
  <c r="T18" i="115"/>
  <c r="AA29" i="115"/>
  <c r="AA21" i="115"/>
  <c r="AA26" i="115"/>
  <c r="AA31" i="115"/>
  <c r="AA28" i="115"/>
  <c r="AA25" i="115"/>
  <c r="AA30" i="115"/>
  <c r="AA18" i="115"/>
  <c r="AB29" i="115"/>
  <c r="AB21" i="115"/>
  <c r="AB26" i="115"/>
  <c r="AB31" i="115"/>
  <c r="AB28" i="115"/>
  <c r="AB25" i="115"/>
  <c r="AB30" i="115"/>
  <c r="AB18" i="115"/>
  <c r="L18" i="115"/>
  <c r="S14" i="115"/>
  <c r="S13" i="115"/>
  <c r="S16" i="115"/>
  <c r="S15" i="115"/>
  <c r="AX13" i="115"/>
  <c r="AX16" i="115"/>
  <c r="AX15" i="115"/>
  <c r="AX14" i="115"/>
  <c r="BE13" i="115"/>
  <c r="BE16" i="115"/>
  <c r="BE15" i="115"/>
  <c r="BE14" i="115"/>
  <c r="BB15" i="115"/>
  <c r="BB14" i="115"/>
  <c r="BB13" i="115"/>
  <c r="BB16" i="115"/>
  <c r="AU16" i="115"/>
  <c r="AU15" i="115"/>
  <c r="AU14" i="115"/>
  <c r="AU13" i="115"/>
  <c r="R13" i="115"/>
  <c r="R16" i="115"/>
  <c r="R15" i="115"/>
  <c r="R14" i="115"/>
  <c r="AY14" i="115"/>
  <c r="AY13" i="115"/>
  <c r="AY16" i="115"/>
  <c r="AY15" i="115"/>
  <c r="Q13" i="115"/>
  <c r="Q16" i="115"/>
  <c r="Q15" i="115"/>
  <c r="Q14" i="115"/>
  <c r="AC15" i="115"/>
  <c r="AC14" i="115"/>
  <c r="AC13" i="115"/>
  <c r="AC16" i="115"/>
  <c r="BC16" i="115"/>
  <c r="BC15" i="115"/>
  <c r="BC14" i="115"/>
  <c r="BC13" i="115"/>
  <c r="AE16" i="115"/>
  <c r="AE15" i="115"/>
  <c r="AE14" i="115"/>
  <c r="AE13" i="115"/>
  <c r="V15" i="115"/>
  <c r="V14" i="115"/>
  <c r="V13" i="115"/>
  <c r="V16" i="115"/>
  <c r="Z13" i="115"/>
  <c r="Z16" i="115"/>
  <c r="Z14" i="115"/>
  <c r="Z15" i="115"/>
  <c r="AO13" i="115"/>
  <c r="AO16" i="115"/>
  <c r="AO15" i="115"/>
  <c r="AO14" i="115"/>
  <c r="BF13" i="115"/>
  <c r="BF16" i="115"/>
  <c r="BF14" i="115"/>
  <c r="BF15" i="115"/>
  <c r="AR14" i="115"/>
  <c r="AR13" i="115"/>
  <c r="AR15" i="115"/>
  <c r="AR16" i="115"/>
  <c r="BA15" i="115"/>
  <c r="BA14" i="115"/>
  <c r="BA13" i="115"/>
  <c r="BA16" i="115"/>
  <c r="U15" i="115"/>
  <c r="U14" i="115"/>
  <c r="U13" i="115"/>
  <c r="U16" i="115"/>
  <c r="W16" i="115"/>
  <c r="W15" i="115"/>
  <c r="W14" i="115"/>
  <c r="W13" i="115"/>
  <c r="BH14" i="115"/>
  <c r="BH13" i="115"/>
  <c r="BH16" i="115"/>
  <c r="BH15" i="115"/>
  <c r="AV16" i="115"/>
  <c r="AV15" i="115"/>
  <c r="AV14" i="115"/>
  <c r="AV13" i="115"/>
  <c r="Y13" i="115"/>
  <c r="Y16" i="115"/>
  <c r="Y15" i="115"/>
  <c r="Y14" i="115"/>
  <c r="BI15" i="115"/>
  <c r="BI14" i="115"/>
  <c r="BI13" i="115"/>
  <c r="BI16" i="115"/>
  <c r="AW13" i="115"/>
  <c r="AW16" i="115"/>
  <c r="AW15" i="115"/>
  <c r="AW14" i="115"/>
  <c r="AF16" i="115"/>
  <c r="AF15" i="115"/>
  <c r="AF14" i="115"/>
  <c r="AF13" i="115"/>
  <c r="AH13" i="115"/>
  <c r="AH16" i="115"/>
  <c r="AH14" i="115"/>
  <c r="AH15" i="115"/>
  <c r="AK15" i="115"/>
  <c r="AK14" i="115"/>
  <c r="AK13" i="115"/>
  <c r="AK16" i="115"/>
  <c r="AM16" i="115"/>
  <c r="AM15" i="115"/>
  <c r="AM14" i="115"/>
  <c r="AM13" i="115"/>
  <c r="AT15" i="115"/>
  <c r="AT14" i="115"/>
  <c r="AT13" i="115"/>
  <c r="AT16" i="115"/>
  <c r="AG13" i="115"/>
  <c r="AG16" i="115"/>
  <c r="AG15" i="115"/>
  <c r="AG14" i="115"/>
  <c r="AI14" i="115"/>
  <c r="AI13" i="115"/>
  <c r="AI16" i="115"/>
  <c r="AI15" i="115"/>
  <c r="AL15" i="115"/>
  <c r="AL14" i="115"/>
  <c r="AL16" i="115"/>
  <c r="AL13" i="115"/>
  <c r="AJ14" i="115"/>
  <c r="AJ13" i="115"/>
  <c r="AJ16" i="115"/>
  <c r="AJ15" i="115"/>
  <c r="AN16" i="115"/>
  <c r="AN15" i="115"/>
  <c r="AN13" i="115"/>
  <c r="AN14" i="115"/>
  <c r="BD16" i="115"/>
  <c r="BD15" i="115"/>
  <c r="BD14" i="115"/>
  <c r="BD13" i="115"/>
  <c r="BJ15" i="115"/>
  <c r="BJ14" i="115"/>
  <c r="BJ16" i="115"/>
  <c r="BJ13" i="115"/>
  <c r="BG14" i="115"/>
  <c r="BG13" i="115"/>
  <c r="BG16" i="115"/>
  <c r="BG15" i="115"/>
  <c r="AZ14" i="115"/>
  <c r="AZ13" i="115"/>
  <c r="AZ15" i="115"/>
  <c r="AZ16" i="115"/>
  <c r="X16" i="115"/>
  <c r="X15" i="115"/>
  <c r="X14" i="115"/>
  <c r="X13" i="115"/>
  <c r="AS15" i="115"/>
  <c r="AS14" i="115"/>
  <c r="AS13" i="115"/>
  <c r="AS16" i="115"/>
  <c r="AD15" i="115"/>
  <c r="AD14" i="115"/>
  <c r="AD16" i="115"/>
  <c r="AD13" i="115"/>
  <c r="AP13" i="115"/>
  <c r="AP16" i="115"/>
  <c r="AP15" i="115"/>
  <c r="AP14" i="115"/>
  <c r="AQ14" i="115"/>
  <c r="AQ13" i="115"/>
  <c r="AQ16" i="115"/>
  <c r="AQ15" i="115"/>
  <c r="T14" i="115"/>
  <c r="T13" i="115"/>
  <c r="T15" i="115"/>
  <c r="T16" i="115"/>
  <c r="AA14" i="115"/>
  <c r="AA13" i="115"/>
  <c r="AA16" i="115"/>
  <c r="AA15" i="115"/>
  <c r="AB14" i="115"/>
  <c r="AB13" i="115"/>
  <c r="AB16" i="115"/>
  <c r="AB15" i="115"/>
  <c r="P13" i="115"/>
  <c r="P15" i="115"/>
  <c r="P16" i="115"/>
  <c r="P14" i="115"/>
  <c r="N13" i="115"/>
  <c r="N15" i="115"/>
  <c r="N14" i="115"/>
  <c r="N16" i="115"/>
  <c r="O13" i="115"/>
  <c r="O15" i="115"/>
  <c r="O14" i="115"/>
  <c r="O16" i="115"/>
  <c r="M13" i="115"/>
  <c r="M15" i="115"/>
  <c r="M14" i="115"/>
  <c r="M16" i="115"/>
  <c r="L13" i="115"/>
  <c r="L15" i="115"/>
  <c r="L14" i="115"/>
  <c r="L16" i="115"/>
  <c r="K13" i="115"/>
  <c r="K18" i="115"/>
  <c r="K16" i="115"/>
  <c r="K25" i="115"/>
  <c r="K26" i="115"/>
  <c r="K28" i="115"/>
  <c r="K29" i="115"/>
  <c r="K15" i="115"/>
  <c r="K19" i="115"/>
  <c r="K27" i="115"/>
  <c r="K20" i="115"/>
  <c r="K21" i="115"/>
  <c r="K23" i="115"/>
  <c r="K22" i="115"/>
  <c r="K30" i="115"/>
  <c r="K14" i="115"/>
  <c r="K31" i="115"/>
  <c r="K24" i="115"/>
  <c r="F129" i="48"/>
  <c r="L88" i="48" s="1"/>
  <c r="I52" i="47"/>
  <c r="H105" i="47"/>
  <c r="M36" i="115"/>
  <c r="L121" i="48"/>
  <c r="R86" i="48" s="1"/>
  <c r="K121" i="48"/>
  <c r="Q86" i="48" s="1"/>
  <c r="P121" i="48"/>
  <c r="V86" i="48" s="1"/>
  <c r="N129" i="48"/>
  <c r="T88" i="48" s="1"/>
  <c r="Q121" i="48"/>
  <c r="W86" i="48" s="1"/>
  <c r="K129" i="48"/>
  <c r="Q88" i="48" s="1"/>
  <c r="H129" i="48"/>
  <c r="N88" i="48" s="1"/>
  <c r="F121" i="48"/>
  <c r="L86" i="48" s="1"/>
  <c r="P129" i="48"/>
  <c r="V88" i="48" s="1"/>
  <c r="G129" i="48"/>
  <c r="M88" i="48" s="1"/>
  <c r="I121" i="48"/>
  <c r="O86" i="48" s="1"/>
  <c r="Q129" i="48"/>
  <c r="W88" i="48" s="1"/>
  <c r="N121" i="48"/>
  <c r="T86" i="48" s="1"/>
  <c r="I129" i="48"/>
  <c r="O88" i="48" s="1"/>
  <c r="G121" i="48"/>
  <c r="M86" i="48" s="1"/>
  <c r="L129" i="48"/>
  <c r="R88" i="48" s="1"/>
  <c r="J121" i="48"/>
  <c r="P86" i="48" s="1"/>
  <c r="O121" i="48"/>
  <c r="U86" i="48" s="1"/>
  <c r="J129" i="48"/>
  <c r="P88" i="48" s="1"/>
  <c r="M129" i="48"/>
  <c r="S88" i="48" s="1"/>
  <c r="O129" i="48"/>
  <c r="U88" i="48" s="1"/>
  <c r="H121" i="48"/>
  <c r="N86" i="48" s="1"/>
  <c r="BH112" i="47" a="1"/>
  <c r="BH112" i="47" s="1"/>
  <c r="M121" i="48"/>
  <c r="S86" i="48" s="1"/>
  <c r="BF112" i="47"/>
  <c r="BF128" i="47"/>
  <c r="BH128" i="47" a="1"/>
  <c r="BH128" i="47" s="1"/>
  <c r="AC21" i="45" s="1"/>
  <c r="AP71" i="48"/>
  <c r="AR68" i="48"/>
  <c r="AR70" i="48" s="1"/>
  <c r="AQ69" i="48"/>
  <c r="X54" i="48"/>
  <c r="Y50" i="48"/>
  <c r="X55" i="48"/>
  <c r="X53" i="48"/>
  <c r="X52" i="48"/>
  <c r="X51" i="48"/>
  <c r="Z85" i="48"/>
  <c r="Y87" i="48"/>
  <c r="Y88" i="48"/>
  <c r="Y86" i="48"/>
  <c r="O46" i="115" l="1"/>
  <c r="O45" i="115"/>
  <c r="H26" i="115"/>
  <c r="H18" i="115"/>
  <c r="H31" i="115"/>
  <c r="H30" i="115"/>
  <c r="H29" i="115"/>
  <c r="H28" i="115"/>
  <c r="H21" i="115"/>
  <c r="H25" i="115"/>
  <c r="H16" i="115"/>
  <c r="L22" i="115"/>
  <c r="M22" i="115" s="1"/>
  <c r="N22" i="115" s="1"/>
  <c r="H14" i="115"/>
  <c r="H15" i="115"/>
  <c r="H13" i="115"/>
  <c r="O81" i="115"/>
  <c r="O78" i="115"/>
  <c r="O83" i="115"/>
  <c r="O80" i="115"/>
  <c r="O77" i="115"/>
  <c r="O79" i="115"/>
  <c r="O76" i="115"/>
  <c r="O68" i="115"/>
  <c r="O70" i="115"/>
  <c r="O84" i="115"/>
  <c r="O75" i="115"/>
  <c r="O67" i="115"/>
  <c r="O82" i="115"/>
  <c r="O69" i="115"/>
  <c r="O71" i="115"/>
  <c r="O57" i="115"/>
  <c r="O62" i="115"/>
  <c r="O66" i="115"/>
  <c r="O59" i="115"/>
  <c r="O64" i="115"/>
  <c r="O73" i="115"/>
  <c r="O72" i="115"/>
  <c r="O61" i="115"/>
  <c r="O65" i="115"/>
  <c r="O58" i="115"/>
  <c r="O74" i="115"/>
  <c r="O63" i="115"/>
  <c r="O53" i="115"/>
  <c r="O50" i="115"/>
  <c r="O55" i="115"/>
  <c r="O52" i="115"/>
  <c r="O60" i="115"/>
  <c r="O54" i="115"/>
  <c r="O51" i="115"/>
  <c r="O56" i="115"/>
  <c r="Z33" i="115"/>
  <c r="AA33" i="115" s="1"/>
  <c r="AB33" i="115" s="1"/>
  <c r="AC33" i="115" s="1"/>
  <c r="AD33" i="115" s="1"/>
  <c r="AE33" i="115" s="1"/>
  <c r="AF33" i="115" s="1"/>
  <c r="AG33" i="115" s="1"/>
  <c r="AH33" i="115" s="1"/>
  <c r="AI33" i="115" s="1"/>
  <c r="AJ33" i="115" s="1"/>
  <c r="AK33" i="115" s="1"/>
  <c r="AL33" i="115" s="1"/>
  <c r="AM33" i="115" s="1"/>
  <c r="AN33" i="115" s="1"/>
  <c r="AO33" i="115" s="1"/>
  <c r="AP33" i="115" s="1"/>
  <c r="AQ33" i="115" s="1"/>
  <c r="AR33" i="115" s="1"/>
  <c r="AS33" i="115" s="1"/>
  <c r="AT33" i="115" s="1"/>
  <c r="AU33" i="115" s="1"/>
  <c r="AV33" i="115" s="1"/>
  <c r="AW33" i="115" s="1"/>
  <c r="AX33" i="115" s="1"/>
  <c r="AY33" i="115" s="1"/>
  <c r="AZ33" i="115" s="1"/>
  <c r="BA33" i="115" s="1"/>
  <c r="BB33" i="115" s="1"/>
  <c r="BC33" i="115" s="1"/>
  <c r="BD33" i="115" s="1"/>
  <c r="BE33" i="115" s="1"/>
  <c r="BF33" i="115" s="1"/>
  <c r="BG33" i="115" s="1"/>
  <c r="BH33" i="115" s="1"/>
  <c r="BI33" i="115" s="1"/>
  <c r="BJ33" i="115" s="1"/>
  <c r="H33" i="115" s="1"/>
  <c r="L20" i="115"/>
  <c r="L19" i="115"/>
  <c r="L23" i="115"/>
  <c r="L24" i="115"/>
  <c r="L27" i="115"/>
  <c r="N40" i="115"/>
  <c r="AC15" i="45"/>
  <c r="U15" i="45"/>
  <c r="AC16" i="45"/>
  <c r="U16" i="45"/>
  <c r="N34" i="115"/>
  <c r="N39" i="115"/>
  <c r="N37" i="115"/>
  <c r="AC20" i="45"/>
  <c r="N38" i="115"/>
  <c r="J78" i="47"/>
  <c r="J88" i="47" s="1"/>
  <c r="I87" i="47"/>
  <c r="I86" i="47" s="1"/>
  <c r="I105" i="47" s="1"/>
  <c r="U20" i="45"/>
  <c r="U21" i="45"/>
  <c r="U24" i="45"/>
  <c r="U17" i="45"/>
  <c r="U33" i="45"/>
  <c r="U31" i="45"/>
  <c r="U32" i="45"/>
  <c r="U28" i="45"/>
  <c r="U30" i="45"/>
  <c r="U26" i="45"/>
  <c r="U29" i="45"/>
  <c r="U23" i="45"/>
  <c r="U27" i="45"/>
  <c r="U25" i="45"/>
  <c r="U22" i="45"/>
  <c r="U18" i="45"/>
  <c r="AS68" i="48"/>
  <c r="AS70" i="48" s="1"/>
  <c r="AR69" i="48"/>
  <c r="AQ71" i="48"/>
  <c r="AC22" i="45"/>
  <c r="AC29" i="45"/>
  <c r="AC32" i="45"/>
  <c r="AC31" i="45"/>
  <c r="AC28" i="45"/>
  <c r="AC33" i="45"/>
  <c r="AC27" i="45"/>
  <c r="AC17" i="45"/>
  <c r="AC23" i="45"/>
  <c r="AC18" i="45"/>
  <c r="AC30" i="45"/>
  <c r="Z50" i="48"/>
  <c r="Y55" i="48"/>
  <c r="Y53" i="48"/>
  <c r="Y54" i="48"/>
  <c r="Y52" i="48"/>
  <c r="Y51" i="48"/>
  <c r="AA85" i="48"/>
  <c r="Z86" i="48"/>
  <c r="Z87" i="48"/>
  <c r="Z88" i="48"/>
  <c r="M19" i="115" l="1"/>
  <c r="O22" i="115"/>
  <c r="M20" i="115"/>
  <c r="M27" i="115"/>
  <c r="M23" i="115"/>
  <c r="M24" i="115"/>
  <c r="N36" i="115"/>
  <c r="BE25" i="45"/>
  <c r="BE26" i="45"/>
  <c r="BE24" i="45"/>
  <c r="I102" i="47"/>
  <c r="J52" i="47"/>
  <c r="O37" i="115"/>
  <c r="O34" i="115"/>
  <c r="O38" i="115"/>
  <c r="O39" i="115"/>
  <c r="O40" i="115"/>
  <c r="BE21" i="45"/>
  <c r="BE15" i="45"/>
  <c r="BE23" i="45"/>
  <c r="AR71" i="48"/>
  <c r="AT68" i="48"/>
  <c r="AT70" i="48" s="1"/>
  <c r="AS69" i="48"/>
  <c r="BE29" i="45"/>
  <c r="BE20" i="45"/>
  <c r="BE28" i="45"/>
  <c r="BE33" i="45"/>
  <c r="BE30" i="45"/>
  <c r="BE22" i="45"/>
  <c r="BE27" i="45"/>
  <c r="BE18" i="45"/>
  <c r="BE16" i="45"/>
  <c r="BE32" i="45"/>
  <c r="BE31" i="45"/>
  <c r="BE17" i="45"/>
  <c r="Z54" i="48"/>
  <c r="Z55" i="48"/>
  <c r="Z53" i="48"/>
  <c r="AA50" i="48"/>
  <c r="Z51" i="48"/>
  <c r="Z52" i="48"/>
  <c r="AB85" i="48"/>
  <c r="AA87" i="48"/>
  <c r="AA86" i="48"/>
  <c r="AA88" i="48"/>
  <c r="P45" i="115" l="1"/>
  <c r="P46" i="115"/>
  <c r="P22" i="115"/>
  <c r="Q22" i="115" s="1"/>
  <c r="R22" i="115" s="1"/>
  <c r="S22" i="115" s="1"/>
  <c r="T22" i="115" s="1"/>
  <c r="U22" i="115" s="1"/>
  <c r="P78" i="115"/>
  <c r="P83" i="115"/>
  <c r="P75" i="115"/>
  <c r="P77" i="115"/>
  <c r="P82" i="115"/>
  <c r="P74" i="115"/>
  <c r="P84" i="115"/>
  <c r="P76" i="115"/>
  <c r="P81" i="115"/>
  <c r="P65" i="115"/>
  <c r="P70" i="115"/>
  <c r="P67" i="115"/>
  <c r="P80" i="115"/>
  <c r="P72" i="115"/>
  <c r="P73" i="115"/>
  <c r="P62" i="115"/>
  <c r="P66" i="115"/>
  <c r="P59" i="115"/>
  <c r="P64" i="115"/>
  <c r="P61" i="115"/>
  <c r="P58" i="115"/>
  <c r="P69" i="115"/>
  <c r="P68" i="115"/>
  <c r="P63" i="115"/>
  <c r="P79" i="115"/>
  <c r="P60" i="115"/>
  <c r="P57" i="115"/>
  <c r="P50" i="115"/>
  <c r="P55" i="115"/>
  <c r="P52" i="115"/>
  <c r="P71" i="115"/>
  <c r="P54" i="115"/>
  <c r="P51" i="115"/>
  <c r="P53" i="115"/>
  <c r="P56" i="115"/>
  <c r="N27" i="115"/>
  <c r="O27" i="115" s="1"/>
  <c r="N19" i="115"/>
  <c r="O19" i="115" s="1"/>
  <c r="N23" i="115"/>
  <c r="N20" i="115"/>
  <c r="N24" i="115"/>
  <c r="O24" i="115" s="1"/>
  <c r="BF32" i="45"/>
  <c r="H179" i="48" s="1"/>
  <c r="G173" i="48"/>
  <c r="BF29" i="45"/>
  <c r="H176" i="48" s="1"/>
  <c r="G172" i="48"/>
  <c r="BF28" i="45"/>
  <c r="H175" i="48" s="1"/>
  <c r="G171" i="48"/>
  <c r="G178" i="48"/>
  <c r="G174" i="48"/>
  <c r="BF30" i="45"/>
  <c r="H177" i="48" s="1"/>
  <c r="BF33" i="45"/>
  <c r="H180" i="48" s="1"/>
  <c r="G170" i="48"/>
  <c r="BF21" i="45"/>
  <c r="H168" i="48" s="1"/>
  <c r="G167" i="48"/>
  <c r="BF22" i="45"/>
  <c r="H169" i="48" s="1"/>
  <c r="G165" i="48"/>
  <c r="BF17" i="45"/>
  <c r="H164" i="48" s="1"/>
  <c r="G163" i="48"/>
  <c r="G162" i="48"/>
  <c r="K78" i="47"/>
  <c r="K88" i="47" s="1"/>
  <c r="BF26" i="45"/>
  <c r="H173" i="48" s="1"/>
  <c r="BF24" i="45"/>
  <c r="H171" i="48" s="1"/>
  <c r="I171" i="48" s="1"/>
  <c r="BF25" i="45"/>
  <c r="H172" i="48" s="1"/>
  <c r="I172" i="48" s="1"/>
  <c r="J87" i="47"/>
  <c r="J86" i="47" s="1"/>
  <c r="J105" i="47" s="1"/>
  <c r="O36" i="115"/>
  <c r="G168" i="48"/>
  <c r="BF23" i="45"/>
  <c r="H170" i="48" s="1"/>
  <c r="I170" i="48" s="1"/>
  <c r="AS71" i="48"/>
  <c r="AU68" i="48"/>
  <c r="AU70" i="48" s="1"/>
  <c r="AT69" i="48"/>
  <c r="G175" i="48"/>
  <c r="G176" i="48"/>
  <c r="BF20" i="45"/>
  <c r="H167" i="48" s="1"/>
  <c r="I167" i="48" s="1"/>
  <c r="G180" i="48"/>
  <c r="G169" i="48"/>
  <c r="G177" i="48"/>
  <c r="BF16" i="45"/>
  <c r="H163" i="48" s="1"/>
  <c r="I163" i="48" s="1"/>
  <c r="G179" i="48"/>
  <c r="BF18" i="45"/>
  <c r="H165" i="48" s="1"/>
  <c r="I165" i="48" s="1"/>
  <c r="BF15" i="45"/>
  <c r="H162" i="48" s="1"/>
  <c r="BF31" i="45"/>
  <c r="H178" i="48" s="1"/>
  <c r="BF27" i="45"/>
  <c r="H174" i="48" s="1"/>
  <c r="G164" i="48"/>
  <c r="AA54" i="48"/>
  <c r="AA53" i="48"/>
  <c r="AB50" i="48"/>
  <c r="AA55" i="48"/>
  <c r="AA52" i="48"/>
  <c r="AA51" i="48"/>
  <c r="AC85" i="48"/>
  <c r="AB88" i="48"/>
  <c r="AB87" i="48"/>
  <c r="AB86" i="48"/>
  <c r="I173" i="48" l="1"/>
  <c r="I178" i="48"/>
  <c r="I162" i="48"/>
  <c r="I175" i="48"/>
  <c r="V22" i="115"/>
  <c r="W22" i="115" s="1"/>
  <c r="O20" i="115"/>
  <c r="P19" i="115"/>
  <c r="O23" i="115"/>
  <c r="P27" i="115"/>
  <c r="P24" i="115"/>
  <c r="I174" i="48"/>
  <c r="I168" i="48"/>
  <c r="I180" i="48"/>
  <c r="I177" i="48"/>
  <c r="I179" i="48"/>
  <c r="I164" i="48"/>
  <c r="I169" i="48"/>
  <c r="I176" i="48"/>
  <c r="K52" i="47"/>
  <c r="J102" i="47"/>
  <c r="P37" i="115"/>
  <c r="P36" i="115" s="1"/>
  <c r="P34" i="115"/>
  <c r="P39" i="115"/>
  <c r="P40" i="115"/>
  <c r="P38" i="115"/>
  <c r="AT71" i="48"/>
  <c r="AV68" i="48"/>
  <c r="AV70" i="48" s="1"/>
  <c r="AU69" i="48"/>
  <c r="H236" i="48"/>
  <c r="C85" i="48" s="1"/>
  <c r="C86" i="48" s="1"/>
  <c r="H237" i="48"/>
  <c r="D86" i="48" s="1"/>
  <c r="AB53" i="48"/>
  <c r="AC50" i="48"/>
  <c r="AB55" i="48"/>
  <c r="AB54" i="48"/>
  <c r="AB52" i="48"/>
  <c r="AB51" i="48"/>
  <c r="AD85" i="48"/>
  <c r="AC87" i="48"/>
  <c r="AC88" i="48"/>
  <c r="AC86" i="48"/>
  <c r="L78" i="47" l="1"/>
  <c r="L88" i="47" s="1"/>
  <c r="Q46" i="115"/>
  <c r="Q45" i="115"/>
  <c r="Q83" i="115"/>
  <c r="Q75" i="115"/>
  <c r="Q80" i="115"/>
  <c r="Q82" i="115"/>
  <c r="Q74" i="115"/>
  <c r="Q79" i="115"/>
  <c r="Q81" i="115"/>
  <c r="Q73" i="115"/>
  <c r="Q70" i="115"/>
  <c r="Q78" i="115"/>
  <c r="Q67" i="115"/>
  <c r="Q84" i="115"/>
  <c r="Q72" i="115"/>
  <c r="Q69" i="115"/>
  <c r="Q77" i="115"/>
  <c r="Q71" i="115"/>
  <c r="Q66" i="115"/>
  <c r="Q59" i="115"/>
  <c r="Q64" i="115"/>
  <c r="Q61" i="115"/>
  <c r="Q58" i="115"/>
  <c r="Q68" i="115"/>
  <c r="Q65" i="115"/>
  <c r="Q63" i="115"/>
  <c r="Q76" i="115"/>
  <c r="Q60" i="115"/>
  <c r="Q57" i="115"/>
  <c r="Q62" i="115"/>
  <c r="Q55" i="115"/>
  <c r="Q52" i="115"/>
  <c r="Q50" i="115"/>
  <c r="Q54" i="115"/>
  <c r="Q51" i="115"/>
  <c r="Q56" i="115"/>
  <c r="Q53" i="115"/>
  <c r="X22" i="115"/>
  <c r="Y22" i="115" s="1"/>
  <c r="Z22" i="115" s="1"/>
  <c r="AA22" i="115" s="1"/>
  <c r="AB22" i="115" s="1"/>
  <c r="AC22" i="115" s="1"/>
  <c r="AD22" i="115" s="1"/>
  <c r="AE22" i="115" s="1"/>
  <c r="AF22" i="115" s="1"/>
  <c r="AG22" i="115" s="1"/>
  <c r="AH22" i="115" s="1"/>
  <c r="AI22" i="115" s="1"/>
  <c r="AJ22" i="115" s="1"/>
  <c r="AK22" i="115" s="1"/>
  <c r="AL22" i="115" s="1"/>
  <c r="AM22" i="115" s="1"/>
  <c r="AN22" i="115" s="1"/>
  <c r="AO22" i="115" s="1"/>
  <c r="AP22" i="115" s="1"/>
  <c r="AQ22" i="115" s="1"/>
  <c r="AR22" i="115" s="1"/>
  <c r="AS22" i="115" s="1"/>
  <c r="AT22" i="115" s="1"/>
  <c r="AU22" i="115" s="1"/>
  <c r="AV22" i="115" s="1"/>
  <c r="AW22" i="115" s="1"/>
  <c r="AX22" i="115" s="1"/>
  <c r="AY22" i="115" s="1"/>
  <c r="AZ22" i="115" s="1"/>
  <c r="BA22" i="115" s="1"/>
  <c r="BB22" i="115" s="1"/>
  <c r="BC22" i="115" s="1"/>
  <c r="BD22" i="115" s="1"/>
  <c r="BE22" i="115" s="1"/>
  <c r="BF22" i="115" s="1"/>
  <c r="BG22" i="115" s="1"/>
  <c r="BH22" i="115" s="1"/>
  <c r="BI22" i="115" s="1"/>
  <c r="BJ22" i="115" s="1"/>
  <c r="H22" i="115" s="1"/>
  <c r="Q24" i="115"/>
  <c r="P20" i="115"/>
  <c r="P23" i="115"/>
  <c r="Q27" i="115"/>
  <c r="Q19" i="115"/>
  <c r="K87" i="47"/>
  <c r="K86" i="47" s="1"/>
  <c r="K105" i="47" s="1"/>
  <c r="AU71" i="48"/>
  <c r="AW68" i="48"/>
  <c r="AW70" i="48" s="1"/>
  <c r="AV69" i="48"/>
  <c r="C87" i="48"/>
  <c r="AD50" i="48"/>
  <c r="AC55" i="48"/>
  <c r="AC54" i="48"/>
  <c r="AC53" i="48"/>
  <c r="AC52" i="48"/>
  <c r="AC51" i="48"/>
  <c r="AE85" i="48"/>
  <c r="AD87" i="48"/>
  <c r="AD86" i="48"/>
  <c r="AD88" i="48"/>
  <c r="R27" i="115" l="1"/>
  <c r="S27" i="115" s="1"/>
  <c r="T27" i="115" s="1"/>
  <c r="U27" i="115" s="1"/>
  <c r="V27" i="115" s="1"/>
  <c r="W27" i="115" s="1"/>
  <c r="X27" i="115" s="1"/>
  <c r="Y27" i="115" s="1"/>
  <c r="Z27" i="115" s="1"/>
  <c r="AA27" i="115" s="1"/>
  <c r="AB27" i="115" s="1"/>
  <c r="AC27" i="115" s="1"/>
  <c r="AD27" i="115" s="1"/>
  <c r="AE27" i="115" s="1"/>
  <c r="AF27" i="115" s="1"/>
  <c r="AG27" i="115" s="1"/>
  <c r="AH27" i="115" s="1"/>
  <c r="AI27" i="115" s="1"/>
  <c r="AJ27" i="115" s="1"/>
  <c r="AK27" i="115" s="1"/>
  <c r="AL27" i="115" s="1"/>
  <c r="AM27" i="115" s="1"/>
  <c r="AN27" i="115" s="1"/>
  <c r="AO27" i="115" s="1"/>
  <c r="AP27" i="115" s="1"/>
  <c r="AQ27" i="115" s="1"/>
  <c r="AR27" i="115" s="1"/>
  <c r="AS27" i="115" s="1"/>
  <c r="AT27" i="115" s="1"/>
  <c r="AU27" i="115" s="1"/>
  <c r="AV27" i="115" s="1"/>
  <c r="AW27" i="115" s="1"/>
  <c r="AX27" i="115" s="1"/>
  <c r="AY27" i="115" s="1"/>
  <c r="AZ27" i="115" s="1"/>
  <c r="BA27" i="115" s="1"/>
  <c r="BB27" i="115" s="1"/>
  <c r="BC27" i="115" s="1"/>
  <c r="BD27" i="115" s="1"/>
  <c r="BE27" i="115" s="1"/>
  <c r="BF27" i="115" s="1"/>
  <c r="BG27" i="115" s="1"/>
  <c r="BH27" i="115" s="1"/>
  <c r="BI27" i="115" s="1"/>
  <c r="BJ27" i="115" s="1"/>
  <c r="H27" i="115" s="1"/>
  <c r="R24" i="115"/>
  <c r="S24" i="115" s="1"/>
  <c r="T24" i="115" s="1"/>
  <c r="U24" i="115" s="1"/>
  <c r="V24" i="115" s="1"/>
  <c r="W24" i="115" s="1"/>
  <c r="X24" i="115" s="1"/>
  <c r="Y24" i="115" s="1"/>
  <c r="Z24" i="115" s="1"/>
  <c r="AA24" i="115" s="1"/>
  <c r="AB24" i="115" s="1"/>
  <c r="AC24" i="115" s="1"/>
  <c r="AD24" i="115" s="1"/>
  <c r="AE24" i="115" s="1"/>
  <c r="AF24" i="115" s="1"/>
  <c r="AG24" i="115" s="1"/>
  <c r="AH24" i="115" s="1"/>
  <c r="AI24" i="115" s="1"/>
  <c r="AJ24" i="115" s="1"/>
  <c r="AK24" i="115" s="1"/>
  <c r="AL24" i="115" s="1"/>
  <c r="AM24" i="115" s="1"/>
  <c r="AN24" i="115" s="1"/>
  <c r="AO24" i="115" s="1"/>
  <c r="AP24" i="115" s="1"/>
  <c r="AQ24" i="115" s="1"/>
  <c r="AR24" i="115" s="1"/>
  <c r="AS24" i="115" s="1"/>
  <c r="AT24" i="115" s="1"/>
  <c r="AU24" i="115" s="1"/>
  <c r="AV24" i="115" s="1"/>
  <c r="AW24" i="115" s="1"/>
  <c r="AX24" i="115" s="1"/>
  <c r="AY24" i="115" s="1"/>
  <c r="AZ24" i="115" s="1"/>
  <c r="BA24" i="115" s="1"/>
  <c r="BB24" i="115" s="1"/>
  <c r="BC24" i="115" s="1"/>
  <c r="BD24" i="115" s="1"/>
  <c r="BE24" i="115" s="1"/>
  <c r="BF24" i="115" s="1"/>
  <c r="BG24" i="115" s="1"/>
  <c r="BH24" i="115" s="1"/>
  <c r="BI24" i="115" s="1"/>
  <c r="BJ24" i="115" s="1"/>
  <c r="H24" i="115" s="1"/>
  <c r="R19" i="115"/>
  <c r="S19" i="115" s="1"/>
  <c r="T19" i="115" s="1"/>
  <c r="U19" i="115" s="1"/>
  <c r="V19" i="115" s="1"/>
  <c r="W19" i="115" s="1"/>
  <c r="X19" i="115" s="1"/>
  <c r="Y19" i="115" s="1"/>
  <c r="Z19" i="115" s="1"/>
  <c r="AA19" i="115" s="1"/>
  <c r="AB19" i="115" s="1"/>
  <c r="AC19" i="115" s="1"/>
  <c r="AD19" i="115" s="1"/>
  <c r="AE19" i="115" s="1"/>
  <c r="AF19" i="115" s="1"/>
  <c r="AG19" i="115" s="1"/>
  <c r="AH19" i="115" s="1"/>
  <c r="AI19" i="115" s="1"/>
  <c r="AJ19" i="115" s="1"/>
  <c r="AK19" i="115" s="1"/>
  <c r="AL19" i="115" s="1"/>
  <c r="AM19" i="115" s="1"/>
  <c r="AN19" i="115" s="1"/>
  <c r="AO19" i="115" s="1"/>
  <c r="AP19" i="115" s="1"/>
  <c r="AQ19" i="115" s="1"/>
  <c r="AR19" i="115" s="1"/>
  <c r="AS19" i="115" s="1"/>
  <c r="AT19" i="115" s="1"/>
  <c r="AU19" i="115" s="1"/>
  <c r="AV19" i="115" s="1"/>
  <c r="AW19" i="115" s="1"/>
  <c r="AX19" i="115" s="1"/>
  <c r="AY19" i="115" s="1"/>
  <c r="AZ19" i="115" s="1"/>
  <c r="BA19" i="115" s="1"/>
  <c r="BB19" i="115" s="1"/>
  <c r="BC19" i="115" s="1"/>
  <c r="BD19" i="115" s="1"/>
  <c r="BE19" i="115" s="1"/>
  <c r="BF19" i="115" s="1"/>
  <c r="BG19" i="115" s="1"/>
  <c r="BH19" i="115" s="1"/>
  <c r="BI19" i="115" s="1"/>
  <c r="BJ19" i="115" s="1"/>
  <c r="H19" i="115" s="1"/>
  <c r="Q20" i="115"/>
  <c r="Q23" i="115"/>
  <c r="R23" i="115" s="1"/>
  <c r="S23" i="115" s="1"/>
  <c r="T23" i="115" s="1"/>
  <c r="U23" i="115" s="1"/>
  <c r="V23" i="115" s="1"/>
  <c r="W23" i="115" s="1"/>
  <c r="X23" i="115" s="1"/>
  <c r="Y23" i="115" s="1"/>
  <c r="Z23" i="115" s="1"/>
  <c r="AA23" i="115" s="1"/>
  <c r="AB23" i="115" s="1"/>
  <c r="AC23" i="115" s="1"/>
  <c r="AD23" i="115" s="1"/>
  <c r="AE23" i="115" s="1"/>
  <c r="AF23" i="115" s="1"/>
  <c r="AG23" i="115" s="1"/>
  <c r="AH23" i="115" s="1"/>
  <c r="AI23" i="115" s="1"/>
  <c r="AJ23" i="115" s="1"/>
  <c r="AK23" i="115" s="1"/>
  <c r="AL23" i="115" s="1"/>
  <c r="AM23" i="115" s="1"/>
  <c r="AN23" i="115" s="1"/>
  <c r="AO23" i="115" s="1"/>
  <c r="AP23" i="115" s="1"/>
  <c r="AQ23" i="115" s="1"/>
  <c r="AR23" i="115" s="1"/>
  <c r="AS23" i="115" s="1"/>
  <c r="AT23" i="115" s="1"/>
  <c r="AU23" i="115" s="1"/>
  <c r="AV23" i="115" s="1"/>
  <c r="AW23" i="115" s="1"/>
  <c r="AX23" i="115" s="1"/>
  <c r="AY23" i="115" s="1"/>
  <c r="AZ23" i="115" s="1"/>
  <c r="BA23" i="115" s="1"/>
  <c r="BB23" i="115" s="1"/>
  <c r="BC23" i="115" s="1"/>
  <c r="BD23" i="115" s="1"/>
  <c r="BE23" i="115" s="1"/>
  <c r="BF23" i="115" s="1"/>
  <c r="BG23" i="115" s="1"/>
  <c r="BH23" i="115" s="1"/>
  <c r="BI23" i="115" s="1"/>
  <c r="BJ23" i="115" s="1"/>
  <c r="H23" i="115" s="1"/>
  <c r="L52" i="47"/>
  <c r="K102" i="47"/>
  <c r="Q37" i="115"/>
  <c r="Q34" i="115"/>
  <c r="Q39" i="115"/>
  <c r="Q40" i="115"/>
  <c r="Q38" i="115"/>
  <c r="AV71" i="48"/>
  <c r="AX68" i="48"/>
  <c r="AX70" i="48" s="1"/>
  <c r="AW69" i="48"/>
  <c r="AD54" i="48"/>
  <c r="AD53" i="48"/>
  <c r="AE50" i="48"/>
  <c r="AD55" i="48"/>
  <c r="AD51" i="48"/>
  <c r="AD52" i="48"/>
  <c r="AF85" i="48"/>
  <c r="AE87" i="48"/>
  <c r="AE88" i="48"/>
  <c r="AE86" i="48"/>
  <c r="R45" i="115" l="1"/>
  <c r="R46" i="115"/>
  <c r="R80" i="115"/>
  <c r="R77" i="115"/>
  <c r="R79" i="115"/>
  <c r="R84" i="115"/>
  <c r="R76" i="115"/>
  <c r="R78" i="115"/>
  <c r="R67" i="115"/>
  <c r="R72" i="115"/>
  <c r="R75" i="115"/>
  <c r="R69" i="115"/>
  <c r="R82" i="115"/>
  <c r="R73" i="115"/>
  <c r="R74" i="115"/>
  <c r="R64" i="115"/>
  <c r="R61" i="115"/>
  <c r="R70" i="115"/>
  <c r="R58" i="115"/>
  <c r="R68" i="115"/>
  <c r="R65" i="115"/>
  <c r="R63" i="115"/>
  <c r="R60" i="115"/>
  <c r="R83" i="115"/>
  <c r="R81" i="115"/>
  <c r="R57" i="115"/>
  <c r="R71" i="115"/>
  <c r="R62" i="115"/>
  <c r="R52" i="115"/>
  <c r="R66" i="115"/>
  <c r="R51" i="115"/>
  <c r="R54" i="115"/>
  <c r="R55" i="115"/>
  <c r="R59" i="115"/>
  <c r="R56" i="115"/>
  <c r="R53" i="115"/>
  <c r="R50" i="115"/>
  <c r="R20" i="115"/>
  <c r="S20" i="115" s="1"/>
  <c r="T20" i="115" s="1"/>
  <c r="U20" i="115" s="1"/>
  <c r="V20" i="115" s="1"/>
  <c r="W20" i="115" s="1"/>
  <c r="X20" i="115" s="1"/>
  <c r="Y20" i="115" s="1"/>
  <c r="Z20" i="115" s="1"/>
  <c r="AA20" i="115" s="1"/>
  <c r="AB20" i="115" s="1"/>
  <c r="AC20" i="115" s="1"/>
  <c r="AD20" i="115" s="1"/>
  <c r="AE20" i="115" s="1"/>
  <c r="AF20" i="115" s="1"/>
  <c r="AG20" i="115" s="1"/>
  <c r="AH20" i="115" s="1"/>
  <c r="AI20" i="115" s="1"/>
  <c r="AJ20" i="115" s="1"/>
  <c r="AK20" i="115" s="1"/>
  <c r="AL20" i="115" s="1"/>
  <c r="AM20" i="115" s="1"/>
  <c r="AN20" i="115" s="1"/>
  <c r="AO20" i="115" s="1"/>
  <c r="AP20" i="115" s="1"/>
  <c r="AQ20" i="115" s="1"/>
  <c r="AR20" i="115" s="1"/>
  <c r="AS20" i="115" s="1"/>
  <c r="AT20" i="115" s="1"/>
  <c r="AU20" i="115" s="1"/>
  <c r="AV20" i="115" s="1"/>
  <c r="AW20" i="115" s="1"/>
  <c r="AX20" i="115" s="1"/>
  <c r="AY20" i="115" s="1"/>
  <c r="AZ20" i="115" s="1"/>
  <c r="BA20" i="115" s="1"/>
  <c r="BB20" i="115" s="1"/>
  <c r="BC20" i="115" s="1"/>
  <c r="BD20" i="115" s="1"/>
  <c r="BE20" i="115" s="1"/>
  <c r="BF20" i="115" s="1"/>
  <c r="BG20" i="115" s="1"/>
  <c r="BH20" i="115" s="1"/>
  <c r="BI20" i="115" s="1"/>
  <c r="BJ20" i="115" s="1"/>
  <c r="H20" i="115" s="1"/>
  <c r="Q36" i="115"/>
  <c r="L87" i="47"/>
  <c r="M78" i="47"/>
  <c r="M52" i="47" s="1"/>
  <c r="AW71" i="48"/>
  <c r="AY68" i="48"/>
  <c r="AY70" i="48" s="1"/>
  <c r="AX69" i="48"/>
  <c r="AE55" i="48"/>
  <c r="AE53" i="48"/>
  <c r="AF50" i="48"/>
  <c r="AE54" i="48"/>
  <c r="AE51" i="48"/>
  <c r="AE52" i="48"/>
  <c r="AG85" i="48"/>
  <c r="AF87" i="48"/>
  <c r="AF88" i="48"/>
  <c r="AF86" i="48"/>
  <c r="S45" i="115" l="1"/>
  <c r="S46" i="115"/>
  <c r="S77" i="115"/>
  <c r="S82" i="115"/>
  <c r="S74" i="115"/>
  <c r="S84" i="115"/>
  <c r="S76" i="115"/>
  <c r="S81" i="115"/>
  <c r="S73" i="115"/>
  <c r="S83" i="115"/>
  <c r="S75" i="115"/>
  <c r="S78" i="115"/>
  <c r="S72" i="115"/>
  <c r="S69" i="115"/>
  <c r="S80" i="115"/>
  <c r="S66" i="115"/>
  <c r="S71" i="115"/>
  <c r="S79" i="115"/>
  <c r="S61" i="115"/>
  <c r="S70" i="115"/>
  <c r="S58" i="115"/>
  <c r="S68" i="115"/>
  <c r="S65" i="115"/>
  <c r="S63" i="115"/>
  <c r="S60" i="115"/>
  <c r="S57" i="115"/>
  <c r="S67" i="115"/>
  <c r="S62" i="115"/>
  <c r="S59" i="115"/>
  <c r="S54" i="115"/>
  <c r="S51" i="115"/>
  <c r="S64" i="115"/>
  <c r="S56" i="115"/>
  <c r="S52" i="115"/>
  <c r="S53" i="115"/>
  <c r="S50" i="115"/>
  <c r="S55" i="115"/>
  <c r="L86" i="47"/>
  <c r="L102" i="47" s="1"/>
  <c r="M88" i="47"/>
  <c r="AX71" i="48"/>
  <c r="AZ68" i="48"/>
  <c r="AZ70" i="48" s="1"/>
  <c r="AY69" i="48"/>
  <c r="AF54" i="48"/>
  <c r="AF55" i="48"/>
  <c r="AG50" i="48"/>
  <c r="AF53" i="48"/>
  <c r="AF52" i="48"/>
  <c r="AF51" i="48"/>
  <c r="N78" i="47"/>
  <c r="M87" i="47"/>
  <c r="AH85" i="48"/>
  <c r="AG88" i="48"/>
  <c r="AG87" i="48"/>
  <c r="AG86" i="48"/>
  <c r="L105" i="47" l="1"/>
  <c r="R34" i="115" s="1"/>
  <c r="M86" i="47"/>
  <c r="M102" i="47" s="1"/>
  <c r="AY71" i="48"/>
  <c r="BA68" i="48"/>
  <c r="BA70" i="48" s="1"/>
  <c r="AZ69" i="48"/>
  <c r="AH50" i="48"/>
  <c r="AG55" i="48"/>
  <c r="AG53" i="48"/>
  <c r="AG54" i="48"/>
  <c r="AG52" i="48"/>
  <c r="AG51" i="48"/>
  <c r="N88" i="47"/>
  <c r="N52" i="47"/>
  <c r="AI85" i="48"/>
  <c r="AH86" i="48"/>
  <c r="AH88" i="48"/>
  <c r="AH87" i="48"/>
  <c r="T45" i="115" l="1"/>
  <c r="T46" i="115"/>
  <c r="T82" i="115"/>
  <c r="T74" i="115"/>
  <c r="T79" i="115"/>
  <c r="T84" i="115"/>
  <c r="T81" i="115"/>
  <c r="T78" i="115"/>
  <c r="T80" i="115"/>
  <c r="T69" i="115"/>
  <c r="T75" i="115"/>
  <c r="T66" i="115"/>
  <c r="T71" i="115"/>
  <c r="T77" i="115"/>
  <c r="T73" i="115"/>
  <c r="T68" i="115"/>
  <c r="T70" i="115"/>
  <c r="T58" i="115"/>
  <c r="T65" i="115"/>
  <c r="T63" i="115"/>
  <c r="T60" i="115"/>
  <c r="T72" i="115"/>
  <c r="T57" i="115"/>
  <c r="T83" i="115"/>
  <c r="T76" i="115"/>
  <c r="T67" i="115"/>
  <c r="T62" i="115"/>
  <c r="T59" i="115"/>
  <c r="T64" i="115"/>
  <c r="T54" i="115"/>
  <c r="T51" i="115"/>
  <c r="T53" i="115"/>
  <c r="T56" i="115"/>
  <c r="T50" i="115"/>
  <c r="T55" i="115"/>
  <c r="T61" i="115"/>
  <c r="T52" i="115"/>
  <c r="R39" i="115"/>
  <c r="R40" i="115"/>
  <c r="R37" i="115"/>
  <c r="R36" i="115" s="1"/>
  <c r="R38" i="115"/>
  <c r="M105" i="47"/>
  <c r="AZ71" i="48"/>
  <c r="BB68" i="48"/>
  <c r="BB70" i="48" s="1"/>
  <c r="BA69" i="48"/>
  <c r="O78" i="47"/>
  <c r="N87" i="47"/>
  <c r="N86" i="47" s="1"/>
  <c r="AJ85" i="48"/>
  <c r="AI87" i="48"/>
  <c r="AI88" i="48"/>
  <c r="AI86" i="48"/>
  <c r="AH53" i="48"/>
  <c r="AH55" i="48"/>
  <c r="AI50" i="48"/>
  <c r="AH54" i="48"/>
  <c r="AH51" i="48"/>
  <c r="AH52" i="48"/>
  <c r="S37" i="115" l="1"/>
  <c r="S36" i="115" s="1"/>
  <c r="S40" i="115"/>
  <c r="S34" i="115"/>
  <c r="S38" i="115"/>
  <c r="S39" i="115"/>
  <c r="N105" i="47"/>
  <c r="N102" i="47"/>
  <c r="BA71" i="48"/>
  <c r="BC68" i="48"/>
  <c r="BC70" i="48" s="1"/>
  <c r="BB69" i="48"/>
  <c r="AK85" i="48"/>
  <c r="AJ87" i="48"/>
  <c r="AJ86" i="48"/>
  <c r="AJ88" i="48"/>
  <c r="AI53" i="48"/>
  <c r="AJ50" i="48"/>
  <c r="AI54" i="48"/>
  <c r="AI55" i="48"/>
  <c r="AI52" i="48"/>
  <c r="AI51" i="48"/>
  <c r="O88" i="47"/>
  <c r="O52" i="47"/>
  <c r="U45" i="115" l="1"/>
  <c r="U46" i="115"/>
  <c r="U79" i="115"/>
  <c r="U84" i="115"/>
  <c r="U76" i="115"/>
  <c r="U78" i="115"/>
  <c r="U83" i="115"/>
  <c r="U75" i="115"/>
  <c r="U77" i="115"/>
  <c r="U66" i="115"/>
  <c r="U80" i="115"/>
  <c r="U71" i="115"/>
  <c r="U73" i="115"/>
  <c r="U68" i="115"/>
  <c r="U82" i="115"/>
  <c r="U74" i="115"/>
  <c r="U70" i="115"/>
  <c r="U65" i="115"/>
  <c r="U63" i="115"/>
  <c r="U60" i="115"/>
  <c r="U72" i="115"/>
  <c r="U57" i="115"/>
  <c r="U67" i="115"/>
  <c r="U62" i="115"/>
  <c r="U81" i="115"/>
  <c r="U69" i="115"/>
  <c r="U59" i="115"/>
  <c r="U64" i="115"/>
  <c r="U61" i="115"/>
  <c r="U51" i="115"/>
  <c r="U58" i="115"/>
  <c r="U56" i="115"/>
  <c r="U50" i="115"/>
  <c r="U53" i="115"/>
  <c r="U55" i="115"/>
  <c r="U52" i="115"/>
  <c r="U54" i="115"/>
  <c r="T37" i="115"/>
  <c r="T34" i="115"/>
  <c r="T40" i="115"/>
  <c r="T38" i="115"/>
  <c r="T39" i="115"/>
  <c r="BB71" i="48"/>
  <c r="BD68" i="48"/>
  <c r="BD70" i="48" s="1"/>
  <c r="BC69" i="48"/>
  <c r="P78" i="47"/>
  <c r="O87" i="47"/>
  <c r="O86" i="47" s="1"/>
  <c r="AJ53" i="48"/>
  <c r="AJ55" i="48"/>
  <c r="AK50" i="48"/>
  <c r="AJ54" i="48"/>
  <c r="AJ51" i="48"/>
  <c r="AJ52" i="48"/>
  <c r="AL85" i="48"/>
  <c r="AK87" i="48"/>
  <c r="AK88" i="48"/>
  <c r="AK86" i="48"/>
  <c r="T36" i="115" l="1"/>
  <c r="O105" i="47"/>
  <c r="O102" i="47"/>
  <c r="BC71" i="48"/>
  <c r="BE68" i="48"/>
  <c r="BE70" i="48" s="1"/>
  <c r="BD69" i="48"/>
  <c r="AK54" i="48"/>
  <c r="AL50" i="48"/>
  <c r="AK55" i="48"/>
  <c r="AK53" i="48"/>
  <c r="AK52" i="48"/>
  <c r="AK51" i="48"/>
  <c r="AM85" i="48"/>
  <c r="AL86" i="48"/>
  <c r="AL87" i="48"/>
  <c r="AL88" i="48"/>
  <c r="P88" i="47"/>
  <c r="P52" i="47"/>
  <c r="V45" i="115" l="1"/>
  <c r="V46" i="115"/>
  <c r="V84" i="115"/>
  <c r="V76" i="115"/>
  <c r="V81" i="115"/>
  <c r="V73" i="115"/>
  <c r="V83" i="115"/>
  <c r="V75" i="115"/>
  <c r="V80" i="115"/>
  <c r="V82" i="115"/>
  <c r="V74" i="115"/>
  <c r="V71" i="115"/>
  <c r="V68" i="115"/>
  <c r="V77" i="115"/>
  <c r="V65" i="115"/>
  <c r="V70" i="115"/>
  <c r="V79" i="115"/>
  <c r="V72" i="115"/>
  <c r="V60" i="115"/>
  <c r="V57" i="115"/>
  <c r="V67" i="115"/>
  <c r="V62" i="115"/>
  <c r="V78" i="115"/>
  <c r="V69" i="115"/>
  <c r="V59" i="115"/>
  <c r="V64" i="115"/>
  <c r="V61" i="115"/>
  <c r="V66" i="115"/>
  <c r="V58" i="115"/>
  <c r="V56" i="115"/>
  <c r="V63" i="115"/>
  <c r="V53" i="115"/>
  <c r="V50" i="115"/>
  <c r="V55" i="115"/>
  <c r="V52" i="115"/>
  <c r="V54" i="115"/>
  <c r="V51" i="115"/>
  <c r="U37" i="115"/>
  <c r="U34" i="115"/>
  <c r="U40" i="115"/>
  <c r="U38" i="115"/>
  <c r="U39" i="115"/>
  <c r="BD71" i="48"/>
  <c r="BF68" i="48"/>
  <c r="BF70" i="48" s="1"/>
  <c r="BE69" i="48"/>
  <c r="AM87" i="48"/>
  <c r="AM88" i="48"/>
  <c r="AM86" i="48"/>
  <c r="AN85" i="48"/>
  <c r="AM50" i="48"/>
  <c r="AL55" i="48"/>
  <c r="AL53" i="48"/>
  <c r="AL54" i="48"/>
  <c r="AL52" i="48"/>
  <c r="AL51" i="48"/>
  <c r="P87" i="47"/>
  <c r="P86" i="47" s="1"/>
  <c r="Q78" i="47"/>
  <c r="U36" i="115" l="1"/>
  <c r="P105" i="47"/>
  <c r="P102" i="47"/>
  <c r="BE71" i="48"/>
  <c r="BG68" i="48"/>
  <c r="BG70" i="48" s="1"/>
  <c r="BF69" i="48"/>
  <c r="AN86" i="48"/>
  <c r="AO85" i="48"/>
  <c r="AN87" i="48"/>
  <c r="AN88" i="48"/>
  <c r="Q88" i="47"/>
  <c r="Q52" i="47"/>
  <c r="AM52" i="48"/>
  <c r="AM54" i="48"/>
  <c r="AN50" i="48"/>
  <c r="AM55" i="48"/>
  <c r="AM51" i="48"/>
  <c r="AM53" i="48"/>
  <c r="W46" i="115" l="1"/>
  <c r="W45" i="115"/>
  <c r="W81" i="115"/>
  <c r="W78" i="115"/>
  <c r="W83" i="115"/>
  <c r="W80" i="115"/>
  <c r="W77" i="115"/>
  <c r="W79" i="115"/>
  <c r="W75" i="115"/>
  <c r="W68" i="115"/>
  <c r="W84" i="115"/>
  <c r="W73" i="115"/>
  <c r="W82" i="115"/>
  <c r="W70" i="115"/>
  <c r="W74" i="115"/>
  <c r="W67" i="115"/>
  <c r="W76" i="115"/>
  <c r="W69" i="115"/>
  <c r="W57" i="115"/>
  <c r="W72" i="115"/>
  <c r="W62" i="115"/>
  <c r="W59" i="115"/>
  <c r="W64" i="115"/>
  <c r="W61" i="115"/>
  <c r="W71" i="115"/>
  <c r="W66" i="115"/>
  <c r="W58" i="115"/>
  <c r="W63" i="115"/>
  <c r="W53" i="115"/>
  <c r="W50" i="115"/>
  <c r="W52" i="115"/>
  <c r="W55" i="115"/>
  <c r="W60" i="115"/>
  <c r="W56" i="115"/>
  <c r="W65" i="115"/>
  <c r="W54" i="115"/>
  <c r="W51" i="115"/>
  <c r="V37" i="115"/>
  <c r="V34" i="115"/>
  <c r="V40" i="115"/>
  <c r="V38" i="115"/>
  <c r="V39" i="115"/>
  <c r="BF71" i="48"/>
  <c r="BH68" i="48"/>
  <c r="BH70" i="48" s="1"/>
  <c r="BG69" i="48"/>
  <c r="AO87" i="48"/>
  <c r="AO88" i="48"/>
  <c r="AO86" i="48"/>
  <c r="AP85" i="48"/>
  <c r="R78" i="47"/>
  <c r="Q87" i="47"/>
  <c r="Q86" i="47" s="1"/>
  <c r="AN53" i="48"/>
  <c r="AN51" i="48"/>
  <c r="AN54" i="48"/>
  <c r="AN55" i="48"/>
  <c r="AN52" i="48"/>
  <c r="AO50" i="48"/>
  <c r="V36" i="115" l="1"/>
  <c r="Q105" i="47"/>
  <c r="Q102" i="47"/>
  <c r="BG71" i="48"/>
  <c r="BI68" i="48"/>
  <c r="BI70" i="48" s="1"/>
  <c r="BH69" i="48"/>
  <c r="R88" i="47"/>
  <c r="R52" i="47"/>
  <c r="AP86" i="48"/>
  <c r="AQ85" i="48"/>
  <c r="AP87" i="48"/>
  <c r="AP88" i="48"/>
  <c r="AO54" i="48"/>
  <c r="AP50" i="48"/>
  <c r="AO55" i="48"/>
  <c r="AO51" i="48"/>
  <c r="AO52" i="48"/>
  <c r="AO53" i="48"/>
  <c r="X45" i="115" l="1"/>
  <c r="X46" i="115"/>
  <c r="X78" i="115"/>
  <c r="X83" i="115"/>
  <c r="X75" i="115"/>
  <c r="X77" i="115"/>
  <c r="X82" i="115"/>
  <c r="X74" i="115"/>
  <c r="X84" i="115"/>
  <c r="X76" i="115"/>
  <c r="X80" i="115"/>
  <c r="X73" i="115"/>
  <c r="X65" i="115"/>
  <c r="X70" i="115"/>
  <c r="X67" i="115"/>
  <c r="X79" i="115"/>
  <c r="X72" i="115"/>
  <c r="X81" i="115"/>
  <c r="X62" i="115"/>
  <c r="X68" i="115"/>
  <c r="X59" i="115"/>
  <c r="X69" i="115"/>
  <c r="X64" i="115"/>
  <c r="X61" i="115"/>
  <c r="X71" i="115"/>
  <c r="X66" i="115"/>
  <c r="X58" i="115"/>
  <c r="X63" i="115"/>
  <c r="X60" i="115"/>
  <c r="X50" i="115"/>
  <c r="X55" i="115"/>
  <c r="X52" i="115"/>
  <c r="X54" i="115"/>
  <c r="X51" i="115"/>
  <c r="X56" i="115"/>
  <c r="X57" i="115"/>
  <c r="X53" i="115"/>
  <c r="W37" i="115"/>
  <c r="W36" i="115" s="1"/>
  <c r="W34" i="115"/>
  <c r="W39" i="115"/>
  <c r="W40" i="115"/>
  <c r="W38" i="115"/>
  <c r="BH71" i="48"/>
  <c r="BJ68" i="48"/>
  <c r="BJ70" i="48" s="1"/>
  <c r="BI69" i="48"/>
  <c r="AQ50" i="48"/>
  <c r="AP51" i="48"/>
  <c r="AP53" i="48"/>
  <c r="AP54" i="48"/>
  <c r="AP55" i="48"/>
  <c r="AP52" i="48"/>
  <c r="S78" i="47"/>
  <c r="R87" i="47"/>
  <c r="R86" i="47" s="1"/>
  <c r="AQ88" i="48"/>
  <c r="AQ86" i="48"/>
  <c r="AR85" i="48"/>
  <c r="AQ87" i="48"/>
  <c r="R105" i="47" l="1"/>
  <c r="R102" i="47"/>
  <c r="BI71" i="48"/>
  <c r="BK68" i="48"/>
  <c r="BK70" i="48" s="1"/>
  <c r="BJ69" i="48"/>
  <c r="S88" i="47"/>
  <c r="S52" i="47"/>
  <c r="AR88" i="48"/>
  <c r="AR87" i="48"/>
  <c r="AR86" i="48"/>
  <c r="AS85" i="48"/>
  <c r="AQ55" i="48"/>
  <c r="AQ52" i="48"/>
  <c r="AQ53" i="48"/>
  <c r="AR50" i="48"/>
  <c r="AQ54" i="48"/>
  <c r="AQ51" i="48"/>
  <c r="Y46" i="115" l="1"/>
  <c r="Y45" i="115"/>
  <c r="Y83" i="115"/>
  <c r="Y75" i="115"/>
  <c r="Y80" i="115"/>
  <c r="Y82" i="115"/>
  <c r="Y74" i="115"/>
  <c r="Y79" i="115"/>
  <c r="Y81" i="115"/>
  <c r="Y73" i="115"/>
  <c r="Y84" i="115"/>
  <c r="Y70" i="115"/>
  <c r="Y77" i="115"/>
  <c r="Y67" i="115"/>
  <c r="Y72" i="115"/>
  <c r="Y69" i="115"/>
  <c r="Y76" i="115"/>
  <c r="Y71" i="115"/>
  <c r="Y68" i="115"/>
  <c r="Y59" i="115"/>
  <c r="Y64" i="115"/>
  <c r="Y78" i="115"/>
  <c r="Y61" i="115"/>
  <c r="Y66" i="115"/>
  <c r="Y58" i="115"/>
  <c r="Y63" i="115"/>
  <c r="Y60" i="115"/>
  <c r="Y65" i="115"/>
  <c r="Y57" i="115"/>
  <c r="Y55" i="115"/>
  <c r="Y52" i="115"/>
  <c r="Y54" i="115"/>
  <c r="Y51" i="115"/>
  <c r="Y62" i="115"/>
  <c r="Y56" i="115"/>
  <c r="Y53" i="115"/>
  <c r="Y50" i="115"/>
  <c r="X37" i="115"/>
  <c r="X36" i="115" s="1"/>
  <c r="X34" i="115"/>
  <c r="X39" i="115"/>
  <c r="X38" i="115"/>
  <c r="X40" i="115"/>
  <c r="BJ71" i="48"/>
  <c r="BL68" i="48"/>
  <c r="BL70" i="48" s="1"/>
  <c r="BK69" i="48"/>
  <c r="AT85" i="48"/>
  <c r="AS87" i="48"/>
  <c r="AS88" i="48"/>
  <c r="AS86" i="48"/>
  <c r="AS50" i="48"/>
  <c r="AR53" i="48"/>
  <c r="AR52" i="48"/>
  <c r="AR54" i="48"/>
  <c r="AR55" i="48"/>
  <c r="AR51" i="48"/>
  <c r="S87" i="47"/>
  <c r="S86" i="47" s="1"/>
  <c r="T78" i="47"/>
  <c r="S105" i="47" l="1"/>
  <c r="S102" i="47"/>
  <c r="BK71" i="48"/>
  <c r="BM68" i="48"/>
  <c r="BM70" i="48" s="1"/>
  <c r="BL69" i="48"/>
  <c r="AS51" i="48"/>
  <c r="AS53" i="48"/>
  <c r="AS52" i="48"/>
  <c r="AS54" i="48"/>
  <c r="AT50" i="48"/>
  <c r="AS55" i="48"/>
  <c r="T88" i="47"/>
  <c r="T52" i="47"/>
  <c r="AT86" i="48"/>
  <c r="AU85" i="48"/>
  <c r="AT88" i="48"/>
  <c r="AT87" i="48"/>
  <c r="Z46" i="115" l="1"/>
  <c r="Z45" i="115"/>
  <c r="Z80" i="115"/>
  <c r="Z77" i="115"/>
  <c r="Z82" i="115"/>
  <c r="Z79" i="115"/>
  <c r="Z84" i="115"/>
  <c r="Z76" i="115"/>
  <c r="Z78" i="115"/>
  <c r="Z67" i="115"/>
  <c r="Z72" i="115"/>
  <c r="Z74" i="115"/>
  <c r="Z69" i="115"/>
  <c r="Z81" i="115"/>
  <c r="Z83" i="115"/>
  <c r="Z64" i="115"/>
  <c r="Z75" i="115"/>
  <c r="Z61" i="115"/>
  <c r="Z66" i="115"/>
  <c r="Z58" i="115"/>
  <c r="Z73" i="115"/>
  <c r="Z71" i="115"/>
  <c r="Z63" i="115"/>
  <c r="Z60" i="115"/>
  <c r="Z65" i="115"/>
  <c r="Z57" i="115"/>
  <c r="Z62" i="115"/>
  <c r="Z52" i="115"/>
  <c r="Z68" i="115"/>
  <c r="Z59" i="115"/>
  <c r="Z54" i="115"/>
  <c r="Z51" i="115"/>
  <c r="Z56" i="115"/>
  <c r="Z70" i="115"/>
  <c r="Z53" i="115"/>
  <c r="Z55" i="115"/>
  <c r="Z50" i="115"/>
  <c r="Y37" i="115"/>
  <c r="Y36" i="115" s="1"/>
  <c r="Y34" i="115"/>
  <c r="Y39" i="115"/>
  <c r="Y38" i="115"/>
  <c r="Y40" i="115"/>
  <c r="BL71" i="48"/>
  <c r="BN68" i="48"/>
  <c r="BN70" i="48" s="1"/>
  <c r="BM69" i="48"/>
  <c r="U78" i="47"/>
  <c r="T87" i="47"/>
  <c r="T86" i="47" s="1"/>
  <c r="AT53" i="48"/>
  <c r="AT51" i="48"/>
  <c r="AT54" i="48"/>
  <c r="AT55" i="48"/>
  <c r="AT52" i="48"/>
  <c r="AU50" i="48"/>
  <c r="AV85" i="48"/>
  <c r="AU86" i="48"/>
  <c r="AU87" i="48"/>
  <c r="AU88" i="48"/>
  <c r="T105" i="47" l="1"/>
  <c r="T102" i="47"/>
  <c r="BM71" i="48"/>
  <c r="BO68" i="48"/>
  <c r="BO70" i="48" s="1"/>
  <c r="BN69" i="48"/>
  <c r="AU52" i="48"/>
  <c r="AV50" i="48"/>
  <c r="AU54" i="48"/>
  <c r="AU53" i="48"/>
  <c r="AU55" i="48"/>
  <c r="AU51" i="48"/>
  <c r="AV86" i="48"/>
  <c r="AV87" i="48"/>
  <c r="AW85" i="48"/>
  <c r="AV88" i="48"/>
  <c r="U88" i="47"/>
  <c r="U52" i="47"/>
  <c r="AA46" i="115" l="1"/>
  <c r="AA45" i="115"/>
  <c r="AA77" i="115"/>
  <c r="AA82" i="115"/>
  <c r="AA74" i="115"/>
  <c r="AA84" i="115"/>
  <c r="AA76" i="115"/>
  <c r="AA81" i="115"/>
  <c r="AA73" i="115"/>
  <c r="AA83" i="115"/>
  <c r="AA75" i="115"/>
  <c r="AA72" i="115"/>
  <c r="AA69" i="115"/>
  <c r="AA79" i="115"/>
  <c r="AA66" i="115"/>
  <c r="AA71" i="115"/>
  <c r="AA78" i="115"/>
  <c r="AA61" i="115"/>
  <c r="AA80" i="115"/>
  <c r="AA67" i="115"/>
  <c r="AA58" i="115"/>
  <c r="AA63" i="115"/>
  <c r="AA60" i="115"/>
  <c r="AA65" i="115"/>
  <c r="AA57" i="115"/>
  <c r="AA62" i="115"/>
  <c r="AA70" i="115"/>
  <c r="AA68" i="115"/>
  <c r="AA59" i="115"/>
  <c r="AA54" i="115"/>
  <c r="AA64" i="115"/>
  <c r="AA51" i="115"/>
  <c r="AA56" i="115"/>
  <c r="AA53" i="115"/>
  <c r="AA52" i="115"/>
  <c r="AA50" i="115"/>
  <c r="AA55" i="115"/>
  <c r="Z37" i="115"/>
  <c r="Z36" i="115" s="1"/>
  <c r="Z34" i="115"/>
  <c r="Z39" i="115"/>
  <c r="Z38" i="115"/>
  <c r="Z40" i="115"/>
  <c r="BN71" i="48"/>
  <c r="BP68" i="48"/>
  <c r="BP70" i="48" s="1"/>
  <c r="BO69" i="48"/>
  <c r="V78" i="47"/>
  <c r="U87" i="47"/>
  <c r="U86" i="47" s="1"/>
  <c r="AV52" i="48"/>
  <c r="AW50" i="48"/>
  <c r="AV55" i="48"/>
  <c r="AV53" i="48"/>
  <c r="AV54" i="48"/>
  <c r="AV51" i="48"/>
  <c r="AW88" i="48"/>
  <c r="AW87" i="48"/>
  <c r="AX85" i="48"/>
  <c r="AW86" i="48"/>
  <c r="U105" i="47" l="1"/>
  <c r="U102" i="47"/>
  <c r="BO71" i="48"/>
  <c r="BQ68" i="48"/>
  <c r="BQ70" i="48" s="1"/>
  <c r="BP69" i="48"/>
  <c r="AW53" i="48"/>
  <c r="AW52" i="48"/>
  <c r="AW51" i="48"/>
  <c r="AW54" i="48"/>
  <c r="AX50" i="48"/>
  <c r="AW55" i="48"/>
  <c r="AX86" i="48"/>
  <c r="AX87" i="48"/>
  <c r="AY85" i="48"/>
  <c r="AX88" i="48"/>
  <c r="V88" i="47"/>
  <c r="V52" i="47"/>
  <c r="AB45" i="115" l="1"/>
  <c r="AB46" i="115"/>
  <c r="AB82" i="115"/>
  <c r="AB74" i="115"/>
  <c r="AB79" i="115"/>
  <c r="AB84" i="115"/>
  <c r="AB81" i="115"/>
  <c r="AB78" i="115"/>
  <c r="AB80" i="115"/>
  <c r="AB77" i="115"/>
  <c r="AB69" i="115"/>
  <c r="AB66" i="115"/>
  <c r="AB71" i="115"/>
  <c r="AB76" i="115"/>
  <c r="AB68" i="115"/>
  <c r="AB83" i="115"/>
  <c r="AB70" i="115"/>
  <c r="AB75" i="115"/>
  <c r="AB72" i="115"/>
  <c r="AB67" i="115"/>
  <c r="AB58" i="115"/>
  <c r="AB63" i="115"/>
  <c r="AB73" i="115"/>
  <c r="AB60" i="115"/>
  <c r="AB65" i="115"/>
  <c r="AB57" i="115"/>
  <c r="AB62" i="115"/>
  <c r="AB59" i="115"/>
  <c r="AB64" i="115"/>
  <c r="AB54" i="115"/>
  <c r="AB51" i="115"/>
  <c r="AB56" i="115"/>
  <c r="AB53" i="115"/>
  <c r="AB50" i="115"/>
  <c r="AB61" i="115"/>
  <c r="AB55" i="115"/>
  <c r="AB52" i="115"/>
  <c r="AA37" i="115"/>
  <c r="AA36" i="115" s="1"/>
  <c r="AA34" i="115"/>
  <c r="AA40" i="115"/>
  <c r="AA38" i="115"/>
  <c r="AA39" i="115"/>
  <c r="BP71" i="48"/>
  <c r="BQ69" i="48"/>
  <c r="BR68" i="48"/>
  <c r="BR70" i="48" s="1"/>
  <c r="W78" i="47"/>
  <c r="V87" i="47"/>
  <c r="V86" i="47" s="1"/>
  <c r="AX52" i="48"/>
  <c r="AY50" i="48"/>
  <c r="AX55" i="48"/>
  <c r="AX53" i="48"/>
  <c r="AX51" i="48"/>
  <c r="AX54" i="48"/>
  <c r="AY87" i="48"/>
  <c r="AY88" i="48"/>
  <c r="AY86" i="48"/>
  <c r="AZ85" i="48"/>
  <c r="V105" i="47" l="1"/>
  <c r="V102" i="47"/>
  <c r="BR69" i="48"/>
  <c r="BQ71" i="48"/>
  <c r="AZ87" i="48"/>
  <c r="AZ88" i="48"/>
  <c r="BA85" i="48"/>
  <c r="AZ86" i="48"/>
  <c r="AY51" i="48"/>
  <c r="AY54" i="48"/>
  <c r="AY55" i="48"/>
  <c r="AY52" i="48"/>
  <c r="AY53" i="48"/>
  <c r="AZ50" i="48"/>
  <c r="W88" i="47"/>
  <c r="W52" i="47"/>
  <c r="AC46" i="115" l="1"/>
  <c r="AC45" i="115"/>
  <c r="AC79" i="115"/>
  <c r="AC84" i="115"/>
  <c r="AC76" i="115"/>
  <c r="AC78" i="115"/>
  <c r="AC83" i="115"/>
  <c r="AC75" i="115"/>
  <c r="AC77" i="115"/>
  <c r="AC66" i="115"/>
  <c r="AC82" i="115"/>
  <c r="AC74" i="115"/>
  <c r="AC71" i="115"/>
  <c r="AC68" i="115"/>
  <c r="AC81" i="115"/>
  <c r="AC73" i="115"/>
  <c r="AC80" i="115"/>
  <c r="AC63" i="115"/>
  <c r="AC69" i="115"/>
  <c r="AC60" i="115"/>
  <c r="AC65" i="115"/>
  <c r="AC57" i="115"/>
  <c r="AC62" i="115"/>
  <c r="AC59" i="115"/>
  <c r="AC70" i="115"/>
  <c r="AC64" i="115"/>
  <c r="AC61" i="115"/>
  <c r="AC72" i="115"/>
  <c r="AC58" i="115"/>
  <c r="AC51" i="115"/>
  <c r="AC56" i="115"/>
  <c r="AC53" i="115"/>
  <c r="AC50" i="115"/>
  <c r="AC55" i="115"/>
  <c r="AC54" i="115"/>
  <c r="AC67" i="115"/>
  <c r="AC52" i="115"/>
  <c r="AB37" i="115"/>
  <c r="AB36" i="115" s="1"/>
  <c r="AB34" i="115"/>
  <c r="AB40" i="115"/>
  <c r="AB38" i="115"/>
  <c r="AB39" i="115"/>
  <c r="BR71" i="48"/>
  <c r="BB85" i="48"/>
  <c r="BA88" i="48"/>
  <c r="BA86" i="48"/>
  <c r="BA87" i="48"/>
  <c r="X78" i="47"/>
  <c r="W87" i="47"/>
  <c r="W86" i="47" s="1"/>
  <c r="AZ52" i="48"/>
  <c r="BA50" i="48"/>
  <c r="AZ55" i="48"/>
  <c r="AZ51" i="48"/>
  <c r="AZ54" i="48"/>
  <c r="AZ53" i="48"/>
  <c r="W105" i="47" l="1"/>
  <c r="W102" i="47"/>
  <c r="X88" i="47"/>
  <c r="X52" i="47"/>
  <c r="BA51" i="48"/>
  <c r="BA53" i="48"/>
  <c r="BA54" i="48"/>
  <c r="BA52" i="48"/>
  <c r="BA55" i="48"/>
  <c r="BB50" i="48"/>
  <c r="BB86" i="48"/>
  <c r="BC85" i="48"/>
  <c r="BB87" i="48"/>
  <c r="BB88" i="48"/>
  <c r="AD45" i="115" l="1"/>
  <c r="AD46" i="115"/>
  <c r="AD84" i="115"/>
  <c r="AD76" i="115"/>
  <c r="AD81" i="115"/>
  <c r="AD73" i="115"/>
  <c r="AD83" i="115"/>
  <c r="AD75" i="115"/>
  <c r="AD80" i="115"/>
  <c r="AD82" i="115"/>
  <c r="AD74" i="115"/>
  <c r="AD71" i="115"/>
  <c r="AD79" i="115"/>
  <c r="AD68" i="115"/>
  <c r="AD65" i="115"/>
  <c r="AD70" i="115"/>
  <c r="AD78" i="115"/>
  <c r="AD72" i="115"/>
  <c r="AD69" i="115"/>
  <c r="AD60" i="115"/>
  <c r="AD66" i="115"/>
  <c r="AD57" i="115"/>
  <c r="AD62" i="115"/>
  <c r="AD59" i="115"/>
  <c r="AD64" i="115"/>
  <c r="AD61" i="115"/>
  <c r="AD67" i="115"/>
  <c r="AD58" i="115"/>
  <c r="AD63" i="115"/>
  <c r="AD56" i="115"/>
  <c r="AD53" i="115"/>
  <c r="AD50" i="115"/>
  <c r="AD77" i="115"/>
  <c r="AD55" i="115"/>
  <c r="AD52" i="115"/>
  <c r="AD51" i="115"/>
  <c r="AD54" i="115"/>
  <c r="AC37" i="115"/>
  <c r="AC36" i="115" s="1"/>
  <c r="AC34" i="115"/>
  <c r="AC40" i="115"/>
  <c r="AC38" i="115"/>
  <c r="AC39" i="115"/>
  <c r="BC87" i="48"/>
  <c r="BC86" i="48"/>
  <c r="BC88" i="48"/>
  <c r="BD85" i="48"/>
  <c r="X87" i="47"/>
  <c r="X86" i="47" s="1"/>
  <c r="Y78" i="47"/>
  <c r="BB53" i="48"/>
  <c r="BB52" i="48"/>
  <c r="BB54" i="48"/>
  <c r="BC50" i="48"/>
  <c r="BB51" i="48"/>
  <c r="BB55" i="48"/>
  <c r="X105" i="47" l="1"/>
  <c r="X102" i="47"/>
  <c r="Y88" i="47"/>
  <c r="Y52" i="47"/>
  <c r="BD88" i="48"/>
  <c r="BD87" i="48"/>
  <c r="BE85" i="48"/>
  <c r="BD86" i="48"/>
  <c r="BC55" i="48"/>
  <c r="BC54" i="48"/>
  <c r="BC51" i="48"/>
  <c r="BC52" i="48"/>
  <c r="BD50" i="48"/>
  <c r="BC53" i="48"/>
  <c r="AE45" i="115" l="1"/>
  <c r="AE46" i="115"/>
  <c r="AE81" i="115"/>
  <c r="AE78" i="115"/>
  <c r="AE83" i="115"/>
  <c r="AE80" i="115"/>
  <c r="AE77" i="115"/>
  <c r="AE79" i="115"/>
  <c r="AE82" i="115"/>
  <c r="AE74" i="115"/>
  <c r="AE68" i="115"/>
  <c r="AE76" i="115"/>
  <c r="AE70" i="115"/>
  <c r="AE67" i="115"/>
  <c r="AE73" i="115"/>
  <c r="AE75" i="115"/>
  <c r="AE69" i="115"/>
  <c r="AE66" i="115"/>
  <c r="AE57" i="115"/>
  <c r="AE84" i="115"/>
  <c r="AE65" i="115"/>
  <c r="AE62" i="115"/>
  <c r="AE71" i="115"/>
  <c r="AE59" i="115"/>
  <c r="AE64" i="115"/>
  <c r="AE61" i="115"/>
  <c r="AE58" i="115"/>
  <c r="AE72" i="115"/>
  <c r="AE63" i="115"/>
  <c r="AE53" i="115"/>
  <c r="AE50" i="115"/>
  <c r="AE55" i="115"/>
  <c r="AE52" i="115"/>
  <c r="AE60" i="115"/>
  <c r="AE54" i="115"/>
  <c r="AE56" i="115"/>
  <c r="AE51" i="115"/>
  <c r="AD37" i="115"/>
  <c r="AD36" i="115" s="1"/>
  <c r="AD34" i="115"/>
  <c r="AD40" i="115"/>
  <c r="AD38" i="115"/>
  <c r="AD39" i="115"/>
  <c r="BE87" i="48"/>
  <c r="BE86" i="48"/>
  <c r="BE88" i="48"/>
  <c r="BF85" i="48"/>
  <c r="Y87" i="47"/>
  <c r="Y86" i="47" s="1"/>
  <c r="Z78" i="47"/>
  <c r="BD51" i="48"/>
  <c r="BD54" i="48"/>
  <c r="BD53" i="48"/>
  <c r="BD52" i="48"/>
  <c r="BE50" i="48"/>
  <c r="BD55" i="48"/>
  <c r="Y105" i="47" l="1"/>
  <c r="Y102" i="47"/>
  <c r="BE52" i="48"/>
  <c r="BF50" i="48"/>
  <c r="BE55" i="48"/>
  <c r="BE51" i="48"/>
  <c r="BE54" i="48"/>
  <c r="BE53" i="48"/>
  <c r="BF86" i="48"/>
  <c r="BG85" i="48"/>
  <c r="BF87" i="48"/>
  <c r="BF88" i="48"/>
  <c r="Z88" i="47"/>
  <c r="Z52" i="47"/>
  <c r="BF52" i="47"/>
  <c r="BF88" i="47"/>
  <c r="AF46" i="115" l="1"/>
  <c r="AF45" i="115"/>
  <c r="AF78" i="115"/>
  <c r="AF83" i="115"/>
  <c r="AF75" i="115"/>
  <c r="AF77" i="115"/>
  <c r="AF82" i="115"/>
  <c r="AF74" i="115"/>
  <c r="AF84" i="115"/>
  <c r="AF76" i="115"/>
  <c r="AF79" i="115"/>
  <c r="AF65" i="115"/>
  <c r="AF70" i="115"/>
  <c r="AF81" i="115"/>
  <c r="AF67" i="115"/>
  <c r="AF73" i="115"/>
  <c r="AF72" i="115"/>
  <c r="AF80" i="115"/>
  <c r="AF62" i="115"/>
  <c r="AF71" i="115"/>
  <c r="AF59" i="115"/>
  <c r="AF64" i="115"/>
  <c r="AF56" i="115"/>
  <c r="AF61" i="115"/>
  <c r="AF58" i="115"/>
  <c r="AF68" i="115"/>
  <c r="AF63" i="115"/>
  <c r="AF60" i="115"/>
  <c r="AF66" i="115"/>
  <c r="AF50" i="115"/>
  <c r="AF55" i="115"/>
  <c r="AF52" i="115"/>
  <c r="AF53" i="115"/>
  <c r="AF54" i="115"/>
  <c r="AF51" i="115"/>
  <c r="AF69" i="115"/>
  <c r="AF57" i="115"/>
  <c r="U81" i="45"/>
  <c r="U80" i="45"/>
  <c r="U86" i="45"/>
  <c r="U82" i="45"/>
  <c r="U79" i="45"/>
  <c r="U78" i="45"/>
  <c r="U85" i="45"/>
  <c r="U84" i="45"/>
  <c r="U83" i="45"/>
  <c r="U75" i="45"/>
  <c r="U77" i="45"/>
  <c r="U76" i="45"/>
  <c r="U72" i="45"/>
  <c r="U74" i="45"/>
  <c r="U73" i="45"/>
  <c r="U71" i="45"/>
  <c r="U67" i="45"/>
  <c r="U66" i="45"/>
  <c r="U70" i="45"/>
  <c r="U69" i="45"/>
  <c r="U68" i="45"/>
  <c r="U62" i="45"/>
  <c r="U64" i="45"/>
  <c r="U65" i="45"/>
  <c r="U63" i="45"/>
  <c r="U56" i="45"/>
  <c r="U57" i="45"/>
  <c r="U59" i="45"/>
  <c r="U58" i="45"/>
  <c r="U61" i="45"/>
  <c r="U60" i="45"/>
  <c r="U54" i="45"/>
  <c r="U55" i="45"/>
  <c r="U52" i="45"/>
  <c r="U53" i="45"/>
  <c r="U51" i="45"/>
  <c r="AE37" i="115"/>
  <c r="AE36" i="115" s="1"/>
  <c r="AE34" i="115"/>
  <c r="AE38" i="115"/>
  <c r="AE39" i="115"/>
  <c r="AE40" i="115"/>
  <c r="BH85" i="48"/>
  <c r="BG87" i="48"/>
  <c r="BG88" i="48"/>
  <c r="BG86" i="48"/>
  <c r="AA78" i="47"/>
  <c r="Z87" i="47"/>
  <c r="Z86" i="47" s="1"/>
  <c r="BF52" i="48"/>
  <c r="BF55" i="48"/>
  <c r="BF53" i="48"/>
  <c r="BF54" i="48"/>
  <c r="BG50" i="48"/>
  <c r="BF51" i="48"/>
  <c r="BE47" i="45"/>
  <c r="C52" i="48"/>
  <c r="U103" i="45"/>
  <c r="BE103" i="45" s="1"/>
  <c r="BF103" i="45" s="1"/>
  <c r="U106" i="45"/>
  <c r="BE106" i="45" s="1"/>
  <c r="BF106" i="45" s="1"/>
  <c r="U102" i="45"/>
  <c r="BE102" i="45" s="1"/>
  <c r="BF102" i="45" s="1"/>
  <c r="U89" i="45"/>
  <c r="BE89" i="45" s="1"/>
  <c r="BF89" i="45" s="1"/>
  <c r="U112" i="45"/>
  <c r="BE112" i="45" s="1"/>
  <c r="BF112" i="45" s="1"/>
  <c r="U107" i="45"/>
  <c r="BE107" i="45" s="1"/>
  <c r="BF107" i="45" s="1"/>
  <c r="U108" i="45"/>
  <c r="BE108" i="45" s="1"/>
  <c r="BF108" i="45" s="1"/>
  <c r="U105" i="45"/>
  <c r="BE105" i="45" s="1"/>
  <c r="BF105" i="45" s="1"/>
  <c r="BE48" i="45"/>
  <c r="U104" i="45"/>
  <c r="BE104" i="45" s="1"/>
  <c r="BF104" i="45" s="1"/>
  <c r="U109" i="45"/>
  <c r="BE109" i="45" s="1"/>
  <c r="BF109" i="45" s="1"/>
  <c r="U110" i="45"/>
  <c r="BE110" i="45" s="1"/>
  <c r="BF110" i="45" s="1"/>
  <c r="U111" i="45"/>
  <c r="BE111" i="45" s="1"/>
  <c r="BF111" i="45" s="1"/>
  <c r="BF87" i="47"/>
  <c r="BE53" i="45" l="1"/>
  <c r="BE57" i="45"/>
  <c r="BE70" i="45"/>
  <c r="BE77" i="45"/>
  <c r="BE82" i="45"/>
  <c r="BE52" i="45"/>
  <c r="BE56" i="45"/>
  <c r="BE66" i="45"/>
  <c r="BE75" i="45"/>
  <c r="BE86" i="45"/>
  <c r="BE55" i="45"/>
  <c r="BE63" i="45"/>
  <c r="BE67" i="45"/>
  <c r="BE80" i="45"/>
  <c r="BE54" i="45"/>
  <c r="BE65" i="45"/>
  <c r="BE71" i="45"/>
  <c r="BE83" i="45"/>
  <c r="BE81" i="45"/>
  <c r="BE60" i="45"/>
  <c r="BE64" i="45"/>
  <c r="BE73" i="45"/>
  <c r="BE84" i="45"/>
  <c r="BE61" i="45"/>
  <c r="BE62" i="45"/>
  <c r="BE74" i="45"/>
  <c r="BE85" i="45"/>
  <c r="BE58" i="45"/>
  <c r="BE68" i="45"/>
  <c r="BE72" i="45"/>
  <c r="BE78" i="45"/>
  <c r="BE59" i="45"/>
  <c r="BE69" i="45"/>
  <c r="BE76" i="45"/>
  <c r="BE79" i="45"/>
  <c r="BE51" i="45"/>
  <c r="Z105" i="47"/>
  <c r="Z102" i="47"/>
  <c r="AA88" i="47"/>
  <c r="AA52" i="47"/>
  <c r="BG52" i="48"/>
  <c r="BG51" i="48"/>
  <c r="BG53" i="48"/>
  <c r="BH50" i="48"/>
  <c r="BG54" i="48"/>
  <c r="BG55" i="48"/>
  <c r="BH86" i="48"/>
  <c r="BH88" i="48"/>
  <c r="BI85" i="48"/>
  <c r="BH87" i="48"/>
  <c r="BF48" i="45"/>
  <c r="H195" i="48" s="1"/>
  <c r="G195" i="48"/>
  <c r="F109" i="48"/>
  <c r="C49" i="48"/>
  <c r="C59" i="48"/>
  <c r="F108" i="48" s="1"/>
  <c r="BF86" i="47"/>
  <c r="BF47" i="45"/>
  <c r="H194" i="48" s="1"/>
  <c r="I194" i="48" s="1"/>
  <c r="G194" i="48"/>
  <c r="AG46" i="115" l="1"/>
  <c r="AG45" i="115"/>
  <c r="AG83" i="115"/>
  <c r="AG75" i="115"/>
  <c r="AG80" i="115"/>
  <c r="AG82" i="115"/>
  <c r="AG74" i="115"/>
  <c r="AG79" i="115"/>
  <c r="AG81" i="115"/>
  <c r="AG73" i="115"/>
  <c r="AG70" i="115"/>
  <c r="AG76" i="115"/>
  <c r="AG67" i="115"/>
  <c r="AG72" i="115"/>
  <c r="AG78" i="115"/>
  <c r="AG69" i="115"/>
  <c r="AG71" i="115"/>
  <c r="AG84" i="115"/>
  <c r="AG65" i="115"/>
  <c r="AG59" i="115"/>
  <c r="AG64" i="115"/>
  <c r="AG61" i="115"/>
  <c r="AG58" i="115"/>
  <c r="AG68" i="115"/>
  <c r="AG63" i="115"/>
  <c r="AG60" i="115"/>
  <c r="AG77" i="115"/>
  <c r="AG66" i="115"/>
  <c r="AG57" i="115"/>
  <c r="AG55" i="115"/>
  <c r="AG52" i="115"/>
  <c r="AG54" i="115"/>
  <c r="AG51" i="115"/>
  <c r="AG50" i="115"/>
  <c r="AG62" i="115"/>
  <c r="AG56" i="115"/>
  <c r="AG53" i="115"/>
  <c r="BF51" i="45"/>
  <c r="H198" i="48" s="1"/>
  <c r="G228" i="48"/>
  <c r="BF54" i="45"/>
  <c r="H201" i="48" s="1"/>
  <c r="BF66" i="45"/>
  <c r="H213" i="48" s="1"/>
  <c r="BF67" i="45"/>
  <c r="H214" i="48" s="1"/>
  <c r="G229" i="48"/>
  <c r="BF58" i="45"/>
  <c r="H205" i="48" s="1"/>
  <c r="G226" i="48"/>
  <c r="G232" i="48"/>
  <c r="BF81" i="45"/>
  <c r="H228" i="48" s="1"/>
  <c r="G210" i="48"/>
  <c r="BF77" i="45"/>
  <c r="H224" i="48" s="1"/>
  <c r="G231" i="48"/>
  <c r="BF73" i="45"/>
  <c r="H220" i="48" s="1"/>
  <c r="G203" i="48"/>
  <c r="I203" i="48" s="1"/>
  <c r="G211" i="48"/>
  <c r="G199" i="48"/>
  <c r="I199" i="48" s="1"/>
  <c r="BF76" i="45"/>
  <c r="H223" i="48" s="1"/>
  <c r="BF74" i="45"/>
  <c r="H221" i="48" s="1"/>
  <c r="BF83" i="45"/>
  <c r="H230" i="48" s="1"/>
  <c r="G202" i="48"/>
  <c r="I202" i="48" s="1"/>
  <c r="G217" i="48"/>
  <c r="G216" i="48"/>
  <c r="G209" i="48"/>
  <c r="G218" i="48"/>
  <c r="G233" i="48"/>
  <c r="G204" i="48"/>
  <c r="I204" i="48" s="1"/>
  <c r="BF78" i="45"/>
  <c r="H225" i="48" s="1"/>
  <c r="BF72" i="45"/>
  <c r="H219" i="48" s="1"/>
  <c r="I219" i="48" s="1"/>
  <c r="BF80" i="45"/>
  <c r="H227" i="48" s="1"/>
  <c r="BF68" i="45"/>
  <c r="H215" i="48" s="1"/>
  <c r="I215" i="48" s="1"/>
  <c r="G207" i="48"/>
  <c r="BF59" i="45"/>
  <c r="H206" i="48" s="1"/>
  <c r="BF61" i="45"/>
  <c r="H208" i="48" s="1"/>
  <c r="G212" i="48"/>
  <c r="G222" i="48"/>
  <c r="G200" i="48"/>
  <c r="BF82" i="45"/>
  <c r="H229" i="48" s="1"/>
  <c r="I229" i="48" s="1"/>
  <c r="BF65" i="45"/>
  <c r="H212" i="48" s="1"/>
  <c r="BF70" i="45"/>
  <c r="H217" i="48" s="1"/>
  <c r="BF69" i="45"/>
  <c r="H216" i="48" s="1"/>
  <c r="BF86" i="45"/>
  <c r="H233" i="48" s="1"/>
  <c r="I233" i="48" s="1"/>
  <c r="BF53" i="45"/>
  <c r="H200" i="48" s="1"/>
  <c r="I200" i="48" s="1"/>
  <c r="BF75" i="45"/>
  <c r="H222" i="48" s="1"/>
  <c r="I222" i="48" s="1"/>
  <c r="G208" i="48"/>
  <c r="BF71" i="45"/>
  <c r="H218" i="48" s="1"/>
  <c r="I218" i="48" s="1"/>
  <c r="G206" i="48"/>
  <c r="G198" i="48"/>
  <c r="BF85" i="45"/>
  <c r="H232" i="48" s="1"/>
  <c r="I232" i="48" s="1"/>
  <c r="G205" i="48"/>
  <c r="BF62" i="45"/>
  <c r="H209" i="48" s="1"/>
  <c r="G214" i="48"/>
  <c r="G224" i="48"/>
  <c r="BF60" i="45"/>
  <c r="H207" i="48" s="1"/>
  <c r="G215" i="48"/>
  <c r="BF84" i="45"/>
  <c r="H231" i="48" s="1"/>
  <c r="I231" i="48" s="1"/>
  <c r="G213" i="48"/>
  <c r="BF64" i="45"/>
  <c r="H211" i="48" s="1"/>
  <c r="G225" i="48"/>
  <c r="G221" i="48"/>
  <c r="G230" i="48"/>
  <c r="G220" i="48"/>
  <c r="G223" i="48"/>
  <c r="G227" i="48"/>
  <c r="G219" i="48"/>
  <c r="G201" i="48"/>
  <c r="BF79" i="45"/>
  <c r="H226" i="48" s="1"/>
  <c r="BF63" i="45"/>
  <c r="H210" i="48" s="1"/>
  <c r="I210" i="48" s="1"/>
  <c r="AF37" i="115"/>
  <c r="AF36" i="115" s="1"/>
  <c r="AF34" i="115"/>
  <c r="AF40" i="115"/>
  <c r="AF39" i="115"/>
  <c r="AF38" i="115"/>
  <c r="I195" i="48"/>
  <c r="BH55" i="48"/>
  <c r="BI50" i="48"/>
  <c r="BH54" i="48"/>
  <c r="BH53" i="48"/>
  <c r="BH51" i="48"/>
  <c r="BH52" i="48"/>
  <c r="BI87" i="48"/>
  <c r="BI86" i="48"/>
  <c r="BI88" i="48"/>
  <c r="BJ85" i="48"/>
  <c r="AB78" i="47"/>
  <c r="AA87" i="47"/>
  <c r="F221" i="45"/>
  <c r="F218" i="45"/>
  <c r="F215" i="45"/>
  <c r="F233" i="45"/>
  <c r="F237" i="45"/>
  <c r="F229" i="45"/>
  <c r="F214" i="45"/>
  <c r="F238" i="45"/>
  <c r="F224" i="45"/>
  <c r="F226" i="45"/>
  <c r="F222" i="45"/>
  <c r="F234" i="45"/>
  <c r="F240" i="45"/>
  <c r="F241" i="45"/>
  <c r="F213" i="45"/>
  <c r="F227" i="45"/>
  <c r="F239" i="45"/>
  <c r="F216" i="45"/>
  <c r="F217" i="45"/>
  <c r="F235" i="45"/>
  <c r="F220" i="45"/>
  <c r="F231" i="45"/>
  <c r="F242" i="45"/>
  <c r="F232" i="45"/>
  <c r="F225" i="45"/>
  <c r="F228" i="45"/>
  <c r="F230" i="45"/>
  <c r="F219" i="45"/>
  <c r="F223" i="45"/>
  <c r="F236" i="45"/>
  <c r="F140" i="45"/>
  <c r="F132" i="45"/>
  <c r="F156" i="45"/>
  <c r="F200" i="45"/>
  <c r="F158" i="45"/>
  <c r="F123" i="45"/>
  <c r="F201" i="45"/>
  <c r="F124" i="45"/>
  <c r="F208" i="45"/>
  <c r="F171" i="45"/>
  <c r="F199" i="45"/>
  <c r="F192" i="45"/>
  <c r="F138" i="45"/>
  <c r="F170" i="45"/>
  <c r="F152" i="45"/>
  <c r="F203" i="45"/>
  <c r="F197" i="45"/>
  <c r="F183" i="45"/>
  <c r="F196" i="45"/>
  <c r="F188" i="45"/>
  <c r="F121" i="45"/>
  <c r="F126" i="45"/>
  <c r="F135" i="45"/>
  <c r="F149" i="45"/>
  <c r="F184" i="45"/>
  <c r="F193" i="45"/>
  <c r="F136" i="45"/>
  <c r="F120" i="45"/>
  <c r="F174" i="45"/>
  <c r="F157" i="45"/>
  <c r="F154" i="45"/>
  <c r="F169" i="45"/>
  <c r="F179" i="45"/>
  <c r="F144" i="45"/>
  <c r="F205" i="45"/>
  <c r="F204" i="45"/>
  <c r="F145" i="45"/>
  <c r="F176" i="45"/>
  <c r="F161" i="45"/>
  <c r="F177" i="45"/>
  <c r="F186" i="45"/>
  <c r="F207" i="45"/>
  <c r="F175" i="45"/>
  <c r="F191" i="45"/>
  <c r="F148" i="45"/>
  <c r="F134" i="45"/>
  <c r="F129" i="45"/>
  <c r="F190" i="45"/>
  <c r="F168" i="45"/>
  <c r="F139" i="45"/>
  <c r="F131" i="45"/>
  <c r="F147" i="45"/>
  <c r="F187" i="45"/>
  <c r="F163" i="45"/>
  <c r="F167" i="45"/>
  <c r="F185" i="45"/>
  <c r="F181" i="45"/>
  <c r="F128" i="45"/>
  <c r="F150" i="45"/>
  <c r="F195" i="45"/>
  <c r="F125" i="45"/>
  <c r="F202" i="45"/>
  <c r="F173" i="45"/>
  <c r="F180" i="45"/>
  <c r="F189" i="45"/>
  <c r="F127" i="45"/>
  <c r="F206" i="45"/>
  <c r="F182" i="45"/>
  <c r="F165" i="45"/>
  <c r="F143" i="45"/>
  <c r="F164" i="45"/>
  <c r="F166" i="45"/>
  <c r="F141" i="45"/>
  <c r="F178" i="45"/>
  <c r="F153" i="45"/>
  <c r="F130" i="45"/>
  <c r="F133" i="45"/>
  <c r="F122" i="45"/>
  <c r="F159" i="45"/>
  <c r="F172" i="45"/>
  <c r="F194" i="45"/>
  <c r="F155" i="45"/>
  <c r="F146" i="45"/>
  <c r="F162" i="45"/>
  <c r="F198" i="45"/>
  <c r="F137" i="45"/>
  <c r="F151" i="45"/>
  <c r="F160" i="45"/>
  <c r="F142" i="45"/>
  <c r="H239" i="48"/>
  <c r="I220" i="48" l="1"/>
  <c r="I227" i="48"/>
  <c r="I205" i="48"/>
  <c r="I226" i="48"/>
  <c r="I209" i="48"/>
  <c r="I211" i="48"/>
  <c r="I225" i="48"/>
  <c r="I230" i="48"/>
  <c r="I224" i="48"/>
  <c r="I214" i="48"/>
  <c r="I216" i="48"/>
  <c r="I221" i="48"/>
  <c r="I213" i="48"/>
  <c r="I198" i="48"/>
  <c r="I217" i="48"/>
  <c r="I208" i="48"/>
  <c r="I223" i="48"/>
  <c r="I228" i="48"/>
  <c r="I201" i="48"/>
  <c r="I207" i="48"/>
  <c r="I212" i="48"/>
  <c r="I206" i="48"/>
  <c r="H241" i="48"/>
  <c r="D90" i="48" s="1"/>
  <c r="H240" i="48"/>
  <c r="D89" i="48" s="1"/>
  <c r="AA86" i="47"/>
  <c r="AB88" i="47"/>
  <c r="AB52" i="47"/>
  <c r="BJ87" i="48"/>
  <c r="BK85" i="48"/>
  <c r="BJ88" i="48"/>
  <c r="BJ86" i="48"/>
  <c r="BI52" i="48"/>
  <c r="BJ50" i="48"/>
  <c r="BI55" i="48"/>
  <c r="BI51" i="48"/>
  <c r="BI54" i="48"/>
  <c r="BI53" i="48"/>
  <c r="D88" i="48"/>
  <c r="AH46" i="115" l="1"/>
  <c r="AH45" i="115"/>
  <c r="AH80" i="115"/>
  <c r="AH77" i="115"/>
  <c r="AH82" i="115"/>
  <c r="AH79" i="115"/>
  <c r="AH84" i="115"/>
  <c r="AH76" i="115"/>
  <c r="AH78" i="115"/>
  <c r="AH67" i="115"/>
  <c r="AH81" i="115"/>
  <c r="AH72" i="115"/>
  <c r="AH73" i="115"/>
  <c r="AH69" i="115"/>
  <c r="AH83" i="115"/>
  <c r="AH66" i="115"/>
  <c r="AH75" i="115"/>
  <c r="AH71" i="115"/>
  <c r="AH64" i="115"/>
  <c r="AH56" i="115"/>
  <c r="AH61" i="115"/>
  <c r="AH58" i="115"/>
  <c r="AH68" i="115"/>
  <c r="AH63" i="115"/>
  <c r="AH70" i="115"/>
  <c r="AH60" i="115"/>
  <c r="AH74" i="115"/>
  <c r="AH57" i="115"/>
  <c r="AH62" i="115"/>
  <c r="AH52" i="115"/>
  <c r="AH59" i="115"/>
  <c r="AH51" i="115"/>
  <c r="AH54" i="115"/>
  <c r="AH65" i="115"/>
  <c r="AH53" i="115"/>
  <c r="AH50" i="115"/>
  <c r="AH55" i="115"/>
  <c r="AA105" i="47"/>
  <c r="AA102" i="47"/>
  <c r="BK88" i="48"/>
  <c r="BK87" i="48"/>
  <c r="BK86" i="48"/>
  <c r="BJ53" i="48"/>
  <c r="BK50" i="48"/>
  <c r="BJ52" i="48"/>
  <c r="BJ51" i="48"/>
  <c r="BJ54" i="48"/>
  <c r="BJ55" i="48"/>
  <c r="AB87" i="47"/>
  <c r="AC78" i="47"/>
  <c r="AG37" i="115" l="1"/>
  <c r="AG36" i="115" s="1"/>
  <c r="AG34" i="115"/>
  <c r="AG40" i="115"/>
  <c r="AG39" i="115"/>
  <c r="AG38" i="115"/>
  <c r="AB86" i="47"/>
  <c r="AC88" i="47"/>
  <c r="AC52" i="47"/>
  <c r="BK55" i="48"/>
  <c r="BK51" i="48"/>
  <c r="BK52" i="48"/>
  <c r="BK54" i="48"/>
  <c r="BK53" i="48"/>
  <c r="AI46" i="115" l="1"/>
  <c r="AI45" i="115"/>
  <c r="AI77" i="115"/>
  <c r="AI82" i="115"/>
  <c r="AI74" i="115"/>
  <c r="AI84" i="115"/>
  <c r="AI76" i="115"/>
  <c r="AI81" i="115"/>
  <c r="AI73" i="115"/>
  <c r="AI83" i="115"/>
  <c r="AI75" i="115"/>
  <c r="AI72" i="115"/>
  <c r="AI69" i="115"/>
  <c r="AI78" i="115"/>
  <c r="AI66" i="115"/>
  <c r="AI71" i="115"/>
  <c r="AI80" i="115"/>
  <c r="AI61" i="115"/>
  <c r="AI58" i="115"/>
  <c r="AI68" i="115"/>
  <c r="AI63" i="115"/>
  <c r="AI70" i="115"/>
  <c r="AI60" i="115"/>
  <c r="AI57" i="115"/>
  <c r="AI79" i="115"/>
  <c r="AI67" i="115"/>
  <c r="AI62" i="115"/>
  <c r="AI65" i="115"/>
  <c r="AI59" i="115"/>
  <c r="AI64" i="115"/>
  <c r="AI54" i="115"/>
  <c r="AI51" i="115"/>
  <c r="AI53" i="115"/>
  <c r="AI56" i="115"/>
  <c r="AI50" i="115"/>
  <c r="AI52" i="115"/>
  <c r="AI55" i="115"/>
  <c r="AB105" i="47"/>
  <c r="AB102" i="47"/>
  <c r="AD78" i="47"/>
  <c r="AC87" i="47"/>
  <c r="G59" i="48"/>
  <c r="I59" i="48"/>
  <c r="AH37" i="115" l="1"/>
  <c r="AH36" i="115" s="1"/>
  <c r="AH34" i="115"/>
  <c r="AH39" i="115"/>
  <c r="AH38" i="115"/>
  <c r="AH40" i="115"/>
  <c r="AC86" i="47"/>
  <c r="AD88" i="47"/>
  <c r="AD52" i="47"/>
  <c r="AJ45" i="115" l="1"/>
  <c r="AJ46" i="115"/>
  <c r="AJ82" i="115"/>
  <c r="AJ74" i="115"/>
  <c r="AJ79" i="115"/>
  <c r="AJ84" i="115"/>
  <c r="AJ81" i="115"/>
  <c r="AJ73" i="115"/>
  <c r="AJ78" i="115"/>
  <c r="AJ80" i="115"/>
  <c r="AJ76" i="115"/>
  <c r="AJ69" i="115"/>
  <c r="AJ66" i="115"/>
  <c r="AJ83" i="115"/>
  <c r="AJ71" i="115"/>
  <c r="AJ75" i="115"/>
  <c r="AJ68" i="115"/>
  <c r="AJ77" i="115"/>
  <c r="AJ70" i="115"/>
  <c r="AJ58" i="115"/>
  <c r="AJ63" i="115"/>
  <c r="AJ60" i="115"/>
  <c r="AJ57" i="115"/>
  <c r="AJ67" i="115"/>
  <c r="AJ62" i="115"/>
  <c r="AJ72" i="115"/>
  <c r="AJ65" i="115"/>
  <c r="AJ59" i="115"/>
  <c r="AJ64" i="115"/>
  <c r="AJ56" i="115"/>
  <c r="AJ54" i="115"/>
  <c r="AJ51" i="115"/>
  <c r="AJ53" i="115"/>
  <c r="AJ61" i="115"/>
  <c r="AJ50" i="115"/>
  <c r="AJ55" i="115"/>
  <c r="AJ52" i="115"/>
  <c r="AC105" i="47"/>
  <c r="AC102" i="47"/>
  <c r="AD87" i="47"/>
  <c r="AE78" i="47"/>
  <c r="AI37" i="115" l="1"/>
  <c r="AI36" i="115" s="1"/>
  <c r="AI34" i="115"/>
  <c r="AI38" i="115"/>
  <c r="AI39" i="115"/>
  <c r="AI40" i="115"/>
  <c r="AD86" i="47"/>
  <c r="AE88" i="47"/>
  <c r="AE52" i="47"/>
  <c r="AK45" i="115" l="1"/>
  <c r="AK46" i="115"/>
  <c r="AK79" i="115"/>
  <c r="AK84" i="115"/>
  <c r="AK76" i="115"/>
  <c r="AK78" i="115"/>
  <c r="AK83" i="115"/>
  <c r="AK75" i="115"/>
  <c r="AK77" i="115"/>
  <c r="AK81" i="115"/>
  <c r="AK66" i="115"/>
  <c r="AK73" i="115"/>
  <c r="AK71" i="115"/>
  <c r="AK68" i="115"/>
  <c r="AK80" i="115"/>
  <c r="AK63" i="115"/>
  <c r="AK60" i="115"/>
  <c r="AK70" i="115"/>
  <c r="AK57" i="115"/>
  <c r="AK67" i="115"/>
  <c r="AK62" i="115"/>
  <c r="AK74" i="115"/>
  <c r="AK72" i="115"/>
  <c r="AK65" i="115"/>
  <c r="AK59" i="115"/>
  <c r="AK64" i="115"/>
  <c r="AK69" i="115"/>
  <c r="AK61" i="115"/>
  <c r="AK82" i="115"/>
  <c r="AK51" i="115"/>
  <c r="AK53" i="115"/>
  <c r="AK50" i="115"/>
  <c r="AK56" i="115"/>
  <c r="AK55" i="115"/>
  <c r="AK58" i="115"/>
  <c r="AK52" i="115"/>
  <c r="AK54" i="115"/>
  <c r="AD105" i="47"/>
  <c r="AD102" i="47"/>
  <c r="AF78" i="47"/>
  <c r="AE87" i="47"/>
  <c r="AJ37" i="115" l="1"/>
  <c r="AJ36" i="115" s="1"/>
  <c r="AJ34" i="115"/>
  <c r="AJ40" i="115"/>
  <c r="AJ38" i="115"/>
  <c r="AJ39" i="115"/>
  <c r="AE86" i="47"/>
  <c r="AF88" i="47"/>
  <c r="AF52" i="47"/>
  <c r="AL45" i="115" l="1"/>
  <c r="AL46" i="115"/>
  <c r="AL84" i="115"/>
  <c r="AL76" i="115"/>
  <c r="AL81" i="115"/>
  <c r="AL73" i="115"/>
  <c r="AL83" i="115"/>
  <c r="AL75" i="115"/>
  <c r="AL80" i="115"/>
  <c r="AL82" i="115"/>
  <c r="AL74" i="115"/>
  <c r="AL71" i="115"/>
  <c r="AL78" i="115"/>
  <c r="AL68" i="115"/>
  <c r="AL65" i="115"/>
  <c r="AL70" i="115"/>
  <c r="AL77" i="115"/>
  <c r="AL72" i="115"/>
  <c r="AL60" i="115"/>
  <c r="AL57" i="115"/>
  <c r="AL67" i="115"/>
  <c r="AL62" i="115"/>
  <c r="AL59" i="115"/>
  <c r="AL79" i="115"/>
  <c r="AL64" i="115"/>
  <c r="AL56" i="115"/>
  <c r="AL69" i="115"/>
  <c r="AL66" i="115"/>
  <c r="AL61" i="115"/>
  <c r="AL58" i="115"/>
  <c r="AL53" i="115"/>
  <c r="AL50" i="115"/>
  <c r="AL55" i="115"/>
  <c r="AL52" i="115"/>
  <c r="AL63" i="115"/>
  <c r="AL51" i="115"/>
  <c r="AL54" i="115"/>
  <c r="AE105" i="47"/>
  <c r="AE102" i="47"/>
  <c r="AG78" i="47"/>
  <c r="AF87" i="47"/>
  <c r="AK37" i="115" l="1"/>
  <c r="AK36" i="115" s="1"/>
  <c r="AK34" i="115"/>
  <c r="AK40" i="115"/>
  <c r="AK38" i="115"/>
  <c r="AK39" i="115"/>
  <c r="AF86" i="47"/>
  <c r="AG88" i="47"/>
  <c r="AG52" i="47"/>
  <c r="AM45" i="115" l="1"/>
  <c r="AM46" i="115"/>
  <c r="AM81" i="115"/>
  <c r="AM73" i="115"/>
  <c r="AM78" i="115"/>
  <c r="AM83" i="115"/>
  <c r="AM80" i="115"/>
  <c r="AM77" i="115"/>
  <c r="AM79" i="115"/>
  <c r="AM68" i="115"/>
  <c r="AM75" i="115"/>
  <c r="AM70" i="115"/>
  <c r="AM67" i="115"/>
  <c r="AM72" i="115"/>
  <c r="AM84" i="115"/>
  <c r="AM74" i="115"/>
  <c r="AM69" i="115"/>
  <c r="AM57" i="115"/>
  <c r="AM62" i="115"/>
  <c r="AM59" i="115"/>
  <c r="AM76" i="115"/>
  <c r="AM65" i="115"/>
  <c r="AM64" i="115"/>
  <c r="AM56" i="115"/>
  <c r="AM66" i="115"/>
  <c r="AM61" i="115"/>
  <c r="AM58" i="115"/>
  <c r="AM82" i="115"/>
  <c r="AM63" i="115"/>
  <c r="AM53" i="115"/>
  <c r="AM50" i="115"/>
  <c r="AM71" i="115"/>
  <c r="AM60" i="115"/>
  <c r="AM55" i="115"/>
  <c r="AM52" i="115"/>
  <c r="AM54" i="115"/>
  <c r="AM51" i="115"/>
  <c r="AF105" i="47"/>
  <c r="AF102" i="47"/>
  <c r="AH78" i="47"/>
  <c r="AG87" i="47"/>
  <c r="AL37" i="115" l="1"/>
  <c r="AL36" i="115" s="1"/>
  <c r="AL34" i="115"/>
  <c r="AL40" i="115"/>
  <c r="AL38" i="115"/>
  <c r="AL39" i="115"/>
  <c r="AG86" i="47"/>
  <c r="AH88" i="47"/>
  <c r="AH52" i="47"/>
  <c r="AN45" i="115" l="1"/>
  <c r="AN46" i="115"/>
  <c r="AN78" i="115"/>
  <c r="AN83" i="115"/>
  <c r="AN75" i="115"/>
  <c r="AN77" i="115"/>
  <c r="AN82" i="115"/>
  <c r="AN74" i="115"/>
  <c r="AN84" i="115"/>
  <c r="AN76" i="115"/>
  <c r="AN73" i="115"/>
  <c r="AN65" i="115"/>
  <c r="AN70" i="115"/>
  <c r="AN80" i="115"/>
  <c r="AN67" i="115"/>
  <c r="AN72" i="115"/>
  <c r="AN79" i="115"/>
  <c r="AN62" i="115"/>
  <c r="AN68" i="115"/>
  <c r="AN59" i="115"/>
  <c r="AN64" i="115"/>
  <c r="AN56" i="115"/>
  <c r="AN81" i="115"/>
  <c r="AN66" i="115"/>
  <c r="AN61" i="115"/>
  <c r="AN69" i="115"/>
  <c r="AN58" i="115"/>
  <c r="AN63" i="115"/>
  <c r="AN71" i="115"/>
  <c r="AN60" i="115"/>
  <c r="AN50" i="115"/>
  <c r="AN55" i="115"/>
  <c r="AN53" i="115"/>
  <c r="AN52" i="115"/>
  <c r="AN54" i="115"/>
  <c r="AN57" i="115"/>
  <c r="AN51" i="115"/>
  <c r="AG105" i="47"/>
  <c r="AG102" i="47"/>
  <c r="AH87" i="47"/>
  <c r="AI78" i="47"/>
  <c r="AM37" i="115" l="1"/>
  <c r="AM36" i="115" s="1"/>
  <c r="AM34" i="115"/>
  <c r="AM39" i="115"/>
  <c r="AM40" i="115"/>
  <c r="AM38" i="115"/>
  <c r="AH86" i="47"/>
  <c r="AI88" i="47"/>
  <c r="AI52" i="47"/>
  <c r="AO46" i="115" l="1"/>
  <c r="AO45" i="115"/>
  <c r="AO83" i="115"/>
  <c r="AO75" i="115"/>
  <c r="AO80" i="115"/>
  <c r="AO82" i="115"/>
  <c r="AO74" i="115"/>
  <c r="AO79" i="115"/>
  <c r="AO81" i="115"/>
  <c r="AO73" i="115"/>
  <c r="AO78" i="115"/>
  <c r="AO70" i="115"/>
  <c r="AO67" i="115"/>
  <c r="AO72" i="115"/>
  <c r="AO77" i="115"/>
  <c r="AO69" i="115"/>
  <c r="AO84" i="115"/>
  <c r="AO71" i="115"/>
  <c r="AO68" i="115"/>
  <c r="AO59" i="115"/>
  <c r="AO64" i="115"/>
  <c r="AO56" i="115"/>
  <c r="AO76" i="115"/>
  <c r="AO66" i="115"/>
  <c r="AO65" i="115"/>
  <c r="AO61" i="115"/>
  <c r="AO58" i="115"/>
  <c r="AO63" i="115"/>
  <c r="AO60" i="115"/>
  <c r="AO57" i="115"/>
  <c r="AO55" i="115"/>
  <c r="AO52" i="115"/>
  <c r="AO50" i="115"/>
  <c r="AO54" i="115"/>
  <c r="AO51" i="115"/>
  <c r="AO62" i="115"/>
  <c r="AO53" i="115"/>
  <c r="AH105" i="47"/>
  <c r="AH102" i="47"/>
  <c r="AJ78" i="47"/>
  <c r="AI87" i="47"/>
  <c r="AN37" i="115" l="1"/>
  <c r="AN36" i="115" s="1"/>
  <c r="AN34" i="115"/>
  <c r="AN39" i="115"/>
  <c r="AN38" i="115"/>
  <c r="AN40" i="115"/>
  <c r="AI86" i="47"/>
  <c r="AJ88" i="47"/>
  <c r="AJ52" i="47"/>
  <c r="AP46" i="115" l="1"/>
  <c r="AP45" i="115"/>
  <c r="AP80" i="115"/>
  <c r="AP77" i="115"/>
  <c r="AP82" i="115"/>
  <c r="AP79" i="115"/>
  <c r="AP84" i="115"/>
  <c r="AP76" i="115"/>
  <c r="AP78" i="115"/>
  <c r="AP67" i="115"/>
  <c r="AP83" i="115"/>
  <c r="AP75" i="115"/>
  <c r="AP72" i="115"/>
  <c r="AP69" i="115"/>
  <c r="AP66" i="115"/>
  <c r="AP74" i="115"/>
  <c r="AP64" i="115"/>
  <c r="AP56" i="115"/>
  <c r="AP73" i="115"/>
  <c r="AP70" i="115"/>
  <c r="AP65" i="115"/>
  <c r="AP61" i="115"/>
  <c r="AP81" i="115"/>
  <c r="AP58" i="115"/>
  <c r="AP63" i="115"/>
  <c r="AP60" i="115"/>
  <c r="AP71" i="115"/>
  <c r="AP57" i="115"/>
  <c r="AP62" i="115"/>
  <c r="AP59" i="115"/>
  <c r="AP52" i="115"/>
  <c r="AP68" i="115"/>
  <c r="AP55" i="115"/>
  <c r="AP54" i="115"/>
  <c r="AP51" i="115"/>
  <c r="AP53" i="115"/>
  <c r="AP50" i="115"/>
  <c r="AI105" i="47"/>
  <c r="AI102" i="47"/>
  <c r="AK78" i="47"/>
  <c r="AJ87" i="47"/>
  <c r="AO37" i="115" l="1"/>
  <c r="AO36" i="115" s="1"/>
  <c r="AO34" i="115"/>
  <c r="AO39" i="115"/>
  <c r="AO38" i="115"/>
  <c r="AO40" i="115"/>
  <c r="AJ86" i="47"/>
  <c r="AK88" i="47"/>
  <c r="AK52" i="47"/>
  <c r="AQ46" i="115" l="1"/>
  <c r="AQ45" i="115"/>
  <c r="AQ77" i="115"/>
  <c r="AQ82" i="115"/>
  <c r="AQ74" i="115"/>
  <c r="AQ84" i="115"/>
  <c r="AQ76" i="115"/>
  <c r="AQ81" i="115"/>
  <c r="AQ73" i="115"/>
  <c r="AQ83" i="115"/>
  <c r="AQ75" i="115"/>
  <c r="AQ72" i="115"/>
  <c r="AQ80" i="115"/>
  <c r="AQ69" i="115"/>
  <c r="AQ66" i="115"/>
  <c r="AQ71" i="115"/>
  <c r="AQ79" i="115"/>
  <c r="AQ70" i="115"/>
  <c r="AQ65" i="115"/>
  <c r="AQ61" i="115"/>
  <c r="AQ78" i="115"/>
  <c r="AQ67" i="115"/>
  <c r="AQ58" i="115"/>
  <c r="AQ63" i="115"/>
  <c r="AQ60" i="115"/>
  <c r="AQ57" i="115"/>
  <c r="AQ62" i="115"/>
  <c r="AQ68" i="115"/>
  <c r="AQ59" i="115"/>
  <c r="AQ64" i="115"/>
  <c r="AQ54" i="115"/>
  <c r="AQ52" i="115"/>
  <c r="AQ51" i="115"/>
  <c r="AQ56" i="115"/>
  <c r="AQ53" i="115"/>
  <c r="AQ50" i="115"/>
  <c r="AQ55" i="115"/>
  <c r="AJ105" i="47"/>
  <c r="AJ102" i="47"/>
  <c r="AK87" i="47"/>
  <c r="AL78" i="47"/>
  <c r="AP37" i="115" l="1"/>
  <c r="AP36" i="115" s="1"/>
  <c r="AP34" i="115"/>
  <c r="AP39" i="115"/>
  <c r="AP38" i="115"/>
  <c r="AP40" i="115"/>
  <c r="AK86" i="47"/>
  <c r="AL52" i="47"/>
  <c r="AL88" i="47"/>
  <c r="AR45" i="115" l="1"/>
  <c r="AR46" i="115"/>
  <c r="AR82" i="115"/>
  <c r="AR74" i="115"/>
  <c r="AR79" i="115"/>
  <c r="AR84" i="115"/>
  <c r="AR81" i="115"/>
  <c r="AR73" i="115"/>
  <c r="AR78" i="115"/>
  <c r="AR80" i="115"/>
  <c r="AR83" i="115"/>
  <c r="AR75" i="115"/>
  <c r="AR69" i="115"/>
  <c r="AR66" i="115"/>
  <c r="AR77" i="115"/>
  <c r="AR71" i="115"/>
  <c r="AR68" i="115"/>
  <c r="AR76" i="115"/>
  <c r="AR70" i="115"/>
  <c r="AR67" i="115"/>
  <c r="AR58" i="115"/>
  <c r="AR63" i="115"/>
  <c r="AR60" i="115"/>
  <c r="AR72" i="115"/>
  <c r="AR57" i="115"/>
  <c r="AR62" i="115"/>
  <c r="AR59" i="115"/>
  <c r="AR64" i="115"/>
  <c r="AR56" i="115"/>
  <c r="AR54" i="115"/>
  <c r="AR51" i="115"/>
  <c r="AR53" i="115"/>
  <c r="AR65" i="115"/>
  <c r="AR61" i="115"/>
  <c r="AR50" i="115"/>
  <c r="AR55" i="115"/>
  <c r="AR52" i="115"/>
  <c r="AK105" i="47"/>
  <c r="AK102" i="47"/>
  <c r="AM78" i="47"/>
  <c r="AL87" i="47"/>
  <c r="AQ37" i="115" l="1"/>
  <c r="AQ36" i="115" s="1"/>
  <c r="AQ34" i="115"/>
  <c r="AQ38" i="115"/>
  <c r="AQ40" i="115"/>
  <c r="AQ39" i="115"/>
  <c r="AL86" i="47"/>
  <c r="AM52" i="47"/>
  <c r="AM88" i="47"/>
  <c r="AS45" i="115" l="1"/>
  <c r="AS46" i="115"/>
  <c r="AS79" i="115"/>
  <c r="AS84" i="115"/>
  <c r="AS76" i="115"/>
  <c r="AS78" i="115"/>
  <c r="AS83" i="115"/>
  <c r="AS75" i="115"/>
  <c r="AS77" i="115"/>
  <c r="AS80" i="115"/>
  <c r="AS66" i="115"/>
  <c r="AS71" i="115"/>
  <c r="AS68" i="115"/>
  <c r="AS74" i="115"/>
  <c r="AS82" i="115"/>
  <c r="AS81" i="115"/>
  <c r="AS73" i="115"/>
  <c r="AS63" i="115"/>
  <c r="AS60" i="115"/>
  <c r="AS72" i="115"/>
  <c r="AS57" i="115"/>
  <c r="AS69" i="115"/>
  <c r="AS62" i="115"/>
  <c r="AS59" i="115"/>
  <c r="AS64" i="115"/>
  <c r="AS56" i="115"/>
  <c r="AS65" i="115"/>
  <c r="AS61" i="115"/>
  <c r="AS51" i="115"/>
  <c r="AS50" i="115"/>
  <c r="AS53" i="115"/>
  <c r="AS70" i="115"/>
  <c r="AS67" i="115"/>
  <c r="AS55" i="115"/>
  <c r="AS52" i="115"/>
  <c r="AS58" i="115"/>
  <c r="AS54" i="115"/>
  <c r="AL105" i="47"/>
  <c r="AL102" i="47"/>
  <c r="AM87" i="47"/>
  <c r="AN78" i="47"/>
  <c r="AR37" i="115" l="1"/>
  <c r="AR36" i="115" s="1"/>
  <c r="AR34" i="115"/>
  <c r="AR38" i="115"/>
  <c r="AR40" i="115"/>
  <c r="AR39" i="115"/>
  <c r="AM86" i="47"/>
  <c r="AN88" i="47"/>
  <c r="AN52" i="47"/>
  <c r="AT46" i="115" l="1"/>
  <c r="AT45" i="115"/>
  <c r="AT84" i="115"/>
  <c r="AT76" i="115"/>
  <c r="AT81" i="115"/>
  <c r="AT73" i="115"/>
  <c r="AT83" i="115"/>
  <c r="AT75" i="115"/>
  <c r="AT80" i="115"/>
  <c r="AT82" i="115"/>
  <c r="AT74" i="115"/>
  <c r="AT71" i="115"/>
  <c r="AT77" i="115"/>
  <c r="AT68" i="115"/>
  <c r="AT65" i="115"/>
  <c r="AT79" i="115"/>
  <c r="AT70" i="115"/>
  <c r="AT72" i="115"/>
  <c r="AT78" i="115"/>
  <c r="AT60" i="115"/>
  <c r="AT66" i="115"/>
  <c r="AT57" i="115"/>
  <c r="AT69" i="115"/>
  <c r="AT62" i="115"/>
  <c r="AT59" i="115"/>
  <c r="AT64" i="115"/>
  <c r="AT56" i="115"/>
  <c r="AT61" i="115"/>
  <c r="AT67" i="115"/>
  <c r="AT58" i="115"/>
  <c r="AT53" i="115"/>
  <c r="AT51" i="115"/>
  <c r="AT50" i="115"/>
  <c r="AT55" i="115"/>
  <c r="AT52" i="115"/>
  <c r="AT63" i="115"/>
  <c r="AT54" i="115"/>
  <c r="AM105" i="47"/>
  <c r="AM102" i="47"/>
  <c r="AO78" i="47"/>
  <c r="AN87" i="47"/>
  <c r="AS37" i="115" l="1"/>
  <c r="AS36" i="115" s="1"/>
  <c r="AS34" i="115"/>
  <c r="AS40" i="115"/>
  <c r="AS38" i="115"/>
  <c r="AS39" i="115"/>
  <c r="AN86" i="47"/>
  <c r="AO88" i="47"/>
  <c r="AO52" i="47"/>
  <c r="AU46" i="115" l="1"/>
  <c r="AU45" i="115"/>
  <c r="AU81" i="115"/>
  <c r="AU73" i="115"/>
  <c r="AU78" i="115"/>
  <c r="AU83" i="115"/>
  <c r="AU80" i="115"/>
  <c r="AU77" i="115"/>
  <c r="AU79" i="115"/>
  <c r="AU68" i="115"/>
  <c r="AU65" i="115"/>
  <c r="AU74" i="115"/>
  <c r="AU70" i="115"/>
  <c r="AU84" i="115"/>
  <c r="AU67" i="115"/>
  <c r="AU82" i="115"/>
  <c r="AU76" i="115"/>
  <c r="AU72" i="115"/>
  <c r="AU69" i="115"/>
  <c r="AU66" i="115"/>
  <c r="AU57" i="115"/>
  <c r="AU62" i="115"/>
  <c r="AU59" i="115"/>
  <c r="AU64" i="115"/>
  <c r="AU56" i="115"/>
  <c r="AU71" i="115"/>
  <c r="AU61" i="115"/>
  <c r="AU58" i="115"/>
  <c r="AU63" i="115"/>
  <c r="AU53" i="115"/>
  <c r="AU60" i="115"/>
  <c r="AU50" i="115"/>
  <c r="AU52" i="115"/>
  <c r="AU55" i="115"/>
  <c r="AU75" i="115"/>
  <c r="AU54" i="115"/>
  <c r="AU51" i="115"/>
  <c r="AN105" i="47"/>
  <c r="AN102" i="47"/>
  <c r="AP78" i="47"/>
  <c r="AO87" i="47"/>
  <c r="AT37" i="115" l="1"/>
  <c r="AT36" i="115" s="1"/>
  <c r="AT34" i="115"/>
  <c r="AT40" i="115"/>
  <c r="AT38" i="115"/>
  <c r="AT39" i="115"/>
  <c r="AO86" i="47"/>
  <c r="AP88" i="47"/>
  <c r="AP52" i="47"/>
  <c r="AV45" i="115" l="1"/>
  <c r="AV46" i="115"/>
  <c r="AV78" i="115"/>
  <c r="AV83" i="115"/>
  <c r="AV75" i="115"/>
  <c r="AV77" i="115"/>
  <c r="AV82" i="115"/>
  <c r="AV74" i="115"/>
  <c r="AV84" i="115"/>
  <c r="AV76" i="115"/>
  <c r="AV65" i="115"/>
  <c r="AV70" i="115"/>
  <c r="AV79" i="115"/>
  <c r="AV67" i="115"/>
  <c r="AV72" i="115"/>
  <c r="AV81" i="115"/>
  <c r="AV73" i="115"/>
  <c r="AV62" i="115"/>
  <c r="AV69" i="115"/>
  <c r="AV59" i="115"/>
  <c r="AV64" i="115"/>
  <c r="AV56" i="115"/>
  <c r="AV71" i="115"/>
  <c r="AV61" i="115"/>
  <c r="AV58" i="115"/>
  <c r="AV68" i="115"/>
  <c r="AV63" i="115"/>
  <c r="AV60" i="115"/>
  <c r="AV50" i="115"/>
  <c r="AV80" i="115"/>
  <c r="AV55" i="115"/>
  <c r="AV52" i="115"/>
  <c r="AV53" i="115"/>
  <c r="AV57" i="115"/>
  <c r="AV54" i="115"/>
  <c r="AV66" i="115"/>
  <c r="AV51" i="115"/>
  <c r="AO105" i="47"/>
  <c r="AO102" i="47"/>
  <c r="AQ78" i="47"/>
  <c r="AP87" i="47"/>
  <c r="AU37" i="115" l="1"/>
  <c r="AU36" i="115" s="1"/>
  <c r="AU34" i="115"/>
  <c r="AU39" i="115"/>
  <c r="AU40" i="115"/>
  <c r="AU38" i="115"/>
  <c r="AP86" i="47"/>
  <c r="AQ88" i="47"/>
  <c r="AQ52" i="47"/>
  <c r="AW46" i="115" l="1"/>
  <c r="AW45" i="115"/>
  <c r="AW83" i="115"/>
  <c r="AW75" i="115"/>
  <c r="AW80" i="115"/>
  <c r="AW82" i="115"/>
  <c r="AW74" i="115"/>
  <c r="AW79" i="115"/>
  <c r="AW81" i="115"/>
  <c r="AW73" i="115"/>
  <c r="AW77" i="115"/>
  <c r="AW70" i="115"/>
  <c r="AW67" i="115"/>
  <c r="AW84" i="115"/>
  <c r="AW72" i="115"/>
  <c r="AW64" i="115"/>
  <c r="AW76" i="115"/>
  <c r="AW69" i="115"/>
  <c r="AW78" i="115"/>
  <c r="AW71" i="115"/>
  <c r="AW59" i="115"/>
  <c r="AW56" i="115"/>
  <c r="AW61" i="115"/>
  <c r="AW58" i="115"/>
  <c r="AW68" i="115"/>
  <c r="AW63" i="115"/>
  <c r="AW65" i="115"/>
  <c r="AW60" i="115"/>
  <c r="AW66" i="115"/>
  <c r="AW57" i="115"/>
  <c r="AW55" i="115"/>
  <c r="AW52" i="115"/>
  <c r="AW54" i="115"/>
  <c r="AW62" i="115"/>
  <c r="AW51" i="115"/>
  <c r="AW50" i="115"/>
  <c r="AW53" i="115"/>
  <c r="AP105" i="47"/>
  <c r="AP102" i="47"/>
  <c r="AQ87" i="47"/>
  <c r="AR78" i="47"/>
  <c r="AV37" i="115" l="1"/>
  <c r="AV36" i="115" s="1"/>
  <c r="AV34" i="115"/>
  <c r="AV39" i="115"/>
  <c r="AV40" i="115"/>
  <c r="AV38" i="115"/>
  <c r="AQ86" i="47"/>
  <c r="AR88" i="47"/>
  <c r="AR52" i="47"/>
  <c r="AX45" i="115" l="1"/>
  <c r="AX46" i="115"/>
  <c r="AX80" i="115"/>
  <c r="AX77" i="115"/>
  <c r="AX82" i="115"/>
  <c r="AX79" i="115"/>
  <c r="AX84" i="115"/>
  <c r="AX76" i="115"/>
  <c r="AX78" i="115"/>
  <c r="AX67" i="115"/>
  <c r="AX74" i="115"/>
  <c r="AX72" i="115"/>
  <c r="AX69" i="115"/>
  <c r="AX81" i="115"/>
  <c r="AX66" i="115"/>
  <c r="AX73" i="115"/>
  <c r="AX68" i="115"/>
  <c r="AX56" i="115"/>
  <c r="AX64" i="115"/>
  <c r="AX61" i="115"/>
  <c r="AX71" i="115"/>
  <c r="AX58" i="115"/>
  <c r="AX83" i="115"/>
  <c r="AX63" i="115"/>
  <c r="AX65" i="115"/>
  <c r="AX60" i="115"/>
  <c r="AX57" i="115"/>
  <c r="AX75" i="115"/>
  <c r="AX70" i="115"/>
  <c r="AX62" i="115"/>
  <c r="AX52" i="115"/>
  <c r="AX54" i="115"/>
  <c r="AX51" i="115"/>
  <c r="AX55" i="115"/>
  <c r="AX53" i="115"/>
  <c r="AX59" i="115"/>
  <c r="AX50" i="115"/>
  <c r="AQ105" i="47"/>
  <c r="AQ102" i="47"/>
  <c r="AS78" i="47"/>
  <c r="AR87" i="47"/>
  <c r="AW37" i="115" l="1"/>
  <c r="AW36" i="115" s="1"/>
  <c r="AW34" i="115"/>
  <c r="AW39" i="115"/>
  <c r="AW40" i="115"/>
  <c r="AW38" i="115"/>
  <c r="AR86" i="47"/>
  <c r="AS88" i="47"/>
  <c r="AS52" i="47"/>
  <c r="AY46" i="115" l="1"/>
  <c r="AY45" i="115"/>
  <c r="AY77" i="115"/>
  <c r="AY82" i="115"/>
  <c r="AY74" i="115"/>
  <c r="AY84" i="115"/>
  <c r="AY76" i="115"/>
  <c r="AY81" i="115"/>
  <c r="AY73" i="115"/>
  <c r="AY83" i="115"/>
  <c r="AY75" i="115"/>
  <c r="AY72" i="115"/>
  <c r="AY64" i="115"/>
  <c r="AY79" i="115"/>
  <c r="AY69" i="115"/>
  <c r="AY66" i="115"/>
  <c r="AY71" i="115"/>
  <c r="AY78" i="115"/>
  <c r="AY61" i="115"/>
  <c r="AY58" i="115"/>
  <c r="AY63" i="115"/>
  <c r="AY68" i="115"/>
  <c r="AY65" i="115"/>
  <c r="AY60" i="115"/>
  <c r="AY57" i="115"/>
  <c r="AY70" i="115"/>
  <c r="AY67" i="115"/>
  <c r="AY62" i="115"/>
  <c r="AY80" i="115"/>
  <c r="AY59" i="115"/>
  <c r="AY54" i="115"/>
  <c r="AY56" i="115"/>
  <c r="AY51" i="115"/>
  <c r="AY52" i="115"/>
  <c r="AY53" i="115"/>
  <c r="AY50" i="115"/>
  <c r="AY55" i="115"/>
  <c r="AR105" i="47"/>
  <c r="AR102" i="47"/>
  <c r="AS87" i="47"/>
  <c r="AT78" i="47"/>
  <c r="AX37" i="115" l="1"/>
  <c r="AX36" i="115" s="1"/>
  <c r="AX34" i="115"/>
  <c r="AX39" i="115"/>
  <c r="AX38" i="115"/>
  <c r="AX40" i="115"/>
  <c r="AS86" i="47"/>
  <c r="AT88" i="47"/>
  <c r="AT52" i="47"/>
  <c r="AZ45" i="115" l="1"/>
  <c r="AZ46" i="115"/>
  <c r="AZ82" i="115"/>
  <c r="AZ74" i="115"/>
  <c r="AZ79" i="115"/>
  <c r="AZ72" i="115"/>
  <c r="AZ84" i="115"/>
  <c r="AZ81" i="115"/>
  <c r="AZ73" i="115"/>
  <c r="AZ78" i="115"/>
  <c r="AZ80" i="115"/>
  <c r="AZ69" i="115"/>
  <c r="AZ66" i="115"/>
  <c r="AZ76" i="115"/>
  <c r="AZ71" i="115"/>
  <c r="AZ68" i="115"/>
  <c r="AZ75" i="115"/>
  <c r="AZ70" i="115"/>
  <c r="AZ64" i="115"/>
  <c r="AZ58" i="115"/>
  <c r="AZ63" i="115"/>
  <c r="AZ83" i="115"/>
  <c r="AZ65" i="115"/>
  <c r="AZ60" i="115"/>
  <c r="AZ57" i="115"/>
  <c r="AZ67" i="115"/>
  <c r="AZ62" i="115"/>
  <c r="AZ77" i="115"/>
  <c r="AZ59" i="115"/>
  <c r="AZ56" i="115"/>
  <c r="AZ54" i="115"/>
  <c r="AZ51" i="115"/>
  <c r="AZ61" i="115"/>
  <c r="AZ53" i="115"/>
  <c r="AZ50" i="115"/>
  <c r="AZ55" i="115"/>
  <c r="AZ52" i="115"/>
  <c r="AS105" i="47"/>
  <c r="AS102" i="47"/>
  <c r="AT87" i="47"/>
  <c r="AU78" i="47"/>
  <c r="AY37" i="115" l="1"/>
  <c r="AY36" i="115" s="1"/>
  <c r="AY34" i="115"/>
  <c r="AY38" i="115"/>
  <c r="AY39" i="115"/>
  <c r="AY40" i="115"/>
  <c r="AT86" i="47"/>
  <c r="AU88" i="47"/>
  <c r="AU52" i="47"/>
  <c r="BA46" i="115" l="1"/>
  <c r="BA45" i="115"/>
  <c r="BA79" i="115"/>
  <c r="BA84" i="115"/>
  <c r="BA76" i="115"/>
  <c r="BA78" i="115"/>
  <c r="BA83" i="115"/>
  <c r="BA75" i="115"/>
  <c r="BA77" i="115"/>
  <c r="BA74" i="115"/>
  <c r="BA66" i="115"/>
  <c r="BA71" i="115"/>
  <c r="BA81" i="115"/>
  <c r="BA68" i="115"/>
  <c r="BA82" i="115"/>
  <c r="BA73" i="115"/>
  <c r="BA80" i="115"/>
  <c r="BA69" i="115"/>
  <c r="BA63" i="115"/>
  <c r="BA72" i="115"/>
  <c r="BA65" i="115"/>
  <c r="BA60" i="115"/>
  <c r="BA57" i="115"/>
  <c r="BA67" i="115"/>
  <c r="BA62" i="115"/>
  <c r="BA70" i="115"/>
  <c r="BA59" i="115"/>
  <c r="BA56" i="115"/>
  <c r="BA61" i="115"/>
  <c r="BA51" i="115"/>
  <c r="BA53" i="115"/>
  <c r="BA50" i="115"/>
  <c r="BA54" i="115"/>
  <c r="BA55" i="115"/>
  <c r="BA58" i="115"/>
  <c r="BA52" i="115"/>
  <c r="BA64" i="115"/>
  <c r="AT105" i="47"/>
  <c r="AT102" i="47"/>
  <c r="AU87" i="47"/>
  <c r="AV78" i="47"/>
  <c r="AZ37" i="115" l="1"/>
  <c r="AZ36" i="115" s="1"/>
  <c r="AZ34" i="115"/>
  <c r="AZ38" i="115"/>
  <c r="AZ40" i="115"/>
  <c r="AZ39" i="115"/>
  <c r="AU86" i="47"/>
  <c r="AV88" i="47"/>
  <c r="AV52" i="47"/>
  <c r="BB45" i="115" l="1"/>
  <c r="BB46" i="115"/>
  <c r="BB84" i="115"/>
  <c r="BB76" i="115"/>
  <c r="BB81" i="115"/>
  <c r="BB73" i="115"/>
  <c r="BB83" i="115"/>
  <c r="BB75" i="115"/>
  <c r="BB80" i="115"/>
  <c r="BB82" i="115"/>
  <c r="BB74" i="115"/>
  <c r="BB79" i="115"/>
  <c r="BB71" i="115"/>
  <c r="BB68" i="115"/>
  <c r="BB65" i="115"/>
  <c r="BB78" i="115"/>
  <c r="BB70" i="115"/>
  <c r="BB72" i="115"/>
  <c r="BB60" i="115"/>
  <c r="BB57" i="115"/>
  <c r="BB67" i="115"/>
  <c r="BB62" i="115"/>
  <c r="BB59" i="115"/>
  <c r="BB77" i="115"/>
  <c r="BB56" i="115"/>
  <c r="BB66" i="115"/>
  <c r="BB61" i="115"/>
  <c r="BB64" i="115"/>
  <c r="BB58" i="115"/>
  <c r="BB53" i="115"/>
  <c r="BB50" i="115"/>
  <c r="BB51" i="115"/>
  <c r="BB55" i="115"/>
  <c r="BB52" i="115"/>
  <c r="BB63" i="115"/>
  <c r="BB69" i="115"/>
  <c r="BB54" i="115"/>
  <c r="AU105" i="47"/>
  <c r="AU102" i="47"/>
  <c r="AW78" i="47"/>
  <c r="AV87" i="47"/>
  <c r="BA37" i="115" l="1"/>
  <c r="BA36" i="115" s="1"/>
  <c r="BA34" i="115"/>
  <c r="BA38" i="115"/>
  <c r="BA39" i="115"/>
  <c r="BA40" i="115"/>
  <c r="AV86" i="47"/>
  <c r="AW88" i="47"/>
  <c r="AW52" i="47"/>
  <c r="BC45" i="115" l="1"/>
  <c r="BC46" i="115"/>
  <c r="BC81" i="115"/>
  <c r="BC73" i="115"/>
  <c r="BC78" i="115"/>
  <c r="BC83" i="115"/>
  <c r="BC80" i="115"/>
  <c r="BC77" i="115"/>
  <c r="BC79" i="115"/>
  <c r="BC68" i="115"/>
  <c r="BC84" i="115"/>
  <c r="BC76" i="115"/>
  <c r="BC65" i="115"/>
  <c r="BC82" i="115"/>
  <c r="BC70" i="115"/>
  <c r="BC67" i="115"/>
  <c r="BC75" i="115"/>
  <c r="BC72" i="115"/>
  <c r="BC69" i="115"/>
  <c r="BC57" i="115"/>
  <c r="BC71" i="115"/>
  <c r="BC62" i="115"/>
  <c r="BC59" i="115"/>
  <c r="BC74" i="115"/>
  <c r="BC56" i="115"/>
  <c r="BC66" i="115"/>
  <c r="BC61" i="115"/>
  <c r="BC64" i="115"/>
  <c r="BC58" i="115"/>
  <c r="BC63" i="115"/>
  <c r="BC60" i="115"/>
  <c r="BC53" i="115"/>
  <c r="BC50" i="115"/>
  <c r="BC55" i="115"/>
  <c r="BC52" i="115"/>
  <c r="BC54" i="115"/>
  <c r="BC51" i="115"/>
  <c r="AV105" i="47"/>
  <c r="AV102" i="47"/>
  <c r="AX78" i="47"/>
  <c r="AW87" i="47"/>
  <c r="BB37" i="115" l="1"/>
  <c r="BB36" i="115" s="1"/>
  <c r="BB34" i="115"/>
  <c r="BB40" i="115"/>
  <c r="BB38" i="115"/>
  <c r="BB39" i="115"/>
  <c r="AW86" i="47"/>
  <c r="AX52" i="47"/>
  <c r="AX88" i="47"/>
  <c r="BD46" i="115" l="1"/>
  <c r="BD45" i="115"/>
  <c r="BD78" i="115"/>
  <c r="BD83" i="115"/>
  <c r="BD75" i="115"/>
  <c r="BD77" i="115"/>
  <c r="BD82" i="115"/>
  <c r="BD74" i="115"/>
  <c r="BD84" i="115"/>
  <c r="BD76" i="115"/>
  <c r="BD65" i="115"/>
  <c r="BD81" i="115"/>
  <c r="BD70" i="115"/>
  <c r="BD73" i="115"/>
  <c r="BD67" i="115"/>
  <c r="BD80" i="115"/>
  <c r="BD72" i="115"/>
  <c r="BD71" i="115"/>
  <c r="BD62" i="115"/>
  <c r="BD59" i="115"/>
  <c r="BD68" i="115"/>
  <c r="BD56" i="115"/>
  <c r="BD79" i="115"/>
  <c r="BD66" i="115"/>
  <c r="BD61" i="115"/>
  <c r="BD64" i="115"/>
  <c r="BD58" i="115"/>
  <c r="BD63" i="115"/>
  <c r="BD69" i="115"/>
  <c r="BD60" i="115"/>
  <c r="BD50" i="115"/>
  <c r="BD55" i="115"/>
  <c r="BD52" i="115"/>
  <c r="BD57" i="115"/>
  <c r="BD54" i="115"/>
  <c r="BD53" i="115"/>
  <c r="BD51" i="115"/>
  <c r="AW105" i="47"/>
  <c r="AW102" i="47"/>
  <c r="AX87" i="47"/>
  <c r="AY78" i="47"/>
  <c r="BC37" i="115" l="1"/>
  <c r="BC36" i="115" s="1"/>
  <c r="BC34" i="115"/>
  <c r="BC38" i="115"/>
  <c r="BC39" i="115"/>
  <c r="BC40" i="115"/>
  <c r="AX86" i="47"/>
  <c r="AY88" i="47"/>
  <c r="AY52" i="47"/>
  <c r="BE46" i="115" l="1"/>
  <c r="BE45" i="115"/>
  <c r="BE83" i="115"/>
  <c r="BE75" i="115"/>
  <c r="BE80" i="115"/>
  <c r="BE82" i="115"/>
  <c r="BE74" i="115"/>
  <c r="BE79" i="115"/>
  <c r="BE81" i="115"/>
  <c r="BE73" i="115"/>
  <c r="BE84" i="115"/>
  <c r="BE76" i="115"/>
  <c r="BE70" i="115"/>
  <c r="BE67" i="115"/>
  <c r="BE78" i="115"/>
  <c r="BE64" i="115"/>
  <c r="BE72" i="115"/>
  <c r="BE69" i="115"/>
  <c r="BE77" i="115"/>
  <c r="BE71" i="115"/>
  <c r="BE65" i="115"/>
  <c r="BE59" i="115"/>
  <c r="BE68" i="115"/>
  <c r="BE56" i="115"/>
  <c r="BE66" i="115"/>
  <c r="BE61" i="115"/>
  <c r="BE58" i="115"/>
  <c r="BE63" i="115"/>
  <c r="BE60" i="115"/>
  <c r="BE57" i="115"/>
  <c r="BE55" i="115"/>
  <c r="BE52" i="115"/>
  <c r="BE62" i="115"/>
  <c r="BE54" i="115"/>
  <c r="BE50" i="115"/>
  <c r="BE51" i="115"/>
  <c r="BE53" i="115"/>
  <c r="AX105" i="47"/>
  <c r="AX102" i="47"/>
  <c r="AY87" i="47"/>
  <c r="AZ78" i="47"/>
  <c r="BD37" i="115" l="1"/>
  <c r="BD36" i="115" s="1"/>
  <c r="BD34" i="115"/>
  <c r="BD39" i="115"/>
  <c r="BD38" i="115"/>
  <c r="BD40" i="115"/>
  <c r="AY86" i="47"/>
  <c r="AZ88" i="47"/>
  <c r="AZ52" i="47"/>
  <c r="BF46" i="115" l="1"/>
  <c r="BF45" i="115"/>
  <c r="BF80" i="115"/>
  <c r="BF77" i="115"/>
  <c r="BF82" i="115"/>
  <c r="BF79" i="115"/>
  <c r="BF84" i="115"/>
  <c r="BF76" i="115"/>
  <c r="BF78" i="115"/>
  <c r="BF81" i="115"/>
  <c r="BF67" i="115"/>
  <c r="BF73" i="115"/>
  <c r="BF72" i="115"/>
  <c r="BF69" i="115"/>
  <c r="BF75" i="115"/>
  <c r="BF66" i="115"/>
  <c r="BF83" i="115"/>
  <c r="BF68" i="115"/>
  <c r="BF56" i="115"/>
  <c r="BF61" i="115"/>
  <c r="BF74" i="115"/>
  <c r="BF58" i="115"/>
  <c r="BF70" i="115"/>
  <c r="BF64" i="115"/>
  <c r="BF63" i="115"/>
  <c r="BF60" i="115"/>
  <c r="BF57" i="115"/>
  <c r="BF62" i="115"/>
  <c r="BF52" i="115"/>
  <c r="BF71" i="115"/>
  <c r="BF51" i="115"/>
  <c r="BF65" i="115"/>
  <c r="BF54" i="115"/>
  <c r="BF53" i="115"/>
  <c r="BF55" i="115"/>
  <c r="BF59" i="115"/>
  <c r="BF50" i="115"/>
  <c r="AY105" i="47"/>
  <c r="AY102" i="47"/>
  <c r="BA78" i="47"/>
  <c r="AZ87" i="47"/>
  <c r="BE37" i="115" l="1"/>
  <c r="BE36" i="115" s="1"/>
  <c r="BE34" i="115"/>
  <c r="BE39" i="115"/>
  <c r="BE38" i="115"/>
  <c r="BE40" i="115"/>
  <c r="AZ86" i="47"/>
  <c r="BA88" i="47"/>
  <c r="BA52" i="47"/>
  <c r="BG46" i="115" l="1"/>
  <c r="BG45" i="115"/>
  <c r="BG77" i="115"/>
  <c r="BG82" i="115"/>
  <c r="BG74" i="115"/>
  <c r="BG84" i="115"/>
  <c r="BG76" i="115"/>
  <c r="BG81" i="115"/>
  <c r="BG73" i="115"/>
  <c r="BG83" i="115"/>
  <c r="BG75" i="115"/>
  <c r="BG64" i="115"/>
  <c r="BG78" i="115"/>
  <c r="BG72" i="115"/>
  <c r="BG69" i="115"/>
  <c r="BG66" i="115"/>
  <c r="BG80" i="115"/>
  <c r="BG71" i="115"/>
  <c r="BG68" i="115"/>
  <c r="BG61" i="115"/>
  <c r="BG67" i="115"/>
  <c r="BG58" i="115"/>
  <c r="BG79" i="115"/>
  <c r="BG70" i="115"/>
  <c r="BG63" i="115"/>
  <c r="BG60" i="115"/>
  <c r="BG57" i="115"/>
  <c r="BG62" i="115"/>
  <c r="BG65" i="115"/>
  <c r="BG59" i="115"/>
  <c r="BG56" i="115"/>
  <c r="BG54" i="115"/>
  <c r="BG51" i="115"/>
  <c r="BG53" i="115"/>
  <c r="BG52" i="115"/>
  <c r="BG50" i="115"/>
  <c r="BG55" i="115"/>
  <c r="AZ105" i="47"/>
  <c r="AZ102" i="47"/>
  <c r="BB78" i="47"/>
  <c r="BA87" i="47"/>
  <c r="BF37" i="115" l="1"/>
  <c r="BF36" i="115" s="1"/>
  <c r="BF34" i="115"/>
  <c r="BF39" i="115"/>
  <c r="BF40" i="115"/>
  <c r="BF38" i="115"/>
  <c r="BA86" i="47"/>
  <c r="BB52" i="47"/>
  <c r="BB88" i="47"/>
  <c r="BH45" i="115" l="1"/>
  <c r="BH46" i="115"/>
  <c r="BH82" i="115"/>
  <c r="BH74" i="115"/>
  <c r="BH79" i="115"/>
  <c r="BH72" i="115"/>
  <c r="BH84" i="115"/>
  <c r="BH81" i="115"/>
  <c r="BH73" i="115"/>
  <c r="BH78" i="115"/>
  <c r="BH80" i="115"/>
  <c r="BH69" i="115"/>
  <c r="BH66" i="115"/>
  <c r="BH75" i="115"/>
  <c r="BH71" i="115"/>
  <c r="BH68" i="115"/>
  <c r="BH83" i="115"/>
  <c r="BH77" i="115"/>
  <c r="BH70" i="115"/>
  <c r="BH67" i="115"/>
  <c r="BH58" i="115"/>
  <c r="BH76" i="115"/>
  <c r="BH63" i="115"/>
  <c r="BH64" i="115"/>
  <c r="BH60" i="115"/>
  <c r="BH57" i="115"/>
  <c r="BH62" i="115"/>
  <c r="BH65" i="115"/>
  <c r="BH59" i="115"/>
  <c r="BH56" i="115"/>
  <c r="BH54" i="115"/>
  <c r="BH61" i="115"/>
  <c r="BH51" i="115"/>
  <c r="BH53" i="115"/>
  <c r="BH50" i="115"/>
  <c r="BH55" i="115"/>
  <c r="BH52" i="115"/>
  <c r="BA105" i="47"/>
  <c r="BA102" i="47"/>
  <c r="BB87" i="47"/>
  <c r="BC78" i="47"/>
  <c r="BG37" i="115" l="1"/>
  <c r="BG36" i="115" s="1"/>
  <c r="BG34" i="115"/>
  <c r="BG38" i="115"/>
  <c r="BG39" i="115"/>
  <c r="BG40" i="115"/>
  <c r="BB86" i="47"/>
  <c r="BC52" i="47"/>
  <c r="BC88" i="47"/>
  <c r="BI45" i="115" l="1"/>
  <c r="BI46" i="115"/>
  <c r="BI79" i="115"/>
  <c r="BI84" i="115"/>
  <c r="BI76" i="115"/>
  <c r="BI78" i="115"/>
  <c r="BI83" i="115"/>
  <c r="BI75" i="115"/>
  <c r="BI77" i="115"/>
  <c r="BI73" i="115"/>
  <c r="BI72" i="115"/>
  <c r="BI66" i="115"/>
  <c r="BI82" i="115"/>
  <c r="BI71" i="115"/>
  <c r="BI80" i="115"/>
  <c r="BI68" i="115"/>
  <c r="BI74" i="115"/>
  <c r="BI63" i="115"/>
  <c r="BI81" i="115"/>
  <c r="BI70" i="115"/>
  <c r="BI64" i="115"/>
  <c r="BI60" i="115"/>
  <c r="BI57" i="115"/>
  <c r="BI62" i="115"/>
  <c r="BI65" i="115"/>
  <c r="BI59" i="115"/>
  <c r="BI69" i="115"/>
  <c r="BI56" i="115"/>
  <c r="BI61" i="115"/>
  <c r="BI51" i="115"/>
  <c r="BI53" i="115"/>
  <c r="BI67" i="115"/>
  <c r="BI50" i="115"/>
  <c r="BI58" i="115"/>
  <c r="BI55" i="115"/>
  <c r="BI54" i="115"/>
  <c r="BI52" i="115"/>
  <c r="BB105" i="47"/>
  <c r="BB102" i="47"/>
  <c r="BD78" i="47"/>
  <c r="BC87" i="47"/>
  <c r="BH37" i="115" l="1"/>
  <c r="BH36" i="115" s="1"/>
  <c r="BH34" i="115"/>
  <c r="BH40" i="115"/>
  <c r="BH38" i="115"/>
  <c r="BH39" i="115"/>
  <c r="BC86" i="47"/>
  <c r="BD88" i="47"/>
  <c r="BH88" i="47" s="1" a="1"/>
  <c r="BH88" i="47" s="1"/>
  <c r="BD52" i="47"/>
  <c r="BJ45" i="115" l="1"/>
  <c r="H45" i="115" s="1"/>
  <c r="BJ46" i="115"/>
  <c r="H46" i="115" s="1"/>
  <c r="BJ84" i="115"/>
  <c r="H84" i="115" s="1"/>
  <c r="BJ76" i="115"/>
  <c r="H76" i="115" s="1"/>
  <c r="BJ81" i="115"/>
  <c r="H81" i="115" s="1"/>
  <c r="BJ73" i="115"/>
  <c r="H73" i="115" s="1"/>
  <c r="BJ83" i="115"/>
  <c r="H83" i="115" s="1"/>
  <c r="BJ75" i="115"/>
  <c r="H75" i="115" s="1"/>
  <c r="BJ80" i="115"/>
  <c r="H80" i="115" s="1"/>
  <c r="BJ82" i="115"/>
  <c r="H82" i="115" s="1"/>
  <c r="BJ74" i="115"/>
  <c r="H74" i="115" s="1"/>
  <c r="BJ78" i="115"/>
  <c r="H78" i="115" s="1"/>
  <c r="BJ71" i="115"/>
  <c r="H71" i="115" s="1"/>
  <c r="BJ68" i="115"/>
  <c r="H68" i="115" s="1"/>
  <c r="BJ65" i="115"/>
  <c r="H65" i="115" s="1"/>
  <c r="BJ77" i="115"/>
  <c r="H77" i="115" s="1"/>
  <c r="BJ70" i="115"/>
  <c r="H70" i="115" s="1"/>
  <c r="BJ79" i="115"/>
  <c r="H79" i="115" s="1"/>
  <c r="BJ64" i="115"/>
  <c r="H64" i="115" s="1"/>
  <c r="BJ60" i="115"/>
  <c r="H60" i="115" s="1"/>
  <c r="BJ66" i="115"/>
  <c r="H66" i="115" s="1"/>
  <c r="BJ57" i="115"/>
  <c r="H57" i="115" s="1"/>
  <c r="BJ62" i="115"/>
  <c r="H62" i="115" s="1"/>
  <c r="BJ59" i="115"/>
  <c r="H59" i="115" s="1"/>
  <c r="BJ69" i="115"/>
  <c r="H69" i="115" s="1"/>
  <c r="BJ56" i="115"/>
  <c r="H56" i="115" s="1"/>
  <c r="BJ61" i="115"/>
  <c r="H61" i="115" s="1"/>
  <c r="BJ67" i="115"/>
  <c r="H67" i="115" s="1"/>
  <c r="BJ58" i="115"/>
  <c r="H58" i="115" s="1"/>
  <c r="BJ53" i="115"/>
  <c r="H53" i="115" s="1"/>
  <c r="BJ50" i="115"/>
  <c r="H50" i="115" s="1"/>
  <c r="BJ55" i="115"/>
  <c r="H55" i="115" s="1"/>
  <c r="BJ63" i="115"/>
  <c r="H63" i="115" s="1"/>
  <c r="BJ52" i="115"/>
  <c r="H52" i="115" s="1"/>
  <c r="BJ54" i="115"/>
  <c r="H54" i="115" s="1"/>
  <c r="BJ72" i="115"/>
  <c r="H72" i="115" s="1"/>
  <c r="BJ51" i="115"/>
  <c r="H51" i="115" s="1"/>
  <c r="BD87" i="47"/>
  <c r="BH87" i="47" s="1" a="1"/>
  <c r="BH87" i="47" s="1"/>
  <c r="BC105" i="47"/>
  <c r="BC102" i="47"/>
  <c r="BI37" i="115" l="1"/>
  <c r="BI36" i="115" s="1"/>
  <c r="BI34" i="115"/>
  <c r="BI40" i="115"/>
  <c r="BI38" i="115"/>
  <c r="BI39" i="115"/>
  <c r="BD86" i="47"/>
  <c r="BH86" i="47" s="1" a="1"/>
  <c r="BH86" i="47" s="1"/>
  <c r="BD102" i="47" l="1"/>
  <c r="BD105" i="47"/>
  <c r="BF105" i="47" s="1"/>
  <c r="C79" i="48" l="1"/>
  <c r="BJ37" i="115"/>
  <c r="H37" i="115" s="1"/>
  <c r="BJ34" i="115"/>
  <c r="H34" i="115" s="1"/>
  <c r="BJ40" i="115"/>
  <c r="BJ38" i="115"/>
  <c r="H38" i="115" s="1"/>
  <c r="BJ39" i="115"/>
  <c r="H39" i="115" s="1"/>
  <c r="BH105" i="47" a="1"/>
  <c r="BH105" i="47" s="1"/>
  <c r="C57" i="63" l="1"/>
  <c r="F64" i="63" s="1"/>
  <c r="BE36" i="45" s="1"/>
  <c r="F111" i="48"/>
  <c r="H10" i="97"/>
  <c r="J7" i="97" s="1"/>
  <c r="BJ36" i="115"/>
  <c r="H36" i="115" s="1"/>
  <c r="J8" i="97" l="1"/>
  <c r="BE42" i="45" s="1"/>
  <c r="G189" i="48" s="1"/>
  <c r="J5" i="97"/>
  <c r="BE40" i="45" s="1"/>
  <c r="G187" i="48" s="1"/>
  <c r="J6" i="97"/>
  <c r="BE41" i="45" s="1"/>
  <c r="G188" i="48" s="1"/>
  <c r="BF36" i="45"/>
  <c r="H183" i="48" s="1"/>
  <c r="G183" i="48"/>
  <c r="BF41" i="45" l="1"/>
  <c r="H188" i="48" s="1"/>
  <c r="I188" i="48" s="1"/>
  <c r="BF42" i="45"/>
  <c r="H189" i="48" s="1"/>
  <c r="I189" i="48" s="1"/>
  <c r="C56" i="63"/>
  <c r="F69" i="63" s="1"/>
  <c r="BF40" i="45"/>
  <c r="H187" i="48" s="1"/>
  <c r="I187" i="48" s="1"/>
  <c r="I183" i="48"/>
  <c r="BE39" i="45" l="1"/>
  <c r="G186" i="48" s="1"/>
  <c r="F66" i="63"/>
  <c r="BE38" i="45" s="1"/>
  <c r="BF38" i="45" s="1"/>
  <c r="H185" i="48" s="1"/>
  <c r="BF39" i="45" l="1"/>
  <c r="H186" i="48" s="1"/>
  <c r="I186" i="48" s="1"/>
  <c r="G185" i="48"/>
  <c r="I185" i="48" s="1"/>
  <c r="L49" i="115"/>
  <c r="H238" i="48" l="1"/>
  <c r="H243" i="48" s="1"/>
  <c r="C96" i="48" s="1"/>
  <c r="M49" i="115"/>
  <c r="N49" i="115" s="1"/>
  <c r="D87" i="48" l="1"/>
  <c r="C88" i="48" s="1"/>
  <c r="C89" i="48" s="1"/>
  <c r="C90" i="48" s="1"/>
  <c r="C91" i="48" s="1"/>
  <c r="O49" i="115"/>
  <c r="P49" i="115" l="1"/>
  <c r="Q49" i="115" l="1"/>
  <c r="R49" i="115" l="1"/>
  <c r="S49" i="115" l="1"/>
  <c r="T49" i="115" l="1"/>
  <c r="U49" i="115" s="1"/>
  <c r="V49" i="115" s="1"/>
  <c r="W49" i="115" s="1"/>
  <c r="X49" i="115" s="1"/>
  <c r="Y49" i="115" s="1"/>
  <c r="Z49" i="115" s="1"/>
  <c r="AA49" i="115" s="1"/>
  <c r="AB49" i="115" s="1"/>
  <c r="AC49" i="115" s="1"/>
  <c r="AD49" i="115" s="1"/>
  <c r="AE49" i="115" s="1"/>
  <c r="AF49" i="115" s="1"/>
  <c r="AG49" i="115" s="1"/>
  <c r="AH49" i="115" s="1"/>
  <c r="AI49" i="115" l="1"/>
  <c r="AJ49" i="115" s="1"/>
  <c r="AK49" i="115" s="1"/>
  <c r="AL49" i="115" s="1"/>
  <c r="AM49" i="115" s="1"/>
  <c r="AN49" i="115" s="1"/>
  <c r="AO49" i="115" s="1"/>
  <c r="AP49" i="115" s="1"/>
  <c r="AQ49" i="115" s="1"/>
  <c r="AR49" i="115" s="1"/>
  <c r="AS49" i="115" s="1"/>
  <c r="AT49" i="115" s="1"/>
  <c r="AU49" i="115" s="1"/>
  <c r="AV49" i="115" s="1"/>
  <c r="AW49" i="115" s="1"/>
  <c r="AX49" i="115" s="1"/>
  <c r="AY49" i="115" s="1"/>
  <c r="AZ49" i="115" s="1"/>
  <c r="BA49" i="115" s="1"/>
  <c r="BB49" i="115" s="1"/>
  <c r="BC49" i="115" s="1"/>
  <c r="BD49" i="115" s="1"/>
  <c r="BE49" i="115" s="1"/>
  <c r="BF49" i="115" s="1"/>
  <c r="BG49" i="115" s="1"/>
  <c r="BH49" i="115" s="1"/>
  <c r="BI49" i="115" s="1"/>
  <c r="BJ49" i="115" s="1"/>
  <c r="H49" i="1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Beth Evans</author>
    <author>Zack Panos</author>
  </authors>
  <commentList>
    <comment ref="B62" authorId="0" shapeId="0" xr:uid="{00000000-0006-0000-0400-000001000000}">
      <text>
        <r>
          <rPr>
            <sz val="9"/>
            <color indexed="81"/>
            <rFont val="Tahoma"/>
            <family val="2"/>
          </rPr>
          <t>Refers to all medical practitioners, including physicians, nursing professionals, and paramedical practitioners (ILO ISCO codes 2240, 2211, 2212, 2221, 3221, 5321, 3256)</t>
        </r>
      </text>
    </comment>
    <comment ref="B72" authorId="1" shapeId="0" xr:uid="{00000000-0006-0000-0400-000002000000}">
      <text>
        <r>
          <rPr>
            <sz val="9"/>
            <color indexed="81"/>
            <rFont val="Tahoma"/>
            <family val="2"/>
          </rPr>
          <t xml:space="preserve">Refers to all medical practitioners, including physicians, nursing professionals, and paramedical practitioners (ILO ISCO codes 2240, 2211, 2212, 2221, 3221, 5321, 3256)
</t>
        </r>
      </text>
    </comment>
    <comment ref="B73" authorId="1" shapeId="0" xr:uid="{00000000-0006-0000-0400-000003000000}">
      <text>
        <r>
          <rPr>
            <sz val="9"/>
            <color indexed="81"/>
            <rFont val="Tahoma"/>
            <family val="2"/>
          </rPr>
          <t>ILO ISCO code 9112</t>
        </r>
      </text>
    </comment>
    <comment ref="B74" authorId="1" shapeId="0" xr:uid="{00000000-0006-0000-0400-000004000000}">
      <text>
        <r>
          <rPr>
            <sz val="9"/>
            <color indexed="81"/>
            <rFont val="Tahoma"/>
            <family val="2"/>
          </rPr>
          <t xml:space="preserve">ILO ISCO codes 8322, 3258
</t>
        </r>
      </text>
    </comment>
    <comment ref="B138" authorId="1" shapeId="0" xr:uid="{00000000-0006-0000-0400-000005000000}">
      <text>
        <r>
          <rPr>
            <sz val="9"/>
            <color indexed="81"/>
            <rFont val="Tahoma"/>
            <family val="2"/>
          </rPr>
          <t>Real-time PCR systems (Applied Biosystems 7500 FAST, QuantStudio 5, Bio-Rad CFX 96, Qiagen RotorQ, etc.)</t>
        </r>
      </text>
    </comment>
    <comment ref="B157" authorId="1" shapeId="0" xr:uid="{00000000-0006-0000-0400-000006000000}">
      <text>
        <r>
          <rPr>
            <sz val="9"/>
            <color indexed="81"/>
            <rFont val="Tahoma"/>
            <family val="2"/>
          </rPr>
          <t>Real-time PCR systems (Applied Biosystems 7500 FAST, QuantStudio 5, Bio-Rad CFX 96, Qiagen RotorQ, etc.)</t>
        </r>
      </text>
    </comment>
    <comment ref="B162" authorId="1" shapeId="0" xr:uid="{00000000-0006-0000-0400-000007000000}">
      <text>
        <r>
          <rPr>
            <sz val="9"/>
            <color indexed="81"/>
            <rFont val="Tahoma"/>
            <family val="2"/>
          </rPr>
          <t>(ILO ISCO code 3212)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Zack Panos</author>
  </authors>
  <commentList>
    <comment ref="B12" authorId="0" shapeId="0" xr:uid="{00000000-0006-0000-0500-000001000000}">
      <text>
        <r>
          <rPr>
            <b/>
            <sz val="9"/>
            <color indexed="81"/>
            <rFont val="Tahoma"/>
            <family val="2"/>
          </rPr>
          <t>Administrator:</t>
        </r>
        <r>
          <rPr>
            <sz val="9"/>
            <color indexed="81"/>
            <rFont val="Tahoma"/>
            <family val="2"/>
          </rPr>
          <t xml:space="preserve">
The selection of this cell determines the strategy for estimating the number of infections. Most users will choose 'Exponential Growth' and this is what is recommended. If you select 'Manual Entry', the 'Manual Patient Calcs' tab must be filled in.</t>
        </r>
      </text>
    </comment>
    <comment ref="T12" authorId="0" shapeId="0" xr:uid="{00000000-0006-0000-0500-000002000000}">
      <text>
        <r>
          <rPr>
            <sz val="9"/>
            <color indexed="81"/>
            <rFont val="Tahoma"/>
            <family val="2"/>
          </rPr>
          <t>Source: Prem K, et al. The effect of control strategies to reduce social mixing on outcomes of the COVID-19 epidemic in Wuhan, China: a modelling study. Lancet Public Health. 2020 Mar 25. pii: S2468-2667(20)30073-6. doi: 10.1016/S2468-2667(20)30073-6. [Epub ahead of print]:
Woelfel R, et al. Clinical presentation and virological assessment of hospitalized cases of coronavirus disease 2019 in a travel-associated transmission cluster. medRxiv. 2020; (published online March 5.) (preprint). DOI: 10.1101/2020.03.05.20030502.</t>
        </r>
      </text>
    </comment>
    <comment ref="B13" authorId="0" shapeId="0" xr:uid="{00000000-0006-0000-0500-000003000000}">
      <text>
        <r>
          <rPr>
            <b/>
            <sz val="9"/>
            <color indexed="81"/>
            <rFont val="Tahoma"/>
            <family val="2"/>
          </rPr>
          <t>Administrator:</t>
        </r>
        <r>
          <rPr>
            <sz val="9"/>
            <color indexed="81"/>
            <rFont val="Tahoma"/>
            <family val="2"/>
          </rPr>
          <t xml:space="preserve">
This determines the estimated proportion of your population that will become infected your country. The estimated rates are based on empirical findings and academic modelling groups. Select 'manual' to enter a custom rate.</t>
        </r>
      </text>
    </comment>
    <comment ref="B14" authorId="0" shapeId="0" xr:uid="{00000000-0006-0000-0500-000004000000}">
      <text>
        <r>
          <rPr>
            <b/>
            <sz val="9"/>
            <color indexed="81"/>
            <rFont val="Tahoma"/>
            <family val="2"/>
          </rPr>
          <t>Administrator:</t>
        </r>
        <r>
          <rPr>
            <sz val="9"/>
            <color indexed="81"/>
            <rFont val="Tahoma"/>
            <family val="2"/>
          </rPr>
          <t xml:space="preserve">
This cell determines the number of days that it takes for the number of infections to double. For example a selection of 'slow' give a doubling rate of '5', meaning that it takes 5 days for the number of infections to be twice the current number. 
These rates are based on the most recent information available from WHO and academic modelling groups.</t>
        </r>
      </text>
    </comment>
    <comment ref="T14" authorId="0" shapeId="0" xr:uid="{00000000-0006-0000-0500-000005000000}">
      <text>
        <r>
          <rPr>
            <sz val="9"/>
            <color indexed="81"/>
            <rFont val="Tahoma"/>
            <family val="2"/>
          </rPr>
          <t>Sources: Prem K, Cook AR, Jit M. Projecting social contact matrices in 152 countries using contact surveys and demographic data. PLoS Comput Biol. 2017;13(9):e1005697. Published 2017 Sep 12. doi:10.1371/journal.pcbi.1005697
Mossong J, Hens N, Jit M, et al. Social contacts and mixing patterns relevant to the spread of infectious diseases. PLoS Med. 2008;5(3):e74. doi:10.1371/journal.pmed.0050074 (POLYMOD)
For countries not estimated for in the Prem paper, the average contacts per person per day for</t>
        </r>
        <r>
          <rPr>
            <b/>
            <sz val="9"/>
            <color indexed="81"/>
            <rFont val="Tahoma"/>
            <family val="2"/>
          </rPr>
          <t xml:space="preserve"> </t>
        </r>
        <r>
          <rPr>
            <sz val="9"/>
            <color indexed="81"/>
            <rFont val="Tahoma"/>
            <family val="2"/>
          </rPr>
          <t>countries in that country's World Bank Income Group was used.</t>
        </r>
      </text>
    </comment>
    <comment ref="T15" authorId="0" shapeId="0" xr:uid="{00000000-0006-0000-0500-000006000000}">
      <text>
        <r>
          <rPr>
            <sz val="9"/>
            <color indexed="81"/>
            <rFont val="Tahoma"/>
            <family val="2"/>
          </rPr>
          <t>Source for 2.35 basic reproduction number: Kucharski AJ, Russell TW, Diamond C, et al. Early dynamics of transmission and control of COVID-19: a mathematical modelling study. Lancet Infect Dis 2020; published online March 11. https://doi.org/10.1016/S1473-3099(20)30144-4)</t>
        </r>
      </text>
    </comment>
    <comment ref="G17" authorId="0" shapeId="0" xr:uid="{00000000-0006-0000-0500-000007000000}">
      <text>
        <r>
          <rPr>
            <u/>
            <sz val="9"/>
            <color rgb="FF000000"/>
            <rFont val="Tahoma"/>
            <family val="2"/>
          </rPr>
          <t>All suspected cases</t>
        </r>
        <r>
          <rPr>
            <sz val="9"/>
            <color rgb="FF000000"/>
            <rFont val="Tahoma"/>
            <family val="2"/>
          </rPr>
          <t xml:space="preserve">: all cases that present, regardless of severity, and number of negatives per positive as input below
</t>
        </r>
        <r>
          <rPr>
            <sz val="9"/>
            <color rgb="FF000000"/>
            <rFont val="Tahoma"/>
            <family val="2"/>
          </rPr>
          <t xml:space="preserve">
</t>
        </r>
        <r>
          <rPr>
            <u/>
            <sz val="9"/>
            <color rgb="FF000000"/>
            <rFont val="Tahoma"/>
            <family val="2"/>
          </rPr>
          <t>Targeted</t>
        </r>
        <r>
          <rPr>
            <sz val="9"/>
            <color rgb="FF000000"/>
            <rFont val="Tahoma"/>
            <family val="2"/>
          </rPr>
          <t>: restricted testing of mild/moderate presenting cases may be employed if limited tests available. All required severe and critical cases will still be tested</t>
        </r>
      </text>
    </comment>
    <comment ref="G18" authorId="0" shapeId="0" xr:uid="{00000000-0006-0000-0500-000008000000}">
      <text>
        <r>
          <rPr>
            <sz val="9"/>
            <color indexed="81"/>
            <rFont val="Tahoma"/>
            <family val="2"/>
          </rPr>
          <t>If "Targeted" testing strategy, only the percent of suspected/mild/moderate cases input here will be tested (typically high-risk patients)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J14" authorId="0" shapeId="0" xr:uid="{00000000-0006-0000-0600-000001000000}">
      <text>
        <r>
          <rPr>
            <sz val="9"/>
            <color indexed="81"/>
            <rFont val="Tahoma"/>
            <family val="2"/>
          </rPr>
          <t xml:space="preserve">HCWs refers to physicians, nursing professionals, and paramedical practitioners (ILO ISCO codes 2240, 2211, 2212, 2221, 3221, 5321, 3256)
</t>
        </r>
      </text>
    </comment>
    <comment ref="K14" authorId="0" shapeId="0" xr:uid="{00000000-0006-0000-0600-000002000000}">
      <text>
        <r>
          <rPr>
            <sz val="9"/>
            <color indexed="81"/>
            <rFont val="Tahoma"/>
            <family val="2"/>
          </rPr>
          <t xml:space="preserve">Cleaners and Helpers (ILO ISCO code 9112)
</t>
        </r>
      </text>
    </comment>
    <comment ref="M14" authorId="0" shapeId="0" xr:uid="{00000000-0006-0000-0600-000003000000}">
      <text>
        <r>
          <rPr>
            <sz val="9"/>
            <color indexed="81"/>
            <rFont val="Tahoma"/>
            <family val="2"/>
          </rPr>
          <t xml:space="preserve">Refers to Ambulance personnel (ILO ISCO codes 8322, 3258)
</t>
        </r>
      </text>
    </comment>
    <comment ref="AA14" authorId="0" shapeId="0" xr:uid="{00000000-0006-0000-0600-000004000000}">
      <text>
        <r>
          <rPr>
            <sz val="9"/>
            <color indexed="81"/>
            <rFont val="Tahoma"/>
            <family val="2"/>
          </rPr>
          <t xml:space="preserve">HCWs refers to all medical practitioners, including physicians, nursing professionals, and paramedical practitioners (ILO ISCO codes 2240, 2211, 2212, 2221, 3221, 5321, 3253)
</t>
        </r>
      </text>
    </comment>
    <comment ref="AE14" authorId="0" shapeId="0" xr:uid="{00000000-0006-0000-0600-000005000000}">
      <text>
        <r>
          <rPr>
            <sz val="9"/>
            <color indexed="81"/>
            <rFont val="Tahoma"/>
            <family val="2"/>
          </rPr>
          <t>Refers to Medical and Pathology Laboratory Technicians (ILO ISCO code 3212)</t>
        </r>
      </text>
    </comment>
    <comment ref="AF14" authorId="0" shapeId="0" xr:uid="{00000000-0006-0000-0600-000006000000}">
      <text>
        <r>
          <rPr>
            <sz val="9"/>
            <color indexed="81"/>
            <rFont val="Tahoma"/>
            <family val="2"/>
          </rPr>
          <t xml:space="preserve">ILO ISCO code 9112
</t>
        </r>
      </text>
    </comment>
    <comment ref="AI14" authorId="0" shapeId="0" xr:uid="{00000000-0006-0000-0600-000007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AJ14" authorId="0" shapeId="0" xr:uid="{00000000-0006-0000-0600-000008000000}">
      <text>
        <r>
          <rPr>
            <b/>
            <sz val="9"/>
            <color indexed="81"/>
            <rFont val="Tahoma"/>
            <family val="2"/>
          </rPr>
          <t xml:space="preserve">Cleaners and Helpers (ILO ISCO codes 9112)
</t>
        </r>
      </text>
    </comment>
    <comment ref="AP14" authorId="0" shapeId="0" xr:uid="{00000000-0006-0000-0600-000009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AQ14" authorId="0" shapeId="0" xr:uid="{00000000-0006-0000-0600-00000A000000}">
      <text>
        <r>
          <rPr>
            <b/>
            <sz val="9"/>
            <color indexed="81"/>
            <rFont val="Tahoma"/>
            <family val="2"/>
          </rPr>
          <t xml:space="preserve">Cleaners and Helpers (ILO ISCO codes 9112)
</t>
        </r>
      </text>
    </comment>
    <comment ref="AW14" authorId="0" shapeId="0" xr:uid="{00000000-0006-0000-0600-00000B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AX14" authorId="0" shapeId="0" xr:uid="{00000000-0006-0000-0600-00000C000000}">
      <text>
        <r>
          <rPr>
            <b/>
            <sz val="9"/>
            <color indexed="81"/>
            <rFont val="Tahoma"/>
            <family val="2"/>
          </rPr>
          <t xml:space="preserve">Cleaners and Helpers (ILO ISCO codes 9112)
</t>
        </r>
      </text>
    </comment>
    <comment ref="AZ14" authorId="0" shapeId="0" xr:uid="{00000000-0006-0000-0600-00000D000000}">
      <text>
        <r>
          <rPr>
            <b/>
            <sz val="9"/>
            <color indexed="81"/>
            <rFont val="Tahoma"/>
            <family val="2"/>
          </rPr>
          <t>Refers to Ambulance personnel (ILO ISCO codes 8322, 3258)</t>
        </r>
        <r>
          <rPr>
            <sz val="9"/>
            <color indexed="81"/>
            <rFont val="Tahoma"/>
            <family val="2"/>
          </rPr>
          <t xml:space="preserve">
</t>
        </r>
      </text>
    </comment>
    <comment ref="D25" authorId="0" shapeId="0" xr:uid="{00000000-0006-0000-0600-00000E000000}">
      <text>
        <r>
          <rPr>
            <sz val="9"/>
            <color indexed="81"/>
            <rFont val="Tahoma"/>
            <family val="2"/>
          </rPr>
          <t xml:space="preserve">Note that gum boots may not be relevant for all contexts. They are best practice for muddy environments.
</t>
        </r>
      </text>
    </comment>
    <comment ref="H52" authorId="0" shapeId="0" xr:uid="{00000000-0006-0000-0600-00000F000000}">
      <text>
        <r>
          <rPr>
            <b/>
            <sz val="9"/>
            <color indexed="81"/>
            <rFont val="Tahoma"/>
            <family val="2"/>
          </rPr>
          <t>Administrator:</t>
        </r>
        <r>
          <rPr>
            <sz val="9"/>
            <color indexed="81"/>
            <rFont val="Tahoma"/>
            <family val="2"/>
          </rPr>
          <t xml:space="preserve">
Please refer to catalogue for pricing, as there are 3 different pulse oximeters (portable handheld, fingertip, and table top) with a range of prices. Users are advised to insert the price, or weighted average price, corresponding to the type used in modelled setting.</t>
        </r>
      </text>
    </comment>
    <comment ref="H55" authorId="0" shapeId="0" xr:uid="{00000000-0006-0000-0600-000010000000}">
      <text>
        <r>
          <rPr>
            <b/>
            <sz val="9"/>
            <color indexed="81"/>
            <rFont val="Tahoma"/>
            <family val="2"/>
          </rPr>
          <t xml:space="preserve">Administrator:
</t>
        </r>
        <r>
          <rPr>
            <sz val="9"/>
            <color indexed="81"/>
            <rFont val="Tahoma"/>
            <family val="2"/>
          </rPr>
          <t>Oxygen pricing is complex as there are many sources (e.g., liquid plants, pressure swing adsorption plants, concentrators) and storage/delivery mechanisms (e.g., bulk liquid tanks, cylinders). Please refer to your in-country and international experts to get support and guidance on oxygen pricing based on your context.</t>
        </r>
      </text>
    </comment>
    <comment ref="H56" authorId="0" shapeId="0" xr:uid="{00000000-0006-0000-0600-000011000000}">
      <text>
        <r>
          <rPr>
            <b/>
            <sz val="9"/>
            <color indexed="81"/>
            <rFont val="Tahoma"/>
            <family val="2"/>
          </rPr>
          <t xml:space="preserve">Administrator:
</t>
        </r>
        <r>
          <rPr>
            <sz val="9"/>
            <color indexed="81"/>
            <rFont val="Tahoma"/>
            <family val="2"/>
          </rPr>
          <t>Oxygen pricing is complex as there are many sources (e.g., liquid plants, pressure swing adsorption plants, concentrators) and storage/delivery mechanisms (e.g., bulk liquid tanks, cylinders). Please refer to your in-country and international experts to get support and guidance on oxygen pricing based on your context.</t>
        </r>
      </text>
    </comment>
    <comment ref="H57" authorId="0" shapeId="0" xr:uid="{00000000-0006-0000-0600-000012000000}">
      <text>
        <r>
          <rPr>
            <b/>
            <sz val="9"/>
            <color indexed="81"/>
            <rFont val="Tahoma"/>
            <family val="2"/>
          </rPr>
          <t xml:space="preserve">Administrator:
</t>
        </r>
        <r>
          <rPr>
            <sz val="9"/>
            <color indexed="81"/>
            <rFont val="Tahoma"/>
            <family val="2"/>
          </rPr>
          <t>Oxygen pricing is complex as there are many sources (e.g., liquid plants, pressure swing adsorption plants, concentrators) and storage/delivery mechanisms (e.g., bulk liquid tanks, cylinders). Please refer to your in-country and international experts to get support and guidance on oxygen pricing based on your context.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Zack Panos</author>
  </authors>
  <commentList>
    <comment ref="D23" authorId="0" shapeId="0" xr:uid="{00000000-0006-0000-0900-000001000000}">
      <text>
        <r>
          <rPr>
            <sz val="9"/>
            <color indexed="81"/>
            <rFont val="Tahoma"/>
            <family val="2"/>
          </rPr>
          <t>Note that gum boots may not be relevant for all contexts. They are best practice for muddy environments.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C112" authorId="0" shapeId="0" xr:uid="{00000000-0006-0000-0A00-000001000000}">
      <text>
        <r>
          <rPr>
            <sz val="9"/>
            <color indexed="81"/>
            <rFont val="Tahoma"/>
            <family val="2"/>
          </rPr>
          <t xml:space="preserve">HCWs refers to physicians, nursing professionals, and paramedical practitioners (ILO ISCO codes 2240, 2211, 2212, 2221, 3221, 5321, 3256)
</t>
        </r>
      </text>
    </comment>
    <comment ref="C113" authorId="0" shapeId="0" xr:uid="{00000000-0006-0000-0A00-000002000000}">
      <text>
        <r>
          <rPr>
            <sz val="9"/>
            <color indexed="81"/>
            <rFont val="Tahoma"/>
            <family val="2"/>
          </rPr>
          <t>ILO ISCO code 9112</t>
        </r>
      </text>
    </comment>
    <comment ref="C115" authorId="0" shapeId="0" xr:uid="{00000000-0006-0000-0A00-000003000000}">
      <text>
        <r>
          <rPr>
            <sz val="9"/>
            <color indexed="81"/>
            <rFont val="Tahoma"/>
            <family val="2"/>
          </rPr>
          <t xml:space="preserve">ILO ISCO codes 8322, 3258
</t>
        </r>
      </text>
    </comment>
    <comment ref="C120" authorId="0" shapeId="0" xr:uid="{00000000-0006-0000-0A00-000004000000}">
      <text>
        <r>
          <rPr>
            <sz val="9"/>
            <color indexed="81"/>
            <rFont val="Tahoma"/>
            <family val="2"/>
          </rPr>
          <t xml:space="preserve">HCWs refers to physicians, nursing professionals, and paramedical practitioners (ILO ISCO codes 2240, 2211, 2212, 2221, 3221, 5321, 3256)
</t>
        </r>
      </text>
    </comment>
    <comment ref="C121" authorId="0" shapeId="0" xr:uid="{00000000-0006-0000-0A00-000005000000}">
      <text>
        <r>
          <rPr>
            <sz val="9"/>
            <color indexed="81"/>
            <rFont val="Tahoma"/>
            <family val="2"/>
          </rPr>
          <t>ILO ISCO code 9112</t>
        </r>
      </text>
    </comment>
    <comment ref="C128" authorId="0" shapeId="0" xr:uid="{00000000-0006-0000-0A00-000006000000}">
      <text>
        <r>
          <rPr>
            <sz val="9"/>
            <color indexed="81"/>
            <rFont val="Tahoma"/>
            <family val="2"/>
          </rPr>
          <t xml:space="preserve">HCWs refers to physicians, nursing professionals, and paramedical practitioners (ILO ISCO codes 2240, 2211, 2212, 2221, 3221, 5321, 3256)
</t>
        </r>
      </text>
    </comment>
    <comment ref="C134" authorId="0" shapeId="0" xr:uid="{00000000-0006-0000-0A00-000007000000}">
      <text>
        <r>
          <rPr>
            <sz val="9"/>
            <color indexed="81"/>
            <rFont val="Tahoma"/>
            <family val="2"/>
          </rPr>
          <t>Refers to Medical and Pathology Laboratory Technicians (ILO ISCO code 3212)</t>
        </r>
      </text>
    </comment>
    <comment ref="C135" authorId="0" shapeId="0" xr:uid="{00000000-0006-0000-0A00-000008000000}">
      <text>
        <r>
          <rPr>
            <sz val="9"/>
            <color indexed="81"/>
            <rFont val="Tahoma"/>
            <family val="2"/>
          </rPr>
          <t>ILO ISCO code 9112</t>
        </r>
      </text>
    </comment>
  </commentList>
</comments>
</file>

<file path=xl/sharedStrings.xml><?xml version="1.0" encoding="utf-8"?>
<sst xmlns="http://schemas.openxmlformats.org/spreadsheetml/2006/main" count="9905" uniqueCount="1899">
  <si>
    <t>AFG</t>
  </si>
  <si>
    <t>AND</t>
  </si>
  <si>
    <t>ARE</t>
  </si>
  <si>
    <t>ARM</t>
  </si>
  <si>
    <t>AUS</t>
  </si>
  <si>
    <t>AUT</t>
  </si>
  <si>
    <t>AZE</t>
  </si>
  <si>
    <t>BDI</t>
  </si>
  <si>
    <t>BEL</t>
  </si>
  <si>
    <t>BEN</t>
  </si>
  <si>
    <t>BFA</t>
  </si>
  <si>
    <t>BGD</t>
  </si>
  <si>
    <t>BGR</t>
  </si>
  <si>
    <t>BHR</t>
  </si>
  <si>
    <t>BHS</t>
  </si>
  <si>
    <t>BIH</t>
  </si>
  <si>
    <t>BLR</t>
  </si>
  <si>
    <t>BLZ</t>
  </si>
  <si>
    <t>BOL</t>
  </si>
  <si>
    <t>BRA</t>
  </si>
  <si>
    <t>BRN</t>
  </si>
  <si>
    <t>BTN</t>
  </si>
  <si>
    <t>BWA</t>
  </si>
  <si>
    <t>CHE</t>
  </si>
  <si>
    <t>CHL</t>
  </si>
  <si>
    <t>CHN</t>
  </si>
  <si>
    <t>CIV</t>
  </si>
  <si>
    <t>CMR</t>
  </si>
  <si>
    <t>COD</t>
  </si>
  <si>
    <t>COG</t>
  </si>
  <si>
    <t>CPV</t>
  </si>
  <si>
    <t>CRI</t>
  </si>
  <si>
    <t>CYP</t>
  </si>
  <si>
    <t>CZE</t>
  </si>
  <si>
    <t>DEU</t>
  </si>
  <si>
    <t>DJI</t>
  </si>
  <si>
    <t>DNK</t>
  </si>
  <si>
    <t>DZA</t>
  </si>
  <si>
    <t>ECU</t>
  </si>
  <si>
    <t>EGY</t>
  </si>
  <si>
    <t>ESP</t>
  </si>
  <si>
    <t>EST</t>
  </si>
  <si>
    <t>ETH</t>
  </si>
  <si>
    <t>FIN</t>
  </si>
  <si>
    <t>FJI</t>
  </si>
  <si>
    <t>FRA</t>
  </si>
  <si>
    <t>GAB</t>
  </si>
  <si>
    <t>GBR</t>
  </si>
  <si>
    <t>GEO</t>
  </si>
  <si>
    <t>GIN</t>
  </si>
  <si>
    <t>GMB</t>
  </si>
  <si>
    <t>GRC</t>
  </si>
  <si>
    <t>GRD</t>
  </si>
  <si>
    <t>GTM</t>
  </si>
  <si>
    <t>GUY</t>
  </si>
  <si>
    <t>HRV</t>
  </si>
  <si>
    <t>HTI</t>
  </si>
  <si>
    <t>HUN</t>
  </si>
  <si>
    <t>IDN</t>
  </si>
  <si>
    <t>IND</t>
  </si>
  <si>
    <t>IRL</t>
  </si>
  <si>
    <t>IRN</t>
  </si>
  <si>
    <t>IRQ</t>
  </si>
  <si>
    <t>ISL</t>
  </si>
  <si>
    <t>ISR</t>
  </si>
  <si>
    <t>ITA</t>
  </si>
  <si>
    <t>JAM</t>
  </si>
  <si>
    <t>JOR</t>
  </si>
  <si>
    <t>JPN</t>
  </si>
  <si>
    <t>KAZ</t>
  </si>
  <si>
    <t>KEN</t>
  </si>
  <si>
    <t>KGZ</t>
  </si>
  <si>
    <t>KHM</t>
  </si>
  <si>
    <t>KIR</t>
  </si>
  <si>
    <t>KOR</t>
  </si>
  <si>
    <t>KWT</t>
  </si>
  <si>
    <t>LAO</t>
  </si>
  <si>
    <t>LBN</t>
  </si>
  <si>
    <t>LBR</t>
  </si>
  <si>
    <t>LBY</t>
  </si>
  <si>
    <t>LCA</t>
  </si>
  <si>
    <t>LKA</t>
  </si>
  <si>
    <t>LTU</t>
  </si>
  <si>
    <t>LUX</t>
  </si>
  <si>
    <t>LVA</t>
  </si>
  <si>
    <t>MAR</t>
  </si>
  <si>
    <t>MCO</t>
  </si>
  <si>
    <t>MDA</t>
  </si>
  <si>
    <t>MDG</t>
  </si>
  <si>
    <t>MDV</t>
  </si>
  <si>
    <t>MEX</t>
  </si>
  <si>
    <t>MHL</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</si>
  <si>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</si>
  <si>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</si>
  <si>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</si>
  <si>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</si>
  <si>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</si>
  <si>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</si>
  <si>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</si>
  <si>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</si>
  <si>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</si>
  <si>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</si>
  <si>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</si>
  <si>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</si>
  <si>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</si>
  <si>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</si>
  <si>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</si>
  <si>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</si>
  <si>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</si>
  <si>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</si>
  <si>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</si>
  <si>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</si>
  <si>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</si>
  <si>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</si>
  <si>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</si>
  <si>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</si>
  <si>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PNG</t>
  </si>
  <si>
    <t>POL</t>
  </si>
  <si>
    <t>PRT</t>
  </si>
  <si>
    <t>PRY</t>
  </si>
  <si>
    <t>QAT</t>
  </si>
  <si>
    <t>ROU</t>
  </si>
  <si>
    <t>RUS</t>
  </si>
  <si>
    <t>RWA</t>
  </si>
  <si>
    <t>SAU</t>
  </si>
  <si>
    <t>SDN</t>
  </si>
  <si>
    <t>SEN</t>
  </si>
  <si>
    <t>SGP</t>
  </si>
  <si>
    <t>SLB</t>
  </si>
  <si>
    <t>SLE</t>
  </si>
  <si>
    <t>SMR</t>
  </si>
  <si>
    <t>SRB</t>
  </si>
  <si>
    <t>SVN</t>
  </si>
  <si>
    <t>SWE</t>
  </si>
  <si>
    <t>SWZ</t>
  </si>
  <si>
    <t>SYC</t>
  </si>
  <si>
    <t>SYR</t>
  </si>
  <si>
    <t>TGO</t>
  </si>
  <si>
    <t>THA</t>
  </si>
  <si>
    <t>TKM</t>
  </si>
  <si>
    <t>TLS</t>
  </si>
  <si>
    <t>TON</t>
  </si>
  <si>
    <t>TTO</t>
  </si>
  <si>
    <t>TUN</t>
  </si>
  <si>
    <t>TUR</t>
  </si>
  <si>
    <t>TUV</t>
  </si>
  <si>
    <t>TZA</t>
  </si>
  <si>
    <t>UGA</t>
  </si>
  <si>
    <t>UKR</t>
  </si>
  <si>
    <t>USA</t>
  </si>
  <si>
    <t>UZB</t>
  </si>
  <si>
    <t>VUT</t>
  </si>
  <si>
    <t>WSM</t>
  </si>
  <si>
    <t>YEM</t>
  </si>
  <si>
    <t>ZAF</t>
  </si>
  <si>
    <t>ZMB</t>
  </si>
  <si>
    <t>ZWE</t>
  </si>
  <si>
    <t>COM</t>
  </si>
  <si>
    <t>PRK</t>
  </si>
  <si>
    <t>CAN</t>
  </si>
  <si>
    <t>VNM</t>
  </si>
  <si>
    <t>CUB</t>
  </si>
  <si>
    <t>GHA</t>
  </si>
  <si>
    <t>TJK</t>
  </si>
  <si>
    <t>SLV</t>
  </si>
  <si>
    <t>AGO</t>
  </si>
  <si>
    <t>HND</t>
  </si>
  <si>
    <t>LSO</t>
  </si>
  <si>
    <t>ERI</t>
  </si>
  <si>
    <t>TCD</t>
  </si>
  <si>
    <t>SUR</t>
  </si>
  <si>
    <t>SOM</t>
  </si>
  <si>
    <t>GNB</t>
  </si>
  <si>
    <t>CAF</t>
  </si>
  <si>
    <t>GNQ</t>
  </si>
  <si>
    <t>STP</t>
  </si>
  <si>
    <t>Pakistan</t>
  </si>
  <si>
    <t>Nigeria</t>
  </si>
  <si>
    <t>South Africa</t>
  </si>
  <si>
    <t>Nepal</t>
  </si>
  <si>
    <t>Country code</t>
  </si>
  <si>
    <t>Population</t>
  </si>
  <si>
    <t>Angola</t>
  </si>
  <si>
    <t>Benin</t>
  </si>
  <si>
    <t>Botswana</t>
  </si>
  <si>
    <t>Burkina Faso</t>
  </si>
  <si>
    <t>Burundi</t>
  </si>
  <si>
    <t>Cameroon</t>
  </si>
  <si>
    <t>Central African Republic</t>
  </si>
  <si>
    <t>Chad</t>
  </si>
  <si>
    <t>Comoros</t>
  </si>
  <si>
    <t>Equatorial Guinea</t>
  </si>
  <si>
    <t>Eritrea</t>
  </si>
  <si>
    <t>ASM</t>
  </si>
  <si>
    <t>Ethiopia</t>
  </si>
  <si>
    <t>Gabon</t>
  </si>
  <si>
    <t>Ghana</t>
  </si>
  <si>
    <t>Guinea</t>
  </si>
  <si>
    <t>Guinea-Bissau</t>
  </si>
  <si>
    <t>Kenya</t>
  </si>
  <si>
    <t>Lesotho</t>
  </si>
  <si>
    <t>Liberia</t>
  </si>
  <si>
    <t>Madagascar</t>
  </si>
  <si>
    <t>Malawi</t>
  </si>
  <si>
    <t>Mali</t>
  </si>
  <si>
    <t>Mauritania</t>
  </si>
  <si>
    <t>Mauritius</t>
  </si>
  <si>
    <t>Mozambique</t>
  </si>
  <si>
    <t>Namibia</t>
  </si>
  <si>
    <t>Niger</t>
  </si>
  <si>
    <t>Rwanda</t>
  </si>
  <si>
    <t>Sao Tome and Principe</t>
  </si>
  <si>
    <t>Senegal</t>
  </si>
  <si>
    <t>Seychelles</t>
  </si>
  <si>
    <t>Sierra Leone</t>
  </si>
  <si>
    <t>Togo</t>
  </si>
  <si>
    <t>Uganda</t>
  </si>
  <si>
    <t>Zambia</t>
  </si>
  <si>
    <t>Zimbabwe</t>
  </si>
  <si>
    <t>Bolivia</t>
  </si>
  <si>
    <t>Chile</t>
  </si>
  <si>
    <t>Cuba</t>
  </si>
  <si>
    <t>El Salvador</t>
  </si>
  <si>
    <t>Guatemala</t>
  </si>
  <si>
    <t>Guyana</t>
  </si>
  <si>
    <t>Haiti</t>
  </si>
  <si>
    <t>Honduras</t>
  </si>
  <si>
    <t>Nicaragua</t>
  </si>
  <si>
    <t>Paraguay</t>
  </si>
  <si>
    <t>Suriname</t>
  </si>
  <si>
    <t>Afghanistan</t>
  </si>
  <si>
    <t>Djibouti</t>
  </si>
  <si>
    <t>Somalia</t>
  </si>
  <si>
    <t>Sudan</t>
  </si>
  <si>
    <t>Armenia</t>
  </si>
  <si>
    <t>Azerbaijan</t>
  </si>
  <si>
    <t>Georgia</t>
  </si>
  <si>
    <t>Kosovo</t>
  </si>
  <si>
    <t>Tajikistan</t>
  </si>
  <si>
    <t>Ukraine</t>
  </si>
  <si>
    <t>Bangladesh</t>
  </si>
  <si>
    <t>Bhutan</t>
  </si>
  <si>
    <t>Indonesia</t>
  </si>
  <si>
    <t>Maldives</t>
  </si>
  <si>
    <t>Myanmar</t>
  </si>
  <si>
    <t>Sri Lanka</t>
  </si>
  <si>
    <t>Timor-Leste</t>
  </si>
  <si>
    <t>Cambodia</t>
  </si>
  <si>
    <t>Fiji</t>
  </si>
  <si>
    <t>Kiribati</t>
  </si>
  <si>
    <t>Mongolia</t>
  </si>
  <si>
    <t>Nauru</t>
  </si>
  <si>
    <t>Papua New Guinea</t>
  </si>
  <si>
    <t>Philippines</t>
  </si>
  <si>
    <t>Samoa</t>
  </si>
  <si>
    <t>Solomon Islands</t>
  </si>
  <si>
    <t>Tonga</t>
  </si>
  <si>
    <t>Tuvalu</t>
  </si>
  <si>
    <t>Vanuatu</t>
  </si>
  <si>
    <t>Total</t>
  </si>
  <si>
    <t>Country</t>
  </si>
  <si>
    <t>Triple packaging boxes</t>
  </si>
  <si>
    <t>Diagnostics</t>
  </si>
  <si>
    <t>PPE</t>
  </si>
  <si>
    <t>Face shield</t>
  </si>
  <si>
    <t>Scrubs, tops</t>
  </si>
  <si>
    <t>Scrubs, pants</t>
  </si>
  <si>
    <t>Alcohol-based hand rub</t>
  </si>
  <si>
    <t>Bio-hazardous bag</t>
  </si>
  <si>
    <t>Gum boots</t>
  </si>
  <si>
    <t>HCW</t>
  </si>
  <si>
    <t>Hygienist</t>
  </si>
  <si>
    <t>Lt</t>
  </si>
  <si>
    <t>Liquid soap</t>
  </si>
  <si>
    <t>Kg</t>
  </si>
  <si>
    <t>Gloves, surgical</t>
  </si>
  <si>
    <t>Reusable</t>
  </si>
  <si>
    <t>Labs</t>
  </si>
  <si>
    <t>Key</t>
  </si>
  <si>
    <t>Input from other tab</t>
  </si>
  <si>
    <t>Assumption entered in this tab</t>
  </si>
  <si>
    <t>Output variable calculated in this tab</t>
  </si>
  <si>
    <t>Patient</t>
  </si>
  <si>
    <t>Caretaker</t>
  </si>
  <si>
    <t>Ambulancier</t>
  </si>
  <si>
    <t>Gloves, examination</t>
  </si>
  <si>
    <t>Laboratories</t>
  </si>
  <si>
    <t>Unit</t>
  </si>
  <si>
    <t>Pair</t>
  </si>
  <si>
    <t>Each</t>
  </si>
  <si>
    <t>Goggles, protective</t>
  </si>
  <si>
    <t>Apron, heavy duty, reusable</t>
  </si>
  <si>
    <t>Category</t>
  </si>
  <si>
    <t>Item</t>
  </si>
  <si>
    <t>Grouping</t>
  </si>
  <si>
    <t>IPC</t>
  </si>
  <si>
    <t>Gloves, heavy duty</t>
  </si>
  <si>
    <t>Hygiene</t>
  </si>
  <si>
    <t>Chlorine, HTH 70%</t>
  </si>
  <si>
    <t>Safety box</t>
  </si>
  <si>
    <t>Apron, disposable</t>
  </si>
  <si>
    <t>Gown, protective</t>
  </si>
  <si>
    <t>Case management</t>
  </si>
  <si>
    <t xml:space="preserve">    of which, severe</t>
  </si>
  <si>
    <t xml:space="preserve">    of which, mild</t>
  </si>
  <si>
    <t xml:space="preserve">    of which, critical</t>
  </si>
  <si>
    <t>Week</t>
  </si>
  <si>
    <t>Suction bulb, for newborn, reusable, autoclavable</t>
  </si>
  <si>
    <t>Table, resuscitation, neonate</t>
  </si>
  <si>
    <t>Bed</t>
  </si>
  <si>
    <t>Population, total</t>
  </si>
  <si>
    <t>Albania</t>
  </si>
  <si>
    <t>ALB</t>
  </si>
  <si>
    <t>Algeria</t>
  </si>
  <si>
    <t>American Samoa</t>
  </si>
  <si>
    <t>Andorra</t>
  </si>
  <si>
    <t>Antigua and Barbuda</t>
  </si>
  <si>
    <t>ATG</t>
  </si>
  <si>
    <t>Arab World</t>
  </si>
  <si>
    <t>ARB</t>
  </si>
  <si>
    <t>Argentina</t>
  </si>
  <si>
    <t>ARG</t>
  </si>
  <si>
    <t>Aruba</t>
  </si>
  <si>
    <t>ABW</t>
  </si>
  <si>
    <t>Australia</t>
  </si>
  <si>
    <t>Austria</t>
  </si>
  <si>
    <t>Bahamas, The</t>
  </si>
  <si>
    <t>Bahrain</t>
  </si>
  <si>
    <t>Barbados</t>
  </si>
  <si>
    <t>BRB</t>
  </si>
  <si>
    <t>Belarus</t>
  </si>
  <si>
    <t>Belgium</t>
  </si>
  <si>
    <t>Belize</t>
  </si>
  <si>
    <t>Bermuda</t>
  </si>
  <si>
    <t>BMU</t>
  </si>
  <si>
    <t>Bosnia and Herzegovina</t>
  </si>
  <si>
    <t>Brazil</t>
  </si>
  <si>
    <t>British Virgin Islands</t>
  </si>
  <si>
    <t>VGB</t>
  </si>
  <si>
    <t>Brunei Darussalam</t>
  </si>
  <si>
    <t>Bulgaria</t>
  </si>
  <si>
    <t>Cabo Verde</t>
  </si>
  <si>
    <t>Canada</t>
  </si>
  <si>
    <t>Caribbean small states</t>
  </si>
  <si>
    <t>CSS</t>
  </si>
  <si>
    <t>Cayman Islands</t>
  </si>
  <si>
    <t>CYM</t>
  </si>
  <si>
    <t>Central Europe and the Baltics</t>
  </si>
  <si>
    <t>CEB</t>
  </si>
  <si>
    <t>Channel Islands</t>
  </si>
  <si>
    <t>CHI</t>
  </si>
  <si>
    <t>China</t>
  </si>
  <si>
    <t>Colombia</t>
  </si>
  <si>
    <t>COL</t>
  </si>
  <si>
    <t>Congo, Dem. Rep.</t>
  </si>
  <si>
    <t>Congo, Rep.</t>
  </si>
  <si>
    <t>Costa Rica</t>
  </si>
  <si>
    <t>Cote d'Ivoire</t>
  </si>
  <si>
    <t>Croatia</t>
  </si>
  <si>
    <t>Curacao</t>
  </si>
  <si>
    <t>CUW</t>
  </si>
  <si>
    <t>Cyprus</t>
  </si>
  <si>
    <t>Czech Republic</t>
  </si>
  <si>
    <t>Denmark</t>
  </si>
  <si>
    <t>Dominica</t>
  </si>
  <si>
    <t>DMA</t>
  </si>
  <si>
    <t>Dominican Republic</t>
  </si>
  <si>
    <t>DOM</t>
  </si>
  <si>
    <t>Early-demographic dividend</t>
  </si>
  <si>
    <t>EAR</t>
  </si>
  <si>
    <t>East Asia &amp; Pacific</t>
  </si>
  <si>
    <t>EAS</t>
  </si>
  <si>
    <t>East Asia &amp; Pacific (excluding high income)</t>
  </si>
  <si>
    <t>EAP</t>
  </si>
  <si>
    <t>East Asia &amp; Pacific (IDA &amp; IBRD countries)</t>
  </si>
  <si>
    <t>TEA</t>
  </si>
  <si>
    <t>Ecuador</t>
  </si>
  <si>
    <t>Egypt, Arab Rep.</t>
  </si>
  <si>
    <t>Estonia</t>
  </si>
  <si>
    <t>Eswatini</t>
  </si>
  <si>
    <t>Euro area</t>
  </si>
  <si>
    <t>EMU</t>
  </si>
  <si>
    <t>Europe &amp; Central Asia</t>
  </si>
  <si>
    <t>ECS</t>
  </si>
  <si>
    <t>Europe &amp; Central Asia (excluding high income)</t>
  </si>
  <si>
    <t>ECA</t>
  </si>
  <si>
    <t>Europe &amp; Central Asia (IDA &amp; IBRD countries)</t>
  </si>
  <si>
    <t>TEC</t>
  </si>
  <si>
    <t>European Union</t>
  </si>
  <si>
    <t>EUU</t>
  </si>
  <si>
    <t>Faroe Islands</t>
  </si>
  <si>
    <t>FRO</t>
  </si>
  <si>
    <t>Finland</t>
  </si>
  <si>
    <t>Fragile and conflict affected situations</t>
  </si>
  <si>
    <t>FCS</t>
  </si>
  <si>
    <t>France</t>
  </si>
  <si>
    <t>French Polynesia</t>
  </si>
  <si>
    <t>PYF</t>
  </si>
  <si>
    <t>Gambia, The</t>
  </si>
  <si>
    <t>Germany</t>
  </si>
  <si>
    <t>Gibraltar</t>
  </si>
  <si>
    <t>GIB</t>
  </si>
  <si>
    <t>Greece</t>
  </si>
  <si>
    <t>Greenland</t>
  </si>
  <si>
    <t>GRL</t>
  </si>
  <si>
    <t>Grenada</t>
  </si>
  <si>
    <t>Guam</t>
  </si>
  <si>
    <t>GUM</t>
  </si>
  <si>
    <t>Heavily indebted poor countries (HIPC)</t>
  </si>
  <si>
    <t>HPC</t>
  </si>
  <si>
    <t>High income</t>
  </si>
  <si>
    <t>HIC</t>
  </si>
  <si>
    <t>Hong Kong SAR, China</t>
  </si>
  <si>
    <t>HKG</t>
  </si>
  <si>
    <t>Hungary</t>
  </si>
  <si>
    <t>Iceland</t>
  </si>
  <si>
    <t>India</t>
  </si>
  <si>
    <t>Iran, Islamic Rep.</t>
  </si>
  <si>
    <t>Iraq</t>
  </si>
  <si>
    <t>Ireland</t>
  </si>
  <si>
    <t>Isle of Man</t>
  </si>
  <si>
    <t>IMN</t>
  </si>
  <si>
    <t>Israel</t>
  </si>
  <si>
    <t>Italy</t>
  </si>
  <si>
    <t>Jamaica</t>
  </si>
  <si>
    <t>Japan</t>
  </si>
  <si>
    <t>Jordan</t>
  </si>
  <si>
    <t>Kazakhstan</t>
  </si>
  <si>
    <t>Korea, Dem. People’s Rep.</t>
  </si>
  <si>
    <t>Korea, Rep.</t>
  </si>
  <si>
    <t>XKX</t>
  </si>
  <si>
    <t>Kuwait</t>
  </si>
  <si>
    <t>Kyrgyz Republic</t>
  </si>
  <si>
    <t>Lao PDR</t>
  </si>
  <si>
    <t>Late-demographic dividend</t>
  </si>
  <si>
    <t>LTE</t>
  </si>
  <si>
    <t>Latin America &amp; Caribbean</t>
  </si>
  <si>
    <t>LCN</t>
  </si>
  <si>
    <t>Latin America &amp; Caribbean (excluding high income)</t>
  </si>
  <si>
    <t>LAC</t>
  </si>
  <si>
    <t>Latin America &amp; the Caribbean (IDA &amp; IBRD countries)</t>
  </si>
  <si>
    <t>TLA</t>
  </si>
  <si>
    <t>Latvia</t>
  </si>
  <si>
    <t>Least developed countries: UN classification</t>
  </si>
  <si>
    <t>LDC</t>
  </si>
  <si>
    <t>Lebanon</t>
  </si>
  <si>
    <t>Libya</t>
  </si>
  <si>
    <t>Liechtenstein</t>
  </si>
  <si>
    <t>LIE</t>
  </si>
  <si>
    <t>Lithuania</t>
  </si>
  <si>
    <t>Low &amp; middle income</t>
  </si>
  <si>
    <t>LMY</t>
  </si>
  <si>
    <t>Low income</t>
  </si>
  <si>
    <t>LIC</t>
  </si>
  <si>
    <t>Lower middle income</t>
  </si>
  <si>
    <t>LMC</t>
  </si>
  <si>
    <t>Luxembourg</t>
  </si>
  <si>
    <t>Macao SAR, China</t>
  </si>
  <si>
    <t>MAC</t>
  </si>
  <si>
    <t>Malaysia</t>
  </si>
  <si>
    <t>Malta</t>
  </si>
  <si>
    <t>Marshall Islands</t>
  </si>
  <si>
    <t>Mexico</t>
  </si>
  <si>
    <t>Micronesia, Fed. Sts.</t>
  </si>
  <si>
    <t>FSM</t>
  </si>
  <si>
    <t>Middle East &amp; North Africa</t>
  </si>
  <si>
    <t>MEA</t>
  </si>
  <si>
    <t>Middle East &amp; North Africa (excluding high income)</t>
  </si>
  <si>
    <t>MNA</t>
  </si>
  <si>
    <t>Middle East &amp; North Africa (IDA &amp; IBRD countries)</t>
  </si>
  <si>
    <t>TMN</t>
  </si>
  <si>
    <t>Middle income</t>
  </si>
  <si>
    <t>MIC</t>
  </si>
  <si>
    <t>Moldova</t>
  </si>
  <si>
    <t>Monaco</t>
  </si>
  <si>
    <t>Montenegro</t>
  </si>
  <si>
    <t>Morocco</t>
  </si>
  <si>
    <t>Netherlands</t>
  </si>
  <si>
    <t>New Caledonia</t>
  </si>
  <si>
    <t>NCL</t>
  </si>
  <si>
    <t>New Zealand</t>
  </si>
  <si>
    <t>North America</t>
  </si>
  <si>
    <t>NAC</t>
  </si>
  <si>
    <t>North Macedonia</t>
  </si>
  <si>
    <t>MKD</t>
  </si>
  <si>
    <t>Northern Mariana Islands</t>
  </si>
  <si>
    <t>MNP</t>
  </si>
  <si>
    <t>Norway</t>
  </si>
  <si>
    <t>Not classified</t>
  </si>
  <si>
    <t>INX</t>
  </si>
  <si>
    <t>OECD members</t>
  </si>
  <si>
    <t>OED</t>
  </si>
  <si>
    <t>Oman</t>
  </si>
  <si>
    <t>Other small states</t>
  </si>
  <si>
    <t>OSS</t>
  </si>
  <si>
    <t>Pacific island small states</t>
  </si>
  <si>
    <t>PSS</t>
  </si>
  <si>
    <t>Palau</t>
  </si>
  <si>
    <t>PLW</t>
  </si>
  <si>
    <t>Panama</t>
  </si>
  <si>
    <t>Peru</t>
  </si>
  <si>
    <t>Poland</t>
  </si>
  <si>
    <t>Portugal</t>
  </si>
  <si>
    <t>Post-demographic dividend</t>
  </si>
  <si>
    <t>PST</t>
  </si>
  <si>
    <t>Pre-demographic dividend</t>
  </si>
  <si>
    <t>PRE</t>
  </si>
  <si>
    <t>Puerto Rico</t>
  </si>
  <si>
    <t>PRI</t>
  </si>
  <si>
    <t>Qatar</t>
  </si>
  <si>
    <t>Romania</t>
  </si>
  <si>
    <t>Russian Federation</t>
  </si>
  <si>
    <t>San Marino</t>
  </si>
  <si>
    <t>Saudi Arabia</t>
  </si>
  <si>
    <t>Serbia</t>
  </si>
  <si>
    <t>Singapore</t>
  </si>
  <si>
    <t>Sint Maarten (Dutch part)</t>
  </si>
  <si>
    <t>SXM</t>
  </si>
  <si>
    <t>Slovak Republic</t>
  </si>
  <si>
    <t>SVK</t>
  </si>
  <si>
    <t>Slovenia</t>
  </si>
  <si>
    <t>Small states</t>
  </si>
  <si>
    <t>SST</t>
  </si>
  <si>
    <t>South Asia</t>
  </si>
  <si>
    <t>SAS</t>
  </si>
  <si>
    <t>South Asia (IDA &amp; IBRD)</t>
  </si>
  <si>
    <t>TSA</t>
  </si>
  <si>
    <t>South Sudan</t>
  </si>
  <si>
    <t>SSD</t>
  </si>
  <si>
    <t>Spain</t>
  </si>
  <si>
    <t>St. Kitts and Nevis</t>
  </si>
  <si>
    <t>KNA</t>
  </si>
  <si>
    <t>St. Lucia</t>
  </si>
  <si>
    <t>St. Martin (French part)</t>
  </si>
  <si>
    <t>MAF</t>
  </si>
  <si>
    <t>St. Vincent and the Grenadines</t>
  </si>
  <si>
    <t>VCT</t>
  </si>
  <si>
    <t>Sub-Saharan Africa</t>
  </si>
  <si>
    <t>SSF</t>
  </si>
  <si>
    <t>Sub-Saharan Africa (excluding high income)</t>
  </si>
  <si>
    <t>SSA</t>
  </si>
  <si>
    <t>Sub-Saharan Africa (IDA &amp; IBRD countries)</t>
  </si>
  <si>
    <t>TSS</t>
  </si>
  <si>
    <t>Sweden</t>
  </si>
  <si>
    <t>Switzerland</t>
  </si>
  <si>
    <t>Syrian Arab Republic</t>
  </si>
  <si>
    <t>Tanzania</t>
  </si>
  <si>
    <t>Thailand</t>
  </si>
  <si>
    <t>Trinidad and Tobago</t>
  </si>
  <si>
    <t>Tunisia</t>
  </si>
  <si>
    <t>Turkey</t>
  </si>
  <si>
    <t>Turkmenistan</t>
  </si>
  <si>
    <t>Turks and Caicos Islands</t>
  </si>
  <si>
    <t>TCA</t>
  </si>
  <si>
    <t>United Arab Emirates</t>
  </si>
  <si>
    <t>United Kingdom</t>
  </si>
  <si>
    <t>United States</t>
  </si>
  <si>
    <t>Upper middle income</t>
  </si>
  <si>
    <t>UMC</t>
  </si>
  <si>
    <t>Uruguay</t>
  </si>
  <si>
    <t>URY</t>
  </si>
  <si>
    <t>Uzbekistan</t>
  </si>
  <si>
    <t>Venezuela, RB</t>
  </si>
  <si>
    <t>VEN</t>
  </si>
  <si>
    <t>Vietnam</t>
  </si>
  <si>
    <t>Virgin Islands (U.S.)</t>
  </si>
  <si>
    <t>VIR</t>
  </si>
  <si>
    <t>West Bank and Gaza</t>
  </si>
  <si>
    <t>PSE</t>
  </si>
  <si>
    <t>World</t>
  </si>
  <si>
    <t>WLD</t>
  </si>
  <si>
    <t>Yemen, Rep.</t>
  </si>
  <si>
    <t>Country Name</t>
  </si>
  <si>
    <t>Country Code</t>
  </si>
  <si>
    <t>Lab extraction kit (250 extractions)</t>
  </si>
  <si>
    <t>RT-PCR kit (100 tests)</t>
  </si>
  <si>
    <t>High</t>
  </si>
  <si>
    <t>Low</t>
  </si>
  <si>
    <t>Medium</t>
  </si>
  <si>
    <t>Covid19 doubling time: 11 March AEM Presentation WHO</t>
  </si>
  <si>
    <t>Worst-case scenario, early Italy</t>
  </si>
  <si>
    <t>Clinical Attack Rate scenario</t>
  </si>
  <si>
    <t>Clinical Attack Rate</t>
  </si>
  <si>
    <t>Country population</t>
  </si>
  <si>
    <t>Fastest doubling rate of virus - highest case load expected</t>
  </si>
  <si>
    <t>Medium doubling rate of virus - medium case load expected</t>
  </si>
  <si>
    <t>Slowest doubling rate of virus - based on strict containment, lowest case load expected</t>
  </si>
  <si>
    <t>Intentionally blank</t>
  </si>
  <si>
    <t># of beds used by end of each week</t>
  </si>
  <si>
    <t>Yes</t>
  </si>
  <si>
    <t>No</t>
  </si>
  <si>
    <t>Inputs</t>
  </si>
  <si>
    <t>Patients recovering (or dying) from illness, per week</t>
  </si>
  <si>
    <t>Usage</t>
  </si>
  <si>
    <t>1/250 per test - wastage</t>
  </si>
  <si>
    <t>1/100 per test - wastage</t>
  </si>
  <si>
    <t>Total number of cases (based on epi curves)</t>
  </si>
  <si>
    <t xml:space="preserve">     of which severe beds</t>
  </si>
  <si>
    <t>1 per test</t>
  </si>
  <si>
    <t>Total for selected period</t>
  </si>
  <si>
    <t xml:space="preserve">     of which, total # of mild cases</t>
  </si>
  <si>
    <t xml:space="preserve">     of which, total # of severe hospitalized patients</t>
  </si>
  <si>
    <t xml:space="preserve">    of which, total # of critical hospitalized patients</t>
  </si>
  <si>
    <t>Slow</t>
  </si>
  <si>
    <t>Fast</t>
  </si>
  <si>
    <t>Combined</t>
  </si>
  <si>
    <t>Switches doubling speed from medium to slow after a certain number of weeks to flatten the curve</t>
  </si>
  <si>
    <t>Based on China</t>
  </si>
  <si>
    <t>Max number of facilities with patients at end of period</t>
  </si>
  <si>
    <t>8 per facility per week</t>
  </si>
  <si>
    <t>Biomedical Equipment</t>
  </si>
  <si>
    <t>Based on China, low</t>
  </si>
  <si>
    <t>Based on China, high</t>
  </si>
  <si>
    <t>Very low</t>
  </si>
  <si>
    <t>Doubling rate options</t>
  </si>
  <si>
    <t>Explanation</t>
  </si>
  <si>
    <t>Diagnostic testing options</t>
  </si>
  <si>
    <t>Test everyone suspected, mild, severe + critical for COVID-19</t>
  </si>
  <si>
    <t>Attack rate options</t>
  </si>
  <si>
    <t>Details explanation behind all toggle-able options in "Total forecast by item" tab</t>
  </si>
  <si>
    <t>LPM needed for severe patients</t>
  </si>
  <si>
    <t>LPM needed for critical patients</t>
  </si>
  <si>
    <t>m3</t>
  </si>
  <si>
    <t>Detailed Equipment Quantification</t>
  </si>
  <si>
    <t>Toggles</t>
  </si>
  <si>
    <t>Indicator Name</t>
  </si>
  <si>
    <t>Indicator Code</t>
  </si>
  <si>
    <t>Most recent</t>
  </si>
  <si>
    <t>Hospital beds (per 1,000 people)</t>
  </si>
  <si>
    <t>SH.MED.BEDS.ZS</t>
  </si>
  <si>
    <t>IBRD only</t>
  </si>
  <si>
    <t>IBD</t>
  </si>
  <si>
    <t>IDA &amp; IBRD total</t>
  </si>
  <si>
    <t>IBT</t>
  </si>
  <si>
    <t>IDA total</t>
  </si>
  <si>
    <t>IDA</t>
  </si>
  <si>
    <t>IDA blend</t>
  </si>
  <si>
    <t>IDB</t>
  </si>
  <si>
    <t>IDA only</t>
  </si>
  <si>
    <t>IDX</t>
  </si>
  <si>
    <t xml:space="preserve">   of which, critical</t>
  </si>
  <si>
    <t xml:space="preserve">   of which, severe</t>
  </si>
  <si>
    <t>Drugs and consumables</t>
  </si>
  <si>
    <t>Max severe beds, capped</t>
  </si>
  <si>
    <t>Max critical beds, capped</t>
  </si>
  <si>
    <t xml:space="preserve">     of which, total # of severe cases</t>
  </si>
  <si>
    <t xml:space="preserve">    of which, total # of critical cases</t>
  </si>
  <si>
    <t>Drugs modules 40 patients (severe + critical)</t>
  </si>
  <si>
    <t>Medical supply, consumables, 40 patients (severe + critical)</t>
  </si>
  <si>
    <t>With bed capping, severe patients that get admitted</t>
  </si>
  <si>
    <t>With bed capping, critical patients that get admitted</t>
  </si>
  <si>
    <t>With bed capping, severe patients that get discharged</t>
  </si>
  <si>
    <t>With bed capping, critical patients that get discharged</t>
  </si>
  <si>
    <t>With bed capping, severe beds in use</t>
  </si>
  <si>
    <t>With bed capping, critical beds in use</t>
  </si>
  <si>
    <t>Max per week for selected period</t>
  </si>
  <si>
    <t>Cumulative Mild Cases</t>
  </si>
  <si>
    <t>New Mild Cases</t>
  </si>
  <si>
    <t>Cumulative Severe Cases</t>
  </si>
  <si>
    <t>New Severe Cases</t>
  </si>
  <si>
    <t>Cumulative Critical Cases</t>
  </si>
  <si>
    <t>New Critical Cases</t>
  </si>
  <si>
    <t>Cumulative Removed (Recovered or Dead) Mild Cases</t>
  </si>
  <si>
    <t>New Removed Mild Cases</t>
  </si>
  <si>
    <t>Cumulative Removed (Recovered or Dead) Severe Cases</t>
  </si>
  <si>
    <t>New Removed Severe Cases</t>
  </si>
  <si>
    <t>Cumulative Removed (Recovered or Dead) Critical Cases</t>
  </si>
  <si>
    <t>New Removed Critical Cases</t>
  </si>
  <si>
    <t>Quarantined Mild Cases</t>
  </si>
  <si>
    <t>Admitted Severe Cases</t>
  </si>
  <si>
    <t>Admitted Critical Cases</t>
  </si>
  <si>
    <t xml:space="preserve">Cumulative Suspect Cases Tested Negative </t>
  </si>
  <si>
    <t>New Suspect Cases Tested Negative</t>
  </si>
  <si>
    <t>General Epi Curve Calculations</t>
  </si>
  <si>
    <t>Current Cases</t>
  </si>
  <si>
    <t>Expected Total Cumulative Cases</t>
  </si>
  <si>
    <t>Current Week of Outbreak</t>
  </si>
  <si>
    <t>Estimated Current Week of Outbreak</t>
  </si>
  <si>
    <t>Estimated Week When Total Cumulative Cases Reached</t>
  </si>
  <si>
    <t>Changes from:</t>
  </si>
  <si>
    <t>to</t>
  </si>
  <si>
    <t xml:space="preserve">at week </t>
  </si>
  <si>
    <t>Total Cases at rate switch point</t>
  </si>
  <si>
    <t>Time to total Cumulative Cases</t>
  </si>
  <si>
    <t>Facility-Weeks in Operation throughout period</t>
  </si>
  <si>
    <t>Week Label</t>
  </si>
  <si>
    <t>Cumulative Cases at end of week</t>
  </si>
  <si>
    <t>Known Cumulative Cases (#)</t>
  </si>
  <si>
    <t>Very fast</t>
  </si>
  <si>
    <t>Manual</t>
  </si>
  <si>
    <t>Cumulative Case Estimation Method</t>
  </si>
  <si>
    <t>Exponential Growth</t>
  </si>
  <si>
    <t>Manual Entry</t>
  </si>
  <si>
    <t>Cumulative Cases at end of week (Manual Entry)</t>
  </si>
  <si>
    <t>Doubling Rate (days)</t>
  </si>
  <si>
    <t>Initial Doubling Rate (days):</t>
  </si>
  <si>
    <t>Second Doubling Rate (days):</t>
  </si>
  <si>
    <t>New Cases this week</t>
  </si>
  <si>
    <t>Based on academic modelling groups</t>
  </si>
  <si>
    <t>Estimated population (2020):</t>
  </si>
  <si>
    <t>Cumulative Case 
Estimation Method</t>
  </si>
  <si>
    <t>All output pages are to the left (&lt;------) of this tab, all subsequent tabs are for reference and will not be used by users</t>
  </si>
  <si>
    <t>Determine Forecast Period</t>
  </si>
  <si>
    <t>Brief Descriptions of Other Tabs</t>
  </si>
  <si>
    <t>Inpatient</t>
  </si>
  <si>
    <t>Total number of caretakers required</t>
  </si>
  <si>
    <t>SET, INFUSION 'Y', Luer lock, air inlet, sterile, s.u.</t>
  </si>
  <si>
    <t>IV CATHETER, retractable, 16G (1.7 x 45mm), wings, grey</t>
  </si>
  <si>
    <t>IV CATHETER, retractable, 18G (1.2 x 45mm), wings, green</t>
  </si>
  <si>
    <t>IV CATHETER, retractable, 20G (1.0 x 32mm), wings, pink</t>
  </si>
  <si>
    <t>IV CATHETER, retractable, 22G (0.8 x  25mm), wings, blue</t>
  </si>
  <si>
    <t>IV CATHETER, retractable, 24G (0.7 x 19mm), wings, yellow</t>
  </si>
  <si>
    <t>SCALP VEIN, butterfly needle, 21G (0.8x19mm), s.u, ster., green</t>
  </si>
  <si>
    <t>SCALP VEIN, butterfly needle, 23 G (0.6x19 mm), s.u., ster., blue</t>
  </si>
  <si>
    <t>SCALP VEIN, butterfly needle, 25G (0.5x19mm), s.u., ster., orange</t>
  </si>
  <si>
    <t>Stopcock, 3-way, for infusion giving set, with connection line, sterile, single use</t>
  </si>
  <si>
    <t>NEEDLE, hypodermic, Luer, 18G, ster., s.u., pink</t>
  </si>
  <si>
    <t>NEEDLE, hypodermic, Luer, 19Gx1.5" (1.1x40mm), ster., s.u., cream</t>
  </si>
  <si>
    <t>NEEDLE, hypodermic, Luer, 21Gx1.5" (0.8x40mm), ster., s.u., green</t>
  </si>
  <si>
    <t>NEEDLE, hypodermic, Luer, 22G, ster., s.u., black</t>
  </si>
  <si>
    <t>NEEDLE, hypodermic, Luer, 23Gx1"(0.6x25mm), ster., s.u., blue</t>
  </si>
  <si>
    <t>SYRINGE, Luer, 20mL, ster., s.u.</t>
  </si>
  <si>
    <t>SYRINGE, Luer, 5mL, ster., s.u.</t>
  </si>
  <si>
    <t>SYRINGE, Luer, 2mL, ster., s.u.</t>
  </si>
  <si>
    <t>SYRINGE, Luer, 10mL, ster., s.u.</t>
  </si>
  <si>
    <t>TOURNIQUET, elastic, rubber, latex free, s.u., 100 x 1.8 cm</t>
  </si>
  <si>
    <t>SAFETY BOX, needles/syringes, 5l, cardboard for incineration</t>
  </si>
  <si>
    <t>Adhesive plasters, washproof, spot shape or 2x1.3 cm</t>
  </si>
  <si>
    <t>IODINE POVIDONE, 10%, solution, 1L, btl.</t>
  </si>
  <si>
    <t>COTTON WOOL, hydrophillic, 500 g, roll</t>
  </si>
  <si>
    <t>COMPRESS, GAUZE, 10 x 10 cm, 8 plys, 17 thr., ster., 2 pcs</t>
  </si>
  <si>
    <t>COMPRESS, GAUZE, 10 x 20 cm, 12 plys, 17 threads, non-ster.</t>
  </si>
  <si>
    <t>FORCEPS, DRESSING, BLANK, 14.5 cm, atraumatic serration</t>
  </si>
  <si>
    <t>BOWL, ROUND, 100 ml, 80 x 35 mm, stainless steel</t>
  </si>
  <si>
    <t>ZINC OXIDE, TAPE, self-adhesive, 2.5 cm x 5 m, white, roll</t>
  </si>
  <si>
    <t>Quantity/ package for 40 severe/ critical patients</t>
  </si>
  <si>
    <t>Total quantity for modelled scenario</t>
  </si>
  <si>
    <t>Setting</t>
  </si>
  <si>
    <t>Number of Staff Required Each Week</t>
  </si>
  <si>
    <t>High-Level Results</t>
  </si>
  <si>
    <t>Health Care Workers and Staff Required by Setting</t>
  </si>
  <si>
    <t>Staff &amp; Infrastructure Assumptions</t>
  </si>
  <si>
    <t>OUT</t>
  </si>
  <si>
    <t>Doctors</t>
  </si>
  <si>
    <t>Income group</t>
  </si>
  <si>
    <t>SH.MED.PHYS.ZS</t>
  </si>
  <si>
    <t>Physicians (per 1,000 people)</t>
  </si>
  <si>
    <t>Latest Value</t>
  </si>
  <si>
    <t/>
  </si>
  <si>
    <t>Niue</t>
  </si>
  <si>
    <t>Côte d'Ivoire</t>
  </si>
  <si>
    <t>Cook Islands</t>
  </si>
  <si>
    <t>Average</t>
  </si>
  <si>
    <t>Population in year</t>
  </si>
  <si>
    <t>Medical and Pathology Laboratory Technicians (number)</t>
  </si>
  <si>
    <t>Medical and Pathology Laboratory scientists (number)</t>
  </si>
  <si>
    <t>SH.MED.CMHW.P3</t>
  </si>
  <si>
    <t>Community health workers (per 1,000 people)</t>
  </si>
  <si>
    <t>Latest value</t>
  </si>
  <si>
    <t>Source: World Bank - World Development Indicators https://data.worldbank.org/indicator/SH.MED.CMHW.P3</t>
  </si>
  <si>
    <t>Description: Number of CHWs per 1,000 people by country by year. Note that most recent year of data varies by country.</t>
  </si>
  <si>
    <t>Community Health Workers</t>
  </si>
  <si>
    <t>SH.MED.NUMW.P3</t>
  </si>
  <si>
    <t>Nurses and midwives (per 1,000 people)</t>
  </si>
  <si>
    <t>Source: World Bank population data - https://data.worldbank.org/indicator/SH.MED.NUMW.P3</t>
  </si>
  <si>
    <t>Description: Number of nurses and midwives per 1,000 people by country by year. Note that most recent year of data varies by country</t>
  </si>
  <si>
    <t>Number of doctors</t>
  </si>
  <si>
    <t>Number of community health workers</t>
  </si>
  <si>
    <t>Capped # of HCWs for inpatients</t>
  </si>
  <si>
    <t>Capped # of HCWs for outpatients</t>
  </si>
  <si>
    <t>Number of laboratory staff</t>
  </si>
  <si>
    <t>Caps</t>
  </si>
  <si>
    <t>Summary Tabs</t>
  </si>
  <si>
    <t>Patient Calcs</t>
  </si>
  <si>
    <t>Reference Data</t>
  </si>
  <si>
    <t>Supplied with:
1  - 6.0 mm, cuffed cricothyroidotomy tube
1  - cricothyroidotomy, tube holder
1  - dilator
1  - scalpel blade, No. 15, for handle No. 3, sterile, single use
1  - suture, surgical, synthetic, non absorbable, monofilament, DEC 3.5 (0), 45 cm, with needle, 3/8 circle, 29.9 mm, cutting point
1  - syringe, 10 mL, two or three pieces, Luer type, sterile, single use
1  - Thermovent T (HME)</t>
  </si>
  <si>
    <t>Compressible self-refilling ventilation bag, capacity: 1475-2000mL.
Oxygen reservoir bag complete.
Non-rebreathing patient valve with pressure limiting valve, patient connector outside/inside diameter: 22/15 mm.
Inlet valve with nipple for 02 tubing.
Masks, silicon, in 3 sizes (adult small, adult medium and adult large).</t>
  </si>
  <si>
    <t>It includes all accessories for operation, including the CO2 detector.</t>
  </si>
  <si>
    <t>Supplied With?</t>
  </si>
  <si>
    <t>Source: World Bank - World Development Indicators https://data.worldbank.org/indicator/SH.MED.PHYS.ZS</t>
  </si>
  <si>
    <t>Description: Physicians per 1,000 people by country by year. Note that most recent year of data varies by country.</t>
  </si>
  <si>
    <t>Multiplier for non-reusable per-day equipment</t>
  </si>
  <si>
    <t>Cricothyrotomy, set, emergency, 6 mm, sterile, single use</t>
  </si>
  <si>
    <t>Defibrillator, semiautomatic, w/accessories</t>
  </si>
  <si>
    <t xml:space="preserve">Infant scale, electronic, 0-20 kg </t>
  </si>
  <si>
    <t>Scale, electronic, 50g/0-200kg</t>
  </si>
  <si>
    <t>Autoclave, 40-60L, with accessories</t>
  </si>
  <si>
    <t>Autoclave, 90L, with accessories</t>
  </si>
  <si>
    <t>Very slow</t>
  </si>
  <si>
    <t>DISCLAIMER</t>
  </si>
  <si>
    <t>I understand</t>
  </si>
  <si>
    <t>The user has reviewed the disclaimer and understand the model's scope and limitations</t>
  </si>
  <si>
    <t>Check?</t>
  </si>
  <si>
    <t>Source: WHO - https://apps.who.int/gho/data/node.main.HWFGRP?lang=en</t>
  </si>
  <si>
    <t>Note that in the absence of good data on CHWs in many countries we have taken a proxy of 0.4/1000 in population. This is likely an overestimate and is to be conservative on potential demand/ need.</t>
  </si>
  <si>
    <t>* Supplied with one of:
PATIENT CABLE 10 leads,
SET SUCTION ELECTRODES, reusable
ELECTRODES CLIP, limb, set 4 pcs/colours</t>
  </si>
  <si>
    <t>Ultrasound, portable, w/ transducers and trolley</t>
  </si>
  <si>
    <t>Total number of lab staff required</t>
  </si>
  <si>
    <t>Lab staff</t>
  </si>
  <si>
    <t>Capped # of lab staff for labs</t>
  </si>
  <si>
    <r>
      <t xml:space="preserve">Please check to confirm you have read and understand </t>
    </r>
    <r>
      <rPr>
        <b/>
        <sz val="11"/>
        <color theme="0"/>
        <rFont val="Calibri"/>
        <family val="2"/>
      </rPr>
      <t>↓</t>
    </r>
  </si>
  <si>
    <t>Personnel Descriptions (these definitions and ILO ISCO codes are in use in all tabs of the tool):</t>
  </si>
  <si>
    <t>Total quantity</t>
  </si>
  <si>
    <t>100 cases in 3 months</t>
  </si>
  <si>
    <t>1,000 cases in 3 months</t>
  </si>
  <si>
    <t>100,000 cases in 6 months</t>
  </si>
  <si>
    <t>For modelling: week # for placement on curve</t>
  </si>
  <si>
    <t>Scenario running</t>
  </si>
  <si>
    <t>For modelling: end Week (Inclusive) To Forecast Through</t>
  </si>
  <si>
    <t>Price</t>
  </si>
  <si>
    <t>10,000 cases in 6 months</t>
  </si>
  <si>
    <t>All Suspected Cases</t>
  </si>
  <si>
    <t>Targeted</t>
  </si>
  <si>
    <t>Imperial college reported LIC average</t>
  </si>
  <si>
    <t>Imperial college reported HIC average</t>
  </si>
  <si>
    <t>Imperial college reported LMIC average</t>
  </si>
  <si>
    <t>Imperial college reported UMIC average</t>
  </si>
  <si>
    <t>Proxies to use if unknown for # of beds</t>
  </si>
  <si>
    <t>Based on entered or WB estimated total beds</t>
  </si>
  <si>
    <t>Estimated total price</t>
  </si>
  <si>
    <t>Manual Population Entry</t>
  </si>
  <si>
    <t>User Inputs</t>
  </si>
  <si>
    <t>Country/Territory Selection</t>
  </si>
  <si>
    <t>HCWs</t>
  </si>
  <si>
    <t>Cleaners</t>
  </si>
  <si>
    <t>Ambulance Personnel</t>
  </si>
  <si>
    <t># Lab Staff In Country</t>
  </si>
  <si>
    <t>Lab Operations and Transport</t>
  </si>
  <si>
    <t>Patients and Case Severity</t>
  </si>
  <si>
    <t>% of Cases</t>
  </si>
  <si>
    <t>Length of Stay by Case Severity</t>
  </si>
  <si>
    <r>
      <t xml:space="preserve">% </t>
    </r>
    <r>
      <rPr>
        <u/>
        <sz val="11"/>
        <color theme="1"/>
        <rFont val="Calibri"/>
        <family val="2"/>
        <scheme val="minor"/>
      </rPr>
      <t>Severe</t>
    </r>
    <r>
      <rPr>
        <sz val="11"/>
        <color theme="1"/>
        <rFont val="Calibri"/>
        <family val="2"/>
        <scheme val="minor"/>
      </rPr>
      <t xml:space="preserve"> (inpatient, needs O2)</t>
    </r>
  </si>
  <si>
    <t># of Weeks</t>
  </si>
  <si>
    <t># per Bed</t>
  </si>
  <si>
    <t>Current Cumulative Case Count</t>
  </si>
  <si>
    <t>Notes</t>
  </si>
  <si>
    <t>Oxygen Use</t>
  </si>
  <si>
    <t>.001 used to convert liters to m3</t>
  </si>
  <si>
    <t>Liters per Minute (LPM)</t>
  </si>
  <si>
    <t>Severe Patients</t>
  </si>
  <si>
    <t>Input Quick Navigation</t>
  </si>
  <si>
    <t>Equipment Use</t>
  </si>
  <si>
    <t>Controlled Drugs</t>
  </si>
  <si>
    <t>Consumable Equipment</t>
  </si>
  <si>
    <t>Jump to Equipment Assumption Inputs</t>
  </si>
  <si>
    <t>Standard Drugs</t>
  </si>
  <si>
    <t>Refrigerated Drugs</t>
  </si>
  <si>
    <t>Mild Cases</t>
  </si>
  <si>
    <t>Severe Cases</t>
  </si>
  <si>
    <t>Critical Cases</t>
  </si>
  <si>
    <t>Removed Mild Cases</t>
  </si>
  <si>
    <t>Removed Severe Cases</t>
  </si>
  <si>
    <t>Removed Critical Cases</t>
  </si>
  <si>
    <t>Total Cases</t>
  </si>
  <si>
    <t>Suspect Cases Tested Negative</t>
  </si>
  <si>
    <t>Patient Calculations</t>
  </si>
  <si>
    <t>Manual Calculations: "Manual Entry"</t>
  </si>
  <si>
    <t>Back to Top</t>
  </si>
  <si>
    <t>Community Health Worker Data</t>
  </si>
  <si>
    <t>Nurse and Midwife Data</t>
  </si>
  <si>
    <t>Physician Data</t>
  </si>
  <si>
    <t>x</t>
  </si>
  <si>
    <t>Hospital Bed Data</t>
  </si>
  <si>
    <t>Source: World Bank population data - https://data.worldbank.org/indicator/SH.MED.BEDS.ZS</t>
  </si>
  <si>
    <t>Description: Number of hospital beds per 1,000 people by country by year. Note that most recent year of data varies by country</t>
  </si>
  <si>
    <t>Go to Manual Patient Calculations</t>
  </si>
  <si>
    <t>N/A</t>
  </si>
  <si>
    <t>User Dashboard</t>
  </si>
  <si>
    <t>Week Where Doubling Rate Changes:</t>
  </si>
  <si>
    <t>Click to see list of drugs</t>
  </si>
  <si>
    <t>Click to see list of consumables</t>
  </si>
  <si>
    <t>Product</t>
  </si>
  <si>
    <t>Item #</t>
  </si>
  <si>
    <t>Infusion giving set, with air intake, with injection port, with burette, sterile, single use (paediatric use)</t>
  </si>
  <si>
    <t>Consumable Products</t>
  </si>
  <si>
    <t>Delivery lead time until shipments received (weeks) (0-1)</t>
  </si>
  <si>
    <t>Capped # of cleaners for inpatients</t>
  </si>
  <si>
    <r>
      <t xml:space="preserve">Capped # of HCWs for </t>
    </r>
    <r>
      <rPr>
        <u/>
        <sz val="11"/>
        <color theme="1"/>
        <rFont val="Calibri"/>
        <family val="2"/>
        <scheme val="minor"/>
      </rPr>
      <t>inpatients</t>
    </r>
  </si>
  <si>
    <t>Totals</t>
  </si>
  <si>
    <t>Points of Entry</t>
  </si>
  <si>
    <t># of points of entry with triage</t>
  </si>
  <si>
    <t>Hospitals</t>
  </si>
  <si>
    <t># of community care locations for mild patients</t>
  </si>
  <si>
    <t>Average # of beds per community care locations for mild patients</t>
  </si>
  <si>
    <t>Cost</t>
  </si>
  <si>
    <t>Case Severity</t>
  </si>
  <si>
    <t>Points of Entry: Health Care Staff Ratios</t>
  </si>
  <si>
    <t># HCWs per POE checkpoint</t>
  </si>
  <si>
    <t>Manual rt-PRC</t>
  </si>
  <si>
    <t>GeneXpert</t>
  </si>
  <si>
    <t>Hologic Panther Fusion</t>
  </si>
  <si>
    <t>Hologic Panther</t>
  </si>
  <si>
    <t>Abbott m2000</t>
  </si>
  <si>
    <t>Roche 8800</t>
  </si>
  <si>
    <t>Roche 6800</t>
  </si>
  <si>
    <t>Platforms available for Covid testing</t>
  </si>
  <si>
    <t>Days/week (Manual)</t>
  </si>
  <si>
    <t>Days/week (GeneXpert)</t>
  </si>
  <si>
    <t>Days/week (Conventional)</t>
  </si>
  <si>
    <t>Operating hours</t>
  </si>
  <si>
    <t>% manual capacity remaining after accounting for other tests run</t>
  </si>
  <si>
    <t>% GeneXpert capacity remaining after accounting for TB tests run</t>
  </si>
  <si>
    <t>% of conventional instrument capacity remaining after after accounting for HIV VL/EID tests run</t>
  </si>
  <si>
    <t># activated</t>
  </si>
  <si>
    <t>Diagnostic platforms and operations</t>
  </si>
  <si>
    <t>Max Tests per Week</t>
  </si>
  <si>
    <t>Max Tests per Day</t>
  </si>
  <si>
    <t>Total Estimated Cost</t>
  </si>
  <si>
    <t>Inpatient HCW</t>
  </si>
  <si>
    <t>Keeping below for now so it doesn't get overwritten but will hide before release</t>
  </si>
  <si>
    <t xml:space="preserve">Diagnostics: Country Absorption Capacity (Max Tests Run) per Week </t>
  </si>
  <si>
    <t>Sev/Crit Diag</t>
  </si>
  <si>
    <t>Sev/Crit Release</t>
  </si>
  <si>
    <t>Mild/Mod Diag</t>
  </si>
  <si>
    <t>Suspect but neg</t>
  </si>
  <si>
    <t>Based on WHO China Joint Mission Report</t>
  </si>
  <si>
    <t>Uncapped</t>
  </si>
  <si>
    <t>Bed cap?</t>
  </si>
  <si>
    <t>Tests for severe + critical, with bed cap (total)</t>
  </si>
  <si>
    <t>Tests for severe + critical, uncapped (total)</t>
  </si>
  <si>
    <t>Shifts/day (Conventional)</t>
  </si>
  <si>
    <t>Shifts/day (GeneXpert)</t>
  </si>
  <si>
    <t>Shifts/day (Manual)</t>
  </si>
  <si>
    <t>Shifts</t>
  </si>
  <si>
    <t>Capacity</t>
  </si>
  <si>
    <t>Capacity for COVID-19</t>
  </si>
  <si>
    <t>Split evenly - 50%</t>
  </si>
  <si>
    <t>Primarily COVID - 75%</t>
  </si>
  <si>
    <t>Fully dedicated - 100%</t>
  </si>
  <si>
    <t>Limited capacity - 25%</t>
  </si>
  <si>
    <t>User Input Maximum # Tests per Day</t>
  </si>
  <si>
    <t>Conventional</t>
  </si>
  <si>
    <t>Gx</t>
  </si>
  <si>
    <t>Shifts/week</t>
  </si>
  <si>
    <t>2 (16 hours)</t>
  </si>
  <si>
    <t>3 (24 hours)</t>
  </si>
  <si>
    <t># Shifts</t>
  </si>
  <si>
    <t>Lab Staff (1 per shift)</t>
  </si>
  <si>
    <t>Case Fatality Rates</t>
  </si>
  <si>
    <t>Moderate Patients - Community Care - Qty/Person/Day</t>
  </si>
  <si>
    <t>Quantity</t>
  </si>
  <si>
    <t>Mild or Presumptive Patients (Quarantine Centers)</t>
  </si>
  <si>
    <t>Lab Staff</t>
  </si>
  <si>
    <t>Capped</t>
  </si>
  <si>
    <t xml:space="preserve">    of which, suspected but are negative</t>
  </si>
  <si>
    <t>Diagnosis</t>
  </si>
  <si>
    <t>Mild/Moderate</t>
  </si>
  <si>
    <t>Severe/Critical</t>
  </si>
  <si>
    <t>Mild positives</t>
  </si>
  <si>
    <t>Suspected but negative</t>
  </si>
  <si>
    <t>Confirmation of negative for release</t>
  </si>
  <si>
    <t>Infrared thermometer</t>
  </si>
  <si>
    <t>Conductive gel, container</t>
  </si>
  <si>
    <t>Stethoscope, binaural, adult/child</t>
  </si>
  <si>
    <t>Lubricating jelly - for critical patient gastro-enteral feeding and airway management &amp; intubation</t>
  </si>
  <si>
    <t>Cumulative Moderate Cases</t>
  </si>
  <si>
    <t>New Moderate cases</t>
  </si>
  <si>
    <t>Cumulative Removed (Recovered or dead) Moderate cases</t>
  </si>
  <si>
    <t>New Removed (Recovered or dead) moderate cases</t>
  </si>
  <si>
    <t>Quarantined Moderate Cases</t>
  </si>
  <si>
    <t xml:space="preserve">    of which, moderate</t>
  </si>
  <si>
    <t>Tests for mild, moderate + suspected (All Suspected Cases)</t>
  </si>
  <si>
    <t>Moderate positives</t>
  </si>
  <si>
    <t>Tests for mild, moderate + suspected (Targeted)</t>
  </si>
  <si>
    <t>Community Care: Moderate Patients</t>
  </si>
  <si>
    <t>Hours</t>
  </si>
  <si>
    <t>Removed Moderate Cases</t>
  </si>
  <si>
    <t>Moderate Cases</t>
  </si>
  <si>
    <t>This tab calculates the number of patients (mild, moderate, severe, critical, suspected but negative) each week</t>
  </si>
  <si>
    <t>Community care for moderate patients</t>
  </si>
  <si>
    <t>Mild positive cases</t>
  </si>
  <si>
    <t>Moderate positive cases</t>
  </si>
  <si>
    <t>Staff Ratios for Community Care for moderate patients</t>
  </si>
  <si>
    <t xml:space="preserve">     of which, total # of moderate cases</t>
  </si>
  <si>
    <t>Severe Patient</t>
  </si>
  <si>
    <t>Critical Patient</t>
  </si>
  <si>
    <t>Community Care HCW</t>
  </si>
  <si>
    <t>Community Care</t>
  </si>
  <si>
    <t>Automated Calculations: SIR Model</t>
  </si>
  <si>
    <t>T (Weeks)</t>
  </si>
  <si>
    <t>T (Days)</t>
  </si>
  <si>
    <t>Cumulative Cases</t>
  </si>
  <si>
    <t>New Cases</t>
  </si>
  <si>
    <t>SIR Model</t>
  </si>
  <si>
    <t>Both Patient</t>
  </si>
  <si>
    <t>Severe Bed</t>
  </si>
  <si>
    <t>Critical Bed</t>
  </si>
  <si>
    <t>Both Bed</t>
  </si>
  <si>
    <t>Suction pump</t>
  </si>
  <si>
    <t>Endotracheal tube introducer</t>
  </si>
  <si>
    <t>Pediatric O2</t>
  </si>
  <si>
    <t>Flow splitter, 5 flowmeters 0-2 L/min, for paediatric use</t>
  </si>
  <si>
    <t>Syringe, Luer</t>
  </si>
  <si>
    <t>Nasal oxygen cannula, with prongs, adult and paediatric</t>
  </si>
  <si>
    <t>Oxygen need (m3 per day) at max capacity</t>
  </si>
  <si>
    <t>Points of entry - Qty/Person/Day</t>
  </si>
  <si>
    <t># of people passing through each PoE requiring screening per day</t>
  </si>
  <si>
    <t>Diagnostic Testing (Assuming unlimited test capacity)</t>
  </si>
  <si>
    <t>Total Tests (capped by testing capacity)</t>
  </si>
  <si>
    <t>Biomedical Consumables &amp; Accessories</t>
  </si>
  <si>
    <t>1440 is used to convert days to minutes</t>
  </si>
  <si>
    <t>WHO Region</t>
  </si>
  <si>
    <t>Country Specific</t>
  </si>
  <si>
    <t>This is for the aggregator only</t>
  </si>
  <si>
    <t>Based on Imperial College paper</t>
  </si>
  <si>
    <t>Useable quantity/kit (minus wastage)</t>
  </si>
  <si>
    <t>Bed capping calculations</t>
  </si>
  <si>
    <t>Diagnostics calculations</t>
  </si>
  <si>
    <t>Beds/1000 population:</t>
  </si>
  <si>
    <t>Based on global average</t>
  </si>
  <si>
    <t>Total beds in selection</t>
  </si>
  <si>
    <t>Based on specific country selection</t>
  </si>
  <si>
    <t>Output for suggested bed cap to user</t>
  </si>
  <si>
    <t>Country health worker calculations</t>
  </si>
  <si>
    <t>Input prompts from datasets</t>
  </si>
  <si>
    <t>Output proposed caps based on user inputs</t>
  </si>
  <si>
    <t>Based on user inputs of split of HCWs across settings and total HCWs available</t>
  </si>
  <si>
    <t>Mid-calculations, based on model calculations</t>
  </si>
  <si>
    <t>Equipment quantification</t>
  </si>
  <si>
    <t>Equipment inputs</t>
  </si>
  <si>
    <t>Oxygen Calculations</t>
  </si>
  <si>
    <t>Maximum LPM calculations</t>
  </si>
  <si>
    <t>Attack rate selected</t>
  </si>
  <si>
    <t>From user inputs</t>
  </si>
  <si>
    <t>Epi mid-calculations for non-combined doubling scenarios</t>
  </si>
  <si>
    <t>Epi mid-calculations for combined doubling scenarios</t>
  </si>
  <si>
    <t>Diagnostics maximum testing capacity</t>
  </si>
  <si>
    <t>Throughput per shift (hours)</t>
  </si>
  <si>
    <t>Total number of cases (based on patient calculations, unconstrained by hospital bed availability)</t>
  </si>
  <si>
    <t>Max # of beds provided for (at peak occupancy)</t>
  </si>
  <si>
    <t>Severe Beds</t>
  </si>
  <si>
    <t>Total Tests (unlimited testing capacity)</t>
  </si>
  <si>
    <t>Severe:</t>
  </si>
  <si>
    <t>Forecast Cases</t>
  </si>
  <si>
    <t>1 (8 hours)</t>
  </si>
  <si>
    <t>5 working days per week</t>
  </si>
  <si>
    <t>Income Class</t>
  </si>
  <si>
    <t>Inpatient Admissions</t>
  </si>
  <si>
    <t>Forecast Week When Bed Caps Hit:</t>
  </si>
  <si>
    <t>Refers to all medical practitioners, including physicians, nursing professionals, and paramedical practitioners (ILO ISCO codes 2240, 2211, 2212, 2221, 3221, 5321, 3256)</t>
  </si>
  <si>
    <t>All Cases</t>
  </si>
  <si>
    <t>EMRO</t>
  </si>
  <si>
    <t>AFRO</t>
  </si>
  <si>
    <t>EURO</t>
  </si>
  <si>
    <t>PAHO</t>
  </si>
  <si>
    <t>SEARO</t>
  </si>
  <si>
    <t>This is for the aggregator</t>
  </si>
  <si>
    <t>Estimated Contacts per person per day by age band</t>
  </si>
  <si>
    <t>Proportion of Population by age band</t>
  </si>
  <si>
    <t>Age-weighted Contacts per Person per Day</t>
  </si>
  <si>
    <t>Average Contacts per Person per Day (adjusted for age)</t>
  </si>
  <si>
    <t>0-5</t>
  </si>
  <si>
    <t>5-10</t>
  </si>
  <si>
    <t>10-15</t>
  </si>
  <si>
    <t>15-20</t>
  </si>
  <si>
    <t>20-25</t>
  </si>
  <si>
    <t>25-30</t>
  </si>
  <si>
    <t>30-35</t>
  </si>
  <si>
    <t>35-40</t>
  </si>
  <si>
    <t>40-45</t>
  </si>
  <si>
    <t>45-50</t>
  </si>
  <si>
    <t>50-55</t>
  </si>
  <si>
    <t>55-60</t>
  </si>
  <si>
    <t>60-65</t>
  </si>
  <si>
    <t>65-70</t>
  </si>
  <si>
    <t>70-75</t>
  </si>
  <si>
    <t>75-80</t>
  </si>
  <si>
    <r>
      <rPr>
        <b/>
        <sz val="11"/>
        <color theme="1"/>
        <rFont val="Calibri"/>
        <family val="2"/>
        <scheme val="minor"/>
      </rPr>
      <t xml:space="preserve">Source: </t>
    </r>
    <r>
      <rPr>
        <i/>
        <sz val="11"/>
        <color theme="1"/>
        <rFont val="Calibri"/>
        <family val="2"/>
        <scheme val="minor"/>
      </rPr>
      <t>Prem K, Cook AR, Jit M. Projecting social contact matrices in 152 countries using contact surveys and demographic data. PLoS Comput Biol. 2017;13(9):e1005697. Published 2017 Sep 12. doi:10.1371/journal.pcbi.1005697</t>
    </r>
  </si>
  <si>
    <t>Swab and Viral transport medium</t>
  </si>
  <si>
    <t>Extraction kit</t>
  </si>
  <si>
    <t>RT-PCR reaction kit</t>
  </si>
  <si>
    <t>Max number of beds available</t>
  </si>
  <si>
    <t>PLACEHOLDER</t>
  </si>
  <si>
    <t>Max number of patients able to be transferred to hospital</t>
  </si>
  <si>
    <t>Max number of people able to be screened per day</t>
  </si>
  <si>
    <t>Consultation/ triage for diagnosis</t>
  </si>
  <si>
    <t>Max number of patients able to be reviewed</t>
  </si>
  <si>
    <t>Quarantine for mild/suspected patients</t>
  </si>
  <si>
    <t># per week</t>
  </si>
  <si>
    <t>Total new cases presenting each week - uncapped</t>
  </si>
  <si>
    <t>Sick patients per week (excluding those who have been discharged/recovered)</t>
  </si>
  <si>
    <t>With bed capping, moderate patients that get admitted</t>
  </si>
  <si>
    <t>With bed capping, moderate patients that get discharged</t>
  </si>
  <si>
    <t>With bed capping, moderate beds in use</t>
  </si>
  <si>
    <t>Consultations/triage for patient diagnosis</t>
  </si>
  <si>
    <t>% of patients that attend consultations/ triage vs. presumptive diagnosis or direct to hospital</t>
  </si>
  <si>
    <t>With bed capping, mild patients that get discharged</t>
  </si>
  <si>
    <t>Placeholder</t>
  </si>
  <si>
    <t>With bed capping, mild/suspected beds in use</t>
  </si>
  <si>
    <t>-</t>
  </si>
  <si>
    <t>Test kits - high-throughput PCR</t>
  </si>
  <si>
    <t>Region</t>
  </si>
  <si>
    <t>Gambia</t>
  </si>
  <si>
    <t>Sao Tome And Principe</t>
  </si>
  <si>
    <t>Congo</t>
  </si>
  <si>
    <t>DRC</t>
  </si>
  <si>
    <t>Saint Lucia</t>
  </si>
  <si>
    <t>Egypt</t>
  </si>
  <si>
    <t>Yemen</t>
  </si>
  <si>
    <t>Kyrgyzstan</t>
  </si>
  <si>
    <t>WPRO</t>
  </si>
  <si>
    <t>Micronesia</t>
  </si>
  <si>
    <t>Estimated Platform Mapping</t>
  </si>
  <si>
    <t>hide</t>
  </si>
  <si>
    <t>With bed capping, mild patients that get admitted</t>
  </si>
  <si>
    <t>Points of Entry for screening</t>
  </si>
  <si>
    <t>Labs and Testing</t>
  </si>
  <si>
    <t>Quarantines and Admissions (no capping)</t>
  </si>
  <si>
    <t>Edit SIR Model</t>
  </si>
  <si>
    <t>Placeholder until inputs from WHO</t>
  </si>
  <si>
    <t>Enter 0 if not quarantining mild patients; Placeholder for now</t>
  </si>
  <si>
    <t>NIU</t>
  </si>
  <si>
    <t>COK</t>
  </si>
  <si>
    <t>Typically international airport, rail and port</t>
  </si>
  <si>
    <t>Tubing, medical gases, int. diam. 5 mm</t>
  </si>
  <si>
    <t>Connector, biconical, symmetric, ext. diam. 7-11 mm</t>
  </si>
  <si>
    <t>Flowmeter, Thorpe tube, for pipe oxygen 0-15 L/min</t>
  </si>
  <si>
    <t>WHO country name</t>
  </si>
  <si>
    <t>Latest reported year with full nursing personnel data</t>
  </si>
  <si>
    <t>Nursing and midwifery personnel (per 10 000 population)</t>
  </si>
  <si>
    <t>Nursing and midwifery personnel  (number)</t>
  </si>
  <si>
    <t>Nursing personnel (number)</t>
  </si>
  <si>
    <t>Midwifery personnel (number)</t>
  </si>
  <si>
    <t>Latest reporting year with any data</t>
  </si>
  <si>
    <t>Latest reporting year with medical doctors data</t>
  </si>
  <si>
    <t>Medical doctors (number)</t>
  </si>
  <si>
    <t>Nurses in 2020</t>
  </si>
  <si>
    <t>Medical doctors in 2020</t>
  </si>
  <si>
    <t>Bahamas</t>
  </si>
  <si>
    <t>Bolivia (Plurinational State of)</t>
  </si>
  <si>
    <t>Czechia</t>
  </si>
  <si>
    <t>Democratic People's Republic of Korea</t>
  </si>
  <si>
    <t>Democratic Republic of the Congo</t>
  </si>
  <si>
    <t>Iran (Islamic Republic of)</t>
  </si>
  <si>
    <t>Lao People's Democratic Republic</t>
  </si>
  <si>
    <t>Micronesia (Federated States of)</t>
  </si>
  <si>
    <t>Republic of Korea</t>
  </si>
  <si>
    <t>Republic of Moldova</t>
  </si>
  <si>
    <t>Saint Kitts and Nevis</t>
  </si>
  <si>
    <t>Saint Vincent and the Grenadines</t>
  </si>
  <si>
    <t>Slovakia</t>
  </si>
  <si>
    <t>Republic of North Macedonia</t>
  </si>
  <si>
    <t>United Kingdom of Great Britain and Northern Ireland</t>
  </si>
  <si>
    <t>United Republic of Tanzania</t>
  </si>
  <si>
    <t>United States of America</t>
  </si>
  <si>
    <t>Venezuela (Bolivarian Republic of)</t>
  </si>
  <si>
    <t>Viet Nam</t>
  </si>
  <si>
    <t>West Bank and Gaza Strip</t>
  </si>
  <si>
    <t>Nurses</t>
  </si>
  <si>
    <t>Description: Number of nurses, midwives, lab staff and phsyicians by country for latest reporting year</t>
  </si>
  <si>
    <t>Growth rate (if missing, use 0)</t>
  </si>
  <si>
    <t>Lab staff in 2020 - data provided</t>
  </si>
  <si>
    <t>Average by income group</t>
  </si>
  <si>
    <t>Tubing, silicone</t>
  </si>
  <si>
    <t>Compressible self-refilling ventilation bag, capacity &gt; 1500 mL, with masks (small, medium, large)</t>
  </si>
  <si>
    <t>Platforms</t>
  </si>
  <si>
    <t>WHO GHO Datasets</t>
  </si>
  <si>
    <t>Of Critical/Severe, % of cases that are Critical:</t>
  </si>
  <si>
    <t>Patient support (Social work &amp; counselling)</t>
  </si>
  <si>
    <t>Hospital support (Medical secretaries)</t>
  </si>
  <si>
    <t>(9112) 3257</t>
  </si>
  <si>
    <t>Nursing professional (Dialysis)</t>
  </si>
  <si>
    <t>2221, 3221</t>
  </si>
  <si>
    <t>Specialist medical practitioner (Radiology)</t>
  </si>
  <si>
    <t>Specialist medical practitioner (Dialysis)</t>
  </si>
  <si>
    <t>Specialist medical practitioner (Critical care)</t>
  </si>
  <si>
    <t>2211, 2240</t>
  </si>
  <si>
    <t>NOT USED</t>
  </si>
  <si>
    <t>Screening / Triage</t>
  </si>
  <si>
    <t>Critical</t>
  </si>
  <si>
    <t>Severe</t>
  </si>
  <si>
    <t>Moderate</t>
  </si>
  <si>
    <t>Mild</t>
  </si>
  <si>
    <t>ILO codes</t>
  </si>
  <si>
    <t>Grouping number</t>
  </si>
  <si>
    <t>Occupational title</t>
  </si>
  <si>
    <t>ID</t>
  </si>
  <si>
    <t>ESFT grouping</t>
  </si>
  <si>
    <t>Patient time per 24hrs by Severity Type</t>
  </si>
  <si>
    <t>Reference</t>
  </si>
  <si>
    <t>This worksheet is for defining your staff categories.  Simplified groups from HWC Need worksheet (external). Patient time is given across different settings, according to staff skills and scope of practice. Note that only hours/day is used in the calculations.</t>
  </si>
  <si>
    <t>Staff Category</t>
  </si>
  <si>
    <t>Y</t>
  </si>
  <si>
    <t>Cleaner</t>
  </si>
  <si>
    <t>Cleaners and Helpers in Offices, Hotels and Other Establishments</t>
  </si>
  <si>
    <t>Domestic, Hotel and Office Cleaners and Helpers</t>
  </si>
  <si>
    <t>Car, Taxi and Van Drivers</t>
  </si>
  <si>
    <t>Car, Van and Motorcycle Drivers</t>
  </si>
  <si>
    <t>Health Care Assistants</t>
  </si>
  <si>
    <t>Personal Care Workers in Health Services</t>
  </si>
  <si>
    <t>Admin</t>
  </si>
  <si>
    <t>Medical Secretaries</t>
  </si>
  <si>
    <t>Administrative and Specialized Secretaries</t>
  </si>
  <si>
    <t>Health Associate Professionals Otherwise Not Classified</t>
  </si>
  <si>
    <t>Other Health Associate Professionals</t>
  </si>
  <si>
    <t>Ambulance Workers</t>
  </si>
  <si>
    <t>Environmental and Occupational Health Inspectors and Associates</t>
  </si>
  <si>
    <t>Medical Assistants</t>
  </si>
  <si>
    <t>Physiotherapy Technicians and Assistants</t>
  </si>
  <si>
    <t>CHW</t>
  </si>
  <si>
    <t>Nursing Associate Professionals</t>
  </si>
  <si>
    <t>Nursing and Midwifery Associate Professionals</t>
  </si>
  <si>
    <t>Pharmaceutical Technicians and Assistants</t>
  </si>
  <si>
    <t>Medical and Pharmaceutical Technicians</t>
  </si>
  <si>
    <t>Medical and Pathology Laboratory Technicians</t>
  </si>
  <si>
    <t>Medical Imaging and Therapeutic Equipment Technicians</t>
  </si>
  <si>
    <t>Social Work and Counseling Professionals</t>
  </si>
  <si>
    <t>Social and Religious Professionals</t>
  </si>
  <si>
    <t>Health Professionals Not Elsewhere Classified</t>
  </si>
  <si>
    <t>Other Health Professionals</t>
  </si>
  <si>
    <t>Dieticians and Nutritionists</t>
  </si>
  <si>
    <t>Physiotherapists</t>
  </si>
  <si>
    <t>Environmental and Occupational Health and Hygiene Professionals</t>
  </si>
  <si>
    <t>Pharmacists</t>
  </si>
  <si>
    <t>Paramedical Practitioners</t>
  </si>
  <si>
    <t>Nursing Professionals</t>
  </si>
  <si>
    <t>Nursing and Midwifery Professionals</t>
  </si>
  <si>
    <t>Specialist Medical Practitioners</t>
  </si>
  <si>
    <t>Medical Doctors</t>
  </si>
  <si>
    <t>Generalist Medical Practitioners</t>
  </si>
  <si>
    <t>esft code?</t>
  </si>
  <si>
    <t>Name</t>
  </si>
  <si>
    <t>Subgroup (code = first 3 digits)</t>
  </si>
  <si>
    <t>ISCO code</t>
  </si>
  <si>
    <t>Calculating weighted average HCW per inpatient bed</t>
  </si>
  <si>
    <t>Of Critical/Severe, % of cases that are Severe</t>
  </si>
  <si>
    <t>Beds in use split</t>
  </si>
  <si>
    <t>Based on admitted patients and time in wards by severity</t>
  </si>
  <si>
    <t>Respirator</t>
  </si>
  <si>
    <t>Mask, medical / surgical for healthworker</t>
  </si>
  <si>
    <t>Mask, medical / surgical for patient</t>
  </si>
  <si>
    <t>Blood Gas Analyser, portable with cartridges and control solutions</t>
  </si>
  <si>
    <t>Infusion pump</t>
  </si>
  <si>
    <t>Contacts per Person per Day</t>
  </si>
  <si>
    <t>Stage</t>
  </si>
  <si>
    <t>World Bank Income Group</t>
  </si>
  <si>
    <t>Health Care Workers (HCW) and Staff</t>
  </si>
  <si>
    <t>Hospital Infrastructure</t>
  </si>
  <si>
    <t>1 shift per day</t>
  </si>
  <si>
    <t>Total number of medical practitioners</t>
  </si>
  <si>
    <t>Total number of Cleaners and Helpers</t>
  </si>
  <si>
    <t>Total number of ambulance personnel</t>
  </si>
  <si>
    <t>For pipe supply</t>
  </si>
  <si>
    <t xml:space="preserve">Filter, heat and moisture exchanger (HMEF), high efficiency, with connectors, for adult </t>
  </si>
  <si>
    <t>Filter, heat and moisture exchanger (HMEF), high efficiency, with connectors, paediatric</t>
  </si>
  <si>
    <t>* For ICU patient ventilator</t>
  </si>
  <si>
    <t xml:space="preserve">Electronic drop counter, IV fluids </t>
  </si>
  <si>
    <r>
      <rPr>
        <sz val="11"/>
        <color theme="1"/>
        <rFont val="Calibri"/>
        <family val="2"/>
        <scheme val="minor"/>
      </rPr>
      <t>Blades of different sizes and according to type of laryngoscope (video vs. direct).</t>
    </r>
    <r>
      <rPr>
        <strike/>
        <sz val="11"/>
        <color theme="1"/>
        <rFont val="Calibri"/>
        <family val="2"/>
        <scheme val="minor"/>
      </rPr>
      <t xml:space="preserve">
Supplied with:
* Blades, Macintosh type (curved): No. 2, length 90 - 110 mm, for child. No. 3, length 110 - 135 mm, for small adult. No. 4, length 135 - 155 mm, for adult.
* Blades, Miller type (straight): No. 1, length 100 mm.
* Heavy-walled plastic or metal case.
* Six compatible batteries in total.</t>
    </r>
  </si>
  <si>
    <t>Laryngoscope (pediatrics)</t>
  </si>
  <si>
    <t xml:space="preserve">Nasal oxygen cannula, with prongs, paediatric </t>
  </si>
  <si>
    <t>Mask, oxygen, with connection tube, reservoir bag and valve, high-concentration single use (adult)</t>
  </si>
  <si>
    <t>Mask, oxygen, with connection tube, reservoir bag and valve, high-concentration single use (paediatric)</t>
  </si>
  <si>
    <t>Venturi Mask, with percent O2 Lock and tubing (adult)</t>
  </si>
  <si>
    <t>Venturi Mask, with percent O2 Lock and tubing (paediatric)</t>
  </si>
  <si>
    <r>
      <rPr>
        <sz val="11"/>
        <color theme="1"/>
        <rFont val="Calibri"/>
        <family val="2"/>
        <scheme val="minor"/>
      </rPr>
      <t>Tubbing and bottles according to type of pump (mechanical or electric).</t>
    </r>
    <r>
      <rPr>
        <strike/>
        <sz val="11"/>
        <color theme="1"/>
        <rFont val="Calibri"/>
        <family val="2"/>
        <scheme val="minor"/>
      </rPr>
      <t xml:space="preserve">
* Supplied with one of:
Collection bottle, 1 or 2 L, autoclavable
Lid and overflow valve
Filters</t>
    </r>
  </si>
  <si>
    <t>Suction pump (paediatric)</t>
  </si>
  <si>
    <t>Colorimetric End Tidal CO2 detector single use (adult)</t>
  </si>
  <si>
    <t>Colorimetric End Tidal CO2 detector single use (paediatric)</t>
  </si>
  <si>
    <t>Endotracheal tube introducer (paediatric)</t>
  </si>
  <si>
    <t>Type and sizes according to specifications.</t>
  </si>
  <si>
    <t>Tube, endotracheal (paediatric)</t>
  </si>
  <si>
    <t>Larygeal mask airway (LMA) (paediatric)</t>
  </si>
  <si>
    <t>Sizes according to specifications.</t>
  </si>
  <si>
    <t>Accessories according to equipment.</t>
  </si>
  <si>
    <t>Drill, for vascular access, w/accessories, w/transport bag</t>
  </si>
  <si>
    <t>Drill, for vascular access, w/accessories adult and paediatric, w/transport bag (paediatric)</t>
  </si>
  <si>
    <t>CPAP, with tubing and patient interfaces, with accessories (paediatric)</t>
  </si>
  <si>
    <t>Pulse oximeter (adult + paediatric probes)</t>
  </si>
  <si>
    <t>Hide</t>
  </si>
  <si>
    <t>Patient ventilator, intensive care, with breathing circuits and patient interface (paediatric)</t>
  </si>
  <si>
    <t>Tube, endotracheal</t>
  </si>
  <si>
    <t>Electrocardiograph, portable w/accessories</t>
  </si>
  <si>
    <t>Severe Bed Cap</t>
  </si>
  <si>
    <t>Critical Bed Cap</t>
  </si>
  <si>
    <t>Critical Beds</t>
  </si>
  <si>
    <t>Above reflects total hospitalizations constrained by hospital bed capacity limitations</t>
  </si>
  <si>
    <t>Above reflects new cases over forecast period with no hospital bed capacity limitations and independent of diagnostic capacity</t>
  </si>
  <si>
    <t>hospital bed capacity limitations and independent of diagnostic capacity</t>
  </si>
  <si>
    <t xml:space="preserve">Above reflects total expected caseload over forecast period with no </t>
  </si>
  <si>
    <t>Adjust bed capacity on 'Input' tab to explore impact of more beds on hospitalizations and concomitant PPE and resource needs</t>
  </si>
  <si>
    <t>User Input Effective Reproduction Number</t>
  </si>
  <si>
    <t>User Input Contacts per Person per Day</t>
  </si>
  <si>
    <t>Stage Start Day</t>
  </si>
  <si>
    <t>Total # of tests by end of week</t>
  </si>
  <si>
    <t>HTP</t>
  </si>
  <si>
    <t>GX</t>
  </si>
  <si>
    <t>Type</t>
  </si>
  <si>
    <t>Ratio</t>
  </si>
  <si>
    <t>COVID-19 Capacity per Week</t>
  </si>
  <si>
    <t>Total Test Capacity</t>
  </si>
  <si>
    <t>Tests Needed</t>
  </si>
  <si>
    <t>Capped by capacity from model</t>
  </si>
  <si>
    <t>Allocated Test Kits</t>
  </si>
  <si>
    <t>Total number of MANUAL PCR tests conducted (capped by testing capacity)</t>
  </si>
  <si>
    <t>100T/kit</t>
  </si>
  <si>
    <t>1T/kit</t>
  </si>
  <si>
    <t>By Week</t>
  </si>
  <si>
    <t>Capacity Available for COVID</t>
  </si>
  <si>
    <t>Calculated Max Testing Capacity/Day</t>
  </si>
  <si>
    <t>Non-invasive ventilation – proportion of flow that is O2 over course of treatment</t>
  </si>
  <si>
    <t>Invasive mechanical ventilation – proportion of flow that is O2 over course of treatment</t>
  </si>
  <si>
    <t>Severe patients require 5-15 LPM.  Median taken.</t>
  </si>
  <si>
    <t>See 'Infrastructure Outputs' table below for bed needs unconstrained by current bed capacity</t>
  </si>
  <si>
    <t>Critical:</t>
  </si>
  <si>
    <t>Refers to Medical and Pathology Laboratory Technicians (ILO ISCO code 3212)</t>
  </si>
  <si>
    <t>OUTPUT for ESFT</t>
  </si>
  <si>
    <t>Estimate from WHO GHO datasets - Refers to Medical and Pathology Laboratory Technicians (ILO ISCO code 3212)</t>
  </si>
  <si>
    <t>Multiplier for reusable PPE</t>
  </si>
  <si>
    <t>This section is based on equipment from Inputs tab, no new inputs required here</t>
  </si>
  <si>
    <t>This section is based on bundles, no inputs required here</t>
  </si>
  <si>
    <t>Commodities and Equipment</t>
  </si>
  <si>
    <r>
      <t xml:space="preserve">These prices are estimates only. Prices are rapidly evolving based on market fluctuations. Users can change the price/unit in blue cells </t>
    </r>
    <r>
      <rPr>
        <sz val="11"/>
        <color theme="1"/>
        <rFont val="Calibri"/>
        <family val="2"/>
      </rPr>
      <t>↓</t>
    </r>
  </si>
  <si>
    <t>Antigua And Barbuda</t>
  </si>
  <si>
    <t>Total number of tests conducted (capped by testing capacity) - ALL PLATFORMS</t>
  </si>
  <si>
    <t>Labs and testing options</t>
  </si>
  <si>
    <t>Testing Algorithm - enter # of tests per case severity for diagnosis and release</t>
  </si>
  <si>
    <t xml:space="preserve">MOVE MODERATE POSITIVE CASES HERE </t>
  </si>
  <si>
    <t>v2 hide</t>
  </si>
  <si>
    <t>v2 Hide</t>
  </si>
  <si>
    <t>Total hospital admissions over forecast period (capped by bed availability)</t>
  </si>
  <si>
    <t xml:space="preserve">     of which critical beds</t>
  </si>
  <si>
    <t>Based on entered or calculated critical care beds</t>
  </si>
  <si>
    <t>Difference between total beds and critical care beds</t>
  </si>
  <si>
    <t>Proxies to use for % of beds that are critical care</t>
  </si>
  <si>
    <t>Imperial College reported % critical care beds</t>
  </si>
  <si>
    <r>
      <t xml:space="preserve">Contacts per person
</t>
    </r>
    <r>
      <rPr>
        <i/>
        <sz val="11"/>
        <color theme="1"/>
        <rFont val="Calibri"/>
        <family val="2"/>
        <scheme val="minor"/>
      </rPr>
      <t>[User-specified average contacts per person per day]</t>
    </r>
  </si>
  <si>
    <r>
      <t xml:space="preserve">Probability Infection
</t>
    </r>
    <r>
      <rPr>
        <i/>
        <sz val="11"/>
        <color theme="1"/>
        <rFont val="Calibri"/>
        <family val="2"/>
        <scheme val="minor"/>
      </rPr>
      <t>[User-specified probability of infection per contact between infectious and susceptible persons]</t>
    </r>
  </si>
  <si>
    <r>
      <t>Susceptible</t>
    </r>
    <r>
      <rPr>
        <i/>
        <sz val="11"/>
        <color theme="1"/>
        <rFont val="Calibri"/>
        <family val="2"/>
        <scheme val="minor"/>
      </rPr>
      <t xml:space="preserve">
[=Previous days Susceptible population - New Infected Cases]
[New Infected Cases = Previous day's Infected Cases * Previous day's Smoothed Infection Rate]</t>
    </r>
  </si>
  <si>
    <r>
      <t xml:space="preserve">Infected
</t>
    </r>
    <r>
      <rPr>
        <i/>
        <sz val="11"/>
        <color theme="1"/>
        <rFont val="Calibri"/>
        <family val="2"/>
        <scheme val="minor"/>
      </rPr>
      <t>[=Previous day's Infected Cases + New Infected Cases - New Recovered Cases ]
[New Infected Cases = Previous day's Infected Cases * Previous day's Smoothed Infection Rate]
[New Recovered Cases = Previous day's Infected Cases * Recovery rate per day]</t>
    </r>
  </si>
  <si>
    <r>
      <t xml:space="preserve">Recovered
</t>
    </r>
    <r>
      <rPr>
        <i/>
        <sz val="11"/>
        <color theme="1"/>
        <rFont val="Calibri"/>
        <family val="2"/>
        <scheme val="minor"/>
      </rPr>
      <t>[=Previous day's Recovered Cases +  New Recovered Cases ]
[New Recovered Cases = Previous day's Infected Cases * Recovery rate per day]</t>
    </r>
  </si>
  <si>
    <t>How many stages would you like to specify? (Minimum: 1, Maximum: 5)</t>
  </si>
  <si>
    <r>
      <t xml:space="preserve">Recovery Rate per Day
</t>
    </r>
    <r>
      <rPr>
        <i/>
        <sz val="11"/>
        <color theme="1"/>
        <rFont val="Calibri"/>
        <family val="2"/>
        <scheme val="minor"/>
      </rPr>
      <t>[=1 / days in infectious period]</t>
    </r>
  </si>
  <si>
    <r>
      <t>Infection Rate
[</t>
    </r>
    <r>
      <rPr>
        <i/>
        <sz val="11"/>
        <color theme="1"/>
        <rFont val="Calibri"/>
        <family val="2"/>
        <scheme val="minor"/>
      </rPr>
      <t>= (contacts per person per day * probability of infection per contact) / (persons in population)]</t>
    </r>
  </si>
  <si>
    <r>
      <t xml:space="preserve">Smoothed Infection Rate 
(5 day average)
</t>
    </r>
    <r>
      <rPr>
        <i/>
        <sz val="11"/>
        <color theme="1"/>
        <rFont val="Calibri"/>
        <family val="2"/>
        <scheme val="minor"/>
      </rPr>
      <t>[=Average infection rate over the past 5 days]</t>
    </r>
  </si>
  <si>
    <r>
      <t xml:space="preserve">% HCW </t>
    </r>
    <r>
      <rPr>
        <u/>
        <sz val="11"/>
        <color theme="1"/>
        <rFont val="Calibri"/>
        <family val="2"/>
        <scheme val="minor"/>
      </rPr>
      <t>not activated</t>
    </r>
    <r>
      <rPr>
        <sz val="11"/>
        <color theme="1"/>
        <rFont val="Calibri"/>
        <family val="2"/>
        <scheme val="minor"/>
      </rPr>
      <t xml:space="preserve"> for COVID-19 care</t>
    </r>
  </si>
  <si>
    <t>Number available for COVID-19</t>
  </si>
  <si>
    <t>Total hospital beds in country</t>
  </si>
  <si>
    <t>Calculated from beds used for critical care and those not used for COVID-19</t>
  </si>
  <si>
    <t>SIR Model Patient Calculations</t>
  </si>
  <si>
    <t>This tab contains the backend calculations that drive the SIR model case number estimation.</t>
  </si>
  <si>
    <t>Infectious Period (days):</t>
  </si>
  <si>
    <t>Probability of infection per contact between susceptible and infected persons:</t>
  </si>
  <si>
    <t>SIR Model Step 1:</t>
  </si>
  <si>
    <t>SIR Model Step 2:</t>
  </si>
  <si>
    <t xml:space="preserve"> </t>
  </si>
  <si>
    <t xml:space="preserve">Sources: growth rates: Source: World Bank population data - https://data.worldbank.org/indicator/SP.POP.GROW, Description: Annual population growth rate by country for 1960 to 2018 </t>
  </si>
  <si>
    <t>Calculating split of HCWs for inpatient vs. outpatient for HCWs working on COVID</t>
  </si>
  <si>
    <t>Probability of a new case being outpatient</t>
  </si>
  <si>
    <t>Probability of a new case being inpatient</t>
  </si>
  <si>
    <t>HCWs required per outpatient</t>
  </si>
  <si>
    <t>HCWs required per inpatient</t>
  </si>
  <si>
    <t>Per new case, ratio of HCWs for inpatient vs. outpatient</t>
  </si>
  <si>
    <t>Absolute # of beds</t>
  </si>
  <si>
    <t>Absolute # of HCW</t>
  </si>
  <si>
    <t>Dashboard Quick Navigation</t>
  </si>
  <si>
    <t>Back to top</t>
  </si>
  <si>
    <t>Patient Calcs Quick Nav</t>
  </si>
  <si>
    <t>Go to top of sheet</t>
  </si>
  <si>
    <t>High-Level Summary</t>
  </si>
  <si>
    <t>Commodity Quantification</t>
  </si>
  <si>
    <t>Back to Inputs</t>
  </si>
  <si>
    <t>Back to User Dashboard</t>
  </si>
  <si>
    <r>
      <t xml:space="preserve">% treating </t>
    </r>
    <r>
      <rPr>
        <u/>
        <sz val="11"/>
        <color theme="1"/>
        <rFont val="Calibri"/>
        <family val="2"/>
        <scheme val="minor"/>
      </rPr>
      <t>hospitalized</t>
    </r>
    <r>
      <rPr>
        <sz val="11"/>
        <color theme="1"/>
        <rFont val="Calibri"/>
        <family val="2"/>
        <scheme val="minor"/>
      </rPr>
      <t xml:space="preserve"> COVID-19 </t>
    </r>
    <r>
      <rPr>
        <u/>
        <sz val="11"/>
        <color theme="1"/>
        <rFont val="Calibri"/>
        <family val="2"/>
        <scheme val="minor"/>
      </rPr>
      <t>inpatients</t>
    </r>
  </si>
  <si>
    <t>'Inputs' tab</t>
  </si>
  <si>
    <t>This is a new tab in v2 of the tool, and it consolidates many of the inputs that were previously locked to the user and spread across other tabs. Users now have significantly more flexibility when it comes to using the tool.</t>
  </si>
  <si>
    <t>Sections</t>
  </si>
  <si>
    <t>Explanation of Inputs</t>
  </si>
  <si>
    <t>Users can select the country they wish to quantify commodities for. Select the "Manual" radio button for sub-national forecasting and enter in the population size</t>
  </si>
  <si>
    <t>'User Dashboard' tab</t>
  </si>
  <si>
    <t>This is the tab for users of the tool to toggle various epidemic scenarios and view the impact on commodity quantification. It also summarizes the key quantification outputs graphically and in table format</t>
  </si>
  <si>
    <t>Infections &amp; Growth Rate</t>
  </si>
  <si>
    <t>This section allows the user to define how they want to model the trajectory of the epidemic.</t>
  </si>
  <si>
    <r>
      <rPr>
        <b/>
        <sz val="11"/>
        <rFont val="Calibri"/>
        <family val="2"/>
        <scheme val="minor"/>
      </rPr>
      <t>Clinical Attack Rate:</t>
    </r>
    <r>
      <rPr>
        <sz val="11"/>
        <rFont val="Calibri"/>
        <family val="2"/>
        <scheme val="minor"/>
      </rPr>
      <t xml:space="preserve"> The rate at which the population is symptomatically infected. The tool has five pre-set options including a manual choice</t>
    </r>
  </si>
  <si>
    <r>
      <rPr>
        <b/>
        <sz val="11"/>
        <rFont val="Calibri"/>
        <family val="2"/>
        <scheme val="minor"/>
      </rPr>
      <t>Doubling Rate (Days)</t>
    </r>
    <r>
      <rPr>
        <sz val="11"/>
        <rFont val="Calibri"/>
        <family val="2"/>
        <scheme val="minor"/>
      </rPr>
      <t xml:space="preserve">: The rate at which the number of cases doubles in a given country (in days not weeks). The tool has 7 pre-set options including a manual choice and a "combined" doubling rate that changes over time </t>
    </r>
  </si>
  <si>
    <t>Testing Strategy</t>
  </si>
  <si>
    <t>This section allows the user to define and customize the testing strategy and algorithm used in country</t>
  </si>
  <si>
    <r>
      <t>'Equipment List &amp; Usage'</t>
    </r>
    <r>
      <rPr>
        <b/>
        <i/>
        <sz val="12"/>
        <color theme="0"/>
        <rFont val="Calibri"/>
        <family val="2"/>
        <scheme val="minor"/>
      </rPr>
      <t xml:space="preserve"> </t>
    </r>
    <r>
      <rPr>
        <b/>
        <sz val="12"/>
        <color theme="0"/>
        <rFont val="Calibri"/>
        <family val="2"/>
        <scheme val="minor"/>
      </rPr>
      <t>tab</t>
    </r>
  </si>
  <si>
    <t>Care Setting Descriptions:</t>
  </si>
  <si>
    <r>
      <rPr>
        <u/>
        <sz val="11"/>
        <color theme="1"/>
        <rFont val="Calibri"/>
        <family val="2"/>
        <scheme val="minor"/>
      </rPr>
      <t>HCW</t>
    </r>
    <r>
      <rPr>
        <sz val="11"/>
        <color theme="1"/>
        <rFont val="Calibri"/>
        <family val="2"/>
        <scheme val="minor"/>
      </rPr>
      <t>: medical practitioners, including physicians, nursing professionals, and paramedical practitioners (ILO ISCO codes 2240, 2211, 2212, 2221, 3221, 5321, 3256)</t>
    </r>
  </si>
  <si>
    <r>
      <rPr>
        <u/>
        <sz val="11"/>
        <color theme="1"/>
        <rFont val="Calibri"/>
        <family val="2"/>
        <scheme val="minor"/>
      </rPr>
      <t>Cleaners</t>
    </r>
    <r>
      <rPr>
        <sz val="11"/>
        <color theme="1"/>
        <rFont val="Calibri"/>
        <family val="2"/>
        <scheme val="minor"/>
      </rPr>
      <t>: cleaners and helpers (ILO ISCO code 9112)</t>
    </r>
  </si>
  <si>
    <r>
      <rPr>
        <u/>
        <sz val="11"/>
        <color theme="1"/>
        <rFont val="Calibri"/>
        <family val="2"/>
        <scheme val="minor"/>
      </rPr>
      <t>Ambulancier</t>
    </r>
    <r>
      <rPr>
        <sz val="11"/>
        <color theme="1"/>
        <rFont val="Calibri"/>
        <family val="2"/>
        <scheme val="minor"/>
      </rPr>
      <t>: emergency paramedics and drivers (ILO ISCO codes 8322, 3258)</t>
    </r>
  </si>
  <si>
    <r>
      <rPr>
        <u/>
        <sz val="11"/>
        <color theme="1"/>
        <rFont val="Calibri"/>
        <family val="2"/>
        <scheme val="minor"/>
      </rPr>
      <t>Patient</t>
    </r>
    <r>
      <rPr>
        <sz val="11"/>
        <color theme="1"/>
        <rFont val="Calibri"/>
        <family val="2"/>
        <scheme val="minor"/>
      </rPr>
      <t>: suspected case or person diagnosed with COVID-19 (can be further defined as a severe or critical or applicable to both)</t>
    </r>
  </si>
  <si>
    <r>
      <rPr>
        <u/>
        <sz val="11"/>
        <color theme="1"/>
        <rFont val="Calibri"/>
        <family val="2"/>
        <scheme val="minor"/>
      </rPr>
      <t>Bed</t>
    </r>
    <r>
      <rPr>
        <sz val="11"/>
        <color theme="1"/>
        <rFont val="Calibri"/>
        <family val="2"/>
        <scheme val="minor"/>
      </rPr>
      <t>: equipment needed per patient bed (can be further defined as a severe or critical or applicable to both)</t>
    </r>
  </si>
  <si>
    <t>The below tabs do not have user inputs (aside from the 'Patient Calcs' tab for users manually editing the number of cases/week). However, see the descriptions below for a brief overview of each tab.</t>
  </si>
  <si>
    <t>Hospitalized inpatient care</t>
  </si>
  <si>
    <t># per patient</t>
  </si>
  <si>
    <t>Health Care Workers and Staff</t>
  </si>
  <si>
    <t>Users designate the number of hospital beds available for the COVID-19 response, including what portion can be used for critical patients needing ventilation</t>
  </si>
  <si>
    <t>Users designate the number of health care workers and staff for the COVID-19 response, as well as staff to patient and staff to bed ratios</t>
  </si>
  <si>
    <t>Testing</t>
  </si>
  <si>
    <t>Existing lab capacity</t>
  </si>
  <si>
    <t>Monitoring</t>
  </si>
  <si>
    <t>Laryngeal mask airway (LMA)</t>
  </si>
  <si>
    <r>
      <t xml:space="preserve">% </t>
    </r>
    <r>
      <rPr>
        <u/>
        <sz val="11"/>
        <color theme="1"/>
        <rFont val="Calibri"/>
        <family val="2"/>
        <scheme val="minor"/>
      </rPr>
      <t>Critical</t>
    </r>
    <r>
      <rPr>
        <sz val="11"/>
        <color theme="1"/>
        <rFont val="Calibri"/>
        <family val="2"/>
        <scheme val="minor"/>
      </rPr>
      <t xml:space="preserve"> (inpatient, ventilation)</t>
    </r>
  </si>
  <si>
    <t>Estimated # of negatives per positive test</t>
  </si>
  <si>
    <t>For diagnosis</t>
  </si>
  <si>
    <t>For release</t>
  </si>
  <si>
    <t>For near patient PCR machine - RT-PCR cartridge</t>
  </si>
  <si>
    <t>RT-PCR reaction kit (manual)</t>
  </si>
  <si>
    <t>Income Status</t>
  </si>
  <si>
    <t>Oxygen therapy</t>
  </si>
  <si>
    <t>Airway Management &amp; Intubation</t>
  </si>
  <si>
    <t>Mechanical Ventilation</t>
  </si>
  <si>
    <t>Non-Invasive Ventilation</t>
  </si>
  <si>
    <t>IV Infusion</t>
  </si>
  <si>
    <t>Blood Chemistry</t>
  </si>
  <si>
    <t>Imaging</t>
  </si>
  <si>
    <t>ICU</t>
  </si>
  <si>
    <t>Sterilization</t>
  </si>
  <si>
    <t>Case management - biomedical equipment</t>
  </si>
  <si>
    <t>Case management - accessories &amp; consumables</t>
  </si>
  <si>
    <t>Oxygen delivery devices</t>
  </si>
  <si>
    <t>Gastro-enteral feeding</t>
  </si>
  <si>
    <t>Blades of different sizes and according to type of laryngoscope (video vs. direct)</t>
  </si>
  <si>
    <t>Bed capping is used to constrain the number of admitted patients, and the number of patients in a bed receiving treatment at any time. Forecasting of supplies is limited to the number of patients/beds/HCWs etc. that can be treated based on bed caps provided. If no severe/critical beds are entered below, no equipment will be forecasted for those beds/patients.</t>
  </si>
  <si>
    <t>Reference values for:</t>
  </si>
  <si>
    <r>
      <t xml:space="preserve">Select box to use reference values for all inputs below 
(deselect to manually enter inputs in all blue cells) </t>
    </r>
    <r>
      <rPr>
        <b/>
        <sz val="11"/>
        <color theme="4"/>
        <rFont val="Calibri"/>
        <family val="2"/>
      </rPr>
      <t>→</t>
    </r>
  </si>
  <si>
    <t># Roche 6800 platforms</t>
  </si>
  <si>
    <t># Roche 8800 platforms</t>
  </si>
  <si>
    <t># Abbott m2000 platforms</t>
  </si>
  <si>
    <t># Hologic Panther platforms</t>
  </si>
  <si>
    <t># Hologic Panther Fusion platforms</t>
  </si>
  <si>
    <r>
      <t xml:space="preserve"># Cepheid GeneXpert </t>
    </r>
    <r>
      <rPr>
        <i/>
        <sz val="11"/>
        <color theme="1"/>
        <rFont val="Calibri"/>
        <family val="2"/>
        <scheme val="minor"/>
      </rPr>
      <t>modules</t>
    </r>
    <r>
      <rPr>
        <sz val="11"/>
        <color theme="1"/>
        <rFont val="Calibri"/>
        <family val="2"/>
        <scheme val="minor"/>
      </rPr>
      <t/>
    </r>
  </si>
  <si>
    <t>Manual platforms available for COVID-19</t>
  </si>
  <si>
    <t>Near-patient PCR machines available for COVID-19</t>
  </si>
  <si>
    <t>High-throughput conventional platforms available for COVID-19</t>
  </si>
  <si>
    <t>Shifts/day (near-patient)</t>
  </si>
  <si>
    <t>Days/week (near-patient)</t>
  </si>
  <si>
    <t>WHO recommendation for sample transport</t>
  </si>
  <si>
    <t>WHO recommendation for safe sharp disposal</t>
  </si>
  <si>
    <r>
      <t xml:space="preserve">Based on existing platforms as entered above </t>
    </r>
    <r>
      <rPr>
        <sz val="10"/>
        <color theme="1"/>
        <rFont val="Calibri"/>
        <family val="2"/>
      </rPr>
      <t>↑</t>
    </r>
  </si>
  <si>
    <t>Other platforms available for COVID-19</t>
  </si>
  <si>
    <t># Platforms</t>
  </si>
  <si>
    <t>Daily capacity for COVID (per "other" platform)</t>
  </si>
  <si>
    <t xml:space="preserve">Specify the parameter selected in Step 2 for each stage of the outbreak. </t>
  </si>
  <si>
    <t>Stage 1 is generated from the parameters provided in Step 1 and no further input is needed.</t>
  </si>
  <si>
    <r>
      <t>Specify SIR model using which parameter?</t>
    </r>
    <r>
      <rPr>
        <i/>
        <sz val="11"/>
        <color theme="1"/>
        <rFont val="Calibri"/>
        <family val="2"/>
        <scheme val="minor"/>
      </rPr>
      <t xml:space="preserve"> (select only one)</t>
    </r>
    <r>
      <rPr>
        <sz val="11"/>
        <color theme="1"/>
        <rFont val="Calibri"/>
        <family val="2"/>
        <scheme val="minor"/>
      </rPr>
      <t xml:space="preserve">
</t>
    </r>
    <r>
      <rPr>
        <i/>
        <sz val="11"/>
        <color theme="1"/>
        <rFont val="Calibri"/>
        <family val="2"/>
        <scheme val="minor"/>
      </rPr>
      <t>Note: If only one stage will be used, parameter selection will have no impact on case estimation.</t>
    </r>
  </si>
  <si>
    <t>Reproduction Number (Number of persons infected by each case)</t>
  </si>
  <si>
    <t>Reproduction Number</t>
  </si>
  <si>
    <t>*</t>
  </si>
  <si>
    <t>HCW performing mostly inpatient tasks with severe and critical patients (e.g., management of respiratory failure and critical care monitoring)</t>
  </si>
  <si>
    <t>Links to equipment sections</t>
  </si>
  <si>
    <t>Links to care settings</t>
  </si>
  <si>
    <t>Inpatient care</t>
  </si>
  <si>
    <t>Screening/triage</t>
  </si>
  <si>
    <t>Links to drugs/ consumables list</t>
  </si>
  <si>
    <t>Total number of health care workers</t>
  </si>
  <si>
    <t>Total number of cleaners</t>
  </si>
  <si>
    <t>World Bank estimate for total hospital beds (enter 10,000,000 for unconstrained scenario to model needs of treating all severe/critical cases as inpatients)</t>
  </si>
  <si>
    <t>Calculates PPE for lab staff based on number of labs</t>
  </si>
  <si>
    <t>Calculates PPE for lab cleaners based on number of labs</t>
  </si>
  <si>
    <t>Only for manual test kits and commodities</t>
  </si>
  <si>
    <t>Below this line - items removed from v2</t>
  </si>
  <si>
    <t>Shifts/day (high-throughput conventional)</t>
  </si>
  <si>
    <t>Days/week (high-throughput conventional)</t>
  </si>
  <si>
    <t>Testing Strategy for mild/moderate presenting cases (see comment)</t>
  </si>
  <si>
    <t>% suspected/mild/moderate tested (if targeted testing)</t>
  </si>
  <si>
    <t>Total tests/case</t>
  </si>
  <si>
    <t>Curves appear to flatten if max number of HCWs or inpatient hospital beds are in use</t>
  </si>
  <si>
    <t>Note if this is set to 1, this pushes the forecast period out 1 week to factor in delivery time</t>
  </si>
  <si>
    <t>OUT = not a country</t>
  </si>
  <si>
    <t>Takes reported value if known; if not takes global average per capita</t>
  </si>
  <si>
    <t>Based on beds/1000 and population size</t>
  </si>
  <si>
    <t>Average for world from WB</t>
  </si>
  <si>
    <t>Based on WB data in "WB HCW &amp; Beds" tab</t>
  </si>
  <si>
    <t>Number of nurses</t>
  </si>
  <si>
    <t>From "HCW + Staff Summary" tab; note if "Manual" population entry takes global average # per 1000 population</t>
  </si>
  <si>
    <t>Not included in v2 ESFT</t>
  </si>
  <si>
    <t>Based on ratio of cleaners toinpatient beds (as entered in Inputs)</t>
  </si>
  <si>
    <t>Jump to sections:</t>
  </si>
  <si>
    <t>Staff &amp; Infrastructure assumptions</t>
  </si>
  <si>
    <t>Oxygen</t>
  </si>
  <si>
    <t>Patients</t>
  </si>
  <si>
    <t>Diagnostics footprint</t>
  </si>
  <si>
    <t>Laryngoscope (direct or video type)</t>
  </si>
  <si>
    <t>Patient ventilator, intensive care, with breathing circuits and patient interface</t>
  </si>
  <si>
    <t>CPAP, with tubing and patient interfaces, with accessories</t>
  </si>
  <si>
    <r>
      <t>Patient monitor, multiparametric</t>
    </r>
    <r>
      <rPr>
        <b/>
        <sz val="11"/>
        <color theme="1"/>
        <rFont val="Calibri"/>
        <family val="2"/>
        <scheme val="minor"/>
      </rPr>
      <t xml:space="preserve"> with ECG</t>
    </r>
    <r>
      <rPr>
        <sz val="11"/>
        <color theme="1"/>
        <rFont val="Calibri"/>
        <family val="2"/>
        <scheme val="minor"/>
      </rPr>
      <t>, with accessories</t>
    </r>
  </si>
  <si>
    <r>
      <t xml:space="preserve">Patient monitor, multiparametric </t>
    </r>
    <r>
      <rPr>
        <b/>
        <sz val="11"/>
        <color theme="1"/>
        <rFont val="Calibri"/>
        <family val="2"/>
        <scheme val="minor"/>
      </rPr>
      <t>without ECG</t>
    </r>
    <r>
      <rPr>
        <sz val="11"/>
        <color theme="1"/>
        <rFont val="Calibri"/>
        <family val="2"/>
        <scheme val="minor"/>
      </rPr>
      <t>, with accessories</t>
    </r>
  </si>
  <si>
    <t>It includes all accessories for operation</t>
  </si>
  <si>
    <t>High Flow Nasal Cannula, with tubing and patient interfaces</t>
  </si>
  <si>
    <t>Bubble humidifier, non-heated</t>
  </si>
  <si>
    <t>For critical patient ventilator</t>
  </si>
  <si>
    <t>Supplied with one spare:
Rechargeable battery</t>
  </si>
  <si>
    <t>Supplied with one of:
LINEAR TRANSDUCER 5.0-7.5 MHz;
PHASED ARRAY CARDIAC TRANSDUCER 5.0-7.5 MHz</t>
  </si>
  <si>
    <t>Supplied with one of:
Accessories for use with both adults and paediatrics
TRAINING KIT</t>
  </si>
  <si>
    <t>Supplied with one of:
PATIENT CABLE 10 leads,
SET SUCTION ELECTRODES, reusable
ELECTRODES CLIP, limb, set 4 pcs/colours</t>
  </si>
  <si>
    <t>Supplied with connector to oxygen source.</t>
  </si>
  <si>
    <r>
      <t>Supplied with one of:
- CUFF ADULT M, 23-33cm
- CUFF ADULT L, 31-40cm
- CUFF CHILD, 12-19cm</t>
    </r>
    <r>
      <rPr>
        <sz val="11"/>
        <color theme="1"/>
        <rFont val="Calibri"/>
        <family val="2"/>
        <scheme val="minor"/>
      </rPr>
      <t xml:space="preserve">
- TUBING NIBP adult/child
- SENSOR SPO2, adult</t>
    </r>
  </si>
  <si>
    <t>Automated Calculations: Exponential Growth</t>
  </si>
  <si>
    <t>Week for Calculation</t>
  </si>
  <si>
    <t>To see the exponential growth patient calculations, see row 186</t>
  </si>
  <si>
    <r>
      <rPr>
        <u/>
        <sz val="11"/>
        <color theme="1"/>
        <rFont val="Calibri"/>
        <family val="2"/>
        <scheme val="minor"/>
      </rPr>
      <t>Severe</t>
    </r>
    <r>
      <rPr>
        <sz val="11"/>
        <color theme="1"/>
        <rFont val="Calibri"/>
        <family val="2"/>
        <scheme val="minor"/>
      </rPr>
      <t xml:space="preserve"> case (hospitalized duration)</t>
    </r>
  </si>
  <si>
    <r>
      <rPr>
        <u/>
        <sz val="11"/>
        <color theme="1"/>
        <rFont val="Calibri"/>
        <family val="2"/>
        <scheme val="minor"/>
      </rPr>
      <t>Critical</t>
    </r>
    <r>
      <rPr>
        <sz val="11"/>
        <color theme="1"/>
        <rFont val="Calibri"/>
        <family val="2"/>
        <scheme val="minor"/>
      </rPr>
      <t xml:space="preserve"> case (hospitalized duration)</t>
    </r>
  </si>
  <si>
    <t># HCWs in the country/region</t>
  </si>
  <si>
    <t>Screening and triage</t>
  </si>
  <si>
    <t>Cases screened/triaged per HCW per day</t>
  </si>
  <si>
    <t>HCW ratio based on 8-hour shifts per bed per day</t>
  </si>
  <si>
    <t xml:space="preserve">Cleaner ratio based on 8-hour shifts per bed per day </t>
  </si>
  <si>
    <t>WHO recommendation based on incubation period of COVID-19 and case management guidelines</t>
  </si>
  <si>
    <r>
      <t xml:space="preserve"># of informal caregivers for </t>
    </r>
    <r>
      <rPr>
        <u/>
        <sz val="11"/>
        <color theme="1"/>
        <rFont val="Calibri"/>
        <family val="2"/>
        <scheme val="minor"/>
      </rPr>
      <t>severe/critical patients treated in hospital</t>
    </r>
  </si>
  <si>
    <t>Informal caregiver</t>
  </si>
  <si>
    <t>Laboratory technician</t>
  </si>
  <si>
    <t>Health workforce</t>
  </si>
  <si>
    <t># Hospital beds in-country (all levels of care)</t>
  </si>
  <si>
    <r>
      <t xml:space="preserve">% Available for </t>
    </r>
    <r>
      <rPr>
        <u/>
        <sz val="11"/>
        <color theme="1"/>
        <rFont val="Calibri"/>
        <family val="2"/>
        <scheme val="minor"/>
      </rPr>
      <t>severe</t>
    </r>
    <r>
      <rPr>
        <sz val="11"/>
        <color theme="1"/>
        <rFont val="Calibri"/>
        <family val="2"/>
        <scheme val="minor"/>
      </rPr>
      <t xml:space="preserve"> patients</t>
    </r>
  </si>
  <si>
    <r>
      <t xml:space="preserve">% Available for </t>
    </r>
    <r>
      <rPr>
        <u/>
        <sz val="11"/>
        <color theme="1"/>
        <rFont val="Calibri"/>
        <family val="2"/>
        <scheme val="minor"/>
      </rPr>
      <t>critical</t>
    </r>
    <r>
      <rPr>
        <sz val="11"/>
        <color theme="1"/>
        <rFont val="Calibri"/>
        <family val="2"/>
        <scheme val="minor"/>
      </rPr>
      <t xml:space="preserve"> patients</t>
    </r>
  </si>
  <si>
    <t># Hospital beds per care unit</t>
  </si>
  <si>
    <t>Used to estimate equipment/accessories that can be shared by multiple beds in a unit, such as a vascular drill.</t>
  </si>
  <si>
    <t># HCWs per bed</t>
  </si>
  <si>
    <t># Cleaners per bed</t>
  </si>
  <si>
    <t># Ambulance Personnel per bed</t>
  </si>
  <si>
    <t xml:space="preserve">Note that the number of staff required for inpatient, screening/triage, and laboratories are capped at the maximum number in operation in each country and allocated to COVID.  </t>
  </si>
  <si>
    <t>Screening/Triage</t>
  </si>
  <si>
    <t>Total number of informal caregivers</t>
  </si>
  <si>
    <t>Isolation for mild + moderate patients</t>
  </si>
  <si>
    <r>
      <t xml:space="preserve">Capped # of HCWs for </t>
    </r>
    <r>
      <rPr>
        <u/>
        <sz val="11"/>
        <color theme="1"/>
        <rFont val="Calibri"/>
        <family val="2"/>
        <scheme val="minor"/>
      </rPr>
      <t>screening/triage</t>
    </r>
  </si>
  <si>
    <t>[BE] I have changed this to subtract the delivery week lag because this pushes forecasts 1 week into the future</t>
  </si>
  <si>
    <t>The estimated number of HCWs required to treat inpatients and test suspected cases, based on the ratio of HCWs/patients is:</t>
  </si>
  <si>
    <t>This tab calculates the number of staff and HCWs needed each week (not cumulative, but HCW and staff in operation in any given week)</t>
  </si>
  <si>
    <t>This tab also calculates the number of lab tests required per week under a range of testing scenarios</t>
  </si>
  <si>
    <t>Ambulance personnel</t>
  </si>
  <si>
    <t>Biomedical engineer ratio assumes 2 biomedical engineers (on 8-hour shifts) per 100 bed hospital</t>
  </si>
  <si>
    <t>Ambulance personnel ratio assumes 1 ambulance per 100 bed hospital with 2 operators (paramedic + driver) at all times (3x 8 hour shifts) so 6/100 beds</t>
  </si>
  <si>
    <t>Biomedical Engineers</t>
  </si>
  <si>
    <t>Biomedical engineer</t>
  </si>
  <si>
    <t>Total number of biomedical engineers</t>
  </si>
  <si>
    <t># Biomedical Engineers per bed</t>
  </si>
  <si>
    <t>Patient Numbers and Bed Availability</t>
  </si>
  <si>
    <t>Isolation</t>
  </si>
  <si>
    <t>Note that most diagnostic machines will require servicing and maintenance by trained engineer staff, although the number required is not quantified in this version of the tool.</t>
  </si>
  <si>
    <t># Lab staff per lab</t>
  </si>
  <si>
    <t># Cleaners per lab</t>
  </si>
  <si>
    <t># Safety boxes per hospital care unit per week</t>
  </si>
  <si>
    <t># Triple packaging per hospital care unit</t>
  </si>
  <si>
    <t>% Wastage of manual testing kits</t>
  </si>
  <si>
    <t># Labs conducting COVID-19 testing</t>
  </si>
  <si>
    <t>% High-throughput capacity for COVID-19</t>
  </si>
  <si>
    <t>% Near-patient capacity for COVID-19</t>
  </si>
  <si>
    <t>% Manual capacity for COVID-19</t>
  </si>
  <si>
    <t># Manual real-time PCR platforms</t>
  </si>
  <si>
    <t>Enter number of modules, not platforms (e.g., if you have 3 systems with a 2-module configuration and 5 systems with a 4-module configuration, enter "26")</t>
  </si>
  <si>
    <r>
      <t xml:space="preserve">% </t>
    </r>
    <r>
      <rPr>
        <u/>
        <sz val="11"/>
        <color theme="1"/>
        <rFont val="Calibri"/>
        <family val="2"/>
        <scheme val="minor"/>
      </rPr>
      <t>Not allocated</t>
    </r>
    <r>
      <rPr>
        <sz val="11"/>
        <color theme="1"/>
        <rFont val="Calibri"/>
        <family val="2"/>
        <scheme val="minor"/>
      </rPr>
      <t xml:space="preserve"> for COVID-19</t>
    </r>
  </si>
  <si>
    <t>Number of additional beds needed to treat all severe patients who need them</t>
  </si>
  <si>
    <t>Total number of severe patients admitted and in a bed (capped by bed availability)</t>
  </si>
  <si>
    <t>Total number of critical patients admitted and in a bed (capped by bed availability)</t>
  </si>
  <si>
    <t>Number of additional beds needed to treat all critical patients who need them</t>
  </si>
  <si>
    <t>Informal caregivers</t>
  </si>
  <si>
    <r>
      <rPr>
        <u/>
        <sz val="11"/>
        <color theme="1"/>
        <rFont val="Calibri"/>
        <family val="2"/>
        <scheme val="minor"/>
      </rPr>
      <t>Severe</t>
    </r>
    <r>
      <rPr>
        <sz val="11"/>
        <color theme="1"/>
        <rFont val="Calibri"/>
        <family val="2"/>
        <scheme val="minor"/>
      </rPr>
      <t xml:space="preserve"> fatality rate (%)</t>
    </r>
  </si>
  <si>
    <r>
      <rPr>
        <u/>
        <sz val="11"/>
        <color theme="1"/>
        <rFont val="Calibri"/>
        <family val="2"/>
        <scheme val="minor"/>
      </rPr>
      <t>Critical</t>
    </r>
    <r>
      <rPr>
        <sz val="11"/>
        <color theme="1"/>
        <rFont val="Calibri"/>
        <family val="2"/>
        <scheme val="minor"/>
      </rPr>
      <t xml:space="preserve"> fatality rate (%)</t>
    </r>
  </si>
  <si>
    <t>Manual platforms to add for COVID-19</t>
  </si>
  <si>
    <t># Additional thermocyclers needed</t>
  </si>
  <si>
    <t>Thermocyclers for RT-PCR</t>
  </si>
  <si>
    <t>Near patient PCR machine, 2 modules instrument</t>
  </si>
  <si>
    <t>Near patient PCR machine, 4 modules instrument</t>
  </si>
  <si>
    <t>Additional daily capacity from new platforms</t>
  </si>
  <si>
    <t>Additional Platforms/Modules</t>
  </si>
  <si>
    <t>Near-patient PCR machines to add for COVID-19 (platforms not modules)</t>
  </si>
  <si>
    <t>GX mods</t>
  </si>
  <si>
    <t>Manual plats</t>
  </si>
  <si>
    <t>Additional Capacity calcs</t>
  </si>
  <si>
    <t>Daily capa</t>
  </si>
  <si>
    <r>
      <t xml:space="preserve"># Additional Cepheid GeneXpert 2-module </t>
    </r>
    <r>
      <rPr>
        <i/>
        <sz val="10.5"/>
        <color theme="1"/>
        <rFont val="Calibri"/>
        <family val="2"/>
        <scheme val="minor"/>
      </rPr>
      <t>systems</t>
    </r>
  </si>
  <si>
    <r>
      <t xml:space="preserve"># Additional Cepheid GeneXpert 4-module </t>
    </r>
    <r>
      <rPr>
        <i/>
        <sz val="10.5"/>
        <color theme="1"/>
        <rFont val="Calibri"/>
        <family val="2"/>
        <scheme val="minor"/>
      </rPr>
      <t>systems</t>
    </r>
  </si>
  <si>
    <r>
      <t xml:space="preserve">Based on additional platforms as entered above </t>
    </r>
    <r>
      <rPr>
        <sz val="10"/>
        <color theme="1"/>
        <rFont val="Calibri"/>
        <family val="2"/>
      </rPr>
      <t>↑</t>
    </r>
  </si>
  <si>
    <t>GeneXpert modules</t>
  </si>
  <si>
    <t>Airway, nasopharyngeal, sterile, single use, set with sizes of: 20 Fr, 22 Fr, 24 Fr, 26 Fr, 28 Fr, 30 Fr, 32 Fr, 34 Fr, 36 Fr</t>
  </si>
  <si>
    <t>Airway, oropharyngeal, Guedel, set with sizes of: No. 2 (70 mm), No. 3 (80 mm), No. 4 (90 mm), No. 5 (100 mm)</t>
  </si>
  <si>
    <t>"Max Tests per Day" Module</t>
  </si>
  <si>
    <t>"Additional Capacity per Day" Module</t>
  </si>
  <si>
    <t>Care Staff &amp; Patients</t>
  </si>
  <si>
    <t>Reference will assume 40% not working on COVID (i.e., 60% allocation to COVID-19); with other references based on staff ratios and patient severity ratios</t>
  </si>
  <si>
    <t>Reference assumption of zero is based on current guidance that no family members or other caretakers should be in hospitals.</t>
  </si>
  <si>
    <t xml:space="preserve">Reference is based on management of home care guidance, with estimates of 1 caregiver per patient for the duration of the roughly 2-week isolation. This calculation estimates the quantity of PPE required (e.g., masks and gloves) for the patient and caregiver </t>
  </si>
  <si>
    <t>Reference will assume 40% not allocated to COVID (e.g., 60% allocation to COVID)</t>
  </si>
  <si>
    <t>Based on reference footprint and capacity assumptions</t>
  </si>
  <si>
    <r>
      <t xml:space="preserve">Select box to use reference values for inputs:
(deselect to manually enter inputs) </t>
    </r>
    <r>
      <rPr>
        <b/>
        <sz val="11"/>
        <color theme="4"/>
        <rFont val="Calibri"/>
        <family val="2"/>
      </rPr>
      <t>→</t>
    </r>
  </si>
  <si>
    <t xml:space="preserve">Forecasting week #s (active weeks highlighted in yellow - may start in week 2 due to lead time entered on 'User Dashboard' tab) ---&gt; </t>
  </si>
  <si>
    <t>Current week 
(not forecasting for)</t>
  </si>
  <si>
    <t>Current cumulative cases no longer infectious (Recovered or Dead Cases):</t>
  </si>
  <si>
    <t>Current Average Contacts per Person per Day:</t>
  </si>
  <si>
    <t>Consumable Equipment Needed, estimated in bundles for 40 patients</t>
  </si>
  <si>
    <t>Drug Category</t>
  </si>
  <si>
    <t>Drug Product</t>
  </si>
  <si>
    <t>Standard Pharmaceutical Commodities</t>
  </si>
  <si>
    <t>ADENOSINE, 3 mg/ml, 2 ml, amp.</t>
  </si>
  <si>
    <t>ALCOHOL-BASED HAND RUB, gel, 100mL, bottle</t>
  </si>
  <si>
    <t>ALCOHOL-BASED HAND RUB, solution, 500mL, bottle</t>
  </si>
  <si>
    <t>AMIODARONE hydrochloride, 50 mg/ml, 3 ml, amp.</t>
  </si>
  <si>
    <t>AMOXICILLIN 125mg/CLAVULANIC ac.31.25mg, eq.156.25mg/5mL, oral susp., 100mL bot.</t>
  </si>
  <si>
    <t>AMOXICILLIN 500 mg / CLAVULANIC acid 125 mg, eq. 625mg/tab, tablet</t>
  </si>
  <si>
    <t>AMOXICILLIN, 250 mg, tab.</t>
  </si>
  <si>
    <t>AMOXICILLIN, 500 mg, tab.</t>
  </si>
  <si>
    <t>AMPICILLIN, 1g, powder, vial</t>
  </si>
  <si>
    <t>AMPICILLIN, 500 mg, powder, vial</t>
  </si>
  <si>
    <t>ASCORBIC acid (vitamin C), 250 mg, tab.</t>
  </si>
  <si>
    <t>ATENOLOL, 50 mg, tab.</t>
  </si>
  <si>
    <t>ATROPINE sulfate, 1 mg/mL, 1 mL, ampoule</t>
  </si>
  <si>
    <t>AZITHROMYCIN, 200mg/5ml, powder oral susp., 15mL, bottle</t>
  </si>
  <si>
    <t>AZITHROMYCIN, 250mg, tab.</t>
  </si>
  <si>
    <t>AZITHROMYCIN, 500mg, tab</t>
  </si>
  <si>
    <t>BENZYLPENICILLIN, 5MIU (3g), powder, vial</t>
  </si>
  <si>
    <t>CALCIUM GLUCONATE, 100 mg/mL, 10mL, ampoule</t>
  </si>
  <si>
    <t>CEFTRIAXONE sodium, 250mg, powder, vial</t>
  </si>
  <si>
    <t>CEFTRIAXONE sodium, eq. 1 g base, powder for inject., vial</t>
  </si>
  <si>
    <t>CHLORAL HYDRATE, 500mg, tab.</t>
  </si>
  <si>
    <t>CHLORHEXIDINE digluconate 1.5% + CETRIMIDE 15%, solution, 1000ml, bottle</t>
  </si>
  <si>
    <t>CHLORPROMAZINE hydrochloride, eq.25mg base, tab.</t>
  </si>
  <si>
    <t>CLOXACILLIN sodium salt, 500mg, powder, vial</t>
  </si>
  <si>
    <t>CLOXACILLIN sodium, eq.250mg base, caps.</t>
  </si>
  <si>
    <t>DEXAMETHASONE phosphate, 4mg/ml, 1ml, ampoule</t>
  </si>
  <si>
    <t>DEXMEDETOMIDINE, 100mcg/mL, IV, 2mL amp.</t>
  </si>
  <si>
    <t>DEXTROSE (GLUCOSE) 5%, 1L, plastic pouch</t>
  </si>
  <si>
    <t>DEXTROSE (GLUCOSE) 5%, 500mL, plastic pouch</t>
  </si>
  <si>
    <t>DOXYCYCLINE salt, 100mg, tab.</t>
  </si>
  <si>
    <t>EPINEPHRINE (adrenaline) tartrate, eq.1mg/mL base, 1mL amp. IV</t>
  </si>
  <si>
    <t>FLUMAZENIL, 0.1mg/mL, IV, 5mL amp.</t>
  </si>
  <si>
    <t>FUROSEMIDE, 10mg/mL, 2mL, ampoule</t>
  </si>
  <si>
    <t>FUROSEMIDE, 40 mg, tab.</t>
  </si>
  <si>
    <t>GLUCOSE hypertonic, 50%, 50mL, vial</t>
  </si>
  <si>
    <t>GLYCERYL TRINITRATE, 0.3mg, sublingual tab.</t>
  </si>
  <si>
    <t>GLYCERYL TRINITRATE, 5mg/mL, for infusion, 10mL amp.</t>
  </si>
  <si>
    <t>HYDRALAZINE hydrochloride, 20mg, powder, ampoule</t>
  </si>
  <si>
    <t>HYDROCHLOROTHIAZIDE, 50 mg, tab.</t>
  </si>
  <si>
    <t>HYDROCORTISONE sodium succinate, eq.100mg base, powder, vial</t>
  </si>
  <si>
    <t>IBUPROFEN, 400 mg, tab.</t>
  </si>
  <si>
    <t>LIDOCAINE hydrochloride, 1%, for inject., 20mL, vial</t>
  </si>
  <si>
    <t>MAGNESIUM sulfate, 500mg/mL, 10mL, ampoule</t>
  </si>
  <si>
    <t>METOCLOPRAMIDE hydrochloride, 5mg/mL, 2mL, amp.</t>
  </si>
  <si>
    <t>METOPROLOL tartrate, 1mg/ml, IV injection, 5ml, amp.</t>
  </si>
  <si>
    <t>METRONIDAZOLE, 5mg/mL, 100 ml, semi-rigid bot.</t>
  </si>
  <si>
    <t>MULTIVITAMINS, tab.</t>
  </si>
  <si>
    <t>NALOXONE hydrochloride, 0.4mg/mL, 1 mL, ampoule</t>
  </si>
  <si>
    <t>NORADRENALINE tartrate, sol.for infu., eq.1mg/mL base, 4mL, amp/vial</t>
  </si>
  <si>
    <t>NYSTATIN, 100.000 IU/ml, oral susp.</t>
  </si>
  <si>
    <t>OMEPRAZOLE, 20 mg, gastro-resistant, caps.</t>
  </si>
  <si>
    <t>OMEPRAZOLE, 40mg, powder, vial</t>
  </si>
  <si>
    <t>ONDANSETRON hydrochloride, 2mg/ml, 2ml, amp.</t>
  </si>
  <si>
    <t>ONDANSETRON hydrochloride, 4mg, tab.</t>
  </si>
  <si>
    <t>ORAL REHYDRATION SALTS (ORS) low osmol., sachet 20.5 g/1l</t>
  </si>
  <si>
    <t>PARACETAMOL (acetaminophen), 100mg, tab.</t>
  </si>
  <si>
    <t>PARACETAMOL (acetaminophen), 10mg/mL, inject, 50mL, bot.</t>
  </si>
  <si>
    <t>PARACETAMOL (acetaminophen), 10mg/ml, inject., 100 ml, plastic pouch</t>
  </si>
  <si>
    <t>PARACETAMOL (acetaminophen), 120 mg/5 ml, syrup, 100 ml, bottle</t>
  </si>
  <si>
    <t>PARACETAMOL (acetaminophen), 500 mg, tab.</t>
  </si>
  <si>
    <t>PHENYTOIN sodium, 100mg, coated tab.</t>
  </si>
  <si>
    <t>PHENYTOIN sodium, 50mg/mL, 5mL, vial</t>
  </si>
  <si>
    <t>POTASSIUM chloride, 100mg/mL, 10 mL, amp.</t>
  </si>
  <si>
    <t>PREDNISOLONE, 5 mg, tab.</t>
  </si>
  <si>
    <t>RANITIDINE, 150mg, tab.</t>
  </si>
  <si>
    <t>RINGER lactate, 1L, plastic pouch</t>
  </si>
  <si>
    <t>RINGER lactate, 500mL, plastic pouch</t>
  </si>
  <si>
    <t>SALBUTAMOL sulfate, eq.0.1mg base/puff, 200 puffs, inhaler</t>
  </si>
  <si>
    <t>SODIUM BICARBONATE, 8.4%, 1 mEq/mL, 20mL amp.</t>
  </si>
  <si>
    <t>SODIUM chloride, 0.9%, 1L, plastic pouch</t>
  </si>
  <si>
    <t>SODIUM chloride, 0.9%, 500 ml, plastic pouch</t>
  </si>
  <si>
    <t>SULFAMETHOXAZOLE 400mg/TRIMETHOPRIM 80mg, tab.</t>
  </si>
  <si>
    <t>THIAMINE hydrochloride (vitamin B1), 50mg, tab.</t>
  </si>
  <si>
    <t>WATER for injection, 10 mL, ampoule</t>
  </si>
  <si>
    <t>ZINC sulfate, eq. to 20 mg zinc mineral, dispersible tab.</t>
  </si>
  <si>
    <t>Cold
Drugs</t>
  </si>
  <si>
    <t>ATRACURIUM BESILATE, 10mg/mL, 5mL, amp.</t>
  </si>
  <si>
    <t>INSULIN RAPID (Actrapid), rDNA insul.,100 IU/mL, 10mL, vial</t>
  </si>
  <si>
    <t>SUXAMETHONIUM CHLORIDE, 50mg/mL, 2mL, amp.</t>
  </si>
  <si>
    <t>DIAZEPAM, 5mg, tab.</t>
  </si>
  <si>
    <t>DIAZEPAM, 5mg/ml, 2ml, amp.</t>
  </si>
  <si>
    <t>FENTANYL citrate, eq. 0.05mg/mL base, 2 mL, amp.</t>
  </si>
  <si>
    <t>FENTANYL, 0.05mg/mL, 10mL, amp.</t>
  </si>
  <si>
    <t>HALOPERIDOL, 5mg/mL, sol. for inject., 1mL, ampoule</t>
  </si>
  <si>
    <t>KETAMINE hydrochloride, eq. 50 mg/mL base, 10 mL, vial</t>
  </si>
  <si>
    <t>MIDAZOLAM, 5mg/ml, 3ml, amp.</t>
  </si>
  <si>
    <t>MORPHINE sulfate, 10mg/ml, 1ml, amp.</t>
  </si>
  <si>
    <t>PHENOBARBITAL (sodium), 200mg/mL, 1mL, amp.</t>
  </si>
  <si>
    <t>PHENOBARBITAL, 50mg, tab.</t>
  </si>
  <si>
    <t>PROPOFOL, 10mg/mL, 10mL, amp.</t>
  </si>
  <si>
    <r>
      <rPr>
        <u/>
        <sz val="11"/>
        <color theme="1"/>
        <rFont val="Calibri"/>
        <family val="2"/>
        <scheme val="minor"/>
      </rPr>
      <t>Inpatient:</t>
    </r>
    <r>
      <rPr>
        <sz val="11"/>
        <color theme="1"/>
        <rFont val="Calibri"/>
        <family val="2"/>
        <scheme val="minor"/>
      </rPr>
      <t xml:space="preserve"> Inpatient care for severe and critical patients  </t>
    </r>
  </si>
  <si>
    <r>
      <t>Screening/triage:</t>
    </r>
    <r>
      <rPr>
        <sz val="11"/>
        <color theme="1"/>
        <rFont val="Calibri"/>
        <family val="2"/>
        <scheme val="minor"/>
      </rPr>
      <t xml:space="preserve"> Screening and triaging all suspected COVID-19 patients at first point of contact with the health care system (including those who ultimately test negative)</t>
    </r>
  </si>
  <si>
    <r>
      <t>Laboratories:</t>
    </r>
    <r>
      <rPr>
        <sz val="11"/>
        <color theme="1"/>
        <rFont val="Calibri"/>
        <family val="2"/>
        <scheme val="minor"/>
      </rPr>
      <t xml:space="preserve"> Labs where testing is conducted/processed</t>
    </r>
  </si>
  <si>
    <r>
      <rPr>
        <u/>
        <sz val="11"/>
        <color theme="1"/>
        <rFont val="Calibri"/>
        <family val="2"/>
        <scheme val="minor"/>
      </rPr>
      <t>Caregiver</t>
    </r>
    <r>
      <rPr>
        <sz val="11"/>
        <color theme="1"/>
        <rFont val="Calibri"/>
        <family val="2"/>
        <scheme val="minor"/>
      </rPr>
      <t>: patient carers such as parent, spouse, partner, etc.</t>
    </r>
  </si>
  <si>
    <r>
      <t>SIR Model Patient Calcs:</t>
    </r>
    <r>
      <rPr>
        <sz val="11"/>
        <color theme="1"/>
        <rFont val="Calibri"/>
        <family val="2"/>
        <scheme val="minor"/>
      </rPr>
      <t xml:space="preserve"> For interested users, this tab shows the backend of the SIR model calculations.</t>
    </r>
  </si>
  <si>
    <r>
      <t>WHO GHO Data:</t>
    </r>
    <r>
      <rPr>
        <sz val="11"/>
        <color theme="1"/>
        <rFont val="Calibri"/>
        <family val="2"/>
        <scheme val="minor"/>
      </rPr>
      <t xml:space="preserve"> Contains staffing data by country for each country from the WHO Global Health Observatory datasets.</t>
    </r>
  </si>
  <si>
    <t>Note that the number of patients presented below refer to active cases requiring a hospital bed (i.e., they have not recovered or died)</t>
  </si>
  <si>
    <t>Total number of severe cases needing beds (unconstrained by bed availability)</t>
  </si>
  <si>
    <t>Total number of critical cases needing beds (unconstrained by bed availability)</t>
  </si>
  <si>
    <t xml:space="preserve">Total number of diagnosed moderate patients </t>
  </si>
  <si>
    <t xml:space="preserve">Total number of diagnosed mild patients </t>
  </si>
  <si>
    <t>Severe and Critical Patients Each Week</t>
  </si>
  <si>
    <t>Moderate and Mild Patients Each Week</t>
  </si>
  <si>
    <r>
      <t xml:space="preserve">An </t>
    </r>
    <r>
      <rPr>
        <b/>
        <i/>
        <sz val="9"/>
        <color theme="1"/>
        <rFont val="Calibri"/>
        <family val="2"/>
        <scheme val="minor"/>
      </rPr>
      <t>"SIR Model"</t>
    </r>
    <r>
      <rPr>
        <i/>
        <sz val="9"/>
        <color theme="1"/>
        <rFont val="Calibri"/>
        <family val="2"/>
        <scheme val="minor"/>
      </rPr>
      <t xml:space="preserve"> is a compartmental model commonly used in infectious disease forecasting The population is divided into three compartments, </t>
    </r>
    <r>
      <rPr>
        <b/>
        <i/>
        <u/>
        <sz val="9"/>
        <color theme="1"/>
        <rFont val="Calibri"/>
        <family val="2"/>
        <scheme val="minor"/>
      </rPr>
      <t>S</t>
    </r>
    <r>
      <rPr>
        <i/>
        <sz val="9"/>
        <color theme="1"/>
        <rFont val="Calibri"/>
        <family val="2"/>
        <scheme val="minor"/>
      </rPr>
      <t xml:space="preserve">usceptible, </t>
    </r>
    <r>
      <rPr>
        <b/>
        <i/>
        <u/>
        <sz val="9"/>
        <color theme="1"/>
        <rFont val="Calibri"/>
        <family val="2"/>
        <scheme val="minor"/>
      </rPr>
      <t>I</t>
    </r>
    <r>
      <rPr>
        <i/>
        <sz val="9"/>
        <color theme="1"/>
        <rFont val="Calibri"/>
        <family val="2"/>
        <scheme val="minor"/>
      </rPr>
      <t xml:space="preserve">nfectious, and </t>
    </r>
    <r>
      <rPr>
        <b/>
        <i/>
        <u/>
        <sz val="9"/>
        <color theme="1"/>
        <rFont val="Calibri"/>
        <family val="2"/>
        <scheme val="minor"/>
      </rPr>
      <t>R</t>
    </r>
    <r>
      <rPr>
        <i/>
        <sz val="9"/>
        <color theme="1"/>
        <rFont val="Calibri"/>
        <family val="2"/>
        <scheme val="minor"/>
      </rPr>
      <t xml:space="preserve">emoved. The SIR model here has a simple deterministic structure and can be viewed in the "SIR Model Patient Calcs" tab. If choosing to use the SIR option, it is advised to consult with someone who is familiar with this type of model to assist with assumptions. </t>
    </r>
  </si>
  <si>
    <r>
      <t xml:space="preserve">The number of </t>
    </r>
    <r>
      <rPr>
        <b/>
        <i/>
        <sz val="9"/>
        <rFont val="Calibri"/>
        <family val="2"/>
        <scheme val="minor"/>
      </rPr>
      <t>cases no longer infectious</t>
    </r>
    <r>
      <rPr>
        <i/>
        <sz val="9"/>
        <rFont val="Calibri"/>
        <family val="2"/>
        <scheme val="minor"/>
      </rPr>
      <t xml:space="preserve"> is used to estimate the initial number of infectious cases in the SIR model by subtracting those no longer infectious from the total cumulative cases. If unknown, the cumulative case count one infectious period prior to today can be used. Reference calculated under exponential growth assumptions with 4 day doubling time and the specified current cumulative cases.
</t>
    </r>
  </si>
  <si>
    <t>Define rate of infection in your epidemic (note you can use reference values if unknown)</t>
  </si>
  <si>
    <r>
      <t xml:space="preserve">The </t>
    </r>
    <r>
      <rPr>
        <b/>
        <i/>
        <sz val="9"/>
        <rFont val="Calibri"/>
        <family val="2"/>
        <scheme val="minor"/>
      </rPr>
      <t>Infectious Perio</t>
    </r>
    <r>
      <rPr>
        <i/>
        <sz val="9"/>
        <rFont val="Calibri"/>
        <family val="2"/>
        <scheme val="minor"/>
      </rPr>
      <t>d is the average number of days during which an infected person is likely to transmit the virus to susceptible persons. From a review of available literature, a period of 5-7 days may be a reasonable estimate for Covid-19. Specifying a period outside of this range may have a large impact on the forecasted epidemiologic curve.(sources in cell T12 comments)</t>
    </r>
  </si>
  <si>
    <t xml:space="preserve">Define various stages of response that impact infection rates such as social distancing </t>
  </si>
  <si>
    <t>The model can be specified by stage - discrete time periods with varying Reproduction Number(R0) or Contacts per Person per Day. The average contact frequency or reproduction number might be expected to change if population interventions are introduced to delay or limit the spread of Covid-19. The relative reduction in reproduction number and contacts per person per day for common interventions such as social distancing and lockdown have been estimated based on their implementation in 11 European countries here: https://www.imperial.ac.uk/mrc-global-infectious-disease-analysis/covid-19/report-13-europe-npi-impact/.</t>
  </si>
  <si>
    <r>
      <rPr>
        <b/>
        <i/>
        <sz val="9"/>
        <rFont val="Calibri"/>
        <family val="2"/>
        <scheme val="minor"/>
      </rPr>
      <t>Per day contacts</t>
    </r>
    <r>
      <rPr>
        <i/>
        <sz val="9"/>
        <rFont val="Calibri"/>
        <family val="2"/>
        <scheme val="minor"/>
      </rPr>
      <t xml:space="preserve"> is defined as “either skin-to-skin contact such as a kiss or handshake (a physical contact), or a two-way conversation with three or more words in the physical presence of another person but no skin-to-skin contact (a nonphysical contact)”. Social contact data used country-specific age distributions from World Bank data. Reference values are based on the POLYMOD study, source found in T14 comments</t>
    </r>
  </si>
  <si>
    <r>
      <t xml:space="preserve">% </t>
    </r>
    <r>
      <rPr>
        <u/>
        <sz val="11"/>
        <color theme="1"/>
        <rFont val="Calibri"/>
        <family val="2"/>
        <scheme val="minor"/>
      </rPr>
      <t>Mild</t>
    </r>
    <r>
      <rPr>
        <sz val="11"/>
        <color theme="1"/>
        <rFont val="Calibri"/>
        <family val="2"/>
        <scheme val="minor"/>
      </rPr>
      <t xml:space="preserve"> (isolation)</t>
    </r>
  </si>
  <si>
    <r>
      <t xml:space="preserve">% </t>
    </r>
    <r>
      <rPr>
        <u/>
        <sz val="11"/>
        <color theme="1"/>
        <rFont val="Calibri"/>
        <family val="2"/>
        <scheme val="minor"/>
      </rPr>
      <t>Moderate</t>
    </r>
    <r>
      <rPr>
        <sz val="11"/>
        <color theme="1"/>
        <rFont val="Calibri"/>
        <family val="2"/>
        <scheme val="minor"/>
      </rPr>
      <t xml:space="preserve"> (isolation)</t>
    </r>
  </si>
  <si>
    <r>
      <rPr>
        <u/>
        <sz val="11"/>
        <color theme="1"/>
        <rFont val="Calibri"/>
        <family val="2"/>
        <scheme val="minor"/>
      </rPr>
      <t>Mild</t>
    </r>
    <r>
      <rPr>
        <sz val="11"/>
        <color theme="1"/>
        <rFont val="Calibri"/>
        <family val="2"/>
        <scheme val="minor"/>
      </rPr>
      <t xml:space="preserve"> case (isolation)</t>
    </r>
  </si>
  <si>
    <r>
      <rPr>
        <u/>
        <sz val="11"/>
        <color theme="1"/>
        <rFont val="Calibri"/>
        <family val="2"/>
        <scheme val="minor"/>
      </rPr>
      <t>Moderate</t>
    </r>
    <r>
      <rPr>
        <sz val="11"/>
        <color theme="1"/>
        <rFont val="Calibri"/>
        <family val="2"/>
        <scheme val="minor"/>
      </rPr>
      <t xml:space="preserve"> case (isolation)</t>
    </r>
  </si>
  <si>
    <r>
      <t xml:space="preserve"># of informal caregivers for </t>
    </r>
    <r>
      <rPr>
        <u/>
        <sz val="11"/>
        <color theme="1"/>
        <rFont val="Calibri"/>
        <family val="2"/>
        <scheme val="minor"/>
      </rPr>
      <t>mild/moderate patients isolating</t>
    </r>
  </si>
  <si>
    <t>Reference values</t>
  </si>
  <si>
    <r>
      <t xml:space="preserve">This version of the calculator is a second draft: </t>
    </r>
    <r>
      <rPr>
        <sz val="10"/>
        <color theme="1"/>
        <rFont val="Arial"/>
        <family val="2"/>
      </rPr>
      <t xml:space="preserve">As more data become available, updated versions will be shared in an effort to regularly develop the tool and improve its functionality and assumptions. </t>
    </r>
  </si>
  <si>
    <t>Estimate based on total # of doctors (from World Bank dataset) and nurses (from WHO Global Health Observatory dataset) only. To add more staff, increase the total staff available in C62.</t>
  </si>
  <si>
    <r>
      <t xml:space="preserve">Outputs are constrained based on editable parameters for health system infrastructure: </t>
    </r>
    <r>
      <rPr>
        <sz val="10"/>
        <color theme="1"/>
        <rFont val="Arial"/>
        <family val="2"/>
      </rPr>
      <t xml:space="preserve">This calculator includes editable assumptions about limitations of health systems to absorb the projected number of patients (for example, availability of health care workers and patient beds). Users can manually input staff and infrastructure assumptions on the 'Inputs' tab or select reference values from various datasets. </t>
    </r>
  </si>
  <si>
    <r>
      <t xml:space="preserve">Limitations: </t>
    </r>
    <r>
      <rPr>
        <sz val="10"/>
        <color theme="1"/>
        <rFont val="Arial"/>
        <family val="2"/>
      </rPr>
      <t>COVID-ESFT is not meant to be used as an epidemiological model. Overall patient numbers are used primarily for forecasting bulk essential supply needs. In the absence of a dedicated epidemiologic model that can provide case forecasts, the tool has simple exponential growth and Susceptible-Infectious-Removed (SIR) case forecast options built in. These inputs and the corresponding outputs may not reflect the reality of what users will ultimately see in their geography. Users are discouraged from drawing conclusions about cases far into the future on the basis of these preliminary estimates.</t>
    </r>
  </si>
  <si>
    <t>Please note that supplies forecast for biomedical equipment, consumables and accessories do not take into consideration requisite infrastructure capacity or personnel for use and maintenance. This includes but is not limited to: existing available oxygen sources, electrical power, health workforce capabilities, biomedical engineers, technicians etc.. As a result, this forecast may be an overestimate.</t>
  </si>
  <si>
    <t>supplied with one of:
Flow and pressure regulator, as applicable;
Outlet connector</t>
  </si>
  <si>
    <t>Refers to Cleaners and Helpers (ILO ISCO code 9112)</t>
  </si>
  <si>
    <r>
      <rPr>
        <b/>
        <u/>
        <sz val="14"/>
        <color theme="0"/>
        <rFont val="Calibri"/>
        <family val="2"/>
        <scheme val="minor"/>
      </rPr>
      <t>Drugs</t>
    </r>
    <r>
      <rPr>
        <b/>
        <sz val="14"/>
        <color theme="0"/>
        <rFont val="Calibri"/>
        <family val="2"/>
        <scheme val="minor"/>
      </rPr>
      <t xml:space="preserve"> needed, estimated in bundles per 40 patients</t>
    </r>
  </si>
  <si>
    <t>Equipment Use (separate tab)</t>
  </si>
  <si>
    <r>
      <t xml:space="preserve">This calculator is a supply forecasting tool: </t>
    </r>
    <r>
      <rPr>
        <sz val="10"/>
        <color theme="1"/>
        <rFont val="Arial"/>
        <family val="2"/>
      </rPr>
      <t>This tool is meant to help governments, partners, and other stakeholders estimate potential requirements for essential supplies to respond to the current pandemic of COVID-19. Essential supplies include hygiene and IPC commodities, personal protective equipment, diagnostics, biomedical equipment for case management, drugs for supportive treatment, and consumable medical supplies.  It is designed to proactively support decision-making and enable the rapid procurement of essential supplies.</t>
    </r>
  </si>
  <si>
    <t>WHO COVID-19 Essential Supplies Forecasting Tool Overview</t>
  </si>
  <si>
    <t>SARS-CoV-2, a previously unknown coronavirus that emerged in Wuhan, China in December 2019, causes COVID-19 and was characterized as a pandemic by the World Health Organization on March 11, 2020. The pandemic has required countries around the world to develop containment and mitigation strategies to control the spread of COVID-19.
To assist with the response to the pandemic, the WHO developed the WHO COVID-19 Essential Supplies Forecasting Tool (COVID-ESFT) to allow users to quantify for commodities used in the course of patient and disease management. The current version of the tool covers five categories of essential commodities: hygiene, personal protective equipment (PPE), diagnostics, drugs and consumables, and biomedical equipment for case management. The tool has been designed to be user-friendly, and allow users to quickly estimate commodity needs. Please note that this tool is not designed to be an epidemiological model, though it does include simple epidemiological principles to help estimate the number of infections.
The primary user tabs are explained in detail below, with high-level summaries of back-end tabs at the end.</t>
  </si>
  <si>
    <t>Users enter the current known number of cases in-country (must be greater than 1 and less than the population size times the clinical attack rate on the 'User Dashboard')</t>
  </si>
  <si>
    <t>Users define case severity ratios across 4 categories (mild, moderate, severe, and critical), as well as time spent in hospital/isolation and case fatality rates</t>
  </si>
  <si>
    <t>Users input the diagnostic testing platforms in-country to estimate testing absorption capacity. Users also designate lab staff available for the COVID-19 response</t>
  </si>
  <si>
    <t>Users enter assumptions here about oxygen use and volume of oxygen needed across different case severity categories</t>
  </si>
  <si>
    <t>Click the link in this section to edit inputs and assumptions around equipment/commodity use by patients, care staff, etc. See further details below starting in row 51</t>
  </si>
  <si>
    <r>
      <t xml:space="preserve">Cumulative Case Estimation Method
     </t>
    </r>
    <r>
      <rPr>
        <u/>
        <sz val="11"/>
        <color theme="1"/>
        <rFont val="Calibri"/>
        <family val="2"/>
      </rPr>
      <t>Exponential Growth:</t>
    </r>
    <r>
      <rPr>
        <sz val="11"/>
        <color theme="1"/>
        <rFont val="Calibri"/>
        <family val="2"/>
      </rPr>
      <t xml:space="preserve"> Assumes cases will grow exponentially based on the doubling rate selected until it reaches the percent of the population 
     indicated by the selected clinical attack rate</t>
    </r>
    <r>
      <rPr>
        <u/>
        <sz val="11"/>
        <color theme="1"/>
        <rFont val="Calibri"/>
        <family val="2"/>
      </rPr>
      <t xml:space="preserve">
</t>
    </r>
    <r>
      <rPr>
        <sz val="11"/>
        <color theme="1"/>
        <rFont val="Calibri"/>
        <family val="2"/>
      </rPr>
      <t xml:space="preserve">     </t>
    </r>
    <r>
      <rPr>
        <u/>
        <sz val="11"/>
        <color theme="1"/>
        <rFont val="Calibri"/>
        <family val="2"/>
      </rPr>
      <t>Manual Entry:</t>
    </r>
    <r>
      <rPr>
        <sz val="11"/>
        <color theme="1"/>
        <rFont val="Calibri"/>
        <family val="2"/>
      </rPr>
      <t xml:space="preserve"> Allows users to manually input a weekly epi curve on the 'Patient Calcs' tab. </t>
    </r>
    <r>
      <rPr>
        <i/>
        <sz val="11"/>
        <color theme="1"/>
        <rFont val="Calibri"/>
        <family val="2"/>
      </rPr>
      <t xml:space="preserve">    
    </t>
    </r>
    <r>
      <rPr>
        <u/>
        <sz val="11"/>
        <color theme="1"/>
        <rFont val="Calibri"/>
        <family val="2"/>
      </rPr>
      <t>SIR Model:</t>
    </r>
    <r>
      <rPr>
        <sz val="11"/>
        <color theme="1"/>
        <rFont val="Calibri"/>
        <family val="2"/>
      </rPr>
      <t xml:space="preserve"> Models the course of the epidemic via a SIR model, which includes susceptible, infected, and recovered individuals. Users who select this 
     option still need to enter a clinical attack rate and a number of SIR model-specific inputs </t>
    </r>
  </si>
  <si>
    <t>This section allows the user to define the time period for the commodity forecast.</t>
  </si>
  <si>
    <r>
      <rPr>
        <b/>
        <sz val="11"/>
        <color theme="1"/>
        <rFont val="Calibri"/>
        <family val="2"/>
        <scheme val="minor"/>
      </rPr>
      <t>Number of weeks to forecast equipment for (#):</t>
    </r>
    <r>
      <rPr>
        <sz val="11"/>
        <color theme="1"/>
        <rFont val="Calibri"/>
        <family val="2"/>
        <scheme val="minor"/>
      </rPr>
      <t xml:space="preserve"> Enter the number of weeks worth of equipment to forecast (e.g., to forecast for three weeks of commodities, enter 3). Note that this cannot be higher than the value in the instructions cell which lists the max number of weeks (based on estimated epidemic trajectory)</t>
    </r>
  </si>
  <si>
    <r>
      <rPr>
        <b/>
        <sz val="11"/>
        <color theme="1"/>
        <rFont val="Calibri"/>
        <family val="2"/>
        <scheme val="minor"/>
      </rPr>
      <t>Delivery lead time until shipments received (weeks):</t>
    </r>
    <r>
      <rPr>
        <sz val="11"/>
        <color theme="1"/>
        <rFont val="Calibri"/>
        <family val="2"/>
        <scheme val="minor"/>
      </rPr>
      <t xml:space="preserve"> Enter an estimate of how long it will take commodities to be available in country (between 0 and 1 week)</t>
    </r>
  </si>
  <si>
    <r>
      <rPr>
        <b/>
        <sz val="11"/>
        <color theme="1"/>
        <rFont val="Calibri"/>
        <family val="2"/>
        <scheme val="minor"/>
      </rPr>
      <t>Testing strategy for mild/moderate presenting cases:</t>
    </r>
    <r>
      <rPr>
        <sz val="11"/>
        <color theme="1"/>
        <rFont val="Calibri"/>
        <family val="2"/>
        <scheme val="minor"/>
      </rPr>
      <t xml:space="preserve"> Select either "all suspected cases" or "targeted" testing, which tests all severe/critical and a percent of suspects/mild/moderates as defined in the rest of the Testing Strategy section</t>
    </r>
  </si>
  <si>
    <r>
      <rPr>
        <b/>
        <sz val="11"/>
        <color theme="1"/>
        <rFont val="Calibri"/>
        <family val="2"/>
        <scheme val="minor"/>
      </rPr>
      <t xml:space="preserve">% suspected/mild/moderate tested (with targeted testing strategy): </t>
    </r>
    <r>
      <rPr>
        <sz val="11"/>
        <color theme="1"/>
        <rFont val="Calibri"/>
        <family val="2"/>
        <scheme val="minor"/>
      </rPr>
      <t>If the "targeted" testing strategy is selected, here the user will enter the % of mild/moderate/suspected cases that will receive tests (typically those in high-risk populations). All severe/critical patients will still receive tests.</t>
    </r>
  </si>
  <si>
    <r>
      <rPr>
        <b/>
        <sz val="11"/>
        <color theme="1"/>
        <rFont val="Calibri"/>
        <family val="2"/>
        <scheme val="minor"/>
      </rPr>
      <t xml:space="preserve">Testing algorithm: </t>
    </r>
    <r>
      <rPr>
        <sz val="11"/>
        <color theme="1"/>
        <rFont val="Calibri"/>
        <family val="2"/>
        <scheme val="minor"/>
      </rPr>
      <t>the user can build a testing algorithm and decide how many tests to allocate across case severity categories (mild/moderate and severe/critical) and testing entry point (diagnosis, confirmation of negative)</t>
    </r>
  </si>
  <si>
    <r>
      <t xml:space="preserve">Estimated negatives per positive: </t>
    </r>
    <r>
      <rPr>
        <sz val="11"/>
        <color theme="1"/>
        <rFont val="Calibri"/>
        <family val="2"/>
        <scheme val="minor"/>
      </rPr>
      <t>how many suspects will test negative for every positive (if "targeted" strategy chosen, % of suspected/mild/moderate will be applied to this number)</t>
    </r>
  </si>
  <si>
    <r>
      <rPr>
        <u/>
        <sz val="11"/>
        <color theme="1"/>
        <rFont val="Calibri"/>
        <family val="2"/>
        <scheme val="minor"/>
      </rPr>
      <t>Isolation:</t>
    </r>
    <r>
      <rPr>
        <sz val="11"/>
        <color theme="1"/>
        <rFont val="Calibri"/>
        <family val="2"/>
        <scheme val="minor"/>
      </rPr>
      <t xml:space="preserve"> Typically care provided at home or in a community facility (e.g., stadiums, gymnasiums, hotels) for mild/moderate patients  </t>
    </r>
  </si>
  <si>
    <r>
      <t xml:space="preserve">This tab contains the inputs/assumptions for the commodities forecasted by the tool. Across care settings (e.g., inpatient, </t>
    </r>
    <r>
      <rPr>
        <sz val="11"/>
        <color theme="1"/>
        <rFont val="Calibri"/>
        <family val="2"/>
        <scheme val="minor"/>
      </rPr>
      <t>screening/triage, and isolation) and end users (e.g., HCW, patients), tool users can alter the assumptions around commodity use that will flow through to the outputs on the 'User Dashboard' tab. For example, the user can keep the default assumption around respirators per HCW in the inpatient setting, or change to fit a specific context. This tab also lists any "add ons" that are supplied with certain commodities (e.g., cuffs with a patient monitor), and contains editable price estimates for each commodity.</t>
    </r>
  </si>
  <si>
    <t>Note that %s are capped to sum to 100% - to add more staff please increase total staff quantity in C62</t>
  </si>
  <si>
    <r>
      <t xml:space="preserve">This tab contains the majority of the modifiable user inputs that are used to shape and constrain the forecast. The links on the right can be used to quickly navigate to various sub-sections within this tab. Forecast scenario selectors relating to case estimation, forecast period, and testing strategy/algorithm are on the 'User Dashboard' tab.
Users can input their own assumptions in the blue cells, and reference assumptions are pre-populated to the right of each blue cell in a grey cell. </t>
    </r>
    <r>
      <rPr>
        <b/>
        <sz val="11"/>
        <color theme="1"/>
        <rFont val="Calibri"/>
        <family val="2"/>
        <scheme val="minor"/>
      </rPr>
      <t>If an input is 0, do not leave the cell blank:</t>
    </r>
    <r>
      <rPr>
        <sz val="11"/>
        <color theme="1"/>
        <rFont val="Calibri"/>
        <family val="2"/>
        <scheme val="minor"/>
      </rPr>
      <t xml:space="preserve"> enter in the number 0. If the blue cells are left blank, the tool will use the reference value for calculations. When "Manual Entry" is selected, the reference WB and WHO data will be based on global averages. If users would rather use </t>
    </r>
    <r>
      <rPr>
        <i/>
        <sz val="11"/>
        <color theme="1"/>
        <rFont val="Calibri"/>
        <family val="2"/>
        <scheme val="minor"/>
      </rPr>
      <t>all</t>
    </r>
    <r>
      <rPr>
        <sz val="11"/>
        <color theme="1"/>
        <rFont val="Calibri"/>
        <family val="2"/>
        <scheme val="minor"/>
      </rPr>
      <t xml:space="preserve"> the reference values rather than populate their own information they may select the box in cell D34. The model will then use all the reference data from the gray cells that will then be light yellow.
The 'User Dashboard' tab contains additional inputs for running scenarios, and is where the user can alter the way the tool estimates cases, the country's testing strategy, and the length of the forecast period.</t>
    </r>
  </si>
  <si>
    <t>Mild cases are considered to be isolating to minimize onward transmission</t>
  </si>
  <si>
    <t>Moderate cases are considered to be isolating to minimize onward transmission</t>
  </si>
  <si>
    <t>Severe patients, dependent on severe bed availability, admitted to hospital and requiring oxygen</t>
  </si>
  <si>
    <t>Critical cases, dependent on critical bed availability, admitted to hospital and requiring ventilation</t>
  </si>
  <si>
    <t>Note that length of stay must be entered in terms of weeks, not days</t>
  </si>
  <si>
    <t>Based on studies of case severity</t>
  </si>
  <si>
    <t>Note: HCW estimates are primarily used to estimate PPE and other equipment, not to differentiate tasks by cadre or to cap admitted patients. If the number of available HCWs and other staff is reached in the course of the forecast, the numbers of required staff stop growing and PPE is not forecasted for them given the assumption that they do not exist. However, this is not used to cap the number of patients seen.  Users are encouraged to use this section to plan for any required surge capacity. Throughout the tool, HCWs refers to all medical practitioners, including doctors, nursing professionals, and paramedical practitioners (ILO ISCO codes 2240, 2211, 2212, 2221, 3221, 5321, 3256)</t>
  </si>
  <si>
    <r>
      <t xml:space="preserve">% HCWs </t>
    </r>
    <r>
      <rPr>
        <u/>
        <sz val="11"/>
        <color theme="1"/>
        <rFont val="Calibri"/>
        <family val="2"/>
        <scheme val="minor"/>
      </rPr>
      <t>screening and triaging</t>
    </r>
    <r>
      <rPr>
        <sz val="11"/>
        <color theme="1"/>
        <rFont val="Calibri"/>
        <family val="2"/>
        <scheme val="minor"/>
      </rPr>
      <t xml:space="preserve"> suspected COVID-19 cases </t>
    </r>
  </si>
  <si>
    <t>HCWs screening and triaging suspected COVID cases at all points of access to the health system, including primary health centres, clinics, hospital emergency units, and ad hoc community settings</t>
  </si>
  <si>
    <t>HCW and Other Staff Ratios</t>
  </si>
  <si>
    <t>Informal Caregiver Ratios</t>
  </si>
  <si>
    <t>Note that %s are capped to sum to 100% - to add more beds please increase total bed quantity in C98</t>
  </si>
  <si>
    <r>
      <t>O</t>
    </r>
    <r>
      <rPr>
        <b/>
        <vertAlign val="subscript"/>
        <sz val="11"/>
        <color theme="1"/>
        <rFont val="Calibri"/>
        <family val="2"/>
        <scheme val="minor"/>
      </rPr>
      <t>2</t>
    </r>
    <r>
      <rPr>
        <b/>
        <sz val="11"/>
        <color theme="1"/>
        <rFont val="Calibri"/>
        <family val="2"/>
        <scheme val="minor"/>
      </rPr>
      <t xml:space="preserve"> Flow Rate per Bed (LPM)</t>
    </r>
  </si>
  <si>
    <r>
      <t xml:space="preserve">If using another platform not mentioned in the list above, enter the platform, number of machines, and daily capacity </t>
    </r>
    <r>
      <rPr>
        <i/>
        <u/>
        <sz val="10"/>
        <color theme="1"/>
        <rFont val="Calibri"/>
        <family val="2"/>
        <scheme val="minor"/>
      </rPr>
      <t>per machine</t>
    </r>
    <r>
      <rPr>
        <i/>
        <sz val="10"/>
        <color theme="1"/>
        <rFont val="Calibri"/>
        <family val="2"/>
        <scheme val="minor"/>
      </rPr>
      <t xml:space="preserve"> for COVID-19 testing. Leave blank if not applicable. Assumes these platforms will run the same number of days per week as the high-throughput machines.</t>
    </r>
  </si>
  <si>
    <t>Reference assumes the % available lab staff will match the average % capacity for COVID-19 of the three types of lab platforms (high-throughput, near-patient, and manual) as entered above in the existing lab capacity section.</t>
  </si>
  <si>
    <t>Reference value assumes 1 lab for every 3 high-throughput, manual, or other platforms and 1 lab for every 4 GeneXpert modules</t>
  </si>
  <si>
    <r>
      <t xml:space="preserve">Supplies are forecast based on short-term needs: </t>
    </r>
    <r>
      <rPr>
        <sz val="10"/>
        <color theme="1"/>
        <rFont val="Arial"/>
        <family val="2"/>
      </rPr>
      <t>This calculator helps guide users through the process of making assumptions about the estimated number of cases over time. As with all forecasts, uncertainty increases when going further out into the future. Users may prefer to use their own assumptions about the expected epidemiological curve in their geography rather than select pre-set options in the tool. In that case, the calculator offers flexibility for users to manually input the case numbers for a selected time period.</t>
    </r>
  </si>
  <si>
    <t>Note: lines may overlap if the same percentage is applied to multiple case severity types (e.g., both mild and moderate at 40%)</t>
  </si>
  <si>
    <t>Note that the number of moderate and mild patients presented below refers to those that were diagnosed according to the selected testing strategy selected above. These numbers refer to active cases (i.e., they have not recovered)</t>
  </si>
  <si>
    <t xml:space="preserve">Introduction: this tab will be used to run scenarios based on changing epidemic models, testing strategies, and the forecast period. Basic definitions are given next to each cell or in a comment within the cell. If further information is required, see the 'Tool Overview' tab or the associated FAQ document. Please pay close attention to any notices in red to ensure a valid forecast. </t>
  </si>
  <si>
    <t>Jump back to Dashboard Inputs</t>
  </si>
  <si>
    <t>Enter Manual Case Numbers</t>
  </si>
  <si>
    <t>`</t>
  </si>
  <si>
    <t>Equipment List &amp; Usage</t>
  </si>
  <si>
    <r>
      <t xml:space="preserve">This tab contains the master list of commodities that the tool forecasts for. In cases where the commodity comes with or should include other equipment, those items are listed as well. The list also includes packages of drugs and consumables used to treat 40 severe/critical patients. Use the provided links to see what items are included in both of those packages. </t>
    </r>
    <r>
      <rPr>
        <b/>
        <sz val="11"/>
        <color theme="1"/>
        <rFont val="Calibri"/>
        <family val="2"/>
        <scheme val="minor"/>
      </rPr>
      <t>Items are listed vertically; and settings of care are listed horizontally. All cells in blue are editable.</t>
    </r>
  </si>
  <si>
    <r>
      <t xml:space="preserve">Unless users are inputting manual patient estimates, in which case they will alter the 'Patient Calcs' tab </t>
    </r>
    <r>
      <rPr>
        <sz val="11"/>
        <color theme="1"/>
        <rFont val="Calibri"/>
        <family val="2"/>
      </rPr>
      <t>→</t>
    </r>
  </si>
  <si>
    <t>Note - models all patients being discharged before new patients arrive that week</t>
  </si>
  <si>
    <t>The below are patient estimates based on the case estimation method selected on the 'User Dashboard' tab</t>
  </si>
  <si>
    <r>
      <t xml:space="preserve">To manually enter the number of cases/week, fill in the </t>
    </r>
    <r>
      <rPr>
        <i/>
        <sz val="11"/>
        <color theme="1"/>
        <rFont val="Calibri"/>
        <family val="2"/>
        <scheme val="minor"/>
      </rPr>
      <t>Manual Entry</t>
    </r>
    <r>
      <rPr>
        <sz val="11"/>
        <color theme="1"/>
        <rFont val="Calibri"/>
        <family val="2"/>
        <scheme val="minor"/>
      </rPr>
      <t xml:space="preserve"> table (row 72)</t>
    </r>
    <r>
      <rPr>
        <sz val="11"/>
        <color theme="1"/>
        <rFont val="Calibri"/>
        <family val="2"/>
      </rPr>
      <t>→</t>
    </r>
  </si>
  <si>
    <t>To see the SIR model patient calculations, see row 129 (inputs to alter this on the 'User Dashboard' tab</t>
  </si>
  <si>
    <t>Go Back to User Dashboard</t>
  </si>
  <si>
    <t>Click here for more details on SIR model calculations</t>
  </si>
  <si>
    <t>Instructions: Enter the cumulative cases expected by week in column "C" (Manual Entry).</t>
  </si>
  <si>
    <t>First six weeks below are entered in column C as examples only</t>
  </si>
  <si>
    <t>INPATIENT CARE (Severe and Critical cases) - Quantity per person (or bed) per day</t>
  </si>
  <si>
    <t>LABORATORIES - Quantity/Person/Day</t>
  </si>
  <si>
    <t>SCREENING/TRIAGE- Quantity/Person/Day</t>
  </si>
  <si>
    <t>ISOLATION (mild and moderate cases) - Quantity/Person/Day</t>
  </si>
  <si>
    <t>Cost breakdown can be found starting in cell G224</t>
  </si>
  <si>
    <t>Wastage</t>
  </si>
  <si>
    <t>% Available beds for severe patients that are currently occupied</t>
  </si>
  <si>
    <t>% Available beds for critical patients that are currently occupied</t>
  </si>
  <si>
    <t>O2 for Critical</t>
  </si>
  <si>
    <t>O2 for Severe</t>
  </si>
  <si>
    <t>Total O2</t>
  </si>
  <si>
    <t>Curves appear to flatten when max bed capacity is reached (and thus max oxygen delivery capacity)</t>
  </si>
  <si>
    <t>Oxygen Need (expressed in total flow rate of m3/day)</t>
  </si>
  <si>
    <t>For more information on oyxgen, see this resource: Oxygen sources and distribution for COVID-19 treatment centres</t>
  </si>
  <si>
    <t>https://www.who.int/publications-detail/oxygen-sources-and-distribution-for-covid-19-treatment-centres</t>
  </si>
  <si>
    <t>Bed caps for severe/critical inpatients</t>
  </si>
  <si>
    <t>HCW and staff caps</t>
  </si>
  <si>
    <t>Case and patients: breakdown per week</t>
  </si>
  <si>
    <t>With bed caps constraining admittances</t>
  </si>
  <si>
    <t>With bed caps - patients in beds per week</t>
  </si>
  <si>
    <t>With bed caps - patients discharged from beds per week</t>
  </si>
  <si>
    <t># of hospital facilities in use</t>
  </si>
  <si>
    <t>With HCW and Staff caps</t>
  </si>
  <si>
    <t>Inpatient HCW &amp; Staff</t>
  </si>
  <si>
    <t>New cases/patients presenting per week</t>
  </si>
  <si>
    <t>Options for different testing strategies</t>
  </si>
  <si>
    <t>HCW and staff: breakdown per week</t>
  </si>
  <si>
    <t>Suspected by negative cases</t>
  </si>
  <si>
    <t>Summary based on selected testing scenario - uncapped by capacity</t>
  </si>
  <si>
    <t>Output based on testing capacity</t>
  </si>
  <si>
    <t>Severe/critical testing (diagnosis and release)</t>
  </si>
  <si>
    <t>Please note that this is indicative and may not be achievable based on testing capacity; available tests may be used for different testing strategies</t>
  </si>
  <si>
    <t>General medical practitioner</t>
  </si>
  <si>
    <t>Internists</t>
  </si>
  <si>
    <t>Specialist medical practitioner (Junior resident medical officer, Medical licentiate)</t>
  </si>
  <si>
    <t>Nursing professional (Outpatient) (Clinical officer general)</t>
  </si>
  <si>
    <t>Nursing professional (Ward) (Registered nurse)</t>
  </si>
  <si>
    <t>Nursing professional (Critical care) (Clinical nurse)</t>
  </si>
  <si>
    <t>Junior Clinical Nurses</t>
  </si>
  <si>
    <t>Medical Technician (Radiology)</t>
  </si>
  <si>
    <t>Pharmaceutical technician</t>
  </si>
  <si>
    <t>Lab technician (Lab/medical lab scientist and technologist)</t>
  </si>
  <si>
    <t>Pharmacist (Pharmacists)</t>
  </si>
  <si>
    <t>Hospital support (Cleaner/Helper) (EHT)</t>
  </si>
  <si>
    <t>Patient support (Physio &amp; occupational therapy)</t>
  </si>
  <si>
    <t>Patient Support (Liaison nurse)</t>
  </si>
  <si>
    <t>Screening/triage ratio is based on the assumption that each screening/triage takes approximately 48 minutes, which is 10 consultations per 8-hour shift ((8*60)/48).</t>
  </si>
  <si>
    <t>Based on LMIC-specific HRH modelling</t>
  </si>
  <si>
    <t>HWFE tool methodology, combined with LMIC-specific inputs from consultations, e.g., with Ethiopian clinical leads</t>
  </si>
  <si>
    <t>HCW and cleaner values are based on 8 hour shifts and the latest workforce estimates for time required to perform activities related to caring for severe/critical patients, based on HWFE methodology. If 1 HCW covered 1.9 beds during an 8-hour shift, and there were 3 shifts in a 24-hour day, there would be 3 HCWs per 1.9 beds per day, or 3/1.9. The user would enter 1.6 in the input cell). Reference values will vary depending on entered case severity split, due to different care requirements for severe vs. critical patients.</t>
  </si>
  <si>
    <t>Country (WB)</t>
  </si>
  <si>
    <t>Country (UNDP)</t>
  </si>
  <si>
    <t>UNDP Population Data (2020)</t>
  </si>
  <si>
    <t>Not listed</t>
  </si>
  <si>
    <t>Curaçao</t>
  </si>
  <si>
    <t>Swaziland</t>
  </si>
  <si>
    <t>Faeroe Islands</t>
  </si>
  <si>
    <t>China, Hong Kong SAR</t>
  </si>
  <si>
    <t>Dem. People's Republic of Korea</t>
  </si>
  <si>
    <t>China, Macao SAR</t>
  </si>
  <si>
    <t>Micronesia (Fed. States of)</t>
  </si>
  <si>
    <t>TFYR Macedonia</t>
  </si>
  <si>
    <t>United States Virgin Islands</t>
  </si>
  <si>
    <t>State of Palestine</t>
  </si>
  <si>
    <t>Source: United Nations Development Programme - https://population.un.org/wup/Download/</t>
  </si>
  <si>
    <t>Population, total (2020)</t>
  </si>
  <si>
    <t>Population total, (2015)</t>
  </si>
  <si>
    <t>Average YOY growth</t>
  </si>
  <si>
    <t>Nurses &amp; midwives - reported values</t>
  </si>
  <si>
    <t>Lab staff - reported values</t>
  </si>
  <si>
    <t>Medical doctors - reported values</t>
  </si>
  <si>
    <t>Calculations to translate reported values into 2020 values</t>
  </si>
  <si>
    <t>Lab staff # per 1,000 population in 2020</t>
  </si>
  <si>
    <t>Doctors # per 1,000 population in 2020</t>
  </si>
  <si>
    <t>Nurses # per 1,000 population in 2020</t>
  </si>
  <si>
    <t>Calculations for unreported territories</t>
  </si>
  <si>
    <t>Lab staff filling gaps in data provided</t>
  </si>
  <si>
    <t>World Bank Hospital Beds</t>
  </si>
  <si>
    <t xml:space="preserve">This tab contains World Bank reference data used to generate estimates of hospital beds in each country. Use the Quick Navigation on the right to jump to each section. </t>
  </si>
  <si>
    <t>% ICU Beds</t>
  </si>
  <si>
    <t>Beds/1000 population</t>
  </si>
  <si>
    <t>Country Information</t>
  </si>
  <si>
    <t>Based on average for world from "WB HCW &amp; Beds" tab</t>
  </si>
  <si>
    <t>HCW, Staff and Beds Summary</t>
  </si>
  <si>
    <t>Description: Consolidates all HCW, labs and bed estimates for 2020</t>
  </si>
  <si>
    <t>Total beds</t>
  </si>
  <si>
    <t xml:space="preserve">1a </t>
  </si>
  <si>
    <t>1b</t>
  </si>
  <si>
    <t>2a</t>
  </si>
  <si>
    <t>2b</t>
  </si>
  <si>
    <t>2c</t>
  </si>
  <si>
    <t>2d</t>
  </si>
  <si>
    <t>3a</t>
  </si>
  <si>
    <t>3b</t>
  </si>
  <si>
    <t>3c</t>
  </si>
  <si>
    <t>3d</t>
  </si>
  <si>
    <t>4a</t>
  </si>
  <si>
    <t>4b</t>
  </si>
  <si>
    <t>4c</t>
  </si>
  <si>
    <t>7a</t>
  </si>
  <si>
    <t>7b</t>
  </si>
  <si>
    <t>8a</t>
  </si>
  <si>
    <t>8b</t>
  </si>
  <si>
    <t>8c</t>
  </si>
  <si>
    <t>Oxygen Needed (flow rate of m3/day) Each Week by Patient Severity Category</t>
  </si>
  <si>
    <r>
      <t xml:space="preserve">Oxygen needed for </t>
    </r>
    <r>
      <rPr>
        <u/>
        <sz val="11"/>
        <color theme="1"/>
        <rFont val="Calibri"/>
        <family val="2"/>
        <scheme val="minor"/>
      </rPr>
      <t>severe</t>
    </r>
    <r>
      <rPr>
        <sz val="11"/>
        <color theme="1"/>
        <rFont val="Calibri"/>
        <family val="2"/>
        <scheme val="minor"/>
      </rPr>
      <t xml:space="preserve"> patients in beds</t>
    </r>
  </si>
  <si>
    <r>
      <t xml:space="preserve">Total oxygen needed for </t>
    </r>
    <r>
      <rPr>
        <u/>
        <sz val="11"/>
        <color theme="1"/>
        <rFont val="Calibri"/>
        <family val="2"/>
        <scheme val="minor"/>
      </rPr>
      <t>all patients</t>
    </r>
    <r>
      <rPr>
        <sz val="11"/>
        <color theme="1"/>
        <rFont val="Calibri"/>
        <family val="2"/>
        <scheme val="minor"/>
      </rPr>
      <t xml:space="preserve"> in beds (severe + critical)</t>
    </r>
  </si>
  <si>
    <r>
      <t xml:space="preserve">% Critical patients with </t>
    </r>
    <r>
      <rPr>
        <u/>
        <sz val="11"/>
        <color theme="1"/>
        <rFont val="Calibri"/>
        <family val="2"/>
        <scheme val="minor"/>
      </rPr>
      <t>invasive</t>
    </r>
    <r>
      <rPr>
        <sz val="11"/>
        <color theme="1"/>
        <rFont val="Calibri"/>
        <family val="2"/>
        <scheme val="minor"/>
      </rPr>
      <t xml:space="preserve"> mechanical ventilation</t>
    </r>
  </si>
  <si>
    <r>
      <t xml:space="preserve">% Critical patients with </t>
    </r>
    <r>
      <rPr>
        <u/>
        <sz val="11"/>
        <color theme="1"/>
        <rFont val="Calibri"/>
        <family val="2"/>
        <scheme val="minor"/>
      </rPr>
      <t>non-invasive</t>
    </r>
    <r>
      <rPr>
        <sz val="11"/>
        <color theme="1"/>
        <rFont val="Calibri"/>
        <family val="2"/>
        <scheme val="minor"/>
      </rPr>
      <t xml:space="preserve"> ventilation</t>
    </r>
  </si>
  <si>
    <t>Critical Patient Ventilation Split</t>
  </si>
  <si>
    <r>
      <t>Critical Patients (</t>
    </r>
    <r>
      <rPr>
        <u/>
        <sz val="11"/>
        <color theme="1"/>
        <rFont val="Calibri"/>
        <family val="2"/>
        <scheme val="minor"/>
      </rPr>
      <t xml:space="preserve">invasive </t>
    </r>
    <r>
      <rPr>
        <sz val="11"/>
        <color theme="1"/>
        <rFont val="Calibri"/>
        <family val="2"/>
        <scheme val="minor"/>
      </rPr>
      <t>mechanical ventilation)</t>
    </r>
  </si>
  <si>
    <r>
      <t>Critical Patients (</t>
    </r>
    <r>
      <rPr>
        <u/>
        <sz val="11"/>
        <color theme="1"/>
        <rFont val="Calibri"/>
        <family val="2"/>
        <scheme val="minor"/>
      </rPr>
      <t>non-invasive</t>
    </r>
    <r>
      <rPr>
        <sz val="11"/>
        <color theme="1"/>
        <rFont val="Calibri"/>
        <family val="2"/>
        <scheme val="minor"/>
      </rPr>
      <t xml:space="preserve"> ventilation)</t>
    </r>
  </si>
  <si>
    <t>WHO recommendation</t>
  </si>
  <si>
    <r>
      <t xml:space="preserve">Oxygen needed for </t>
    </r>
    <r>
      <rPr>
        <u/>
        <sz val="11"/>
        <color theme="1"/>
        <rFont val="Calibri"/>
        <family val="2"/>
        <scheme val="minor"/>
      </rPr>
      <t>critical</t>
    </r>
    <r>
      <rPr>
        <sz val="11"/>
        <color theme="1"/>
        <rFont val="Calibri"/>
        <family val="2"/>
        <scheme val="minor"/>
      </rPr>
      <t xml:space="preserve"> patients in beds (</t>
    </r>
    <r>
      <rPr>
        <u/>
        <sz val="11"/>
        <color theme="1"/>
        <rFont val="Calibri"/>
        <family val="2"/>
        <scheme val="minor"/>
      </rPr>
      <t>non-invasive</t>
    </r>
    <r>
      <rPr>
        <sz val="11"/>
        <color theme="1"/>
        <rFont val="Calibri"/>
        <family val="2"/>
        <scheme val="minor"/>
      </rPr>
      <t xml:space="preserve"> ventilation)</t>
    </r>
  </si>
  <si>
    <r>
      <t xml:space="preserve">Oxygen needed for </t>
    </r>
    <r>
      <rPr>
        <u/>
        <sz val="11"/>
        <color theme="1"/>
        <rFont val="Calibri"/>
        <family val="2"/>
        <scheme val="minor"/>
      </rPr>
      <t>critical</t>
    </r>
    <r>
      <rPr>
        <sz val="11"/>
        <color theme="1"/>
        <rFont val="Calibri"/>
        <family val="2"/>
        <scheme val="minor"/>
      </rPr>
      <t xml:space="preserve"> patients in beds (</t>
    </r>
    <r>
      <rPr>
        <u/>
        <sz val="11"/>
        <color theme="1"/>
        <rFont val="Calibri"/>
        <family val="2"/>
        <scheme val="minor"/>
      </rPr>
      <t>invasive mechanical</t>
    </r>
    <r>
      <rPr>
        <sz val="11"/>
        <color theme="1"/>
        <rFont val="Calibri"/>
        <family val="2"/>
        <scheme val="minor"/>
      </rPr>
      <t xml:space="preserve"> ventilation)</t>
    </r>
  </si>
  <si>
    <r>
      <t>Tubing and bottles according to type of pump (mechanical or electric).</t>
    </r>
    <r>
      <rPr>
        <strike/>
        <sz val="11"/>
        <color theme="1"/>
        <rFont val="Calibri"/>
        <family val="2"/>
        <scheme val="minor"/>
      </rPr>
      <t xml:space="preserve">
</t>
    </r>
  </si>
  <si>
    <t>Commodity Quantification by Week</t>
  </si>
  <si>
    <r>
      <t>UNDP Population Data:</t>
    </r>
    <r>
      <rPr>
        <sz val="11"/>
        <color theme="1"/>
        <rFont val="Calibri"/>
        <family val="2"/>
        <scheme val="minor"/>
      </rPr>
      <t xml:space="preserve"> Contains UNDP population data for each country.</t>
    </r>
  </si>
  <si>
    <r>
      <t>WB Beds:</t>
    </r>
    <r>
      <rPr>
        <sz val="11"/>
        <color theme="1"/>
        <rFont val="Calibri"/>
        <family val="2"/>
        <scheme val="minor"/>
      </rPr>
      <t xml:space="preserve"> Contains World Bank estimates of hospital beds in each country.</t>
    </r>
  </si>
  <si>
    <r>
      <t>HCW, Staff, Beds Summary:</t>
    </r>
    <r>
      <rPr>
        <i/>
        <sz val="11"/>
        <color theme="1"/>
        <rFont val="Calibri"/>
        <family val="2"/>
        <scheme val="minor"/>
      </rPr>
      <t xml:space="preserve"> </t>
    </r>
    <r>
      <rPr>
        <sz val="11"/>
        <color theme="1"/>
        <rFont val="Calibri"/>
        <family val="2"/>
        <scheme val="minor"/>
      </rPr>
      <t>Summarizes staffing and bed data from the World Bank, WHO, and UNDP by country.</t>
    </r>
  </si>
  <si>
    <r>
      <rPr>
        <u/>
        <sz val="11"/>
        <color theme="1"/>
        <rFont val="Calibri"/>
        <family val="2"/>
        <scheme val="minor"/>
      </rPr>
      <t>Patient Calcs:</t>
    </r>
    <r>
      <rPr>
        <sz val="11"/>
        <color theme="1"/>
        <rFont val="Calibri"/>
        <family val="2"/>
        <scheme val="minor"/>
      </rPr>
      <t xml:space="preserve"> Shows the patient numbers each week depending on the case estimation method selected on the 'User Dashboard'. It also is where users will manually enter the number of cases if the manual option is selected.</t>
    </r>
  </si>
  <si>
    <r>
      <t>Commodities by Week:</t>
    </r>
    <r>
      <rPr>
        <sz val="11"/>
        <color theme="1"/>
        <rFont val="Calibri"/>
        <family val="2"/>
        <scheme val="minor"/>
      </rPr>
      <t xml:space="preserve"> Breaks down </t>
    </r>
    <r>
      <rPr>
        <i/>
        <sz val="11"/>
        <color theme="1"/>
        <rFont val="Calibri"/>
        <family val="2"/>
        <scheme val="minor"/>
      </rPr>
      <t>total</t>
    </r>
    <r>
      <rPr>
        <sz val="11"/>
        <color theme="1"/>
        <rFont val="Calibri"/>
        <family val="2"/>
        <scheme val="minor"/>
      </rPr>
      <t xml:space="preserve"> quantified need into weekly requirements</t>
    </r>
  </si>
  <si>
    <r>
      <t>Weekly Summary:</t>
    </r>
    <r>
      <rPr>
        <sz val="11"/>
        <color theme="1"/>
        <rFont val="Calibri"/>
        <family val="2"/>
        <scheme val="minor"/>
      </rPr>
      <t xml:space="preserve"> Summarizes HCW, staff, patient, and testing needs over time</t>
    </r>
  </si>
  <si>
    <t>Case, Patient, and HCW/Staff Presence by Week</t>
  </si>
  <si>
    <t>4 per facility</t>
  </si>
  <si>
    <t>Incremental Commodity Need per Week</t>
  </si>
  <si>
    <t>This tab takes the total commodity need over the course of the forecast and breaks it down into weekly requirements to better assist with supply planning. The below weekly needs are displayed as the incremental need each week, and so can be summed across rows to find the total need for a given scenario and forecast period. Pease note that due to rounding, some values may show as 0.</t>
  </si>
  <si>
    <t>The following four sheets have been left blank and unlocked for your use.</t>
  </si>
  <si>
    <t>Forecast week 0 (quantification starts after this week) in 'MM-DD-YY' format</t>
  </si>
  <si>
    <t>Blank Sheets</t>
  </si>
  <si>
    <t>The tool contains four blank unlocked sheets that can be used for various purposes while forecasting.</t>
  </si>
  <si>
    <t>WHO COVID-19 Essential Supplies Forecasting Tool (COVID-ESFT) v3</t>
  </si>
  <si>
    <t>v3 as of: 25-August-2020</t>
  </si>
  <si>
    <r>
      <t xml:space="preserve">WHO reference number: </t>
    </r>
    <r>
      <rPr>
        <sz val="11"/>
        <color rgb="FF0000FF"/>
        <rFont val="Calibri"/>
        <family val="2"/>
        <scheme val="minor"/>
      </rPr>
      <t>WHO/2019-nCoV/Tools/Essential_forecasting/2020.3</t>
    </r>
  </si>
  <si>
    <r>
      <rPr>
        <sz val="11"/>
        <rFont val="Calibri"/>
        <family val="2"/>
        <scheme val="minor"/>
      </rPr>
      <t xml:space="preserve">© World Health Organization 2020. Some rights reserved. This work is available under the </t>
    </r>
    <r>
      <rPr>
        <u/>
        <sz val="11"/>
        <color rgb="FF0000FF"/>
        <rFont val="Calibri"/>
        <family val="2"/>
        <scheme val="minor"/>
      </rPr>
      <t>CC BY-NC-SA 3.0 IGO</t>
    </r>
    <r>
      <rPr>
        <sz val="11"/>
        <rFont val="Calibri"/>
        <family val="2"/>
        <scheme val="minor"/>
      </rPr>
      <t xml:space="preserve"> licence.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</si>
</sst>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quot;$&quot;* #,##0.00_);_(&quot;$&quot;* \(#,##0.00\);_(&quot;$&quot;* &quot;-&quot;??_);_(@_)"/>
    <numFmt numFmtId="165" formatCode="_(* #,##0.00_);_(* \(#,##0.00\);_(* &quot;-&quot;??_);_(@_)"/>
    <numFmt numFmtId="166" formatCode="_-* #,##0.00_-;\-* #,##0.00_-;_-* &quot;-&quot;??_-;_-@_-"/>
    <numFmt numFmtId="167" formatCode="_(* #,##0_);_(* \(#,##0\);_(* &quot;-&quot;??_);_(@_)"/>
    <numFmt numFmtId="168" formatCode="0.0"/>
    <numFmt numFmtId="169" formatCode="_(* #,##0.0_);_(* \(#,##0.0\);_(* &quot;-&quot;??_);_(@_)"/>
    <numFmt numFmtId="170" formatCode="_(\ #,##0_);_(* \(#,##0\);_(* &quot;-&quot;??_);_(@_)"/>
    <numFmt numFmtId="171" formatCode="_(\ #,##0.00_);_(* \(#,##0.00\);_(* &quot;-&quot;??_);_(@_)"/>
    <numFmt numFmtId="172" formatCode="_(&quot;$&quot;* #,##0_);_(&quot;$&quot;* \(#,##0\);_(&quot;$&quot;* &quot;-&quot;??_);_(@_)"/>
    <numFmt numFmtId="173" formatCode="0.0%"/>
    <numFmt numFmtId="174" formatCode="0.00000000%"/>
    <numFmt numFmtId="175" formatCode="#,##0_);\(#,##0\);&quot;-  &quot;;&quot; &quot;@"/>
    <numFmt numFmtId="176" formatCode="0.00000"/>
    <numFmt numFmtId="177" formatCode="#,##0.0"/>
    <numFmt numFmtId="178" formatCode="#,##0.0_);\(#,##0.0\)"/>
    <numFmt numFmtId="179" formatCode="0.000"/>
    <numFmt numFmtId="180" formatCode="_(* #,##0.0_);_(* \(#,##0.0\);_(* &quot;-&quot;?_);_(@_)"/>
    <numFmt numFmtId="181" formatCode="_(* #,##0.000_);_(* \(#,##0.000\);_(* &quot;-&quot;??_);_(@_)"/>
    <numFmt numFmtId="182" formatCode="[$-409]d\-mmm\-yy;@"/>
    <numFmt numFmtId="183" formatCode="[&lt;1]_(* #,##0.00_);_(#,##0\);_(* &quot;&quot;#,#??_);_(@_)"/>
  </numFmts>
  <fonts count="124" x14ac:knownFonts="1">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sz val="10"/>
      <name val="MS Sans Serif"/>
      <family val="2"/>
    </font>
    <font>
      <b/>
      <sz val="11"/>
      <color theme="0"/>
      <name val="Calibri"/>
      <family val="2"/>
      <scheme val="minor"/>
    </font>
    <font>
      <b/>
      <sz val="11"/>
      <color theme="1"/>
      <name val="Calibri"/>
      <family val="2"/>
      <scheme val="minor"/>
    </font>
    <font>
      <sz val="12"/>
      <color theme="1"/>
      <name val="Calibri"/>
      <family val="2"/>
      <scheme val="minor"/>
    </font>
    <font>
      <sz val="11"/>
      <color rgb="FF3F3F76"/>
      <name val="Calibri"/>
      <family val="2"/>
      <scheme val="minor"/>
    </font>
    <font>
      <sz val="10"/>
      <color rgb="FF000000"/>
      <name val="Arial"/>
      <family val="2"/>
    </font>
    <font>
      <b/>
      <sz val="11"/>
      <color rgb="FF3F3F76"/>
      <name val="Calibri"/>
      <family val="2"/>
      <scheme val="minor"/>
    </font>
    <font>
      <sz val="10"/>
      <name val="Arial"/>
      <family val="2"/>
    </font>
    <font>
      <i/>
      <sz val="11"/>
      <color theme="1"/>
      <name val="Calibri"/>
      <family val="2"/>
      <scheme val="minor"/>
    </font>
    <font>
      <sz val="11"/>
      <color theme="0"/>
      <name val="Calibri"/>
      <family val="2"/>
      <scheme val="minor"/>
    </font>
    <font>
      <b/>
      <sz val="12"/>
      <color theme="1"/>
      <name val="Calibri"/>
      <family val="2"/>
      <scheme val="minor"/>
    </font>
    <font>
      <b/>
      <sz val="11"/>
      <name val="Calibri"/>
      <family val="2"/>
      <scheme val="minor"/>
    </font>
    <font>
      <b/>
      <sz val="16"/>
      <color theme="0"/>
      <name val="Calibri"/>
      <family val="2"/>
      <scheme val="minor"/>
    </font>
    <font>
      <sz val="9"/>
      <color indexed="81"/>
      <name val="Tahoma"/>
      <family val="2"/>
    </font>
    <font>
      <b/>
      <sz val="9"/>
      <color indexed="81"/>
      <name val="Tahoma"/>
      <family val="2"/>
    </font>
    <font>
      <b/>
      <u/>
      <sz val="11"/>
      <color theme="1"/>
      <name val="Calibri"/>
      <family val="2"/>
      <scheme val="minor"/>
    </font>
    <font>
      <b/>
      <sz val="14"/>
      <color theme="1"/>
      <name val="Calibri"/>
      <family val="2"/>
      <scheme val="minor"/>
    </font>
    <font>
      <b/>
      <i/>
      <sz val="11"/>
      <color theme="1"/>
      <name val="Calibri"/>
      <family val="2"/>
      <scheme val="minor"/>
    </font>
    <font>
      <b/>
      <sz val="14"/>
      <color theme="0"/>
      <name val="Calibri"/>
      <family val="2"/>
      <scheme val="minor"/>
    </font>
    <font>
      <sz val="11"/>
      <color theme="0" tint="-0.34998626667073579"/>
      <name val="Calibri"/>
      <family val="2"/>
      <scheme val="minor"/>
    </font>
    <font>
      <sz val="10"/>
      <name val="Arial"/>
      <family val="2"/>
    </font>
    <font>
      <b/>
      <sz val="10"/>
      <name val="Arial"/>
      <family val="2"/>
    </font>
    <font>
      <b/>
      <u/>
      <sz val="11"/>
      <color theme="0" tint="-0.34998626667073579"/>
      <name val="Calibri"/>
      <family val="2"/>
      <scheme val="minor"/>
    </font>
    <font>
      <b/>
      <sz val="24"/>
      <color theme="0"/>
      <name val="Calibri"/>
      <family val="2"/>
      <scheme val="minor"/>
    </font>
    <font>
      <sz val="11"/>
      <color theme="1"/>
      <name val="Calibri"/>
      <family val="2"/>
    </font>
    <font>
      <b/>
      <sz val="11"/>
      <color theme="1"/>
      <name val="Calibri"/>
      <family val="2"/>
    </font>
    <font>
      <b/>
      <sz val="13"/>
      <color theme="1"/>
      <name val="Calibri"/>
      <family val="2"/>
      <scheme val="minor"/>
    </font>
    <font>
      <b/>
      <i/>
      <sz val="11"/>
      <color theme="1"/>
      <name val="Calibri"/>
      <family val="2"/>
    </font>
    <font>
      <b/>
      <sz val="12"/>
      <color theme="0"/>
      <name val="Calibri"/>
      <family val="2"/>
      <scheme val="minor"/>
    </font>
    <font>
      <b/>
      <u/>
      <sz val="11"/>
      <color theme="1"/>
      <name val="Calibri"/>
      <family val="2"/>
    </font>
    <font>
      <b/>
      <i/>
      <sz val="10"/>
      <color rgb="FFC00000"/>
      <name val="Calibri"/>
      <family val="2"/>
      <scheme val="minor"/>
    </font>
    <font>
      <u/>
      <sz val="11"/>
      <color theme="1"/>
      <name val="Calibri"/>
      <family val="2"/>
    </font>
    <font>
      <u/>
      <sz val="11"/>
      <color theme="1"/>
      <name val="Calibri"/>
      <family val="2"/>
      <scheme val="minor"/>
    </font>
    <font>
      <b/>
      <i/>
      <sz val="12"/>
      <color theme="0"/>
      <name val="Calibri"/>
      <family val="2"/>
      <scheme val="minor"/>
    </font>
    <font>
      <sz val="10"/>
      <color theme="1"/>
      <name val="Calibri"/>
      <family val="2"/>
      <scheme val="minor"/>
    </font>
    <font>
      <u/>
      <sz val="10"/>
      <name val="Arial"/>
      <family val="2"/>
    </font>
    <font>
      <b/>
      <u/>
      <sz val="11"/>
      <name val="Calibri"/>
      <family val="2"/>
      <scheme val="minor"/>
    </font>
    <font>
      <b/>
      <sz val="10"/>
      <color theme="1"/>
      <name val="Calibri"/>
      <family val="2"/>
      <scheme val="minor"/>
    </font>
    <font>
      <sz val="11"/>
      <color theme="2" tint="-0.499984740745262"/>
      <name val="Calibri"/>
      <family val="2"/>
      <scheme val="minor"/>
    </font>
    <font>
      <b/>
      <i/>
      <sz val="14"/>
      <color theme="8" tint="-0.499984740745262"/>
      <name val="Calibri"/>
      <family val="2"/>
      <scheme val="minor"/>
    </font>
    <font>
      <i/>
      <sz val="11"/>
      <color theme="1"/>
      <name val="Calibri"/>
      <family val="2"/>
    </font>
    <font>
      <b/>
      <sz val="10"/>
      <name val="Calibri"/>
      <family val="2"/>
      <scheme val="minor"/>
    </font>
    <font>
      <sz val="10"/>
      <name val="Calibri"/>
      <family val="2"/>
      <scheme val="minor"/>
    </font>
    <font>
      <u/>
      <sz val="11"/>
      <color theme="10"/>
      <name val="Calibri"/>
      <family val="2"/>
      <scheme val="minor"/>
    </font>
    <font>
      <b/>
      <sz val="11"/>
      <name val="Arial"/>
      <family val="2"/>
    </font>
    <font>
      <b/>
      <u/>
      <sz val="11"/>
      <color indexed="12"/>
      <name val="Arial"/>
      <family val="2"/>
    </font>
    <font>
      <i/>
      <sz val="11"/>
      <color theme="0"/>
      <name val="Calibri"/>
      <family val="2"/>
      <scheme val="minor"/>
    </font>
    <font>
      <b/>
      <sz val="11"/>
      <color theme="1" tint="4.9989318521683403E-2"/>
      <name val="Calibri"/>
      <family val="2"/>
      <scheme val="minor"/>
    </font>
    <font>
      <b/>
      <sz val="10"/>
      <color theme="1"/>
      <name val="Arial"/>
      <family val="2"/>
    </font>
    <font>
      <sz val="10"/>
      <color theme="1"/>
      <name val="Arial"/>
      <family val="2"/>
    </font>
    <font>
      <b/>
      <sz val="11"/>
      <color theme="0"/>
      <name val="Calibri"/>
      <family val="2"/>
    </font>
    <font>
      <i/>
      <sz val="11"/>
      <name val="Calibri"/>
      <family val="2"/>
      <scheme val="minor"/>
    </font>
    <font>
      <sz val="10"/>
      <color theme="2" tint="-0.499984740745262"/>
      <name val="Calibri"/>
      <family val="2"/>
      <scheme val="minor"/>
    </font>
    <font>
      <i/>
      <sz val="10"/>
      <color theme="1"/>
      <name val="Calibri"/>
      <family val="2"/>
      <scheme val="minor"/>
    </font>
    <font>
      <sz val="11"/>
      <color rgb="FF1E7FB8"/>
      <name val="Calibri"/>
      <family val="2"/>
      <scheme val="minor"/>
    </font>
    <font>
      <b/>
      <u/>
      <sz val="12"/>
      <color theme="4"/>
      <name val="Calibri"/>
      <family val="2"/>
      <scheme val="minor"/>
    </font>
    <font>
      <sz val="11"/>
      <color theme="8" tint="0.79998168889431442"/>
      <name val="Calibri"/>
      <family val="2"/>
      <scheme val="minor"/>
    </font>
    <font>
      <b/>
      <vertAlign val="subscript"/>
      <sz val="11"/>
      <color theme="1"/>
      <name val="Calibri"/>
      <family val="2"/>
      <scheme val="minor"/>
    </font>
    <font>
      <i/>
      <sz val="10"/>
      <color theme="2" tint="-0.499984740745262"/>
      <name val="Calibri"/>
      <family val="2"/>
      <scheme val="minor"/>
    </font>
    <font>
      <b/>
      <sz val="11"/>
      <color rgb="FFC00000"/>
      <name val="Calibri"/>
      <family val="2"/>
      <scheme val="minor"/>
    </font>
    <font>
      <b/>
      <sz val="10"/>
      <color theme="0"/>
      <name val="Calibri"/>
      <family val="2"/>
      <scheme val="minor"/>
    </font>
    <font>
      <b/>
      <sz val="11"/>
      <color theme="4"/>
      <name val="Calibri"/>
      <family val="2"/>
      <scheme val="minor"/>
    </font>
    <font>
      <sz val="11"/>
      <color theme="0" tint="-0.499984740745262"/>
      <name val="Calibri"/>
      <family val="2"/>
      <scheme val="minor"/>
    </font>
    <font>
      <sz val="11"/>
      <color rgb="FF000000"/>
      <name val="Calibri"/>
      <family val="2"/>
      <scheme val="minor"/>
    </font>
    <font>
      <i/>
      <sz val="11"/>
      <color rgb="FFFF0000"/>
      <name val="Calibri"/>
      <family val="2"/>
      <scheme val="minor"/>
    </font>
    <font>
      <b/>
      <sz val="11"/>
      <color rgb="FF000000"/>
      <name val="Calibri"/>
      <family val="2"/>
      <scheme val="minor"/>
    </font>
    <font>
      <sz val="11"/>
      <color theme="4"/>
      <name val="Calibri"/>
      <family val="2"/>
      <scheme val="minor"/>
    </font>
    <font>
      <u/>
      <sz val="11"/>
      <color theme="4"/>
      <name val="Calibri"/>
      <family val="2"/>
      <scheme val="minor"/>
    </font>
    <font>
      <i/>
      <sz val="9"/>
      <color theme="1"/>
      <name val="Calibri"/>
      <family val="2"/>
      <scheme val="minor"/>
    </font>
    <font>
      <i/>
      <sz val="10"/>
      <name val="Calibri"/>
      <family val="2"/>
      <scheme val="minor"/>
    </font>
    <font>
      <b/>
      <i/>
      <sz val="12"/>
      <color theme="1"/>
      <name val="Calibri"/>
      <family val="2"/>
      <scheme val="minor"/>
    </font>
    <font>
      <sz val="11"/>
      <color rgb="FF006100"/>
      <name val="Calibri"/>
      <family val="2"/>
      <scheme val="minor"/>
    </font>
    <font>
      <b/>
      <sz val="11"/>
      <color theme="4"/>
      <name val="Calibri"/>
      <family val="2"/>
    </font>
    <font>
      <sz val="14"/>
      <color theme="1"/>
      <name val="Calibri"/>
      <family val="2"/>
      <scheme val="minor"/>
    </font>
    <font>
      <i/>
      <sz val="10"/>
      <color theme="1"/>
      <name val="Arial"/>
      <family val="2"/>
    </font>
    <font>
      <b/>
      <i/>
      <sz val="10"/>
      <color theme="1"/>
      <name val="Calibri"/>
      <family val="2"/>
      <scheme val="minor"/>
    </font>
    <font>
      <i/>
      <sz val="11"/>
      <color rgb="FFC00000"/>
      <name val="Calibri"/>
      <family val="2"/>
      <scheme val="minor"/>
    </font>
    <font>
      <b/>
      <sz val="12"/>
      <color theme="9" tint="-0.249977111117893"/>
      <name val="Calibri"/>
      <family val="2"/>
      <scheme val="minor"/>
    </font>
    <font>
      <b/>
      <sz val="12"/>
      <color theme="4"/>
      <name val="Calibri"/>
      <family val="2"/>
      <scheme val="minor"/>
    </font>
    <font>
      <b/>
      <sz val="12"/>
      <color theme="0" tint="-4.9989318521683403E-2"/>
      <name val="Calibri"/>
      <family val="2"/>
      <scheme val="minor"/>
    </font>
    <font>
      <sz val="12"/>
      <color theme="4"/>
      <name val="Calibri"/>
      <family val="2"/>
      <scheme val="minor"/>
    </font>
    <font>
      <sz val="24"/>
      <color theme="0"/>
      <name val="Calibri"/>
      <family val="2"/>
      <scheme val="minor"/>
    </font>
    <font>
      <sz val="12"/>
      <color theme="4" tint="-0.249977111117893"/>
      <name val="Calibri"/>
      <family val="2"/>
      <scheme val="minor"/>
    </font>
    <font>
      <b/>
      <sz val="12"/>
      <color theme="4" tint="-0.249977111117893"/>
      <name val="Calibri"/>
      <family val="2"/>
      <scheme val="minor"/>
    </font>
    <font>
      <b/>
      <sz val="16"/>
      <color theme="1"/>
      <name val="Calibri"/>
      <family val="2"/>
      <scheme val="minor"/>
    </font>
    <font>
      <strike/>
      <sz val="11"/>
      <color theme="1"/>
      <name val="Calibri"/>
      <family val="2"/>
      <scheme val="minor"/>
    </font>
    <font>
      <b/>
      <i/>
      <sz val="11"/>
      <name val="Calibri"/>
      <family val="2"/>
      <scheme val="minor"/>
    </font>
    <font>
      <b/>
      <u/>
      <sz val="11"/>
      <color indexed="12"/>
      <name val="Calibri"/>
      <family val="2"/>
      <scheme val="minor"/>
    </font>
    <font>
      <b/>
      <u/>
      <sz val="14"/>
      <color theme="0"/>
      <name val="Calibri"/>
      <family val="2"/>
      <scheme val="minor"/>
    </font>
    <font>
      <sz val="14"/>
      <color theme="0"/>
      <name val="Calibri"/>
      <family val="2"/>
      <scheme val="minor"/>
    </font>
    <font>
      <b/>
      <sz val="11"/>
      <color rgb="FFFF0000"/>
      <name val="Calibri"/>
      <family val="2"/>
      <scheme val="minor"/>
    </font>
    <font>
      <i/>
      <sz val="9"/>
      <color theme="0" tint="-0.499984740745262"/>
      <name val="Calibri"/>
      <family val="2"/>
      <scheme val="minor"/>
    </font>
    <font>
      <i/>
      <sz val="10"/>
      <color theme="0" tint="-0.499984740745262"/>
      <name val="Calibri"/>
      <family val="2"/>
      <scheme val="minor"/>
    </font>
    <font>
      <b/>
      <u/>
      <sz val="12"/>
      <color theme="10"/>
      <name val="Calibri"/>
      <family val="2"/>
      <scheme val="minor"/>
    </font>
    <font>
      <sz val="10"/>
      <color theme="1"/>
      <name val="Calibri"/>
      <family val="2"/>
    </font>
    <font>
      <sz val="11"/>
      <color theme="5"/>
      <name val="Calibri"/>
      <family val="2"/>
      <scheme val="minor"/>
    </font>
    <font>
      <sz val="10"/>
      <color theme="5"/>
      <name val="Calibri"/>
      <family val="2"/>
      <scheme val="minor"/>
    </font>
    <font>
      <b/>
      <sz val="11"/>
      <color theme="5"/>
      <name val="Calibri"/>
      <family val="2"/>
      <scheme val="minor"/>
    </font>
    <font>
      <sz val="11"/>
      <color theme="9" tint="-0.249977111117893"/>
      <name val="Calibri"/>
      <family val="2"/>
      <scheme val="minor"/>
    </font>
    <font>
      <i/>
      <sz val="10"/>
      <name val="Arial"/>
      <family val="2"/>
    </font>
    <font>
      <b/>
      <u/>
      <sz val="11"/>
      <color rgb="FFFF0000"/>
      <name val="Calibri"/>
      <family val="2"/>
      <scheme val="minor"/>
    </font>
    <font>
      <b/>
      <i/>
      <sz val="10"/>
      <name val="Calibri"/>
      <family val="2"/>
      <scheme val="minor"/>
    </font>
    <font>
      <sz val="11"/>
      <color theme="9"/>
      <name val="Calibri"/>
      <family val="2"/>
      <scheme val="minor"/>
    </font>
    <font>
      <sz val="10"/>
      <color theme="9"/>
      <name val="Arial"/>
      <family val="2"/>
    </font>
    <font>
      <sz val="10.5"/>
      <color theme="1"/>
      <name val="Calibri"/>
      <family val="2"/>
      <scheme val="minor"/>
    </font>
    <font>
      <i/>
      <sz val="10.5"/>
      <color theme="1"/>
      <name val="Calibri"/>
      <family val="2"/>
      <scheme val="minor"/>
    </font>
    <font>
      <i/>
      <sz val="9"/>
      <name val="Calibri"/>
      <family val="2"/>
      <scheme val="minor"/>
    </font>
    <font>
      <b/>
      <i/>
      <u/>
      <sz val="9"/>
      <color theme="1"/>
      <name val="Calibri"/>
      <family val="2"/>
      <scheme val="minor"/>
    </font>
    <font>
      <b/>
      <i/>
      <sz val="9"/>
      <color theme="1"/>
      <name val="Calibri"/>
      <family val="2"/>
      <scheme val="minor"/>
    </font>
    <font>
      <b/>
      <i/>
      <sz val="9"/>
      <name val="Calibri"/>
      <family val="2"/>
      <scheme val="minor"/>
    </font>
    <font>
      <u/>
      <sz val="9"/>
      <color rgb="FF000000"/>
      <name val="Tahoma"/>
      <family val="2"/>
    </font>
    <font>
      <sz val="9"/>
      <color rgb="FF000000"/>
      <name val="Tahoma"/>
      <family val="2"/>
    </font>
    <font>
      <i/>
      <u/>
      <sz val="10"/>
      <color theme="1"/>
      <name val="Calibri"/>
      <family val="2"/>
      <scheme val="minor"/>
    </font>
    <font>
      <sz val="11"/>
      <color rgb="FFC00000"/>
      <name val="Calibri"/>
      <family val="2"/>
      <scheme val="minor"/>
    </font>
    <font>
      <b/>
      <i/>
      <sz val="11"/>
      <color rgb="FFC00000"/>
      <name val="Calibri"/>
      <family val="2"/>
      <scheme val="minor"/>
    </font>
    <font>
      <sz val="9"/>
      <color theme="1"/>
      <name val="Calibri"/>
      <family val="2"/>
      <scheme val="minor"/>
    </font>
    <font>
      <sz val="8"/>
      <color rgb="FF000000"/>
      <name val="Segoe UI"/>
      <family val="2"/>
    </font>
    <font>
      <sz val="11"/>
      <color rgb="FF0000FF"/>
      <name val="Calibri"/>
      <family val="2"/>
      <scheme val="minor"/>
    </font>
    <font>
      <u/>
      <sz val="11"/>
      <color rgb="FF0000FF"/>
      <name val="Calibri"/>
      <family val="2"/>
      <scheme val="minor"/>
    </font>
  </fonts>
  <fills count="40">
    <fill>
      <patternFill patternType="none"/>
    </fill>
    <fill>
      <patternFill patternType="gray125"/>
    </fill>
    <fill>
      <patternFill patternType="solid">
        <fgColor rgb="FFFFCC99"/>
      </patternFill>
    </fill>
    <fill>
      <patternFill patternType="solid">
        <fgColor rgb="FF1E7FB8"/>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bgColor indexed="64"/>
      </patternFill>
    </fill>
    <fill>
      <patternFill patternType="solid">
        <fgColor theme="4"/>
        <bgColor theme="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C6EFCE"/>
      </patternFill>
    </fill>
    <fill>
      <patternFill patternType="solid">
        <fgColor theme="7" tint="0.59999389629810485"/>
        <bgColor indexed="64"/>
      </patternFill>
    </fill>
    <fill>
      <patternFill patternType="solid">
        <fgColor rgb="FFFF0000"/>
        <bgColor indexed="64"/>
      </patternFill>
    </fill>
    <fill>
      <patternFill patternType="solid">
        <fgColor theme="2" tint="-0.499984740745262"/>
        <bgColor theme="4" tint="0.79998168889431442"/>
      </patternFill>
    </fill>
    <fill>
      <patternFill patternType="solid">
        <fgColor theme="2" tint="-0.249977111117893"/>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0.499984740745262"/>
        <bgColor theme="4"/>
      </patternFill>
    </fill>
    <fill>
      <patternFill patternType="solid">
        <fgColor theme="2" tint="-9.9978637043366805E-2"/>
        <bgColor theme="4" tint="0.79998168889431442"/>
      </patternFill>
    </fill>
    <fill>
      <patternFill patternType="solid">
        <fgColor theme="0" tint="-0.34998626667073579"/>
        <bgColor indexed="64"/>
      </patternFill>
    </fill>
    <fill>
      <patternFill patternType="solid">
        <fgColor theme="1"/>
        <bgColor indexed="64"/>
      </patternFill>
    </fill>
  </fills>
  <borders count="115">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indexed="64"/>
      </top>
      <bottom style="thin">
        <color auto="1"/>
      </bottom>
      <diagonal/>
    </border>
    <border>
      <left style="medium">
        <color indexed="64"/>
      </left>
      <right/>
      <top style="thin">
        <color auto="1"/>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auto="1"/>
      </right>
      <top/>
      <bottom style="thin">
        <color auto="1"/>
      </bottom>
      <diagonal/>
    </border>
    <border>
      <left/>
      <right/>
      <top style="medium">
        <color indexed="64"/>
      </top>
      <bottom style="thin">
        <color auto="1"/>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auto="1"/>
      </bottom>
      <diagonal/>
    </border>
    <border>
      <left/>
      <right style="medium">
        <color indexed="64"/>
      </right>
      <top style="thin">
        <color theme="4" tint="0.39997558519241921"/>
      </top>
      <bottom style="thin">
        <color indexed="64"/>
      </bottom>
      <diagonal/>
    </border>
    <border>
      <left style="medium">
        <color indexed="64"/>
      </left>
      <right/>
      <top style="medium">
        <color indexed="64"/>
      </top>
      <bottom style="thin">
        <color indexed="64"/>
      </bottom>
      <diagonal/>
    </border>
    <border>
      <left style="thin">
        <color theme="1"/>
      </left>
      <right style="medium">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medium">
        <color theme="1"/>
      </left>
      <right style="thin">
        <color theme="1"/>
      </right>
      <top style="thin">
        <color theme="1"/>
      </top>
      <bottom style="medium">
        <color auto="1"/>
      </bottom>
      <diagonal/>
    </border>
    <border>
      <left style="medium">
        <color auto="1"/>
      </left>
      <right style="thin">
        <color theme="1"/>
      </right>
      <top style="thin">
        <color theme="1"/>
      </top>
      <bottom style="medium">
        <color auto="1"/>
      </bottom>
      <diagonal/>
    </border>
    <border>
      <left style="thin">
        <color theme="1"/>
      </left>
      <right/>
      <top style="thin">
        <color theme="1"/>
      </top>
      <bottom style="medium">
        <color auto="1"/>
      </bottom>
      <diagonal/>
    </border>
    <border>
      <left/>
      <right style="thin">
        <color theme="1"/>
      </right>
      <top style="thin">
        <color theme="1"/>
      </top>
      <bottom style="medium">
        <color auto="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medium">
        <color auto="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thin">
        <color theme="1"/>
      </left>
      <right style="medium">
        <color theme="1"/>
      </right>
      <top style="thin">
        <color auto="1"/>
      </top>
      <bottom style="thin">
        <color theme="1"/>
      </bottom>
      <diagonal/>
    </border>
    <border>
      <left style="thin">
        <color theme="1"/>
      </left>
      <right style="thin">
        <color theme="1"/>
      </right>
      <top style="thin">
        <color auto="1"/>
      </top>
      <bottom style="thin">
        <color theme="1"/>
      </bottom>
      <diagonal/>
    </border>
    <border>
      <left style="thin">
        <color theme="1"/>
      </left>
      <right/>
      <top/>
      <bottom style="thin">
        <color theme="1"/>
      </bottom>
      <diagonal/>
    </border>
    <border>
      <left style="thin">
        <color theme="1"/>
      </left>
      <right style="medium">
        <color theme="1"/>
      </right>
      <top style="thin">
        <color theme="1"/>
      </top>
      <bottom style="thin">
        <color auto="1"/>
      </bottom>
      <diagonal/>
    </border>
    <border>
      <left style="thin">
        <color theme="1"/>
      </left>
      <right style="thin">
        <color theme="1"/>
      </right>
      <top style="thin">
        <color theme="1"/>
      </top>
      <bottom style="thin">
        <color auto="1"/>
      </bottom>
      <diagonal/>
    </border>
    <border>
      <left style="medium">
        <color auto="1"/>
      </left>
      <right style="thin">
        <color theme="1"/>
      </right>
      <top style="thin">
        <color theme="1"/>
      </top>
      <bottom style="thin">
        <color auto="1"/>
      </bottom>
      <diagonal/>
    </border>
    <border>
      <left style="thin">
        <color indexed="64"/>
      </left>
      <right style="medium">
        <color auto="1"/>
      </right>
      <top style="medium">
        <color theme="1"/>
      </top>
      <bottom/>
      <diagonal/>
    </border>
    <border>
      <left style="thin">
        <color auto="1"/>
      </left>
      <right/>
      <top style="medium">
        <color auto="1"/>
      </top>
      <bottom style="medium">
        <color theme="1"/>
      </bottom>
      <diagonal/>
    </border>
    <border>
      <left/>
      <right style="thin">
        <color auto="1"/>
      </right>
      <top style="medium">
        <color auto="1"/>
      </top>
      <bottom style="medium">
        <color theme="1"/>
      </bottom>
      <diagonal/>
    </border>
    <border>
      <left/>
      <right/>
      <top/>
      <bottom style="thin">
        <color theme="4"/>
      </bottom>
      <diagonal/>
    </border>
    <border>
      <left/>
      <right/>
      <top style="thin">
        <color theme="4"/>
      </top>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style="thin">
        <color theme="4" tint="0.39997558519241921"/>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rgb="FF000000"/>
      </left>
      <right/>
      <top style="thin">
        <color rgb="FF000000"/>
      </top>
      <bottom style="thin">
        <color rgb="FF000000"/>
      </bottom>
      <diagonal/>
    </border>
    <border>
      <left style="medium">
        <color auto="1"/>
      </left>
      <right style="medium">
        <color auto="1"/>
      </right>
      <top style="thin">
        <color theme="1"/>
      </top>
      <bottom style="thin">
        <color theme="1"/>
      </bottom>
      <diagonal/>
    </border>
    <border>
      <left style="medium">
        <color indexed="64"/>
      </left>
      <right style="thin">
        <color theme="1"/>
      </right>
      <top/>
      <bottom style="thin">
        <color theme="1"/>
      </bottom>
      <diagonal/>
    </border>
    <border>
      <left style="thin">
        <color theme="1"/>
      </left>
      <right/>
      <top style="thin">
        <color theme="1"/>
      </top>
      <bottom style="thin">
        <color auto="1"/>
      </bottom>
      <diagonal/>
    </border>
    <border>
      <left/>
      <right/>
      <top style="thin">
        <color theme="1"/>
      </top>
      <bottom style="thin">
        <color theme="1"/>
      </bottom>
      <diagonal/>
    </border>
  </borders>
  <cellStyleXfs count="31">
    <xf numFmtId="0" fontId="0" fillId="0" borderId="0"/>
    <xf numFmtId="165" fontId="2" fillId="0" borderId="0" applyFont="0" applyFill="0" applyBorder="0" applyAlignment="0" applyProtection="0"/>
    <xf numFmtId="0" fontId="5" fillId="0" borderId="0"/>
    <xf numFmtId="166" fontId="5" fillId="0" borderId="0" applyFont="0" applyFill="0" applyBorder="0" applyAlignment="0" applyProtection="0"/>
    <xf numFmtId="0" fontId="8" fillId="0" borderId="0"/>
    <xf numFmtId="0" fontId="9" fillId="2" borderId="11" applyNumberFormat="0" applyAlignment="0" applyProtection="0"/>
    <xf numFmtId="0" fontId="10" fillId="0" borderId="0"/>
    <xf numFmtId="0" fontId="2" fillId="0" borderId="0"/>
    <xf numFmtId="9" fontId="2" fillId="0" borderId="0" applyFont="0" applyFill="0" applyBorder="0" applyAlignment="0" applyProtection="0"/>
    <xf numFmtId="165" fontId="10" fillId="0" borderId="0" applyFont="0" applyFill="0" applyBorder="0" applyAlignment="0" applyProtection="0"/>
    <xf numFmtId="0" fontId="2" fillId="0" borderId="0"/>
    <xf numFmtId="0" fontId="25" fillId="0" borderId="0"/>
    <xf numFmtId="165" fontId="25" fillId="0" borderId="0" applyFont="0" applyFill="0" applyBorder="0" applyAlignment="0" applyProtection="0"/>
    <xf numFmtId="0" fontId="1" fillId="0" borderId="0"/>
    <xf numFmtId="0" fontId="2" fillId="0" borderId="0"/>
    <xf numFmtId="0" fontId="48" fillId="0" borderId="0" applyNumberFormat="0" applyFill="0" applyBorder="0" applyAlignment="0" applyProtection="0"/>
    <xf numFmtId="0" fontId="12" fillId="0" borderId="0">
      <alignment vertical="top"/>
    </xf>
    <xf numFmtId="0" fontId="12" fillId="0" borderId="1">
      <alignment vertical="top"/>
    </xf>
    <xf numFmtId="0" fontId="49" fillId="0" borderId="56">
      <alignment vertical="top" wrapText="1"/>
    </xf>
    <xf numFmtId="0" fontId="50" fillId="0" borderId="56">
      <alignment vertical="top" wrapText="1"/>
    </xf>
    <xf numFmtId="0" fontId="12" fillId="0" borderId="0"/>
    <xf numFmtId="164" fontId="2" fillId="0" borderId="0" applyFont="0" applyFill="0" applyBorder="0" applyAlignment="0" applyProtection="0"/>
    <xf numFmtId="0" fontId="76" fillId="29" borderId="0" applyNumberFormat="0" applyBorder="0" applyAlignment="0" applyProtection="0"/>
    <xf numFmtId="0" fontId="10" fillId="0" borderId="0"/>
    <xf numFmtId="165" fontId="1" fillId="0" borderId="0" applyFont="0" applyFill="0" applyBorder="0" applyAlignment="0" applyProtection="0"/>
    <xf numFmtId="0" fontId="1" fillId="0" borderId="0"/>
    <xf numFmtId="165" fontId="2" fillId="0" borderId="0" applyFont="0" applyFill="0" applyBorder="0" applyAlignment="0" applyProtection="0"/>
    <xf numFmtId="0" fontId="10" fillId="0" borderId="0"/>
    <xf numFmtId="175" fontId="26" fillId="0" borderId="0" applyFont="0" applyFill="0" applyBorder="0" applyProtection="0">
      <alignment vertical="top"/>
    </xf>
    <xf numFmtId="0" fontId="12" fillId="0" borderId="0" applyNumberFormat="0" applyFont="0" applyFill="0" applyBorder="0" applyAlignment="0" applyProtection="0"/>
    <xf numFmtId="165" fontId="12" fillId="0" borderId="0" applyFont="0" applyFill="0" applyBorder="0" applyAlignment="0" applyProtection="0"/>
  </cellStyleXfs>
  <cellXfs count="1610">
    <xf numFmtId="0" fontId="0" fillId="0" borderId="0" xfId="0"/>
    <xf numFmtId="0" fontId="0" fillId="0" borderId="0" xfId="0" applyAlignment="1">
      <alignment wrapText="1"/>
    </xf>
    <xf numFmtId="1" fontId="0" fillId="0" borderId="0" xfId="0" applyNumberFormat="1"/>
    <xf numFmtId="0" fontId="0" fillId="0" borderId="0" xfId="0" applyFont="1" applyFill="1"/>
    <xf numFmtId="0" fontId="7" fillId="0" borderId="0" xfId="0" applyFont="1"/>
    <xf numFmtId="0" fontId="0" fillId="0" borderId="0" xfId="0" applyFont="1"/>
    <xf numFmtId="0" fontId="0" fillId="0" borderId="0" xfId="0" applyFill="1"/>
    <xf numFmtId="0" fontId="0" fillId="0" borderId="0" xfId="0" applyFill="1" applyBorder="1"/>
    <xf numFmtId="0" fontId="20" fillId="0" borderId="0" xfId="0" applyFont="1"/>
    <xf numFmtId="0" fontId="14" fillId="0" borderId="0" xfId="0" applyFont="1"/>
    <xf numFmtId="0" fontId="0" fillId="6" borderId="0" xfId="0" applyFill="1"/>
    <xf numFmtId="0" fontId="0" fillId="8" borderId="0" xfId="0" applyFill="1"/>
    <xf numFmtId="0" fontId="0" fillId="10" borderId="0" xfId="0" applyFill="1"/>
    <xf numFmtId="0" fontId="7" fillId="7" borderId="0" xfId="0" applyFont="1" applyFill="1"/>
    <xf numFmtId="0" fontId="0" fillId="7" borderId="0" xfId="0" applyFill="1"/>
    <xf numFmtId="0" fontId="3" fillId="0" borderId="0" xfId="0" applyFont="1"/>
    <xf numFmtId="1" fontId="16" fillId="0" borderId="15" xfId="8" applyNumberFormat="1" applyFont="1" applyFill="1" applyBorder="1" applyAlignment="1">
      <alignment horizontal="center"/>
    </xf>
    <xf numFmtId="0" fontId="7" fillId="0" borderId="15" xfId="0" applyFont="1" applyFill="1" applyBorder="1"/>
    <xf numFmtId="0" fontId="7" fillId="0" borderId="15" xfId="0" applyFont="1" applyBorder="1"/>
    <xf numFmtId="0" fontId="21" fillId="9" borderId="0" xfId="0" applyFont="1" applyFill="1"/>
    <xf numFmtId="0" fontId="13" fillId="0" borderId="0" xfId="0" applyFont="1"/>
    <xf numFmtId="0" fontId="7" fillId="0" borderId="0" xfId="0" applyFont="1" applyFill="1" applyBorder="1"/>
    <xf numFmtId="0" fontId="0" fillId="0" borderId="0" xfId="0" applyFont="1" applyFill="1" applyBorder="1" applyAlignment="1">
      <alignment horizontal="center"/>
    </xf>
    <xf numFmtId="0" fontId="23" fillId="17" borderId="0" xfId="0" applyFont="1" applyFill="1"/>
    <xf numFmtId="0" fontId="23" fillId="17" borderId="0" xfId="0" applyFont="1" applyFill="1" applyAlignment="1">
      <alignment wrapText="1"/>
    </xf>
    <xf numFmtId="0" fontId="0" fillId="18" borderId="0" xfId="0" applyFill="1"/>
    <xf numFmtId="0" fontId="0" fillId="18" borderId="0" xfId="0" applyFill="1" applyAlignment="1">
      <alignment wrapText="1"/>
    </xf>
    <xf numFmtId="0" fontId="7" fillId="0" borderId="0" xfId="0" applyFont="1" applyAlignment="1">
      <alignment wrapText="1"/>
    </xf>
    <xf numFmtId="167" fontId="0" fillId="0" borderId="0" xfId="1" applyNumberFormat="1" applyFont="1"/>
    <xf numFmtId="167" fontId="0" fillId="0" borderId="0" xfId="0" applyNumberFormat="1"/>
    <xf numFmtId="167" fontId="0" fillId="0" borderId="0" xfId="1" applyNumberFormat="1" applyFont="1" applyFill="1"/>
    <xf numFmtId="0" fontId="13" fillId="0" borderId="0" xfId="0" applyFont="1" applyFill="1"/>
    <xf numFmtId="165" fontId="0" fillId="0" borderId="0" xfId="0" applyNumberFormat="1"/>
    <xf numFmtId="0" fontId="25" fillId="0" borderId="0" xfId="11"/>
    <xf numFmtId="167" fontId="0" fillId="0" borderId="0" xfId="0" applyNumberFormat="1" applyFill="1"/>
    <xf numFmtId="0" fontId="7" fillId="0" borderId="0" xfId="0" applyFont="1" applyFill="1"/>
    <xf numFmtId="0" fontId="7" fillId="0" borderId="0" xfId="0" applyFont="1" applyFill="1" applyAlignment="1">
      <alignment wrapText="1"/>
    </xf>
    <xf numFmtId="0" fontId="7" fillId="9" borderId="0" xfId="0" applyFont="1" applyFill="1"/>
    <xf numFmtId="167" fontId="13" fillId="0" borderId="0" xfId="1" applyNumberFormat="1" applyFont="1" applyFill="1"/>
    <xf numFmtId="0" fontId="0" fillId="0" borderId="0" xfId="0" quotePrefix="1" applyFont="1" applyFill="1"/>
    <xf numFmtId="0" fontId="0" fillId="0" borderId="0" xfId="0" applyFont="1" applyFill="1" applyBorder="1" applyAlignment="1">
      <alignment horizontal="left"/>
    </xf>
    <xf numFmtId="0" fontId="0" fillId="0" borderId="0" xfId="0"/>
    <xf numFmtId="0" fontId="7" fillId="8" borderId="0" xfId="0" applyFont="1" applyFill="1"/>
    <xf numFmtId="0" fontId="21" fillId="3" borderId="0" xfId="0" applyFont="1" applyFill="1"/>
    <xf numFmtId="0" fontId="28" fillId="3" borderId="0" xfId="0" applyFont="1" applyFill="1" applyAlignment="1">
      <alignment vertical="center"/>
    </xf>
    <xf numFmtId="0" fontId="15" fillId="4" borderId="0" xfId="0" applyFont="1" applyFill="1" applyAlignment="1">
      <alignment horizontal="center" vertical="center"/>
    </xf>
    <xf numFmtId="0" fontId="15"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0" fontId="17" fillId="3" borderId="0" xfId="0" applyFont="1" applyFill="1"/>
    <xf numFmtId="0" fontId="17" fillId="3" borderId="0" xfId="0" applyFont="1" applyFill="1" applyAlignment="1">
      <alignment horizontal="left" vertical="center" indent="13"/>
    </xf>
    <xf numFmtId="0" fontId="35" fillId="0" borderId="0" xfId="0" applyFont="1"/>
    <xf numFmtId="0" fontId="34" fillId="0" borderId="0" xfId="0" quotePrefix="1" applyFont="1" applyAlignment="1">
      <alignment horizontal="left" vertical="center" wrapText="1" indent="3"/>
    </xf>
    <xf numFmtId="0" fontId="30" fillId="0" borderId="0" xfId="0" quotePrefix="1" applyFont="1" applyAlignment="1">
      <alignment horizontal="left" vertical="top" wrapText="1" indent="3"/>
    </xf>
    <xf numFmtId="165" fontId="0" fillId="0" borderId="0" xfId="1" applyFont="1"/>
    <xf numFmtId="165" fontId="0" fillId="0" borderId="0" xfId="0" applyNumberFormat="1" applyFill="1"/>
    <xf numFmtId="167" fontId="0" fillId="0" borderId="0" xfId="1" applyNumberFormat="1" applyFont="1" applyFill="1" applyBorder="1" applyAlignment="1"/>
    <xf numFmtId="1" fontId="0" fillId="0" borderId="10" xfId="0" applyNumberFormat="1" applyBorder="1"/>
    <xf numFmtId="1" fontId="0" fillId="0" borderId="9" xfId="0" applyNumberFormat="1" applyBorder="1"/>
    <xf numFmtId="1" fontId="0" fillId="0" borderId="0" xfId="0" applyNumberFormat="1" applyBorder="1"/>
    <xf numFmtId="0" fontId="7" fillId="0" borderId="44" xfId="0" applyFont="1" applyBorder="1" applyAlignment="1">
      <alignment wrapText="1"/>
    </xf>
    <xf numFmtId="0" fontId="25" fillId="8" borderId="23" xfId="1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39" fillId="0" borderId="0" xfId="0" applyFont="1"/>
    <xf numFmtId="0" fontId="44" fillId="0" borderId="0" xfId="0" applyFont="1"/>
    <xf numFmtId="0" fontId="0" fillId="0" borderId="0" xfId="0" applyAlignment="1">
      <alignment vertical="top" wrapText="1"/>
    </xf>
    <xf numFmtId="0" fontId="0" fillId="8" borderId="5" xfId="0" applyFill="1" applyBorder="1" applyAlignment="1" applyProtection="1">
      <alignment horizontal="center"/>
      <protection locked="0"/>
    </xf>
    <xf numFmtId="0" fontId="0" fillId="0" borderId="0" xfId="0" applyAlignment="1">
      <alignment vertical="center"/>
    </xf>
    <xf numFmtId="0" fontId="7" fillId="0" borderId="0" xfId="0" applyFont="1" applyAlignment="1">
      <alignment horizontal="left" vertical="center" wrapText="1"/>
    </xf>
    <xf numFmtId="0" fontId="0" fillId="0" borderId="0" xfId="0" applyAlignment="1">
      <alignment vertical="center" wrapText="1"/>
    </xf>
    <xf numFmtId="0" fontId="0" fillId="0" borderId="0" xfId="0" applyAlignment="1">
      <alignment horizontal="left" vertical="center" wrapText="1" indent="4"/>
    </xf>
    <xf numFmtId="0" fontId="0" fillId="0" borderId="0" xfId="0" applyAlignment="1">
      <alignment horizontal="left" vertical="center"/>
    </xf>
    <xf numFmtId="0" fontId="37" fillId="0" borderId="0" xfId="0" applyFont="1"/>
    <xf numFmtId="167" fontId="7" fillId="0" borderId="0" xfId="1" applyNumberFormat="1" applyFont="1" applyFill="1" applyAlignment="1">
      <alignment wrapText="1"/>
    </xf>
    <xf numFmtId="0" fontId="0" fillId="7" borderId="0" xfId="0" applyFill="1" applyAlignment="1">
      <alignment wrapText="1"/>
    </xf>
    <xf numFmtId="1" fontId="47" fillId="0" borderId="0" xfId="16" applyNumberFormat="1" applyFont="1" applyBorder="1">
      <alignment vertical="top"/>
    </xf>
    <xf numFmtId="0" fontId="47" fillId="0" borderId="0" xfId="17" applyNumberFormat="1" applyFont="1" applyFill="1" applyBorder="1" applyAlignment="1" applyProtection="1">
      <alignment vertical="top"/>
    </xf>
    <xf numFmtId="0" fontId="2" fillId="0" borderId="0" xfId="10"/>
    <xf numFmtId="165" fontId="2" fillId="0" borderId="0" xfId="1" applyFont="1"/>
    <xf numFmtId="2" fontId="0" fillId="0" borderId="0" xfId="0" applyNumberFormat="1"/>
    <xf numFmtId="9" fontId="0" fillId="0" borderId="0" xfId="8" applyFont="1"/>
    <xf numFmtId="0" fontId="0" fillId="0" borderId="0" xfId="0" applyAlignment="1">
      <alignment vertical="top"/>
    </xf>
    <xf numFmtId="0" fontId="21" fillId="3" borderId="0" xfId="0" applyFont="1" applyFill="1" applyProtection="1"/>
    <xf numFmtId="0" fontId="28" fillId="3" borderId="0" xfId="0" applyFont="1" applyFill="1" applyAlignment="1" applyProtection="1">
      <alignment vertical="center"/>
    </xf>
    <xf numFmtId="0" fontId="0" fillId="0" borderId="0" xfId="0" applyProtection="1"/>
    <xf numFmtId="0" fontId="0" fillId="0" borderId="0" xfId="0" applyFill="1" applyProtection="1"/>
    <xf numFmtId="0" fontId="0" fillId="7" borderId="0" xfId="0" applyFill="1" applyProtection="1"/>
    <xf numFmtId="0" fontId="31" fillId="7" borderId="0" xfId="0" applyFont="1" applyFill="1" applyProtection="1"/>
    <xf numFmtId="0" fontId="7" fillId="7" borderId="0" xfId="0" applyFont="1" applyFill="1" applyProtection="1"/>
    <xf numFmtId="0" fontId="0" fillId="0" borderId="0" xfId="0" applyFont="1" applyProtection="1"/>
    <xf numFmtId="0" fontId="7" fillId="0" borderId="0" xfId="0" applyFont="1" applyProtection="1"/>
    <xf numFmtId="0" fontId="24" fillId="5" borderId="0" xfId="0" applyFont="1" applyFill="1" applyProtection="1"/>
    <xf numFmtId="0" fontId="27" fillId="5" borderId="0" xfId="0" applyFont="1" applyFill="1" applyProtection="1"/>
    <xf numFmtId="0" fontId="0" fillId="0" borderId="0" xfId="0" applyBorder="1" applyProtection="1"/>
    <xf numFmtId="0" fontId="43" fillId="0" borderId="0" xfId="0" applyFont="1" applyAlignment="1" applyProtection="1">
      <alignment vertical="center" wrapText="1"/>
    </xf>
    <xf numFmtId="170" fontId="43" fillId="0" borderId="0" xfId="1" applyNumberFormat="1" applyFont="1" applyAlignment="1" applyProtection="1">
      <alignment horizontal="center" vertical="center"/>
    </xf>
    <xf numFmtId="0" fontId="7" fillId="0" borderId="32" xfId="0" applyFont="1" applyBorder="1" applyAlignment="1" applyProtection="1">
      <alignment vertical="center"/>
    </xf>
    <xf numFmtId="0" fontId="7" fillId="0" borderId="29" xfId="0" applyFont="1" applyBorder="1" applyAlignment="1" applyProtection="1">
      <alignment vertical="center"/>
    </xf>
    <xf numFmtId="0" fontId="7" fillId="0" borderId="29" xfId="0" applyFont="1" applyFill="1" applyBorder="1" applyAlignment="1" applyProtection="1">
      <alignment horizontal="left" vertical="center" wrapText="1"/>
    </xf>
    <xf numFmtId="0" fontId="7" fillId="0" borderId="0" xfId="0" applyFont="1" applyBorder="1" applyAlignment="1" applyProtection="1">
      <alignment vertical="center" wrapText="1"/>
    </xf>
    <xf numFmtId="0" fontId="4" fillId="0" borderId="0" xfId="0" applyFont="1" applyProtection="1"/>
    <xf numFmtId="0" fontId="4" fillId="0" borderId="0" xfId="0" applyFont="1" applyFill="1" applyProtection="1"/>
    <xf numFmtId="0" fontId="41" fillId="5" borderId="0" xfId="0" applyFont="1" applyFill="1" applyProtection="1"/>
    <xf numFmtId="0" fontId="4" fillId="0" borderId="34" xfId="0" applyFont="1" applyBorder="1" applyProtection="1"/>
    <xf numFmtId="167" fontId="4" fillId="0" borderId="0" xfId="0" applyNumberFormat="1" applyFont="1" applyProtection="1"/>
    <xf numFmtId="0" fontId="4" fillId="0" borderId="34" xfId="0" quotePrefix="1" applyFont="1" applyBorder="1" applyProtection="1"/>
    <xf numFmtId="167" fontId="4" fillId="0" borderId="0" xfId="1" applyNumberFormat="1" applyFont="1" applyAlignment="1" applyProtection="1">
      <alignment horizontal="left"/>
    </xf>
    <xf numFmtId="0" fontId="6" fillId="15" borderId="12" xfId="0" applyFont="1" applyFill="1" applyBorder="1" applyProtection="1"/>
    <xf numFmtId="0" fontId="14" fillId="15" borderId="13" xfId="0" applyFont="1" applyFill="1" applyBorder="1" applyProtection="1"/>
    <xf numFmtId="0" fontId="6" fillId="15" borderId="35" xfId="0" applyFont="1" applyFill="1" applyBorder="1" applyAlignment="1" applyProtection="1">
      <alignment horizontal="center"/>
    </xf>
    <xf numFmtId="0" fontId="0" fillId="0" borderId="34" xfId="0" applyFont="1" applyBorder="1" applyProtection="1"/>
    <xf numFmtId="0" fontId="0" fillId="0" borderId="22" xfId="0" applyBorder="1" applyProtection="1"/>
    <xf numFmtId="167" fontId="0" fillId="0" borderId="0" xfId="1" applyNumberFormat="1" applyFont="1" applyFill="1" applyBorder="1" applyProtection="1"/>
    <xf numFmtId="165" fontId="0" fillId="0" borderId="0" xfId="0" applyNumberFormat="1" applyProtection="1"/>
    <xf numFmtId="0" fontId="32" fillId="0" borderId="0" xfId="0" applyFont="1" applyProtection="1"/>
    <xf numFmtId="0" fontId="14" fillId="0" borderId="0" xfId="0" applyFont="1" applyProtection="1"/>
    <xf numFmtId="0" fontId="51" fillId="0" borderId="0" xfId="0" applyFont="1" applyProtection="1"/>
    <xf numFmtId="1" fontId="14" fillId="0" borderId="0" xfId="0" applyNumberFormat="1" applyFont="1" applyProtection="1"/>
    <xf numFmtId="0" fontId="14" fillId="0" borderId="0" xfId="0" applyFont="1" applyFill="1" applyProtection="1"/>
    <xf numFmtId="0" fontId="0" fillId="0" borderId="17" xfId="0" applyBorder="1" applyProtection="1"/>
    <xf numFmtId="0" fontId="0" fillId="0" borderId="53" xfId="0" applyBorder="1" applyProtection="1"/>
    <xf numFmtId="0" fontId="0" fillId="0" borderId="46" xfId="0" applyBorder="1" applyProtection="1"/>
    <xf numFmtId="0" fontId="13" fillId="0" borderId="0" xfId="0" applyFont="1" applyProtection="1"/>
    <xf numFmtId="0" fontId="0" fillId="0" borderId="0" xfId="0"/>
    <xf numFmtId="0" fontId="0" fillId="0" borderId="0" xfId="0" applyAlignment="1" applyProtection="1">
      <alignment wrapText="1"/>
    </xf>
    <xf numFmtId="0" fontId="0" fillId="0" borderId="5" xfId="0" applyFont="1" applyBorder="1"/>
    <xf numFmtId="0" fontId="0" fillId="0" borderId="5" xfId="0" applyFont="1" applyFill="1" applyBorder="1"/>
    <xf numFmtId="0" fontId="0" fillId="0" borderId="24" xfId="0" applyBorder="1"/>
    <xf numFmtId="167" fontId="56" fillId="5" borderId="0" xfId="0" applyNumberFormat="1" applyFont="1" applyFill="1" applyProtection="1"/>
    <xf numFmtId="0" fontId="0" fillId="0" borderId="0" xfId="0"/>
    <xf numFmtId="0" fontId="13" fillId="0" borderId="0" xfId="0" applyFont="1" applyAlignment="1" applyProtection="1">
      <alignment wrapText="1"/>
    </xf>
    <xf numFmtId="0" fontId="13" fillId="0" borderId="34" xfId="0" applyFont="1" applyBorder="1" applyProtection="1"/>
    <xf numFmtId="0" fontId="13" fillId="0" borderId="34" xfId="0" quotePrefix="1" applyFont="1" applyBorder="1" applyProtection="1"/>
    <xf numFmtId="0" fontId="13" fillId="0" borderId="21" xfId="0" applyFont="1" applyBorder="1" applyProtection="1"/>
    <xf numFmtId="0" fontId="13" fillId="0" borderId="14" xfId="0" applyFont="1" applyBorder="1" applyProtection="1"/>
    <xf numFmtId="0" fontId="7" fillId="0" borderId="38" xfId="0" applyFont="1" applyFill="1" applyBorder="1" applyAlignment="1" applyProtection="1">
      <alignment horizontal="center" vertical="center"/>
    </xf>
    <xf numFmtId="0" fontId="0" fillId="0" borderId="0" xfId="0" applyFill="1" applyAlignment="1" applyProtection="1">
      <alignment vertical="center"/>
    </xf>
    <xf numFmtId="0" fontId="4" fillId="0" borderId="0" xfId="0" applyFont="1"/>
    <xf numFmtId="0" fontId="4" fillId="0" borderId="0" xfId="0" applyFont="1" applyFill="1"/>
    <xf numFmtId="0" fontId="0" fillId="0" borderId="0" xfId="0" applyAlignment="1" applyProtection="1">
      <alignment vertical="center"/>
    </xf>
    <xf numFmtId="0" fontId="7" fillId="0" borderId="34" xfId="0" applyFont="1" applyBorder="1" applyAlignment="1" applyProtection="1">
      <alignment horizontal="center" vertical="center"/>
    </xf>
    <xf numFmtId="0" fontId="0" fillId="0" borderId="5" xfId="0" applyBorder="1"/>
    <xf numFmtId="0" fontId="42" fillId="0" borderId="0" xfId="0" applyFont="1" applyFill="1" applyBorder="1" applyAlignment="1" applyProtection="1">
      <alignment horizontal="left" vertical="center"/>
    </xf>
    <xf numFmtId="0" fontId="14" fillId="20" borderId="0" xfId="0" applyFont="1" applyFill="1" applyProtection="1"/>
    <xf numFmtId="0" fontId="33" fillId="20" borderId="0" xfId="0" applyFont="1" applyFill="1" applyAlignment="1" applyProtection="1">
      <alignment vertical="center"/>
    </xf>
    <xf numFmtId="0" fontId="0" fillId="22" borderId="0" xfId="0" applyFill="1"/>
    <xf numFmtId="0" fontId="0" fillId="0" borderId="5" xfId="0" applyFont="1" applyBorder="1" applyAlignment="1">
      <alignment vertical="center"/>
    </xf>
    <xf numFmtId="37" fontId="0" fillId="8" borderId="5" xfId="1" applyNumberFormat="1" applyFont="1" applyFill="1" applyBorder="1" applyAlignment="1" applyProtection="1">
      <alignment horizontal="center" vertical="center" wrapText="1"/>
      <protection locked="0"/>
    </xf>
    <xf numFmtId="0" fontId="7" fillId="0" borderId="5" xfId="0" applyFont="1" applyBorder="1" applyAlignment="1" applyProtection="1">
      <alignment horizontal="left" vertical="center"/>
    </xf>
    <xf numFmtId="37" fontId="0" fillId="8" borderId="5" xfId="1" applyNumberFormat="1" applyFont="1" applyFill="1" applyBorder="1" applyAlignment="1" applyProtection="1">
      <alignment horizontal="center" vertical="center"/>
      <protection locked="0"/>
    </xf>
    <xf numFmtId="0" fontId="0" fillId="8" borderId="5" xfId="0" applyFont="1" applyFill="1" applyBorder="1" applyAlignment="1" applyProtection="1">
      <alignment horizontal="center" vertical="center" wrapText="1"/>
      <protection locked="0"/>
    </xf>
    <xf numFmtId="37" fontId="57" fillId="0" borderId="0" xfId="1" applyNumberFormat="1" applyFont="1" applyBorder="1" applyAlignment="1" applyProtection="1">
      <alignment horizontal="center" vertical="center" wrapText="1"/>
    </xf>
    <xf numFmtId="168" fontId="0" fillId="8" borderId="5" xfId="8" applyNumberFormat="1" applyFont="1" applyFill="1" applyBorder="1" applyAlignment="1" applyProtection="1">
      <alignment horizontal="center" vertical="center"/>
      <protection locked="0"/>
    </xf>
    <xf numFmtId="168" fontId="0" fillId="8" borderId="5" xfId="0" applyNumberFormat="1" applyFill="1" applyBorder="1" applyAlignment="1" applyProtection="1">
      <alignment horizontal="center" vertical="center"/>
      <protection locked="0"/>
    </xf>
    <xf numFmtId="9" fontId="0" fillId="8" borderId="5" xfId="0" applyNumberFormat="1" applyFill="1" applyBorder="1" applyAlignment="1" applyProtection="1">
      <alignment horizontal="center"/>
      <protection locked="0"/>
    </xf>
    <xf numFmtId="0" fontId="6" fillId="20" borderId="35" xfId="0" applyFont="1" applyFill="1" applyBorder="1" applyAlignment="1">
      <alignment wrapText="1"/>
    </xf>
    <xf numFmtId="9" fontId="0" fillId="8" borderId="5" xfId="8" applyFont="1" applyFill="1" applyBorder="1" applyAlignment="1" applyProtection="1">
      <alignment horizontal="center"/>
      <protection locked="0"/>
    </xf>
    <xf numFmtId="0" fontId="22" fillId="0" borderId="0" xfId="0" applyFont="1" applyAlignment="1">
      <alignment horizontal="center"/>
    </xf>
    <xf numFmtId="0" fontId="42" fillId="0" borderId="0" xfId="0" applyFont="1" applyFill="1" applyBorder="1" applyAlignment="1" applyProtection="1">
      <alignment horizontal="center" vertical="center" wrapText="1"/>
    </xf>
    <xf numFmtId="0" fontId="57" fillId="0" borderId="0" xfId="0" applyFont="1" applyAlignment="1" applyProtection="1">
      <alignment horizontal="left" vertical="center" indent="1"/>
    </xf>
    <xf numFmtId="0" fontId="22" fillId="0" borderId="0" xfId="0" applyFont="1" applyAlignment="1">
      <alignment horizontal="left" indent="1"/>
    </xf>
    <xf numFmtId="37" fontId="57" fillId="0" borderId="0" xfId="1" applyNumberFormat="1" applyFont="1" applyAlignment="1" applyProtection="1">
      <alignment horizontal="center" vertical="center"/>
    </xf>
    <xf numFmtId="0" fontId="0" fillId="0" borderId="5" xfId="0" applyBorder="1"/>
    <xf numFmtId="0" fontId="7" fillId="0" borderId="0" xfId="0" applyFont="1" applyAlignment="1">
      <alignment horizontal="center"/>
    </xf>
    <xf numFmtId="0" fontId="48" fillId="0" borderId="45" xfId="15" applyBorder="1" applyAlignment="1">
      <alignment horizontal="center"/>
    </xf>
    <xf numFmtId="0" fontId="7" fillId="22" borderId="44" xfId="0" applyFont="1" applyFill="1" applyBorder="1" applyAlignment="1">
      <alignment horizontal="center" vertical="center"/>
    </xf>
    <xf numFmtId="0" fontId="48" fillId="0" borderId="45" xfId="15" applyBorder="1" applyAlignment="1">
      <alignment horizontal="center" vertical="center"/>
    </xf>
    <xf numFmtId="0" fontId="48" fillId="0" borderId="64" xfId="15" applyBorder="1" applyAlignment="1">
      <alignment horizontal="center" vertical="center"/>
    </xf>
    <xf numFmtId="3" fontId="0" fillId="8" borderId="5" xfId="0" applyNumberFormat="1" applyFill="1" applyBorder="1" applyAlignment="1" applyProtection="1">
      <alignment horizontal="center"/>
      <protection locked="0"/>
    </xf>
    <xf numFmtId="1" fontId="0" fillId="0" borderId="12" xfId="0" applyNumberFormat="1" applyBorder="1"/>
    <xf numFmtId="1" fontId="0" fillId="0" borderId="62" xfId="0" applyNumberFormat="1" applyBorder="1"/>
    <xf numFmtId="1" fontId="0" fillId="0" borderId="13" xfId="0" applyNumberFormat="1" applyBorder="1"/>
    <xf numFmtId="1" fontId="0" fillId="0" borderId="65" xfId="0" applyNumberFormat="1" applyBorder="1"/>
    <xf numFmtId="1" fontId="0" fillId="0" borderId="56" xfId="0" applyNumberFormat="1" applyBorder="1"/>
    <xf numFmtId="1" fontId="0" fillId="0" borderId="46" xfId="0" applyNumberFormat="1" applyBorder="1"/>
    <xf numFmtId="0" fontId="7" fillId="18" borderId="0" xfId="0" applyFont="1" applyFill="1"/>
    <xf numFmtId="0" fontId="48" fillId="0" borderId="0" xfId="15" applyAlignment="1" applyProtection="1">
      <alignment horizontal="center" vertical="center" wrapText="1"/>
    </xf>
    <xf numFmtId="0" fontId="58" fillId="0" borderId="0" xfId="0" applyFont="1" applyFill="1" applyAlignment="1">
      <alignment horizontal="left" indent="1"/>
    </xf>
    <xf numFmtId="0" fontId="58" fillId="0" borderId="0" xfId="0" applyFont="1"/>
    <xf numFmtId="0" fontId="48" fillId="0" borderId="0" xfId="15" applyAlignment="1">
      <alignment horizontal="center" vertical="top"/>
    </xf>
    <xf numFmtId="0" fontId="2" fillId="3" borderId="0" xfId="10" applyFill="1"/>
    <xf numFmtId="0" fontId="33" fillId="3" borderId="0" xfId="10" applyFont="1" applyFill="1" applyAlignment="1">
      <alignment vertical="center"/>
    </xf>
    <xf numFmtId="0" fontId="7" fillId="0" borderId="15" xfId="10" applyFont="1" applyBorder="1"/>
    <xf numFmtId="0" fontId="7" fillId="6" borderId="15" xfId="10" applyFont="1" applyFill="1" applyBorder="1"/>
    <xf numFmtId="0" fontId="7" fillId="6" borderId="0" xfId="0" applyFont="1" applyFill="1"/>
    <xf numFmtId="0" fontId="0" fillId="23" borderId="0" xfId="0" applyFill="1"/>
    <xf numFmtId="0" fontId="2" fillId="23" borderId="0" xfId="10" applyFill="1"/>
    <xf numFmtId="0" fontId="59" fillId="3" borderId="0" xfId="10" applyFont="1" applyFill="1"/>
    <xf numFmtId="0" fontId="0" fillId="0" borderId="0" xfId="10" applyFont="1"/>
    <xf numFmtId="0" fontId="48" fillId="0" borderId="0" xfId="15"/>
    <xf numFmtId="0" fontId="7" fillId="0" borderId="15" xfId="0" applyFont="1" applyBorder="1" applyAlignment="1">
      <alignment wrapText="1"/>
    </xf>
    <xf numFmtId="0" fontId="0" fillId="0" borderId="0" xfId="0" applyAlignment="1"/>
    <xf numFmtId="1" fontId="7" fillId="0" borderId="0" xfId="0" applyNumberFormat="1" applyFont="1" applyAlignment="1">
      <alignment wrapText="1"/>
    </xf>
    <xf numFmtId="1" fontId="7" fillId="0" borderId="0" xfId="0" applyNumberFormat="1" applyFont="1" applyBorder="1" applyAlignment="1">
      <alignment wrapText="1"/>
    </xf>
    <xf numFmtId="0" fontId="6" fillId="3" borderId="44" xfId="0" applyFont="1" applyFill="1" applyBorder="1" applyAlignment="1">
      <alignment horizontal="center" vertical="center" wrapText="1"/>
    </xf>
    <xf numFmtId="0" fontId="0" fillId="0" borderId="66" xfId="0" applyBorder="1"/>
    <xf numFmtId="0" fontId="0" fillId="0" borderId="67" xfId="0" applyBorder="1"/>
    <xf numFmtId="167" fontId="0" fillId="8" borderId="66" xfId="1" applyNumberFormat="1" applyFont="1" applyFill="1" applyBorder="1" applyProtection="1">
      <protection locked="0"/>
    </xf>
    <xf numFmtId="0" fontId="60" fillId="18" borderId="0" xfId="15" applyFont="1" applyFill="1" applyAlignment="1">
      <alignment horizontal="center" vertical="center" wrapText="1"/>
    </xf>
    <xf numFmtId="0" fontId="0" fillId="0" borderId="0" xfId="0" applyBorder="1" applyAlignment="1">
      <alignment vertical="center"/>
    </xf>
    <xf numFmtId="1" fontId="0" fillId="0" borderId="0" xfId="0" applyNumberFormat="1" applyFont="1" applyBorder="1" applyAlignment="1">
      <alignment vertical="center"/>
    </xf>
    <xf numFmtId="0" fontId="61" fillId="18" borderId="0" xfId="0" applyFont="1" applyFill="1"/>
    <xf numFmtId="0" fontId="0" fillId="0" borderId="15" xfId="0" applyFill="1" applyBorder="1"/>
    <xf numFmtId="0" fontId="7" fillId="0" borderId="18" xfId="0" applyFont="1" applyBorder="1" applyAlignment="1" applyProtection="1">
      <alignment vertical="center" wrapText="1"/>
    </xf>
    <xf numFmtId="0" fontId="0" fillId="8" borderId="20" xfId="0" applyFont="1" applyFill="1" applyBorder="1" applyAlignment="1" applyProtection="1">
      <alignment horizontal="center" vertical="center" wrapText="1"/>
      <protection locked="0"/>
    </xf>
    <xf numFmtId="0" fontId="0" fillId="8" borderId="28" xfId="0" applyFont="1" applyFill="1" applyBorder="1" applyAlignment="1" applyProtection="1">
      <alignment horizontal="center" vertical="center" wrapText="1"/>
      <protection locked="0"/>
    </xf>
    <xf numFmtId="9" fontId="0" fillId="8" borderId="5" xfId="0" applyNumberFormat="1" applyFont="1" applyFill="1" applyBorder="1" applyAlignment="1" applyProtection="1">
      <alignment horizontal="center" vertical="center"/>
      <protection locked="0"/>
    </xf>
    <xf numFmtId="0" fontId="63" fillId="0" borderId="0" xfId="0" applyFont="1" applyBorder="1" applyAlignment="1" applyProtection="1">
      <alignment vertical="center" wrapText="1"/>
    </xf>
    <xf numFmtId="0" fontId="25" fillId="8" borderId="20" xfId="11" applyFill="1" applyBorder="1" applyAlignment="1" applyProtection="1">
      <alignment horizontal="center" vertical="center"/>
      <protection locked="0"/>
    </xf>
    <xf numFmtId="0" fontId="25" fillId="8" borderId="28" xfId="11" applyFill="1" applyBorder="1" applyAlignment="1" applyProtection="1">
      <alignment horizontal="center" vertical="center"/>
      <protection locked="0"/>
    </xf>
    <xf numFmtId="0" fontId="0" fillId="0" borderId="0" xfId="0" applyBorder="1"/>
    <xf numFmtId="0" fontId="64" fillId="0" borderId="0" xfId="0" applyFont="1" applyAlignment="1" applyProtection="1">
      <alignment vertical="center"/>
    </xf>
    <xf numFmtId="0" fontId="7" fillId="0" borderId="18" xfId="0" applyFont="1" applyFill="1" applyBorder="1" applyAlignment="1" applyProtection="1">
      <alignment horizontal="left" vertical="center" wrapText="1"/>
    </xf>
    <xf numFmtId="0" fontId="0" fillId="8" borderId="20" xfId="0" applyFont="1" applyFill="1" applyBorder="1" applyAlignment="1" applyProtection="1">
      <alignment horizontal="center" vertical="center"/>
      <protection locked="0"/>
    </xf>
    <xf numFmtId="0" fontId="39" fillId="4" borderId="5" xfId="0" applyFont="1" applyFill="1" applyBorder="1" applyAlignment="1" applyProtection="1">
      <alignment vertical="center" wrapText="1"/>
    </xf>
    <xf numFmtId="3" fontId="47" fillId="4" borderId="5" xfId="0" applyNumberFormat="1" applyFont="1" applyFill="1" applyBorder="1" applyAlignment="1">
      <alignment vertical="center"/>
    </xf>
    <xf numFmtId="3" fontId="47" fillId="4" borderId="24" xfId="0" applyNumberFormat="1" applyFont="1" applyFill="1" applyBorder="1" applyAlignment="1">
      <alignment vertical="center"/>
    </xf>
    <xf numFmtId="3" fontId="47" fillId="4" borderId="2" xfId="0" applyNumberFormat="1" applyFont="1" applyFill="1" applyBorder="1" applyAlignment="1">
      <alignment vertical="center"/>
    </xf>
    <xf numFmtId="3" fontId="47" fillId="4" borderId="50" xfId="0" applyNumberFormat="1" applyFont="1" applyFill="1" applyBorder="1" applyAlignment="1">
      <alignment vertical="center"/>
    </xf>
    <xf numFmtId="0" fontId="0" fillId="4" borderId="2" xfId="0" applyFill="1" applyBorder="1" applyAlignment="1">
      <alignment vertical="center" wrapText="1"/>
    </xf>
    <xf numFmtId="0" fontId="0" fillId="4" borderId="23" xfId="0" applyFill="1" applyBorder="1"/>
    <xf numFmtId="0" fontId="0" fillId="4" borderId="5" xfId="0" applyFill="1" applyBorder="1"/>
    <xf numFmtId="0" fontId="0" fillId="4" borderId="5" xfId="0" applyFill="1" applyBorder="1" applyAlignment="1">
      <alignment vertical="center" wrapText="1"/>
    </xf>
    <xf numFmtId="0" fontId="0" fillId="4" borderId="5" xfId="0" applyFill="1" applyBorder="1" applyProtection="1">
      <protection locked="0"/>
    </xf>
    <xf numFmtId="0" fontId="0" fillId="4" borderId="5" xfId="0" applyFill="1" applyBorder="1" applyAlignment="1">
      <alignment vertical="center"/>
    </xf>
    <xf numFmtId="0" fontId="0" fillId="4" borderId="23" xfId="0" applyFill="1" applyBorder="1" applyAlignment="1">
      <alignment vertical="center" wrapText="1"/>
    </xf>
    <xf numFmtId="0" fontId="48" fillId="0" borderId="63" xfId="15" applyBorder="1" applyAlignment="1">
      <alignment horizontal="center" vertical="center"/>
    </xf>
    <xf numFmtId="0" fontId="16" fillId="18" borderId="0" xfId="0" applyFont="1" applyFill="1"/>
    <xf numFmtId="167" fontId="0" fillId="4" borderId="8" xfId="1" applyNumberFormat="1" applyFont="1" applyFill="1" applyBorder="1" applyAlignment="1" applyProtection="1">
      <alignment horizontal="center"/>
    </xf>
    <xf numFmtId="167" fontId="0" fillId="4" borderId="2" xfId="1" applyNumberFormat="1" applyFont="1" applyFill="1" applyBorder="1" applyAlignment="1" applyProtection="1">
      <alignment horizontal="center"/>
    </xf>
    <xf numFmtId="167" fontId="0" fillId="4" borderId="16" xfId="1" applyNumberFormat="1" applyFont="1" applyFill="1" applyBorder="1" applyAlignment="1" applyProtection="1">
      <alignment horizontal="center"/>
    </xf>
    <xf numFmtId="172" fontId="0" fillId="4" borderId="23" xfId="21" applyNumberFormat="1" applyFont="1" applyFill="1" applyBorder="1" applyProtection="1"/>
    <xf numFmtId="167" fontId="0" fillId="4" borderId="0" xfId="1" applyNumberFormat="1" applyFont="1" applyFill="1"/>
    <xf numFmtId="167" fontId="0" fillId="4" borderId="0" xfId="0" applyNumberFormat="1" applyFill="1"/>
    <xf numFmtId="167" fontId="13" fillId="4" borderId="0" xfId="0" applyNumberFormat="1" applyFont="1" applyFill="1"/>
    <xf numFmtId="167" fontId="13" fillId="4" borderId="0" xfId="1" applyNumberFormat="1" applyFont="1" applyFill="1"/>
    <xf numFmtId="167" fontId="0" fillId="4" borderId="0" xfId="1" applyNumberFormat="1" applyFont="1" applyFill="1" applyAlignment="1"/>
    <xf numFmtId="0" fontId="7" fillId="18" borderId="0" xfId="0" applyFont="1" applyFill="1" applyBorder="1"/>
    <xf numFmtId="9" fontId="13" fillId="0" borderId="0" xfId="8" applyFont="1" applyAlignment="1">
      <alignment horizontal="left" indent="1"/>
    </xf>
    <xf numFmtId="0" fontId="13" fillId="0" borderId="0" xfId="0" applyFont="1" applyAlignment="1">
      <alignment horizontal="left" indent="1"/>
    </xf>
    <xf numFmtId="0" fontId="6" fillId="3" borderId="0" xfId="0" applyFont="1" applyFill="1"/>
    <xf numFmtId="167" fontId="0" fillId="18" borderId="0" xfId="1" applyNumberFormat="1" applyFont="1" applyFill="1"/>
    <xf numFmtId="1" fontId="0" fillId="18" borderId="0" xfId="0" applyNumberFormat="1" applyFill="1"/>
    <xf numFmtId="0" fontId="28" fillId="3" borderId="0" xfId="0" applyFont="1" applyFill="1" applyAlignment="1" applyProtection="1">
      <alignment horizontal="left" vertical="center" indent="17"/>
    </xf>
    <xf numFmtId="167" fontId="0" fillId="4" borderId="8" xfId="1" applyNumberFormat="1" applyFont="1" applyFill="1" applyBorder="1" applyAlignment="1" applyProtection="1">
      <alignment horizontal="center" vertical="center"/>
    </xf>
    <xf numFmtId="0" fontId="6" fillId="12" borderId="69" xfId="0" applyFont="1" applyFill="1" applyBorder="1" applyProtection="1"/>
    <xf numFmtId="0" fontId="6" fillId="12" borderId="71" xfId="0" applyFont="1" applyFill="1" applyBorder="1" applyProtection="1"/>
    <xf numFmtId="0" fontId="6" fillId="12" borderId="72" xfId="0" applyFont="1" applyFill="1" applyBorder="1" applyProtection="1"/>
    <xf numFmtId="0" fontId="6" fillId="12" borderId="69" xfId="0" applyFont="1" applyFill="1" applyBorder="1" applyAlignment="1" applyProtection="1">
      <alignment wrapText="1"/>
    </xf>
    <xf numFmtId="0" fontId="6" fillId="12" borderId="39" xfId="0" applyFont="1" applyFill="1" applyBorder="1" applyAlignment="1" applyProtection="1">
      <alignment wrapText="1"/>
    </xf>
    <xf numFmtId="0" fontId="0" fillId="0" borderId="0" xfId="0" applyBorder="1"/>
    <xf numFmtId="0" fontId="7" fillId="0" borderId="15" xfId="0" applyFont="1" applyBorder="1" applyAlignment="1">
      <alignment horizontal="center"/>
    </xf>
    <xf numFmtId="0" fontId="0" fillId="0" borderId="5" xfId="0" applyBorder="1"/>
    <xf numFmtId="0" fontId="14" fillId="0" borderId="0" xfId="0" applyFont="1" applyFill="1" applyBorder="1"/>
    <xf numFmtId="0" fontId="58" fillId="0" borderId="0" xfId="0" applyFont="1" applyFill="1" applyAlignment="1">
      <alignment horizontal="left" vertical="center" indent="1"/>
    </xf>
    <xf numFmtId="0" fontId="66" fillId="0" borderId="0" xfId="0" applyFont="1" applyAlignment="1">
      <alignment horizontal="left" vertical="center" wrapText="1" indent="2"/>
    </xf>
    <xf numFmtId="0" fontId="67" fillId="4" borderId="5" xfId="0" applyFont="1" applyFill="1" applyBorder="1" applyAlignment="1">
      <alignment horizontal="center"/>
    </xf>
    <xf numFmtId="9" fontId="67" fillId="4" borderId="5" xfId="0" applyNumberFormat="1" applyFont="1" applyFill="1" applyBorder="1" applyAlignment="1">
      <alignment horizontal="center"/>
    </xf>
    <xf numFmtId="3" fontId="67" fillId="4" borderId="5" xfId="0" applyNumberFormat="1" applyFont="1" applyFill="1" applyBorder="1" applyAlignment="1">
      <alignment horizontal="center"/>
    </xf>
    <xf numFmtId="37" fontId="14" fillId="0" borderId="0" xfId="1" applyNumberFormat="1" applyFont="1" applyFill="1" applyBorder="1" applyAlignment="1" applyProtection="1">
      <alignment horizontal="center" vertical="center" wrapText="1"/>
      <protection locked="0"/>
    </xf>
    <xf numFmtId="9" fontId="67" fillId="4" borderId="5" xfId="8" applyFont="1" applyFill="1" applyBorder="1" applyAlignment="1">
      <alignment horizontal="center" vertical="center"/>
    </xf>
    <xf numFmtId="0" fontId="0" fillId="0" borderId="0" xfId="0" applyBorder="1"/>
    <xf numFmtId="0" fontId="7" fillId="0" borderId="0" xfId="0" applyFont="1" applyBorder="1" applyAlignment="1">
      <alignment horizontal="center" vertical="top"/>
    </xf>
    <xf numFmtId="0" fontId="0" fillId="0" borderId="0" xfId="0" applyFill="1" applyAlignment="1">
      <alignment vertical="center"/>
    </xf>
    <xf numFmtId="3" fontId="67" fillId="4" borderId="5" xfId="0" applyNumberFormat="1" applyFont="1" applyFill="1" applyBorder="1" applyAlignment="1">
      <alignment horizontal="center" vertical="center"/>
    </xf>
    <xf numFmtId="0" fontId="0" fillId="0" borderId="32" xfId="0" applyBorder="1"/>
    <xf numFmtId="0" fontId="0" fillId="0" borderId="23" xfId="0" applyBorder="1"/>
    <xf numFmtId="0" fontId="0" fillId="0" borderId="29" xfId="0" applyBorder="1"/>
    <xf numFmtId="0" fontId="0" fillId="0" borderId="2" xfId="0" applyBorder="1"/>
    <xf numFmtId="0" fontId="0" fillId="0" borderId="28" xfId="0" applyBorder="1"/>
    <xf numFmtId="0" fontId="0" fillId="0" borderId="60" xfId="0" applyBorder="1"/>
    <xf numFmtId="0" fontId="0" fillId="0" borderId="50" xfId="0" applyBorder="1"/>
    <xf numFmtId="167" fontId="0" fillId="28" borderId="23" xfId="1" applyNumberFormat="1" applyFont="1" applyFill="1" applyBorder="1" applyAlignment="1">
      <alignment horizontal="center" vertical="center"/>
    </xf>
    <xf numFmtId="0" fontId="0" fillId="28" borderId="23" xfId="0" applyFill="1" applyBorder="1"/>
    <xf numFmtId="167" fontId="0" fillId="28" borderId="76" xfId="1" applyNumberFormat="1" applyFont="1" applyFill="1" applyBorder="1" applyAlignment="1">
      <alignment horizontal="center" vertical="center"/>
    </xf>
    <xf numFmtId="0" fontId="0" fillId="0" borderId="0" xfId="0" applyFont="1" applyBorder="1" applyAlignment="1">
      <alignment vertical="center"/>
    </xf>
    <xf numFmtId="0" fontId="0" fillId="0" borderId="0" xfId="0" applyBorder="1"/>
    <xf numFmtId="0" fontId="0" fillId="0" borderId="5" xfId="0" applyBorder="1"/>
    <xf numFmtId="0" fontId="0" fillId="0" borderId="0" xfId="0" applyBorder="1" applyAlignment="1">
      <alignment horizontal="left" vertical="center" wrapText="1"/>
    </xf>
    <xf numFmtId="0" fontId="48" fillId="0" borderId="0" xfId="15" applyBorder="1" applyAlignment="1">
      <alignment horizontal="center" vertical="center"/>
    </xf>
    <xf numFmtId="167" fontId="0" fillId="28" borderId="5" xfId="1" applyNumberFormat="1" applyFont="1" applyFill="1" applyBorder="1" applyAlignment="1">
      <alignment horizontal="center" vertical="center"/>
    </xf>
    <xf numFmtId="2" fontId="0" fillId="8" borderId="5" xfId="0" applyNumberFormat="1" applyFill="1" applyBorder="1" applyAlignment="1" applyProtection="1">
      <alignment horizontal="center" vertical="center"/>
      <protection locked="0"/>
    </xf>
    <xf numFmtId="0" fontId="0" fillId="0" borderId="5" xfId="0" applyFont="1" applyFill="1" applyBorder="1" applyAlignment="1">
      <alignment vertical="center"/>
    </xf>
    <xf numFmtId="3" fontId="0" fillId="4" borderId="0" xfId="0" applyNumberFormat="1" applyFill="1"/>
    <xf numFmtId="0" fontId="7" fillId="0" borderId="14" xfId="0" applyFont="1" applyFill="1" applyBorder="1" applyAlignment="1">
      <alignment vertical="center"/>
    </xf>
    <xf numFmtId="3" fontId="7" fillId="4" borderId="14" xfId="0" applyNumberFormat="1" applyFont="1" applyFill="1" applyBorder="1"/>
    <xf numFmtId="0" fontId="37" fillId="0" borderId="0" xfId="0" applyFont="1" applyFill="1"/>
    <xf numFmtId="0" fontId="0" fillId="0" borderId="10" xfId="0" applyBorder="1"/>
    <xf numFmtId="0" fontId="0" fillId="0" borderId="9" xfId="0" applyBorder="1"/>
    <xf numFmtId="0" fontId="73" fillId="0" borderId="0" xfId="0" applyFont="1" applyFill="1" applyBorder="1" applyAlignment="1">
      <alignment vertical="center"/>
    </xf>
    <xf numFmtId="167" fontId="73" fillId="0" borderId="0" xfId="1" applyNumberFormat="1" applyFont="1"/>
    <xf numFmtId="168" fontId="0" fillId="0" borderId="14" xfId="0" applyNumberFormat="1" applyFill="1" applyBorder="1" applyAlignment="1" applyProtection="1">
      <alignment horizontal="center" vertical="center"/>
      <protection locked="0"/>
    </xf>
    <xf numFmtId="0" fontId="0" fillId="0" borderId="14" xfId="0" applyFont="1" applyBorder="1" applyAlignment="1">
      <alignment vertical="center"/>
    </xf>
    <xf numFmtId="172" fontId="0" fillId="0" borderId="0" xfId="21" applyNumberFormat="1" applyFont="1" applyFill="1" applyProtection="1"/>
    <xf numFmtId="1" fontId="0" fillId="0" borderId="0" xfId="0" applyNumberFormat="1" applyProtection="1"/>
    <xf numFmtId="0" fontId="3" fillId="0" borderId="0" xfId="0" applyFont="1" applyProtection="1"/>
    <xf numFmtId="167" fontId="0" fillId="0" borderId="0" xfId="1" applyNumberFormat="1" applyFont="1" applyProtection="1"/>
    <xf numFmtId="0" fontId="4" fillId="5" borderId="0" xfId="0" applyFont="1" applyFill="1" applyProtection="1"/>
    <xf numFmtId="167" fontId="58" fillId="4" borderId="0" xfId="0" applyNumberFormat="1" applyFont="1" applyFill="1"/>
    <xf numFmtId="172" fontId="0" fillId="14" borderId="5" xfId="21" applyNumberFormat="1" applyFont="1" applyFill="1" applyBorder="1" applyAlignment="1">
      <alignment vertical="center"/>
    </xf>
    <xf numFmtId="167" fontId="39" fillId="4" borderId="0" xfId="0" applyNumberFormat="1" applyFont="1" applyFill="1"/>
    <xf numFmtId="167" fontId="58" fillId="4" borderId="0" xfId="1" applyNumberFormat="1" applyFont="1" applyFill="1"/>
    <xf numFmtId="37" fontId="13" fillId="4" borderId="5" xfId="1" applyNumberFormat="1" applyFont="1" applyFill="1" applyBorder="1" applyAlignment="1">
      <alignment horizontal="center"/>
    </xf>
    <xf numFmtId="0" fontId="0" fillId="0" borderId="5" xfId="0" applyFont="1" applyBorder="1" applyAlignment="1" applyProtection="1">
      <alignment horizontal="left" vertical="center" wrapText="1"/>
    </xf>
    <xf numFmtId="0" fontId="0" fillId="0" borderId="5" xfId="0" applyFont="1" applyBorder="1" applyAlignment="1">
      <alignment vertical="center" wrapText="1"/>
    </xf>
    <xf numFmtId="0" fontId="0" fillId="0" borderId="5" xfId="0" applyFont="1" applyFill="1" applyBorder="1" applyAlignment="1">
      <alignment vertical="center" wrapText="1"/>
    </xf>
    <xf numFmtId="0" fontId="0" fillId="0" borderId="5" xfId="0" applyFont="1" applyBorder="1" applyAlignment="1" applyProtection="1">
      <alignment vertical="center" wrapText="1"/>
    </xf>
    <xf numFmtId="0" fontId="0" fillId="0" borderId="5" xfId="0" applyFont="1" applyBorder="1" applyAlignment="1" applyProtection="1">
      <alignment vertical="center"/>
    </xf>
    <xf numFmtId="0" fontId="13" fillId="0" borderId="5" xfId="0" applyFont="1" applyBorder="1"/>
    <xf numFmtId="167" fontId="0" fillId="28" borderId="28" xfId="1" applyNumberFormat="1" applyFont="1" applyFill="1" applyBorder="1" applyAlignment="1">
      <alignment horizontal="center" vertical="center"/>
    </xf>
    <xf numFmtId="0" fontId="0" fillId="0" borderId="16" xfId="0" applyFill="1" applyBorder="1" applyAlignment="1" applyProtection="1">
      <alignment horizontal="left" vertical="top" wrapText="1"/>
    </xf>
    <xf numFmtId="0" fontId="58" fillId="0" borderId="0" xfId="0" applyFont="1" applyFill="1" applyBorder="1"/>
    <xf numFmtId="37" fontId="58" fillId="0" borderId="0" xfId="1" applyNumberFormat="1" applyFont="1" applyFill="1" applyBorder="1" applyAlignment="1">
      <alignment horizontal="center"/>
    </xf>
    <xf numFmtId="0" fontId="0" fillId="0" borderId="32" xfId="0" applyFont="1" applyFill="1" applyBorder="1" applyAlignment="1">
      <alignment vertical="center" wrapText="1"/>
    </xf>
    <xf numFmtId="167" fontId="0" fillId="4" borderId="0" xfId="0" applyNumberFormat="1" applyFont="1" applyFill="1"/>
    <xf numFmtId="0" fontId="42" fillId="0" borderId="0" xfId="0" applyFont="1" applyFill="1"/>
    <xf numFmtId="0" fontId="39" fillId="0" borderId="0" xfId="0" applyFont="1" applyFill="1"/>
    <xf numFmtId="0" fontId="0" fillId="4" borderId="5" xfId="0" applyFill="1" applyBorder="1" applyAlignment="1">
      <alignment horizontal="center" vertical="center"/>
    </xf>
    <xf numFmtId="167" fontId="2" fillId="4" borderId="0" xfId="1" applyNumberFormat="1" applyFont="1" applyFill="1" applyAlignment="1"/>
    <xf numFmtId="0" fontId="0" fillId="0" borderId="32" xfId="0" applyFont="1" applyFill="1" applyBorder="1" applyAlignment="1">
      <alignment vertical="center"/>
    </xf>
    <xf numFmtId="0" fontId="0" fillId="0" borderId="32" xfId="0" applyFill="1" applyBorder="1"/>
    <xf numFmtId="0" fontId="0" fillId="0" borderId="60" xfId="0" applyFill="1" applyBorder="1"/>
    <xf numFmtId="0" fontId="0" fillId="0" borderId="57" xfId="0" applyFill="1" applyBorder="1"/>
    <xf numFmtId="0" fontId="0" fillId="0" borderId="16" xfId="0" applyFont="1" applyFill="1" applyBorder="1"/>
    <xf numFmtId="0" fontId="75" fillId="0" borderId="0" xfId="0" applyFont="1"/>
    <xf numFmtId="0" fontId="0" fillId="0" borderId="4" xfId="0" applyFill="1" applyBorder="1" applyAlignment="1" applyProtection="1">
      <alignment vertical="top" wrapText="1"/>
    </xf>
    <xf numFmtId="0" fontId="21" fillId="0" borderId="0" xfId="0" applyFont="1" applyProtection="1"/>
    <xf numFmtId="0" fontId="0" fillId="0" borderId="16" xfId="0" applyFill="1" applyBorder="1" applyAlignment="1" applyProtection="1">
      <alignment vertical="top"/>
    </xf>
    <xf numFmtId="0" fontId="13" fillId="0" borderId="0" xfId="0" quotePrefix="1" applyFont="1" applyFill="1" applyAlignment="1">
      <alignment horizontal="left" indent="1"/>
    </xf>
    <xf numFmtId="173" fontId="0" fillId="8" borderId="5" xfId="0" applyNumberFormat="1" applyFill="1" applyBorder="1" applyAlignment="1" applyProtection="1">
      <alignment horizontal="center"/>
      <protection locked="0"/>
    </xf>
    <xf numFmtId="173" fontId="67" fillId="4" borderId="5" xfId="0" applyNumberFormat="1" applyFont="1" applyFill="1" applyBorder="1" applyAlignment="1">
      <alignment horizontal="center"/>
    </xf>
    <xf numFmtId="0" fontId="58" fillId="0" borderId="0" xfId="0" applyFont="1" applyFill="1" applyBorder="1" applyAlignment="1" applyProtection="1">
      <alignment horizontal="left"/>
    </xf>
    <xf numFmtId="0" fontId="0" fillId="0" borderId="0" xfId="0" applyFill="1" applyBorder="1" applyAlignment="1">
      <alignment vertical="center"/>
    </xf>
    <xf numFmtId="0" fontId="0" fillId="0" borderId="0" xfId="0" applyFill="1" applyBorder="1" applyAlignment="1">
      <alignment vertical="center" wrapText="1"/>
    </xf>
    <xf numFmtId="164" fontId="0" fillId="0" borderId="0" xfId="21" applyFont="1" applyFill="1" applyBorder="1"/>
    <xf numFmtId="0" fontId="0" fillId="0" borderId="0" xfId="0" applyFill="1" applyBorder="1" applyAlignment="1">
      <alignment horizontal="center" vertical="center"/>
    </xf>
    <xf numFmtId="167" fontId="0" fillId="0" borderId="0" xfId="1" applyNumberFormat="1" applyFont="1" applyFill="1" applyBorder="1" applyAlignment="1">
      <alignment horizontal="center" vertical="center"/>
    </xf>
    <xf numFmtId="172" fontId="0" fillId="0" borderId="0" xfId="21" applyNumberFormat="1" applyFont="1" applyFill="1" applyBorder="1" applyAlignment="1">
      <alignment vertical="center"/>
    </xf>
    <xf numFmtId="0" fontId="0" fillId="0" borderId="0" xfId="0" applyFont="1" applyFill="1" applyBorder="1" applyAlignment="1">
      <alignment vertical="center"/>
    </xf>
    <xf numFmtId="0" fontId="23" fillId="3" borderId="40" xfId="0" applyFont="1" applyFill="1" applyBorder="1" applyAlignment="1">
      <alignment horizontal="center" vertical="center"/>
    </xf>
    <xf numFmtId="0" fontId="7" fillId="0" borderId="41" xfId="0" applyFont="1" applyFill="1" applyBorder="1" applyAlignment="1">
      <alignment wrapText="1"/>
    </xf>
    <xf numFmtId="167" fontId="2" fillId="4" borderId="0" xfId="1" applyNumberFormat="1" applyFont="1" applyFill="1"/>
    <xf numFmtId="37" fontId="4" fillId="8" borderId="5" xfId="1" applyNumberFormat="1" applyFont="1" applyFill="1" applyBorder="1" applyAlignment="1" applyProtection="1">
      <alignment horizontal="center" vertical="center" wrapText="1"/>
      <protection locked="0"/>
    </xf>
    <xf numFmtId="0" fontId="0" fillId="0" borderId="25" xfId="0" applyFill="1" applyBorder="1" applyAlignment="1" applyProtection="1">
      <alignment vertical="top"/>
    </xf>
    <xf numFmtId="0" fontId="0" fillId="0" borderId="26" xfId="0" applyFill="1" applyBorder="1" applyAlignment="1" applyProtection="1">
      <alignment vertical="top" wrapText="1"/>
    </xf>
    <xf numFmtId="0" fontId="0" fillId="0" borderId="25" xfId="0" applyFill="1" applyBorder="1" applyAlignment="1" applyProtection="1">
      <alignment horizontal="left" vertical="top" wrapText="1"/>
    </xf>
    <xf numFmtId="167" fontId="0" fillId="4" borderId="25" xfId="1" applyNumberFormat="1" applyFont="1" applyFill="1" applyBorder="1" applyAlignment="1" applyProtection="1">
      <alignment horizontal="center"/>
    </xf>
    <xf numFmtId="172" fontId="0" fillId="4" borderId="28" xfId="21" applyNumberFormat="1" applyFont="1" applyFill="1" applyBorder="1" applyProtection="1"/>
    <xf numFmtId="0" fontId="0" fillId="0" borderId="31" xfId="0" applyFill="1" applyBorder="1" applyAlignment="1" applyProtection="1">
      <alignment vertical="top"/>
    </xf>
    <xf numFmtId="0" fontId="0" fillId="0" borderId="33" xfId="0" applyFill="1" applyBorder="1" applyAlignment="1" applyProtection="1">
      <alignment vertical="top" wrapText="1"/>
    </xf>
    <xf numFmtId="0" fontId="0" fillId="0" borderId="31" xfId="0" applyFill="1" applyBorder="1" applyAlignment="1" applyProtection="1">
      <alignment horizontal="left" vertical="top" wrapText="1"/>
    </xf>
    <xf numFmtId="167" fontId="0" fillId="4" borderId="31" xfId="1" applyNumberFormat="1" applyFont="1" applyFill="1" applyBorder="1" applyAlignment="1" applyProtection="1">
      <alignment horizontal="center"/>
    </xf>
    <xf numFmtId="172" fontId="0" fillId="4" borderId="20" xfId="21" applyNumberFormat="1" applyFont="1" applyFill="1" applyBorder="1" applyProtection="1"/>
    <xf numFmtId="172" fontId="0" fillId="4" borderId="44" xfId="0" applyNumberFormat="1" applyFill="1" applyBorder="1" applyProtection="1"/>
    <xf numFmtId="167" fontId="0" fillId="4" borderId="48" xfId="1" applyNumberFormat="1" applyFont="1" applyFill="1" applyBorder="1" applyAlignment="1" applyProtection="1">
      <alignment horizontal="center"/>
    </xf>
    <xf numFmtId="0" fontId="13" fillId="0" borderId="0" xfId="0" applyFont="1" applyAlignment="1">
      <alignment vertical="center"/>
    </xf>
    <xf numFmtId="37" fontId="4" fillId="8" borderId="20" xfId="1" applyNumberFormat="1" applyFont="1" applyFill="1" applyBorder="1" applyAlignment="1" applyProtection="1">
      <alignment horizontal="center" vertical="center" wrapText="1"/>
      <protection locked="0"/>
    </xf>
    <xf numFmtId="9" fontId="4" fillId="8" borderId="23" xfId="8" applyFont="1" applyFill="1" applyBorder="1" applyAlignment="1" applyProtection="1">
      <alignment horizontal="center" vertical="center" wrapText="1"/>
      <protection locked="0"/>
    </xf>
    <xf numFmtId="37" fontId="4" fillId="8" borderId="28" xfId="1" applyNumberFormat="1" applyFont="1" applyFill="1" applyBorder="1" applyAlignment="1" applyProtection="1">
      <alignment horizontal="center" vertical="center" wrapText="1"/>
      <protection locked="0"/>
    </xf>
    <xf numFmtId="3" fontId="0" fillId="0" borderId="10" xfId="0" applyNumberFormat="1" applyBorder="1"/>
    <xf numFmtId="3" fontId="25" fillId="0" borderId="0" xfId="11" applyNumberFormat="1"/>
    <xf numFmtId="3" fontId="23" fillId="17" borderId="0" xfId="0" applyNumberFormat="1" applyFont="1" applyFill="1"/>
    <xf numFmtId="3" fontId="0" fillId="0" borderId="0" xfId="0" applyNumberFormat="1"/>
    <xf numFmtId="3" fontId="0" fillId="18" borderId="0" xfId="0" applyNumberFormat="1" applyFill="1"/>
    <xf numFmtId="3" fontId="0" fillId="0" borderId="0" xfId="0" applyNumberFormat="1" applyAlignment="1"/>
    <xf numFmtId="3" fontId="7" fillId="0" borderId="0" xfId="0" applyNumberFormat="1" applyFont="1" applyAlignment="1">
      <alignment wrapText="1"/>
    </xf>
    <xf numFmtId="3" fontId="6" fillId="3" borderId="44" xfId="0" applyNumberFormat="1" applyFont="1" applyFill="1" applyBorder="1" applyAlignment="1">
      <alignment horizontal="center" vertical="center" wrapText="1"/>
    </xf>
    <xf numFmtId="3" fontId="0" fillId="0" borderId="66" xfId="1" applyNumberFormat="1" applyFont="1" applyBorder="1"/>
    <xf numFmtId="0" fontId="4" fillId="4" borderId="5" xfId="0" applyFont="1" applyFill="1" applyBorder="1" applyAlignment="1">
      <alignment vertical="center"/>
    </xf>
    <xf numFmtId="0" fontId="4" fillId="4" borderId="2" xfId="0" applyFont="1" applyFill="1" applyBorder="1" applyAlignment="1">
      <alignment vertical="center" wrapText="1"/>
    </xf>
    <xf numFmtId="0" fontId="4" fillId="4" borderId="23" xfId="0" applyFont="1" applyFill="1" applyBorder="1" applyAlignment="1">
      <alignment vertical="center" wrapText="1"/>
    </xf>
    <xf numFmtId="0" fontId="0" fillId="0" borderId="36" xfId="0" quotePrefix="1" applyFont="1" applyBorder="1" applyProtection="1"/>
    <xf numFmtId="0" fontId="0" fillId="0" borderId="27" xfId="0" applyBorder="1" applyProtection="1"/>
    <xf numFmtId="0" fontId="0" fillId="0" borderId="19" xfId="0" applyFill="1" applyBorder="1" applyAlignment="1" applyProtection="1">
      <alignment horizontal="left" vertical="top" wrapText="1"/>
    </xf>
    <xf numFmtId="167" fontId="0" fillId="4" borderId="19" xfId="1" applyNumberFormat="1" applyFont="1" applyFill="1" applyBorder="1" applyAlignment="1" applyProtection="1">
      <alignment horizontal="center"/>
    </xf>
    <xf numFmtId="0" fontId="0" fillId="0" borderId="24" xfId="0" applyFill="1" applyBorder="1" applyAlignment="1" applyProtection="1">
      <alignment horizontal="left" vertical="top" wrapText="1"/>
    </xf>
    <xf numFmtId="167" fontId="0" fillId="4" borderId="24" xfId="1" applyNumberFormat="1" applyFont="1" applyFill="1" applyBorder="1" applyAlignment="1" applyProtection="1">
      <alignment horizontal="center"/>
    </xf>
    <xf numFmtId="0" fontId="13" fillId="0" borderId="14" xfId="0" applyFont="1" applyFill="1" applyBorder="1" applyProtection="1"/>
    <xf numFmtId="0" fontId="0" fillId="0" borderId="21" xfId="0" applyFont="1" applyBorder="1" applyProtection="1"/>
    <xf numFmtId="0" fontId="7" fillId="0" borderId="40" xfId="0" applyFont="1" applyBorder="1" applyAlignment="1" applyProtection="1">
      <alignment vertical="center" wrapText="1"/>
    </xf>
    <xf numFmtId="0" fontId="7" fillId="0" borderId="32" xfId="0" applyFont="1" applyFill="1" applyBorder="1" applyAlignment="1" applyProtection="1">
      <alignment horizontal="left" vertical="top" wrapText="1"/>
    </xf>
    <xf numFmtId="0" fontId="7" fillId="0" borderId="29" xfId="0" applyFont="1" applyFill="1" applyBorder="1" applyAlignment="1" applyProtection="1">
      <alignment horizontal="left" vertical="top" wrapText="1"/>
    </xf>
    <xf numFmtId="0" fontId="7" fillId="0" borderId="18" xfId="0" applyFont="1" applyFill="1"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7" fillId="0" borderId="0" xfId="0" applyFont="1" applyAlignment="1">
      <alignment horizontal="center"/>
    </xf>
    <xf numFmtId="0" fontId="58" fillId="6" borderId="0" xfId="0" applyFont="1" applyFill="1" applyAlignment="1">
      <alignment horizontal="left" indent="1"/>
    </xf>
    <xf numFmtId="0" fontId="13" fillId="0" borderId="0" xfId="0" applyFont="1" applyFill="1" applyProtection="1"/>
    <xf numFmtId="0" fontId="7" fillId="0" borderId="0" xfId="0" quotePrefix="1" applyFont="1" applyFill="1" applyAlignment="1" applyProtection="1">
      <alignment horizontal="right" indent="3"/>
    </xf>
    <xf numFmtId="0" fontId="22" fillId="0" borderId="0" xfId="0" applyFont="1" applyAlignment="1">
      <alignment horizontal="left"/>
    </xf>
    <xf numFmtId="3" fontId="0" fillId="8" borderId="23" xfId="0" applyNumberFormat="1" applyFill="1" applyBorder="1" applyAlignment="1" applyProtection="1">
      <alignment horizontal="center"/>
      <protection locked="0"/>
    </xf>
    <xf numFmtId="3" fontId="0" fillId="8" borderId="23" xfId="0" applyNumberFormat="1" applyFill="1" applyBorder="1" applyAlignment="1" applyProtection="1">
      <alignment horizontal="center" vertical="center"/>
      <protection locked="0"/>
    </xf>
    <xf numFmtId="3" fontId="0" fillId="8" borderId="28" xfId="0" applyNumberFormat="1" applyFill="1" applyBorder="1" applyAlignment="1" applyProtection="1">
      <alignment horizontal="center" vertical="center"/>
      <protection locked="0"/>
    </xf>
    <xf numFmtId="0" fontId="7" fillId="0" borderId="40" xfId="0" applyFont="1" applyFill="1" applyBorder="1" applyAlignment="1">
      <alignment wrapText="1"/>
    </xf>
    <xf numFmtId="0" fontId="7" fillId="0" borderId="42" xfId="0" applyFont="1" applyFill="1" applyBorder="1" applyAlignment="1">
      <alignment wrapText="1"/>
    </xf>
    <xf numFmtId="0" fontId="0" fillId="0" borderId="0" xfId="0" quotePrefix="1"/>
    <xf numFmtId="0" fontId="0" fillId="21" borderId="0" xfId="0" applyFill="1"/>
    <xf numFmtId="0" fontId="7" fillId="21" borderId="0" xfId="0" applyFont="1" applyFill="1"/>
    <xf numFmtId="0" fontId="13" fillId="31" borderId="0" xfId="0" applyFont="1" applyFill="1" applyAlignment="1">
      <alignment horizontal="left" indent="1"/>
    </xf>
    <xf numFmtId="0" fontId="0" fillId="31" borderId="0" xfId="0" applyFill="1"/>
    <xf numFmtId="9" fontId="0" fillId="6" borderId="5" xfId="8" applyFont="1" applyFill="1" applyBorder="1" applyAlignment="1" applyProtection="1">
      <alignment horizontal="center" vertical="center" wrapText="1"/>
      <protection locked="0"/>
    </xf>
    <xf numFmtId="0" fontId="78" fillId="0" borderId="0" xfId="0" applyFont="1"/>
    <xf numFmtId="3" fontId="0" fillId="8" borderId="5" xfId="0" applyNumberFormat="1" applyFill="1" applyBorder="1" applyAlignment="1" applyProtection="1">
      <alignment horizontal="center" vertical="center"/>
      <protection locked="0"/>
    </xf>
    <xf numFmtId="3" fontId="47" fillId="0" borderId="0" xfId="0" applyNumberFormat="1" applyFont="1" applyFill="1" applyBorder="1" applyAlignment="1">
      <alignment vertical="center"/>
    </xf>
    <xf numFmtId="0" fontId="0" fillId="24" borderId="0" xfId="0" applyFill="1"/>
    <xf numFmtId="1" fontId="67" fillId="4" borderId="5" xfId="0" applyNumberFormat="1" applyFont="1" applyFill="1" applyBorder="1" applyAlignment="1">
      <alignment horizontal="center"/>
    </xf>
    <xf numFmtId="3" fontId="7" fillId="0" borderId="40" xfId="0" applyNumberFormat="1" applyFont="1" applyFill="1" applyBorder="1" applyAlignment="1">
      <alignment wrapText="1"/>
    </xf>
    <xf numFmtId="1" fontId="7" fillId="0" borderId="40" xfId="0" applyNumberFormat="1" applyFont="1" applyFill="1" applyBorder="1" applyAlignment="1">
      <alignment wrapText="1"/>
    </xf>
    <xf numFmtId="0" fontId="7" fillId="0" borderId="12" xfId="0" applyFont="1" applyFill="1" applyBorder="1" applyAlignment="1">
      <alignment wrapText="1"/>
    </xf>
    <xf numFmtId="0" fontId="7" fillId="0" borderId="13" xfId="0" applyFont="1" applyFill="1" applyBorder="1" applyAlignment="1">
      <alignment wrapText="1"/>
    </xf>
    <xf numFmtId="0" fontId="7" fillId="0" borderId="62" xfId="0" applyFont="1" applyFill="1" applyBorder="1" applyAlignment="1">
      <alignment wrapText="1"/>
    </xf>
    <xf numFmtId="0" fontId="14" fillId="5" borderId="0" xfId="0" applyFont="1" applyFill="1" applyBorder="1" applyProtection="1"/>
    <xf numFmtId="0" fontId="13" fillId="10" borderId="0" xfId="0" applyFont="1" applyFill="1" applyAlignment="1">
      <alignment wrapText="1"/>
    </xf>
    <xf numFmtId="0" fontId="13" fillId="10" borderId="0" xfId="0" quotePrefix="1" applyFont="1" applyFill="1" applyAlignment="1">
      <alignment wrapText="1"/>
    </xf>
    <xf numFmtId="0" fontId="58" fillId="6" borderId="0" xfId="0" applyFont="1" applyFill="1" applyAlignment="1">
      <alignment horizontal="left" vertical="center" indent="1"/>
    </xf>
    <xf numFmtId="37" fontId="0" fillId="6" borderId="5" xfId="1" applyNumberFormat="1" applyFont="1" applyFill="1" applyBorder="1" applyAlignment="1" applyProtection="1">
      <alignment horizontal="center" vertical="center" wrapText="1"/>
      <protection locked="0"/>
    </xf>
    <xf numFmtId="0" fontId="0" fillId="6" borderId="5" xfId="0" applyFill="1" applyBorder="1" applyAlignment="1" applyProtection="1">
      <alignment horizontal="center"/>
      <protection locked="0"/>
    </xf>
    <xf numFmtId="168" fontId="0" fillId="6" borderId="5" xfId="8" applyNumberFormat="1" applyFont="1" applyFill="1" applyBorder="1" applyAlignment="1" applyProtection="1">
      <alignment horizontal="center" vertical="center"/>
      <protection locked="0"/>
    </xf>
    <xf numFmtId="168" fontId="0" fillId="6" borderId="5" xfId="0" applyNumberFormat="1" applyFill="1" applyBorder="1" applyAlignment="1" applyProtection="1">
      <alignment horizontal="center" vertical="center"/>
      <protection locked="0"/>
    </xf>
    <xf numFmtId="167" fontId="0" fillId="6" borderId="5" xfId="1" applyNumberFormat="1" applyFont="1" applyFill="1" applyBorder="1" applyAlignment="1">
      <alignment horizontal="center" vertical="center"/>
    </xf>
    <xf numFmtId="172" fontId="0" fillId="6" borderId="5" xfId="21" applyNumberFormat="1" applyFont="1" applyFill="1" applyBorder="1" applyAlignment="1">
      <alignment vertical="center"/>
    </xf>
    <xf numFmtId="167" fontId="0" fillId="0" borderId="5" xfId="1" applyNumberFormat="1" applyFont="1" applyBorder="1" applyAlignment="1">
      <alignment vertical="top"/>
    </xf>
    <xf numFmtId="167" fontId="0" fillId="0" borderId="0" xfId="1" applyNumberFormat="1" applyFont="1" applyBorder="1" applyAlignment="1">
      <alignment vertical="top"/>
    </xf>
    <xf numFmtId="0" fontId="23" fillId="17" borderId="0" xfId="0" applyFont="1" applyFill="1" applyBorder="1"/>
    <xf numFmtId="167" fontId="47" fillId="0" borderId="5" xfId="1" applyNumberFormat="1" applyFont="1" applyBorder="1" applyAlignment="1">
      <alignment vertical="top"/>
    </xf>
    <xf numFmtId="165" fontId="47" fillId="0" borderId="5" xfId="16" applyNumberFormat="1" applyFont="1" applyBorder="1">
      <alignment vertical="top"/>
    </xf>
    <xf numFmtId="0" fontId="1" fillId="0" borderId="0" xfId="13"/>
    <xf numFmtId="0" fontId="39" fillId="0" borderId="0" xfId="13" applyFont="1"/>
    <xf numFmtId="0" fontId="39" fillId="0" borderId="0" xfId="13" applyFont="1" applyAlignment="1">
      <alignment horizontal="center"/>
    </xf>
    <xf numFmtId="0" fontId="1" fillId="0" borderId="0" xfId="13" applyAlignment="1">
      <alignment horizontal="left"/>
    </xf>
    <xf numFmtId="2" fontId="39" fillId="0" borderId="0" xfId="13" applyNumberFormat="1" applyFont="1"/>
    <xf numFmtId="0" fontId="15" fillId="0" borderId="0" xfId="13" applyFont="1" applyAlignment="1">
      <alignment horizontal="right"/>
    </xf>
    <xf numFmtId="2" fontId="39" fillId="0" borderId="0" xfId="13" applyNumberFormat="1" applyFont="1" applyAlignment="1">
      <alignment horizontal="center"/>
    </xf>
    <xf numFmtId="2" fontId="82" fillId="11" borderId="0" xfId="13" applyNumberFormat="1" applyFont="1" applyFill="1" applyBorder="1" applyAlignment="1">
      <alignment horizontal="center"/>
    </xf>
    <xf numFmtId="2" fontId="82" fillId="11" borderId="78" xfId="13" applyNumberFormat="1" applyFont="1" applyFill="1" applyBorder="1" applyAlignment="1">
      <alignment horizontal="center" vertical="top" wrapText="1"/>
    </xf>
    <xf numFmtId="2" fontId="82" fillId="11" borderId="79" xfId="13" applyNumberFormat="1" applyFont="1" applyFill="1" applyBorder="1" applyAlignment="1">
      <alignment horizontal="center" vertical="top" wrapText="1"/>
    </xf>
    <xf numFmtId="2" fontId="82" fillId="11" borderId="80" xfId="13" applyNumberFormat="1" applyFont="1" applyFill="1" applyBorder="1" applyAlignment="1">
      <alignment horizontal="center" vertical="top" wrapText="1"/>
    </xf>
    <xf numFmtId="2" fontId="82" fillId="11" borderId="81" xfId="13" applyNumberFormat="1" applyFont="1" applyFill="1" applyBorder="1" applyAlignment="1">
      <alignment horizontal="center" vertical="top" wrapText="1"/>
    </xf>
    <xf numFmtId="0" fontId="83" fillId="0" borderId="82" xfId="13" applyFont="1" applyBorder="1" applyAlignment="1" applyProtection="1">
      <alignment horizontal="center" vertical="top" wrapText="1"/>
      <protection locked="0"/>
    </xf>
    <xf numFmtId="0" fontId="83" fillId="0" borderId="83" xfId="13" applyFont="1" applyBorder="1" applyAlignment="1" applyProtection="1">
      <alignment horizontal="center" vertical="top" wrapText="1"/>
      <protection locked="0"/>
    </xf>
    <xf numFmtId="0" fontId="83" fillId="0" borderId="83" xfId="13" applyFont="1" applyBorder="1" applyAlignment="1" applyProtection="1">
      <alignment vertical="top" wrapText="1"/>
      <protection locked="0"/>
    </xf>
    <xf numFmtId="0" fontId="33" fillId="19" borderId="68" xfId="13" applyFont="1" applyFill="1" applyBorder="1" applyAlignment="1">
      <alignment horizontal="center" vertical="top"/>
    </xf>
    <xf numFmtId="2" fontId="82" fillId="11" borderId="84" xfId="13" applyNumberFormat="1" applyFont="1" applyFill="1" applyBorder="1" applyAlignment="1">
      <alignment horizontal="center" vertical="top" wrapText="1"/>
    </xf>
    <xf numFmtId="2" fontId="82" fillId="11" borderId="85" xfId="13" applyNumberFormat="1" applyFont="1" applyFill="1" applyBorder="1" applyAlignment="1">
      <alignment horizontal="center" vertical="top" wrapText="1"/>
    </xf>
    <xf numFmtId="2" fontId="82" fillId="11" borderId="86" xfId="13" applyNumberFormat="1" applyFont="1" applyFill="1" applyBorder="1" applyAlignment="1">
      <alignment horizontal="center" vertical="top" wrapText="1"/>
    </xf>
    <xf numFmtId="2" fontId="82" fillId="11" borderId="87" xfId="13" applyNumberFormat="1" applyFont="1" applyFill="1" applyBorder="1" applyAlignment="1">
      <alignment horizontal="center" vertical="top" wrapText="1"/>
    </xf>
    <xf numFmtId="0" fontId="83" fillId="0" borderId="88" xfId="13" applyFont="1" applyBorder="1" applyAlignment="1" applyProtection="1">
      <alignment horizontal="center" vertical="top" wrapText="1"/>
      <protection locked="0"/>
    </xf>
    <xf numFmtId="0" fontId="83" fillId="0" borderId="89" xfId="13" applyFont="1" applyBorder="1" applyAlignment="1" applyProtection="1">
      <alignment horizontal="center" vertical="top" wrapText="1"/>
      <protection locked="0"/>
    </xf>
    <xf numFmtId="0" fontId="83" fillId="0" borderId="89" xfId="13" applyFont="1" applyBorder="1" applyAlignment="1" applyProtection="1">
      <alignment vertical="top" wrapText="1"/>
      <protection locked="0"/>
    </xf>
    <xf numFmtId="0" fontId="33" fillId="19" borderId="67" xfId="13" applyFont="1" applyFill="1" applyBorder="1" applyAlignment="1">
      <alignment horizontal="center" vertical="top"/>
    </xf>
    <xf numFmtId="2" fontId="82" fillId="0" borderId="86" xfId="13" applyNumberFormat="1" applyFont="1" applyBorder="1" applyAlignment="1">
      <alignment horizontal="center" vertical="top" wrapText="1"/>
    </xf>
    <xf numFmtId="2" fontId="82" fillId="0" borderId="87" xfId="13" applyNumberFormat="1" applyFont="1" applyBorder="1" applyAlignment="1">
      <alignment horizontal="center" vertical="top" wrapText="1"/>
    </xf>
    <xf numFmtId="0" fontId="83" fillId="0" borderId="90" xfId="13" applyFont="1" applyBorder="1" applyAlignment="1" applyProtection="1">
      <alignment vertical="top"/>
      <protection locked="0"/>
    </xf>
    <xf numFmtId="2" fontId="82" fillId="0" borderId="85" xfId="13" applyNumberFormat="1" applyFont="1" applyBorder="1" applyAlignment="1">
      <alignment horizontal="center" vertical="top" wrapText="1"/>
    </xf>
    <xf numFmtId="0" fontId="33" fillId="19" borderId="77" xfId="13" applyFont="1" applyFill="1" applyBorder="1" applyAlignment="1">
      <alignment horizontal="center" vertical="top"/>
    </xf>
    <xf numFmtId="0" fontId="39" fillId="0" borderId="0" xfId="13" applyFont="1" applyAlignment="1">
      <alignment horizontal="center" vertical="center"/>
    </xf>
    <xf numFmtId="0" fontId="82" fillId="0" borderId="17" xfId="13" applyFont="1" applyBorder="1" applyAlignment="1">
      <alignment horizontal="center" vertical="center" wrapText="1"/>
    </xf>
    <xf numFmtId="0" fontId="82" fillId="0" borderId="52" xfId="13" applyFont="1" applyBorder="1" applyAlignment="1">
      <alignment horizontal="center" vertical="center" wrapText="1"/>
    </xf>
    <xf numFmtId="0" fontId="82" fillId="0" borderId="51" xfId="13" applyFont="1" applyBorder="1" applyAlignment="1">
      <alignment horizontal="center" vertical="center" wrapText="1"/>
    </xf>
    <xf numFmtId="0" fontId="82" fillId="0" borderId="59" xfId="13" applyFont="1" applyBorder="1" applyAlignment="1">
      <alignment horizontal="center" vertical="center" wrapText="1"/>
    </xf>
    <xf numFmtId="0" fontId="33" fillId="19" borderId="98" xfId="13" applyFont="1" applyFill="1" applyBorder="1" applyAlignment="1">
      <alignment horizontal="center" vertical="center" wrapText="1"/>
    </xf>
    <xf numFmtId="0" fontId="33" fillId="19" borderId="99" xfId="13" applyFont="1" applyFill="1" applyBorder="1" applyAlignment="1">
      <alignment horizontal="center" vertical="center" wrapText="1"/>
    </xf>
    <xf numFmtId="0" fontId="33" fillId="19" borderId="44" xfId="13" applyFont="1" applyFill="1" applyBorder="1" applyAlignment="1">
      <alignment horizontal="center" vertical="center"/>
    </xf>
    <xf numFmtId="0" fontId="84" fillId="19" borderId="17" xfId="13" applyFont="1" applyFill="1" applyBorder="1" applyAlignment="1">
      <alignment horizontal="center"/>
    </xf>
    <xf numFmtId="0" fontId="84" fillId="19" borderId="35" xfId="13" applyFont="1" applyFill="1" applyBorder="1" applyAlignment="1">
      <alignment horizontal="center"/>
    </xf>
    <xf numFmtId="0" fontId="84" fillId="19" borderId="54" xfId="13" applyFont="1" applyFill="1" applyBorder="1" applyAlignment="1">
      <alignment horizontal="center"/>
    </xf>
    <xf numFmtId="0" fontId="84" fillId="19" borderId="55" xfId="13" applyFont="1" applyFill="1" applyBorder="1" applyAlignment="1">
      <alignment horizontal="center"/>
    </xf>
    <xf numFmtId="0" fontId="1" fillId="0" borderId="0" xfId="13" applyAlignment="1">
      <alignment horizontal="center"/>
    </xf>
    <xf numFmtId="0" fontId="15" fillId="0" borderId="0" xfId="13" applyFont="1"/>
    <xf numFmtId="0" fontId="33" fillId="19" borderId="0" xfId="13" applyFont="1" applyFill="1" applyBorder="1" applyAlignment="1">
      <alignment horizontal="centerContinuous"/>
    </xf>
    <xf numFmtId="0" fontId="33" fillId="19" borderId="42" xfId="13" applyFont="1" applyFill="1" applyBorder="1" applyAlignment="1">
      <alignment horizontal="centerContinuous"/>
    </xf>
    <xf numFmtId="0" fontId="33" fillId="19" borderId="41" xfId="13" applyFont="1" applyFill="1" applyBorder="1" applyAlignment="1">
      <alignment horizontal="centerContinuous"/>
    </xf>
    <xf numFmtId="0" fontId="33" fillId="19" borderId="40" xfId="13" applyFont="1" applyFill="1" applyBorder="1" applyAlignment="1">
      <alignment horizontal="centerContinuous"/>
    </xf>
    <xf numFmtId="2" fontId="1" fillId="0" borderId="0" xfId="13" applyNumberFormat="1" applyBorder="1"/>
    <xf numFmtId="2" fontId="1" fillId="0" borderId="41" xfId="13" applyNumberFormat="1" applyBorder="1"/>
    <xf numFmtId="2" fontId="85" fillId="0" borderId="41" xfId="13" applyNumberFormat="1" applyFont="1" applyBorder="1"/>
    <xf numFmtId="2" fontId="85" fillId="0" borderId="40" xfId="13" applyNumberFormat="1" applyFont="1" applyBorder="1"/>
    <xf numFmtId="0" fontId="33" fillId="19" borderId="42" xfId="13" applyFont="1" applyFill="1" applyBorder="1" applyAlignment="1">
      <alignment horizontal="center" vertical="center" wrapText="1"/>
    </xf>
    <xf numFmtId="0" fontId="33" fillId="19" borderId="40" xfId="13" applyFont="1" applyFill="1" applyBorder="1" applyAlignment="1">
      <alignment horizontal="center" vertical="center" wrapText="1"/>
    </xf>
    <xf numFmtId="0" fontId="1" fillId="0" borderId="0" xfId="13" applyAlignment="1">
      <alignment vertical="top" wrapText="1"/>
    </xf>
    <xf numFmtId="0" fontId="21" fillId="0" borderId="0" xfId="13" applyFont="1"/>
    <xf numFmtId="0" fontId="86" fillId="19" borderId="0" xfId="13" applyFont="1" applyFill="1"/>
    <xf numFmtId="0" fontId="86" fillId="19" borderId="0" xfId="13" applyFont="1" applyFill="1" applyAlignment="1">
      <alignment horizontal="center"/>
    </xf>
    <xf numFmtId="0" fontId="28" fillId="19" borderId="0" xfId="13" applyFont="1" applyFill="1"/>
    <xf numFmtId="0" fontId="87" fillId="0" borderId="100" xfId="13" applyFont="1" applyBorder="1" applyAlignment="1">
      <alignment horizontal="center"/>
    </xf>
    <xf numFmtId="0" fontId="87" fillId="0" borderId="100" xfId="13" applyFont="1" applyBorder="1"/>
    <xf numFmtId="0" fontId="87" fillId="16" borderId="0" xfId="13" applyFont="1" applyFill="1" applyAlignment="1">
      <alignment horizontal="center"/>
    </xf>
    <xf numFmtId="0" fontId="87" fillId="16" borderId="0" xfId="13" applyFont="1" applyFill="1"/>
    <xf numFmtId="0" fontId="87" fillId="0" borderId="0" xfId="13" applyFont="1" applyAlignment="1">
      <alignment horizontal="center"/>
    </xf>
    <xf numFmtId="0" fontId="87" fillId="0" borderId="0" xfId="13" applyFont="1"/>
    <xf numFmtId="0" fontId="87" fillId="16" borderId="101" xfId="13" applyFont="1" applyFill="1" applyBorder="1" applyAlignment="1">
      <alignment horizontal="center"/>
    </xf>
    <xf numFmtId="0" fontId="87" fillId="16" borderId="101" xfId="13" applyFont="1" applyFill="1" applyBorder="1"/>
    <xf numFmtId="0" fontId="88" fillId="0" borderId="101" xfId="13" applyFont="1" applyBorder="1" applyAlignment="1">
      <alignment horizontal="center"/>
    </xf>
    <xf numFmtId="0" fontId="88" fillId="0" borderId="101" xfId="13" applyFont="1" applyBorder="1"/>
    <xf numFmtId="167" fontId="7" fillId="0" borderId="15" xfId="1" applyNumberFormat="1" applyFont="1" applyFill="1" applyBorder="1" applyAlignment="1"/>
    <xf numFmtId="177" fontId="67" fillId="4" borderId="5" xfId="0" applyNumberFormat="1" applyFont="1" applyFill="1" applyBorder="1" applyAlignment="1">
      <alignment horizontal="center"/>
    </xf>
    <xf numFmtId="2" fontId="15" fillId="0" borderId="0" xfId="13" applyNumberFormat="1" applyFont="1" applyAlignment="1">
      <alignment horizontal="right"/>
    </xf>
    <xf numFmtId="3" fontId="4" fillId="4" borderId="5" xfId="0" applyNumberFormat="1" applyFont="1" applyFill="1" applyBorder="1" applyAlignment="1">
      <alignment horizontal="center" vertical="center"/>
    </xf>
    <xf numFmtId="177" fontId="4" fillId="4" borderId="5" xfId="0" applyNumberFormat="1" applyFont="1" applyFill="1" applyBorder="1" applyAlignment="1">
      <alignment horizontal="center" vertical="center"/>
    </xf>
    <xf numFmtId="1" fontId="0" fillId="0" borderId="0" xfId="0" applyNumberFormat="1" applyAlignment="1">
      <alignment horizontal="left" vertical="center" indent="4"/>
    </xf>
    <xf numFmtId="0" fontId="14" fillId="0" borderId="0" xfId="0" applyFont="1" applyAlignment="1">
      <alignment horizontal="left" vertical="center"/>
    </xf>
    <xf numFmtId="1" fontId="3" fillId="0" borderId="0" xfId="0" applyNumberFormat="1" applyFont="1"/>
    <xf numFmtId="1" fontId="3" fillId="0" borderId="0" xfId="0" applyNumberFormat="1" applyFont="1" applyAlignment="1">
      <alignment horizontal="left" vertical="center"/>
    </xf>
    <xf numFmtId="178" fontId="4" fillId="8" borderId="5" xfId="1" applyNumberFormat="1" applyFont="1" applyFill="1" applyBorder="1" applyAlignment="1" applyProtection="1">
      <alignment horizontal="center" vertical="center" wrapText="1"/>
      <protection locked="0"/>
    </xf>
    <xf numFmtId="0" fontId="89" fillId="0" borderId="0" xfId="0" applyFont="1" applyAlignment="1">
      <alignment horizontal="right"/>
    </xf>
    <xf numFmtId="1" fontId="89" fillId="0" borderId="0" xfId="0" applyNumberFormat="1" applyFont="1" applyAlignment="1">
      <alignment horizontal="right"/>
    </xf>
    <xf numFmtId="167" fontId="0" fillId="4" borderId="5" xfId="1" applyNumberFormat="1" applyFont="1" applyFill="1" applyBorder="1" applyAlignment="1" applyProtection="1">
      <alignment horizontal="center" vertical="center"/>
    </xf>
    <xf numFmtId="0" fontId="7" fillId="21" borderId="0" xfId="0" applyFont="1" applyFill="1" applyAlignment="1">
      <alignment horizontal="center"/>
    </xf>
    <xf numFmtId="0" fontId="0" fillId="0" borderId="0" xfId="0" quotePrefix="1" applyFill="1" applyAlignment="1">
      <alignment wrapText="1"/>
    </xf>
    <xf numFmtId="0" fontId="0" fillId="21" borderId="0" xfId="0" applyFill="1" applyProtection="1"/>
    <xf numFmtId="0" fontId="0" fillId="0" borderId="0" xfId="0" applyAlignment="1">
      <alignment horizontal="center"/>
    </xf>
    <xf numFmtId="0" fontId="0" fillId="24" borderId="5" xfId="0" applyFill="1" applyBorder="1" applyAlignment="1">
      <alignment vertical="center" wrapText="1"/>
    </xf>
    <xf numFmtId="0" fontId="0" fillId="4" borderId="5" xfId="0" applyFont="1" applyFill="1" applyBorder="1" applyAlignment="1">
      <alignment vertical="center" wrapText="1"/>
    </xf>
    <xf numFmtId="0" fontId="0" fillId="24" borderId="5" xfId="0" applyFont="1" applyFill="1" applyBorder="1" applyAlignment="1">
      <alignment vertical="center" wrapText="1"/>
    </xf>
    <xf numFmtId="0" fontId="0" fillId="4" borderId="23" xfId="0" applyFont="1" applyFill="1" applyBorder="1" applyAlignment="1">
      <alignment vertical="center" wrapText="1"/>
    </xf>
    <xf numFmtId="0" fontId="0" fillId="4" borderId="16" xfId="0" applyFill="1" applyBorder="1"/>
    <xf numFmtId="0" fontId="4" fillId="24" borderId="5" xfId="0" applyFont="1" applyFill="1" applyBorder="1" applyAlignment="1">
      <alignment vertical="center" wrapText="1"/>
    </xf>
    <xf numFmtId="165" fontId="0" fillId="27" borderId="5" xfId="1" applyNumberFormat="1" applyFont="1" applyFill="1" applyBorder="1" applyAlignment="1">
      <alignment horizontal="center" vertical="center"/>
    </xf>
    <xf numFmtId="165" fontId="4" fillId="27" borderId="5" xfId="1" applyNumberFormat="1" applyFont="1" applyFill="1" applyBorder="1" applyAlignment="1">
      <alignment horizontal="center" vertical="center"/>
    </xf>
    <xf numFmtId="165" fontId="4" fillId="27" borderId="16" xfId="1" applyNumberFormat="1" applyFont="1" applyFill="1" applyBorder="1" applyAlignment="1">
      <alignment horizontal="center" vertical="center"/>
    </xf>
    <xf numFmtId="165" fontId="0" fillId="6" borderId="0" xfId="1" applyNumberFormat="1" applyFont="1" applyFill="1" applyBorder="1" applyAlignment="1">
      <alignment horizontal="center" vertical="center"/>
    </xf>
    <xf numFmtId="165" fontId="0" fillId="6" borderId="5" xfId="1" applyNumberFormat="1" applyFont="1" applyFill="1" applyBorder="1" applyAlignment="1">
      <alignment horizontal="center" vertical="center"/>
    </xf>
    <xf numFmtId="165" fontId="0" fillId="6" borderId="16" xfId="1" applyNumberFormat="1" applyFont="1" applyFill="1" applyBorder="1" applyAlignment="1">
      <alignment horizontal="center" vertical="center"/>
    </xf>
    <xf numFmtId="0" fontId="0" fillId="4" borderId="23" xfId="0" applyFill="1" applyBorder="1" applyAlignment="1">
      <alignment vertical="top" wrapText="1"/>
    </xf>
    <xf numFmtId="0" fontId="23" fillId="17" borderId="0" xfId="0" applyFont="1" applyFill="1" applyAlignment="1">
      <alignment vertical="top"/>
    </xf>
    <xf numFmtId="0" fontId="0" fillId="4" borderId="5" xfId="0" applyFill="1" applyBorder="1" applyAlignment="1">
      <alignment vertical="top"/>
    </xf>
    <xf numFmtId="0" fontId="4" fillId="4" borderId="5" xfId="0" applyFont="1" applyFill="1" applyBorder="1" applyAlignment="1">
      <alignment vertical="top"/>
    </xf>
    <xf numFmtId="0" fontId="0" fillId="4" borderId="5" xfId="0" applyFill="1" applyBorder="1" applyAlignment="1">
      <alignment vertical="top" wrapText="1"/>
    </xf>
    <xf numFmtId="0" fontId="0" fillId="0" borderId="0" xfId="0" applyFill="1" applyBorder="1" applyAlignment="1">
      <alignment vertical="top"/>
    </xf>
    <xf numFmtId="0" fontId="39" fillId="0" borderId="0" xfId="0" applyFont="1" applyAlignment="1">
      <alignment vertical="top"/>
    </xf>
    <xf numFmtId="0" fontId="0" fillId="4" borderId="32" xfId="0" applyFill="1" applyBorder="1" applyAlignment="1">
      <alignment vertical="top"/>
    </xf>
    <xf numFmtId="0" fontId="4" fillId="4" borderId="32" xfId="0" applyFont="1" applyFill="1" applyBorder="1" applyAlignment="1">
      <alignment vertical="top"/>
    </xf>
    <xf numFmtId="0" fontId="39" fillId="0" borderId="0" xfId="0" applyFont="1" applyAlignment="1">
      <alignment horizontal="center" vertical="top"/>
    </xf>
    <xf numFmtId="0" fontId="7" fillId="16" borderId="29" xfId="0" applyFont="1" applyFill="1" applyBorder="1" applyAlignment="1">
      <alignment horizontal="center" wrapText="1"/>
    </xf>
    <xf numFmtId="0" fontId="7" fillId="16" borderId="24" xfId="0" applyFont="1" applyFill="1" applyBorder="1" applyAlignment="1">
      <alignment horizontal="center" wrapText="1"/>
    </xf>
    <xf numFmtId="0" fontId="7" fillId="16" borderId="68" xfId="0" applyFont="1" applyFill="1" applyBorder="1" applyAlignment="1">
      <alignment horizontal="center" wrapText="1"/>
    </xf>
    <xf numFmtId="0" fontId="7" fillId="16" borderId="25" xfId="0" applyFont="1" applyFill="1" applyBorder="1" applyAlignment="1">
      <alignment horizontal="center" wrapText="1"/>
    </xf>
    <xf numFmtId="0" fontId="7" fillId="16" borderId="28" xfId="0" applyFont="1" applyFill="1" applyBorder="1" applyAlignment="1">
      <alignment horizontal="center" wrapText="1"/>
    </xf>
    <xf numFmtId="165" fontId="0" fillId="0" borderId="0" xfId="1" applyNumberFormat="1" applyFont="1" applyAlignment="1">
      <alignment horizontal="center"/>
    </xf>
    <xf numFmtId="165" fontId="3" fillId="0" borderId="0" xfId="1" applyNumberFormat="1" applyFont="1" applyAlignment="1">
      <alignment horizontal="center"/>
    </xf>
    <xf numFmtId="9" fontId="0" fillId="8" borderId="5" xfId="0" applyNumberFormat="1" applyFill="1" applyBorder="1" applyAlignment="1" applyProtection="1">
      <alignment horizontal="center" vertical="center"/>
      <protection locked="0"/>
    </xf>
    <xf numFmtId="0" fontId="3" fillId="0" borderId="0" xfId="0" applyFont="1" applyFill="1" applyProtection="1"/>
    <xf numFmtId="2" fontId="0" fillId="19" borderId="5" xfId="0" applyNumberFormat="1" applyFill="1" applyBorder="1"/>
    <xf numFmtId="0" fontId="74" fillId="0" borderId="0" xfId="0" applyFont="1" applyAlignment="1">
      <alignment horizontal="right" vertical="center"/>
    </xf>
    <xf numFmtId="167" fontId="0" fillId="14" borderId="5" xfId="1" applyNumberFormat="1" applyFont="1" applyFill="1" applyBorder="1"/>
    <xf numFmtId="0" fontId="7" fillId="0" borderId="70" xfId="0" applyFont="1" applyBorder="1"/>
    <xf numFmtId="3" fontId="0" fillId="4" borderId="45" xfId="0" applyNumberFormat="1" applyFill="1" applyBorder="1"/>
    <xf numFmtId="3" fontId="7" fillId="4" borderId="102" xfId="0" applyNumberFormat="1" applyFont="1" applyFill="1" applyBorder="1"/>
    <xf numFmtId="167" fontId="73" fillId="0" borderId="64" xfId="1" applyNumberFormat="1" applyFont="1" applyBorder="1"/>
    <xf numFmtId="0" fontId="7" fillId="0" borderId="63" xfId="0" applyFont="1" applyFill="1" applyBorder="1"/>
    <xf numFmtId="0" fontId="0" fillId="0" borderId="0" xfId="0" applyFont="1" applyBorder="1"/>
    <xf numFmtId="0" fontId="0" fillId="18" borderId="0" xfId="0" applyFont="1" applyFill="1"/>
    <xf numFmtId="0" fontId="0" fillId="18" borderId="0" xfId="0" applyFont="1" applyFill="1" applyBorder="1"/>
    <xf numFmtId="0" fontId="0" fillId="18" borderId="0" xfId="0" applyFont="1" applyFill="1" applyAlignment="1">
      <alignment wrapText="1"/>
    </xf>
    <xf numFmtId="0" fontId="0" fillId="7" borderId="0" xfId="0" applyFont="1" applyFill="1"/>
    <xf numFmtId="0" fontId="0" fillId="7" borderId="0" xfId="0" applyFont="1" applyFill="1" applyBorder="1"/>
    <xf numFmtId="0" fontId="0" fillId="7" borderId="0" xfId="0" applyFont="1" applyFill="1" applyAlignment="1">
      <alignment wrapText="1"/>
    </xf>
    <xf numFmtId="0" fontId="47" fillId="0" borderId="0" xfId="16" applyFont="1" applyBorder="1">
      <alignment vertical="top"/>
    </xf>
    <xf numFmtId="0" fontId="16" fillId="0" borderId="5" xfId="18" applyNumberFormat="1" applyFont="1" applyFill="1" applyBorder="1" applyAlignment="1" applyProtection="1">
      <alignment vertical="top" wrapText="1"/>
    </xf>
    <xf numFmtId="0" fontId="16" fillId="0" borderId="0" xfId="18" applyNumberFormat="1" applyFont="1" applyFill="1" applyBorder="1" applyAlignment="1" applyProtection="1">
      <alignment vertical="top" wrapText="1"/>
    </xf>
    <xf numFmtId="0" fontId="16" fillId="0" borderId="5" xfId="18" applyNumberFormat="1" applyFont="1" applyFill="1" applyBorder="1" applyAlignment="1" applyProtection="1">
      <alignment horizontal="left" vertical="top" wrapText="1"/>
    </xf>
    <xf numFmtId="0" fontId="92" fillId="0" borderId="5" xfId="19" applyNumberFormat="1" applyFont="1" applyFill="1" applyBorder="1" applyAlignment="1" applyProtection="1">
      <alignment vertical="top" wrapText="1"/>
    </xf>
    <xf numFmtId="0" fontId="92" fillId="0" borderId="0" xfId="19" applyNumberFormat="1" applyFont="1" applyFill="1" applyBorder="1" applyAlignment="1" applyProtection="1">
      <alignment vertical="top" wrapText="1"/>
    </xf>
    <xf numFmtId="0" fontId="92" fillId="0" borderId="5" xfId="19" applyFont="1" applyBorder="1">
      <alignment vertical="top" wrapText="1"/>
    </xf>
    <xf numFmtId="0" fontId="47" fillId="0" borderId="0" xfId="16" applyFont="1" applyBorder="1" applyAlignment="1">
      <alignment vertical="top" wrapText="1"/>
    </xf>
    <xf numFmtId="0" fontId="47" fillId="0" borderId="5" xfId="1" applyNumberFormat="1" applyFont="1" applyFill="1" applyBorder="1" applyAlignment="1" applyProtection="1">
      <alignment vertical="top"/>
    </xf>
    <xf numFmtId="0" fontId="47" fillId="0" borderId="5" xfId="17" applyNumberFormat="1" applyFont="1" applyFill="1" applyBorder="1" applyAlignment="1" applyProtection="1">
      <alignment vertical="top"/>
    </xf>
    <xf numFmtId="1" fontId="47" fillId="0" borderId="5" xfId="17" applyNumberFormat="1" applyFont="1" applyFill="1" applyBorder="1" applyAlignment="1" applyProtection="1">
      <alignment vertical="top"/>
    </xf>
    <xf numFmtId="2" fontId="47" fillId="0" borderId="5" xfId="16" applyNumberFormat="1" applyFont="1" applyBorder="1">
      <alignment vertical="top"/>
    </xf>
    <xf numFmtId="0" fontId="47" fillId="0" borderId="5" xfId="16" applyFont="1" applyBorder="1">
      <alignment vertical="top"/>
    </xf>
    <xf numFmtId="176" fontId="47" fillId="0" borderId="5" xfId="1" applyNumberFormat="1" applyFont="1" applyFill="1" applyBorder="1" applyAlignment="1" applyProtection="1">
      <alignment vertical="top"/>
    </xf>
    <xf numFmtId="0" fontId="47" fillId="0" borderId="0" xfId="16" applyFont="1" applyBorder="1" applyAlignment="1">
      <alignment horizontal="left" vertical="top"/>
    </xf>
    <xf numFmtId="0" fontId="0" fillId="0" borderId="18" xfId="0" applyBorder="1"/>
    <xf numFmtId="0" fontId="0" fillId="0" borderId="32" xfId="0" applyFill="1" applyBorder="1" applyProtection="1"/>
    <xf numFmtId="0" fontId="0" fillId="0" borderId="29" xfId="0" applyFill="1" applyBorder="1" applyAlignment="1" applyProtection="1"/>
    <xf numFmtId="0" fontId="6" fillId="12" borderId="74" xfId="0" applyFont="1" applyFill="1" applyBorder="1" applyAlignment="1" applyProtection="1">
      <alignment wrapText="1"/>
    </xf>
    <xf numFmtId="0" fontId="6" fillId="12" borderId="54" xfId="0" applyFont="1" applyFill="1" applyBorder="1" applyAlignment="1" applyProtection="1">
      <alignment wrapText="1"/>
    </xf>
    <xf numFmtId="9" fontId="0" fillId="4" borderId="0" xfId="8" applyFont="1" applyFill="1" applyBorder="1" applyProtection="1"/>
    <xf numFmtId="0" fontId="6" fillId="12" borderId="35" xfId="0" applyFont="1" applyFill="1" applyBorder="1" applyAlignment="1" applyProtection="1">
      <alignment wrapText="1"/>
    </xf>
    <xf numFmtId="167" fontId="0" fillId="4" borderId="6" xfId="1" applyNumberFormat="1" applyFont="1" applyFill="1" applyBorder="1" applyProtection="1"/>
    <xf numFmtId="167" fontId="0" fillId="4" borderId="7" xfId="1" applyNumberFormat="1" applyFont="1" applyFill="1" applyBorder="1" applyProtection="1"/>
    <xf numFmtId="9" fontId="0" fillId="4" borderId="7" xfId="8" applyFont="1" applyFill="1" applyBorder="1" applyProtection="1"/>
    <xf numFmtId="167" fontId="0" fillId="4" borderId="1" xfId="8" applyNumberFormat="1" applyFont="1" applyFill="1" applyBorder="1" applyProtection="1"/>
    <xf numFmtId="167" fontId="0" fillId="4" borderId="103" xfId="1" applyNumberFormat="1" applyFont="1" applyFill="1" applyBorder="1" applyProtection="1"/>
    <xf numFmtId="0" fontId="0" fillId="0" borderId="7" xfId="0" applyBorder="1"/>
    <xf numFmtId="9" fontId="67" fillId="4" borderId="5" xfId="0" applyNumberFormat="1" applyFont="1" applyFill="1" applyBorder="1" applyAlignment="1">
      <alignment horizontal="center" vertical="center"/>
    </xf>
    <xf numFmtId="165" fontId="0" fillId="0" borderId="0" xfId="0" applyNumberFormat="1" applyAlignment="1">
      <alignment vertical="center"/>
    </xf>
    <xf numFmtId="0" fontId="0" fillId="0" borderId="53" xfId="0" applyFill="1" applyBorder="1" applyAlignment="1">
      <alignment horizontal="center"/>
    </xf>
    <xf numFmtId="2" fontId="0" fillId="0" borderId="0" xfId="0" applyNumberFormat="1" applyFill="1" applyBorder="1" applyAlignment="1">
      <alignment horizontal="center"/>
    </xf>
    <xf numFmtId="2" fontId="0" fillId="0" borderId="0" xfId="0" applyNumberForma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103" xfId="0" applyFill="1" applyBorder="1" applyAlignment="1">
      <alignment horizontal="center"/>
    </xf>
    <xf numFmtId="0" fontId="0" fillId="0" borderId="36" xfId="0" applyBorder="1"/>
    <xf numFmtId="0" fontId="0" fillId="0" borderId="27" xfId="0" applyBorder="1"/>
    <xf numFmtId="0" fontId="0" fillId="0" borderId="47" xfId="0" applyFill="1" applyBorder="1" applyAlignment="1">
      <alignment horizontal="center"/>
    </xf>
    <xf numFmtId="0" fontId="0" fillId="0" borderId="14" xfId="0" applyFill="1" applyBorder="1" applyAlignment="1">
      <alignment horizontal="center"/>
    </xf>
    <xf numFmtId="0" fontId="0" fillId="0" borderId="14" xfId="0" applyBorder="1"/>
    <xf numFmtId="0" fontId="0" fillId="0" borderId="6" xfId="0" applyBorder="1"/>
    <xf numFmtId="2" fontId="0" fillId="0" borderId="17" xfId="0" applyNumberFormat="1" applyFill="1" applyBorder="1" applyAlignment="1">
      <alignment horizontal="center"/>
    </xf>
    <xf numFmtId="2" fontId="0" fillId="0" borderId="7" xfId="0" applyNumberFormat="1" applyBorder="1"/>
    <xf numFmtId="2" fontId="0" fillId="0" borderId="48" xfId="0" applyNumberFormat="1" applyFill="1" applyBorder="1" applyAlignment="1">
      <alignment horizontal="center"/>
    </xf>
    <xf numFmtId="2" fontId="0" fillId="0" borderId="8" xfId="0" applyNumberFormat="1" applyFill="1" applyBorder="1" applyAlignment="1">
      <alignment horizontal="center"/>
    </xf>
    <xf numFmtId="2" fontId="0" fillId="0" borderId="2" xfId="0" applyNumberFormat="1" applyFill="1" applyBorder="1" applyAlignment="1">
      <alignment horizontal="center"/>
    </xf>
    <xf numFmtId="0" fontId="6" fillId="3" borderId="0" xfId="0" applyFont="1" applyFill="1" applyAlignment="1">
      <alignment vertical="top"/>
    </xf>
    <xf numFmtId="0" fontId="23" fillId="3" borderId="0" xfId="0" applyFont="1" applyFill="1"/>
    <xf numFmtId="0" fontId="23" fillId="3" borderId="0" xfId="0" applyFont="1" applyFill="1" applyAlignment="1">
      <alignment vertical="top"/>
    </xf>
    <xf numFmtId="0" fontId="23" fillId="3" borderId="0" xfId="0" applyFont="1" applyFill="1" applyAlignment="1">
      <alignment vertical="center"/>
    </xf>
    <xf numFmtId="0" fontId="39" fillId="0" borderId="0" xfId="0" applyFont="1" applyAlignment="1">
      <alignment vertical="center"/>
    </xf>
    <xf numFmtId="0" fontId="65" fillId="3" borderId="39" xfId="0" applyFont="1" applyFill="1" applyBorder="1" applyAlignment="1">
      <alignment vertical="center" wrapText="1"/>
    </xf>
    <xf numFmtId="0" fontId="65" fillId="0" borderId="0" xfId="0" applyFont="1" applyFill="1" applyBorder="1" applyAlignment="1">
      <alignment vertical="center" wrapText="1"/>
    </xf>
    <xf numFmtId="0" fontId="94" fillId="3" borderId="0" xfId="0" applyFont="1" applyFill="1"/>
    <xf numFmtId="0" fontId="0" fillId="0" borderId="16" xfId="0" applyFill="1" applyBorder="1" applyAlignment="1" applyProtection="1">
      <alignment horizontal="left" vertical="top" wrapText="1"/>
    </xf>
    <xf numFmtId="0" fontId="0" fillId="4" borderId="18" xfId="0" applyFill="1" applyBorder="1" applyAlignment="1">
      <alignment vertical="top"/>
    </xf>
    <xf numFmtId="0" fontId="0" fillId="4" borderId="19" xfId="0" applyFill="1" applyBorder="1" applyAlignment="1">
      <alignment vertical="top"/>
    </xf>
    <xf numFmtId="0" fontId="0" fillId="4" borderId="19" xfId="0" applyFill="1" applyBorder="1" applyAlignment="1">
      <alignment vertical="center" wrapText="1"/>
    </xf>
    <xf numFmtId="0" fontId="0" fillId="4" borderId="20" xfId="0" applyFill="1" applyBorder="1"/>
    <xf numFmtId="0" fontId="0" fillId="4" borderId="29" xfId="0" applyFill="1" applyBorder="1" applyAlignment="1">
      <alignment vertical="top"/>
    </xf>
    <xf numFmtId="0" fontId="0" fillId="4" borderId="24" xfId="0" applyFill="1" applyBorder="1" applyAlignment="1">
      <alignment vertical="top"/>
    </xf>
    <xf numFmtId="0" fontId="0" fillId="4" borderId="24" xfId="0" applyFill="1" applyBorder="1" applyAlignment="1">
      <alignment vertical="center" wrapText="1"/>
    </xf>
    <xf numFmtId="0" fontId="0" fillId="4" borderId="51" xfId="0" applyFill="1" applyBorder="1" applyAlignment="1">
      <alignment vertical="center" wrapText="1"/>
    </xf>
    <xf numFmtId="0" fontId="0" fillId="4" borderId="28" xfId="0" applyFill="1" applyBorder="1"/>
    <xf numFmtId="0" fontId="0" fillId="4" borderId="18" xfId="0" applyFill="1" applyBorder="1" applyAlignment="1">
      <alignment vertical="center"/>
    </xf>
    <xf numFmtId="0" fontId="0" fillId="4" borderId="19" xfId="0" applyFill="1" applyBorder="1" applyAlignment="1">
      <alignment vertical="center"/>
    </xf>
    <xf numFmtId="0" fontId="0" fillId="4" borderId="19" xfId="0" applyFill="1" applyBorder="1" applyAlignment="1">
      <alignment horizontal="left" vertical="center" wrapText="1"/>
    </xf>
    <xf numFmtId="0" fontId="0" fillId="33" borderId="19" xfId="0" applyFill="1" applyBorder="1" applyAlignment="1">
      <alignment vertical="center" wrapText="1"/>
    </xf>
    <xf numFmtId="0" fontId="0" fillId="4" borderId="29" xfId="0" applyFill="1" applyBorder="1" applyAlignment="1">
      <alignment vertical="center"/>
    </xf>
    <xf numFmtId="0" fontId="0" fillId="4" borderId="24" xfId="0" applyFill="1" applyBorder="1" applyAlignment="1">
      <alignment vertical="center"/>
    </xf>
    <xf numFmtId="0" fontId="0" fillId="4" borderId="24" xfId="0" applyFill="1" applyBorder="1" applyAlignment="1">
      <alignment horizontal="left" vertical="center" wrapText="1"/>
    </xf>
    <xf numFmtId="0" fontId="0" fillId="33" borderId="24" xfId="0" applyFill="1" applyBorder="1" applyAlignment="1">
      <alignment vertical="center" wrapText="1"/>
    </xf>
    <xf numFmtId="0" fontId="0" fillId="5" borderId="5" xfId="0" applyFill="1" applyBorder="1" applyAlignment="1">
      <alignment vertical="center"/>
    </xf>
    <xf numFmtId="1" fontId="0" fillId="5" borderId="5" xfId="1" applyNumberFormat="1" applyFont="1" applyFill="1" applyBorder="1" applyAlignment="1">
      <alignment horizontal="center" vertical="center"/>
    </xf>
    <xf numFmtId="1" fontId="0" fillId="0" borderId="5" xfId="0" applyNumberFormat="1" applyBorder="1" applyAlignment="1">
      <alignment horizontal="center"/>
    </xf>
    <xf numFmtId="0" fontId="0" fillId="5" borderId="32" xfId="0" applyFill="1" applyBorder="1" applyAlignment="1">
      <alignment vertical="center"/>
    </xf>
    <xf numFmtId="1" fontId="0" fillId="0" borderId="23" xfId="1" applyNumberFormat="1" applyFont="1" applyBorder="1" applyAlignment="1">
      <alignment horizontal="center"/>
    </xf>
    <xf numFmtId="1" fontId="0" fillId="0" borderId="23" xfId="0" applyNumberFormat="1" applyBorder="1" applyAlignment="1">
      <alignment horizontal="center"/>
    </xf>
    <xf numFmtId="0" fontId="46" fillId="0" borderId="0" xfId="0" applyFont="1" applyAlignment="1">
      <alignment horizontal="right" vertical="center"/>
    </xf>
    <xf numFmtId="0" fontId="58" fillId="0" borderId="0" xfId="0" applyFont="1" applyAlignment="1">
      <alignment horizontal="center" vertical="center"/>
    </xf>
    <xf numFmtId="0" fontId="0" fillId="5" borderId="24" xfId="0" applyFill="1" applyBorder="1" applyAlignment="1">
      <alignment vertical="center"/>
    </xf>
    <xf numFmtId="1" fontId="0" fillId="5" borderId="24" xfId="1" applyNumberFormat="1" applyFont="1" applyFill="1" applyBorder="1" applyAlignment="1">
      <alignment horizontal="center" vertical="center"/>
    </xf>
    <xf numFmtId="0" fontId="0" fillId="24" borderId="0" xfId="0" applyFill="1" applyProtection="1"/>
    <xf numFmtId="0" fontId="0" fillId="0" borderId="7" xfId="0" applyBorder="1" applyProtection="1"/>
    <xf numFmtId="167" fontId="0" fillId="4" borderId="0" xfId="1" applyNumberFormat="1" applyFont="1" applyFill="1" applyAlignment="1">
      <alignment vertical="center"/>
    </xf>
    <xf numFmtId="167" fontId="2" fillId="0" borderId="0" xfId="1" applyNumberFormat="1" applyFont="1" applyFill="1"/>
    <xf numFmtId="0" fontId="0" fillId="0" borderId="0" xfId="0" applyBorder="1" applyAlignment="1" applyProtection="1">
      <alignment vertical="center"/>
    </xf>
    <xf numFmtId="0" fontId="0" fillId="0" borderId="9" xfId="0" applyBorder="1" applyAlignment="1" applyProtection="1">
      <alignment vertical="center"/>
    </xf>
    <xf numFmtId="0" fontId="0" fillId="0" borderId="9" xfId="0" applyBorder="1" applyProtection="1"/>
    <xf numFmtId="167" fontId="0" fillId="4" borderId="51" xfId="1" applyNumberFormat="1" applyFont="1" applyFill="1" applyBorder="1" applyAlignment="1" applyProtection="1">
      <alignment horizontal="center"/>
    </xf>
    <xf numFmtId="0" fontId="0" fillId="0" borderId="56" xfId="0" applyBorder="1" applyProtection="1"/>
    <xf numFmtId="1" fontId="0" fillId="5" borderId="23" xfId="1" applyNumberFormat="1" applyFont="1" applyFill="1" applyBorder="1" applyAlignment="1">
      <alignment horizontal="center" vertical="center"/>
    </xf>
    <xf numFmtId="0" fontId="6" fillId="32" borderId="23" xfId="0" applyFont="1" applyFill="1" applyBorder="1" applyAlignment="1">
      <alignment horizontal="center" wrapText="1"/>
    </xf>
    <xf numFmtId="37" fontId="52" fillId="0" borderId="0" xfId="1" applyNumberFormat="1" applyFont="1" applyFill="1" applyAlignment="1" applyProtection="1">
      <alignment horizontal="center"/>
    </xf>
    <xf numFmtId="0" fontId="81" fillId="0" borderId="0" xfId="0" applyFont="1" applyFill="1" applyAlignment="1" applyProtection="1"/>
    <xf numFmtId="0" fontId="0" fillId="0" borderId="46" xfId="0" applyBorder="1" applyAlignment="1">
      <alignment vertical="top"/>
    </xf>
    <xf numFmtId="0" fontId="6" fillId="19" borderId="0" xfId="0" applyFont="1" applyFill="1" applyBorder="1" applyAlignment="1">
      <alignment vertical="top" wrapText="1"/>
    </xf>
    <xf numFmtId="1" fontId="0" fillId="8" borderId="18" xfId="8" applyNumberFormat="1" applyFont="1" applyFill="1" applyBorder="1" applyAlignment="1">
      <alignment vertical="top"/>
    </xf>
    <xf numFmtId="0" fontId="0" fillId="8" borderId="20" xfId="0" applyFill="1" applyBorder="1" applyAlignment="1">
      <alignment vertical="top"/>
    </xf>
    <xf numFmtId="1" fontId="0" fillId="0" borderId="10" xfId="8" applyNumberFormat="1" applyFont="1" applyBorder="1"/>
    <xf numFmtId="168" fontId="0" fillId="35" borderId="18" xfId="0" applyNumberFormat="1" applyFill="1" applyBorder="1" applyAlignment="1">
      <alignment vertical="top" wrapText="1"/>
    </xf>
    <xf numFmtId="10" fontId="0" fillId="35" borderId="19" xfId="8" applyNumberFormat="1" applyFont="1" applyFill="1" applyBorder="1" applyAlignment="1">
      <alignment vertical="top" wrapText="1"/>
    </xf>
    <xf numFmtId="174" fontId="0" fillId="35" borderId="19" xfId="8" applyNumberFormat="1" applyFont="1" applyFill="1" applyBorder="1" applyAlignment="1">
      <alignment vertical="top" wrapText="1"/>
    </xf>
    <xf numFmtId="174" fontId="0" fillId="0" borderId="0" xfId="8" applyNumberFormat="1" applyFont="1" applyBorder="1"/>
    <xf numFmtId="3" fontId="0" fillId="30" borderId="18" xfId="0" applyNumberFormat="1" applyFill="1" applyBorder="1" applyAlignment="1">
      <alignment vertical="top" wrapText="1"/>
    </xf>
    <xf numFmtId="3" fontId="0" fillId="30" borderId="19" xfId="0" applyNumberFormat="1" applyFill="1" applyBorder="1" applyAlignment="1">
      <alignment vertical="top" wrapText="1"/>
    </xf>
    <xf numFmtId="3" fontId="0" fillId="30" borderId="20" xfId="0" applyNumberFormat="1" applyFill="1" applyBorder="1" applyAlignment="1">
      <alignment vertical="top" wrapText="1"/>
    </xf>
    <xf numFmtId="3" fontId="0" fillId="34" borderId="18" xfId="0" applyNumberFormat="1" applyFill="1" applyBorder="1" applyAlignment="1">
      <alignment vertical="top"/>
    </xf>
    <xf numFmtId="0" fontId="0" fillId="8" borderId="18" xfId="0" applyFill="1" applyBorder="1" applyAlignment="1">
      <alignment vertical="top"/>
    </xf>
    <xf numFmtId="3" fontId="0" fillId="8" borderId="20" xfId="0" applyNumberFormat="1" applyFill="1" applyBorder="1" applyAlignment="1">
      <alignment vertical="top" wrapText="1"/>
    </xf>
    <xf numFmtId="168" fontId="0" fillId="0" borderId="10" xfId="0" applyNumberFormat="1" applyBorder="1"/>
    <xf numFmtId="10" fontId="0" fillId="0" borderId="0" xfId="8" applyNumberFormat="1" applyFont="1" applyBorder="1"/>
    <xf numFmtId="2" fontId="0" fillId="35" borderId="20" xfId="0" applyNumberFormat="1" applyFill="1" applyBorder="1" applyAlignment="1">
      <alignment vertical="top" wrapText="1"/>
    </xf>
    <xf numFmtId="2" fontId="0" fillId="0" borderId="9" xfId="0" applyNumberFormat="1" applyBorder="1"/>
    <xf numFmtId="3" fontId="4" fillId="34" borderId="20" xfId="22" applyNumberFormat="1" applyFont="1" applyFill="1" applyBorder="1" applyAlignment="1">
      <alignment vertical="top"/>
    </xf>
    <xf numFmtId="3" fontId="0" fillId="0" borderId="0" xfId="0" applyNumberFormat="1" applyBorder="1"/>
    <xf numFmtId="3" fontId="0" fillId="0" borderId="9" xfId="0" applyNumberFormat="1" applyBorder="1"/>
    <xf numFmtId="0" fontId="3" fillId="0" borderId="0" xfId="0" applyFont="1" applyAlignment="1">
      <alignment horizontal="left" vertical="center"/>
    </xf>
    <xf numFmtId="0" fontId="0" fillId="0" borderId="0" xfId="0" applyFill="1" applyAlignment="1">
      <alignment wrapText="1"/>
    </xf>
    <xf numFmtId="9" fontId="0" fillId="8" borderId="5" xfId="8" applyFont="1" applyFill="1" applyBorder="1" applyAlignment="1" applyProtection="1">
      <alignment horizontal="center" vertical="center" wrapText="1"/>
      <protection locked="0"/>
    </xf>
    <xf numFmtId="9" fontId="0" fillId="4" borderId="5" xfId="8" applyFont="1" applyFill="1" applyBorder="1" applyAlignment="1" applyProtection="1">
      <alignment horizontal="center" vertical="center" wrapText="1"/>
    </xf>
    <xf numFmtId="9" fontId="67" fillId="4" borderId="5" xfId="8" applyFont="1" applyFill="1" applyBorder="1" applyAlignment="1" applyProtection="1">
      <alignment horizontal="center" vertical="center" wrapText="1"/>
    </xf>
    <xf numFmtId="0" fontId="22" fillId="0" borderId="0" xfId="0" applyFont="1" applyAlignment="1">
      <alignment horizontal="right"/>
    </xf>
    <xf numFmtId="1" fontId="0" fillId="0" borderId="0" xfId="0" applyNumberFormat="1" applyAlignment="1">
      <alignment horizontal="left" vertical="top" indent="4"/>
    </xf>
    <xf numFmtId="0" fontId="7" fillId="0" borderId="0" xfId="0" applyFont="1" applyAlignment="1">
      <alignment vertical="top"/>
    </xf>
    <xf numFmtId="0" fontId="66" fillId="0" borderId="0" xfId="0" applyFont="1" applyAlignment="1">
      <alignment wrapText="1"/>
    </xf>
    <xf numFmtId="0" fontId="23" fillId="3" borderId="0" xfId="0" applyFont="1" applyFill="1" applyProtection="1"/>
    <xf numFmtId="0" fontId="14" fillId="21" borderId="0" xfId="0" applyFont="1" applyFill="1" applyProtection="1"/>
    <xf numFmtId="37" fontId="14" fillId="0" borderId="0" xfId="1" applyNumberFormat="1" applyFont="1" applyAlignment="1" applyProtection="1">
      <alignment horizontal="center" vertical="center" wrapText="1"/>
      <protection locked="0"/>
    </xf>
    <xf numFmtId="0" fontId="14" fillId="7" borderId="0" xfId="0" applyFont="1" applyFill="1" applyProtection="1"/>
    <xf numFmtId="167" fontId="14" fillId="4" borderId="6" xfId="1" applyNumberFormat="1" applyFont="1" applyFill="1" applyBorder="1" applyProtection="1"/>
    <xf numFmtId="37" fontId="14" fillId="0" borderId="0" xfId="1" applyNumberFormat="1" applyFont="1" applyAlignment="1" applyProtection="1">
      <alignment horizontal="center" vertical="center" wrapText="1"/>
    </xf>
    <xf numFmtId="178" fontId="14" fillId="0" borderId="0" xfId="1" applyNumberFormat="1" applyFont="1" applyAlignment="1" applyProtection="1">
      <alignment horizontal="center" vertical="center" wrapText="1"/>
    </xf>
    <xf numFmtId="173" fontId="14" fillId="0" borderId="0" xfId="8" applyNumberFormat="1" applyFont="1" applyAlignment="1" applyProtection="1">
      <alignment horizontal="center" vertical="center" wrapText="1"/>
    </xf>
    <xf numFmtId="168" fontId="0" fillId="0" borderId="0" xfId="0" applyNumberFormat="1" applyAlignment="1">
      <alignment horizontal="center"/>
    </xf>
    <xf numFmtId="3" fontId="96" fillId="0" borderId="0" xfId="0" applyNumberFormat="1" applyFont="1" applyFill="1" applyAlignment="1">
      <alignment horizontal="center" wrapText="1"/>
    </xf>
    <xf numFmtId="0" fontId="97" fillId="0" borderId="0" xfId="0" applyFont="1" applyAlignment="1">
      <alignment horizontal="center"/>
    </xf>
    <xf numFmtId="3" fontId="96" fillId="0" borderId="0" xfId="0" applyNumberFormat="1" applyFont="1" applyFill="1" applyAlignment="1">
      <alignment horizontal="center" vertical="center" wrapText="1"/>
    </xf>
    <xf numFmtId="0" fontId="0" fillId="0" borderId="5" xfId="0" applyBorder="1" applyAlignment="1">
      <alignment vertical="center" wrapText="1"/>
    </xf>
    <xf numFmtId="0" fontId="48" fillId="0" borderId="0" xfId="15" applyAlignment="1" applyProtection="1">
      <alignment horizontal="center"/>
    </xf>
    <xf numFmtId="0" fontId="48" fillId="0" borderId="0" xfId="15" applyAlignment="1" applyProtection="1">
      <alignment horizontal="left"/>
    </xf>
    <xf numFmtId="9" fontId="0" fillId="8" borderId="5" xfId="8" applyFont="1" applyFill="1" applyBorder="1" applyAlignment="1" applyProtection="1">
      <alignment horizontal="center" vertical="center"/>
      <protection locked="0"/>
    </xf>
    <xf numFmtId="171" fontId="0" fillId="8" borderId="5" xfId="1" applyNumberFormat="1" applyFont="1" applyFill="1" applyBorder="1" applyAlignment="1" applyProtection="1">
      <alignment horizontal="center" vertical="center"/>
      <protection locked="0"/>
    </xf>
    <xf numFmtId="0" fontId="48" fillId="0" borderId="64" xfId="15" applyBorder="1" applyAlignment="1">
      <alignment horizontal="center"/>
    </xf>
    <xf numFmtId="0" fontId="98" fillId="18" borderId="0" xfId="15" applyFont="1" applyFill="1" applyAlignment="1">
      <alignment horizontal="center"/>
    </xf>
    <xf numFmtId="0" fontId="48" fillId="7" borderId="0" xfId="15" applyFill="1" applyAlignment="1" applyProtection="1">
      <alignment horizontal="center"/>
    </xf>
    <xf numFmtId="37" fontId="67" fillId="4" borderId="5" xfId="1" applyNumberFormat="1" applyFont="1" applyFill="1" applyBorder="1" applyAlignment="1">
      <alignment horizontal="center"/>
    </xf>
    <xf numFmtId="0" fontId="91" fillId="0" borderId="0" xfId="0" applyFont="1" applyAlignment="1">
      <alignment horizontal="left"/>
    </xf>
    <xf numFmtId="0" fontId="0" fillId="0" borderId="0" xfId="0" applyAlignment="1">
      <alignment horizontal="left" wrapText="1"/>
    </xf>
    <xf numFmtId="0" fontId="7" fillId="0" borderId="0" xfId="0" applyFont="1" applyAlignment="1">
      <alignment horizontal="left"/>
    </xf>
    <xf numFmtId="0" fontId="14" fillId="0" borderId="0" xfId="0" applyFont="1" applyFill="1"/>
    <xf numFmtId="0" fontId="100" fillId="0" borderId="0" xfId="0" applyFont="1"/>
    <xf numFmtId="0" fontId="100" fillId="0" borderId="0" xfId="0" applyFont="1" applyFill="1" applyBorder="1"/>
    <xf numFmtId="0" fontId="100" fillId="22" borderId="0" xfId="0" applyFont="1" applyFill="1"/>
    <xf numFmtId="37" fontId="101" fillId="0" borderId="0" xfId="1" applyNumberFormat="1" applyFont="1" applyFill="1" applyBorder="1" applyAlignment="1" applyProtection="1">
      <alignment horizontal="center" vertical="center" wrapText="1"/>
    </xf>
    <xf numFmtId="0" fontId="14" fillId="22" borderId="0" xfId="0" applyFont="1" applyFill="1"/>
    <xf numFmtId="9" fontId="0" fillId="4" borderId="5" xfId="0" applyNumberFormat="1" applyFill="1" applyBorder="1" applyAlignment="1">
      <alignment horizontal="center" vertical="center"/>
    </xf>
    <xf numFmtId="0" fontId="4" fillId="0" borderId="0" xfId="15" quotePrefix="1" applyFont="1" applyAlignment="1">
      <alignment horizontal="left" vertical="top" wrapText="1" indent="3"/>
    </xf>
    <xf numFmtId="0" fontId="0" fillId="0" borderId="0" xfId="0" applyAlignment="1">
      <alignment horizontal="left" vertical="center" wrapText="1" indent="1"/>
    </xf>
    <xf numFmtId="0" fontId="7" fillId="0" borderId="0" xfId="0" applyFont="1" applyAlignment="1">
      <alignment horizontal="left" vertical="center" wrapText="1" indent="4"/>
    </xf>
    <xf numFmtId="0" fontId="7" fillId="0" borderId="46" xfId="0" applyFont="1" applyBorder="1"/>
    <xf numFmtId="0" fontId="14" fillId="0" borderId="46" xfId="0" applyFont="1" applyBorder="1"/>
    <xf numFmtId="0" fontId="22" fillId="0" borderId="15" xfId="0" applyFont="1" applyBorder="1"/>
    <xf numFmtId="0" fontId="7" fillId="0" borderId="32" xfId="0" applyFont="1" applyFill="1" applyBorder="1" applyAlignment="1">
      <alignment vertical="center" wrapText="1"/>
    </xf>
    <xf numFmtId="0" fontId="7" fillId="0" borderId="29" xfId="0" applyFont="1" applyFill="1" applyBorder="1" applyAlignment="1" applyProtection="1">
      <alignment vertical="center" wrapText="1"/>
    </xf>
    <xf numFmtId="0" fontId="0" fillId="0" borderId="0" xfId="0"/>
    <xf numFmtId="0" fontId="79" fillId="24" borderId="54" xfId="0" applyFont="1" applyFill="1" applyBorder="1" applyAlignment="1">
      <alignment horizontal="center" vertical="center" wrapText="1"/>
    </xf>
    <xf numFmtId="0" fontId="79" fillId="24" borderId="35" xfId="0" applyFont="1" applyFill="1" applyBorder="1" applyAlignment="1">
      <alignment horizontal="center" vertical="center" wrapText="1"/>
    </xf>
    <xf numFmtId="0" fontId="79" fillId="24" borderId="55" xfId="0" applyFont="1" applyFill="1" applyBorder="1" applyAlignment="1">
      <alignment horizontal="center" vertical="center" wrapText="1"/>
    </xf>
    <xf numFmtId="0" fontId="0" fillId="5" borderId="18" xfId="0" applyFill="1" applyBorder="1" applyAlignment="1">
      <alignment vertical="center"/>
    </xf>
    <xf numFmtId="0" fontId="0" fillId="5" borderId="19" xfId="0" applyFill="1" applyBorder="1" applyAlignment="1">
      <alignment vertical="center"/>
    </xf>
    <xf numFmtId="1" fontId="0" fillId="5" borderId="19" xfId="1" applyNumberFormat="1" applyFont="1" applyFill="1" applyBorder="1" applyAlignment="1">
      <alignment horizontal="center" vertical="center"/>
    </xf>
    <xf numFmtId="1" fontId="0" fillId="0" borderId="20" xfId="1" applyNumberFormat="1" applyFont="1" applyBorder="1" applyAlignment="1">
      <alignment horizontal="center"/>
    </xf>
    <xf numFmtId="1" fontId="0" fillId="5" borderId="28" xfId="1" applyNumberFormat="1" applyFont="1" applyFill="1" applyBorder="1" applyAlignment="1">
      <alignment horizontal="center" vertical="center"/>
    </xf>
    <xf numFmtId="0" fontId="80" fillId="0" borderId="0" xfId="0" applyFont="1"/>
    <xf numFmtId="0" fontId="22" fillId="0" borderId="0" xfId="0" applyFont="1" applyFill="1"/>
    <xf numFmtId="0" fontId="48" fillId="0" borderId="0" xfId="15" applyAlignment="1">
      <alignment horizontal="left"/>
    </xf>
    <xf numFmtId="0" fontId="0" fillId="4" borderId="18" xfId="0" applyFill="1" applyBorder="1" applyAlignment="1">
      <alignment vertical="top" wrapText="1"/>
    </xf>
    <xf numFmtId="0" fontId="0" fillId="4" borderId="32" xfId="0" applyFill="1" applyBorder="1" applyAlignment="1">
      <alignment vertical="top" wrapText="1"/>
    </xf>
    <xf numFmtId="0" fontId="0" fillId="4" borderId="29" xfId="0" applyFill="1" applyBorder="1" applyAlignment="1">
      <alignment vertical="top" wrapText="1"/>
    </xf>
    <xf numFmtId="0" fontId="0" fillId="4" borderId="24" xfId="0" applyFill="1" applyBorder="1" applyAlignment="1">
      <alignment vertical="top" wrapText="1"/>
    </xf>
    <xf numFmtId="0" fontId="0" fillId="4" borderId="5" xfId="0" applyFill="1" applyBorder="1" applyAlignment="1" applyProtection="1">
      <alignment vertical="center"/>
      <protection locked="0"/>
    </xf>
    <xf numFmtId="0" fontId="0" fillId="0" borderId="32" xfId="0" applyFill="1" applyBorder="1" applyAlignment="1">
      <alignment vertical="center"/>
    </xf>
    <xf numFmtId="0" fontId="7" fillId="0" borderId="32" xfId="0" applyFont="1" applyFill="1" applyBorder="1" applyAlignment="1" applyProtection="1">
      <alignment horizontal="left" vertical="center" wrapText="1"/>
    </xf>
    <xf numFmtId="0" fontId="22" fillId="0" borderId="10" xfId="0" applyFont="1" applyBorder="1"/>
    <xf numFmtId="9" fontId="67" fillId="4" borderId="5" xfId="8" applyNumberFormat="1" applyFont="1" applyFill="1" applyBorder="1" applyAlignment="1">
      <alignment horizontal="center" vertical="center"/>
    </xf>
    <xf numFmtId="0" fontId="0" fillId="0" borderId="10" xfId="0" applyFont="1" applyFill="1" applyBorder="1" applyAlignment="1">
      <alignment vertical="center" wrapText="1"/>
    </xf>
    <xf numFmtId="1" fontId="67" fillId="4" borderId="5" xfId="1" applyNumberFormat="1" applyFont="1" applyFill="1" applyBorder="1" applyAlignment="1">
      <alignment horizontal="center" vertical="center"/>
    </xf>
    <xf numFmtId="0" fontId="0" fillId="0" borderId="29" xfId="0" applyFont="1" applyFill="1" applyBorder="1" applyAlignment="1">
      <alignment vertical="center"/>
    </xf>
    <xf numFmtId="0" fontId="7" fillId="0" borderId="9" xfId="0" applyFont="1" applyBorder="1" applyAlignment="1">
      <alignment horizontal="center"/>
    </xf>
    <xf numFmtId="0" fontId="0" fillId="0" borderId="0" xfId="0" applyAlignment="1" applyProtection="1"/>
    <xf numFmtId="0" fontId="67" fillId="4" borderId="5" xfId="0" applyFont="1" applyFill="1" applyBorder="1" applyAlignment="1">
      <alignment horizontal="center" vertical="center"/>
    </xf>
    <xf numFmtId="0" fontId="22" fillId="0" borderId="15" xfId="0" applyFont="1" applyFill="1" applyBorder="1"/>
    <xf numFmtId="177" fontId="67" fillId="4" borderId="5" xfId="0" applyNumberFormat="1" applyFont="1" applyFill="1" applyBorder="1" applyAlignment="1">
      <alignment horizontal="center" vertical="center"/>
    </xf>
    <xf numFmtId="0" fontId="0" fillId="0" borderId="16" xfId="0" applyFont="1" applyBorder="1" applyAlignment="1">
      <alignment vertical="center"/>
    </xf>
    <xf numFmtId="0" fontId="103" fillId="0" borderId="5" xfId="0" applyFont="1" applyFill="1" applyBorder="1" applyAlignment="1">
      <alignment horizontal="center"/>
    </xf>
    <xf numFmtId="0" fontId="103" fillId="0" borderId="5" xfId="0" applyFont="1" applyBorder="1"/>
    <xf numFmtId="2" fontId="103" fillId="0" borderId="5" xfId="0" applyNumberFormat="1" applyFont="1" applyFill="1" applyBorder="1" applyAlignment="1">
      <alignment horizontal="center"/>
    </xf>
    <xf numFmtId="0" fontId="103" fillId="0" borderId="0" xfId="0" applyFont="1"/>
    <xf numFmtId="0" fontId="103" fillId="0" borderId="29" xfId="0" applyFont="1" applyBorder="1"/>
    <xf numFmtId="0" fontId="103" fillId="0" borderId="24" xfId="0" applyFont="1" applyBorder="1"/>
    <xf numFmtId="165" fontId="103" fillId="0" borderId="32" xfId="1" applyFont="1" applyFill="1" applyBorder="1" applyAlignment="1">
      <alignment horizontal="center"/>
    </xf>
    <xf numFmtId="165" fontId="103" fillId="0" borderId="5" xfId="1" applyFont="1" applyFill="1" applyBorder="1" applyAlignment="1">
      <alignment horizontal="center"/>
    </xf>
    <xf numFmtId="165" fontId="103" fillId="0" borderId="5" xfId="1" applyFont="1" applyBorder="1"/>
    <xf numFmtId="165" fontId="103" fillId="0" borderId="0" xfId="1" applyFont="1"/>
    <xf numFmtId="165" fontId="103" fillId="0" borderId="32" xfId="1" applyFont="1" applyFill="1" applyBorder="1"/>
    <xf numFmtId="165" fontId="103" fillId="0" borderId="29" xfId="1" applyFont="1" applyBorder="1"/>
    <xf numFmtId="165" fontId="103" fillId="0" borderId="24" xfId="1" applyFont="1" applyBorder="1"/>
    <xf numFmtId="165" fontId="103" fillId="0" borderId="2" xfId="1" applyFont="1" applyBorder="1"/>
    <xf numFmtId="0" fontId="6" fillId="3" borderId="24" xfId="0" applyFont="1" applyFill="1" applyBorder="1" applyAlignment="1">
      <alignment horizontal="center" wrapText="1"/>
    </xf>
    <xf numFmtId="0" fontId="103" fillId="0" borderId="60" xfId="0" applyFont="1" applyBorder="1"/>
    <xf numFmtId="0" fontId="103" fillId="0" borderId="2" xfId="0" applyFont="1" applyBorder="1"/>
    <xf numFmtId="0" fontId="103" fillId="0" borderId="32" xfId="0" applyFont="1" applyBorder="1"/>
    <xf numFmtId="0" fontId="48" fillId="30" borderId="20" xfId="15" applyFill="1" applyBorder="1" applyAlignment="1">
      <alignment vertical="center"/>
    </xf>
    <xf numFmtId="0" fontId="48" fillId="30" borderId="28" xfId="15" applyFill="1" applyBorder="1" applyAlignment="1">
      <alignment vertical="center"/>
    </xf>
    <xf numFmtId="0" fontId="6" fillId="15" borderId="38" xfId="0" applyFont="1" applyFill="1" applyBorder="1" applyAlignment="1">
      <alignment vertical="center" wrapText="1"/>
    </xf>
    <xf numFmtId="0" fontId="6" fillId="15" borderId="69" xfId="0" applyFont="1" applyFill="1" applyBorder="1" applyAlignment="1">
      <alignment vertical="center" wrapText="1"/>
    </xf>
    <xf numFmtId="0" fontId="6" fillId="15" borderId="39" xfId="0" applyFont="1" applyFill="1" applyBorder="1" applyAlignment="1">
      <alignment vertical="center" wrapText="1"/>
    </xf>
    <xf numFmtId="0" fontId="6" fillId="15" borderId="63" xfId="0" applyFont="1" applyFill="1" applyBorder="1" applyAlignment="1">
      <alignment horizontal="center" wrapText="1"/>
    </xf>
    <xf numFmtId="0" fontId="6" fillId="33" borderId="5" xfId="0" applyFont="1" applyFill="1" applyBorder="1" applyAlignment="1">
      <alignment horizontal="center" wrapText="1"/>
    </xf>
    <xf numFmtId="0" fontId="7" fillId="37" borderId="32" xfId="0" applyFont="1" applyFill="1" applyBorder="1" applyAlignment="1">
      <alignment horizontal="center" wrapText="1"/>
    </xf>
    <xf numFmtId="0" fontId="7" fillId="37" borderId="5" xfId="0" applyFont="1" applyFill="1" applyBorder="1" applyAlignment="1">
      <alignment horizontal="center" wrapText="1"/>
    </xf>
    <xf numFmtId="167" fontId="0" fillId="28" borderId="104" xfId="1" applyNumberFormat="1" applyFont="1" applyFill="1" applyBorder="1" applyAlignment="1">
      <alignment horizontal="center" vertical="center"/>
    </xf>
    <xf numFmtId="2" fontId="0" fillId="0" borderId="51" xfId="0" applyNumberFormat="1" applyFill="1" applyBorder="1" applyAlignment="1">
      <alignment horizontal="center"/>
    </xf>
    <xf numFmtId="0" fontId="0" fillId="0" borderId="46" xfId="0" applyBorder="1"/>
    <xf numFmtId="0" fontId="0" fillId="0" borderId="103" xfId="0" applyBorder="1"/>
    <xf numFmtId="0" fontId="6" fillId="32" borderId="32" xfId="0" applyFont="1" applyFill="1" applyBorder="1" applyAlignment="1">
      <alignment horizontal="center" wrapText="1"/>
    </xf>
    <xf numFmtId="167" fontId="0" fillId="28" borderId="32" xfId="1" applyNumberFormat="1" applyFont="1" applyFill="1" applyBorder="1" applyAlignment="1">
      <alignment horizontal="center" vertical="center"/>
    </xf>
    <xf numFmtId="172" fontId="0" fillId="14" borderId="23" xfId="21" applyNumberFormat="1" applyFont="1" applyFill="1" applyBorder="1"/>
    <xf numFmtId="167" fontId="0" fillId="28" borderId="29" xfId="1" applyNumberFormat="1" applyFont="1" applyFill="1" applyBorder="1" applyAlignment="1">
      <alignment horizontal="center" vertical="center"/>
    </xf>
    <xf numFmtId="172" fontId="0" fillId="14" borderId="28" xfId="21" applyNumberFormat="1" applyFont="1" applyFill="1" applyBorder="1"/>
    <xf numFmtId="167" fontId="0" fillId="28" borderId="18" xfId="1" applyNumberFormat="1" applyFont="1" applyFill="1" applyBorder="1" applyAlignment="1">
      <alignment horizontal="center" vertical="center"/>
    </xf>
    <xf numFmtId="172" fontId="0" fillId="14" borderId="20" xfId="21" applyNumberFormat="1" applyFont="1" applyFill="1" applyBorder="1"/>
    <xf numFmtId="172" fontId="0" fillId="14" borderId="20" xfId="21" applyNumberFormat="1" applyFont="1" applyFill="1" applyBorder="1" applyAlignment="1">
      <alignment vertical="center"/>
    </xf>
    <xf numFmtId="172" fontId="0" fillId="14" borderId="28" xfId="21" applyNumberFormat="1" applyFont="1" applyFill="1" applyBorder="1" applyAlignment="1">
      <alignment vertical="center"/>
    </xf>
    <xf numFmtId="172" fontId="0" fillId="14" borderId="23" xfId="21" applyNumberFormat="1" applyFont="1" applyFill="1" applyBorder="1" applyAlignment="1">
      <alignment vertical="center"/>
    </xf>
    <xf numFmtId="167" fontId="0" fillId="28" borderId="20" xfId="1" applyNumberFormat="1" applyFont="1" applyFill="1" applyBorder="1" applyAlignment="1">
      <alignment horizontal="center" vertical="center"/>
    </xf>
    <xf numFmtId="2" fontId="0" fillId="27" borderId="29" xfId="0" applyNumberFormat="1" applyFill="1" applyBorder="1" applyAlignment="1">
      <alignment horizontal="center" vertical="center"/>
    </xf>
    <xf numFmtId="2" fontId="0" fillId="27" borderId="24" xfId="0" applyNumberFormat="1" applyFill="1" applyBorder="1" applyAlignment="1">
      <alignment horizontal="center" vertical="center"/>
    </xf>
    <xf numFmtId="167" fontId="0" fillId="28" borderId="75" xfId="1" applyNumberFormat="1" applyFont="1" applyFill="1" applyBorder="1" applyAlignment="1">
      <alignment horizontal="center" vertical="center"/>
    </xf>
    <xf numFmtId="2" fontId="0" fillId="0" borderId="36" xfId="0" applyNumberFormat="1" applyFill="1" applyBorder="1" applyAlignment="1">
      <alignment horizontal="center"/>
    </xf>
    <xf numFmtId="2" fontId="0" fillId="0" borderId="26" xfId="0" applyNumberFormat="1" applyFill="1" applyBorder="1" applyAlignment="1">
      <alignment horizontal="center"/>
    </xf>
    <xf numFmtId="2" fontId="0" fillId="0" borderId="54" xfId="0" applyNumberFormat="1" applyFill="1" applyBorder="1" applyAlignment="1">
      <alignment horizontal="center"/>
    </xf>
    <xf numFmtId="2" fontId="0" fillId="0" borderId="29" xfId="0" applyNumberFormat="1" applyFill="1" applyBorder="1" applyAlignment="1">
      <alignment horizontal="center"/>
    </xf>
    <xf numFmtId="2" fontId="0" fillId="0" borderId="13" xfId="0" applyNumberFormat="1" applyFill="1" applyBorder="1" applyAlignment="1">
      <alignment horizontal="center"/>
    </xf>
    <xf numFmtId="2" fontId="0" fillId="0" borderId="13" xfId="0" applyNumberFormat="1" applyBorder="1"/>
    <xf numFmtId="0" fontId="0" fillId="4" borderId="24" xfId="0" applyFill="1" applyBorder="1" applyAlignment="1" applyProtection="1">
      <alignment vertical="center"/>
      <protection locked="0"/>
    </xf>
    <xf numFmtId="0" fontId="0" fillId="4" borderId="28" xfId="0" applyFill="1" applyBorder="1" applyAlignment="1">
      <alignment vertical="top" wrapText="1"/>
    </xf>
    <xf numFmtId="1" fontId="0" fillId="8" borderId="5" xfId="0" applyNumberFormat="1" applyFill="1" applyBorder="1" applyAlignment="1" applyProtection="1">
      <alignment horizontal="center" vertical="center"/>
      <protection locked="0"/>
    </xf>
    <xf numFmtId="179" fontId="0" fillId="0" borderId="0" xfId="0" applyNumberFormat="1"/>
    <xf numFmtId="0" fontId="0" fillId="8" borderId="5" xfId="0" applyFill="1" applyBorder="1" applyAlignment="1" applyProtection="1">
      <alignment horizontal="center" vertical="center"/>
      <protection locked="0"/>
    </xf>
    <xf numFmtId="37" fontId="0" fillId="4" borderId="5" xfId="0" applyNumberFormat="1" applyFill="1" applyBorder="1" applyAlignment="1">
      <alignment horizontal="center" vertical="center"/>
    </xf>
    <xf numFmtId="0" fontId="14" fillId="0" borderId="0" xfId="0" applyFont="1" applyBorder="1"/>
    <xf numFmtId="172" fontId="14" fillId="0" borderId="0" xfId="21" applyNumberFormat="1" applyFont="1" applyFill="1" applyBorder="1" applyProtection="1"/>
    <xf numFmtId="0" fontId="14" fillId="0" borderId="0" xfId="0" applyFont="1" applyFill="1" applyBorder="1" applyProtection="1"/>
    <xf numFmtId="172" fontId="14" fillId="0" borderId="0" xfId="0" applyNumberFormat="1" applyFont="1" applyBorder="1" applyProtection="1"/>
    <xf numFmtId="0" fontId="14" fillId="0" borderId="0" xfId="0" applyFont="1" applyFill="1" applyBorder="1" applyAlignment="1" applyProtection="1"/>
    <xf numFmtId="164" fontId="0" fillId="27" borderId="67" xfId="21" applyFont="1" applyFill="1" applyBorder="1" applyProtection="1">
      <protection locked="0"/>
    </xf>
    <xf numFmtId="164" fontId="0" fillId="27" borderId="68" xfId="21" applyFont="1" applyFill="1" applyBorder="1" applyProtection="1">
      <protection locked="0"/>
    </xf>
    <xf numFmtId="164" fontId="0" fillId="27" borderId="70" xfId="21" applyFont="1" applyFill="1" applyBorder="1" applyProtection="1">
      <protection locked="0"/>
    </xf>
    <xf numFmtId="164" fontId="0" fillId="27" borderId="70" xfId="21" applyFont="1" applyFill="1" applyBorder="1" applyAlignment="1" applyProtection="1">
      <alignment vertical="center"/>
      <protection locked="0"/>
    </xf>
    <xf numFmtId="164" fontId="0" fillId="27" borderId="68" xfId="21" applyFont="1" applyFill="1" applyBorder="1" applyAlignment="1" applyProtection="1">
      <alignment vertical="center"/>
      <protection locked="0"/>
    </xf>
    <xf numFmtId="164" fontId="7" fillId="18" borderId="67" xfId="21" applyFont="1" applyFill="1" applyBorder="1" applyAlignment="1" applyProtection="1">
      <alignment horizontal="center" vertical="center"/>
      <protection locked="0"/>
    </xf>
    <xf numFmtId="0" fontId="0" fillId="27" borderId="5" xfId="0" applyFont="1" applyFill="1" applyBorder="1" applyAlignment="1" applyProtection="1">
      <alignment horizontal="center"/>
      <protection locked="0"/>
    </xf>
    <xf numFmtId="2" fontId="0" fillId="27" borderId="32" xfId="0" applyNumberFormat="1" applyFont="1" applyFill="1" applyBorder="1" applyAlignment="1" applyProtection="1">
      <alignment horizontal="center"/>
      <protection locked="0"/>
    </xf>
    <xf numFmtId="2" fontId="0" fillId="27" borderId="5" xfId="0" applyNumberFormat="1" applyFont="1" applyFill="1" applyBorder="1" applyAlignment="1" applyProtection="1">
      <alignment horizontal="center"/>
      <protection locked="0"/>
    </xf>
    <xf numFmtId="2" fontId="0" fillId="27" borderId="16" xfId="0" applyNumberFormat="1" applyFont="1" applyFill="1" applyBorder="1" applyAlignment="1" applyProtection="1">
      <alignment horizontal="center"/>
      <protection locked="0"/>
    </xf>
    <xf numFmtId="2" fontId="0" fillId="27" borderId="4" xfId="0" applyNumberFormat="1" applyFont="1" applyFill="1" applyBorder="1" applyAlignment="1" applyProtection="1">
      <alignment horizontal="center"/>
      <protection locked="0"/>
    </xf>
    <xf numFmtId="0" fontId="0" fillId="27" borderId="29" xfId="0" applyFont="1" applyFill="1" applyBorder="1" applyAlignment="1" applyProtection="1">
      <alignment horizontal="center"/>
      <protection locked="0"/>
    </xf>
    <xf numFmtId="0" fontId="0" fillId="27" borderId="24" xfId="0" applyFont="1" applyFill="1" applyBorder="1" applyAlignment="1" applyProtection="1">
      <alignment horizontal="center"/>
      <protection locked="0"/>
    </xf>
    <xf numFmtId="2" fontId="0" fillId="27" borderId="18" xfId="0" applyNumberFormat="1" applyFont="1" applyFill="1" applyBorder="1" applyAlignment="1" applyProtection="1">
      <alignment horizontal="center"/>
      <protection locked="0"/>
    </xf>
    <xf numFmtId="2" fontId="0" fillId="27" borderId="19" xfId="0" applyNumberFormat="1" applyFont="1" applyFill="1" applyBorder="1" applyAlignment="1" applyProtection="1">
      <alignment horizontal="center"/>
      <protection locked="0"/>
    </xf>
    <xf numFmtId="0" fontId="0" fillId="27" borderId="24" xfId="0" applyFill="1" applyBorder="1" applyAlignment="1" applyProtection="1">
      <alignment horizontal="center"/>
      <protection locked="0"/>
    </xf>
    <xf numFmtId="2" fontId="0" fillId="27" borderId="29" xfId="0" applyNumberFormat="1" applyFont="1" applyFill="1" applyBorder="1" applyAlignment="1" applyProtection="1">
      <alignment horizontal="center"/>
      <protection locked="0"/>
    </xf>
    <xf numFmtId="2" fontId="0" fillId="27" borderId="24" xfId="0" applyNumberFormat="1" applyFont="1" applyFill="1" applyBorder="1" applyAlignment="1" applyProtection="1">
      <alignment horizontal="center"/>
      <protection locked="0"/>
    </xf>
    <xf numFmtId="2" fontId="0" fillId="27" borderId="24" xfId="0" applyNumberFormat="1" applyFill="1" applyBorder="1" applyAlignment="1" applyProtection="1">
      <alignment horizontal="center"/>
      <protection locked="0"/>
    </xf>
    <xf numFmtId="2" fontId="0" fillId="27" borderId="18" xfId="0" applyNumberFormat="1" applyFill="1" applyBorder="1" applyAlignment="1" applyProtection="1">
      <alignment horizontal="center"/>
      <protection locked="0"/>
    </xf>
    <xf numFmtId="2" fontId="0" fillId="27" borderId="32" xfId="0" applyNumberFormat="1" applyFill="1" applyBorder="1" applyAlignment="1" applyProtection="1">
      <alignment horizontal="center"/>
      <protection locked="0"/>
    </xf>
    <xf numFmtId="2" fontId="0" fillId="27" borderId="29" xfId="0" applyNumberFormat="1" applyFill="1" applyBorder="1" applyAlignment="1" applyProtection="1">
      <alignment horizontal="center"/>
      <protection locked="0"/>
    </xf>
    <xf numFmtId="2" fontId="0" fillId="27" borderId="5" xfId="0" applyNumberFormat="1" applyFill="1" applyBorder="1" applyAlignment="1" applyProtection="1">
      <alignment horizontal="center"/>
      <protection locked="0"/>
    </xf>
    <xf numFmtId="2" fontId="0" fillId="27" borderId="19" xfId="0" applyNumberFormat="1" applyFill="1" applyBorder="1" applyAlignment="1" applyProtection="1">
      <alignment horizontal="center"/>
      <protection locked="0"/>
    </xf>
    <xf numFmtId="2" fontId="0" fillId="27" borderId="57" xfId="0" applyNumberFormat="1" applyFill="1" applyBorder="1" applyAlignment="1" applyProtection="1">
      <alignment horizontal="center"/>
      <protection locked="0"/>
    </xf>
    <xf numFmtId="2" fontId="0" fillId="27" borderId="48" xfId="0" applyNumberFormat="1" applyFill="1" applyBorder="1" applyAlignment="1" applyProtection="1">
      <alignment horizontal="center"/>
      <protection locked="0"/>
    </xf>
    <xf numFmtId="2" fontId="0" fillId="27" borderId="18" xfId="0" applyNumberFormat="1" applyFill="1" applyBorder="1" applyAlignment="1" applyProtection="1">
      <alignment horizontal="center" vertical="center"/>
      <protection locked="0"/>
    </xf>
    <xf numFmtId="2" fontId="0" fillId="27" borderId="19" xfId="0" applyNumberFormat="1" applyFill="1" applyBorder="1" applyAlignment="1" applyProtection="1">
      <alignment horizontal="center" vertical="center"/>
      <protection locked="0"/>
    </xf>
    <xf numFmtId="2" fontId="0" fillId="27" borderId="32" xfId="0" applyNumberFormat="1" applyFill="1" applyBorder="1" applyAlignment="1" applyProtection="1">
      <alignment horizontal="center" vertical="center"/>
      <protection locked="0"/>
    </xf>
    <xf numFmtId="2" fontId="0" fillId="27" borderId="5" xfId="0" applyNumberFormat="1" applyFill="1" applyBorder="1" applyAlignment="1" applyProtection="1">
      <alignment horizontal="center" vertical="center"/>
      <protection locked="0"/>
    </xf>
    <xf numFmtId="2" fontId="0" fillId="11" borderId="32" xfId="0" applyNumberFormat="1" applyFill="1" applyBorder="1" applyAlignment="1" applyProtection="1">
      <alignment horizontal="center" vertical="center"/>
      <protection locked="0"/>
    </xf>
    <xf numFmtId="2" fontId="0" fillId="11" borderId="5" xfId="0" applyNumberFormat="1" applyFill="1" applyBorder="1" applyAlignment="1" applyProtection="1">
      <alignment horizontal="center" vertical="center"/>
      <protection locked="0"/>
    </xf>
    <xf numFmtId="10" fontId="0" fillId="8" borderId="5" xfId="0" applyNumberFormat="1" applyFill="1" applyBorder="1" applyAlignment="1" applyProtection="1">
      <alignment horizontal="center"/>
      <protection locked="0"/>
    </xf>
    <xf numFmtId="0" fontId="0" fillId="24" borderId="24" xfId="0" applyFill="1" applyBorder="1" applyAlignment="1">
      <alignment vertical="center" wrapText="1"/>
    </xf>
    <xf numFmtId="0" fontId="7" fillId="6" borderId="18" xfId="0" applyFont="1" applyFill="1" applyBorder="1" applyAlignment="1">
      <alignment vertical="top"/>
    </xf>
    <xf numFmtId="0" fontId="0" fillId="6" borderId="19" xfId="0" applyFill="1" applyBorder="1" applyAlignment="1">
      <alignment vertical="top" wrapText="1"/>
    </xf>
    <xf numFmtId="0" fontId="0" fillId="6" borderId="19" xfId="0" applyFill="1" applyBorder="1" applyAlignment="1">
      <alignment vertical="center" wrapText="1"/>
    </xf>
    <xf numFmtId="0" fontId="0" fillId="6" borderId="19" xfId="0" applyFill="1" applyBorder="1" applyAlignment="1">
      <alignment vertical="center"/>
    </xf>
    <xf numFmtId="0" fontId="0" fillId="6" borderId="31" xfId="0" applyFill="1" applyBorder="1" applyAlignment="1">
      <alignment vertical="center"/>
    </xf>
    <xf numFmtId="164" fontId="0" fillId="6" borderId="75" xfId="21" applyFont="1" applyFill="1" applyBorder="1"/>
    <xf numFmtId="164" fontId="0" fillId="27" borderId="105" xfId="21" applyFont="1" applyFill="1" applyBorder="1"/>
    <xf numFmtId="164" fontId="4" fillId="27" borderId="105" xfId="21" applyFont="1" applyFill="1" applyBorder="1"/>
    <xf numFmtId="164" fontId="0" fillId="27" borderId="23" xfId="21" applyFont="1" applyFill="1" applyBorder="1"/>
    <xf numFmtId="164" fontId="3" fillId="27" borderId="105" xfId="21" applyFont="1" applyFill="1" applyBorder="1"/>
    <xf numFmtId="0" fontId="0" fillId="4" borderId="32" xfId="0" applyFill="1" applyBorder="1" applyAlignment="1">
      <alignment horizontal="left" vertical="center" wrapText="1"/>
    </xf>
    <xf numFmtId="0" fontId="0" fillId="4" borderId="5" xfId="0" applyFill="1" applyBorder="1" applyAlignment="1">
      <alignment horizontal="left" vertical="center" wrapText="1"/>
    </xf>
    <xf numFmtId="167" fontId="2" fillId="4" borderId="8" xfId="1" applyNumberFormat="1" applyFont="1" applyFill="1" applyBorder="1" applyAlignment="1" applyProtection="1">
      <alignment horizontal="center" vertical="center"/>
    </xf>
    <xf numFmtId="167" fontId="2" fillId="4" borderId="48" xfId="1" applyNumberFormat="1" applyFont="1" applyFill="1" applyBorder="1" applyAlignment="1" applyProtection="1">
      <alignment horizontal="center"/>
    </xf>
    <xf numFmtId="167" fontId="2" fillId="4" borderId="8" xfId="1" applyNumberFormat="1" applyFont="1" applyFill="1" applyBorder="1" applyAlignment="1" applyProtection="1">
      <alignment horizontal="center"/>
    </xf>
    <xf numFmtId="167" fontId="2" fillId="4" borderId="2" xfId="1" applyNumberFormat="1" applyFont="1" applyFill="1" applyBorder="1" applyAlignment="1" applyProtection="1">
      <alignment horizontal="center"/>
    </xf>
    <xf numFmtId="167" fontId="2" fillId="4" borderId="5" xfId="1" applyNumberFormat="1" applyFont="1" applyFill="1" applyBorder="1" applyAlignment="1" applyProtection="1">
      <alignment horizontal="center" vertical="center"/>
    </xf>
    <xf numFmtId="167" fontId="2" fillId="4" borderId="51" xfId="1" applyNumberFormat="1" applyFont="1" applyFill="1" applyBorder="1" applyAlignment="1" applyProtection="1">
      <alignment horizontal="center"/>
    </xf>
    <xf numFmtId="167" fontId="2" fillId="4" borderId="7" xfId="1" applyNumberFormat="1" applyFont="1" applyFill="1" applyBorder="1" applyProtection="1"/>
    <xf numFmtId="9" fontId="2" fillId="4" borderId="7" xfId="8" applyFont="1" applyFill="1" applyBorder="1" applyProtection="1"/>
    <xf numFmtId="167" fontId="2" fillId="4" borderId="1" xfId="8" applyNumberFormat="1" applyFont="1" applyFill="1" applyBorder="1" applyProtection="1"/>
    <xf numFmtId="167" fontId="2" fillId="4" borderId="6" xfId="1" applyNumberFormat="1" applyFont="1" applyFill="1" applyBorder="1" applyProtection="1"/>
    <xf numFmtId="167" fontId="2" fillId="4" borderId="103" xfId="1" applyNumberFormat="1" applyFont="1" applyFill="1" applyBorder="1" applyProtection="1"/>
    <xf numFmtId="1" fontId="3" fillId="0" borderId="0" xfId="0" applyNumberFormat="1" applyFont="1" applyProtection="1"/>
    <xf numFmtId="0" fontId="0" fillId="0" borderId="0" xfId="0" applyAlignment="1">
      <alignment horizontal="left" vertical="top" wrapText="1"/>
    </xf>
    <xf numFmtId="167" fontId="3" fillId="0" borderId="0" xfId="1" applyNumberFormat="1" applyFont="1" applyAlignment="1" applyProtection="1">
      <alignment horizontal="left"/>
    </xf>
    <xf numFmtId="0" fontId="105" fillId="5" borderId="0" xfId="0" applyFont="1" applyFill="1" applyProtection="1"/>
    <xf numFmtId="167" fontId="3" fillId="0" borderId="0" xfId="1" applyNumberFormat="1" applyFont="1" applyProtection="1"/>
    <xf numFmtId="167" fontId="3" fillId="0" borderId="0" xfId="0" applyNumberFormat="1" applyFont="1" applyProtection="1"/>
    <xf numFmtId="0" fontId="3" fillId="5" borderId="0" xfId="0" applyFont="1" applyFill="1" applyProtection="1"/>
    <xf numFmtId="0" fontId="7" fillId="0" borderId="18" xfId="0" applyFont="1" applyFill="1" applyBorder="1" applyAlignment="1" applyProtection="1">
      <alignment vertical="center" wrapText="1"/>
    </xf>
    <xf numFmtId="0" fontId="0" fillId="0" borderId="0" xfId="0" applyAlignment="1">
      <alignment horizontal="left" vertical="top"/>
    </xf>
    <xf numFmtId="0" fontId="58" fillId="0" borderId="0" xfId="0" applyFont="1" applyFill="1" applyBorder="1" applyAlignment="1">
      <alignment wrapText="1"/>
    </xf>
    <xf numFmtId="0" fontId="0" fillId="0" borderId="5" xfId="0" applyBorder="1" applyAlignment="1">
      <alignment vertical="center"/>
    </xf>
    <xf numFmtId="0" fontId="52" fillId="0" borderId="0" xfId="0" applyFont="1" applyFill="1" applyProtection="1"/>
    <xf numFmtId="0" fontId="16" fillId="0" borderId="0" xfId="0" applyFont="1" applyFill="1" applyProtection="1"/>
    <xf numFmtId="0" fontId="7" fillId="0" borderId="0" xfId="0" applyFont="1" applyAlignment="1"/>
    <xf numFmtId="0" fontId="7" fillId="0" borderId="0" xfId="0" applyFont="1" applyAlignment="1">
      <alignment vertical="center"/>
    </xf>
    <xf numFmtId="0" fontId="7" fillId="0" borderId="0" xfId="0" applyFont="1" applyFill="1" applyAlignment="1">
      <alignment horizontal="center"/>
    </xf>
    <xf numFmtId="0" fontId="107" fillId="0" borderId="0" xfId="0" applyFont="1" applyProtection="1"/>
    <xf numFmtId="4" fontId="67" fillId="4" borderId="5" xfId="0" applyNumberFormat="1" applyFont="1" applyFill="1" applyBorder="1" applyAlignment="1">
      <alignment horizontal="center" vertical="center"/>
    </xf>
    <xf numFmtId="0" fontId="6" fillId="12" borderId="40" xfId="0" applyFont="1" applyFill="1" applyBorder="1" applyAlignment="1" applyProtection="1">
      <alignment horizontal="center"/>
    </xf>
    <xf numFmtId="167" fontId="0" fillId="4" borderId="106" xfId="1" applyNumberFormat="1" applyFont="1" applyFill="1" applyBorder="1" applyProtection="1"/>
    <xf numFmtId="167" fontId="0" fillId="4" borderId="9" xfId="1" applyNumberFormat="1" applyFont="1" applyFill="1" applyBorder="1" applyProtection="1"/>
    <xf numFmtId="9" fontId="0" fillId="4" borderId="9" xfId="8" applyFont="1" applyFill="1" applyBorder="1" applyProtection="1"/>
    <xf numFmtId="167" fontId="0" fillId="4" borderId="103" xfId="8" applyNumberFormat="1" applyFont="1" applyFill="1" applyBorder="1" applyProtection="1"/>
    <xf numFmtId="167" fontId="2" fillId="4" borderId="103" xfId="8" applyNumberFormat="1" applyFont="1" applyFill="1" applyBorder="1" applyProtection="1"/>
    <xf numFmtId="9" fontId="0" fillId="4" borderId="46" xfId="8" applyFont="1" applyFill="1" applyBorder="1" applyProtection="1"/>
    <xf numFmtId="9" fontId="0" fillId="4" borderId="56" xfId="8" applyFont="1" applyFill="1" applyBorder="1" applyProtection="1"/>
    <xf numFmtId="167" fontId="0" fillId="4" borderId="56" xfId="1" applyNumberFormat="1" applyFont="1" applyFill="1" applyBorder="1" applyProtection="1"/>
    <xf numFmtId="0" fontId="0" fillId="13" borderId="0" xfId="0" applyFill="1"/>
    <xf numFmtId="0" fontId="0" fillId="0" borderId="16" xfId="0" applyFont="1" applyFill="1" applyBorder="1" applyAlignment="1">
      <alignment vertical="center" wrapText="1"/>
    </xf>
    <xf numFmtId="9" fontId="0" fillId="4" borderId="5" xfId="0" applyNumberFormat="1" applyFill="1" applyBorder="1" applyAlignment="1" applyProtection="1">
      <alignment horizontal="center" vertical="center"/>
    </xf>
    <xf numFmtId="0" fontId="0" fillId="0" borderId="5" xfId="0" applyFill="1" applyBorder="1" applyAlignment="1">
      <alignment vertical="center"/>
    </xf>
    <xf numFmtId="0" fontId="109" fillId="0" borderId="32" xfId="0" applyFont="1" applyFill="1" applyBorder="1" applyAlignment="1">
      <alignment vertical="center"/>
    </xf>
    <xf numFmtId="0" fontId="22" fillId="0" borderId="10" xfId="0" applyFont="1" applyFill="1" applyBorder="1"/>
    <xf numFmtId="0" fontId="22" fillId="0" borderId="12" xfId="0" applyFont="1" applyFill="1" applyBorder="1"/>
    <xf numFmtId="3" fontId="0" fillId="8" borderId="28" xfId="0" applyNumberFormat="1" applyFill="1" applyBorder="1" applyAlignment="1" applyProtection="1">
      <alignment horizontal="center"/>
      <protection locked="0"/>
    </xf>
    <xf numFmtId="167" fontId="0" fillId="28" borderId="0" xfId="1" applyNumberFormat="1" applyFont="1" applyFill="1" applyBorder="1" applyAlignment="1">
      <alignment horizontal="center" vertical="center"/>
    </xf>
    <xf numFmtId="0" fontId="0" fillId="0" borderId="9" xfId="0" applyFill="1" applyBorder="1"/>
    <xf numFmtId="0" fontId="0" fillId="0" borderId="62" xfId="0" applyFill="1" applyBorder="1"/>
    <xf numFmtId="0" fontId="0" fillId="0" borderId="0" xfId="0"/>
    <xf numFmtId="0" fontId="0" fillId="0" borderId="0" xfId="0" applyProtection="1"/>
    <xf numFmtId="0" fontId="14" fillId="0" borderId="0" xfId="0" applyFont="1" applyProtection="1"/>
    <xf numFmtId="1" fontId="14" fillId="0" borderId="0" xfId="0" applyNumberFormat="1" applyFont="1" applyProtection="1"/>
    <xf numFmtId="0" fontId="14" fillId="0" borderId="0" xfId="0" applyFont="1" applyFill="1" applyProtection="1"/>
    <xf numFmtId="0" fontId="6" fillId="12" borderId="20" xfId="0" applyFont="1" applyFill="1" applyBorder="1" applyProtection="1"/>
    <xf numFmtId="0" fontId="48" fillId="0" borderId="0" xfId="15" applyAlignment="1">
      <alignment horizontal="center" vertical="top"/>
    </xf>
    <xf numFmtId="0" fontId="0" fillId="0" borderId="0" xfId="0" applyBorder="1"/>
    <xf numFmtId="0" fontId="0" fillId="4" borderId="2" xfId="0" applyFill="1" applyBorder="1" applyAlignment="1">
      <alignment vertical="center" wrapText="1"/>
    </xf>
    <xf numFmtId="0" fontId="0" fillId="4" borderId="23" xfId="0" applyFill="1" applyBorder="1"/>
    <xf numFmtId="0" fontId="0" fillId="4" borderId="5" xfId="0" applyFill="1" applyBorder="1" applyAlignment="1">
      <alignment vertical="center" wrapText="1"/>
    </xf>
    <xf numFmtId="167" fontId="0" fillId="4" borderId="16" xfId="1" applyNumberFormat="1" applyFont="1" applyFill="1" applyBorder="1" applyAlignment="1" applyProtection="1">
      <alignment horizontal="center"/>
    </xf>
    <xf numFmtId="172" fontId="0" fillId="4" borderId="23" xfId="21" applyNumberFormat="1" applyFont="1" applyFill="1" applyBorder="1" applyProtection="1"/>
    <xf numFmtId="167" fontId="0" fillId="4" borderId="0" xfId="1" applyNumberFormat="1" applyFont="1" applyFill="1"/>
    <xf numFmtId="0" fontId="0" fillId="0" borderId="29" xfId="0" applyBorder="1"/>
    <xf numFmtId="0" fontId="0" fillId="0" borderId="60" xfId="0" applyBorder="1"/>
    <xf numFmtId="0" fontId="6" fillId="12" borderId="33" xfId="0" applyFont="1" applyFill="1" applyBorder="1" applyAlignment="1" applyProtection="1"/>
    <xf numFmtId="0" fontId="3" fillId="0" borderId="0" xfId="0" applyFont="1" applyProtection="1"/>
    <xf numFmtId="37" fontId="13" fillId="4" borderId="5" xfId="1" applyNumberFormat="1" applyFont="1" applyFill="1" applyBorder="1" applyAlignment="1">
      <alignment horizontal="center"/>
    </xf>
    <xf numFmtId="0" fontId="13" fillId="0" borderId="5" xfId="0" applyFont="1" applyBorder="1"/>
    <xf numFmtId="0" fontId="0" fillId="0" borderId="16" xfId="0" applyFill="1" applyBorder="1" applyAlignment="1" applyProtection="1">
      <alignment horizontal="left" vertical="top" wrapText="1"/>
    </xf>
    <xf numFmtId="0" fontId="0" fillId="0" borderId="4" xfId="0" applyFill="1" applyBorder="1" applyAlignment="1" applyProtection="1">
      <alignment vertical="top" wrapText="1"/>
    </xf>
    <xf numFmtId="0" fontId="0" fillId="0" borderId="16" xfId="0" applyFill="1" applyBorder="1" applyAlignment="1" applyProtection="1">
      <alignment vertical="top"/>
    </xf>
    <xf numFmtId="0" fontId="6" fillId="12" borderId="18" xfId="0" applyFont="1" applyFill="1" applyBorder="1" applyProtection="1"/>
    <xf numFmtId="0" fontId="0" fillId="0" borderId="25" xfId="0" applyFill="1" applyBorder="1" applyAlignment="1" applyProtection="1">
      <alignment vertical="top"/>
    </xf>
    <xf numFmtId="0" fontId="0" fillId="0" borderId="26" xfId="0" applyFill="1" applyBorder="1" applyAlignment="1" applyProtection="1">
      <alignment vertical="top" wrapText="1"/>
    </xf>
    <xf numFmtId="0" fontId="0" fillId="0" borderId="25" xfId="0" applyFill="1" applyBorder="1" applyAlignment="1" applyProtection="1">
      <alignment horizontal="left" vertical="top" wrapText="1"/>
    </xf>
    <xf numFmtId="167" fontId="0" fillId="4" borderId="25" xfId="1" applyNumberFormat="1" applyFont="1" applyFill="1" applyBorder="1" applyAlignment="1" applyProtection="1">
      <alignment horizontal="center"/>
    </xf>
    <xf numFmtId="172" fontId="0" fillId="4" borderId="28" xfId="21" applyNumberFormat="1" applyFont="1" applyFill="1" applyBorder="1" applyProtection="1"/>
    <xf numFmtId="167" fontId="0" fillId="4" borderId="5" xfId="1" applyNumberFormat="1" applyFont="1" applyFill="1" applyBorder="1" applyAlignment="1" applyProtection="1">
      <alignment horizontal="center"/>
    </xf>
    <xf numFmtId="0" fontId="0" fillId="0" borderId="19" xfId="0" applyFill="1" applyBorder="1" applyAlignment="1" applyProtection="1">
      <alignment horizontal="left" vertical="top" wrapText="1"/>
    </xf>
    <xf numFmtId="167" fontId="0" fillId="4" borderId="19" xfId="1" applyNumberFormat="1" applyFont="1" applyFill="1" applyBorder="1" applyAlignment="1" applyProtection="1">
      <alignment horizontal="center"/>
    </xf>
    <xf numFmtId="0" fontId="0" fillId="0" borderId="24" xfId="0" applyFill="1" applyBorder="1" applyAlignment="1" applyProtection="1">
      <alignment horizontal="left" vertical="top" wrapText="1"/>
    </xf>
    <xf numFmtId="167" fontId="0" fillId="4" borderId="24" xfId="1" applyNumberFormat="1" applyFont="1" applyFill="1" applyBorder="1" applyAlignment="1" applyProtection="1">
      <alignment horizontal="center"/>
    </xf>
    <xf numFmtId="0" fontId="7" fillId="0" borderId="32" xfId="0" applyFont="1" applyFill="1" applyBorder="1" applyAlignment="1" applyProtection="1">
      <alignment horizontal="left" vertical="top" wrapText="1"/>
    </xf>
    <xf numFmtId="0" fontId="7" fillId="0" borderId="29" xfId="0" applyFont="1" applyFill="1" applyBorder="1" applyAlignment="1" applyProtection="1">
      <alignment horizontal="left" vertical="top" wrapText="1"/>
    </xf>
    <xf numFmtId="0" fontId="7" fillId="0" borderId="18" xfId="0" applyFont="1" applyFill="1" applyBorder="1" applyAlignment="1" applyProtection="1">
      <alignment horizontal="left" vertical="top" wrapText="1"/>
    </xf>
    <xf numFmtId="3" fontId="0" fillId="8" borderId="23" xfId="0" applyNumberFormat="1" applyFill="1" applyBorder="1" applyAlignment="1" applyProtection="1">
      <alignment horizontal="center"/>
      <protection locked="0"/>
    </xf>
    <xf numFmtId="3" fontId="0" fillId="8" borderId="23" xfId="0" applyNumberFormat="1" applyFill="1" applyBorder="1" applyAlignment="1" applyProtection="1">
      <alignment horizontal="center" vertical="center"/>
      <protection locked="0"/>
    </xf>
    <xf numFmtId="0" fontId="0" fillId="4" borderId="5" xfId="0" applyFill="1" applyBorder="1" applyAlignment="1">
      <alignment vertical="top"/>
    </xf>
    <xf numFmtId="0" fontId="0" fillId="4" borderId="32" xfId="0" applyFill="1" applyBorder="1" applyAlignment="1">
      <alignment vertical="top"/>
    </xf>
    <xf numFmtId="0" fontId="0" fillId="4" borderId="18" xfId="0" applyFill="1" applyBorder="1" applyAlignment="1">
      <alignment vertical="top"/>
    </xf>
    <xf numFmtId="0" fontId="0" fillId="4" borderId="19" xfId="0" applyFill="1" applyBorder="1" applyAlignment="1">
      <alignment vertical="top"/>
    </xf>
    <xf numFmtId="0" fontId="0" fillId="4" borderId="19" xfId="0" applyFill="1" applyBorder="1" applyAlignment="1">
      <alignment vertical="center" wrapText="1"/>
    </xf>
    <xf numFmtId="0" fontId="0" fillId="4" borderId="20" xfId="0" applyFill="1" applyBorder="1"/>
    <xf numFmtId="0" fontId="0" fillId="4" borderId="29" xfId="0" applyFill="1" applyBorder="1" applyAlignment="1">
      <alignment vertical="top"/>
    </xf>
    <xf numFmtId="0" fontId="0" fillId="4" borderId="24" xfId="0" applyFill="1" applyBorder="1" applyAlignment="1">
      <alignment vertical="top"/>
    </xf>
    <xf numFmtId="0" fontId="0" fillId="4" borderId="24" xfId="0" applyFill="1" applyBorder="1" applyAlignment="1">
      <alignment vertical="center" wrapText="1"/>
    </xf>
    <xf numFmtId="0" fontId="0" fillId="4" borderId="51" xfId="0" applyFill="1" applyBorder="1" applyAlignment="1">
      <alignment vertical="center" wrapText="1"/>
    </xf>
    <xf numFmtId="0" fontId="0" fillId="4" borderId="28" xfId="0" applyFill="1" applyBorder="1"/>
    <xf numFmtId="0" fontId="7" fillId="0" borderId="46" xfId="0" applyFont="1" applyBorder="1"/>
    <xf numFmtId="0" fontId="0" fillId="0" borderId="32" xfId="0" applyFill="1" applyBorder="1" applyAlignment="1">
      <alignment vertical="center"/>
    </xf>
    <xf numFmtId="0" fontId="0" fillId="0" borderId="29" xfId="0" applyFont="1" applyFill="1" applyBorder="1" applyAlignment="1">
      <alignment vertical="center"/>
    </xf>
    <xf numFmtId="172" fontId="0" fillId="4" borderId="20" xfId="21" applyNumberFormat="1" applyFont="1" applyFill="1" applyBorder="1" applyAlignment="1" applyProtection="1">
      <alignment horizontal="center"/>
    </xf>
    <xf numFmtId="172" fontId="0" fillId="4" borderId="23" xfId="21" applyNumberFormat="1" applyFont="1" applyFill="1" applyBorder="1" applyAlignment="1" applyProtection="1">
      <alignment horizontal="center"/>
    </xf>
    <xf numFmtId="167" fontId="0" fillId="28" borderId="32" xfId="1" applyNumberFormat="1" applyFont="1" applyFill="1" applyBorder="1" applyAlignment="1">
      <alignment horizontal="center" vertical="center"/>
    </xf>
    <xf numFmtId="172" fontId="0" fillId="14" borderId="23" xfId="21" applyNumberFormat="1" applyFont="1" applyFill="1" applyBorder="1"/>
    <xf numFmtId="167" fontId="0" fillId="28" borderId="29" xfId="1" applyNumberFormat="1" applyFont="1" applyFill="1" applyBorder="1" applyAlignment="1">
      <alignment horizontal="center" vertical="center"/>
    </xf>
    <xf numFmtId="172" fontId="0" fillId="14" borderId="28" xfId="21" applyNumberFormat="1" applyFont="1" applyFill="1" applyBorder="1"/>
    <xf numFmtId="167" fontId="0" fillId="28" borderId="18" xfId="1" applyNumberFormat="1" applyFont="1" applyFill="1" applyBorder="1" applyAlignment="1">
      <alignment horizontal="center" vertical="center"/>
    </xf>
    <xf numFmtId="172" fontId="0" fillId="14" borderId="20" xfId="21" applyNumberFormat="1" applyFont="1" applyFill="1" applyBorder="1"/>
    <xf numFmtId="0" fontId="0" fillId="0" borderId="5" xfId="0" applyFill="1" applyBorder="1" applyAlignment="1" applyProtection="1">
      <alignment horizontal="left" vertical="top" wrapText="1"/>
    </xf>
    <xf numFmtId="164" fontId="0" fillId="27" borderId="67" xfId="21" applyFont="1" applyFill="1" applyBorder="1" applyProtection="1">
      <protection locked="0"/>
    </xf>
    <xf numFmtId="164" fontId="0" fillId="27" borderId="68" xfId="21" applyFont="1" applyFill="1" applyBorder="1" applyProtection="1">
      <protection locked="0"/>
    </xf>
    <xf numFmtId="164" fontId="0" fillId="27" borderId="70" xfId="21" applyFont="1" applyFill="1" applyBorder="1" applyProtection="1">
      <protection locked="0"/>
    </xf>
    <xf numFmtId="3" fontId="0" fillId="0" borderId="24" xfId="0" applyNumberFormat="1" applyBorder="1" applyAlignment="1">
      <alignment horizontal="center"/>
    </xf>
    <xf numFmtId="167" fontId="0" fillId="0" borderId="28" xfId="1" applyNumberFormat="1" applyFont="1" applyBorder="1"/>
    <xf numFmtId="3" fontId="0" fillId="0" borderId="2" xfId="0" applyNumberFormat="1" applyBorder="1" applyAlignment="1">
      <alignment horizontal="center"/>
    </xf>
    <xf numFmtId="167" fontId="0" fillId="0" borderId="50" xfId="1" applyNumberFormat="1" applyFont="1" applyBorder="1"/>
    <xf numFmtId="0" fontId="7" fillId="0" borderId="42" xfId="0" applyFont="1" applyBorder="1"/>
    <xf numFmtId="0" fontId="0" fillId="8" borderId="32" xfId="0" applyFont="1" applyFill="1" applyBorder="1" applyAlignment="1" applyProtection="1">
      <alignment vertical="center"/>
      <protection locked="0"/>
    </xf>
    <xf numFmtId="167" fontId="0" fillId="0" borderId="45" xfId="0" applyNumberFormat="1" applyBorder="1" applyAlignment="1">
      <alignment horizontal="left" indent="1"/>
    </xf>
    <xf numFmtId="167" fontId="0" fillId="0" borderId="64" xfId="0" applyNumberFormat="1" applyBorder="1" applyAlignment="1">
      <alignment horizontal="left" indent="1"/>
    </xf>
    <xf numFmtId="1" fontId="67" fillId="4" borderId="5" xfId="0" applyNumberFormat="1" applyFont="1" applyFill="1" applyBorder="1" applyAlignment="1">
      <alignment horizontal="center" vertical="center"/>
    </xf>
    <xf numFmtId="9" fontId="58" fillId="0" borderId="0" xfId="8" applyFont="1" applyAlignment="1">
      <alignment horizontal="center"/>
    </xf>
    <xf numFmtId="9" fontId="73" fillId="0" borderId="0" xfId="8" applyFont="1" applyAlignment="1">
      <alignment horizontal="center"/>
    </xf>
    <xf numFmtId="172" fontId="0" fillId="4" borderId="28" xfId="21" applyNumberFormat="1" applyFont="1" applyFill="1" applyBorder="1" applyAlignment="1" applyProtection="1">
      <alignment horizontal="center"/>
    </xf>
    <xf numFmtId="0" fontId="6" fillId="12" borderId="19" xfId="0" applyFont="1" applyFill="1" applyBorder="1" applyAlignment="1" applyProtection="1"/>
    <xf numFmtId="167" fontId="14" fillId="0" borderId="0" xfId="1" applyNumberFormat="1" applyFont="1" applyAlignment="1" applyProtection="1">
      <alignment horizontal="left"/>
    </xf>
    <xf numFmtId="0" fontId="111" fillId="0" borderId="0" xfId="0" applyFont="1" applyBorder="1" applyAlignment="1">
      <alignment vertical="top" wrapText="1"/>
    </xf>
    <xf numFmtId="3" fontId="47" fillId="4" borderId="52" xfId="0" applyNumberFormat="1" applyFont="1" applyFill="1" applyBorder="1" applyAlignment="1">
      <alignment vertical="center"/>
    </xf>
    <xf numFmtId="0" fontId="47" fillId="4" borderId="5" xfId="0" applyFont="1" applyFill="1" applyBorder="1" applyAlignment="1">
      <alignment vertical="center" wrapText="1"/>
    </xf>
    <xf numFmtId="0" fontId="47" fillId="4" borderId="24" xfId="0" applyFont="1" applyFill="1" applyBorder="1" applyAlignment="1">
      <alignment vertical="center" wrapText="1"/>
    </xf>
    <xf numFmtId="0" fontId="47" fillId="4" borderId="2" xfId="0" applyFont="1" applyFill="1" applyBorder="1" applyAlignment="1">
      <alignment horizontal="center" vertical="center"/>
    </xf>
    <xf numFmtId="0" fontId="47" fillId="4" borderId="5" xfId="0" applyFont="1" applyFill="1" applyBorder="1" applyAlignment="1">
      <alignment horizontal="center" vertical="center"/>
    </xf>
    <xf numFmtId="0" fontId="47" fillId="4" borderId="24" xfId="0" applyFont="1" applyFill="1" applyBorder="1" applyAlignment="1">
      <alignment horizontal="center" vertical="center"/>
    </xf>
    <xf numFmtId="0" fontId="0" fillId="0" borderId="0" xfId="0" applyAlignment="1">
      <alignment horizontal="left" vertical="top" wrapText="1"/>
    </xf>
    <xf numFmtId="0" fontId="65" fillId="3" borderId="35" xfId="0" applyFont="1" applyFill="1" applyBorder="1" applyAlignment="1">
      <alignment horizontal="center" vertical="center" wrapText="1"/>
    </xf>
    <xf numFmtId="3" fontId="47" fillId="14" borderId="19" xfId="0" applyNumberFormat="1" applyFont="1" applyFill="1" applyBorder="1" applyAlignment="1">
      <alignment vertical="center"/>
    </xf>
    <xf numFmtId="3" fontId="47" fillId="14" borderId="20" xfId="0" applyNumberFormat="1" applyFont="1" applyFill="1" applyBorder="1" applyAlignment="1">
      <alignment vertical="center"/>
    </xf>
    <xf numFmtId="0" fontId="39" fillId="14" borderId="4" xfId="0" applyFont="1" applyFill="1" applyBorder="1" applyAlignment="1" applyProtection="1">
      <alignment vertical="center" wrapText="1"/>
    </xf>
    <xf numFmtId="3" fontId="47" fillId="14" borderId="5" xfId="0" applyNumberFormat="1" applyFont="1" applyFill="1" applyBorder="1" applyAlignment="1">
      <alignment vertical="center"/>
    </xf>
    <xf numFmtId="3" fontId="47" fillId="14" borderId="23" xfId="0" applyNumberFormat="1" applyFont="1" applyFill="1" applyBorder="1" applyAlignment="1">
      <alignment vertical="center"/>
    </xf>
    <xf numFmtId="3" fontId="47" fillId="14" borderId="24" xfId="0" applyNumberFormat="1" applyFont="1" applyFill="1" applyBorder="1" applyAlignment="1">
      <alignment vertical="center"/>
    </xf>
    <xf numFmtId="3" fontId="47" fillId="14" borderId="28" xfId="0" applyNumberFormat="1" applyFont="1" applyFill="1" applyBorder="1" applyAlignment="1">
      <alignment vertical="center"/>
    </xf>
    <xf numFmtId="3" fontId="47" fillId="4" borderId="19" xfId="0" applyNumberFormat="1" applyFont="1" applyFill="1" applyBorder="1" applyAlignment="1">
      <alignment vertical="center"/>
    </xf>
    <xf numFmtId="3" fontId="47" fillId="4" borderId="20" xfId="0" applyNumberFormat="1" applyFont="1" applyFill="1" applyBorder="1" applyAlignment="1">
      <alignment vertical="center"/>
    </xf>
    <xf numFmtId="3" fontId="47" fillId="4" borderId="23" xfId="0" applyNumberFormat="1" applyFont="1" applyFill="1" applyBorder="1" applyAlignment="1">
      <alignment vertical="center"/>
    </xf>
    <xf numFmtId="3" fontId="47" fillId="4" borderId="28" xfId="0" applyNumberFormat="1" applyFont="1" applyFill="1" applyBorder="1" applyAlignment="1">
      <alignment vertical="center"/>
    </xf>
    <xf numFmtId="0" fontId="0" fillId="0" borderId="0" xfId="0" applyFill="1" applyAlignment="1">
      <alignment horizontal="left" vertical="center"/>
    </xf>
    <xf numFmtId="0" fontId="0" fillId="0" borderId="0" xfId="0" applyFill="1" applyAlignment="1">
      <alignment horizontal="left" wrapText="1"/>
    </xf>
    <xf numFmtId="0" fontId="37" fillId="0" borderId="0" xfId="0" applyFont="1" applyFill="1" applyAlignment="1">
      <alignment horizontal="left" vertical="center"/>
    </xf>
    <xf numFmtId="0" fontId="7" fillId="0" borderId="0" xfId="0" applyFont="1" applyFill="1" applyAlignment="1">
      <alignment horizontal="left"/>
    </xf>
    <xf numFmtId="0" fontId="0" fillId="0" borderId="47" xfId="0" applyFill="1" applyBorder="1"/>
    <xf numFmtId="0" fontId="0" fillId="0" borderId="14" xfId="0" applyFill="1" applyBorder="1"/>
    <xf numFmtId="0" fontId="0" fillId="0" borderId="6" xfId="0" applyFill="1" applyBorder="1"/>
    <xf numFmtId="0" fontId="0" fillId="0" borderId="17" xfId="0" applyFill="1" applyBorder="1"/>
    <xf numFmtId="0" fontId="0" fillId="0" borderId="7" xfId="0" applyFill="1" applyBorder="1"/>
    <xf numFmtId="0" fontId="0" fillId="0" borderId="17" xfId="0" applyFill="1" applyBorder="1" applyAlignment="1">
      <alignment horizontal="left"/>
    </xf>
    <xf numFmtId="0" fontId="0" fillId="0" borderId="0" xfId="0" applyFill="1" applyAlignment="1">
      <alignment horizontal="left"/>
    </xf>
    <xf numFmtId="0" fontId="0" fillId="0" borderId="7" xfId="0" applyFill="1" applyBorder="1" applyAlignment="1">
      <alignment horizontal="left"/>
    </xf>
    <xf numFmtId="0" fontId="0" fillId="0" borderId="3" xfId="0" applyFill="1" applyBorder="1" applyAlignment="1">
      <alignment horizontal="left"/>
    </xf>
    <xf numFmtId="0" fontId="0" fillId="0" borderId="15" xfId="0" applyFill="1" applyBorder="1" applyAlignment="1">
      <alignment horizontal="left"/>
    </xf>
    <xf numFmtId="0" fontId="0" fillId="0" borderId="1" xfId="0" applyFill="1" applyBorder="1" applyAlignment="1">
      <alignment horizontal="left"/>
    </xf>
    <xf numFmtId="0" fontId="0" fillId="0" borderId="46" xfId="0" applyFill="1" applyBorder="1" applyAlignment="1">
      <alignment horizontal="left"/>
    </xf>
    <xf numFmtId="0" fontId="0" fillId="0" borderId="103" xfId="0" applyFill="1" applyBorder="1" applyAlignment="1">
      <alignment horizontal="left"/>
    </xf>
    <xf numFmtId="0" fontId="13" fillId="0" borderId="0" xfId="0" applyFont="1" applyFill="1" applyAlignment="1">
      <alignment horizontal="left"/>
    </xf>
    <xf numFmtId="0" fontId="13" fillId="0" borderId="7" xfId="0" applyFont="1" applyFill="1" applyBorder="1" applyAlignment="1">
      <alignment horizontal="left"/>
    </xf>
    <xf numFmtId="0" fontId="0" fillId="0" borderId="46" xfId="0" applyFill="1" applyBorder="1"/>
    <xf numFmtId="0" fontId="0" fillId="0" borderId="103" xfId="0" applyFill="1" applyBorder="1"/>
    <xf numFmtId="1" fontId="0" fillId="4" borderId="5" xfId="0" applyNumberFormat="1" applyFill="1" applyBorder="1"/>
    <xf numFmtId="2" fontId="0" fillId="4" borderId="5" xfId="0" applyNumberFormat="1" applyFill="1" applyBorder="1"/>
    <xf numFmtId="10" fontId="67" fillId="4" borderId="5" xfId="8" applyNumberFormat="1" applyFont="1" applyFill="1" applyBorder="1" applyAlignment="1">
      <alignment horizontal="center" vertical="center"/>
    </xf>
    <xf numFmtId="0" fontId="48" fillId="0" borderId="0" xfId="15" applyAlignment="1">
      <alignment horizontal="center"/>
    </xf>
    <xf numFmtId="0" fontId="95" fillId="0" borderId="0" xfId="0" applyFont="1" applyAlignment="1">
      <alignment vertical="top"/>
    </xf>
    <xf numFmtId="0" fontId="28" fillId="3" borderId="0" xfId="0" applyFont="1" applyFill="1" applyAlignment="1">
      <alignment horizontal="left" vertical="center" indent="1"/>
    </xf>
    <xf numFmtId="0" fontId="64" fillId="0" borderId="0" xfId="0" applyFont="1"/>
    <xf numFmtId="37" fontId="14" fillId="0" borderId="0" xfId="1" applyNumberFormat="1" applyFont="1" applyFill="1" applyAlignment="1" applyProtection="1">
      <alignment horizontal="center" vertical="center" wrapText="1"/>
    </xf>
    <xf numFmtId="0" fontId="6" fillId="19" borderId="44" xfId="0" applyFont="1" applyFill="1" applyBorder="1" applyAlignment="1">
      <alignment vertical="top" wrapText="1"/>
    </xf>
    <xf numFmtId="0" fontId="47" fillId="4" borderId="2" xfId="0" applyFont="1" applyFill="1" applyBorder="1" applyAlignment="1">
      <alignment vertical="center" wrapText="1"/>
    </xf>
    <xf numFmtId="2" fontId="0" fillId="27" borderId="29" xfId="0" applyNumberFormat="1" applyFill="1" applyBorder="1" applyAlignment="1" applyProtection="1">
      <alignment horizontal="center" vertical="center"/>
      <protection locked="0"/>
    </xf>
    <xf numFmtId="2" fontId="0" fillId="27" borderId="24" xfId="0" applyNumberFormat="1" applyFill="1" applyBorder="1" applyAlignment="1" applyProtection="1">
      <alignment horizontal="center" vertical="center"/>
      <protection locked="0"/>
    </xf>
    <xf numFmtId="0" fontId="47" fillId="14" borderId="33" xfId="0" applyFont="1" applyFill="1" applyBorder="1" applyAlignment="1">
      <alignment vertical="center" wrapText="1"/>
    </xf>
    <xf numFmtId="0" fontId="47" fillId="14" borderId="4" xfId="0" applyFont="1" applyFill="1" applyBorder="1" applyAlignment="1">
      <alignment vertical="center" wrapText="1"/>
    </xf>
    <xf numFmtId="0" fontId="47" fillId="14" borderId="26" xfId="0" applyFont="1" applyFill="1" applyBorder="1" applyAlignment="1">
      <alignment vertical="center" wrapText="1"/>
    </xf>
    <xf numFmtId="0" fontId="47" fillId="4" borderId="33" xfId="0" applyFont="1" applyFill="1" applyBorder="1" applyAlignment="1">
      <alignment vertical="center" wrapText="1"/>
    </xf>
    <xf numFmtId="0" fontId="47" fillId="4" borderId="4" xfId="0" applyFont="1" applyFill="1" applyBorder="1" applyAlignment="1">
      <alignment vertical="center" wrapText="1"/>
    </xf>
    <xf numFmtId="0" fontId="47" fillId="4" borderId="26" xfId="0" applyFont="1" applyFill="1" applyBorder="1" applyAlignment="1">
      <alignment vertical="center" wrapText="1"/>
    </xf>
    <xf numFmtId="0" fontId="47" fillId="14" borderId="33" xfId="0" applyFont="1" applyFill="1" applyBorder="1" applyAlignment="1">
      <alignment horizontal="center" vertical="center"/>
    </xf>
    <xf numFmtId="0" fontId="47" fillId="14" borderId="4" xfId="0" applyFont="1" applyFill="1" applyBorder="1" applyAlignment="1">
      <alignment horizontal="center" vertical="center"/>
    </xf>
    <xf numFmtId="0" fontId="47" fillId="14" borderId="26" xfId="0" applyFont="1" applyFill="1" applyBorder="1" applyAlignment="1">
      <alignment horizontal="center" vertical="center"/>
    </xf>
    <xf numFmtId="0" fontId="47" fillId="4" borderId="33" xfId="0" applyFont="1" applyFill="1" applyBorder="1" applyAlignment="1">
      <alignment horizontal="center" vertical="center"/>
    </xf>
    <xf numFmtId="0" fontId="47" fillId="4" borderId="4" xfId="0" applyFont="1" applyFill="1" applyBorder="1" applyAlignment="1">
      <alignment horizontal="center" vertical="center"/>
    </xf>
    <xf numFmtId="0" fontId="47" fillId="4" borderId="26" xfId="0" applyFont="1" applyFill="1" applyBorder="1" applyAlignment="1">
      <alignment horizontal="center" vertical="center"/>
    </xf>
    <xf numFmtId="173" fontId="14" fillId="0" borderId="0" xfId="8" applyNumberFormat="1" applyFont="1" applyFill="1" applyBorder="1" applyAlignment="1" applyProtection="1">
      <alignment horizontal="center" vertical="center" wrapText="1"/>
    </xf>
    <xf numFmtId="0" fontId="102" fillId="0" borderId="0" xfId="0" applyFont="1" applyFill="1" applyBorder="1" applyAlignment="1" applyProtection="1">
      <alignment horizontal="center"/>
    </xf>
    <xf numFmtId="37" fontId="14" fillId="0" borderId="0" xfId="1" applyNumberFormat="1" applyFont="1" applyFill="1" applyBorder="1" applyAlignment="1" applyProtection="1">
      <alignment horizontal="center" vertical="center" wrapText="1"/>
    </xf>
    <xf numFmtId="0" fontId="100" fillId="22" borderId="0" xfId="0" applyFont="1" applyFill="1" applyProtection="1"/>
    <xf numFmtId="0" fontId="100" fillId="0" borderId="0" xfId="0" applyFont="1" applyFill="1" applyProtection="1"/>
    <xf numFmtId="0" fontId="80" fillId="0" borderId="0" xfId="0" applyFont="1" applyAlignment="1" applyProtection="1">
      <alignment vertical="center" wrapText="1"/>
    </xf>
    <xf numFmtId="0" fontId="100" fillId="0" borderId="0" xfId="0" applyFont="1" applyProtection="1"/>
    <xf numFmtId="0" fontId="100" fillId="0" borderId="0" xfId="0" applyFont="1" applyFill="1" applyBorder="1" applyProtection="1"/>
    <xf numFmtId="39" fontId="14" fillId="0" borderId="0" xfId="1" applyNumberFormat="1" applyFont="1" applyFill="1" applyBorder="1" applyAlignment="1" applyProtection="1">
      <alignment horizontal="center" vertical="center" wrapText="1"/>
    </xf>
    <xf numFmtId="0" fontId="14" fillId="22" borderId="0" xfId="0" applyFont="1" applyFill="1" applyProtection="1"/>
    <xf numFmtId="0" fontId="14" fillId="0" borderId="0" xfId="0" applyFont="1" applyFill="1" applyAlignment="1" applyProtection="1">
      <alignment vertical="center"/>
    </xf>
    <xf numFmtId="167" fontId="14" fillId="0" borderId="0" xfId="1" applyNumberFormat="1" applyFont="1" applyFill="1" applyBorder="1" applyProtection="1"/>
    <xf numFmtId="0" fontId="28" fillId="3" borderId="0" xfId="0" applyFont="1" applyFill="1" applyAlignment="1" applyProtection="1">
      <alignment horizontal="left" vertical="center" indent="13"/>
    </xf>
    <xf numFmtId="0" fontId="14" fillId="5" borderId="0" xfId="0" applyFont="1" applyFill="1"/>
    <xf numFmtId="0" fontId="58" fillId="0" borderId="17" xfId="0" applyFont="1" applyFill="1" applyBorder="1" applyAlignment="1">
      <alignment horizontal="left" vertical="center" indent="1"/>
    </xf>
    <xf numFmtId="0" fontId="58" fillId="0" borderId="0" xfId="0" applyFont="1" applyFill="1" applyAlignment="1">
      <alignment horizontal="left" vertical="center" wrapText="1"/>
    </xf>
    <xf numFmtId="0" fontId="58" fillId="0" borderId="0" xfId="0" applyFont="1" applyFill="1" applyBorder="1" applyAlignment="1">
      <alignment horizontal="left" indent="1"/>
    </xf>
    <xf numFmtId="37" fontId="97" fillId="0" borderId="0" xfId="1" applyNumberFormat="1" applyFont="1" applyFill="1" applyBorder="1" applyAlignment="1">
      <alignment horizontal="center" vertical="center"/>
    </xf>
    <xf numFmtId="0" fontId="7" fillId="0" borderId="0" xfId="5" applyFont="1" applyFill="1" applyBorder="1" applyAlignment="1" applyProtection="1">
      <alignment horizontal="center" vertical="center" wrapText="1"/>
    </xf>
    <xf numFmtId="0" fontId="14" fillId="0" borderId="0" xfId="0" applyFont="1" applyProtection="1">
      <protection locked="0"/>
    </xf>
    <xf numFmtId="0" fontId="14" fillId="0" borderId="0" xfId="0" applyFont="1" applyFill="1" applyProtection="1">
      <protection locked="0"/>
    </xf>
    <xf numFmtId="1" fontId="14" fillId="0" borderId="0" xfId="0" applyNumberFormat="1" applyFont="1" applyProtection="1">
      <protection locked="0"/>
    </xf>
    <xf numFmtId="1" fontId="0" fillId="8" borderId="5" xfId="0" applyNumberFormat="1" applyFill="1" applyBorder="1" applyProtection="1">
      <protection locked="0"/>
    </xf>
    <xf numFmtId="2" fontId="0" fillId="0" borderId="5" xfId="0" applyNumberFormat="1" applyBorder="1" applyProtection="1">
      <protection locked="0"/>
    </xf>
    <xf numFmtId="0" fontId="14" fillId="0" borderId="0" xfId="0" applyFont="1" applyAlignment="1" applyProtection="1">
      <alignment horizontal="center" vertical="center"/>
      <protection locked="0"/>
    </xf>
    <xf numFmtId="1" fontId="0" fillId="0" borderId="18" xfId="0" applyNumberFormat="1" applyBorder="1" applyAlignment="1">
      <alignment horizontal="right"/>
    </xf>
    <xf numFmtId="0" fontId="0" fillId="0" borderId="19" xfId="0" applyBorder="1" applyAlignment="1">
      <alignment horizontal="center" wrapText="1"/>
    </xf>
    <xf numFmtId="2" fontId="0" fillId="0" borderId="19" xfId="0" applyNumberFormat="1" applyBorder="1" applyAlignment="1">
      <alignment horizontal="center" wrapText="1"/>
    </xf>
    <xf numFmtId="1" fontId="0" fillId="0" borderId="19" xfId="0" applyNumberFormat="1" applyBorder="1" applyAlignment="1">
      <alignment horizontal="center" wrapText="1"/>
    </xf>
    <xf numFmtId="1" fontId="0" fillId="0" borderId="20" xfId="0" applyNumberFormat="1" applyBorder="1" applyAlignment="1">
      <alignment horizontal="center" wrapText="1"/>
    </xf>
    <xf numFmtId="1" fontId="0" fillId="0" borderId="32" xfId="0" applyNumberFormat="1" applyBorder="1"/>
    <xf numFmtId="2" fontId="0" fillId="4" borderId="23" xfId="0" applyNumberFormat="1" applyFill="1" applyBorder="1"/>
    <xf numFmtId="1" fontId="0" fillId="0" borderId="29" xfId="0" applyNumberFormat="1" applyBorder="1"/>
    <xf numFmtId="1" fontId="0" fillId="8" borderId="24" xfId="0" applyNumberFormat="1" applyFill="1" applyBorder="1" applyProtection="1">
      <protection locked="0"/>
    </xf>
    <xf numFmtId="2" fontId="0" fillId="0" borderId="24" xfId="0" applyNumberFormat="1" applyBorder="1" applyProtection="1">
      <protection locked="0"/>
    </xf>
    <xf numFmtId="2" fontId="0" fillId="4" borderId="24" xfId="0" applyNumberFormat="1" applyFill="1" applyBorder="1"/>
    <xf numFmtId="2" fontId="0" fillId="4" borderId="28" xfId="0" applyNumberFormat="1" applyFill="1" applyBorder="1"/>
    <xf numFmtId="0" fontId="0" fillId="4" borderId="19" xfId="0" applyFill="1" applyBorder="1" applyProtection="1"/>
    <xf numFmtId="0" fontId="0" fillId="4" borderId="5" xfId="0" applyFill="1" applyBorder="1" applyProtection="1"/>
    <xf numFmtId="0" fontId="0" fillId="4" borderId="24" xfId="0" applyFill="1" applyBorder="1" applyProtection="1"/>
    <xf numFmtId="0" fontId="0" fillId="4" borderId="19" xfId="0" applyFill="1" applyBorder="1" applyAlignment="1" applyProtection="1">
      <alignment vertical="center" wrapText="1"/>
    </xf>
    <xf numFmtId="0" fontId="0" fillId="4" borderId="5" xfId="0" applyFill="1" applyBorder="1" applyAlignment="1" applyProtection="1">
      <alignment vertical="center"/>
    </xf>
    <xf numFmtId="0" fontId="0" fillId="4" borderId="24" xfId="0" applyFill="1" applyBorder="1" applyAlignment="1" applyProtection="1">
      <alignment vertical="center"/>
    </xf>
    <xf numFmtId="3" fontId="0" fillId="0" borderId="12" xfId="0" applyNumberFormat="1" applyBorder="1"/>
    <xf numFmtId="3" fontId="0" fillId="0" borderId="65" xfId="0" applyNumberFormat="1" applyBorder="1"/>
    <xf numFmtId="0" fontId="0" fillId="0" borderId="68" xfId="0" applyBorder="1"/>
    <xf numFmtId="167" fontId="0" fillId="8" borderId="64" xfId="1" applyNumberFormat="1" applyFont="1" applyFill="1" applyBorder="1" applyProtection="1">
      <protection locked="0"/>
    </xf>
    <xf numFmtId="2" fontId="0" fillId="14" borderId="0" xfId="0" applyNumberFormat="1" applyFill="1"/>
    <xf numFmtId="10" fontId="0" fillId="14" borderId="0" xfId="8" applyNumberFormat="1" applyFont="1" applyFill="1"/>
    <xf numFmtId="1" fontId="0" fillId="4" borderId="5" xfId="0" applyNumberFormat="1" applyFill="1" applyBorder="1" applyAlignment="1" applyProtection="1">
      <alignment horizontal="center" vertical="center"/>
    </xf>
    <xf numFmtId="0" fontId="21" fillId="9" borderId="0" xfId="0" applyFont="1" applyFill="1" applyProtection="1"/>
    <xf numFmtId="0" fontId="7" fillId="0" borderId="12" xfId="0" applyFont="1" applyBorder="1" applyProtection="1"/>
    <xf numFmtId="0" fontId="48" fillId="0" borderId="13" xfId="15" applyBorder="1" applyProtection="1"/>
    <xf numFmtId="0" fontId="0" fillId="0" borderId="13" xfId="0" applyBorder="1" applyProtection="1"/>
    <xf numFmtId="0" fontId="0" fillId="0" borderId="62" xfId="0" applyBorder="1" applyProtection="1"/>
    <xf numFmtId="0" fontId="0" fillId="0" borderId="10" xfId="0" applyBorder="1" applyProtection="1"/>
    <xf numFmtId="0" fontId="48" fillId="0" borderId="0" xfId="15" applyBorder="1" applyProtection="1"/>
    <xf numFmtId="0" fontId="0" fillId="0" borderId="65" xfId="0" applyBorder="1" applyProtection="1"/>
    <xf numFmtId="0" fontId="48" fillId="0" borderId="46" xfId="15" applyBorder="1" applyProtection="1"/>
    <xf numFmtId="0" fontId="7" fillId="11" borderId="0" xfId="0" applyFont="1" applyFill="1" applyProtection="1"/>
    <xf numFmtId="0" fontId="0" fillId="11" borderId="0" xfId="0" applyFill="1" applyProtection="1"/>
    <xf numFmtId="0" fontId="11" fillId="11" borderId="0" xfId="5" applyFont="1" applyFill="1" applyBorder="1" applyAlignment="1" applyProtection="1">
      <alignment vertical="center"/>
    </xf>
    <xf numFmtId="0" fontId="11" fillId="11" borderId="0" xfId="5" applyFont="1" applyFill="1" applyBorder="1" applyAlignment="1" applyProtection="1">
      <alignment horizontal="center" vertical="center" wrapText="1"/>
    </xf>
    <xf numFmtId="0" fontId="0" fillId="0" borderId="0" xfId="0" applyFont="1" applyFill="1" applyProtection="1"/>
    <xf numFmtId="0" fontId="11" fillId="0" borderId="0" xfId="5" applyFont="1" applyFill="1" applyBorder="1" applyAlignment="1" applyProtection="1">
      <alignment vertical="center"/>
    </xf>
    <xf numFmtId="0" fontId="11" fillId="0" borderId="0" xfId="5" applyFont="1" applyFill="1" applyBorder="1" applyAlignment="1" applyProtection="1">
      <alignment horizontal="center" vertical="center" wrapText="1"/>
    </xf>
    <xf numFmtId="0" fontId="7" fillId="0" borderId="15" xfId="0" applyFont="1" applyBorder="1" applyProtection="1"/>
    <xf numFmtId="0" fontId="0" fillId="0" borderId="15" xfId="0" applyBorder="1" applyProtection="1"/>
    <xf numFmtId="167" fontId="0" fillId="0" borderId="0" xfId="1" applyNumberFormat="1" applyFont="1" applyFill="1" applyProtection="1"/>
    <xf numFmtId="0" fontId="20" fillId="0" borderId="0" xfId="0" applyFont="1" applyProtection="1"/>
    <xf numFmtId="167" fontId="0" fillId="4" borderId="0" xfId="1" applyNumberFormat="1" applyFont="1" applyFill="1" applyProtection="1"/>
    <xf numFmtId="167" fontId="0" fillId="4" borderId="27" xfId="1" applyNumberFormat="1" applyFont="1" applyFill="1" applyBorder="1" applyProtection="1"/>
    <xf numFmtId="167" fontId="0" fillId="4" borderId="5" xfId="1" applyNumberFormat="1" applyFont="1" applyFill="1" applyBorder="1" applyProtection="1"/>
    <xf numFmtId="9" fontId="0" fillId="0" borderId="0" xfId="8" applyFont="1" applyProtection="1"/>
    <xf numFmtId="165" fontId="0" fillId="4" borderId="5" xfId="0" applyNumberFormat="1" applyFill="1" applyBorder="1" applyProtection="1"/>
    <xf numFmtId="167" fontId="0" fillId="4" borderId="5" xfId="0" applyNumberFormat="1" applyFill="1" applyBorder="1" applyProtection="1"/>
    <xf numFmtId="0" fontId="1" fillId="0" borderId="0" xfId="13" applyProtection="1"/>
    <xf numFmtId="9" fontId="0" fillId="4" borderId="5" xfId="8" applyFont="1" applyFill="1" applyBorder="1" applyAlignment="1" applyProtection="1">
      <alignment horizontal="center" vertical="center"/>
    </xf>
    <xf numFmtId="9" fontId="1" fillId="4" borderId="5" xfId="13" applyNumberFormat="1" applyFill="1" applyBorder="1" applyAlignment="1" applyProtection="1">
      <alignment horizontal="center"/>
    </xf>
    <xf numFmtId="9" fontId="1" fillId="0" borderId="0" xfId="13" applyNumberFormat="1" applyBorder="1" applyAlignment="1" applyProtection="1">
      <alignment horizontal="center"/>
    </xf>
    <xf numFmtId="0" fontId="1" fillId="0" borderId="0" xfId="13" applyFill="1" applyBorder="1" applyProtection="1"/>
    <xf numFmtId="2" fontId="0" fillId="4" borderId="5" xfId="1" applyNumberFormat="1" applyFont="1" applyFill="1" applyBorder="1" applyAlignment="1" applyProtection="1">
      <alignment horizontal="center"/>
    </xf>
    <xf numFmtId="0" fontId="1" fillId="0" borderId="0" xfId="13" applyAlignment="1" applyProtection="1">
      <alignment wrapText="1"/>
    </xf>
    <xf numFmtId="0" fontId="0" fillId="9" borderId="0" xfId="0" applyFill="1" applyProtection="1"/>
    <xf numFmtId="167" fontId="2" fillId="4" borderId="5" xfId="1" applyNumberFormat="1" applyFont="1" applyFill="1" applyBorder="1" applyProtection="1"/>
    <xf numFmtId="0" fontId="7" fillId="0" borderId="15" xfId="0" applyFont="1" applyFill="1" applyBorder="1" applyProtection="1"/>
    <xf numFmtId="0" fontId="7" fillId="0" borderId="0" xfId="0" applyFont="1" applyFill="1" applyProtection="1"/>
    <xf numFmtId="167" fontId="0" fillId="4" borderId="5" xfId="1" applyNumberFormat="1" applyFont="1" applyFill="1" applyBorder="1" applyAlignment="1" applyProtection="1">
      <alignment vertical="center"/>
    </xf>
    <xf numFmtId="167" fontId="0" fillId="4" borderId="0" xfId="0" applyNumberFormat="1" applyFill="1" applyProtection="1"/>
    <xf numFmtId="167" fontId="0" fillId="4" borderId="27" xfId="0" applyNumberFormat="1" applyFill="1" applyBorder="1" applyProtection="1"/>
    <xf numFmtId="167" fontId="0" fillId="0" borderId="0" xfId="0" applyNumberFormat="1" applyFill="1" applyBorder="1" applyProtection="1"/>
    <xf numFmtId="0" fontId="25" fillId="0" borderId="0" xfId="11" applyProtection="1"/>
    <xf numFmtId="0" fontId="26" fillId="0" borderId="0" xfId="11" applyFont="1" applyProtection="1"/>
    <xf numFmtId="167" fontId="0" fillId="4" borderId="44" xfId="12" applyNumberFormat="1" applyFont="1" applyFill="1" applyBorder="1" applyProtection="1"/>
    <xf numFmtId="0" fontId="25" fillId="0" borderId="0" xfId="11" applyAlignment="1" applyProtection="1">
      <alignment horizontal="center"/>
    </xf>
    <xf numFmtId="0" fontId="26" fillId="0" borderId="0" xfId="11" applyFont="1" applyFill="1" applyBorder="1" applyProtection="1"/>
    <xf numFmtId="0" fontId="25" fillId="0" borderId="0" xfId="11" applyFill="1" applyBorder="1" applyProtection="1"/>
    <xf numFmtId="0" fontId="12" fillId="0" borderId="0" xfId="11" applyFont="1" applyProtection="1"/>
    <xf numFmtId="0" fontId="26" fillId="0" borderId="15" xfId="11" applyFont="1" applyBorder="1" applyProtection="1"/>
    <xf numFmtId="0" fontId="25" fillId="0" borderId="15" xfId="11" applyBorder="1" applyProtection="1"/>
    <xf numFmtId="167" fontId="25" fillId="0" borderId="0" xfId="11" applyNumberFormat="1" applyProtection="1"/>
    <xf numFmtId="0" fontId="25" fillId="8" borderId="5" xfId="11" applyFill="1" applyBorder="1" applyProtection="1"/>
    <xf numFmtId="0" fontId="25" fillId="0" borderId="0" xfId="11" applyFill="1" applyBorder="1" applyAlignment="1" applyProtection="1">
      <alignment horizontal="center"/>
    </xf>
    <xf numFmtId="0" fontId="12" fillId="0" borderId="0" xfId="11" applyFont="1" applyFill="1" applyBorder="1" applyProtection="1"/>
    <xf numFmtId="168" fontId="25" fillId="8" borderId="5" xfId="11" applyNumberFormat="1" applyFill="1" applyBorder="1" applyProtection="1"/>
    <xf numFmtId="167" fontId="25" fillId="0" borderId="0" xfId="11" applyNumberFormat="1" applyFill="1" applyBorder="1" applyProtection="1"/>
    <xf numFmtId="165" fontId="25" fillId="0" borderId="0" xfId="11" applyNumberFormat="1" applyFill="1" applyBorder="1" applyProtection="1"/>
    <xf numFmtId="169" fontId="25" fillId="0" borderId="0" xfId="11" applyNumberFormat="1" applyProtection="1"/>
    <xf numFmtId="169" fontId="25" fillId="0" borderId="0" xfId="11" applyNumberFormat="1" applyFill="1" applyBorder="1" applyProtection="1"/>
    <xf numFmtId="0" fontId="25" fillId="4" borderId="5" xfId="11" applyFill="1" applyBorder="1" applyAlignment="1" applyProtection="1">
      <alignment wrapText="1"/>
    </xf>
    <xf numFmtId="0" fontId="12" fillId="4" borderId="0" xfId="11" applyFont="1" applyFill="1" applyAlignment="1" applyProtection="1">
      <alignment wrapText="1"/>
    </xf>
    <xf numFmtId="167" fontId="25" fillId="4" borderId="5" xfId="11" applyNumberFormat="1" applyFill="1" applyBorder="1" applyProtection="1"/>
    <xf numFmtId="0" fontId="12" fillId="4" borderId="0" xfId="11" applyFont="1" applyFill="1" applyAlignment="1" applyProtection="1">
      <alignment horizontal="center"/>
    </xf>
    <xf numFmtId="0" fontId="12" fillId="4" borderId="5" xfId="11" applyFont="1" applyFill="1" applyBorder="1" applyProtection="1"/>
    <xf numFmtId="168" fontId="12" fillId="4" borderId="5" xfId="20" applyNumberFormat="1" applyFont="1" applyFill="1" applyBorder="1" applyProtection="1"/>
    <xf numFmtId="0" fontId="12" fillId="0" borderId="0" xfId="11" applyFont="1" applyFill="1" applyProtection="1"/>
    <xf numFmtId="168" fontId="12" fillId="0" borderId="0" xfId="20" applyNumberFormat="1" applyFont="1" applyFill="1" applyProtection="1"/>
    <xf numFmtId="0" fontId="25" fillId="0" borderId="0" xfId="11" applyFill="1" applyProtection="1"/>
    <xf numFmtId="169" fontId="25" fillId="0" borderId="0" xfId="11" applyNumberFormat="1" applyFill="1" applyProtection="1"/>
    <xf numFmtId="0" fontId="26" fillId="0" borderId="0" xfId="11" applyFont="1" applyBorder="1" applyProtection="1"/>
    <xf numFmtId="9" fontId="25" fillId="8" borderId="5" xfId="11" applyNumberFormat="1" applyFill="1" applyBorder="1" applyProtection="1"/>
    <xf numFmtId="169" fontId="12" fillId="0" borderId="0" xfId="11" applyNumberFormat="1" applyFont="1" applyFill="1" applyBorder="1" applyProtection="1"/>
    <xf numFmtId="9" fontId="12" fillId="8" borderId="5" xfId="11" applyNumberFormat="1" applyFont="1" applyFill="1" applyBorder="1" applyProtection="1"/>
    <xf numFmtId="9" fontId="25" fillId="4" borderId="5" xfId="11" applyNumberFormat="1" applyFill="1" applyBorder="1" applyProtection="1"/>
    <xf numFmtId="0" fontId="25" fillId="0" borderId="0" xfId="11" applyBorder="1" applyProtection="1"/>
    <xf numFmtId="169" fontId="104" fillId="0" borderId="0" xfId="11" applyNumberFormat="1" applyFont="1" applyFill="1" applyBorder="1" applyProtection="1"/>
    <xf numFmtId="167" fontId="25" fillId="4" borderId="5" xfId="1" applyNumberFormat="1" applyFont="1" applyFill="1" applyBorder="1" applyProtection="1"/>
    <xf numFmtId="0" fontId="40" fillId="0" borderId="0" xfId="11" quotePrefix="1" applyFont="1" applyProtection="1"/>
    <xf numFmtId="0" fontId="12" fillId="0" borderId="0" xfId="11" applyFont="1" applyBorder="1" applyProtection="1"/>
    <xf numFmtId="2" fontId="25" fillId="4" borderId="5" xfId="11" applyNumberFormat="1" applyFill="1" applyBorder="1" applyProtection="1"/>
    <xf numFmtId="0" fontId="12" fillId="0" borderId="0" xfId="11" applyFont="1" applyAlignment="1" applyProtection="1">
      <alignment wrapText="1"/>
    </xf>
    <xf numFmtId="165" fontId="25" fillId="4" borderId="5" xfId="11" applyNumberFormat="1" applyFill="1" applyBorder="1" applyProtection="1"/>
    <xf numFmtId="39" fontId="25" fillId="4" borderId="5" xfId="11" applyNumberFormat="1" applyFill="1" applyBorder="1" applyProtection="1"/>
    <xf numFmtId="0" fontId="108" fillId="0" borderId="0" xfId="11" applyFont="1" applyProtection="1"/>
    <xf numFmtId="0" fontId="108" fillId="0" borderId="0" xfId="11" applyFont="1" applyAlignment="1" applyProtection="1">
      <alignment vertical="center"/>
    </xf>
    <xf numFmtId="165" fontId="25" fillId="0" borderId="0" xfId="11" applyNumberFormat="1" applyProtection="1"/>
    <xf numFmtId="0" fontId="7" fillId="14" borderId="0" xfId="0" applyFont="1" applyFill="1" applyProtection="1"/>
    <xf numFmtId="0" fontId="0" fillId="14" borderId="0" xfId="0" applyFill="1" applyProtection="1"/>
    <xf numFmtId="0" fontId="7" fillId="22" borderId="0" xfId="0" applyFont="1" applyFill="1" applyProtection="1"/>
    <xf numFmtId="0" fontId="0" fillId="22" borderId="0" xfId="0" applyFill="1" applyProtection="1"/>
    <xf numFmtId="0" fontId="22" fillId="0" borderId="0" xfId="0" applyFont="1" applyProtection="1"/>
    <xf numFmtId="9" fontId="0" fillId="8" borderId="5" xfId="0" applyNumberFormat="1" applyFill="1" applyBorder="1" applyProtection="1"/>
    <xf numFmtId="0" fontId="0" fillId="8" borderId="5" xfId="0" applyFill="1" applyBorder="1" applyProtection="1"/>
    <xf numFmtId="0" fontId="7" fillId="0" borderId="37" xfId="0" applyFont="1" applyBorder="1" applyAlignment="1" applyProtection="1">
      <alignment horizontal="left" vertical="center"/>
    </xf>
    <xf numFmtId="0" fontId="7" fillId="0" borderId="37" xfId="0" applyFont="1" applyBorder="1" applyAlignment="1" applyProtection="1">
      <alignment horizontal="center"/>
    </xf>
    <xf numFmtId="0" fontId="22" fillId="0" borderId="0" xfId="0" applyFont="1" applyAlignment="1" applyProtection="1">
      <alignment horizontal="center" vertical="top"/>
    </xf>
    <xf numFmtId="0" fontId="22" fillId="0" borderId="0" xfId="0" applyFont="1" applyFill="1" applyAlignment="1" applyProtection="1">
      <alignment vertical="top"/>
    </xf>
    <xf numFmtId="0" fontId="20" fillId="0" borderId="0" xfId="0" applyFont="1" applyBorder="1" applyProtection="1"/>
    <xf numFmtId="0" fontId="7" fillId="0" borderId="5" xfId="0" applyFont="1" applyBorder="1" applyAlignment="1" applyProtection="1">
      <alignment horizontal="center"/>
    </xf>
    <xf numFmtId="0" fontId="7" fillId="0" borderId="5" xfId="0" applyFont="1" applyFill="1" applyBorder="1" applyAlignment="1" applyProtection="1">
      <alignment horizontal="center"/>
    </xf>
    <xf numFmtId="1" fontId="0" fillId="4" borderId="5" xfId="8" applyNumberFormat="1" applyFont="1" applyFill="1" applyBorder="1" applyAlignment="1" applyProtection="1">
      <alignment horizontal="center" vertical="center"/>
    </xf>
    <xf numFmtId="0" fontId="58" fillId="0" borderId="0" xfId="0" applyFont="1" applyFill="1" applyAlignment="1" applyProtection="1">
      <alignment horizontal="left" indent="1"/>
    </xf>
    <xf numFmtId="1" fontId="0" fillId="8" borderId="5" xfId="0" applyNumberFormat="1" applyFill="1" applyBorder="1" applyProtection="1"/>
    <xf numFmtId="0" fontId="69" fillId="5" borderId="0" xfId="0" applyFont="1" applyFill="1" applyProtection="1"/>
    <xf numFmtId="0" fontId="0" fillId="0" borderId="5" xfId="0" applyFont="1" applyFill="1" applyBorder="1" applyAlignment="1" applyProtection="1">
      <alignment vertical="center"/>
    </xf>
    <xf numFmtId="0" fontId="69" fillId="5" borderId="0" xfId="13" applyFont="1" applyFill="1" applyProtection="1"/>
    <xf numFmtId="0" fontId="7" fillId="0" borderId="0" xfId="0" applyFont="1" applyFill="1" applyBorder="1" applyAlignment="1" applyProtection="1">
      <alignment vertical="center"/>
    </xf>
    <xf numFmtId="0" fontId="66" fillId="0" borderId="0" xfId="0" applyFont="1" applyFill="1" applyProtection="1"/>
    <xf numFmtId="0" fontId="71" fillId="0" borderId="0" xfId="0" applyFont="1" applyFill="1" applyProtection="1"/>
    <xf numFmtId="0" fontId="37" fillId="0" borderId="0" xfId="0" applyFont="1" applyFill="1" applyProtection="1"/>
    <xf numFmtId="0" fontId="72" fillId="0" borderId="0" xfId="0" applyFont="1" applyFill="1" applyProtection="1"/>
    <xf numFmtId="0" fontId="0" fillId="0" borderId="5" xfId="0" applyBorder="1" applyProtection="1"/>
    <xf numFmtId="0" fontId="70" fillId="5" borderId="0" xfId="0" applyFont="1" applyFill="1" applyProtection="1"/>
    <xf numFmtId="0" fontId="16" fillId="5" borderId="0" xfId="0" applyFont="1" applyFill="1" applyBorder="1" applyProtection="1"/>
    <xf numFmtId="0" fontId="70" fillId="5" borderId="0" xfId="0" applyFont="1" applyFill="1" applyAlignment="1" applyProtection="1">
      <alignment horizontal="center" vertical="center"/>
    </xf>
    <xf numFmtId="0" fontId="0" fillId="5" borderId="0" xfId="0" applyFont="1" applyFill="1" applyProtection="1"/>
    <xf numFmtId="0" fontId="0" fillId="0" borderId="0" xfId="0" applyAlignment="1" applyProtection="1">
      <alignment horizontal="center"/>
    </xf>
    <xf numFmtId="0" fontId="0" fillId="5" borderId="0" xfId="0" applyFont="1" applyFill="1" applyAlignment="1" applyProtection="1">
      <alignment horizontal="left"/>
    </xf>
    <xf numFmtId="0" fontId="0" fillId="0" borderId="0" xfId="0" applyFont="1" applyBorder="1" applyAlignment="1" applyProtection="1">
      <alignment vertical="center"/>
    </xf>
    <xf numFmtId="0" fontId="68" fillId="5" borderId="0" xfId="0" applyFont="1" applyFill="1" applyAlignment="1" applyProtection="1">
      <alignment horizontal="center" vertical="center"/>
    </xf>
    <xf numFmtId="0" fontId="0" fillId="5" borderId="0" xfId="0" applyFont="1" applyFill="1" applyAlignment="1" applyProtection="1">
      <alignment horizontal="center" vertical="center"/>
    </xf>
    <xf numFmtId="1" fontId="68" fillId="5" borderId="0" xfId="0" applyNumberFormat="1" applyFont="1" applyFill="1" applyAlignment="1" applyProtection="1">
      <alignment horizontal="center" vertical="center"/>
    </xf>
    <xf numFmtId="1" fontId="0" fillId="5" borderId="0" xfId="0" applyNumberFormat="1" applyFont="1" applyFill="1" applyAlignment="1" applyProtection="1">
      <alignment horizontal="center" vertical="center"/>
    </xf>
    <xf numFmtId="0" fontId="13" fillId="5" borderId="0" xfId="0" applyFont="1" applyFill="1" applyProtection="1"/>
    <xf numFmtId="0" fontId="68" fillId="5" borderId="0" xfId="0" applyFont="1" applyFill="1" applyAlignment="1" applyProtection="1">
      <alignment horizontal="left"/>
    </xf>
    <xf numFmtId="0" fontId="68" fillId="5" borderId="0" xfId="0" applyFont="1" applyFill="1" applyBorder="1" applyAlignment="1" applyProtection="1">
      <alignment horizontal="left"/>
    </xf>
    <xf numFmtId="0" fontId="0" fillId="0" borderId="5" xfId="0" applyBorder="1" applyAlignment="1" applyProtection="1">
      <alignment wrapText="1"/>
    </xf>
    <xf numFmtId="0" fontId="0" fillId="0" borderId="16" xfId="0" applyBorder="1" applyAlignment="1" applyProtection="1">
      <alignment wrapText="1"/>
    </xf>
    <xf numFmtId="0" fontId="7" fillId="0" borderId="0" xfId="0" applyFont="1" applyAlignment="1" applyProtection="1">
      <alignment horizontal="center"/>
    </xf>
    <xf numFmtId="0" fontId="7" fillId="0" borderId="0" xfId="0" applyFont="1" applyAlignment="1" applyProtection="1">
      <alignment wrapText="1"/>
    </xf>
    <xf numFmtId="1" fontId="0" fillId="4" borderId="5" xfId="0" applyNumberFormat="1" applyFill="1" applyBorder="1" applyAlignment="1" applyProtection="1">
      <alignment horizontal="center"/>
    </xf>
    <xf numFmtId="0" fontId="0" fillId="0" borderId="0" xfId="0" applyAlignment="1" applyProtection="1">
      <alignment vertical="top"/>
    </xf>
    <xf numFmtId="0" fontId="68" fillId="5" borderId="0" xfId="0" applyFont="1" applyFill="1" applyAlignment="1" applyProtection="1">
      <alignment horizontal="left" wrapText="1"/>
    </xf>
    <xf numFmtId="0" fontId="0" fillId="0" borderId="53" xfId="0" applyFill="1" applyBorder="1" applyAlignment="1">
      <alignment horizontal="left"/>
    </xf>
    <xf numFmtId="3" fontId="0" fillId="0" borderId="64" xfId="1" applyNumberFormat="1" applyFont="1" applyBorder="1"/>
    <xf numFmtId="0" fontId="0" fillId="0" borderId="64" xfId="0" applyBorder="1"/>
    <xf numFmtId="0" fontId="14" fillId="0" borderId="0" xfId="0" applyFont="1" applyFill="1" applyBorder="1" applyAlignment="1" applyProtection="1">
      <alignment horizontal="center" vertical="center"/>
    </xf>
    <xf numFmtId="0" fontId="118" fillId="0" borderId="0" xfId="0" applyFont="1" applyProtection="1"/>
    <xf numFmtId="0" fontId="118" fillId="0" borderId="0" xfId="0" applyFont="1" applyFill="1" applyProtection="1"/>
    <xf numFmtId="167" fontId="118" fillId="0" borderId="0" xfId="1" applyNumberFormat="1" applyFont="1" applyAlignment="1" applyProtection="1">
      <alignment horizontal="left"/>
    </xf>
    <xf numFmtId="2" fontId="4" fillId="0" borderId="19" xfId="0" applyNumberFormat="1" applyFont="1" applyBorder="1" applyAlignment="1">
      <alignment horizontal="center" wrapText="1"/>
    </xf>
    <xf numFmtId="0" fontId="14" fillId="0" borderId="13" xfId="0" applyFont="1" applyFill="1" applyBorder="1" applyAlignment="1" applyProtection="1"/>
    <xf numFmtId="0" fontId="7" fillId="0" borderId="0" xfId="0" applyFont="1" applyAlignment="1" applyProtection="1"/>
    <xf numFmtId="0" fontId="6" fillId="12" borderId="77" xfId="0" applyFont="1" applyFill="1" applyBorder="1" applyAlignment="1" applyProtection="1">
      <alignment horizontal="center"/>
    </xf>
    <xf numFmtId="0" fontId="6" fillId="12" borderId="19" xfId="0" applyFont="1" applyFill="1" applyBorder="1" applyAlignment="1" applyProtection="1">
      <alignment wrapText="1"/>
    </xf>
    <xf numFmtId="0" fontId="6" fillId="12" borderId="20" xfId="0" applyFont="1" applyFill="1" applyBorder="1" applyAlignment="1" applyProtection="1">
      <alignment wrapText="1"/>
    </xf>
    <xf numFmtId="167" fontId="2" fillId="4" borderId="23" xfId="1" applyNumberFormat="1" applyFont="1" applyFill="1" applyBorder="1" applyProtection="1"/>
    <xf numFmtId="167" fontId="2" fillId="4" borderId="30" xfId="1" applyNumberFormat="1" applyFont="1" applyFill="1" applyBorder="1" applyProtection="1"/>
    <xf numFmtId="167" fontId="2" fillId="4" borderId="28" xfId="1" applyNumberFormat="1" applyFont="1" applyFill="1" applyBorder="1" applyProtection="1"/>
    <xf numFmtId="172" fontId="7" fillId="4" borderId="39" xfId="21" applyNumberFormat="1" applyFont="1" applyFill="1" applyBorder="1" applyAlignment="1" applyProtection="1">
      <alignment horizontal="center" vertical="center"/>
    </xf>
    <xf numFmtId="37" fontId="7" fillId="4" borderId="39" xfId="1" applyNumberFormat="1" applyFont="1" applyFill="1" applyBorder="1" applyAlignment="1" applyProtection="1">
      <alignment horizontal="center" vertical="center"/>
    </xf>
    <xf numFmtId="3" fontId="7" fillId="4" borderId="39" xfId="1" applyNumberFormat="1" applyFont="1" applyFill="1" applyBorder="1" applyAlignment="1" applyProtection="1">
      <alignment horizontal="center" vertical="center"/>
    </xf>
    <xf numFmtId="0" fontId="0" fillId="0" borderId="74" xfId="0" applyBorder="1" applyProtection="1"/>
    <xf numFmtId="0" fontId="7" fillId="21" borderId="0" xfId="0" applyFont="1" applyFill="1" applyAlignment="1">
      <alignment horizontal="center"/>
    </xf>
    <xf numFmtId="0" fontId="13" fillId="0" borderId="0" xfId="0" applyFont="1" applyAlignment="1">
      <alignment horizontal="left" vertical="center" indent="1"/>
    </xf>
    <xf numFmtId="167" fontId="13" fillId="0" borderId="0" xfId="0" applyNumberFormat="1" applyFont="1" applyFill="1"/>
    <xf numFmtId="167" fontId="0" fillId="0" borderId="0" xfId="1" applyNumberFormat="1" applyFont="1" applyFill="1" applyAlignment="1"/>
    <xf numFmtId="167" fontId="2" fillId="4" borderId="0" xfId="1" applyNumberFormat="1" applyFont="1" applyFill="1" applyBorder="1"/>
    <xf numFmtId="0" fontId="0" fillId="0" borderId="0" xfId="0" quotePrefix="1" applyFont="1" applyFill="1" applyAlignment="1">
      <alignment wrapText="1"/>
    </xf>
    <xf numFmtId="0" fontId="0" fillId="0" borderId="0" xfId="0" applyFont="1" applyFill="1" applyBorder="1"/>
    <xf numFmtId="0" fontId="0" fillId="0" borderId="0" xfId="0" applyFont="1" applyFill="1" applyAlignment="1">
      <alignment wrapText="1"/>
    </xf>
    <xf numFmtId="167" fontId="0" fillId="0" borderId="0" xfId="0" applyNumberFormat="1" applyFont="1"/>
    <xf numFmtId="167" fontId="2" fillId="4" borderId="0" xfId="1" applyNumberFormat="1"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0" fillId="0" borderId="0" xfId="0" applyFont="1" applyFill="1" applyBorder="1" applyAlignment="1">
      <alignment horizontal="left" vertical="center" wrapText="1"/>
    </xf>
    <xf numFmtId="167" fontId="39" fillId="4" borderId="0" xfId="1" applyNumberFormat="1" applyFont="1" applyFill="1" applyAlignment="1"/>
    <xf numFmtId="0" fontId="58" fillId="0" borderId="0" xfId="0" applyFont="1" applyFill="1"/>
    <xf numFmtId="0" fontId="119" fillId="0" borderId="0" xfId="0" applyFont="1"/>
    <xf numFmtId="0" fontId="83" fillId="0" borderId="73" xfId="0" applyFont="1" applyBorder="1"/>
    <xf numFmtId="0" fontId="82" fillId="0" borderId="63" xfId="0" applyFont="1" applyBorder="1" applyAlignment="1">
      <alignment horizontal="center"/>
    </xf>
    <xf numFmtId="0" fontId="83" fillId="0" borderId="97" xfId="0" applyFont="1" applyBorder="1" applyAlignment="1">
      <alignment horizontal="center"/>
    </xf>
    <xf numFmtId="2" fontId="82" fillId="11" borderId="107" xfId="0" applyNumberFormat="1" applyFont="1" applyFill="1" applyBorder="1" applyAlignment="1">
      <alignment horizontal="center"/>
    </xf>
    <xf numFmtId="2" fontId="82" fillId="11" borderId="108" xfId="0" applyNumberFormat="1" applyFont="1" applyFill="1" applyBorder="1" applyAlignment="1">
      <alignment horizontal="center"/>
    </xf>
    <xf numFmtId="2" fontId="82" fillId="11" borderId="109" xfId="0" applyNumberFormat="1" applyFont="1" applyFill="1" applyBorder="1" applyAlignment="1">
      <alignment horizontal="center"/>
    </xf>
    <xf numFmtId="2" fontId="82" fillId="11" borderId="77" xfId="0" applyNumberFormat="1" applyFont="1" applyFill="1" applyBorder="1" applyAlignment="1">
      <alignment horizontal="center"/>
    </xf>
    <xf numFmtId="2" fontId="82" fillId="11" borderId="85" xfId="0" applyNumberFormat="1" applyFont="1" applyFill="1" applyBorder="1" applyAlignment="1">
      <alignment horizontal="center"/>
    </xf>
    <xf numFmtId="2" fontId="82" fillId="11" borderId="84" xfId="0" applyNumberFormat="1" applyFont="1" applyFill="1" applyBorder="1" applyAlignment="1">
      <alignment horizontal="center"/>
    </xf>
    <xf numFmtId="2" fontId="82" fillId="11" borderId="0" xfId="0" applyNumberFormat="1" applyFont="1" applyFill="1" applyBorder="1" applyAlignment="1">
      <alignment horizontal="center"/>
    </xf>
    <xf numFmtId="0" fontId="83" fillId="0" borderId="110" xfId="0" applyFont="1" applyBorder="1" applyAlignment="1" applyProtection="1">
      <alignment vertical="top"/>
      <protection locked="0"/>
    </xf>
    <xf numFmtId="0" fontId="82" fillId="0" borderId="111" xfId="0" applyFont="1" applyBorder="1" applyAlignment="1" applyProtection="1">
      <alignment horizontal="center" vertical="top" wrapText="1"/>
      <protection locked="0"/>
    </xf>
    <xf numFmtId="0" fontId="83" fillId="0" borderId="88" xfId="0" applyFont="1" applyBorder="1" applyAlignment="1" applyProtection="1">
      <alignment horizontal="center" vertical="top" wrapText="1"/>
      <protection locked="0"/>
    </xf>
    <xf numFmtId="2" fontId="82" fillId="11" borderId="87" xfId="0" applyNumberFormat="1" applyFont="1" applyFill="1" applyBorder="1" applyAlignment="1">
      <alignment horizontal="center"/>
    </xf>
    <xf numFmtId="2" fontId="82" fillId="11" borderId="88" xfId="0" applyNumberFormat="1" applyFont="1" applyFill="1" applyBorder="1" applyAlignment="1">
      <alignment horizontal="center"/>
    </xf>
    <xf numFmtId="2" fontId="82" fillId="11" borderId="112" xfId="0" applyNumberFormat="1" applyFont="1" applyFill="1" applyBorder="1" applyAlignment="1">
      <alignment horizontal="center"/>
    </xf>
    <xf numFmtId="0" fontId="82" fillId="0" borderId="111" xfId="0" applyFont="1" applyBorder="1" applyAlignment="1" applyProtection="1">
      <alignment horizontal="center"/>
      <protection locked="0"/>
    </xf>
    <xf numFmtId="0" fontId="83" fillId="0" borderId="88" xfId="0" applyFont="1" applyBorder="1" applyAlignment="1" applyProtection="1">
      <alignment horizontal="center"/>
      <protection locked="0"/>
    </xf>
    <xf numFmtId="0" fontId="82" fillId="0" borderId="111" xfId="0" applyFont="1" applyBorder="1" applyAlignment="1" applyProtection="1">
      <alignment horizontal="center" vertical="top"/>
      <protection locked="0"/>
    </xf>
    <xf numFmtId="0" fontId="83" fillId="0" borderId="88" xfId="0" applyFont="1" applyBorder="1" applyAlignment="1" applyProtection="1">
      <alignment horizontal="center" vertical="top"/>
      <protection locked="0"/>
    </xf>
    <xf numFmtId="2" fontId="82" fillId="11" borderId="96" xfId="0" applyNumberFormat="1" applyFont="1" applyFill="1" applyBorder="1" applyAlignment="1">
      <alignment horizontal="center"/>
    </xf>
    <xf numFmtId="2" fontId="82" fillId="11" borderId="95" xfId="0" applyNumberFormat="1" applyFont="1" applyFill="1" applyBorder="1" applyAlignment="1">
      <alignment horizontal="center"/>
    </xf>
    <xf numFmtId="2" fontId="82" fillId="11" borderId="113" xfId="0" applyNumberFormat="1" applyFont="1" applyFill="1" applyBorder="1" applyAlignment="1">
      <alignment horizontal="center"/>
    </xf>
    <xf numFmtId="2" fontId="82" fillId="11" borderId="87" xfId="0" applyNumberFormat="1" applyFont="1" applyFill="1" applyBorder="1" applyAlignment="1">
      <alignment horizontal="center" vertical="top" wrapText="1"/>
    </xf>
    <xf numFmtId="2" fontId="82" fillId="11" borderId="85" xfId="0" applyNumberFormat="1" applyFont="1" applyFill="1" applyBorder="1" applyAlignment="1">
      <alignment horizontal="center" vertical="top" wrapText="1"/>
    </xf>
    <xf numFmtId="2" fontId="82" fillId="11" borderId="88" xfId="0" applyNumberFormat="1" applyFont="1" applyFill="1" applyBorder="1" applyAlignment="1">
      <alignment horizontal="center" vertical="top" wrapText="1"/>
    </xf>
    <xf numFmtId="2" fontId="82" fillId="11" borderId="94" xfId="0" applyNumberFormat="1" applyFont="1" applyFill="1" applyBorder="1" applyAlignment="1">
      <alignment horizontal="center"/>
    </xf>
    <xf numFmtId="0" fontId="83" fillId="0" borderId="93" xfId="0" applyFont="1" applyBorder="1" applyAlignment="1" applyProtection="1">
      <alignment horizontal="center" vertical="top"/>
      <protection locked="0"/>
    </xf>
    <xf numFmtId="2" fontId="82" fillId="11" borderId="92" xfId="0" applyNumberFormat="1" applyFont="1" applyFill="1" applyBorder="1" applyAlignment="1">
      <alignment horizontal="center"/>
    </xf>
    <xf numFmtId="2" fontId="82" fillId="11" borderId="91" xfId="0" applyNumberFormat="1" applyFont="1" applyFill="1" applyBorder="1" applyAlignment="1">
      <alignment horizontal="center"/>
    </xf>
    <xf numFmtId="2" fontId="82" fillId="11" borderId="84" xfId="0" applyNumberFormat="1" applyFont="1" applyFill="1" applyBorder="1" applyAlignment="1">
      <alignment horizontal="center" vertical="top" wrapText="1"/>
    </xf>
    <xf numFmtId="0" fontId="83" fillId="0" borderId="114" xfId="0" applyFont="1" applyBorder="1" applyAlignment="1" applyProtection="1">
      <alignment vertical="top" wrapText="1"/>
      <protection locked="0"/>
    </xf>
    <xf numFmtId="0" fontId="13" fillId="0" borderId="0" xfId="0" applyFont="1" applyFill="1" applyAlignment="1">
      <alignment horizontal="left" indent="1"/>
    </xf>
    <xf numFmtId="173" fontId="0" fillId="0" borderId="0" xfId="8" applyNumberFormat="1" applyFont="1"/>
    <xf numFmtId="180" fontId="0" fillId="0" borderId="0" xfId="0" applyNumberFormat="1"/>
    <xf numFmtId="0" fontId="16" fillId="0" borderId="2" xfId="18" applyNumberFormat="1" applyFont="1" applyFill="1" applyBorder="1" applyAlignment="1" applyProtection="1">
      <alignment vertical="top" wrapText="1"/>
    </xf>
    <xf numFmtId="0" fontId="46" fillId="9" borderId="2" xfId="16" applyFont="1" applyFill="1" applyBorder="1" applyAlignment="1">
      <alignment wrapText="1"/>
    </xf>
    <xf numFmtId="0" fontId="46" fillId="9" borderId="2" xfId="16" applyFont="1" applyFill="1" applyBorder="1" applyAlignment="1"/>
    <xf numFmtId="168" fontId="0" fillId="0" borderId="0" xfId="0" applyNumberFormat="1" applyFill="1"/>
    <xf numFmtId="165" fontId="0" fillId="0" borderId="0" xfId="1" applyFont="1" applyFill="1"/>
    <xf numFmtId="0" fontId="7" fillId="9" borderId="5" xfId="0" applyFont="1" applyFill="1" applyBorder="1"/>
    <xf numFmtId="0" fontId="7" fillId="9" borderId="5" xfId="0" applyFont="1" applyFill="1" applyBorder="1" applyAlignment="1">
      <alignment wrapText="1"/>
    </xf>
    <xf numFmtId="181" fontId="47" fillId="4" borderId="5" xfId="1" applyNumberFormat="1" applyFont="1" applyFill="1" applyBorder="1" applyAlignment="1">
      <alignment vertical="top"/>
    </xf>
    <xf numFmtId="181" fontId="47" fillId="4" borderId="5" xfId="16" applyNumberFormat="1" applyFont="1" applyFill="1" applyBorder="1">
      <alignment vertical="top"/>
    </xf>
    <xf numFmtId="0" fontId="0" fillId="7" borderId="5" xfId="0" applyFill="1" applyBorder="1" applyAlignment="1">
      <alignment vertical="center" wrapText="1"/>
    </xf>
    <xf numFmtId="9" fontId="67" fillId="4" borderId="5" xfId="8" applyFont="1" applyFill="1" applyBorder="1" applyAlignment="1">
      <alignment horizontal="center"/>
    </xf>
    <xf numFmtId="9" fontId="0" fillId="4" borderId="5" xfId="8" applyFont="1" applyFill="1" applyBorder="1" applyAlignment="1" applyProtection="1">
      <alignment horizontal="center"/>
    </xf>
    <xf numFmtId="9" fontId="14" fillId="0" borderId="0" xfId="8" applyFont="1" applyFill="1" applyBorder="1" applyAlignment="1" applyProtection="1">
      <alignment horizontal="center" vertical="center" wrapText="1"/>
    </xf>
    <xf numFmtId="0" fontId="0" fillId="0" borderId="0" xfId="0" applyBorder="1" applyAlignment="1">
      <alignment horizontal="left" vertical="center" wrapText="1"/>
    </xf>
    <xf numFmtId="9" fontId="0" fillId="27" borderId="5" xfId="0" applyNumberFormat="1" applyFill="1" applyBorder="1" applyAlignment="1" applyProtection="1">
      <alignment horizontal="center" vertical="center"/>
      <protection locked="0"/>
    </xf>
    <xf numFmtId="0" fontId="0" fillId="27" borderId="5" xfId="0" applyFill="1" applyBorder="1" applyAlignment="1" applyProtection="1">
      <alignment horizontal="center" vertical="center"/>
      <protection locked="0"/>
    </xf>
    <xf numFmtId="2" fontId="25" fillId="0" borderId="0" xfId="11" applyNumberFormat="1"/>
    <xf numFmtId="0" fontId="0" fillId="4" borderId="19" xfId="0" applyFill="1" applyBorder="1" applyAlignment="1">
      <alignment vertical="top" wrapText="1"/>
    </xf>
    <xf numFmtId="0" fontId="0" fillId="0" borderId="0" xfId="10" applyFont="1" applyBorder="1" applyAlignment="1">
      <alignment vertical="top" wrapText="1"/>
    </xf>
    <xf numFmtId="0" fontId="0" fillId="0" borderId="0" xfId="0" applyAlignment="1">
      <alignment horizontal="right" vertical="center"/>
    </xf>
    <xf numFmtId="167" fontId="0" fillId="0" borderId="0" xfId="0" applyNumberFormat="1" applyAlignment="1">
      <alignment horizontal="right" vertical="center"/>
    </xf>
    <xf numFmtId="167" fontId="3" fillId="0" borderId="0" xfId="1" applyNumberFormat="1" applyFont="1"/>
    <xf numFmtId="0" fontId="7" fillId="0" borderId="0" xfId="0" applyFont="1" applyAlignment="1">
      <alignment horizontal="center" wrapText="1"/>
    </xf>
    <xf numFmtId="0" fontId="0" fillId="0" borderId="65" xfId="0" applyBorder="1"/>
    <xf numFmtId="0" fontId="0" fillId="0" borderId="56" xfId="0" applyBorder="1"/>
    <xf numFmtId="1" fontId="58" fillId="0" borderId="0" xfId="0" applyNumberFormat="1" applyFont="1" applyFill="1" applyBorder="1" applyAlignment="1" applyProtection="1">
      <alignment horizontal="center" vertical="center" wrapText="1"/>
    </xf>
    <xf numFmtId="1" fontId="0" fillId="0" borderId="0" xfId="0" applyNumberFormat="1" applyAlignment="1">
      <alignment horizontal="left" wrapText="1"/>
    </xf>
    <xf numFmtId="0" fontId="7" fillId="0" borderId="0" xfId="0" applyFont="1" applyAlignment="1">
      <alignment horizontal="center"/>
    </xf>
    <xf numFmtId="0" fontId="7" fillId="0" borderId="15" xfId="0" applyFont="1" applyBorder="1" applyAlignment="1">
      <alignment horizontal="center"/>
    </xf>
    <xf numFmtId="167" fontId="0" fillId="14" borderId="23" xfId="21" applyNumberFormat="1" applyFont="1" applyFill="1" applyBorder="1"/>
    <xf numFmtId="167" fontId="0" fillId="14" borderId="20" xfId="21" applyNumberFormat="1" applyFont="1" applyFill="1" applyBorder="1" applyAlignment="1">
      <alignment vertical="center"/>
    </xf>
    <xf numFmtId="167" fontId="0" fillId="14" borderId="28" xfId="21" applyNumberFormat="1" applyFont="1" applyFill="1" applyBorder="1" applyAlignment="1">
      <alignment vertical="center"/>
    </xf>
    <xf numFmtId="181" fontId="2" fillId="4" borderId="0" xfId="1" applyNumberFormat="1" applyFont="1" applyFill="1"/>
    <xf numFmtId="167" fontId="0" fillId="4" borderId="18" xfId="1" applyNumberFormat="1" applyFont="1" applyFill="1" applyBorder="1" applyAlignment="1">
      <alignment horizontal="center" vertical="center"/>
    </xf>
    <xf numFmtId="167" fontId="0" fillId="4" borderId="32" xfId="1" applyNumberFormat="1" applyFont="1" applyFill="1" applyBorder="1" applyAlignment="1">
      <alignment horizontal="center" vertical="center"/>
    </xf>
    <xf numFmtId="167" fontId="0" fillId="4" borderId="29" xfId="1" applyNumberFormat="1" applyFont="1" applyFill="1" applyBorder="1" applyAlignment="1">
      <alignment horizontal="center" vertical="center"/>
    </xf>
    <xf numFmtId="167" fontId="2" fillId="4" borderId="18" xfId="1" applyNumberFormat="1" applyFont="1" applyFill="1" applyBorder="1" applyAlignment="1">
      <alignment horizontal="right" vertical="center"/>
    </xf>
    <xf numFmtId="167" fontId="2" fillId="4" borderId="32" xfId="1" applyNumberFormat="1" applyFont="1" applyFill="1" applyBorder="1" applyAlignment="1">
      <alignment horizontal="right" vertical="center"/>
    </xf>
    <xf numFmtId="167" fontId="2" fillId="4" borderId="29" xfId="1" applyNumberFormat="1" applyFont="1" applyFill="1" applyBorder="1" applyAlignment="1">
      <alignment horizontal="right" vertical="center"/>
    </xf>
    <xf numFmtId="0" fontId="0" fillId="7" borderId="19" xfId="0" applyFill="1" applyBorder="1" applyProtection="1"/>
    <xf numFmtId="0" fontId="0" fillId="27" borderId="32" xfId="0" applyFont="1" applyFill="1" applyBorder="1" applyAlignment="1" applyProtection="1">
      <alignment horizontal="center"/>
      <protection locked="0"/>
    </xf>
    <xf numFmtId="0" fontId="15" fillId="0" borderId="0" xfId="0" applyFont="1"/>
    <xf numFmtId="167" fontId="2" fillId="4" borderId="77" xfId="1" applyNumberFormat="1" applyFont="1" applyFill="1" applyBorder="1" applyAlignment="1">
      <alignment horizontal="right" vertical="center"/>
    </xf>
    <xf numFmtId="10" fontId="4" fillId="8" borderId="5" xfId="1" applyNumberFormat="1" applyFont="1" applyFill="1" applyBorder="1" applyAlignment="1" applyProtection="1">
      <alignment horizontal="center" vertical="center" wrapText="1"/>
      <protection locked="0"/>
    </xf>
    <xf numFmtId="10" fontId="4" fillId="4" borderId="5" xfId="0" applyNumberFormat="1" applyFont="1" applyFill="1" applyBorder="1" applyAlignment="1">
      <alignment horizontal="center" vertical="center"/>
    </xf>
    <xf numFmtId="0" fontId="73" fillId="0" borderId="0" xfId="0" applyFont="1" applyBorder="1" applyAlignment="1" applyProtection="1">
      <alignment vertical="top" wrapText="1"/>
    </xf>
    <xf numFmtId="15" fontId="0" fillId="0" borderId="0" xfId="0" applyNumberFormat="1"/>
    <xf numFmtId="182" fontId="0" fillId="8" borderId="28" xfId="0" applyNumberFormat="1" applyFont="1" applyFill="1" applyBorder="1" applyAlignment="1" applyProtection="1">
      <alignment horizontal="center" vertical="center"/>
      <protection locked="0"/>
    </xf>
    <xf numFmtId="0" fontId="7" fillId="0" borderId="15" xfId="0" applyFont="1" applyFill="1" applyBorder="1" applyAlignment="1">
      <alignment horizontal="center"/>
    </xf>
    <xf numFmtId="1" fontId="0" fillId="4" borderId="18" xfId="1" applyNumberFormat="1" applyFont="1" applyFill="1" applyBorder="1" applyAlignment="1">
      <alignment horizontal="center" vertical="center"/>
    </xf>
    <xf numFmtId="1" fontId="0" fillId="4" borderId="32" xfId="1" applyNumberFormat="1" applyFont="1" applyFill="1" applyBorder="1" applyAlignment="1">
      <alignment horizontal="center" vertical="center"/>
    </xf>
    <xf numFmtId="1" fontId="0" fillId="4" borderId="29" xfId="1" applyNumberFormat="1" applyFont="1" applyFill="1" applyBorder="1" applyAlignment="1">
      <alignment horizontal="center" vertical="center"/>
    </xf>
    <xf numFmtId="0" fontId="0" fillId="4" borderId="60" xfId="0" applyFill="1" applyBorder="1" applyAlignment="1">
      <alignment vertical="top"/>
    </xf>
    <xf numFmtId="0" fontId="0" fillId="4" borderId="2" xfId="0" applyFill="1" applyBorder="1" applyAlignment="1">
      <alignment vertical="top"/>
    </xf>
    <xf numFmtId="0" fontId="6" fillId="39" borderId="44" xfId="0" applyFont="1" applyFill="1" applyBorder="1" applyAlignment="1">
      <alignment horizontal="center" wrapText="1"/>
    </xf>
    <xf numFmtId="0" fontId="0" fillId="0" borderId="0" xfId="0" applyAlignment="1">
      <alignment horizontal="right"/>
    </xf>
    <xf numFmtId="181" fontId="0" fillId="0" borderId="0" xfId="0" applyNumberFormat="1"/>
    <xf numFmtId="3" fontId="0" fillId="4" borderId="50" xfId="0" applyNumberFormat="1" applyFill="1" applyBorder="1" applyAlignment="1">
      <alignment vertical="center"/>
    </xf>
    <xf numFmtId="3" fontId="0" fillId="4" borderId="23" xfId="0" applyNumberFormat="1" applyFill="1" applyBorder="1" applyAlignment="1">
      <alignment vertical="center"/>
    </xf>
    <xf numFmtId="3" fontId="0" fillId="4" borderId="28" xfId="0" applyNumberFormat="1" applyFill="1" applyBorder="1" applyAlignment="1">
      <alignment vertical="center"/>
    </xf>
    <xf numFmtId="3" fontId="0" fillId="4" borderId="20" xfId="0" applyNumberFormat="1" applyFill="1" applyBorder="1" applyAlignment="1">
      <alignment vertical="center"/>
    </xf>
    <xf numFmtId="3" fontId="0" fillId="4" borderId="20" xfId="0" applyNumberFormat="1" applyFill="1" applyBorder="1" applyAlignment="1">
      <alignment vertical="center" wrapText="1"/>
    </xf>
    <xf numFmtId="3" fontId="0" fillId="4" borderId="23" xfId="0" applyNumberFormat="1" applyFill="1" applyBorder="1" applyAlignment="1">
      <alignment vertical="center" wrapText="1"/>
    </xf>
    <xf numFmtId="0" fontId="0" fillId="4" borderId="23" xfId="0" applyFill="1" applyBorder="1" applyAlignment="1">
      <alignment horizontal="right" vertical="center" wrapText="1"/>
    </xf>
    <xf numFmtId="0" fontId="0" fillId="4" borderId="28" xfId="0" applyFill="1" applyBorder="1" applyAlignment="1">
      <alignment horizontal="right" vertical="center" wrapText="1"/>
    </xf>
    <xf numFmtId="3" fontId="0" fillId="4" borderId="28" xfId="0" applyNumberFormat="1" applyFill="1" applyBorder="1" applyAlignment="1">
      <alignment horizontal="right" vertical="center" wrapText="1"/>
    </xf>
    <xf numFmtId="3" fontId="0" fillId="4" borderId="28" xfId="0" applyNumberFormat="1" applyFill="1" applyBorder="1" applyAlignment="1">
      <alignment vertical="center" wrapText="1"/>
    </xf>
    <xf numFmtId="183" fontId="0" fillId="4" borderId="5" xfId="1" applyNumberFormat="1" applyFont="1" applyFill="1" applyBorder="1" applyAlignment="1">
      <alignment horizontal="right" vertical="center"/>
    </xf>
    <xf numFmtId="183" fontId="0" fillId="4" borderId="19" xfId="1" applyNumberFormat="1" applyFont="1" applyFill="1" applyBorder="1" applyAlignment="1">
      <alignment horizontal="right" vertical="center"/>
    </xf>
    <xf numFmtId="183" fontId="0" fillId="4" borderId="20" xfId="1" applyNumberFormat="1" applyFont="1" applyFill="1" applyBorder="1" applyAlignment="1">
      <alignment horizontal="right" vertical="center"/>
    </xf>
    <xf numFmtId="183" fontId="0" fillId="4" borderId="23" xfId="1" applyNumberFormat="1" applyFont="1" applyFill="1" applyBorder="1" applyAlignment="1">
      <alignment horizontal="right" vertical="center"/>
    </xf>
    <xf numFmtId="183" fontId="0" fillId="4" borderId="24" xfId="1" applyNumberFormat="1" applyFont="1" applyFill="1" applyBorder="1" applyAlignment="1">
      <alignment horizontal="right" vertical="center"/>
    </xf>
    <xf numFmtId="183" fontId="0" fillId="4" borderId="28" xfId="1" applyNumberFormat="1" applyFont="1" applyFill="1" applyBorder="1" applyAlignment="1">
      <alignment horizontal="right" vertical="center"/>
    </xf>
    <xf numFmtId="183" fontId="2" fillId="4" borderId="19" xfId="1" applyNumberFormat="1" applyFont="1" applyFill="1" applyBorder="1" applyAlignment="1">
      <alignment horizontal="right" vertical="center"/>
    </xf>
    <xf numFmtId="183" fontId="2" fillId="4" borderId="5" xfId="1" applyNumberFormat="1" applyFont="1" applyFill="1" applyBorder="1" applyAlignment="1">
      <alignment horizontal="right" vertical="center"/>
    </xf>
    <xf numFmtId="183" fontId="2" fillId="4" borderId="23" xfId="1" applyNumberFormat="1" applyFont="1" applyFill="1" applyBorder="1" applyAlignment="1">
      <alignment horizontal="right" vertical="center"/>
    </xf>
    <xf numFmtId="183" fontId="2" fillId="4" borderId="24" xfId="1" applyNumberFormat="1" applyFont="1" applyFill="1" applyBorder="1" applyAlignment="1">
      <alignment horizontal="right" vertical="center"/>
    </xf>
    <xf numFmtId="183" fontId="2" fillId="4" borderId="28" xfId="1" applyNumberFormat="1" applyFont="1" applyFill="1" applyBorder="1" applyAlignment="1">
      <alignment horizontal="right" vertical="center"/>
    </xf>
    <xf numFmtId="183" fontId="2" fillId="4" borderId="20" xfId="1" applyNumberFormat="1" applyFont="1" applyFill="1" applyBorder="1" applyAlignment="1">
      <alignment horizontal="right" vertical="center"/>
    </xf>
    <xf numFmtId="37" fontId="0" fillId="0" borderId="0" xfId="0" applyNumberFormat="1" applyFill="1" applyProtection="1"/>
    <xf numFmtId="182" fontId="120" fillId="0" borderId="0" xfId="0" applyNumberFormat="1" applyFont="1" applyAlignment="1">
      <alignment horizontal="center"/>
    </xf>
    <xf numFmtId="168" fontId="0" fillId="0" borderId="0" xfId="0" applyNumberFormat="1" applyFill="1" applyBorder="1" applyAlignment="1" applyProtection="1">
      <alignment horizontal="center" vertical="center"/>
    </xf>
    <xf numFmtId="0" fontId="48" fillId="0" borderId="0" xfId="15" applyAlignment="1">
      <alignment horizontal="justify" vertical="center"/>
    </xf>
    <xf numFmtId="0" fontId="7" fillId="10" borderId="16" xfId="0" applyFont="1" applyFill="1" applyBorder="1" applyAlignment="1">
      <alignment horizontal="center"/>
    </xf>
    <xf numFmtId="0" fontId="7" fillId="10" borderId="4" xfId="0" applyFont="1" applyFill="1" applyBorder="1" applyAlignment="1">
      <alignment horizontal="center"/>
    </xf>
    <xf numFmtId="0" fontId="23" fillId="20" borderId="55" xfId="0" applyFont="1" applyFill="1" applyBorder="1" applyAlignment="1">
      <alignment horizontal="center" vertical="center"/>
    </xf>
    <xf numFmtId="0" fontId="23" fillId="20" borderId="54" xfId="0" applyFont="1" applyFill="1" applyBorder="1" applyAlignment="1">
      <alignment horizontal="center" vertical="center"/>
    </xf>
    <xf numFmtId="0" fontId="53" fillId="0" borderId="18" xfId="0" applyFont="1" applyBorder="1" applyAlignment="1">
      <alignment horizontal="left" vertical="center" wrapText="1"/>
    </xf>
    <xf numFmtId="0" fontId="53" fillId="0" borderId="19" xfId="0" applyFont="1" applyBorder="1" applyAlignment="1">
      <alignment horizontal="left" vertical="center" wrapText="1"/>
    </xf>
    <xf numFmtId="0" fontId="53" fillId="0" borderId="32" xfId="0" applyFont="1" applyBorder="1" applyAlignment="1">
      <alignment horizontal="left" vertical="top" wrapText="1"/>
    </xf>
    <xf numFmtId="0" fontId="53" fillId="0" borderId="5" xfId="0" applyFont="1" applyBorder="1" applyAlignment="1">
      <alignment horizontal="left" vertical="top" wrapText="1"/>
    </xf>
    <xf numFmtId="0" fontId="53" fillId="0" borderId="29" xfId="0" applyFont="1" applyBorder="1" applyAlignment="1">
      <alignment horizontal="left" vertical="top" wrapText="1"/>
    </xf>
    <xf numFmtId="0" fontId="53" fillId="0" borderId="24" xfId="0" applyFont="1" applyBorder="1" applyAlignment="1">
      <alignment horizontal="left" vertical="top" wrapText="1"/>
    </xf>
    <xf numFmtId="0" fontId="0" fillId="8" borderId="35" xfId="0" applyFill="1" applyBorder="1" applyAlignment="1" applyProtection="1">
      <alignment horizontal="center" vertical="center"/>
      <protection locked="0"/>
    </xf>
    <xf numFmtId="0" fontId="0" fillId="8" borderId="49" xfId="0" applyFill="1" applyBorder="1" applyAlignment="1" applyProtection="1">
      <alignment horizontal="center" vertical="center"/>
      <protection locked="0"/>
    </xf>
    <xf numFmtId="0" fontId="0" fillId="8" borderId="52" xfId="0" applyFill="1" applyBorder="1" applyAlignment="1" applyProtection="1">
      <alignment horizontal="center" vertical="center"/>
      <protection locked="0"/>
    </xf>
    <xf numFmtId="0" fontId="1" fillId="24" borderId="0" xfId="13" applyFill="1" applyAlignment="1">
      <alignment horizontal="left" vertical="top" wrapText="1"/>
    </xf>
    <xf numFmtId="0" fontId="1" fillId="24" borderId="0" xfId="13" applyFill="1" applyAlignment="1">
      <alignment vertical="top" wrapText="1"/>
    </xf>
    <xf numFmtId="0" fontId="1" fillId="0" borderId="0" xfId="13" applyAlignment="1">
      <alignment vertical="top" wrapText="1"/>
    </xf>
    <xf numFmtId="0" fontId="33" fillId="19" borderId="43" xfId="0" quotePrefix="1" applyFont="1" applyFill="1" applyBorder="1" applyAlignment="1">
      <alignment horizontal="left"/>
    </xf>
    <xf numFmtId="0" fontId="33" fillId="19" borderId="0" xfId="0" quotePrefix="1" applyFont="1" applyFill="1" applyAlignment="1">
      <alignment horizontal="left"/>
    </xf>
    <xf numFmtId="0" fontId="23" fillId="20" borderId="40" xfId="0" applyFont="1" applyFill="1" applyBorder="1" applyAlignment="1">
      <alignment horizontal="center" vertical="center"/>
    </xf>
    <xf numFmtId="0" fontId="23" fillId="20" borderId="41" xfId="0" applyFont="1" applyFill="1" applyBorder="1" applyAlignment="1">
      <alignment horizontal="center" vertical="center"/>
    </xf>
    <xf numFmtId="0" fontId="23" fillId="20" borderId="42" xfId="0" applyFont="1" applyFill="1" applyBorder="1" applyAlignment="1">
      <alignment horizontal="center" vertical="center"/>
    </xf>
    <xf numFmtId="0" fontId="7" fillId="13" borderId="0" xfId="0" applyFont="1" applyFill="1" applyAlignment="1">
      <alignment horizontal="left" vertical="center"/>
    </xf>
    <xf numFmtId="0" fontId="0" fillId="0" borderId="0" xfId="0" applyFont="1" applyAlignment="1">
      <alignment horizontal="left" vertical="top" wrapText="1"/>
    </xf>
    <xf numFmtId="0" fontId="33" fillId="19" borderId="0" xfId="0" quotePrefix="1" applyFont="1" applyFill="1" applyBorder="1" applyAlignment="1">
      <alignment horizontal="left"/>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58" fillId="0" borderId="0" xfId="0" applyFont="1" applyFill="1" applyBorder="1" applyAlignment="1">
      <alignment horizontal="right" vertical="top"/>
    </xf>
    <xf numFmtId="0" fontId="22" fillId="0" borderId="77" xfId="0" applyFont="1" applyBorder="1" applyAlignment="1">
      <alignment horizontal="left" wrapText="1"/>
    </xf>
    <xf numFmtId="0" fontId="22" fillId="0" borderId="75" xfId="0" applyFont="1" applyBorder="1" applyAlignment="1">
      <alignment horizontal="left" wrapText="1"/>
    </xf>
    <xf numFmtId="0" fontId="58" fillId="0" borderId="17" xfId="0" applyFont="1" applyFill="1" applyBorder="1" applyAlignment="1">
      <alignment horizontal="left" vertical="center" wrapText="1" indent="1"/>
    </xf>
    <xf numFmtId="0" fontId="58" fillId="0" borderId="0" xfId="0" applyFont="1" applyFill="1" applyAlignment="1">
      <alignment horizontal="left" vertical="center" wrapText="1" indent="1"/>
    </xf>
    <xf numFmtId="0" fontId="58" fillId="0" borderId="17" xfId="0" quotePrefix="1" applyFont="1" applyFill="1" applyBorder="1" applyAlignment="1">
      <alignment horizontal="left" wrapText="1" indent="1"/>
    </xf>
    <xf numFmtId="0" fontId="58" fillId="0" borderId="0" xfId="0" applyFont="1" applyFill="1" applyAlignment="1">
      <alignment horizontal="left" wrapText="1" indent="1"/>
    </xf>
    <xf numFmtId="0" fontId="58" fillId="0" borderId="17" xfId="0" applyFont="1" applyFill="1" applyBorder="1" applyAlignment="1">
      <alignment horizontal="left" wrapText="1" indent="1"/>
    </xf>
    <xf numFmtId="0" fontId="42" fillId="0" borderId="0" xfId="0" applyFont="1" applyAlignment="1">
      <alignment horizontal="left" vertical="top" wrapText="1"/>
    </xf>
    <xf numFmtId="0" fontId="58" fillId="0" borderId="17" xfId="0" quotePrefix="1" applyFont="1" applyFill="1" applyBorder="1" applyAlignment="1">
      <alignment horizontal="left" vertical="center" wrapText="1" indent="1"/>
    </xf>
    <xf numFmtId="0" fontId="7" fillId="0" borderId="46" xfId="0" applyFont="1" applyFill="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62" xfId="0" applyBorder="1" applyAlignment="1">
      <alignment horizontal="left" vertical="center" wrapText="1"/>
    </xf>
    <xf numFmtId="0" fontId="0" fillId="0" borderId="10" xfId="0" applyBorder="1" applyAlignment="1">
      <alignment horizontal="left" vertical="center" wrapText="1"/>
    </xf>
    <xf numFmtId="0" fontId="0" fillId="0" borderId="0" xfId="0" applyBorder="1" applyAlignment="1">
      <alignment horizontal="left" vertical="center" wrapText="1"/>
    </xf>
    <xf numFmtId="0" fontId="0" fillId="0" borderId="9" xfId="0" applyBorder="1" applyAlignment="1">
      <alignment horizontal="left" vertical="center" wrapText="1"/>
    </xf>
    <xf numFmtId="0" fontId="0" fillId="0" borderId="65" xfId="0" applyBorder="1" applyAlignment="1">
      <alignment horizontal="left" vertical="center" wrapText="1"/>
    </xf>
    <xf numFmtId="0" fontId="0" fillId="0" borderId="46" xfId="0" applyBorder="1" applyAlignment="1">
      <alignment horizontal="left" vertical="center" wrapText="1"/>
    </xf>
    <xf numFmtId="0" fontId="0" fillId="0" borderId="56" xfId="0" applyBorder="1" applyAlignment="1">
      <alignment horizontal="left" vertical="center" wrapText="1"/>
    </xf>
    <xf numFmtId="0" fontId="15" fillId="0" borderId="37" xfId="0" applyFont="1" applyBorder="1" applyAlignment="1">
      <alignment horizontal="center" vertical="top"/>
    </xf>
    <xf numFmtId="0" fontId="15" fillId="0" borderId="37" xfId="0" applyFont="1" applyBorder="1" applyAlignment="1">
      <alignment horizontal="center" vertical="center"/>
    </xf>
    <xf numFmtId="0" fontId="66" fillId="0" borderId="0" xfId="0" applyFont="1" applyAlignment="1">
      <alignment horizontal="right" vertical="center" wrapText="1" indent="4"/>
    </xf>
    <xf numFmtId="0" fontId="66" fillId="0" borderId="7" xfId="0" applyFont="1" applyBorder="1" applyAlignment="1">
      <alignment horizontal="right" vertical="center" wrapText="1" indent="4"/>
    </xf>
    <xf numFmtId="0" fontId="6" fillId="25" borderId="16" xfId="0" applyFont="1" applyFill="1" applyBorder="1" applyAlignment="1">
      <alignment horizontal="center" vertical="center" wrapText="1"/>
    </xf>
    <xf numFmtId="0" fontId="6" fillId="25" borderId="4" xfId="0" applyFont="1" applyFill="1" applyBorder="1" applyAlignment="1">
      <alignment horizontal="center" vertical="center" wrapText="1"/>
    </xf>
    <xf numFmtId="0" fontId="7" fillId="0" borderId="46" xfId="0" applyFont="1" applyBorder="1" applyAlignment="1">
      <alignment horizontal="center" vertical="center"/>
    </xf>
    <xf numFmtId="0" fontId="7" fillId="0" borderId="15" xfId="0" applyFont="1" applyFill="1" applyBorder="1" applyAlignment="1">
      <alignment horizontal="left" vertical="center" wrapText="1"/>
    </xf>
    <xf numFmtId="0" fontId="106" fillId="0" borderId="0" xfId="0" applyFont="1" applyAlignment="1">
      <alignment horizontal="left" vertical="center" wrapText="1"/>
    </xf>
    <xf numFmtId="0" fontId="48" fillId="0" borderId="0" xfId="15" applyAlignment="1">
      <alignment horizontal="center"/>
    </xf>
    <xf numFmtId="0" fontId="58" fillId="0" borderId="22" xfId="0" applyFont="1" applyFill="1" applyBorder="1" applyAlignment="1">
      <alignment horizontal="right" vertical="top"/>
    </xf>
    <xf numFmtId="0" fontId="42" fillId="0" borderId="0" xfId="0" applyFont="1" applyAlignment="1">
      <alignment horizontal="left" vertical="center" wrapText="1"/>
    </xf>
    <xf numFmtId="0" fontId="58" fillId="0" borderId="0" xfId="0" quotePrefix="1" applyFont="1" applyFill="1" applyBorder="1" applyAlignment="1">
      <alignment horizontal="left" vertical="center" wrapText="1" indent="1"/>
    </xf>
    <xf numFmtId="0" fontId="58" fillId="0" borderId="0" xfId="0" applyFont="1" applyFill="1" applyBorder="1" applyAlignment="1">
      <alignment horizontal="left" vertical="center" wrapText="1" indent="1"/>
    </xf>
    <xf numFmtId="0" fontId="58" fillId="0" borderId="17" xfId="0" applyFont="1" applyFill="1" applyBorder="1" applyAlignment="1">
      <alignment horizontal="left" vertical="top" wrapText="1" indent="1"/>
    </xf>
    <xf numFmtId="0" fontId="58" fillId="0" borderId="0" xfId="0" applyFont="1" applyFill="1" applyAlignment="1">
      <alignment horizontal="left" vertical="top" wrapText="1" indent="1"/>
    </xf>
    <xf numFmtId="0" fontId="0" fillId="0" borderId="16" xfId="0" applyFill="1" applyBorder="1" applyAlignment="1" applyProtection="1">
      <alignment horizontal="left" vertical="top" wrapText="1"/>
    </xf>
    <xf numFmtId="0" fontId="0" fillId="0" borderId="4" xfId="0" applyFill="1" applyBorder="1" applyAlignment="1" applyProtection="1">
      <alignment horizontal="left" vertical="top" wrapText="1"/>
    </xf>
    <xf numFmtId="1" fontId="0" fillId="0" borderId="0" xfId="0" applyNumberFormat="1" applyAlignment="1">
      <alignment horizontal="left" wrapText="1"/>
    </xf>
    <xf numFmtId="1" fontId="7" fillId="0" borderId="16" xfId="0" applyNumberFormat="1" applyFont="1" applyBorder="1" applyAlignment="1">
      <alignment horizontal="left" vertical="center" wrapText="1"/>
    </xf>
    <xf numFmtId="1" fontId="7" fillId="0" borderId="22" xfId="0" applyNumberFormat="1" applyFont="1" applyBorder="1" applyAlignment="1">
      <alignment horizontal="left" vertical="center" wrapText="1"/>
    </xf>
    <xf numFmtId="1" fontId="7" fillId="0" borderId="4" xfId="0" applyNumberFormat="1" applyFont="1" applyBorder="1" applyAlignment="1">
      <alignment horizontal="left" vertical="center" wrapText="1"/>
    </xf>
    <xf numFmtId="0" fontId="0" fillId="0" borderId="25"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7" fillId="0" borderId="0" xfId="0" applyFont="1" applyAlignment="1">
      <alignment horizontal="center" wrapText="1"/>
    </xf>
    <xf numFmtId="0" fontId="6" fillId="12" borderId="31" xfId="0" applyFont="1" applyFill="1" applyBorder="1" applyAlignment="1" applyProtection="1">
      <alignment horizontal="left"/>
    </xf>
    <xf numFmtId="0" fontId="6" fillId="12" borderId="33" xfId="0" applyFont="1" applyFill="1" applyBorder="1" applyAlignment="1" applyProtection="1">
      <alignment horizontal="left"/>
    </xf>
    <xf numFmtId="0" fontId="48" fillId="22" borderId="12" xfId="15" applyFill="1" applyBorder="1" applyAlignment="1" applyProtection="1">
      <alignment horizontal="center" vertical="center"/>
    </xf>
    <xf numFmtId="0" fontId="48" fillId="22" borderId="13" xfId="15" applyFill="1" applyBorder="1" applyAlignment="1" applyProtection="1">
      <alignment horizontal="center" vertical="center"/>
    </xf>
    <xf numFmtId="0" fontId="48" fillId="22" borderId="62" xfId="15" applyFill="1" applyBorder="1" applyAlignment="1" applyProtection="1">
      <alignment horizontal="center" vertical="center"/>
    </xf>
    <xf numFmtId="0" fontId="48" fillId="22" borderId="65" xfId="15" applyFill="1" applyBorder="1" applyAlignment="1" applyProtection="1">
      <alignment horizontal="center" vertical="center"/>
    </xf>
    <xf numFmtId="0" fontId="48" fillId="22" borderId="46" xfId="15" applyFill="1" applyBorder="1" applyAlignment="1" applyProtection="1">
      <alignment horizontal="center" vertical="center"/>
    </xf>
    <xf numFmtId="0" fontId="48" fillId="22" borderId="56" xfId="15" applyFill="1" applyBorder="1" applyAlignment="1" applyProtection="1">
      <alignment horizontal="center" vertical="center"/>
    </xf>
    <xf numFmtId="0" fontId="6" fillId="12" borderId="61" xfId="0" applyFont="1" applyFill="1" applyBorder="1" applyAlignment="1" applyProtection="1">
      <alignment horizontal="left"/>
    </xf>
    <xf numFmtId="0" fontId="6" fillId="12" borderId="71" xfId="0" applyFont="1" applyFill="1" applyBorder="1" applyAlignment="1" applyProtection="1">
      <alignment horizontal="left"/>
    </xf>
    <xf numFmtId="0" fontId="6" fillId="12" borderId="41" xfId="0" applyFont="1" applyFill="1" applyBorder="1" applyAlignment="1" applyProtection="1">
      <alignment horizontal="left"/>
    </xf>
    <xf numFmtId="0" fontId="6" fillId="12" borderId="72" xfId="0" applyFont="1" applyFill="1" applyBorder="1" applyAlignment="1" applyProtection="1">
      <alignment horizontal="left"/>
    </xf>
    <xf numFmtId="0" fontId="0" fillId="0" borderId="31" xfId="0" applyFill="1" applyBorder="1" applyAlignment="1" applyProtection="1">
      <alignment horizontal="left" vertical="top" wrapText="1"/>
    </xf>
    <xf numFmtId="0" fontId="0" fillId="0" borderId="33" xfId="0" applyFill="1" applyBorder="1" applyAlignment="1" applyProtection="1">
      <alignment horizontal="left" vertical="top" wrapText="1"/>
    </xf>
    <xf numFmtId="0" fontId="31" fillId="21" borderId="0" xfId="0" applyFont="1" applyFill="1" applyAlignment="1" applyProtection="1">
      <alignment horizontal="left" vertical="center" wrapText="1" indent="3"/>
    </xf>
    <xf numFmtId="0" fontId="0" fillId="0" borderId="73" xfId="0"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74" xfId="0" applyBorder="1" applyAlignment="1" applyProtection="1">
      <alignment horizontal="left" vertical="center" wrapText="1"/>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0" borderId="7" xfId="0" applyBorder="1" applyAlignment="1" applyProtection="1">
      <alignment horizontal="left" wrapText="1"/>
    </xf>
    <xf numFmtId="0" fontId="0" fillId="0" borderId="16"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4" xfId="0" applyBorder="1" applyAlignment="1" applyProtection="1">
      <alignment horizontal="left" vertical="center" wrapText="1"/>
    </xf>
    <xf numFmtId="0" fontId="52" fillId="0" borderId="0" xfId="0" applyFont="1" applyAlignment="1" applyProtection="1">
      <alignment horizontal="right" wrapText="1"/>
    </xf>
    <xf numFmtId="0" fontId="21" fillId="0" borderId="37" xfId="0" applyFont="1" applyFill="1" applyBorder="1" applyAlignment="1" applyProtection="1">
      <alignment horizontal="center"/>
    </xf>
    <xf numFmtId="0" fontId="0" fillId="0" borderId="47" xfId="0"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6" xfId="0" applyBorder="1" applyAlignment="1" applyProtection="1">
      <alignment horizontal="left" vertical="center" wrapText="1"/>
    </xf>
    <xf numFmtId="0" fontId="7" fillId="0" borderId="57"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60" xfId="0" applyFont="1" applyFill="1" applyBorder="1" applyAlignment="1" applyProtection="1">
      <alignment horizontal="center" vertical="center"/>
    </xf>
    <xf numFmtId="0" fontId="7" fillId="0" borderId="55" xfId="0" applyFont="1" applyBorder="1" applyAlignment="1" applyProtection="1">
      <alignment horizontal="center" vertical="center"/>
    </xf>
    <xf numFmtId="0" fontId="7" fillId="0" borderId="58" xfId="0" applyFont="1" applyBorder="1" applyAlignment="1" applyProtection="1">
      <alignment horizontal="center" vertical="center"/>
    </xf>
    <xf numFmtId="0" fontId="7" fillId="0" borderId="60" xfId="0" applyFont="1" applyBorder="1" applyAlignment="1" applyProtection="1">
      <alignment horizontal="center" vertical="center"/>
    </xf>
    <xf numFmtId="1" fontId="58" fillId="0" borderId="0" xfId="0" applyNumberFormat="1" applyFont="1" applyFill="1" applyBorder="1" applyAlignment="1" applyProtection="1">
      <alignment horizontal="center" vertical="center" wrapText="1"/>
    </xf>
    <xf numFmtId="0" fontId="14" fillId="0" borderId="0" xfId="0" applyFont="1" applyAlignment="1" applyProtection="1">
      <alignment horizontal="center" wrapText="1"/>
    </xf>
    <xf numFmtId="0" fontId="6" fillId="25" borderId="47" xfId="0" applyFont="1" applyFill="1" applyBorder="1" applyAlignment="1">
      <alignment horizontal="center" vertical="center" wrapText="1"/>
    </xf>
    <xf numFmtId="0" fontId="6" fillId="25" borderId="14" xfId="0" applyFont="1" applyFill="1" applyBorder="1" applyAlignment="1">
      <alignment horizontal="center" vertical="center" wrapText="1"/>
    </xf>
    <xf numFmtId="0" fontId="6" fillId="25" borderId="6" xfId="0" applyFont="1" applyFill="1" applyBorder="1" applyAlignment="1">
      <alignment horizontal="center" vertical="center" wrapText="1"/>
    </xf>
    <xf numFmtId="0" fontId="6" fillId="25" borderId="3" xfId="0" applyFont="1" applyFill="1" applyBorder="1" applyAlignment="1">
      <alignment horizontal="center" vertical="center" wrapText="1"/>
    </xf>
    <xf numFmtId="0" fontId="6" fillId="25" borderId="15"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66" fillId="0" borderId="0" xfId="0" applyFont="1" applyAlignment="1">
      <alignment horizontal="left" vertical="center" wrapText="1"/>
    </xf>
    <xf numFmtId="0" fontId="66" fillId="0" borderId="7" xfId="0" applyFont="1" applyBorder="1" applyAlignment="1">
      <alignment horizontal="left" vertical="center" wrapText="1"/>
    </xf>
    <xf numFmtId="0" fontId="111" fillId="0" borderId="16" xfId="0" applyFont="1" applyBorder="1" applyAlignment="1">
      <alignment horizontal="left" vertical="top" wrapText="1"/>
    </xf>
    <xf numFmtId="0" fontId="111" fillId="0" borderId="22" xfId="0" applyFont="1" applyBorder="1" applyAlignment="1">
      <alignment horizontal="left" vertical="top" wrapText="1"/>
    </xf>
    <xf numFmtId="0" fontId="111" fillId="0" borderId="4" xfId="0" applyFont="1" applyBorder="1" applyAlignment="1">
      <alignment horizontal="left" vertical="top" wrapText="1"/>
    </xf>
    <xf numFmtId="0" fontId="111" fillId="0" borderId="5" xfId="0" applyFont="1" applyBorder="1" applyAlignment="1">
      <alignment horizontal="left" vertical="top" wrapText="1"/>
    </xf>
    <xf numFmtId="0" fontId="16" fillId="0" borderId="16"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1" fontId="0" fillId="0" borderId="22" xfId="0" applyNumberFormat="1" applyBorder="1" applyAlignment="1">
      <alignment horizontal="left" vertical="center" wrapText="1"/>
    </xf>
    <xf numFmtId="1" fontId="0" fillId="0" borderId="4" xfId="0" applyNumberFormat="1" applyBorder="1" applyAlignment="1">
      <alignment horizontal="left" vertical="center" wrapText="1"/>
    </xf>
    <xf numFmtId="0" fontId="0" fillId="0" borderId="15" xfId="0" applyBorder="1" applyAlignment="1" applyProtection="1">
      <alignment horizontal="center"/>
    </xf>
    <xf numFmtId="1" fontId="73" fillId="0" borderId="0" xfId="0" applyNumberFormat="1" applyFont="1" applyAlignment="1">
      <alignment horizontal="left" vertical="top" wrapText="1"/>
    </xf>
    <xf numFmtId="0" fontId="7" fillId="22" borderId="40" xfId="0" applyFont="1" applyFill="1" applyBorder="1" applyAlignment="1">
      <alignment horizontal="center" vertical="center"/>
    </xf>
    <xf numFmtId="0" fontId="7" fillId="22" borderId="42" xfId="0" applyFont="1" applyFill="1" applyBorder="1" applyAlignment="1">
      <alignment horizontal="center" vertical="center"/>
    </xf>
    <xf numFmtId="0" fontId="48" fillId="0" borderId="10" xfId="15" applyBorder="1" applyAlignment="1">
      <alignment horizontal="center" vertical="center"/>
    </xf>
    <xf numFmtId="0" fontId="48" fillId="0" borderId="9" xfId="15" applyBorder="1" applyAlignment="1">
      <alignment horizontal="center" vertical="center"/>
    </xf>
    <xf numFmtId="0" fontId="48" fillId="0" borderId="65" xfId="15" applyBorder="1" applyAlignment="1">
      <alignment horizontal="center" vertical="center"/>
    </xf>
    <xf numFmtId="0" fontId="48" fillId="0" borderId="56" xfId="15" applyBorder="1" applyAlignment="1">
      <alignment horizontal="center" vertical="center"/>
    </xf>
    <xf numFmtId="0" fontId="48" fillId="0" borderId="12" xfId="15" applyBorder="1" applyAlignment="1" applyProtection="1">
      <alignment horizontal="center" vertical="center"/>
    </xf>
    <xf numFmtId="0" fontId="48" fillId="0" borderId="62" xfId="15" applyBorder="1" applyAlignment="1" applyProtection="1">
      <alignment horizontal="center" vertical="center"/>
    </xf>
    <xf numFmtId="0" fontId="111" fillId="0" borderId="16" xfId="0" applyFont="1" applyBorder="1" applyAlignment="1">
      <alignment horizontal="center" vertical="top" wrapText="1"/>
    </xf>
    <xf numFmtId="0" fontId="111" fillId="0" borderId="22" xfId="0" applyFont="1" applyBorder="1" applyAlignment="1">
      <alignment horizontal="center" vertical="top" wrapText="1"/>
    </xf>
    <xf numFmtId="0" fontId="111" fillId="0" borderId="4" xfId="0" applyFont="1" applyBorder="1" applyAlignment="1">
      <alignment horizontal="center" vertical="top" wrapText="1"/>
    </xf>
    <xf numFmtId="0" fontId="73" fillId="0" borderId="14" xfId="0" applyFont="1" applyBorder="1" applyAlignment="1" applyProtection="1">
      <alignment horizontal="center" vertical="top" wrapText="1"/>
    </xf>
    <xf numFmtId="0" fontId="73" fillId="0" borderId="0" xfId="0" applyFont="1" applyBorder="1" applyAlignment="1" applyProtection="1">
      <alignment horizontal="center" vertical="top" wrapText="1"/>
    </xf>
    <xf numFmtId="0" fontId="64" fillId="0" borderId="13" xfId="0" applyFont="1" applyBorder="1" applyAlignment="1">
      <alignment horizontal="center" wrapText="1"/>
    </xf>
    <xf numFmtId="0" fontId="64" fillId="0" borderId="46" xfId="0" applyFont="1" applyBorder="1" applyAlignment="1">
      <alignment horizontal="center" wrapText="1"/>
    </xf>
    <xf numFmtId="0" fontId="0" fillId="0" borderId="63" xfId="0" applyBorder="1" applyAlignment="1" applyProtection="1">
      <alignment horizontal="center" vertical="center"/>
    </xf>
    <xf numFmtId="0" fontId="0" fillId="0" borderId="45" xfId="0" applyBorder="1" applyAlignment="1" applyProtection="1">
      <alignment horizontal="center" vertical="center"/>
    </xf>
    <xf numFmtId="0" fontId="0" fillId="0" borderId="64" xfId="0" applyBorder="1" applyAlignment="1" applyProtection="1">
      <alignment horizontal="center" vertical="center"/>
    </xf>
    <xf numFmtId="0" fontId="7" fillId="0" borderId="58" xfId="0" applyFont="1" applyFill="1" applyBorder="1" applyAlignment="1">
      <alignment horizontal="center" vertical="center"/>
    </xf>
    <xf numFmtId="0" fontId="7" fillId="0" borderId="59"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57"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22" borderId="40" xfId="0" applyFont="1" applyFill="1" applyBorder="1" applyAlignment="1">
      <alignment horizontal="center" vertical="center" wrapText="1"/>
    </xf>
    <xf numFmtId="0" fontId="7" fillId="22" borderId="42" xfId="0" applyFont="1" applyFill="1" applyBorder="1" applyAlignment="1">
      <alignment horizontal="center" vertical="center" wrapText="1"/>
    </xf>
    <xf numFmtId="0" fontId="7" fillId="22" borderId="41" xfId="0" applyFont="1" applyFill="1" applyBorder="1" applyAlignment="1">
      <alignment horizontal="center" vertical="center"/>
    </xf>
    <xf numFmtId="0" fontId="48" fillId="0" borderId="0" xfId="15" applyBorder="1" applyAlignment="1">
      <alignment horizontal="center" vertical="center"/>
    </xf>
    <xf numFmtId="0" fontId="48" fillId="0" borderId="46" xfId="15" applyBorder="1" applyAlignment="1">
      <alignment horizontal="center" vertical="center"/>
    </xf>
    <xf numFmtId="0" fontId="6" fillId="32" borderId="18" xfId="0" applyFont="1" applyFill="1" applyBorder="1" applyAlignment="1">
      <alignment horizontal="center"/>
    </xf>
    <xf numFmtId="0" fontId="6" fillId="32" borderId="20" xfId="0" applyFont="1" applyFill="1" applyBorder="1" applyAlignment="1">
      <alignment horizontal="center"/>
    </xf>
    <xf numFmtId="0" fontId="0" fillId="0" borderId="0" xfId="0" applyAlignment="1">
      <alignment horizontal="right" wrapText="1"/>
    </xf>
    <xf numFmtId="0" fontId="21" fillId="4" borderId="58" xfId="0" applyFont="1" applyFill="1" applyBorder="1" applyAlignment="1">
      <alignment horizontal="center" vertical="center" textRotation="90"/>
    </xf>
    <xf numFmtId="0" fontId="21" fillId="4" borderId="59" xfId="0" applyFont="1" applyFill="1" applyBorder="1" applyAlignment="1">
      <alignment horizontal="center" vertical="center" textRotation="90"/>
    </xf>
    <xf numFmtId="0" fontId="6" fillId="26" borderId="12" xfId="0" applyFont="1" applyFill="1" applyBorder="1" applyAlignment="1">
      <alignment horizontal="center"/>
    </xf>
    <xf numFmtId="0" fontId="6" fillId="26" borderId="13" xfId="0" applyFont="1" applyFill="1" applyBorder="1" applyAlignment="1">
      <alignment horizontal="center"/>
    </xf>
    <xf numFmtId="0" fontId="6" fillId="26" borderId="62" xfId="0" applyFont="1" applyFill="1" applyBorder="1" applyAlignment="1">
      <alignment horizontal="center"/>
    </xf>
    <xf numFmtId="0" fontId="6" fillId="36" borderId="18"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31" xfId="0" applyFont="1" applyFill="1" applyBorder="1" applyAlignment="1">
      <alignment horizontal="center" vertical="center"/>
    </xf>
    <xf numFmtId="0" fontId="6" fillId="36" borderId="20" xfId="0" applyFont="1" applyFill="1" applyBorder="1" applyAlignment="1">
      <alignment horizontal="center" vertical="center"/>
    </xf>
    <xf numFmtId="0" fontId="6" fillId="36" borderId="12"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62" xfId="0" applyFont="1" applyFill="1" applyBorder="1" applyAlignment="1">
      <alignment horizontal="center" vertical="center" wrapText="1"/>
    </xf>
    <xf numFmtId="0" fontId="6" fillId="36" borderId="77" xfId="0" applyFont="1" applyFill="1" applyBorder="1" applyAlignment="1">
      <alignment horizontal="center" vertical="center" wrapText="1"/>
    </xf>
    <xf numFmtId="0" fontId="6" fillId="36" borderId="61" xfId="0" applyFont="1" applyFill="1" applyBorder="1" applyAlignment="1">
      <alignment horizontal="center" vertical="center" wrapText="1"/>
    </xf>
    <xf numFmtId="0" fontId="6" fillId="36" borderId="75" xfId="0" applyFont="1" applyFill="1" applyBorder="1" applyAlignment="1">
      <alignment horizontal="center" vertical="center" wrapText="1"/>
    </xf>
    <xf numFmtId="0" fontId="0" fillId="14" borderId="12" xfId="0" applyFill="1" applyBorder="1" applyAlignment="1">
      <alignment horizontal="center" vertical="center"/>
    </xf>
    <xf numFmtId="0" fontId="0" fillId="14" borderId="13" xfId="0" applyFill="1" applyBorder="1" applyAlignment="1">
      <alignment horizontal="center" vertical="center"/>
    </xf>
    <xf numFmtId="0" fontId="0" fillId="14" borderId="62" xfId="0" applyFill="1" applyBorder="1" applyAlignment="1">
      <alignment horizontal="center" vertical="center"/>
    </xf>
    <xf numFmtId="0" fontId="0" fillId="14" borderId="65" xfId="0" applyFill="1" applyBorder="1" applyAlignment="1">
      <alignment horizontal="center" vertical="center"/>
    </xf>
    <xf numFmtId="0" fontId="0" fillId="14" borderId="46" xfId="0" applyFill="1" applyBorder="1" applyAlignment="1">
      <alignment horizontal="center" vertical="center"/>
    </xf>
    <xf numFmtId="0" fontId="0" fillId="14" borderId="56" xfId="0" applyFill="1" applyBorder="1" applyAlignment="1">
      <alignment horizontal="center" vertical="center"/>
    </xf>
    <xf numFmtId="0" fontId="0" fillId="14" borderId="10" xfId="0" applyFill="1" applyBorder="1" applyAlignment="1">
      <alignment horizontal="center" vertical="center"/>
    </xf>
    <xf numFmtId="0" fontId="0" fillId="14" borderId="0" xfId="0" applyFill="1" applyBorder="1" applyAlignment="1">
      <alignment horizontal="center" vertical="center"/>
    </xf>
    <xf numFmtId="0" fontId="0" fillId="14" borderId="9" xfId="0" applyFill="1" applyBorder="1" applyAlignment="1">
      <alignment horizontal="center" vertical="center"/>
    </xf>
    <xf numFmtId="0" fontId="21" fillId="14" borderId="70" xfId="0" applyFont="1" applyFill="1" applyBorder="1" applyAlignment="1">
      <alignment horizontal="center" vertical="center" textRotation="90"/>
    </xf>
    <xf numFmtId="0" fontId="21" fillId="14" borderId="67" xfId="0" applyFont="1" applyFill="1" applyBorder="1" applyAlignment="1">
      <alignment horizontal="center" vertical="center" textRotation="90"/>
    </xf>
    <xf numFmtId="0" fontId="21" fillId="14" borderId="68" xfId="0" applyFont="1" applyFill="1" applyBorder="1" applyAlignment="1">
      <alignment horizontal="center" vertical="center" textRotation="90"/>
    </xf>
    <xf numFmtId="0" fontId="21" fillId="4" borderId="70" xfId="0" applyFont="1" applyFill="1" applyBorder="1" applyAlignment="1">
      <alignment horizontal="center" vertical="center" textRotation="90" wrapText="1"/>
    </xf>
    <xf numFmtId="0" fontId="21" fillId="4" borderId="67" xfId="0" applyFont="1" applyFill="1" applyBorder="1" applyAlignment="1">
      <alignment horizontal="center" vertical="center" textRotation="90"/>
    </xf>
    <xf numFmtId="0" fontId="21" fillId="4" borderId="68" xfId="0" applyFont="1" applyFill="1" applyBorder="1" applyAlignment="1">
      <alignment horizontal="center" vertical="center" textRotation="90"/>
    </xf>
    <xf numFmtId="0" fontId="7" fillId="0" borderId="0" xfId="0" applyFont="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95" fillId="0" borderId="0" xfId="0" applyFont="1" applyBorder="1" applyAlignment="1">
      <alignment horizontal="center" vertical="top" wrapText="1"/>
    </xf>
    <xf numFmtId="0" fontId="16" fillId="0" borderId="15" xfId="0" applyFont="1" applyFill="1" applyBorder="1" applyAlignment="1">
      <alignment horizontal="left" wrapText="1"/>
    </xf>
    <xf numFmtId="0" fontId="7" fillId="0" borderId="15" xfId="0" applyFont="1" applyBorder="1" applyAlignment="1">
      <alignment horizontal="left" wrapText="1"/>
    </xf>
    <xf numFmtId="0" fontId="7" fillId="21" borderId="0" xfId="0" applyFont="1" applyFill="1" applyAlignment="1">
      <alignment horizontal="center"/>
    </xf>
    <xf numFmtId="0" fontId="0" fillId="0" borderId="0" xfId="0" applyAlignment="1">
      <alignment horizontal="left" vertical="top" wrapText="1"/>
    </xf>
    <xf numFmtId="0" fontId="22" fillId="18" borderId="0" xfId="0" applyFont="1" applyFill="1" applyAlignment="1">
      <alignment horizontal="center" vertical="center"/>
    </xf>
    <xf numFmtId="0" fontId="23" fillId="3" borderId="40"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42" xfId="0" applyFont="1" applyFill="1" applyBorder="1" applyAlignment="1">
      <alignment horizontal="center" vertical="center"/>
    </xf>
    <xf numFmtId="0" fontId="7" fillId="38" borderId="5" xfId="0" applyFont="1" applyFill="1" applyBorder="1" applyAlignment="1">
      <alignment horizontal="center"/>
    </xf>
    <xf numFmtId="0" fontId="7" fillId="33" borderId="47" xfId="0" applyFont="1" applyFill="1" applyBorder="1" applyAlignment="1">
      <alignment horizontal="center"/>
    </xf>
    <xf numFmtId="0" fontId="7" fillId="33" borderId="14" xfId="0" applyFont="1" applyFill="1" applyBorder="1" applyAlignment="1">
      <alignment horizontal="center"/>
    </xf>
    <xf numFmtId="0" fontId="7" fillId="33" borderId="6" xfId="0" applyFont="1" applyFill="1" applyBorder="1" applyAlignment="1">
      <alignment horizontal="center"/>
    </xf>
    <xf numFmtId="0" fontId="46" fillId="9" borderId="16" xfId="16" applyFont="1" applyFill="1" applyBorder="1" applyAlignment="1">
      <alignment horizontal="center" vertical="top"/>
    </xf>
    <xf numFmtId="0" fontId="46" fillId="9" borderId="22" xfId="16" applyFont="1" applyFill="1" applyBorder="1" applyAlignment="1">
      <alignment horizontal="center" vertical="top"/>
    </xf>
    <xf numFmtId="0" fontId="46" fillId="9" borderId="4" xfId="16" applyFont="1" applyFill="1" applyBorder="1" applyAlignment="1">
      <alignment horizontal="center" vertical="top"/>
    </xf>
    <xf numFmtId="0" fontId="46" fillId="9" borderId="5" xfId="16" applyFont="1" applyFill="1" applyBorder="1" applyAlignment="1">
      <alignment horizontal="center" vertical="top"/>
    </xf>
    <xf numFmtId="0" fontId="7" fillId="0" borderId="15" xfId="0" applyFont="1" applyBorder="1" applyAlignment="1">
      <alignment horizontal="center"/>
    </xf>
    <xf numFmtId="0" fontId="0" fillId="0" borderId="12" xfId="10" applyFont="1" applyBorder="1" applyAlignment="1">
      <alignment horizontal="left" vertical="top" wrapText="1"/>
    </xf>
    <xf numFmtId="0" fontId="0" fillId="0" borderId="62" xfId="10" applyFont="1" applyBorder="1" applyAlignment="1">
      <alignment horizontal="left" vertical="top" wrapText="1"/>
    </xf>
    <xf numFmtId="0" fontId="0" fillId="0" borderId="10" xfId="10" applyFont="1" applyBorder="1" applyAlignment="1">
      <alignment horizontal="left" vertical="top" wrapText="1"/>
    </xf>
    <xf numFmtId="0" fontId="0" fillId="0" borderId="9" xfId="10" applyFont="1" applyBorder="1" applyAlignment="1">
      <alignment horizontal="left" vertical="top" wrapText="1"/>
    </xf>
    <xf numFmtId="0" fontId="0" fillId="0" borderId="65" xfId="10" applyFont="1" applyBorder="1" applyAlignment="1">
      <alignment horizontal="left" vertical="top" wrapText="1"/>
    </xf>
    <xf numFmtId="0" fontId="0" fillId="0" borderId="56" xfId="10" applyFont="1" applyBorder="1" applyAlignment="1">
      <alignment horizontal="left" vertical="top" wrapText="1"/>
    </xf>
    <xf numFmtId="0" fontId="7" fillId="0" borderId="15" xfId="0" applyFont="1" applyBorder="1" applyAlignment="1" applyProtection="1">
      <alignment horizontal="center"/>
    </xf>
    <xf numFmtId="0" fontId="0" fillId="0" borderId="0" xfId="0" applyAlignment="1">
      <alignment horizontal="center"/>
    </xf>
  </cellXfs>
  <cellStyles count="31">
    <cellStyle name="Comma" xfId="1" builtinId="3"/>
    <cellStyle name="Comma 2" xfId="3" xr:uid="{00000000-0005-0000-0000-000001000000}"/>
    <cellStyle name="Comma 2 2" xfId="26" xr:uid="{00000000-0005-0000-0000-000002000000}"/>
    <cellStyle name="Comma 2 3" xfId="24" xr:uid="{00000000-0005-0000-0000-000003000000}"/>
    <cellStyle name="Comma 3" xfId="9" xr:uid="{00000000-0005-0000-0000-000004000000}"/>
    <cellStyle name="Comma 4" xfId="12" xr:uid="{00000000-0005-0000-0000-000005000000}"/>
    <cellStyle name="Comma 4 2" xfId="28" xr:uid="{00000000-0005-0000-0000-000006000000}"/>
    <cellStyle name="Comma 4 3" xfId="30" xr:uid="{00000000-0005-0000-0000-000007000000}"/>
    <cellStyle name="Currency" xfId="21" builtinId="4"/>
    <cellStyle name="Data 2" xfId="17" xr:uid="{00000000-0005-0000-0000-000009000000}"/>
    <cellStyle name="Good" xfId="22" builtinId="26"/>
    <cellStyle name="Header 2" xfId="18" xr:uid="{00000000-0005-0000-0000-00000B000000}"/>
    <cellStyle name="HeaderHyperlink 2" xfId="19" xr:uid="{00000000-0005-0000-0000-00000C000000}"/>
    <cellStyle name="Hyperlink" xfId="15" builtinId="8"/>
    <cellStyle name="Input" xfId="5" builtinId="20"/>
    <cellStyle name="Normal" xfId="0" builtinId="0"/>
    <cellStyle name="Normal 2" xfId="2" xr:uid="{00000000-0005-0000-0000-000010000000}"/>
    <cellStyle name="Normal 2 2" xfId="4" xr:uid="{00000000-0005-0000-0000-000011000000}"/>
    <cellStyle name="Normal 2 2 2" xfId="13" xr:uid="{00000000-0005-0000-0000-000012000000}"/>
    <cellStyle name="Normal 2 2 3" xfId="27" xr:uid="{00000000-0005-0000-0000-000013000000}"/>
    <cellStyle name="Normal 2 3" xfId="10" xr:uid="{00000000-0005-0000-0000-000014000000}"/>
    <cellStyle name="Normal 2 4" xfId="23" xr:uid="{00000000-0005-0000-0000-000015000000}"/>
    <cellStyle name="Normal 3" xfId="6" xr:uid="{00000000-0005-0000-0000-000016000000}"/>
    <cellStyle name="Normal 3 2" xfId="7" xr:uid="{00000000-0005-0000-0000-000017000000}"/>
    <cellStyle name="Normal 3 3" xfId="25" xr:uid="{00000000-0005-0000-0000-000018000000}"/>
    <cellStyle name="Normal 4" xfId="11" xr:uid="{00000000-0005-0000-0000-000019000000}"/>
    <cellStyle name="Normal 4 2" xfId="14" xr:uid="{00000000-0005-0000-0000-00001A000000}"/>
    <cellStyle name="Normal 4 3" xfId="20" xr:uid="{00000000-0005-0000-0000-00001B000000}"/>
    <cellStyle name="Normal 4 4" xfId="29" xr:uid="{00000000-0005-0000-0000-00001C000000}"/>
    <cellStyle name="Normal 5" xfId="16" xr:uid="{00000000-0005-0000-0000-00001D000000}"/>
    <cellStyle name="Percent" xfId="8" builtinId="5"/>
  </cellStyles>
  <dxfs count="112">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rgb="FF9C6500"/>
      </font>
      <fill>
        <patternFill>
          <bgColor rgb="FFFFEB9C"/>
        </patternFill>
      </fill>
    </dxf>
    <dxf>
      <font>
        <color rgb="FF9C6500"/>
      </font>
      <fill>
        <patternFill>
          <bgColor rgb="FFFFEB9C"/>
        </patternFill>
      </fill>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auto="1"/>
        </top>
        <vertical/>
        <horizontal/>
      </border>
    </dxf>
    <dxf>
      <font>
        <color theme="0"/>
      </font>
      <fill>
        <patternFill>
          <bgColor theme="0"/>
        </patternFill>
      </fill>
      <border>
        <left/>
        <right/>
        <top/>
        <bottom/>
        <vertical/>
        <horizontal/>
      </border>
    </dxf>
    <dxf>
      <border>
        <top style="thin">
          <color auto="1"/>
        </top>
        <vertical/>
        <horizontal/>
      </border>
    </dxf>
    <dxf>
      <font>
        <color theme="0"/>
      </font>
      <fill>
        <patternFill>
          <bgColor theme="0"/>
        </patternFill>
      </fill>
      <border>
        <left/>
        <right/>
        <top/>
        <bottom/>
        <vertical/>
        <horizontal/>
      </border>
    </dxf>
    <dxf>
      <border>
        <bottom style="thin">
          <color auto="1"/>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border>
        <left style="thin">
          <color auto="1"/>
        </left>
        <right style="thin">
          <color auto="1"/>
        </right>
        <vertical/>
        <horizontal/>
      </border>
    </dxf>
    <dxf>
      <border>
        <left/>
        <right/>
        <top/>
        <bottom/>
        <vertical/>
        <horizontal/>
      </border>
    </dxf>
    <dxf>
      <font>
        <color rgb="FFC00000"/>
      </font>
    </dxf>
    <dxf>
      <border>
        <left/>
        <right/>
        <top/>
        <bottom/>
        <vertical/>
        <horizontal/>
      </border>
    </dxf>
    <dxf>
      <border>
        <left style="thin">
          <color auto="1"/>
        </left>
        <right style="thin">
          <color auto="1"/>
        </right>
        <vertical/>
        <horizontal/>
      </border>
    </dxf>
    <dxf>
      <font>
        <color theme="0"/>
      </font>
    </dxf>
    <dxf>
      <fill>
        <patternFill patternType="none">
          <bgColor auto="1"/>
        </patternFill>
      </fill>
    </dxf>
    <dxf>
      <font>
        <color theme="0"/>
      </font>
      <fill>
        <patternFill patternType="solid">
          <bgColor theme="0"/>
        </patternFill>
      </fill>
      <border>
        <left/>
        <right/>
        <top/>
        <bottom/>
      </border>
    </dxf>
    <dxf>
      <fill>
        <patternFill>
          <bgColor theme="2" tint="-0.499984740745262"/>
        </patternFill>
      </fill>
    </dxf>
    <dxf>
      <font>
        <color theme="0"/>
      </font>
      <fill>
        <patternFill patternType="solid">
          <bgColor theme="0"/>
        </patternFill>
      </fill>
      <border>
        <left/>
        <right/>
        <top/>
        <bottom/>
      </border>
    </dxf>
    <dxf>
      <fill>
        <patternFill>
          <bgColor theme="8" tint="0.39994506668294322"/>
        </patternFill>
      </fill>
    </dxf>
    <dxf>
      <font>
        <color theme="0"/>
      </font>
      <fill>
        <patternFill patternType="solid">
          <bgColor theme="0"/>
        </patternFill>
      </fill>
      <border>
        <left/>
        <right/>
        <top/>
        <bottom/>
      </border>
    </dxf>
    <dxf>
      <fill>
        <patternFill patternType="none">
          <bgColor auto="1"/>
        </patternFill>
      </fill>
    </dxf>
    <dxf>
      <font>
        <color theme="0"/>
      </font>
      <fill>
        <patternFill patternType="solid">
          <bgColor theme="0"/>
        </patternFill>
      </fill>
      <border>
        <left/>
        <right/>
        <top/>
        <bottom/>
      </border>
    </dxf>
    <dxf>
      <fill>
        <patternFill>
          <bgColor theme="2" tint="-0.499984740745262"/>
        </patternFill>
      </fill>
    </dxf>
    <dxf>
      <font>
        <color theme="0"/>
      </font>
      <fill>
        <patternFill patternType="solid">
          <bgColor theme="0"/>
        </patternFill>
      </fill>
      <border>
        <left/>
        <right/>
        <top/>
        <bottom/>
      </border>
    </dxf>
    <dxf>
      <fill>
        <patternFill>
          <bgColor theme="8" tint="0.39994506668294322"/>
        </patternFill>
      </fill>
    </dxf>
    <dxf>
      <font>
        <color theme="0"/>
      </font>
      <fill>
        <patternFill patternType="solid">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fgColor theme="0"/>
          <bgColor theme="0"/>
        </patternFill>
      </fill>
      <border>
        <left/>
        <right/>
        <top/>
        <bottom/>
      </border>
    </dxf>
    <dxf>
      <font>
        <color theme="0"/>
      </font>
      <fill>
        <patternFill>
          <f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border>
        <top style="thin">
          <color auto="1"/>
        </top>
        <vertical/>
        <horizontal/>
      </border>
    </dxf>
    <dxf>
      <font>
        <color theme="0"/>
      </font>
      <fill>
        <patternFill>
          <bgColor theme="0"/>
        </patternFill>
      </fill>
      <border>
        <left/>
        <right/>
        <top/>
        <bottom/>
      </border>
    </dxf>
    <dxf>
      <fill>
        <patternFill>
          <bgColor theme="0" tint="-0.34998626667073579"/>
        </patternFill>
      </fill>
    </dxf>
    <dxf>
      <font>
        <color theme="0"/>
      </font>
      <fill>
        <patternFill>
          <bgColor theme="0"/>
        </patternFill>
      </fill>
      <border>
        <left/>
        <right/>
        <top/>
        <bottom/>
      </border>
    </dxf>
    <dxf>
      <border>
        <left style="thin">
          <color auto="1"/>
        </left>
        <vertical/>
        <horizontal/>
      </border>
    </dxf>
    <dxf>
      <fill>
        <patternFill>
          <bgColor theme="7"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solid">
          <bgColor theme="0"/>
        </patternFill>
      </fill>
      <border>
        <left/>
        <right/>
        <top/>
        <bottom/>
        <vertical/>
        <horizontal/>
      </border>
    </dxf>
    <dxf>
      <font>
        <b/>
        <i val="0"/>
        <color theme="0"/>
      </font>
    </dxf>
    <dxf>
      <font>
        <color theme="0"/>
      </font>
      <fill>
        <patternFill>
          <bgColor theme="0"/>
        </patternFill>
      </fill>
      <border>
        <left/>
        <right/>
        <top/>
        <bottom/>
      </border>
    </dxf>
    <dxf>
      <border>
        <top style="thin">
          <color auto="1"/>
        </top>
        <bottom style="thin">
          <color auto="1"/>
        </bottom>
        <vertical/>
        <horizontal/>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b/>
        <i val="0"/>
        <color rgb="FFC00000"/>
      </font>
    </dxf>
    <dxf>
      <font>
        <color rgb="FFC00000"/>
      </font>
    </dxf>
    <dxf>
      <font>
        <color theme="0"/>
      </font>
      <fill>
        <patternFill patternType="none">
          <bgColor auto="1"/>
        </patternFill>
      </fill>
      <border>
        <left/>
        <right/>
        <top/>
        <bottom/>
        <vertical/>
        <horizontal/>
      </border>
    </dxf>
    <dxf>
      <font>
        <b/>
        <i val="0"/>
        <color theme="0"/>
      </font>
      <fill>
        <patternFill>
          <bgColor rgb="FFC00000"/>
        </patternFill>
      </fill>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dxf>
    <dxf>
      <font>
        <color theme="0"/>
      </font>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vertical/>
        <horizontal/>
      </border>
    </dxf>
    <dxf>
      <font>
        <color theme="0"/>
      </font>
      <fill>
        <patternFill>
          <bgColor theme="0"/>
        </patternFill>
      </fill>
      <border>
        <left/>
        <right/>
        <top/>
        <bottom/>
        <vertical/>
        <horizontal/>
      </border>
    </dxf>
    <dxf>
      <font>
        <color theme="0"/>
      </font>
      <fill>
        <patternFill>
          <bgColor theme="0"/>
        </patternFill>
      </fill>
    </dxf>
    <dxf>
      <font>
        <b/>
        <i val="0"/>
        <color rgb="FFFF0000"/>
      </font>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dxf>
    <dxf>
      <font>
        <color theme="0"/>
      </font>
      <fill>
        <patternFill>
          <bgColor theme="0"/>
        </patternFill>
      </fill>
    </dxf>
    <dxf>
      <font>
        <color theme="0"/>
      </font>
      <fill>
        <patternFill patternType="none">
          <bgColor auto="1"/>
        </patternFill>
      </fill>
      <border>
        <left style="thin">
          <color auto="1"/>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b/>
        <i val="0"/>
        <color rgb="FFFF0000"/>
      </font>
    </dxf>
    <dxf>
      <font>
        <color theme="0"/>
      </font>
      <fill>
        <patternFill>
          <bgColor theme="0"/>
        </patternFill>
      </fill>
      <border>
        <left/>
        <right/>
        <top/>
        <bottom/>
      </border>
    </dxf>
    <dxf>
      <font>
        <color theme="0"/>
      </font>
      <fill>
        <patternFill patternType="solid">
          <bgColor theme="0"/>
        </patternFill>
      </fill>
      <border>
        <left/>
        <right/>
        <top/>
        <bottom/>
        <vertical/>
        <horizontal/>
      </border>
    </dxf>
    <dxf>
      <font>
        <color theme="0"/>
      </font>
    </dxf>
    <dxf>
      <font>
        <color rgb="FF9C0006"/>
      </font>
      <fill>
        <patternFill>
          <bgColor rgb="FFFFC7CE"/>
        </patternFill>
      </fill>
    </dxf>
    <dxf>
      <font>
        <b/>
        <i val="0"/>
        <color theme="0"/>
      </font>
      <fill>
        <patternFill>
          <bgColor rgb="FFC0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F"/>
      <color rgb="FF1E7FB8"/>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35"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Total COVID-19 Cases</a:t>
            </a:r>
            <a:br>
              <a:rPr lang="en-US" b="1">
                <a:solidFill>
                  <a:schemeClr val="tx1"/>
                </a:solidFill>
              </a:rPr>
            </a:br>
            <a:r>
              <a:rPr lang="en-US" sz="1200" b="0" i="1">
                <a:solidFill>
                  <a:schemeClr val="tx1"/>
                </a:solidFill>
              </a:rPr>
              <a:t>Over</a:t>
            </a:r>
            <a:r>
              <a:rPr lang="en-US" sz="1200" b="0" i="1" baseline="0">
                <a:solidFill>
                  <a:schemeClr val="tx1"/>
                </a:solidFill>
              </a:rPr>
              <a:t> Forecast Period</a:t>
            </a:r>
            <a:endParaRPr lang="en-US" b="1">
              <a:solidFill>
                <a:schemeClr val="tx1"/>
              </a:solidFill>
            </a:endParaRPr>
          </a:p>
        </c:rich>
      </c:tx>
      <c:layout>
        <c:manualLayout>
          <c:xMode val="edge"/>
          <c:yMode val="edge"/>
          <c:x val="0.63559426361375171"/>
          <c:y val="3.0586522355755798E-2"/>
        </c:manualLayout>
      </c:layout>
      <c:overlay val="1"/>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3606037340571"/>
          <c:y val="5.2287571914125613E-2"/>
          <c:w val="0.50514733277387946"/>
          <c:h val="0.81978191927951694"/>
        </c:manualLayout>
      </c:layout>
      <c:barChart>
        <c:barDir val="col"/>
        <c:grouping val="stacked"/>
        <c:varyColors val="0"/>
        <c:ser>
          <c:idx val="3"/>
          <c:order val="0"/>
          <c:tx>
            <c:v>Mild Cases</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Dashboard'!$C$27</c:f>
              <c:numCache>
                <c:formatCode>_(* #,##0_);_(* \(#,##0\);_(* "-"??_);_(@_)</c:formatCode>
                <c:ptCount val="1"/>
                <c:pt idx="0">
                  <c:v>804.91719980139828</c:v>
                </c:pt>
              </c:numCache>
            </c:numRef>
          </c:val>
          <c:extLst>
            <c:ext xmlns:c16="http://schemas.microsoft.com/office/drawing/2014/chart" uri="{C3380CC4-5D6E-409C-BE32-E72D297353CC}">
              <c16:uniqueId val="{00000000-0BD7-4566-B9E8-783F7408EB42}"/>
            </c:ext>
          </c:extLst>
        </c:ser>
        <c:ser>
          <c:idx val="0"/>
          <c:order val="1"/>
          <c:tx>
            <c:v>Moderate Cases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Dashboard'!$C$28</c:f>
              <c:numCache>
                <c:formatCode>_(* #,##0_);_(* \(#,##0\);_(* "-"??_);_(@_)</c:formatCode>
                <c:ptCount val="1"/>
                <c:pt idx="0">
                  <c:v>804.91719980139828</c:v>
                </c:pt>
              </c:numCache>
            </c:numRef>
          </c:val>
          <c:extLst>
            <c:ext xmlns:c16="http://schemas.microsoft.com/office/drawing/2014/chart" uri="{C3380CC4-5D6E-409C-BE32-E72D297353CC}">
              <c16:uniqueId val="{00000000-D134-477C-BC17-E3F1C40F83EB}"/>
            </c:ext>
          </c:extLst>
        </c:ser>
        <c:ser>
          <c:idx val="1"/>
          <c:order val="2"/>
          <c:tx>
            <c:v>Severe Cases</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Dashboard'!$C$29</c:f>
              <c:numCache>
                <c:formatCode>_(* #,##0_);_(* \(#,##0\);_(* "-"??_);_(@_)</c:formatCode>
                <c:ptCount val="1"/>
                <c:pt idx="0">
                  <c:v>301.84394992552433</c:v>
                </c:pt>
              </c:numCache>
            </c:numRef>
          </c:val>
          <c:extLst>
            <c:ext xmlns:c16="http://schemas.microsoft.com/office/drawing/2014/chart" uri="{C3380CC4-5D6E-409C-BE32-E72D297353CC}">
              <c16:uniqueId val="{00000001-D134-477C-BC17-E3F1C40F83EB}"/>
            </c:ext>
          </c:extLst>
        </c:ser>
        <c:ser>
          <c:idx val="2"/>
          <c:order val="3"/>
          <c:tx>
            <c:v>Critical Cases</c:v>
          </c:tx>
          <c:spPr>
            <a:solidFill>
              <a:srgbClr val="C00000"/>
            </a:solidFill>
            <a:ln>
              <a:noFill/>
            </a:ln>
            <a:effectLst/>
          </c:spPr>
          <c:invertIfNegative val="0"/>
          <c:dLbls>
            <c:dLbl>
              <c:idx val="0"/>
              <c:layout>
                <c:manualLayout>
                  <c:x val="3.1739676670163031E-3"/>
                  <c:y val="-0.1578603822671182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2-465B-8AF4-EE489F4C067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Dashboard'!$C$30</c:f>
              <c:numCache>
                <c:formatCode>_(* #,##0_);_(* \(#,##0\);_(* "-"??_);_(@_)</c:formatCode>
                <c:ptCount val="1"/>
                <c:pt idx="0">
                  <c:v>100.61464997517479</c:v>
                </c:pt>
              </c:numCache>
            </c:numRef>
          </c:val>
          <c:extLst>
            <c:ext xmlns:c16="http://schemas.microsoft.com/office/drawing/2014/chart" uri="{C3380CC4-5D6E-409C-BE32-E72D297353CC}">
              <c16:uniqueId val="{00000002-D134-477C-BC17-E3F1C40F83EB}"/>
            </c:ext>
          </c:extLst>
        </c:ser>
        <c:dLbls>
          <c:showLegendKey val="0"/>
          <c:showVal val="0"/>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66436481620315979"/>
          <c:y val="0.32418602332918989"/>
          <c:w val="0.29602877261354149"/>
          <c:h val="0.4736296781852590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Oxygen Needed (flow rate of m3/day) At End of Each Week (Constrained</a:t>
            </a:r>
            <a:r>
              <a:rPr lang="en-US" b="1" baseline="0">
                <a:solidFill>
                  <a:sysClr val="windowText" lastClr="000000"/>
                </a:solidFill>
              </a:rPr>
              <a:t> by Bed Availability)</a:t>
            </a:r>
            <a:endParaRPr lang="en-US" b="0" i="1">
              <a:solidFill>
                <a:sysClr val="windowText" lastClr="000000"/>
              </a:solidFill>
            </a:endParaRPr>
          </a:p>
        </c:rich>
      </c:tx>
      <c:layout>
        <c:manualLayout>
          <c:xMode val="edge"/>
          <c:yMode val="edge"/>
          <c:x val="0.19817046168555799"/>
          <c:y val="2.9442796736434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351017265081048E-2"/>
          <c:y val="0.18518518518518517"/>
          <c:w val="0.82532446863117437"/>
          <c:h val="0.54623567704887666"/>
        </c:manualLayout>
      </c:layout>
      <c:barChart>
        <c:barDir val="col"/>
        <c:grouping val="stacked"/>
        <c:varyColors val="0"/>
        <c:ser>
          <c:idx val="0"/>
          <c:order val="0"/>
          <c:tx>
            <c:v>Severe Patient O2 Need</c:v>
          </c:tx>
          <c:spPr>
            <a:solidFill>
              <a:schemeClr val="tx2"/>
            </a:solidFill>
            <a:ln>
              <a:solidFill>
                <a:schemeClr val="tx2"/>
              </a:solidFill>
            </a:ln>
            <a:effectLst/>
          </c:spPr>
          <c:invertIfNegative val="0"/>
          <c:val>
            <c:numRef>
              <c:f>[0]!Chart_severe_O2need</c:f>
              <c:numCache>
                <c:formatCode>0</c:formatCode>
                <c:ptCount val="6"/>
                <c:pt idx="0">
                  <c:v>0</c:v>
                </c:pt>
                <c:pt idx="1">
                  <c:v>22.122991446461814</c:v>
                </c:pt>
                <c:pt idx="2">
                  <c:v>76.025104653260982</c:v>
                </c:pt>
                <c:pt idx="3">
                  <c:v>261.24968040190799</c:v>
                </c:pt>
                <c:pt idx="4">
                  <c:v>897.64560697740808</c:v>
                </c:pt>
                <c:pt idx="5">
                  <c:v>3083.0718585744803</c:v>
                </c:pt>
              </c:numCache>
            </c:numRef>
          </c:val>
          <c:extLst>
            <c:ext xmlns:c16="http://schemas.microsoft.com/office/drawing/2014/chart" uri="{C3380CC4-5D6E-409C-BE32-E72D297353CC}">
              <c16:uniqueId val="{00000004-52A0-4656-AB7B-055C8C0FA8EC}"/>
            </c:ext>
          </c:extLst>
        </c:ser>
        <c:ser>
          <c:idx val="1"/>
          <c:order val="1"/>
          <c:tx>
            <c:v>Critical Patient (invasive and non-invasive vent) O2 Need</c:v>
          </c:tx>
          <c:spPr>
            <a:solidFill>
              <a:srgbClr val="C00000"/>
            </a:solidFill>
            <a:ln>
              <a:solidFill>
                <a:srgbClr val="C00000"/>
              </a:solidFill>
            </a:ln>
            <a:effectLst/>
          </c:spPr>
          <c:invertIfNegative val="0"/>
          <c:val>
            <c:numRef>
              <c:f>[0]!Chart_critical_O2need</c:f>
              <c:numCache>
                <c:formatCode>0</c:formatCode>
                <c:ptCount val="6"/>
                <c:pt idx="0">
                  <c:v>0</c:v>
                </c:pt>
                <c:pt idx="1">
                  <c:v>0</c:v>
                </c:pt>
                <c:pt idx="2">
                  <c:v>98.148096099722778</c:v>
                </c:pt>
                <c:pt idx="3">
                  <c:v>337.27478505516893</c:v>
                </c:pt>
                <c:pt idx="4">
                  <c:v>1158.8952873793162</c:v>
                </c:pt>
                <c:pt idx="5">
                  <c:v>3980.7174655518893</c:v>
                </c:pt>
              </c:numCache>
            </c:numRef>
          </c:val>
          <c:extLst>
            <c:ext xmlns:c16="http://schemas.microsoft.com/office/drawing/2014/chart" uri="{C3380CC4-5D6E-409C-BE32-E72D297353CC}">
              <c16:uniqueId val="{00000005-52A0-4656-AB7B-055C8C0FA8EC}"/>
            </c:ext>
          </c:extLst>
        </c:ser>
        <c:dLbls>
          <c:showLegendKey val="0"/>
          <c:showVal val="0"/>
          <c:showCatName val="0"/>
          <c:showSerName val="0"/>
          <c:showPercent val="0"/>
          <c:showBubbleSize val="0"/>
        </c:dLbls>
        <c:gapWidth val="150"/>
        <c:overlap val="100"/>
        <c:axId val="192198224"/>
        <c:axId val="192197568"/>
      </c:bar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layout>
            <c:manualLayout>
              <c:xMode val="edge"/>
              <c:yMode val="edge"/>
              <c:x val="0.45700369916380112"/>
              <c:y val="0.817653842327363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O2 Need (m3)</a:t>
                </a:r>
              </a:p>
            </c:rich>
          </c:tx>
          <c:layout>
            <c:manualLayout>
              <c:xMode val="edge"/>
              <c:yMode val="edge"/>
              <c:x val="1.1515636830929229E-2"/>
              <c:y val="0.25767135398987606"/>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legend>
      <c:legendPos val="b"/>
      <c:layout>
        <c:manualLayout>
          <c:xMode val="edge"/>
          <c:yMode val="edge"/>
          <c:x val="0.18495534922619195"/>
          <c:y val="0.90735965071696756"/>
          <c:w val="0.63369159569519928"/>
          <c:h val="9.01516193850905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Total testing volume over forecasted period, with unlimited testing capacity</a:t>
            </a:r>
            <a:endParaRPr lang="en-US" sz="1200" b="1">
              <a:solidFill>
                <a:schemeClr val="tx1"/>
              </a:solidFill>
            </a:endParaRPr>
          </a:p>
        </c:rich>
      </c:tx>
      <c:layout>
        <c:manualLayout>
          <c:xMode val="edge"/>
          <c:yMode val="edge"/>
          <c:x val="0.14268313763492593"/>
          <c:y val="0"/>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25075233048225"/>
          <c:y val="0.2082007890559428"/>
          <c:w val="0.42791273448660455"/>
          <c:h val="0.66469958319762923"/>
        </c:manualLayout>
      </c:layout>
      <c:barChart>
        <c:barDir val="col"/>
        <c:grouping val="stacked"/>
        <c:varyColors val="0"/>
        <c:ser>
          <c:idx val="2"/>
          <c:order val="0"/>
          <c:tx>
            <c:v>Suspected but Negative</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Dashboard'!$F$67</c:f>
              <c:numCache>
                <c:formatCode>_(* #,##0_);_(* \(#,##0\);_(* "-"??_);_(@_)</c:formatCode>
                <c:ptCount val="1"/>
                <c:pt idx="0">
                  <c:v>2012.2929995034956</c:v>
                </c:pt>
              </c:numCache>
            </c:numRef>
          </c:val>
          <c:extLst>
            <c:ext xmlns:c16="http://schemas.microsoft.com/office/drawing/2014/chart" uri="{C3380CC4-5D6E-409C-BE32-E72D297353CC}">
              <c16:uniqueId val="{00000001-999C-44CE-A298-8F79F1401890}"/>
            </c:ext>
          </c:extLst>
        </c:ser>
        <c:ser>
          <c:idx val="1"/>
          <c:order val="1"/>
          <c:tx>
            <c:v>Diagnosis: Mild/Moderate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Dashboard'!$E$67</c:f>
              <c:numCache>
                <c:formatCode>_(* #,##0_);_(* \(#,##0\);_(* "-"??_);_(@_)</c:formatCode>
                <c:ptCount val="1"/>
                <c:pt idx="0">
                  <c:v>160.98343996027967</c:v>
                </c:pt>
              </c:numCache>
            </c:numRef>
          </c:val>
          <c:extLst>
            <c:ext xmlns:c16="http://schemas.microsoft.com/office/drawing/2014/chart" uri="{C3380CC4-5D6E-409C-BE32-E72D297353CC}">
              <c16:uniqueId val="{00000000-999C-44CE-A298-8F79F1401890}"/>
            </c:ext>
          </c:extLst>
        </c:ser>
        <c:ser>
          <c:idx val="0"/>
          <c:order val="2"/>
          <c:tx>
            <c:v>Diagnosis: Severe/Critical</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Tests</c:v>
              </c:pt>
            </c:strLit>
          </c:cat>
          <c:val>
            <c:numRef>
              <c:f>'User Dashboard'!$E$69</c:f>
              <c:numCache>
                <c:formatCode>_(* #,##0_);_(* \(#,##0\);_(* "-"??_);_(@_)</c:formatCode>
                <c:ptCount val="1"/>
                <c:pt idx="0">
                  <c:v>402.45859990069914</c:v>
                </c:pt>
              </c:numCache>
            </c:numRef>
          </c:val>
          <c:extLst>
            <c:ext xmlns:c16="http://schemas.microsoft.com/office/drawing/2014/chart" uri="{C3380CC4-5D6E-409C-BE32-E72D297353CC}">
              <c16:uniqueId val="{00000000-A05E-4FF0-BE10-9CF4BFE68305}"/>
            </c:ext>
          </c:extLst>
        </c:ser>
        <c:ser>
          <c:idx val="3"/>
          <c:order val="3"/>
          <c:tx>
            <c:v>Release of Severe/Critical</c:v>
          </c:tx>
          <c:spPr>
            <a:solidFill>
              <a:schemeClr val="bg1">
                <a:lumMod val="65000"/>
              </a:schemeClr>
            </a:solidFill>
            <a:ln>
              <a:noFill/>
            </a:ln>
            <a:effectLst/>
          </c:spPr>
          <c:invertIfNegative val="0"/>
          <c:dLbls>
            <c:dLbl>
              <c:idx val="0"/>
              <c:layout>
                <c:manualLayout>
                  <c:x val="-2.7258565306586386E-3"/>
                  <c:y val="-5.2957347538184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2A-493B-AE1A-014A635568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Dashboard'!$F$69</c:f>
              <c:numCache>
                <c:formatCode>_(* #,##0_);_(* \(#,##0\);_(* "-"??_);_(@_)</c:formatCode>
                <c:ptCount val="1"/>
                <c:pt idx="0">
                  <c:v>311.85908562309146</c:v>
                </c:pt>
              </c:numCache>
            </c:numRef>
          </c:val>
          <c:extLst>
            <c:ext xmlns:c16="http://schemas.microsoft.com/office/drawing/2014/chart" uri="{C3380CC4-5D6E-409C-BE32-E72D297353CC}">
              <c16:uniqueId val="{00000002-999C-44CE-A298-8F79F1401890}"/>
            </c:ext>
          </c:extLst>
        </c:ser>
        <c:dLbls>
          <c:dLblPos val="ctr"/>
          <c:showLegendKey val="0"/>
          <c:showVal val="1"/>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56865001505959301"/>
          <c:y val="0.21029952933420515"/>
          <c:w val="0.40432662105761374"/>
          <c:h val="0.6976207330714321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HCWs</a:t>
            </a:r>
            <a:r>
              <a:rPr lang="en-US" b="1" baseline="0">
                <a:solidFill>
                  <a:sysClr val="windowText" lastClr="000000"/>
                </a:solidFill>
              </a:rPr>
              <a:t> Needed Each Week (constrained by bed and HCW capacity)</a:t>
            </a:r>
            <a:endParaRPr lang="en-US" b="0" i="1">
              <a:solidFill>
                <a:sysClr val="windowText" lastClr="000000"/>
              </a:solidFill>
            </a:endParaRPr>
          </a:p>
        </c:rich>
      </c:tx>
      <c:layout>
        <c:manualLayout>
          <c:xMode val="edge"/>
          <c:yMode val="edge"/>
          <c:x val="0.2244967191078936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995420666731963E-2"/>
          <c:y val="0.18518518518518517"/>
          <c:w val="0.80751447741720073"/>
          <c:h val="0.6518598716827062"/>
        </c:manualLayout>
      </c:layout>
      <c:lineChart>
        <c:grouping val="standard"/>
        <c:varyColors val="0"/>
        <c:ser>
          <c:idx val="0"/>
          <c:order val="0"/>
          <c:tx>
            <c:strRef>
              <c:f>'User Dashboard'!$K$86</c:f>
              <c:strCache>
                <c:ptCount val="1"/>
                <c:pt idx="0">
                  <c:v>Inpatient HCW</c:v>
                </c:pt>
              </c:strCache>
            </c:strRef>
          </c:tx>
          <c:spPr>
            <a:ln w="28575" cap="rnd">
              <a:solidFill>
                <a:schemeClr val="accent1"/>
              </a:solidFill>
              <a:round/>
            </a:ln>
            <a:effectLst/>
          </c:spPr>
          <c:marker>
            <c:symbol val="none"/>
          </c:marker>
          <c:cat>
            <c:numRef>
              <c:f>[0]!chart_axis</c:f>
              <c:numCache>
                <c:formatCode>General</c:formatCode>
                <c:ptCount val="6"/>
                <c:pt idx="0" formatCode="0">
                  <c:v>1</c:v>
                </c:pt>
                <c:pt idx="1">
                  <c:v>2</c:v>
                </c:pt>
                <c:pt idx="2">
                  <c:v>3</c:v>
                </c:pt>
                <c:pt idx="3">
                  <c:v>4</c:v>
                </c:pt>
                <c:pt idx="4">
                  <c:v>5</c:v>
                </c:pt>
                <c:pt idx="5">
                  <c:v>6</c:v>
                </c:pt>
              </c:numCache>
            </c:numRef>
          </c:cat>
          <c:val>
            <c:numRef>
              <c:f>[0]!chart_inpatient_hcw</c:f>
              <c:numCache>
                <c:formatCode>0</c:formatCode>
                <c:ptCount val="6"/>
                <c:pt idx="0">
                  <c:v>1.823282621323133</c:v>
                </c:pt>
                <c:pt idx="1">
                  <c:v>6.2013650861886918</c:v>
                </c:pt>
                <c:pt idx="2">
                  <c:v>21.310849395301137</c:v>
                </c:pt>
                <c:pt idx="3">
                  <c:v>73.23193000046318</c:v>
                </c:pt>
                <c:pt idx="4">
                  <c:v>251.62453528776308</c:v>
                </c:pt>
                <c:pt idx="5">
                  <c:v>864.25775054312828</c:v>
                </c:pt>
              </c:numCache>
            </c:numRef>
          </c:val>
          <c:smooth val="0"/>
          <c:extLst>
            <c:ext xmlns:c16="http://schemas.microsoft.com/office/drawing/2014/chart" uri="{C3380CC4-5D6E-409C-BE32-E72D297353CC}">
              <c16:uniqueId val="{00000000-3EF0-417A-99D4-7693EE1D1A4F}"/>
            </c:ext>
          </c:extLst>
        </c:ser>
        <c:ser>
          <c:idx val="1"/>
          <c:order val="1"/>
          <c:tx>
            <c:strRef>
              <c:f>'User Dashboard'!$K$88</c:f>
              <c:strCache>
                <c:ptCount val="1"/>
                <c:pt idx="0">
                  <c:v>Screening/triage</c:v>
                </c:pt>
              </c:strCache>
            </c:strRef>
          </c:tx>
          <c:spPr>
            <a:ln w="28575" cap="rnd">
              <a:solidFill>
                <a:schemeClr val="accent6"/>
              </a:solidFill>
              <a:round/>
            </a:ln>
            <a:effectLst/>
          </c:spPr>
          <c:marker>
            <c:symbol val="none"/>
          </c:marker>
          <c:cat>
            <c:numRef>
              <c:f>[0]!chart_axis</c:f>
              <c:numCache>
                <c:formatCode>General</c:formatCode>
                <c:ptCount val="6"/>
                <c:pt idx="0" formatCode="0">
                  <c:v>1</c:v>
                </c:pt>
                <c:pt idx="1">
                  <c:v>2</c:v>
                </c:pt>
                <c:pt idx="2">
                  <c:v>3</c:v>
                </c:pt>
                <c:pt idx="3">
                  <c:v>4</c:v>
                </c:pt>
                <c:pt idx="4">
                  <c:v>5</c:v>
                </c:pt>
                <c:pt idx="5">
                  <c:v>6</c:v>
                </c:pt>
              </c:numCache>
            </c:numRef>
          </c:cat>
          <c:val>
            <c:numRef>
              <c:f>[0]!chart_outpatient_hcw</c:f>
              <c:numCache>
                <c:formatCode>0</c:formatCode>
                <c:ptCount val="6"/>
                <c:pt idx="0">
                  <c:v>1</c:v>
                </c:pt>
                <c:pt idx="1">
                  <c:v>1</c:v>
                </c:pt>
                <c:pt idx="2">
                  <c:v>1</c:v>
                </c:pt>
                <c:pt idx="3">
                  <c:v>2</c:v>
                </c:pt>
                <c:pt idx="4">
                  <c:v>7</c:v>
                </c:pt>
                <c:pt idx="5">
                  <c:v>23</c:v>
                </c:pt>
              </c:numCache>
            </c:numRef>
          </c:val>
          <c:smooth val="0"/>
          <c:extLst>
            <c:ext xmlns:c16="http://schemas.microsoft.com/office/drawing/2014/chart" uri="{C3380CC4-5D6E-409C-BE32-E72D297353CC}">
              <c16:uniqueId val="{00000001-3EF0-417A-99D4-7693EE1D1A4F}"/>
            </c:ext>
          </c:extLst>
        </c:ser>
        <c:dLbls>
          <c:showLegendKey val="0"/>
          <c:showVal val="0"/>
          <c:showCatName val="0"/>
          <c:showSerName val="0"/>
          <c:showPercent val="0"/>
          <c:showBubbleSize val="0"/>
        </c:dLbls>
        <c:smooth val="0"/>
        <c:axId val="192198224"/>
        <c:axId val="192197568"/>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legend>
      <c:legendPos val="r"/>
      <c:layout>
        <c:manualLayout>
          <c:xMode val="edge"/>
          <c:yMode val="edge"/>
          <c:x val="0.84656171434935357"/>
          <c:y val="0.19265009924608684"/>
          <c:w val="0.15343833606530019"/>
          <c:h val="0.47109924943403508"/>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Total testing volume over forecasted period, capped by testing capacity</a:t>
            </a:r>
            <a:endParaRPr lang="en-US">
              <a:solidFill>
                <a:sysClr val="windowText" lastClr="000000"/>
              </a:solidFill>
              <a:effectLst/>
            </a:endParaRPr>
          </a:p>
        </c:rich>
      </c:tx>
      <c:layout>
        <c:manualLayout>
          <c:xMode val="edge"/>
          <c:yMode val="edge"/>
          <c:x val="0.17402159211920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629023995173534"/>
          <c:y val="0.18335358802442789"/>
          <c:w val="0.79309797477300104"/>
          <c:h val="0.68049538465093162"/>
        </c:manualLayout>
      </c:layout>
      <c:barChart>
        <c:barDir val="col"/>
        <c:grouping val="clustered"/>
        <c:varyColors val="0"/>
        <c:ser>
          <c:idx val="0"/>
          <c:order val="0"/>
          <c:spPr>
            <a:solidFill>
              <a:srgbClr val="1E7F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Tests (capped by testing capacity)</c:v>
              </c:pt>
            </c:strLit>
          </c:cat>
          <c:val>
            <c:numRef>
              <c:f>'Weekly Summary'!$BF$105</c:f>
              <c:numCache>
                <c:formatCode>_(* #,##0_);_(* \(#,##0\);_(* "-"??_);_(@_)</c:formatCode>
                <c:ptCount val="1"/>
                <c:pt idx="0">
                  <c:v>2887.5941249875659</c:v>
                </c:pt>
              </c:numCache>
            </c:numRef>
          </c:val>
          <c:extLst>
            <c:ext xmlns:c16="http://schemas.microsoft.com/office/drawing/2014/chart" uri="{C3380CC4-5D6E-409C-BE32-E72D297353CC}">
              <c16:uniqueId val="{00000000-AB65-442F-ADE0-287458E71886}"/>
            </c:ext>
          </c:extLst>
        </c:ser>
        <c:dLbls>
          <c:showLegendKey val="0"/>
          <c:showVal val="0"/>
          <c:showCatName val="0"/>
          <c:showSerName val="0"/>
          <c:showPercent val="0"/>
          <c:showBubbleSize val="0"/>
        </c:dLbls>
        <c:gapWidth val="219"/>
        <c:overlap val="-27"/>
        <c:axId val="962998264"/>
        <c:axId val="962995968"/>
      </c:barChart>
      <c:catAx>
        <c:axId val="96299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62995968"/>
        <c:crosses val="autoZero"/>
        <c:auto val="1"/>
        <c:lblAlgn val="ctr"/>
        <c:lblOffset val="100"/>
        <c:noMultiLvlLbl val="0"/>
      </c:catAx>
      <c:valAx>
        <c:axId val="9629959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2998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Total Inpatient Admissions</a:t>
            </a:r>
            <a:br>
              <a:rPr lang="en-US" b="1">
                <a:solidFill>
                  <a:schemeClr val="tx1"/>
                </a:solidFill>
              </a:rPr>
            </a:br>
            <a:r>
              <a:rPr lang="en-US" sz="1200" b="0" i="1">
                <a:solidFill>
                  <a:schemeClr val="tx1"/>
                </a:solidFill>
              </a:rPr>
              <a:t>Over</a:t>
            </a:r>
            <a:r>
              <a:rPr lang="en-US" sz="1200" b="0" i="1" baseline="0">
                <a:solidFill>
                  <a:schemeClr val="tx1"/>
                </a:solidFill>
              </a:rPr>
              <a:t> Forecast Period</a:t>
            </a:r>
            <a:br>
              <a:rPr lang="en-US" sz="1200" b="0" i="1" baseline="0">
                <a:solidFill>
                  <a:schemeClr val="tx1"/>
                </a:solidFill>
              </a:rPr>
            </a:br>
            <a:r>
              <a:rPr lang="en-US" sz="1200" b="0" i="1" baseline="0">
                <a:solidFill>
                  <a:schemeClr val="tx1"/>
                </a:solidFill>
              </a:rPr>
              <a:t>Constrained by bed availability</a:t>
            </a:r>
            <a:endParaRPr lang="en-US" b="1">
              <a:solidFill>
                <a:schemeClr val="tx1"/>
              </a:solidFill>
            </a:endParaRPr>
          </a:p>
        </c:rich>
      </c:tx>
      <c:layout>
        <c:manualLayout>
          <c:xMode val="edge"/>
          <c:yMode val="edge"/>
          <c:x val="0.59662316382090685"/>
          <c:y val="1.8139555256166471E-3"/>
        </c:manualLayout>
      </c:layout>
      <c:overlay val="1"/>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3606037340571"/>
          <c:y val="5.2287571914125613E-2"/>
          <c:w val="0.50514733277387946"/>
          <c:h val="0.81978191927951694"/>
        </c:manualLayout>
      </c:layout>
      <c:barChart>
        <c:barDir val="col"/>
        <c:grouping val="stacked"/>
        <c:varyColors val="0"/>
        <c:ser>
          <c:idx val="1"/>
          <c:order val="0"/>
          <c:tx>
            <c:v>Severe Admitted Cases</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Dashboard'!$C$52</c:f>
              <c:numCache>
                <c:formatCode>_(* #,##0_);_(* \(#,##0\);_(* "-"??_);_(@_)</c:formatCode>
                <c:ptCount val="1"/>
                <c:pt idx="0">
                  <c:v>301.84394992552433</c:v>
                </c:pt>
              </c:numCache>
            </c:numRef>
          </c:val>
          <c:extLst>
            <c:ext xmlns:c16="http://schemas.microsoft.com/office/drawing/2014/chart" uri="{C3380CC4-5D6E-409C-BE32-E72D297353CC}">
              <c16:uniqueId val="{00000002-33D0-4755-98E4-DFB6AF6CAB25}"/>
            </c:ext>
          </c:extLst>
        </c:ser>
        <c:ser>
          <c:idx val="2"/>
          <c:order val="1"/>
          <c:tx>
            <c:v>Critical Admitted Cases</c:v>
          </c:tx>
          <c:spPr>
            <a:solidFill>
              <a:srgbClr val="C00000"/>
            </a:solidFill>
            <a:ln>
              <a:noFill/>
            </a:ln>
            <a:effectLst/>
          </c:spPr>
          <c:invertIfNegative val="0"/>
          <c:dLbls>
            <c:dLbl>
              <c:idx val="0"/>
              <c:layout>
                <c:manualLayout>
                  <c:x val="0"/>
                  <c:y val="-0.13906740634567258"/>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D0-4755-98E4-DFB6AF6CAB2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Dashboard'!$C$53</c:f>
              <c:numCache>
                <c:formatCode>_(* #,##0_);_(* \(#,##0\);_(* "-"??_);_(@_)</c:formatCode>
                <c:ptCount val="1"/>
                <c:pt idx="0">
                  <c:v>100.61464997517479</c:v>
                </c:pt>
              </c:numCache>
            </c:numRef>
          </c:val>
          <c:extLst>
            <c:ext xmlns:c16="http://schemas.microsoft.com/office/drawing/2014/chart" uri="{C3380CC4-5D6E-409C-BE32-E72D297353CC}">
              <c16:uniqueId val="{00000003-33D0-4755-98E4-DFB6AF6CAB25}"/>
            </c:ext>
          </c:extLst>
        </c:ser>
        <c:dLbls>
          <c:dLblPos val="ctr"/>
          <c:showLegendKey val="0"/>
          <c:showVal val="1"/>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64054178940319251"/>
          <c:y val="0.31939059552416671"/>
          <c:w val="0.34320602916413689"/>
          <c:h val="0.4160845445249807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Inpatient</a:t>
            </a:r>
            <a:r>
              <a:rPr lang="en-US" b="1" baseline="0">
                <a:solidFill>
                  <a:sysClr val="windowText" lastClr="000000"/>
                </a:solidFill>
              </a:rPr>
              <a:t> Beds Filled Each Week (Constrained by Bed Availability)</a:t>
            </a:r>
            <a:endParaRPr lang="en-US" b="0" i="1">
              <a:solidFill>
                <a:sysClr val="windowText" lastClr="000000"/>
              </a:solidFill>
            </a:endParaRPr>
          </a:p>
        </c:rich>
      </c:tx>
      <c:layout>
        <c:manualLayout>
          <c:xMode val="edge"/>
          <c:yMode val="edge"/>
          <c:x val="0.25883395688730354"/>
          <c:y val="2.9442675651448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59066171860393E-2"/>
          <c:y val="0.18518518518518517"/>
          <c:w val="0.84171645350538649"/>
          <c:h val="0.54623567704887666"/>
        </c:manualLayout>
      </c:layout>
      <c:lineChart>
        <c:grouping val="standard"/>
        <c:varyColors val="0"/>
        <c:ser>
          <c:idx val="0"/>
          <c:order val="2"/>
          <c:tx>
            <c:strRef>
              <c:f>'User Dashboard'!$K$52</c:f>
              <c:strCache>
                <c:ptCount val="1"/>
                <c:pt idx="0">
                  <c:v>Severe Beds</c:v>
                </c:pt>
              </c:strCache>
            </c:strRef>
          </c:tx>
          <c:spPr>
            <a:ln w="28575" cap="rnd">
              <a:solidFill>
                <a:schemeClr val="tx2"/>
              </a:solidFill>
              <a:round/>
            </a:ln>
            <a:effectLst/>
          </c:spPr>
          <c:marker>
            <c:symbol val="none"/>
          </c:marker>
          <c:cat>
            <c:numRef>
              <c:f>[0]!chart_axis</c:f>
              <c:numCache>
                <c:formatCode>General</c:formatCode>
                <c:ptCount val="6"/>
                <c:pt idx="0" formatCode="0">
                  <c:v>1</c:v>
                </c:pt>
                <c:pt idx="1">
                  <c:v>2</c:v>
                </c:pt>
                <c:pt idx="2">
                  <c:v>3</c:v>
                </c:pt>
                <c:pt idx="3">
                  <c:v>4</c:v>
                </c:pt>
                <c:pt idx="4">
                  <c:v>5</c:v>
                </c:pt>
                <c:pt idx="5">
                  <c:v>6</c:v>
                </c:pt>
              </c:numCache>
            </c:numRef>
          </c:cat>
          <c:val>
            <c:numRef>
              <c:f>[0]!Chart_severe_beds</c:f>
              <c:numCache>
                <c:formatCode>0</c:formatCode>
                <c:ptCount val="6"/>
                <c:pt idx="0">
                  <c:v>0.44705811625212766</c:v>
                </c:pt>
                <c:pt idx="1">
                  <c:v>1.5363188504487368</c:v>
                </c:pt>
                <c:pt idx="2">
                  <c:v>5.2795211564764566</c:v>
                </c:pt>
                <c:pt idx="3">
                  <c:v>18.142338916799165</c:v>
                </c:pt>
                <c:pt idx="4">
                  <c:v>62.336500484542228</c:v>
                </c:pt>
                <c:pt idx="5">
                  <c:v>214.1022124010056</c:v>
                </c:pt>
              </c:numCache>
            </c:numRef>
          </c:val>
          <c:smooth val="0"/>
          <c:extLst>
            <c:ext xmlns:c16="http://schemas.microsoft.com/office/drawing/2014/chart" uri="{C3380CC4-5D6E-409C-BE32-E72D297353CC}">
              <c16:uniqueId val="{00000000-FE5E-41F0-A30C-1F8E7394762E}"/>
            </c:ext>
          </c:extLst>
        </c:ser>
        <c:ser>
          <c:idx val="3"/>
          <c:order val="3"/>
          <c:tx>
            <c:v>Severe Bed Cap</c:v>
          </c:tx>
          <c:spPr>
            <a:ln w="28575" cap="rnd">
              <a:solidFill>
                <a:schemeClr val="tx2"/>
              </a:solidFill>
              <a:prstDash val="sysDot"/>
              <a:round/>
            </a:ln>
            <a:effectLst/>
          </c:spPr>
          <c:marker>
            <c:symbol val="none"/>
          </c:marker>
          <c:val>
            <c:numRef>
              <c:f>[0]!Chart_severe_cap</c:f>
              <c:numCache>
                <c:formatCode>0</c:formatCode>
                <c:ptCount val="6"/>
                <c:pt idx="0">
                  <c:v>21526.255799999999</c:v>
                </c:pt>
                <c:pt idx="1">
                  <c:v>21526.255799999999</c:v>
                </c:pt>
                <c:pt idx="2">
                  <c:v>21526.255799999999</c:v>
                </c:pt>
                <c:pt idx="3">
                  <c:v>21526.255799999999</c:v>
                </c:pt>
                <c:pt idx="4">
                  <c:v>21526.255799999999</c:v>
                </c:pt>
                <c:pt idx="5">
                  <c:v>21526.255799999999</c:v>
                </c:pt>
              </c:numCache>
            </c:numRef>
          </c:val>
          <c:smooth val="0"/>
          <c:extLst>
            <c:ext xmlns:c16="http://schemas.microsoft.com/office/drawing/2014/chart" uri="{C3380CC4-5D6E-409C-BE32-E72D297353CC}">
              <c16:uniqueId val="{00000003-25AA-4C63-AC34-0045A10ACCF3}"/>
            </c:ext>
          </c:extLst>
        </c:ser>
        <c:dLbls>
          <c:showLegendKey val="0"/>
          <c:showVal val="0"/>
          <c:showCatName val="0"/>
          <c:showSerName val="0"/>
          <c:showPercent val="0"/>
          <c:showBubbleSize val="0"/>
        </c:dLbls>
        <c:marker val="1"/>
        <c:smooth val="0"/>
        <c:axId val="192198224"/>
        <c:axId val="192197568"/>
      </c:lineChart>
      <c:lineChart>
        <c:grouping val="standard"/>
        <c:varyColors val="0"/>
        <c:ser>
          <c:idx val="1"/>
          <c:order val="0"/>
          <c:tx>
            <c:strRef>
              <c:f>'User Dashboard'!$K$51</c:f>
              <c:strCache>
                <c:ptCount val="1"/>
                <c:pt idx="0">
                  <c:v>Critical Beds</c:v>
                </c:pt>
              </c:strCache>
            </c:strRef>
          </c:tx>
          <c:spPr>
            <a:ln w="28575" cap="rnd">
              <a:solidFill>
                <a:srgbClr val="C00000"/>
              </a:solidFill>
              <a:round/>
            </a:ln>
            <a:effectLst/>
          </c:spPr>
          <c:marker>
            <c:symbol val="none"/>
          </c:marker>
          <c:cat>
            <c:numRef>
              <c:f>[0]!chart_axis</c:f>
              <c:numCache>
                <c:formatCode>General</c:formatCode>
                <c:ptCount val="6"/>
                <c:pt idx="0" formatCode="0">
                  <c:v>1</c:v>
                </c:pt>
                <c:pt idx="1">
                  <c:v>2</c:v>
                </c:pt>
                <c:pt idx="2">
                  <c:v>3</c:v>
                </c:pt>
                <c:pt idx="3">
                  <c:v>4</c:v>
                </c:pt>
                <c:pt idx="4">
                  <c:v>5</c:v>
                </c:pt>
                <c:pt idx="5">
                  <c:v>6</c:v>
                </c:pt>
              </c:numCache>
            </c:numRef>
          </c:cat>
          <c:val>
            <c:numRef>
              <c:f>[0]!Chart_ICU_beds</c:f>
              <c:numCache>
                <c:formatCode>0</c:formatCode>
                <c:ptCount val="6"/>
                <c:pt idx="0">
                  <c:v>0.19901937208404258</c:v>
                </c:pt>
                <c:pt idx="1">
                  <c:v>0.6611256555669548</c:v>
                </c:pt>
                <c:pt idx="2">
                  <c:v>2.2719466689750645</c:v>
                </c:pt>
                <c:pt idx="3">
                  <c:v>7.8072866910918748</c:v>
                </c:pt>
                <c:pt idx="4">
                  <c:v>26.826279800447136</c:v>
                </c:pt>
                <c:pt idx="5">
                  <c:v>92.146237628515948</c:v>
                </c:pt>
              </c:numCache>
            </c:numRef>
          </c:val>
          <c:smooth val="0"/>
          <c:extLst>
            <c:ext xmlns:c16="http://schemas.microsoft.com/office/drawing/2014/chart" uri="{C3380CC4-5D6E-409C-BE32-E72D297353CC}">
              <c16:uniqueId val="{00000001-FE5E-41F0-A30C-1F8E7394762E}"/>
            </c:ext>
          </c:extLst>
        </c:ser>
        <c:ser>
          <c:idx val="2"/>
          <c:order val="1"/>
          <c:tx>
            <c:v>Critical Bed Cap</c:v>
          </c:tx>
          <c:spPr>
            <a:ln w="28575" cap="rnd">
              <a:solidFill>
                <a:srgbClr val="C00000"/>
              </a:solidFill>
              <a:prstDash val="sysDot"/>
              <a:round/>
            </a:ln>
            <a:effectLst/>
          </c:spPr>
          <c:marker>
            <c:symbol val="none"/>
          </c:marker>
          <c:val>
            <c:numRef>
              <c:f>[0]!Chart_Critical_cap</c:f>
              <c:numCache>
                <c:formatCode>0</c:formatCode>
                <c:ptCount val="6"/>
                <c:pt idx="0">
                  <c:v>889.14420000000007</c:v>
                </c:pt>
                <c:pt idx="1">
                  <c:v>889.14420000000007</c:v>
                </c:pt>
                <c:pt idx="2">
                  <c:v>889.14420000000007</c:v>
                </c:pt>
                <c:pt idx="3">
                  <c:v>889.14420000000007</c:v>
                </c:pt>
                <c:pt idx="4">
                  <c:v>889.14420000000007</c:v>
                </c:pt>
                <c:pt idx="5">
                  <c:v>889.14420000000007</c:v>
                </c:pt>
              </c:numCache>
            </c:numRef>
          </c:val>
          <c:smooth val="0"/>
          <c:extLst>
            <c:ext xmlns:c16="http://schemas.microsoft.com/office/drawing/2014/chart" uri="{C3380CC4-5D6E-409C-BE32-E72D297353CC}">
              <c16:uniqueId val="{00000002-25AA-4C63-AC34-0045A10ACCF3}"/>
            </c:ext>
          </c:extLst>
        </c:ser>
        <c:dLbls>
          <c:showLegendKey val="0"/>
          <c:showVal val="0"/>
          <c:showCatName val="0"/>
          <c:showSerName val="0"/>
          <c:showPercent val="0"/>
          <c:showBubbleSize val="0"/>
        </c:dLbls>
        <c:marker val="1"/>
        <c:smooth val="0"/>
        <c:axId val="516374712"/>
        <c:axId val="516382912"/>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layout>
            <c:manualLayout>
              <c:xMode val="edge"/>
              <c:yMode val="edge"/>
              <c:x val="0.45700364040787056"/>
              <c:y val="0.819428302061759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Severe Beds</a:t>
                </a:r>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valAx>
        <c:axId val="5163829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Critical Beds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74712"/>
        <c:crosses val="max"/>
        <c:crossBetween val="between"/>
      </c:valAx>
      <c:catAx>
        <c:axId val="516374712"/>
        <c:scaling>
          <c:orientation val="minMax"/>
        </c:scaling>
        <c:delete val="1"/>
        <c:axPos val="b"/>
        <c:numFmt formatCode="0" sourceLinked="1"/>
        <c:majorTickMark val="out"/>
        <c:minorTickMark val="none"/>
        <c:tickLblPos val="nextTo"/>
        <c:crossAx val="516382912"/>
        <c:crosses val="autoZero"/>
        <c:auto val="1"/>
        <c:lblAlgn val="ctr"/>
        <c:lblOffset val="100"/>
        <c:noMultiLvlLbl val="0"/>
      </c:catAx>
      <c:spPr>
        <a:noFill/>
        <a:ln>
          <a:noFill/>
        </a:ln>
        <a:effectLst/>
      </c:spPr>
    </c:plotArea>
    <c:legend>
      <c:legendPos val="b"/>
      <c:layout>
        <c:manualLayout>
          <c:xMode val="edge"/>
          <c:yMode val="edge"/>
          <c:x val="0.22539768128882631"/>
          <c:y val="0.90735966248681588"/>
          <c:w val="0.56947246398321438"/>
          <c:h val="9.264033751318409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solidFill>
                  <a:sysClr val="windowText" lastClr="000000"/>
                </a:solidFill>
              </a:rPr>
              <a:t>New COVID-19 Cases</a:t>
            </a:r>
            <a:r>
              <a:rPr lang="en-US" b="1" baseline="0">
                <a:solidFill>
                  <a:sysClr val="windowText" lastClr="000000"/>
                </a:solidFill>
              </a:rPr>
              <a:t> Each Week</a:t>
            </a:r>
          </a:p>
        </c:rich>
      </c:tx>
      <c:layout>
        <c:manualLayout>
          <c:xMode val="edge"/>
          <c:yMode val="edge"/>
          <c:x val="0.35976763563874148"/>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7995420666731963E-2"/>
          <c:y val="0.18518518518518517"/>
          <c:w val="0.80751447741720073"/>
          <c:h val="0.6518598716827062"/>
        </c:manualLayout>
      </c:layout>
      <c:lineChart>
        <c:grouping val="standard"/>
        <c:varyColors val="0"/>
        <c:ser>
          <c:idx val="0"/>
          <c:order val="0"/>
          <c:tx>
            <c:v>Mild Patients</c:v>
          </c:tx>
          <c:spPr>
            <a:ln w="28575" cap="rnd">
              <a:solidFill>
                <a:srgbClr val="002060"/>
              </a:solidFill>
              <a:round/>
            </a:ln>
            <a:effectLst/>
          </c:spPr>
          <c:marker>
            <c:symbol val="none"/>
          </c:marker>
          <c:cat>
            <c:numRef>
              <c:f>[0]!chart_axis</c:f>
              <c:numCache>
                <c:formatCode>General</c:formatCode>
                <c:ptCount val="6"/>
                <c:pt idx="0" formatCode="0">
                  <c:v>1</c:v>
                </c:pt>
                <c:pt idx="1">
                  <c:v>2</c:v>
                </c:pt>
                <c:pt idx="2">
                  <c:v>3</c:v>
                </c:pt>
                <c:pt idx="3">
                  <c:v>4</c:v>
                </c:pt>
                <c:pt idx="4">
                  <c:v>5</c:v>
                </c:pt>
                <c:pt idx="5">
                  <c:v>6</c:v>
                </c:pt>
              </c:numCache>
            </c:numRef>
          </c:cat>
          <c:val>
            <c:numRef>
              <c:f>[0]!Chart_milds</c:f>
              <c:numCache>
                <c:formatCode>0</c:formatCode>
                <c:ptCount val="6"/>
                <c:pt idx="0">
                  <c:v>1.1921549766723405</c:v>
                </c:pt>
                <c:pt idx="1">
                  <c:v>4.0968502678632976</c:v>
                </c:pt>
                <c:pt idx="2">
                  <c:v>14.078723083937218</c:v>
                </c:pt>
                <c:pt idx="3">
                  <c:v>48.379570444797778</c:v>
                </c:pt>
                <c:pt idx="4">
                  <c:v>166.23066795877932</c:v>
                </c:pt>
                <c:pt idx="5">
                  <c:v>570.93923306934835</c:v>
                </c:pt>
              </c:numCache>
            </c:numRef>
          </c:val>
          <c:smooth val="0"/>
          <c:extLst>
            <c:ext xmlns:c16="http://schemas.microsoft.com/office/drawing/2014/chart" uri="{C3380CC4-5D6E-409C-BE32-E72D297353CC}">
              <c16:uniqueId val="{00000001-D789-43AC-A2C7-BAE0612A1273}"/>
            </c:ext>
          </c:extLst>
        </c:ser>
        <c:ser>
          <c:idx val="1"/>
          <c:order val="1"/>
          <c:tx>
            <c:v>Moderate Patients</c:v>
          </c:tx>
          <c:spPr>
            <a:ln w="28575" cap="rnd">
              <a:solidFill>
                <a:schemeClr val="accent1"/>
              </a:solidFill>
              <a:round/>
            </a:ln>
            <a:effectLst/>
          </c:spPr>
          <c:marker>
            <c:symbol val="none"/>
          </c:marker>
          <c:val>
            <c:numRef>
              <c:f>[0]!chart_moderates</c:f>
              <c:numCache>
                <c:formatCode>0</c:formatCode>
                <c:ptCount val="6"/>
                <c:pt idx="0">
                  <c:v>1.1921549766723405</c:v>
                </c:pt>
                <c:pt idx="1">
                  <c:v>4.0968502678632976</c:v>
                </c:pt>
                <c:pt idx="2">
                  <c:v>14.078723083937218</c:v>
                </c:pt>
                <c:pt idx="3">
                  <c:v>48.379570444797778</c:v>
                </c:pt>
                <c:pt idx="4">
                  <c:v>166.23066795877932</c:v>
                </c:pt>
                <c:pt idx="5">
                  <c:v>570.93923306934835</c:v>
                </c:pt>
              </c:numCache>
            </c:numRef>
          </c:val>
          <c:smooth val="0"/>
          <c:extLst>
            <c:ext xmlns:c16="http://schemas.microsoft.com/office/drawing/2014/chart" uri="{C3380CC4-5D6E-409C-BE32-E72D297353CC}">
              <c16:uniqueId val="{00000003-D789-43AC-A2C7-BAE0612A1273}"/>
            </c:ext>
          </c:extLst>
        </c:ser>
        <c:ser>
          <c:idx val="2"/>
          <c:order val="2"/>
          <c:tx>
            <c:v>Severe Patients</c:v>
          </c:tx>
          <c:spPr>
            <a:ln w="28575" cap="rnd">
              <a:solidFill>
                <a:schemeClr val="accent3">
                  <a:lumMod val="50000"/>
                </a:schemeClr>
              </a:solidFill>
              <a:round/>
            </a:ln>
            <a:effectLst/>
          </c:spPr>
          <c:marker>
            <c:symbol val="none"/>
          </c:marker>
          <c:val>
            <c:numRef>
              <c:f>[0]!Chart_severes</c:f>
              <c:numCache>
                <c:formatCode>0</c:formatCode>
                <c:ptCount val="6"/>
                <c:pt idx="0">
                  <c:v>0.44705811625212771</c:v>
                </c:pt>
                <c:pt idx="1">
                  <c:v>1.5363188504487364</c:v>
                </c:pt>
                <c:pt idx="2">
                  <c:v>5.2795211564764566</c:v>
                </c:pt>
                <c:pt idx="3">
                  <c:v>18.142338916799165</c:v>
                </c:pt>
                <c:pt idx="4">
                  <c:v>62.336500484542235</c:v>
                </c:pt>
                <c:pt idx="5">
                  <c:v>214.1022124010056</c:v>
                </c:pt>
              </c:numCache>
            </c:numRef>
          </c:val>
          <c:smooth val="0"/>
          <c:extLst>
            <c:ext xmlns:c16="http://schemas.microsoft.com/office/drawing/2014/chart" uri="{C3380CC4-5D6E-409C-BE32-E72D297353CC}">
              <c16:uniqueId val="{00000008-D789-43AC-A2C7-BAE0612A1273}"/>
            </c:ext>
          </c:extLst>
        </c:ser>
        <c:ser>
          <c:idx val="3"/>
          <c:order val="3"/>
          <c:tx>
            <c:v>Critical Patients</c:v>
          </c:tx>
          <c:spPr>
            <a:ln w="28575" cap="rnd">
              <a:solidFill>
                <a:srgbClr val="C00000"/>
              </a:solidFill>
              <a:round/>
            </a:ln>
            <a:effectLst/>
          </c:spPr>
          <c:marker>
            <c:symbol val="none"/>
          </c:marker>
          <c:val>
            <c:numRef>
              <c:f>[0]!Chart_criticals</c:f>
              <c:numCache>
                <c:formatCode>0</c:formatCode>
                <c:ptCount val="6"/>
                <c:pt idx="0">
                  <c:v>0.14901937208404256</c:v>
                </c:pt>
                <c:pt idx="1">
                  <c:v>0.51210628348291221</c:v>
                </c:pt>
                <c:pt idx="2">
                  <c:v>1.7598403854921523</c:v>
                </c:pt>
                <c:pt idx="3">
                  <c:v>6.0474463055997223</c:v>
                </c:pt>
                <c:pt idx="4">
                  <c:v>20.778833494847415</c:v>
                </c:pt>
                <c:pt idx="5">
                  <c:v>71.367404133668543</c:v>
                </c:pt>
              </c:numCache>
            </c:numRef>
          </c:val>
          <c:smooth val="0"/>
          <c:extLst>
            <c:ext xmlns:c16="http://schemas.microsoft.com/office/drawing/2014/chart" uri="{C3380CC4-5D6E-409C-BE32-E72D297353CC}">
              <c16:uniqueId val="{0000000A-D789-43AC-A2C7-BAE0612A1273}"/>
            </c:ext>
          </c:extLst>
        </c:ser>
        <c:dLbls>
          <c:showLegendKey val="0"/>
          <c:showVal val="0"/>
          <c:showCatName val="0"/>
          <c:showSerName val="0"/>
          <c:showPercent val="0"/>
          <c:showBubbleSize val="0"/>
        </c:dLbls>
        <c:smooth val="0"/>
        <c:axId val="192198224"/>
        <c:axId val="192197568"/>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legend>
      <c:legendPos val="r"/>
      <c:layout>
        <c:manualLayout>
          <c:xMode val="edge"/>
          <c:yMode val="edge"/>
          <c:x val="0.84656171434935357"/>
          <c:y val="0.38469395855936911"/>
          <c:w val="0.14926954528484057"/>
          <c:h val="0.3694969561038128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solidFill>
                  <a:sysClr val="windowText" lastClr="000000"/>
                </a:solidFill>
              </a:rPr>
              <a:t>SIR Model: New COVID-19 Cases</a:t>
            </a:r>
            <a:r>
              <a:rPr lang="en-US" b="1" baseline="0">
                <a:solidFill>
                  <a:sysClr val="windowText" lastClr="000000"/>
                </a:solidFill>
              </a:rPr>
              <a:t> Each Day</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200" b="0" i="1" baseline="0">
                <a:solidFill>
                  <a:sysClr val="windowText" lastClr="000000"/>
                </a:solidFill>
                <a:effectLst/>
              </a:rPr>
              <a:t>Week 1 Represents First Week of Forecast</a:t>
            </a:r>
            <a:endParaRPr lang="en-US" i="1">
              <a:solidFill>
                <a:sysClr val="windowText" lastClr="000000"/>
              </a:solidFill>
              <a:effectLst/>
            </a:endParaRPr>
          </a:p>
        </c:rich>
      </c:tx>
      <c:layout>
        <c:manualLayout>
          <c:xMode val="edge"/>
          <c:yMode val="edge"/>
          <c:x val="0.29045447929361912"/>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7995420666731963E-2"/>
          <c:y val="0.18518518518518517"/>
          <c:w val="0.89213955894394525"/>
          <c:h val="0.68471311066752705"/>
        </c:manualLayout>
      </c:layout>
      <c:lineChart>
        <c:grouping val="standard"/>
        <c:varyColors val="0"/>
        <c:ser>
          <c:idx val="3"/>
          <c:order val="0"/>
          <c:tx>
            <c:v>New Cases per Day</c:v>
          </c:tx>
          <c:spPr>
            <a:ln w="28575" cap="rnd">
              <a:solidFill>
                <a:schemeClr val="accent4"/>
              </a:solidFill>
              <a:round/>
            </a:ln>
            <a:effectLst/>
          </c:spPr>
          <c:marker>
            <c:symbol val="none"/>
          </c:marker>
          <c:cat>
            <c:numRef>
              <c:f>[0]!daychart_axis</c:f>
              <c:numCache>
                <c:formatCode>General</c:formatCode>
                <c:ptCount val="195"/>
                <c:pt idx="0">
                  <c:v>0</c:v>
                </c:pt>
                <c:pt idx="1">
                  <c:v>1</c:v>
                </c:pt>
                <c:pt idx="2">
                  <c:v>1</c:v>
                </c:pt>
                <c:pt idx="3">
                  <c:v>1</c:v>
                </c:pt>
                <c:pt idx="4">
                  <c:v>1</c:v>
                </c:pt>
                <c:pt idx="5">
                  <c:v>1</c:v>
                </c:pt>
                <c:pt idx="6">
                  <c:v>1</c:v>
                </c:pt>
                <c:pt idx="7">
                  <c:v>1</c:v>
                </c:pt>
                <c:pt idx="8">
                  <c:v>2</c:v>
                </c:pt>
                <c:pt idx="9">
                  <c:v>2</c:v>
                </c:pt>
                <c:pt idx="10">
                  <c:v>2</c:v>
                </c:pt>
                <c:pt idx="11">
                  <c:v>2</c:v>
                </c:pt>
                <c:pt idx="12">
                  <c:v>2</c:v>
                </c:pt>
                <c:pt idx="13">
                  <c:v>2</c:v>
                </c:pt>
                <c:pt idx="14">
                  <c:v>2</c:v>
                </c:pt>
                <c:pt idx="15">
                  <c:v>3</c:v>
                </c:pt>
                <c:pt idx="16">
                  <c:v>3</c:v>
                </c:pt>
                <c:pt idx="17">
                  <c:v>3</c:v>
                </c:pt>
                <c:pt idx="18">
                  <c:v>3</c:v>
                </c:pt>
                <c:pt idx="19">
                  <c:v>3</c:v>
                </c:pt>
                <c:pt idx="20">
                  <c:v>3</c:v>
                </c:pt>
                <c:pt idx="21">
                  <c:v>3</c:v>
                </c:pt>
                <c:pt idx="22">
                  <c:v>4</c:v>
                </c:pt>
                <c:pt idx="23">
                  <c:v>4</c:v>
                </c:pt>
                <c:pt idx="24">
                  <c:v>4</c:v>
                </c:pt>
                <c:pt idx="25">
                  <c:v>4</c:v>
                </c:pt>
                <c:pt idx="26">
                  <c:v>4</c:v>
                </c:pt>
                <c:pt idx="27">
                  <c:v>4</c:v>
                </c:pt>
                <c:pt idx="28">
                  <c:v>4</c:v>
                </c:pt>
                <c:pt idx="29">
                  <c:v>5</c:v>
                </c:pt>
                <c:pt idx="30">
                  <c:v>5</c:v>
                </c:pt>
                <c:pt idx="31">
                  <c:v>5</c:v>
                </c:pt>
                <c:pt idx="32">
                  <c:v>5</c:v>
                </c:pt>
                <c:pt idx="33">
                  <c:v>5</c:v>
                </c:pt>
                <c:pt idx="34">
                  <c:v>5</c:v>
                </c:pt>
                <c:pt idx="35">
                  <c:v>5</c:v>
                </c:pt>
                <c:pt idx="36">
                  <c:v>6</c:v>
                </c:pt>
                <c:pt idx="37">
                  <c:v>6</c:v>
                </c:pt>
                <c:pt idx="38">
                  <c:v>6</c:v>
                </c:pt>
                <c:pt idx="39">
                  <c:v>6</c:v>
                </c:pt>
                <c:pt idx="40">
                  <c:v>6</c:v>
                </c:pt>
                <c:pt idx="41">
                  <c:v>6</c:v>
                </c:pt>
                <c:pt idx="42">
                  <c:v>6</c:v>
                </c:pt>
                <c:pt idx="43">
                  <c:v>7</c:v>
                </c:pt>
                <c:pt idx="44">
                  <c:v>7</c:v>
                </c:pt>
                <c:pt idx="45">
                  <c:v>7</c:v>
                </c:pt>
                <c:pt idx="46">
                  <c:v>7</c:v>
                </c:pt>
                <c:pt idx="47">
                  <c:v>7</c:v>
                </c:pt>
                <c:pt idx="48">
                  <c:v>7</c:v>
                </c:pt>
                <c:pt idx="49">
                  <c:v>7</c:v>
                </c:pt>
                <c:pt idx="50">
                  <c:v>8</c:v>
                </c:pt>
                <c:pt idx="51">
                  <c:v>8</c:v>
                </c:pt>
                <c:pt idx="52">
                  <c:v>8</c:v>
                </c:pt>
                <c:pt idx="53">
                  <c:v>8</c:v>
                </c:pt>
                <c:pt idx="54">
                  <c:v>8</c:v>
                </c:pt>
                <c:pt idx="55">
                  <c:v>8</c:v>
                </c:pt>
                <c:pt idx="56">
                  <c:v>8</c:v>
                </c:pt>
                <c:pt idx="57">
                  <c:v>9</c:v>
                </c:pt>
                <c:pt idx="58">
                  <c:v>9</c:v>
                </c:pt>
                <c:pt idx="59">
                  <c:v>9</c:v>
                </c:pt>
                <c:pt idx="60">
                  <c:v>9</c:v>
                </c:pt>
                <c:pt idx="61">
                  <c:v>9</c:v>
                </c:pt>
                <c:pt idx="62">
                  <c:v>9</c:v>
                </c:pt>
                <c:pt idx="63">
                  <c:v>9</c:v>
                </c:pt>
                <c:pt idx="64">
                  <c:v>10</c:v>
                </c:pt>
                <c:pt idx="65">
                  <c:v>10</c:v>
                </c:pt>
                <c:pt idx="66">
                  <c:v>10</c:v>
                </c:pt>
                <c:pt idx="67">
                  <c:v>10</c:v>
                </c:pt>
                <c:pt idx="68">
                  <c:v>10</c:v>
                </c:pt>
                <c:pt idx="69">
                  <c:v>10</c:v>
                </c:pt>
                <c:pt idx="70">
                  <c:v>10</c:v>
                </c:pt>
                <c:pt idx="71">
                  <c:v>11</c:v>
                </c:pt>
                <c:pt idx="72">
                  <c:v>11</c:v>
                </c:pt>
                <c:pt idx="73">
                  <c:v>11</c:v>
                </c:pt>
                <c:pt idx="74">
                  <c:v>11</c:v>
                </c:pt>
                <c:pt idx="75">
                  <c:v>11</c:v>
                </c:pt>
                <c:pt idx="76">
                  <c:v>11</c:v>
                </c:pt>
                <c:pt idx="77">
                  <c:v>11</c:v>
                </c:pt>
                <c:pt idx="78">
                  <c:v>12</c:v>
                </c:pt>
                <c:pt idx="79">
                  <c:v>12</c:v>
                </c:pt>
                <c:pt idx="80">
                  <c:v>12</c:v>
                </c:pt>
                <c:pt idx="81">
                  <c:v>12</c:v>
                </c:pt>
                <c:pt idx="82">
                  <c:v>12</c:v>
                </c:pt>
                <c:pt idx="83">
                  <c:v>12</c:v>
                </c:pt>
                <c:pt idx="84">
                  <c:v>12</c:v>
                </c:pt>
                <c:pt idx="85">
                  <c:v>13</c:v>
                </c:pt>
                <c:pt idx="86">
                  <c:v>13</c:v>
                </c:pt>
                <c:pt idx="87">
                  <c:v>13</c:v>
                </c:pt>
                <c:pt idx="88">
                  <c:v>13</c:v>
                </c:pt>
                <c:pt idx="89">
                  <c:v>13</c:v>
                </c:pt>
                <c:pt idx="90">
                  <c:v>13</c:v>
                </c:pt>
                <c:pt idx="91">
                  <c:v>13</c:v>
                </c:pt>
                <c:pt idx="92">
                  <c:v>14</c:v>
                </c:pt>
                <c:pt idx="93">
                  <c:v>14</c:v>
                </c:pt>
                <c:pt idx="94">
                  <c:v>14</c:v>
                </c:pt>
                <c:pt idx="95">
                  <c:v>14</c:v>
                </c:pt>
                <c:pt idx="96">
                  <c:v>14</c:v>
                </c:pt>
                <c:pt idx="97">
                  <c:v>14</c:v>
                </c:pt>
                <c:pt idx="98">
                  <c:v>14</c:v>
                </c:pt>
                <c:pt idx="99">
                  <c:v>15</c:v>
                </c:pt>
                <c:pt idx="100">
                  <c:v>15</c:v>
                </c:pt>
                <c:pt idx="101">
                  <c:v>15</c:v>
                </c:pt>
                <c:pt idx="102">
                  <c:v>15</c:v>
                </c:pt>
                <c:pt idx="103">
                  <c:v>15</c:v>
                </c:pt>
                <c:pt idx="104">
                  <c:v>15</c:v>
                </c:pt>
                <c:pt idx="105">
                  <c:v>15</c:v>
                </c:pt>
                <c:pt idx="106">
                  <c:v>16</c:v>
                </c:pt>
                <c:pt idx="107">
                  <c:v>16</c:v>
                </c:pt>
                <c:pt idx="108">
                  <c:v>16</c:v>
                </c:pt>
                <c:pt idx="109">
                  <c:v>16</c:v>
                </c:pt>
                <c:pt idx="110">
                  <c:v>16</c:v>
                </c:pt>
                <c:pt idx="111">
                  <c:v>16</c:v>
                </c:pt>
                <c:pt idx="112">
                  <c:v>16</c:v>
                </c:pt>
                <c:pt idx="113">
                  <c:v>17</c:v>
                </c:pt>
                <c:pt idx="114">
                  <c:v>17</c:v>
                </c:pt>
                <c:pt idx="115">
                  <c:v>17</c:v>
                </c:pt>
                <c:pt idx="116">
                  <c:v>17</c:v>
                </c:pt>
                <c:pt idx="117">
                  <c:v>17</c:v>
                </c:pt>
                <c:pt idx="118">
                  <c:v>17</c:v>
                </c:pt>
                <c:pt idx="119">
                  <c:v>17</c:v>
                </c:pt>
                <c:pt idx="120">
                  <c:v>18</c:v>
                </c:pt>
                <c:pt idx="121">
                  <c:v>18</c:v>
                </c:pt>
                <c:pt idx="122">
                  <c:v>18</c:v>
                </c:pt>
                <c:pt idx="123">
                  <c:v>18</c:v>
                </c:pt>
                <c:pt idx="124">
                  <c:v>18</c:v>
                </c:pt>
                <c:pt idx="125">
                  <c:v>18</c:v>
                </c:pt>
                <c:pt idx="126">
                  <c:v>18</c:v>
                </c:pt>
                <c:pt idx="127">
                  <c:v>19</c:v>
                </c:pt>
                <c:pt idx="128">
                  <c:v>19</c:v>
                </c:pt>
                <c:pt idx="129">
                  <c:v>19</c:v>
                </c:pt>
                <c:pt idx="130">
                  <c:v>19</c:v>
                </c:pt>
                <c:pt idx="131">
                  <c:v>19</c:v>
                </c:pt>
                <c:pt idx="132">
                  <c:v>19</c:v>
                </c:pt>
                <c:pt idx="133">
                  <c:v>19</c:v>
                </c:pt>
                <c:pt idx="134">
                  <c:v>20</c:v>
                </c:pt>
                <c:pt idx="135">
                  <c:v>20</c:v>
                </c:pt>
                <c:pt idx="136">
                  <c:v>20</c:v>
                </c:pt>
                <c:pt idx="137">
                  <c:v>20</c:v>
                </c:pt>
                <c:pt idx="138">
                  <c:v>20</c:v>
                </c:pt>
                <c:pt idx="139">
                  <c:v>20</c:v>
                </c:pt>
                <c:pt idx="140">
                  <c:v>20</c:v>
                </c:pt>
                <c:pt idx="141">
                  <c:v>21</c:v>
                </c:pt>
                <c:pt idx="142">
                  <c:v>21</c:v>
                </c:pt>
                <c:pt idx="143">
                  <c:v>21</c:v>
                </c:pt>
                <c:pt idx="144">
                  <c:v>21</c:v>
                </c:pt>
                <c:pt idx="145">
                  <c:v>21</c:v>
                </c:pt>
                <c:pt idx="146">
                  <c:v>21</c:v>
                </c:pt>
                <c:pt idx="147">
                  <c:v>21</c:v>
                </c:pt>
                <c:pt idx="148">
                  <c:v>22</c:v>
                </c:pt>
                <c:pt idx="149">
                  <c:v>22</c:v>
                </c:pt>
                <c:pt idx="150">
                  <c:v>22</c:v>
                </c:pt>
                <c:pt idx="151">
                  <c:v>22</c:v>
                </c:pt>
                <c:pt idx="152">
                  <c:v>22</c:v>
                </c:pt>
                <c:pt idx="153">
                  <c:v>22</c:v>
                </c:pt>
                <c:pt idx="154">
                  <c:v>22</c:v>
                </c:pt>
                <c:pt idx="155">
                  <c:v>23</c:v>
                </c:pt>
                <c:pt idx="156">
                  <c:v>23</c:v>
                </c:pt>
                <c:pt idx="157">
                  <c:v>23</c:v>
                </c:pt>
                <c:pt idx="158">
                  <c:v>23</c:v>
                </c:pt>
                <c:pt idx="159">
                  <c:v>23</c:v>
                </c:pt>
                <c:pt idx="160">
                  <c:v>23</c:v>
                </c:pt>
                <c:pt idx="161">
                  <c:v>23</c:v>
                </c:pt>
                <c:pt idx="162">
                  <c:v>24</c:v>
                </c:pt>
                <c:pt idx="163">
                  <c:v>24</c:v>
                </c:pt>
                <c:pt idx="164">
                  <c:v>24</c:v>
                </c:pt>
                <c:pt idx="165">
                  <c:v>24</c:v>
                </c:pt>
                <c:pt idx="166">
                  <c:v>24</c:v>
                </c:pt>
                <c:pt idx="167">
                  <c:v>24</c:v>
                </c:pt>
                <c:pt idx="168">
                  <c:v>24</c:v>
                </c:pt>
                <c:pt idx="169">
                  <c:v>25</c:v>
                </c:pt>
                <c:pt idx="170">
                  <c:v>25</c:v>
                </c:pt>
                <c:pt idx="171">
                  <c:v>25</c:v>
                </c:pt>
                <c:pt idx="172">
                  <c:v>25</c:v>
                </c:pt>
                <c:pt idx="173">
                  <c:v>25</c:v>
                </c:pt>
                <c:pt idx="174">
                  <c:v>25</c:v>
                </c:pt>
                <c:pt idx="175">
                  <c:v>25</c:v>
                </c:pt>
                <c:pt idx="176">
                  <c:v>26</c:v>
                </c:pt>
                <c:pt idx="177">
                  <c:v>26</c:v>
                </c:pt>
                <c:pt idx="178">
                  <c:v>26</c:v>
                </c:pt>
                <c:pt idx="179">
                  <c:v>26</c:v>
                </c:pt>
                <c:pt idx="180">
                  <c:v>26</c:v>
                </c:pt>
                <c:pt idx="181">
                  <c:v>26</c:v>
                </c:pt>
                <c:pt idx="182">
                  <c:v>26</c:v>
                </c:pt>
                <c:pt idx="183">
                  <c:v>27</c:v>
                </c:pt>
                <c:pt idx="184">
                  <c:v>27</c:v>
                </c:pt>
                <c:pt idx="185">
                  <c:v>27</c:v>
                </c:pt>
                <c:pt idx="186">
                  <c:v>27</c:v>
                </c:pt>
                <c:pt idx="187">
                  <c:v>27</c:v>
                </c:pt>
                <c:pt idx="188">
                  <c:v>27</c:v>
                </c:pt>
                <c:pt idx="189">
                  <c:v>27</c:v>
                </c:pt>
                <c:pt idx="190">
                  <c:v>28</c:v>
                </c:pt>
                <c:pt idx="191">
                  <c:v>28</c:v>
                </c:pt>
                <c:pt idx="192">
                  <c:v>28</c:v>
                </c:pt>
                <c:pt idx="193">
                  <c:v>28</c:v>
                </c:pt>
                <c:pt idx="194">
                  <c:v>28</c:v>
                </c:pt>
              </c:numCache>
            </c:numRef>
          </c:cat>
          <c:val>
            <c:numRef>
              <c:f>[0]!daychart_cases</c:f>
              <c:numCache>
                <c:formatCode>#,##0</c:formatCode>
                <c:ptCount val="195"/>
                <c:pt idx="0">
                  <c:v>0</c:v>
                </c:pt>
                <c:pt idx="1">
                  <c:v>1</c:v>
                </c:pt>
                <c:pt idx="2">
                  <c:v>1</c:v>
                </c:pt>
                <c:pt idx="3">
                  <c:v>1</c:v>
                </c:pt>
                <c:pt idx="4">
                  <c:v>1</c:v>
                </c:pt>
                <c:pt idx="5">
                  <c:v>1</c:v>
                </c:pt>
                <c:pt idx="6">
                  <c:v>1</c:v>
                </c:pt>
                <c:pt idx="7">
                  <c:v>1</c:v>
                </c:pt>
                <c:pt idx="8">
                  <c:v>1</c:v>
                </c:pt>
                <c:pt idx="9">
                  <c:v>1</c:v>
                </c:pt>
                <c:pt idx="10">
                  <c:v>2</c:v>
                </c:pt>
                <c:pt idx="11">
                  <c:v>2</c:v>
                </c:pt>
                <c:pt idx="12">
                  <c:v>2</c:v>
                </c:pt>
                <c:pt idx="13">
                  <c:v>2</c:v>
                </c:pt>
                <c:pt idx="14">
                  <c:v>3</c:v>
                </c:pt>
                <c:pt idx="15">
                  <c:v>3</c:v>
                </c:pt>
                <c:pt idx="16">
                  <c:v>4</c:v>
                </c:pt>
                <c:pt idx="17">
                  <c:v>4</c:v>
                </c:pt>
                <c:pt idx="18">
                  <c:v>5</c:v>
                </c:pt>
                <c:pt idx="19">
                  <c:v>6</c:v>
                </c:pt>
                <c:pt idx="20">
                  <c:v>7</c:v>
                </c:pt>
                <c:pt idx="21">
                  <c:v>9</c:v>
                </c:pt>
                <c:pt idx="22">
                  <c:v>9.5737485217993097</c:v>
                </c:pt>
                <c:pt idx="23">
                  <c:v>11.420042525315004</c:v>
                </c:pt>
                <c:pt idx="24">
                  <c:v>13.622377114500239</c:v>
                </c:pt>
                <c:pt idx="25">
                  <c:v>16.249404394914109</c:v>
                </c:pt>
                <c:pt idx="26">
                  <c:v>19.383011079373688</c:v>
                </c:pt>
                <c:pt idx="27">
                  <c:v>23.120868575193185</c:v>
                </c:pt>
                <c:pt idx="28">
                  <c:v>27.579473900898904</c:v>
                </c:pt>
                <c:pt idx="29">
                  <c:v>32.897775681027156</c:v>
                </c:pt>
                <c:pt idx="30">
                  <c:v>39.241497470275704</c:v>
                </c:pt>
                <c:pt idx="31">
                  <c:v>46.808292059436894</c:v>
                </c:pt>
                <c:pt idx="32">
                  <c:v>55.833885839618233</c:v>
                </c:pt>
                <c:pt idx="33">
                  <c:v>66.599402480021524</c:v>
                </c:pt>
                <c:pt idx="34">
                  <c:v>79.440090962328782</c:v>
                </c:pt>
                <c:pt idx="35">
                  <c:v>94.755725404239968</c:v>
                </c:pt>
                <c:pt idx="36">
                  <c:v>113.02299424260696</c:v>
                </c:pt>
                <c:pt idx="37">
                  <c:v>134.81025554759049</c:v>
                </c:pt>
                <c:pt idx="38">
                  <c:v>160.79510499608318</c:v>
                </c:pt>
                <c:pt idx="39">
                  <c:v>191.7852850190402</c:v>
                </c:pt>
                <c:pt idx="40">
                  <c:v>228.74355969825956</c:v>
                </c:pt>
                <c:pt idx="41">
                  <c:v>272.81729210984327</c:v>
                </c:pt>
                <c:pt idx="42">
                  <c:v>325.3735910599471</c:v>
                </c:pt>
                <c:pt idx="43">
                  <c:v>388.04104456926598</c:v>
                </c:pt>
                <c:pt idx="44">
                  <c:v>462.7592298599684</c:v>
                </c:pt>
                <c:pt idx="45">
                  <c:v>551.83738530700566</c:v>
                </c:pt>
                <c:pt idx="46">
                  <c:v>658.02384921909606</c:v>
                </c:pt>
                <c:pt idx="47">
                  <c:v>784.58811219554082</c:v>
                </c:pt>
                <c:pt idx="48">
                  <c:v>935.41759036949406</c:v>
                </c:pt>
                <c:pt idx="49">
                  <c:v>1115.1314983122002</c:v>
                </c:pt>
                <c:pt idx="50">
                  <c:v>1329.2144689362585</c:v>
                </c:pt>
                <c:pt idx="51">
                  <c:v>1584.1728107210129</c:v>
                </c:pt>
                <c:pt idx="52">
                  <c:v>1887.716474435023</c:v>
                </c:pt>
                <c:pt idx="53">
                  <c:v>2248.9698683166753</c:v>
                </c:pt>
                <c:pt idx="54">
                  <c:v>2678.7145326239297</c:v>
                </c:pt>
                <c:pt idx="55">
                  <c:v>3189.666246051318</c:v>
                </c:pt>
                <c:pt idx="56">
                  <c:v>3796.7882235666839</c:v>
                </c:pt>
                <c:pt idx="57">
                  <c:v>4517.6404487108302</c:v>
                </c:pt>
                <c:pt idx="58">
                  <c:v>5372.7625499160349</c:v>
                </c:pt>
                <c:pt idx="59">
                  <c:v>6386.0835602145598</c:v>
                </c:pt>
                <c:pt idx="60">
                  <c:v>7585.3458450645339</c:v>
                </c:pt>
                <c:pt idx="61">
                  <c:v>9002.5217521546729</c:v>
                </c:pt>
                <c:pt idx="62">
                  <c:v>10674.189294627067</c:v>
                </c:pt>
                <c:pt idx="63">
                  <c:v>12641.816481679591</c:v>
                </c:pt>
                <c:pt idx="64">
                  <c:v>14951.881807057842</c:v>
                </c:pt>
                <c:pt idx="65">
                  <c:v>17655.730150799413</c:v>
                </c:pt>
                <c:pt idx="66">
                  <c:v>20809.028792698446</c:v>
                </c:pt>
                <c:pt idx="67">
                  <c:v>24470.64847548597</c:v>
                </c:pt>
                <c:pt idx="68">
                  <c:v>28700.752842140646</c:v>
                </c:pt>
                <c:pt idx="69">
                  <c:v>33557.843120968319</c:v>
                </c:pt>
                <c:pt idx="70">
                  <c:v>39094.486093254207</c:v>
                </c:pt>
                <c:pt idx="71">
                  <c:v>45351.471846261091</c:v>
                </c:pt>
                <c:pt idx="72">
                  <c:v>52350.23160348105</c:v>
                </c:pt>
                <c:pt idx="73">
                  <c:v>60083.530189751415</c:v>
                </c:pt>
                <c:pt idx="74">
                  <c:v>68504.768898889946</c:v>
                </c:pt>
                <c:pt idx="75">
                  <c:v>77516.716983181483</c:v>
                </c:pt>
                <c:pt idx="76">
                  <c:v>86961.122324847616</c:v>
                </c:pt>
                <c:pt idx="77">
                  <c:v>96611.354790837038</c:v>
                </c:pt>
                <c:pt idx="78">
                  <c:v>106170.83021626808</c:v>
                </c:pt>
                <c:pt idx="79">
                  <c:v>115280.16007859353</c:v>
                </c:pt>
                <c:pt idx="80">
                  <c:v>123535.41797164525</c:v>
                </c:pt>
                <c:pt idx="81">
                  <c:v>130518.31970688864</c:v>
                </c:pt>
                <c:pt idx="82">
                  <c:v>135836.46343543846</c:v>
                </c:pt>
                <c:pt idx="83">
                  <c:v>139168.53785500233</c:v>
                </c:pt>
                <c:pt idx="84">
                  <c:v>140306.58794324426</c:v>
                </c:pt>
                <c:pt idx="85">
                  <c:v>139186.31300215749</c:v>
                </c:pt>
                <c:pt idx="86">
                  <c:v>135897.92804874736</c:v>
                </c:pt>
                <c:pt idx="87">
                  <c:v>130674.33466686285</c:v>
                </c:pt>
                <c:pt idx="88">
                  <c:v>123858.9636970018</c:v>
                </c:pt>
                <c:pt idx="89">
                  <c:v>115860.62036709022</c:v>
                </c:pt>
                <c:pt idx="90">
                  <c:v>107105.15201410651</c:v>
                </c:pt>
                <c:pt idx="91">
                  <c:v>97993.091271957383</c:v>
                </c:pt>
                <c:pt idx="92">
                  <c:v>88869.315144615714</c:v>
                </c:pt>
                <c:pt idx="93">
                  <c:v>80006.748684009071</c:v>
                </c:pt>
                <c:pt idx="94">
                  <c:v>71602.728735439479</c:v>
                </c:pt>
                <c:pt idx="95">
                  <c:v>63784.654587042518</c:v>
                </c:pt>
                <c:pt idx="96">
                  <c:v>56621.040096034762</c:v>
                </c:pt>
                <c:pt idx="97">
                  <c:v>50134.604357904289</c:v>
                </c:pt>
                <c:pt idx="98">
                  <c:v>44315.029604904354</c:v>
                </c:pt>
                <c:pt idx="99">
                  <c:v>39130.034116976429</c:v>
                </c:pt>
                <c:pt idx="100">
                  <c:v>34534.216523966286</c:v>
                </c:pt>
                <c:pt idx="101">
                  <c:v>30475.658852772787</c:v>
                </c:pt>
                <c:pt idx="102">
                  <c:v>26900.561546591111</c:v>
                </c:pt>
                <c:pt idx="103">
                  <c:v>23756.294237983879</c:v>
                </c:pt>
                <c:pt idx="104">
                  <c:v>20993.25060007954</c:v>
                </c:pt>
                <c:pt idx="105">
                  <c:v>18565.847140107304</c:v>
                </c:pt>
                <c:pt idx="106">
                  <c:v>16432.938632356003</c:v>
                </c:pt>
                <c:pt idx="107">
                  <c:v>14557.856107193045</c:v>
                </c:pt>
                <c:pt idx="108">
                  <c:v>12908.215700397734</c:v>
                </c:pt>
                <c:pt idx="109">
                  <c:v>11455.600903104991</c:v>
                </c:pt>
                <c:pt idx="110">
                  <c:v>10175.186380266212</c:v>
                </c:pt>
                <c:pt idx="111">
                  <c:v>9045.3467752547003</c:v>
                </c:pt>
                <c:pt idx="112">
                  <c:v>8047.2767066652887</c:v>
                </c:pt>
                <c:pt idx="113">
                  <c:v>7164.6365673472174</c:v>
                </c:pt>
                <c:pt idx="114">
                  <c:v>6383.2311696121469</c:v>
                </c:pt>
                <c:pt idx="115">
                  <c:v>5690.7235209494829</c:v>
                </c:pt>
                <c:pt idx="116">
                  <c:v>5076.383158675395</c:v>
                </c:pt>
                <c:pt idx="117">
                  <c:v>4530.866875115782</c:v>
                </c:pt>
                <c:pt idx="118">
                  <c:v>4046.0288786268793</c:v>
                </c:pt>
                <c:pt idx="119">
                  <c:v>3614.7571545657702</c:v>
                </c:pt>
                <c:pt idx="120">
                  <c:v>3230.8328108675778</c:v>
                </c:pt>
                <c:pt idx="121">
                  <c:v>2888.8093820530921</c:v>
                </c:pt>
                <c:pt idx="122">
                  <c:v>2583.9093387369066</c:v>
                </c:pt>
                <c:pt idx="123">
                  <c:v>2311.9353544218466</c:v>
                </c:pt>
                <c:pt idx="124">
                  <c:v>2069.1941864229739</c:v>
                </c:pt>
                <c:pt idx="125">
                  <c:v>1852.431315690279</c:v>
                </c:pt>
                <c:pt idx="126">
                  <c:v>1658.7747523467988</c:v>
                </c:pt>
                <c:pt idx="127">
                  <c:v>1485.6866465951316</c:v>
                </c:pt>
                <c:pt idx="128">
                  <c:v>1330.92154807318</c:v>
                </c:pt>
                <c:pt idx="129">
                  <c:v>1192.4903323533945</c:v>
                </c:pt>
                <c:pt idx="130">
                  <c:v>1068.6289636013098</c:v>
                </c:pt>
                <c:pt idx="131">
                  <c:v>957.77139024576172</c:v>
                </c:pt>
                <c:pt idx="132">
                  <c:v>858.52597878081724</c:v>
                </c:pt>
                <c:pt idx="133">
                  <c:v>769.6549821938388</c:v>
                </c:pt>
                <c:pt idx="134">
                  <c:v>690.05661645112559</c:v>
                </c:pt>
                <c:pt idx="135">
                  <c:v>618.74938329262659</c:v>
                </c:pt>
                <c:pt idx="136">
                  <c:v>554.85833195364103</c:v>
                </c:pt>
                <c:pt idx="137">
                  <c:v>497.60299828602001</c:v>
                </c:pt>
                <c:pt idx="138">
                  <c:v>446.2867982503958</c:v>
                </c:pt>
                <c:pt idx="139">
                  <c:v>400.28768517915159</c:v>
                </c:pt>
                <c:pt idx="140">
                  <c:v>359.04990759212524</c:v>
                </c:pt>
                <c:pt idx="141">
                  <c:v>322.07672743918374</c:v>
                </c:pt>
                <c:pt idx="142">
                  <c:v>288.92397818109021</c:v>
                </c:pt>
                <c:pt idx="143">
                  <c:v>259.19435872370377</c:v>
                </c:pt>
                <c:pt idx="144">
                  <c:v>232.53237325232476</c:v>
                </c:pt>
                <c:pt idx="145">
                  <c:v>208.61983905406669</c:v>
                </c:pt>
                <c:pt idx="146">
                  <c:v>187.17189461411908</c:v>
                </c:pt>
                <c:pt idx="147">
                  <c:v>167.93344904715195</c:v>
                </c:pt>
                <c:pt idx="148">
                  <c:v>150.67602143250406</c:v>
                </c:pt>
                <c:pt idx="149">
                  <c:v>135.19492509588599</c:v>
                </c:pt>
                <c:pt idx="150">
                  <c:v>121.30675742356107</c:v>
                </c:pt>
                <c:pt idx="151">
                  <c:v>108.84716064902022</c:v>
                </c:pt>
                <c:pt idx="152">
                  <c:v>97.668823192361742</c:v>
                </c:pt>
                <c:pt idx="153">
                  <c:v>87.639694778248668</c:v>
                </c:pt>
                <c:pt idx="154">
                  <c:v>78.641391698271036</c:v>
                </c:pt>
                <c:pt idx="155">
                  <c:v>70.567771346308291</c:v>
                </c:pt>
                <c:pt idx="156">
                  <c:v>63.323657560627908</c:v>
                </c:pt>
                <c:pt idx="157">
                  <c:v>56.823700411710888</c:v>
                </c:pt>
                <c:pt idx="158">
                  <c:v>50.991355919279158</c:v>
                </c:pt>
                <c:pt idx="159">
                  <c:v>45.757972840685397</c:v>
                </c:pt>
                <c:pt idx="160">
                  <c:v>41.061975046992302</c:v>
                </c:pt>
                <c:pt idx="161">
                  <c:v>36.848129340447485</c:v>
                </c:pt>
                <c:pt idx="162">
                  <c:v>33.066889625508338</c:v>
                </c:pt>
                <c:pt idx="163">
                  <c:v>29.673809361178428</c:v>
                </c:pt>
                <c:pt idx="164">
                  <c:v>26.629015098325908</c:v>
                </c:pt>
                <c:pt idx="165">
                  <c:v>23.896734678186476</c:v>
                </c:pt>
                <c:pt idx="166">
                  <c:v>21.444874346721917</c:v>
                </c:pt>
                <c:pt idx="167">
                  <c:v>19.244639679323882</c:v>
                </c:pt>
                <c:pt idx="168">
                  <c:v>17.270195735152811</c:v>
                </c:pt>
                <c:pt idx="169">
                  <c:v>15.498362333048135</c:v>
                </c:pt>
                <c:pt idx="170">
                  <c:v>13.908340826630592</c:v>
                </c:pt>
                <c:pt idx="171">
                  <c:v>12.481469070073217</c:v>
                </c:pt>
                <c:pt idx="172">
                  <c:v>11.20100166881457</c:v>
                </c:pt>
                <c:pt idx="173">
                  <c:v>10.051912887021899</c:v>
                </c:pt>
                <c:pt idx="174">
                  <c:v>9.0207198653370142</c:v>
                </c:pt>
                <c:pt idx="175">
                  <c:v>8.0953240455128253</c:v>
                </c:pt>
                <c:pt idx="176">
                  <c:v>7.2648689281195402</c:v>
                </c:pt>
                <c:pt idx="177">
                  <c:v>6.5196124580688775</c:v>
                </c:pt>
                <c:pt idx="178">
                  <c:v>5.8508125548250973</c:v>
                </c:pt>
                <c:pt idx="179">
                  <c:v>5.2506244019605219</c:v>
                </c:pt>
                <c:pt idx="180">
                  <c:v>4.7120083081535995</c:v>
                </c:pt>
                <c:pt idx="181">
                  <c:v>4.2286470313556492</c:v>
                </c:pt>
                <c:pt idx="182">
                  <c:v>3.7948716105893254</c:v>
                </c:pt>
                <c:pt idx="183">
                  <c:v>3.4055948094464839</c:v>
                </c:pt>
                <c:pt idx="184">
                  <c:v>3.0562513982877135</c:v>
                </c:pt>
                <c:pt idx="185">
                  <c:v>2.7427445794455707</c:v>
                </c:pt>
                <c:pt idx="186">
                  <c:v>2.461397903971374</c:v>
                </c:pt>
                <c:pt idx="187">
                  <c:v>2.2089121341705322</c:v>
                </c:pt>
                <c:pt idx="188">
                  <c:v>1.9823265271261334</c:v>
                </c:pt>
                <c:pt idx="189">
                  <c:v>1.7789841061457992</c:v>
                </c:pt>
                <c:pt idx="190">
                  <c:v>1.5965004824101925</c:v>
                </c:pt>
                <c:pt idx="191">
                  <c:v>1.4327358887530863</c:v>
                </c:pt>
                <c:pt idx="192">
                  <c:v>1.2857700767926872</c:v>
                </c:pt>
                <c:pt idx="193">
                  <c:v>1.1538797966204584</c:v>
                </c:pt>
                <c:pt idx="194">
                  <c:v>1.0355185805819929</c:v>
                </c:pt>
              </c:numCache>
            </c:numRef>
          </c:val>
          <c:smooth val="0"/>
          <c:extLst>
            <c:ext xmlns:c16="http://schemas.microsoft.com/office/drawing/2014/chart" uri="{C3380CC4-5D6E-409C-BE32-E72D297353CC}">
              <c16:uniqueId val="{00000000-C439-4363-832E-6D8CD75E129A}"/>
            </c:ext>
          </c:extLst>
        </c:ser>
        <c:dLbls>
          <c:showLegendKey val="0"/>
          <c:showVal val="0"/>
          <c:showCatName val="0"/>
          <c:showSerName val="0"/>
          <c:showPercent val="0"/>
          <c:showBubbleSize val="0"/>
        </c:dLbls>
        <c:smooth val="0"/>
        <c:axId val="192198224"/>
        <c:axId val="192197568"/>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a:t>
                </a:r>
              </a:p>
            </c:rich>
          </c:tx>
          <c:layout>
            <c:manualLayout>
              <c:xMode val="edge"/>
              <c:yMode val="edge"/>
              <c:x val="0.47074634051317643"/>
              <c:y val="0.923440371573918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tickLblSkip val="7"/>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Estimated Cost Breakdown by Item Category</a:t>
            </a:r>
          </a:p>
        </c:rich>
      </c:tx>
      <c:layout>
        <c:manualLayout>
          <c:xMode val="edge"/>
          <c:yMode val="edge"/>
          <c:x val="0.16960611559341351"/>
          <c:y val="3.40998708117380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17357082684553E-2"/>
          <c:y val="0.20210799067986643"/>
          <c:w val="0.95927085740589846"/>
          <c:h val="0.60433719086530968"/>
        </c:manualLayout>
      </c:layout>
      <c:barChart>
        <c:barDir val="col"/>
        <c:grouping val="stacked"/>
        <c:varyColors val="0"/>
        <c:ser>
          <c:idx val="0"/>
          <c:order val="0"/>
          <c:tx>
            <c:v>series 1</c:v>
          </c:tx>
          <c:spPr>
            <a:solidFill>
              <a:schemeClr val="accent1"/>
            </a:solidFill>
            <a:ln w="19050">
              <a:solidFill>
                <a:schemeClr val="lt1"/>
              </a:solidFill>
            </a:ln>
            <a:effectLst/>
          </c:spPr>
          <c:invertIfNegative val="0"/>
          <c:dPt>
            <c:idx val="0"/>
            <c:invertIfNegative val="0"/>
            <c:bubble3D val="0"/>
            <c:spPr>
              <a:solidFill>
                <a:srgbClr val="1E7FB8"/>
              </a:solidFill>
              <a:ln w="19050">
                <a:solidFill>
                  <a:schemeClr val="lt1"/>
                </a:solidFill>
              </a:ln>
              <a:effectLst/>
            </c:spPr>
            <c:extLst>
              <c:ext xmlns:c16="http://schemas.microsoft.com/office/drawing/2014/chart" uri="{C3380CC4-5D6E-409C-BE32-E72D297353CC}">
                <c16:uniqueId val="{0000000D-E587-46D1-9728-9278D39B219B}"/>
              </c:ext>
            </c:extLst>
          </c:dPt>
          <c:dPt>
            <c:idx val="1"/>
            <c:invertIfNegative val="0"/>
            <c:bubble3D val="0"/>
            <c:spPr>
              <a:noFill/>
              <a:ln w="19050">
                <a:solidFill>
                  <a:schemeClr val="lt1"/>
                </a:solidFill>
              </a:ln>
              <a:effectLst/>
            </c:spPr>
            <c:extLst>
              <c:ext xmlns:c16="http://schemas.microsoft.com/office/drawing/2014/chart" uri="{C3380CC4-5D6E-409C-BE32-E72D297353CC}">
                <c16:uniqueId val="{0000000E-E587-46D1-9728-9278D39B219B}"/>
              </c:ext>
            </c:extLst>
          </c:dPt>
          <c:dPt>
            <c:idx val="2"/>
            <c:invertIfNegative val="0"/>
            <c:bubble3D val="0"/>
            <c:spPr>
              <a:noFill/>
              <a:ln w="19050">
                <a:solidFill>
                  <a:schemeClr val="lt1"/>
                </a:solidFill>
              </a:ln>
              <a:effectLst/>
            </c:spPr>
            <c:extLst>
              <c:ext xmlns:c16="http://schemas.microsoft.com/office/drawing/2014/chart" uri="{C3380CC4-5D6E-409C-BE32-E72D297353CC}">
                <c16:uniqueId val="{00000005-E587-46D1-9728-9278D39B219B}"/>
              </c:ext>
            </c:extLst>
          </c:dPt>
          <c:dPt>
            <c:idx val="3"/>
            <c:invertIfNegative val="0"/>
            <c:bubble3D val="0"/>
            <c:spPr>
              <a:noFill/>
              <a:ln w="19050">
                <a:solidFill>
                  <a:schemeClr val="lt1"/>
                </a:solidFill>
              </a:ln>
              <a:effectLst/>
            </c:spPr>
            <c:extLst>
              <c:ext xmlns:c16="http://schemas.microsoft.com/office/drawing/2014/chart" uri="{C3380CC4-5D6E-409C-BE32-E72D297353CC}">
                <c16:uniqueId val="{0000000F-E587-46D1-9728-9278D39B219B}"/>
              </c:ext>
            </c:extLst>
          </c:dPt>
          <c:dPt>
            <c:idx val="4"/>
            <c:invertIfNegative val="0"/>
            <c:bubble3D val="0"/>
            <c:spPr>
              <a:noFill/>
              <a:ln w="19050">
                <a:solidFill>
                  <a:schemeClr val="lt1"/>
                </a:solidFill>
              </a:ln>
              <a:effectLst/>
            </c:spPr>
            <c:extLst>
              <c:ext xmlns:c16="http://schemas.microsoft.com/office/drawing/2014/chart" uri="{C3380CC4-5D6E-409C-BE32-E72D297353CC}">
                <c16:uniqueId val="{00000008-E587-46D1-9728-9278D39B219B}"/>
              </c:ext>
            </c:extLst>
          </c:dPt>
          <c:dPt>
            <c:idx val="5"/>
            <c:invertIfNegative val="0"/>
            <c:bubble3D val="0"/>
            <c:spPr>
              <a:noFill/>
              <a:ln w="19050">
                <a:solidFill>
                  <a:schemeClr val="lt1"/>
                </a:solidFill>
              </a:ln>
              <a:effectLst/>
            </c:spPr>
            <c:extLst>
              <c:ext xmlns:c16="http://schemas.microsoft.com/office/drawing/2014/chart" uri="{C3380CC4-5D6E-409C-BE32-E72D297353CC}">
                <c16:uniqueId val="{0000000B-848F-4FB7-B082-641BDEB8731A}"/>
              </c:ext>
            </c:extLst>
          </c:dPt>
          <c:dPt>
            <c:idx val="6"/>
            <c:invertIfNegative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C0E3-41ED-B076-FF5DDCEB0965}"/>
              </c:ext>
            </c:extLst>
          </c:dPt>
          <c:dLbls>
            <c:dLbl>
              <c:idx val="0"/>
              <c:layout>
                <c:manualLayout>
                  <c:x val="2.4708283370936186E-3"/>
                  <c:y val="-3.05078429473687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87-46D1-9728-9278D39B219B}"/>
                </c:ext>
              </c:extLst>
            </c:dLbl>
            <c:dLbl>
              <c:idx val="6"/>
              <c:layout>
                <c:manualLayout>
                  <c:x val="0"/>
                  <c:y val="-0.327007788118975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E3-41ED-B076-FF5DDCEB0965}"/>
                </c:ext>
              </c:extLst>
            </c:dLbl>
            <c:numFmt formatCode="[&lt;999950]&quot;$&quot;0.0,&quot;K&quot;;[&lt;999950000]&quot;$&quot;0.0,,&quot;M&quot;;&quot;$&quot;0.0,,,&quot;B&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 Dashboard'!$G$236:$G$242</c:f>
              <c:strCache>
                <c:ptCount val="7"/>
                <c:pt idx="0">
                  <c:v>Hygiene</c:v>
                </c:pt>
                <c:pt idx="1">
                  <c:v>PPE</c:v>
                </c:pt>
                <c:pt idx="2">
                  <c:v>Diagnostics</c:v>
                </c:pt>
                <c:pt idx="3">
                  <c:v>Drugs and consumables</c:v>
                </c:pt>
                <c:pt idx="4">
                  <c:v>Biomedical Equipment</c:v>
                </c:pt>
                <c:pt idx="5">
                  <c:v>Biomedical Consumables &amp; Accessories</c:v>
                </c:pt>
                <c:pt idx="6">
                  <c:v>Total</c:v>
                </c:pt>
              </c:strCache>
            </c:strRef>
          </c:cat>
          <c:val>
            <c:numRef>
              <c:f>'User Dashboard'!$C$85:$C$91</c:f>
              <c:numCache>
                <c:formatCode>_("$"* #,##0_);_("$"* \(#,##0\);_("$"* "-"??_);_(@_)</c:formatCode>
                <c:ptCount val="7"/>
                <c:pt idx="0">
                  <c:v>16304.670808457877</c:v>
                </c:pt>
                <c:pt idx="1">
                  <c:v>16304.670808457877</c:v>
                </c:pt>
                <c:pt idx="2">
                  <c:v>200083.80638227693</c:v>
                </c:pt>
                <c:pt idx="3">
                  <c:v>247089.59142460083</c:v>
                </c:pt>
                <c:pt idx="4">
                  <c:v>345691.94840027211</c:v>
                </c:pt>
                <c:pt idx="5">
                  <c:v>3443181.8595754718</c:v>
                </c:pt>
                <c:pt idx="6">
                  <c:v>3457900.7779790307</c:v>
                </c:pt>
              </c:numCache>
            </c:numRef>
          </c:val>
          <c:extLst>
            <c:ext xmlns:c16="http://schemas.microsoft.com/office/drawing/2014/chart" uri="{C3380CC4-5D6E-409C-BE32-E72D297353CC}">
              <c16:uniqueId val="{00000000-E587-46D1-9728-9278D39B219B}"/>
            </c:ext>
          </c:extLst>
        </c:ser>
        <c:ser>
          <c:idx val="1"/>
          <c:order val="1"/>
          <c:tx>
            <c:v>2</c:v>
          </c:tx>
          <c:spPr>
            <a:solidFill>
              <a:schemeClr val="accent2"/>
            </a:solidFill>
            <a:ln w="19050">
              <a:solidFill>
                <a:schemeClr val="lt1"/>
              </a:solidFill>
            </a:ln>
            <a:effectLst/>
          </c:spPr>
          <c:invertIfNegative val="0"/>
          <c:dPt>
            <c:idx val="2"/>
            <c:invertIfNegative val="0"/>
            <c:bubble3D val="0"/>
            <c:spPr>
              <a:solidFill>
                <a:srgbClr val="1E7FB8"/>
              </a:solidFill>
              <a:ln w="19050">
                <a:solidFill>
                  <a:schemeClr val="lt1"/>
                </a:solidFill>
              </a:ln>
              <a:effectLst/>
            </c:spPr>
            <c:extLst>
              <c:ext xmlns:c16="http://schemas.microsoft.com/office/drawing/2014/chart" uri="{C3380CC4-5D6E-409C-BE32-E72D297353CC}">
                <c16:uniqueId val="{0000000F-C0E3-41ED-B076-FF5DDCEB0965}"/>
              </c:ext>
            </c:extLst>
          </c:dPt>
          <c:dPt>
            <c:idx val="3"/>
            <c:invertIfNegative val="0"/>
            <c:bubble3D val="0"/>
            <c:spPr>
              <a:solidFill>
                <a:srgbClr val="002060"/>
              </a:solidFill>
              <a:ln w="19050">
                <a:solidFill>
                  <a:schemeClr val="lt1"/>
                </a:solidFill>
              </a:ln>
              <a:effectLst/>
            </c:spPr>
            <c:extLst>
              <c:ext xmlns:c16="http://schemas.microsoft.com/office/drawing/2014/chart" uri="{C3380CC4-5D6E-409C-BE32-E72D297353CC}">
                <c16:uniqueId val="{00000010-C0E3-41ED-B076-FF5DDCEB096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11-C0E3-41ED-B076-FF5DDCEB0965}"/>
              </c:ext>
            </c:extLst>
          </c:dPt>
          <c:dLbls>
            <c:dLbl>
              <c:idx val="1"/>
              <c:layout>
                <c:manualLayout>
                  <c:x val="0"/>
                  <c:y val="-0.137030081532829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E3-41ED-B076-FF5DDCEB0965}"/>
                </c:ext>
              </c:extLst>
            </c:dLbl>
            <c:dLbl>
              <c:idx val="2"/>
              <c:layout>
                <c:manualLayout>
                  <c:x val="0"/>
                  <c:y val="-0.120882628053303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E3-41ED-B076-FF5DDCEB0965}"/>
                </c:ext>
              </c:extLst>
            </c:dLbl>
            <c:dLbl>
              <c:idx val="3"/>
              <c:layout>
                <c:manualLayout>
                  <c:x val="0"/>
                  <c:y val="-0.1618040787894967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E3-41ED-B076-FF5DDCEB0965}"/>
                </c:ext>
              </c:extLst>
            </c:dLbl>
            <c:dLbl>
              <c:idx val="4"/>
              <c:layout>
                <c:manualLayout>
                  <c:x val="-4.7529693170571645E-3"/>
                  <c:y val="-0.16732258094212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E3-41ED-B076-FF5DDCEB0965}"/>
                </c:ext>
              </c:extLst>
            </c:dLbl>
            <c:dLbl>
              <c:idx val="5"/>
              <c:layout>
                <c:manualLayout>
                  <c:x val="-1.3167007339095853E-16"/>
                  <c:y val="-4.62814238710064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E3-41ED-B076-FF5DDCEB0965}"/>
                </c:ext>
              </c:extLst>
            </c:dLbl>
            <c:numFmt formatCode="[&lt;999950]&quot;$&quot;0.0,&quot;K&quot;;[&lt;999950000]&quot;$&quot;0.0,,&quot;M&quot;;&quot;$&quot;0.0,,,&quot;B&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 Dashboard'!$G$236:$G$242</c:f>
              <c:strCache>
                <c:ptCount val="7"/>
                <c:pt idx="0">
                  <c:v>Hygiene</c:v>
                </c:pt>
                <c:pt idx="1">
                  <c:v>PPE</c:v>
                </c:pt>
                <c:pt idx="2">
                  <c:v>Diagnostics</c:v>
                </c:pt>
                <c:pt idx="3">
                  <c:v>Drugs and consumables</c:v>
                </c:pt>
                <c:pt idx="4">
                  <c:v>Biomedical Equipment</c:v>
                </c:pt>
                <c:pt idx="5">
                  <c:v>Biomedical Consumables &amp; Accessories</c:v>
                </c:pt>
                <c:pt idx="6">
                  <c:v>Total</c:v>
                </c:pt>
              </c:strCache>
            </c:strRef>
          </c:cat>
          <c:val>
            <c:numRef>
              <c:f>'User Dashboard'!$D$85:$D$91</c:f>
              <c:numCache>
                <c:formatCode>_("$"* #,##0_);_("$"* \(#,##0\);_("$"* "-"??_);_(@_)</c:formatCode>
                <c:ptCount val="7"/>
                <c:pt idx="1">
                  <c:v>183779.13557381905</c:v>
                </c:pt>
                <c:pt idx="2">
                  <c:v>47005.785042323907</c:v>
                </c:pt>
                <c:pt idx="3">
                  <c:v>98602.356975671297</c:v>
                </c:pt>
                <c:pt idx="4">
                  <c:v>3097489.9111751998</c:v>
                </c:pt>
                <c:pt idx="5">
                  <c:v>14718.918403558735</c:v>
                </c:pt>
              </c:numCache>
            </c:numRef>
          </c:val>
          <c:extLst>
            <c:ext xmlns:c16="http://schemas.microsoft.com/office/drawing/2014/chart" uri="{C3380CC4-5D6E-409C-BE32-E72D297353CC}">
              <c16:uniqueId val="{0000000D-C0E3-41ED-B076-FF5DDCEB0965}"/>
            </c:ext>
          </c:extLst>
        </c:ser>
        <c:dLbls>
          <c:showLegendKey val="0"/>
          <c:showVal val="0"/>
          <c:showCatName val="0"/>
          <c:showSerName val="0"/>
          <c:showPercent val="0"/>
          <c:showBubbleSize val="0"/>
        </c:dLbls>
        <c:gapWidth val="100"/>
        <c:overlap val="100"/>
        <c:axId val="842334792"/>
        <c:axId val="842339056"/>
      </c:barChart>
      <c:catAx>
        <c:axId val="842334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bg1"/>
                </a:solidFill>
                <a:latin typeface="+mn-lt"/>
                <a:ea typeface="+mn-ea"/>
                <a:cs typeface="+mn-cs"/>
              </a:defRPr>
            </a:pPr>
            <a:endParaRPr lang="en-US"/>
          </a:p>
        </c:txPr>
        <c:crossAx val="842339056"/>
        <c:crosses val="autoZero"/>
        <c:auto val="1"/>
        <c:lblAlgn val="ctr"/>
        <c:lblOffset val="100"/>
        <c:noMultiLvlLbl val="0"/>
      </c:catAx>
      <c:valAx>
        <c:axId val="842339056"/>
        <c:scaling>
          <c:orientation val="minMax"/>
        </c:scaling>
        <c:delete val="1"/>
        <c:axPos val="l"/>
        <c:numFmt formatCode="_(&quot;$&quot;* #,##0_);_(&quot;$&quot;* \(#,##0\);_(&quot;$&quot;* &quot;-&quot;??_);_(@_)" sourceLinked="1"/>
        <c:majorTickMark val="out"/>
        <c:minorTickMark val="none"/>
        <c:tickLblPos val="nextTo"/>
        <c:crossAx val="84233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F$34" noThreeD="1"/>
</file>

<file path=xl/ctrlProps/ctrlProp2.xml><?xml version="1.0" encoding="utf-8"?>
<formControlPr xmlns="http://schemas.microsoft.com/office/spreadsheetml/2009/9/main" objectType="Radio" checked="Checked" firstButton="1" fmlaLink="$E$22" lockText="1"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CheckBox" fmlaLink="$W$9" lockText="1" noThreeD="1"/>
</file>

<file path=xl/ctrlProps/ctrlProp5.xml><?xml version="1.0" encoding="utf-8"?>
<formControlPr xmlns="http://schemas.microsoft.com/office/spreadsheetml/2009/9/main" objectType="Radio" checked="Checked" firstButton="1" fmlaLink="$AE$16"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67734</xdr:colOff>
      <xdr:row>1</xdr:row>
      <xdr:rowOff>76201</xdr:rowOff>
    </xdr:from>
    <xdr:ext cx="1117600" cy="349087"/>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04801" y="177801"/>
          <a:ext cx="1117600" cy="34908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33337</xdr:colOff>
      <xdr:row>0</xdr:row>
      <xdr:rowOff>52387</xdr:rowOff>
    </xdr:from>
    <xdr:to>
      <xdr:col>1</xdr:col>
      <xdr:colOff>1067422</xdr:colOff>
      <xdr:row>0</xdr:row>
      <xdr:rowOff>448387</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 y="52387"/>
          <a:ext cx="1286498" cy="39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1162673</xdr:colOff>
      <xdr:row>0</xdr:row>
      <xdr:rowOff>434100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1286498" cy="39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0</xdr:row>
      <xdr:rowOff>42863</xdr:rowOff>
    </xdr:from>
    <xdr:to>
      <xdr:col>1</xdr:col>
      <xdr:colOff>1062660</xdr:colOff>
      <xdr:row>0</xdr:row>
      <xdr:rowOff>438863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42863"/>
          <a:ext cx="1286498" cy="396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61912</xdr:rowOff>
    </xdr:from>
    <xdr:to>
      <xdr:col>1</xdr:col>
      <xdr:colOff>1019798</xdr:colOff>
      <xdr:row>0</xdr:row>
      <xdr:rowOff>457912</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1912"/>
          <a:ext cx="1286498" cy="396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76200</xdr:rowOff>
    </xdr:from>
    <xdr:to>
      <xdr:col>1</xdr:col>
      <xdr:colOff>1081710</xdr:colOff>
      <xdr:row>3</xdr:row>
      <xdr:rowOff>110250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14325"/>
          <a:ext cx="1286498" cy="39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1639299</xdr:colOff>
      <xdr:row>35</xdr:row>
      <xdr:rowOff>99</xdr:rowOff>
    </xdr:from>
    <xdr:to>
      <xdr:col>3</xdr:col>
      <xdr:colOff>200157</xdr:colOff>
      <xdr:row>36</xdr:row>
      <xdr:rowOff>0</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rot="471329">
          <a:off x="2052049" y="7979932"/>
          <a:ext cx="335683" cy="253901"/>
          <a:chOff x="4108450" y="489175"/>
          <a:chExt cx="844175" cy="795113"/>
        </a:xfrm>
        <a:solidFill>
          <a:schemeClr val="tx1"/>
        </a:solidFill>
      </xdr:grpSpPr>
      <xdr:sp macro="" textlink="">
        <xdr:nvSpPr>
          <xdr:cNvPr id="5" name="Freeform 4">
            <a:extLst>
              <a:ext uri="{FF2B5EF4-FFF2-40B4-BE49-F238E27FC236}">
                <a16:creationId xmlns:a16="http://schemas.microsoft.com/office/drawing/2014/main" id="{00000000-0008-0000-0300-000005000000}"/>
              </a:ext>
            </a:extLst>
          </xdr:cNvPr>
          <xdr:cNvSpPr>
            <a:spLocks/>
          </xdr:cNvSpPr>
        </xdr:nvSpPr>
        <xdr:spPr bwMode="auto">
          <a:xfrm>
            <a:off x="4108450" y="633413"/>
            <a:ext cx="785813" cy="650875"/>
          </a:xfrm>
          <a:custGeom>
            <a:avLst/>
            <a:gdLst>
              <a:gd name="T0" fmla="*/ 442 w 495"/>
              <a:gd name="T1" fmla="*/ 0 h 410"/>
              <a:gd name="T2" fmla="*/ 355 w 495"/>
              <a:gd name="T3" fmla="*/ 209 h 410"/>
              <a:gd name="T4" fmla="*/ 268 w 495"/>
              <a:gd name="T5" fmla="*/ 121 h 410"/>
              <a:gd name="T6" fmla="*/ 196 w 495"/>
              <a:gd name="T7" fmla="*/ 286 h 410"/>
              <a:gd name="T8" fmla="*/ 117 w 495"/>
              <a:gd name="T9" fmla="*/ 205 h 410"/>
              <a:gd name="T10" fmla="*/ 0 w 495"/>
              <a:gd name="T11" fmla="*/ 375 h 410"/>
              <a:gd name="T12" fmla="*/ 47 w 495"/>
              <a:gd name="T13" fmla="*/ 410 h 410"/>
              <a:gd name="T14" fmla="*/ 47 w 495"/>
              <a:gd name="T15" fmla="*/ 410 h 410"/>
              <a:gd name="T16" fmla="*/ 125 w 495"/>
              <a:gd name="T17" fmla="*/ 297 h 410"/>
              <a:gd name="T18" fmla="*/ 214 w 495"/>
              <a:gd name="T19" fmla="*/ 390 h 410"/>
              <a:gd name="T20" fmla="*/ 286 w 495"/>
              <a:gd name="T21" fmla="*/ 224 h 410"/>
              <a:gd name="T22" fmla="*/ 375 w 495"/>
              <a:gd name="T23" fmla="*/ 312 h 410"/>
              <a:gd name="T24" fmla="*/ 495 w 495"/>
              <a:gd name="T25" fmla="*/ 22 h 410"/>
              <a:gd name="T26" fmla="*/ 442 w 495"/>
              <a:gd name="T27" fmla="*/ 0 h 4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95" h="410">
                <a:moveTo>
                  <a:pt x="442" y="0"/>
                </a:moveTo>
                <a:lnTo>
                  <a:pt x="355" y="209"/>
                </a:lnTo>
                <a:lnTo>
                  <a:pt x="268" y="121"/>
                </a:lnTo>
                <a:lnTo>
                  <a:pt x="196" y="286"/>
                </a:lnTo>
                <a:lnTo>
                  <a:pt x="117" y="205"/>
                </a:lnTo>
                <a:lnTo>
                  <a:pt x="0" y="375"/>
                </a:lnTo>
                <a:lnTo>
                  <a:pt x="47" y="410"/>
                </a:lnTo>
                <a:lnTo>
                  <a:pt x="47" y="410"/>
                </a:lnTo>
                <a:lnTo>
                  <a:pt x="125" y="297"/>
                </a:lnTo>
                <a:lnTo>
                  <a:pt x="214" y="390"/>
                </a:lnTo>
                <a:lnTo>
                  <a:pt x="286" y="224"/>
                </a:lnTo>
                <a:lnTo>
                  <a:pt x="375" y="312"/>
                </a:lnTo>
                <a:lnTo>
                  <a:pt x="495" y="22"/>
                </a:lnTo>
                <a:lnTo>
                  <a:pt x="44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5">
            <a:extLst>
              <a:ext uri="{FF2B5EF4-FFF2-40B4-BE49-F238E27FC236}">
                <a16:creationId xmlns:a16="http://schemas.microsoft.com/office/drawing/2014/main" id="{00000000-0008-0000-0300-000006000000}"/>
              </a:ext>
            </a:extLst>
          </xdr:cNvPr>
          <xdr:cNvSpPr>
            <a:spLocks/>
          </xdr:cNvSpPr>
        </xdr:nvSpPr>
        <xdr:spPr bwMode="auto">
          <a:xfrm>
            <a:off x="4752600" y="489175"/>
            <a:ext cx="200025" cy="214313"/>
          </a:xfrm>
          <a:custGeom>
            <a:avLst/>
            <a:gdLst>
              <a:gd name="T0" fmla="*/ 72 w 85"/>
              <a:gd name="T1" fmla="*/ 88 h 91"/>
              <a:gd name="T2" fmla="*/ 83 w 85"/>
              <a:gd name="T3" fmla="*/ 75 h 91"/>
              <a:gd name="T4" fmla="*/ 75 w 85"/>
              <a:gd name="T5" fmla="*/ 13 h 91"/>
              <a:gd name="T6" fmla="*/ 58 w 85"/>
              <a:gd name="T7" fmla="*/ 6 h 91"/>
              <a:gd name="T8" fmla="*/ 8 w 85"/>
              <a:gd name="T9" fmla="*/ 44 h 91"/>
              <a:gd name="T10" fmla="*/ 7 w 85"/>
              <a:gd name="T11" fmla="*/ 61 h 91"/>
              <a:gd name="T12" fmla="*/ 39 w 85"/>
              <a:gd name="T13" fmla="*/ 74 h 91"/>
              <a:gd name="T14" fmla="*/ 41 w 85"/>
              <a:gd name="T15" fmla="*/ 75 h 91"/>
              <a:gd name="T16" fmla="*/ 72 w 85"/>
              <a:gd name="T17" fmla="*/ 88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91">
                <a:moveTo>
                  <a:pt x="72" y="88"/>
                </a:moveTo>
                <a:cubicBezTo>
                  <a:pt x="80" y="91"/>
                  <a:pt x="85" y="85"/>
                  <a:pt x="83" y="75"/>
                </a:cubicBezTo>
                <a:cubicBezTo>
                  <a:pt x="75" y="13"/>
                  <a:pt x="75" y="13"/>
                  <a:pt x="75" y="13"/>
                </a:cubicBezTo>
                <a:cubicBezTo>
                  <a:pt x="74" y="3"/>
                  <a:pt x="66" y="0"/>
                  <a:pt x="58" y="6"/>
                </a:cubicBezTo>
                <a:cubicBezTo>
                  <a:pt x="8" y="44"/>
                  <a:pt x="8" y="44"/>
                  <a:pt x="8" y="44"/>
                </a:cubicBezTo>
                <a:cubicBezTo>
                  <a:pt x="0" y="50"/>
                  <a:pt x="0" y="58"/>
                  <a:pt x="7" y="61"/>
                </a:cubicBezTo>
                <a:cubicBezTo>
                  <a:pt x="15" y="65"/>
                  <a:pt x="29" y="70"/>
                  <a:pt x="39" y="74"/>
                </a:cubicBezTo>
                <a:cubicBezTo>
                  <a:pt x="41" y="75"/>
                  <a:pt x="41" y="75"/>
                  <a:pt x="41" y="75"/>
                </a:cubicBezTo>
                <a:cubicBezTo>
                  <a:pt x="50" y="79"/>
                  <a:pt x="64" y="85"/>
                  <a:pt x="72" y="8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2</xdr:col>
      <xdr:colOff>1107889</xdr:colOff>
      <xdr:row>43</xdr:row>
      <xdr:rowOff>152956</xdr:rowOff>
    </xdr:from>
    <xdr:to>
      <xdr:col>2</xdr:col>
      <xdr:colOff>1382209</xdr:colOff>
      <xdr:row>45</xdr:row>
      <xdr:rowOff>50759</xdr:rowOff>
    </xdr:to>
    <xdr:sp macro="" textlink="">
      <xdr:nvSpPr>
        <xdr:cNvPr id="7" name="Freeform 6">
          <a:extLst>
            <a:ext uri="{FF2B5EF4-FFF2-40B4-BE49-F238E27FC236}">
              <a16:creationId xmlns:a16="http://schemas.microsoft.com/office/drawing/2014/main" id="{00000000-0008-0000-0300-000007000000}"/>
            </a:ext>
          </a:extLst>
        </xdr:cNvPr>
        <xdr:cNvSpPr>
          <a:spLocks noEditPoints="1"/>
        </xdr:cNvSpPr>
      </xdr:nvSpPr>
      <xdr:spPr bwMode="auto">
        <a:xfrm>
          <a:off x="1526989" y="10660936"/>
          <a:ext cx="274320" cy="278803"/>
        </a:xfrm>
        <a:custGeom>
          <a:avLst/>
          <a:gdLst>
            <a:gd name="T0" fmla="*/ 152 w 312"/>
            <a:gd name="T1" fmla="*/ 10 h 309"/>
            <a:gd name="T2" fmla="*/ 302 w 312"/>
            <a:gd name="T3" fmla="*/ 150 h 309"/>
            <a:gd name="T4" fmla="*/ 310 w 312"/>
            <a:gd name="T5" fmla="*/ 160 h 309"/>
            <a:gd name="T6" fmla="*/ 162 w 312"/>
            <a:gd name="T7" fmla="*/ 309 h 309"/>
            <a:gd name="T8" fmla="*/ 13 w 312"/>
            <a:gd name="T9" fmla="*/ 160 h 309"/>
            <a:gd name="T10" fmla="*/ 199 w 312"/>
            <a:gd name="T11" fmla="*/ 150 h 309"/>
            <a:gd name="T12" fmla="*/ 199 w 312"/>
            <a:gd name="T13" fmla="*/ 154 h 309"/>
            <a:gd name="T14" fmla="*/ 199 w 312"/>
            <a:gd name="T15" fmla="*/ 154 h 309"/>
            <a:gd name="T16" fmla="*/ 199 w 312"/>
            <a:gd name="T17" fmla="*/ 155 h 309"/>
            <a:gd name="T18" fmla="*/ 163 w 312"/>
            <a:gd name="T19" fmla="*/ 216 h 309"/>
            <a:gd name="T20" fmla="*/ 153 w 312"/>
            <a:gd name="T21" fmla="*/ 178 h 309"/>
            <a:gd name="T22" fmla="*/ 134 w 312"/>
            <a:gd name="T23" fmla="*/ 160 h 309"/>
            <a:gd name="T24" fmla="*/ 117 w 312"/>
            <a:gd name="T25" fmla="*/ 150 h 309"/>
            <a:gd name="T26" fmla="*/ 152 w 312"/>
            <a:gd name="T27" fmla="*/ 113 h 309"/>
            <a:gd name="T28" fmla="*/ 153 w 312"/>
            <a:gd name="T29" fmla="*/ 113 h 309"/>
            <a:gd name="T30" fmla="*/ 153 w 312"/>
            <a:gd name="T31" fmla="*/ 113 h 309"/>
            <a:gd name="T32" fmla="*/ 153 w 312"/>
            <a:gd name="T33" fmla="*/ 113 h 309"/>
            <a:gd name="T34" fmla="*/ 154 w 312"/>
            <a:gd name="T35" fmla="*/ 113 h 309"/>
            <a:gd name="T36" fmla="*/ 155 w 312"/>
            <a:gd name="T37" fmla="*/ 113 h 309"/>
            <a:gd name="T38" fmla="*/ 155 w 312"/>
            <a:gd name="T39" fmla="*/ 113 h 309"/>
            <a:gd name="T40" fmla="*/ 155 w 312"/>
            <a:gd name="T41" fmla="*/ 113 h 309"/>
            <a:gd name="T42" fmla="*/ 155 w 312"/>
            <a:gd name="T43" fmla="*/ 113 h 309"/>
            <a:gd name="T44" fmla="*/ 155 w 312"/>
            <a:gd name="T45" fmla="*/ 113 h 309"/>
            <a:gd name="T46" fmla="*/ 155 w 312"/>
            <a:gd name="T47" fmla="*/ 113 h 309"/>
            <a:gd name="T48" fmla="*/ 156 w 312"/>
            <a:gd name="T49" fmla="*/ 113 h 309"/>
            <a:gd name="T50" fmla="*/ 156 w 312"/>
            <a:gd name="T51" fmla="*/ 113 h 309"/>
            <a:gd name="T52" fmla="*/ 156 w 312"/>
            <a:gd name="T53" fmla="*/ 113 h 309"/>
            <a:gd name="T54" fmla="*/ 156 w 312"/>
            <a:gd name="T55" fmla="*/ 113 h 309"/>
            <a:gd name="T56" fmla="*/ 156 w 312"/>
            <a:gd name="T57" fmla="*/ 113 h 309"/>
            <a:gd name="T58" fmla="*/ 156 w 312"/>
            <a:gd name="T59" fmla="*/ 113 h 309"/>
            <a:gd name="T60" fmla="*/ 157 w 312"/>
            <a:gd name="T61" fmla="*/ 113 h 309"/>
            <a:gd name="T62" fmla="*/ 157 w 312"/>
            <a:gd name="T63" fmla="*/ 113 h 309"/>
            <a:gd name="T64" fmla="*/ 157 w 312"/>
            <a:gd name="T65" fmla="*/ 113 h 309"/>
            <a:gd name="T66" fmla="*/ 157 w 312"/>
            <a:gd name="T67" fmla="*/ 113 h 309"/>
            <a:gd name="T68" fmla="*/ 157 w 312"/>
            <a:gd name="T69" fmla="*/ 113 h 309"/>
            <a:gd name="T70" fmla="*/ 199 w 312"/>
            <a:gd name="T71" fmla="*/ 150 h 309"/>
            <a:gd name="T72" fmla="*/ 182 w 312"/>
            <a:gd name="T73" fmla="*/ 160 h 309"/>
            <a:gd name="T74" fmla="*/ 158 w 312"/>
            <a:gd name="T75" fmla="*/ 196 h 309"/>
            <a:gd name="T76" fmla="*/ 158 w 312"/>
            <a:gd name="T77" fmla="*/ 196 h 309"/>
            <a:gd name="T78" fmla="*/ 158 w 312"/>
            <a:gd name="T79" fmla="*/ 196 h 309"/>
            <a:gd name="T80" fmla="*/ 152 w 312"/>
            <a:gd name="T81" fmla="*/ 216 h 309"/>
            <a:gd name="T82" fmla="*/ 116 w 312"/>
            <a:gd name="T83" fmla="*/ 155 h 309"/>
            <a:gd name="T84" fmla="*/ 116 w 312"/>
            <a:gd name="T85" fmla="*/ 154 h 309"/>
            <a:gd name="T86" fmla="*/ 116 w 312"/>
            <a:gd name="T87" fmla="*/ 154 h 309"/>
            <a:gd name="T88" fmla="*/ 152 w 312"/>
            <a:gd name="T89" fmla="*/ 93 h 309"/>
            <a:gd name="T90" fmla="*/ 162 w 312"/>
            <a:gd name="T91" fmla="*/ 129 h 309"/>
            <a:gd name="T92" fmla="*/ 219 w 312"/>
            <a:gd name="T93" fmla="*/ 150 h 309"/>
            <a:gd name="T94" fmla="*/ 116 w 312"/>
            <a:gd name="T95" fmla="*/ 154 h 309"/>
            <a:gd name="T96" fmla="*/ 158 w 312"/>
            <a:gd name="T97" fmla="*/ 172 h 309"/>
            <a:gd name="T98" fmla="*/ 244 w 312"/>
            <a:gd name="T99" fmla="*/ 150 h 309"/>
            <a:gd name="T100" fmla="*/ 244 w 312"/>
            <a:gd name="T101" fmla="*/ 160 h 309"/>
            <a:gd name="T102" fmla="*/ 244 w 312"/>
            <a:gd name="T103" fmla="*/ 160 h 309"/>
            <a:gd name="T104" fmla="*/ 152 w 312"/>
            <a:gd name="T105" fmla="*/ 270 h 309"/>
            <a:gd name="T106" fmla="*/ 152 w 312"/>
            <a:gd name="T107" fmla="*/ 39 h 3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12" h="309">
              <a:moveTo>
                <a:pt x="0" y="160"/>
              </a:moveTo>
              <a:cubicBezTo>
                <a:pt x="0" y="150"/>
                <a:pt x="0" y="150"/>
                <a:pt x="0" y="150"/>
              </a:cubicBezTo>
              <a:cubicBezTo>
                <a:pt x="13" y="150"/>
                <a:pt x="13" y="150"/>
                <a:pt x="13" y="150"/>
              </a:cubicBezTo>
              <a:cubicBezTo>
                <a:pt x="16" y="74"/>
                <a:pt x="77" y="13"/>
                <a:pt x="152" y="10"/>
              </a:cubicBezTo>
              <a:cubicBezTo>
                <a:pt x="152" y="0"/>
                <a:pt x="152" y="0"/>
                <a:pt x="152" y="0"/>
              </a:cubicBezTo>
              <a:cubicBezTo>
                <a:pt x="163" y="0"/>
                <a:pt x="163" y="0"/>
                <a:pt x="163" y="0"/>
              </a:cubicBezTo>
              <a:cubicBezTo>
                <a:pt x="163" y="10"/>
                <a:pt x="163" y="10"/>
                <a:pt x="163" y="10"/>
              </a:cubicBezTo>
              <a:cubicBezTo>
                <a:pt x="238" y="13"/>
                <a:pt x="300" y="74"/>
                <a:pt x="302" y="150"/>
              </a:cubicBezTo>
              <a:cubicBezTo>
                <a:pt x="310" y="150"/>
                <a:pt x="310" y="150"/>
                <a:pt x="310" y="150"/>
              </a:cubicBezTo>
              <a:cubicBezTo>
                <a:pt x="311" y="150"/>
                <a:pt x="312" y="150"/>
                <a:pt x="312" y="151"/>
              </a:cubicBezTo>
              <a:cubicBezTo>
                <a:pt x="312" y="159"/>
                <a:pt x="312" y="159"/>
                <a:pt x="312" y="159"/>
              </a:cubicBezTo>
              <a:cubicBezTo>
                <a:pt x="312" y="160"/>
                <a:pt x="311" y="160"/>
                <a:pt x="310" y="160"/>
              </a:cubicBezTo>
              <a:cubicBezTo>
                <a:pt x="302" y="160"/>
                <a:pt x="302" y="160"/>
                <a:pt x="302" y="160"/>
              </a:cubicBezTo>
              <a:cubicBezTo>
                <a:pt x="299" y="235"/>
                <a:pt x="238" y="296"/>
                <a:pt x="163" y="299"/>
              </a:cubicBezTo>
              <a:cubicBezTo>
                <a:pt x="163" y="308"/>
                <a:pt x="163" y="308"/>
                <a:pt x="163" y="308"/>
              </a:cubicBezTo>
              <a:cubicBezTo>
                <a:pt x="163" y="309"/>
                <a:pt x="162" y="309"/>
                <a:pt x="162" y="309"/>
              </a:cubicBezTo>
              <a:cubicBezTo>
                <a:pt x="153" y="309"/>
                <a:pt x="153" y="309"/>
                <a:pt x="153" y="309"/>
              </a:cubicBezTo>
              <a:cubicBezTo>
                <a:pt x="153" y="309"/>
                <a:pt x="152" y="309"/>
                <a:pt x="152" y="308"/>
              </a:cubicBezTo>
              <a:cubicBezTo>
                <a:pt x="152" y="299"/>
                <a:pt x="152" y="299"/>
                <a:pt x="152" y="299"/>
              </a:cubicBezTo>
              <a:cubicBezTo>
                <a:pt x="77" y="296"/>
                <a:pt x="16" y="235"/>
                <a:pt x="13" y="160"/>
              </a:cubicBezTo>
              <a:cubicBezTo>
                <a:pt x="0" y="160"/>
                <a:pt x="0" y="160"/>
                <a:pt x="0" y="160"/>
              </a:cubicBezTo>
              <a:close/>
              <a:moveTo>
                <a:pt x="163" y="113"/>
              </a:moveTo>
              <a:cubicBezTo>
                <a:pt x="182" y="116"/>
                <a:pt x="197" y="131"/>
                <a:pt x="199" y="150"/>
              </a:cubicBezTo>
              <a:cubicBezTo>
                <a:pt x="199" y="150"/>
                <a:pt x="199" y="150"/>
                <a:pt x="199" y="150"/>
              </a:cubicBezTo>
              <a:cubicBezTo>
                <a:pt x="199" y="151"/>
                <a:pt x="199" y="153"/>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5"/>
                <a:pt x="199" y="155"/>
                <a:pt x="199" y="155"/>
              </a:cubicBezTo>
              <a:cubicBezTo>
                <a:pt x="199" y="155"/>
                <a:pt x="199" y="155"/>
                <a:pt x="199" y="155"/>
              </a:cubicBezTo>
              <a:cubicBezTo>
                <a:pt x="199" y="155"/>
                <a:pt x="199" y="155"/>
                <a:pt x="199" y="155"/>
              </a:cubicBezTo>
              <a:cubicBezTo>
                <a:pt x="199" y="157"/>
                <a:pt x="199" y="158"/>
                <a:pt x="198" y="160"/>
              </a:cubicBezTo>
              <a:cubicBezTo>
                <a:pt x="219" y="160"/>
                <a:pt x="219" y="160"/>
                <a:pt x="219" y="160"/>
              </a:cubicBezTo>
              <a:cubicBezTo>
                <a:pt x="216" y="190"/>
                <a:pt x="193" y="214"/>
                <a:pt x="163" y="216"/>
              </a:cubicBezTo>
              <a:cubicBezTo>
                <a:pt x="163" y="195"/>
                <a:pt x="163" y="195"/>
                <a:pt x="163" y="195"/>
              </a:cubicBezTo>
              <a:cubicBezTo>
                <a:pt x="163" y="178"/>
                <a:pt x="163" y="178"/>
                <a:pt x="163" y="178"/>
              </a:cubicBezTo>
              <a:cubicBezTo>
                <a:pt x="163" y="178"/>
                <a:pt x="162" y="178"/>
                <a:pt x="162" y="178"/>
              </a:cubicBezTo>
              <a:cubicBezTo>
                <a:pt x="153" y="178"/>
                <a:pt x="153" y="178"/>
                <a:pt x="153" y="178"/>
              </a:cubicBezTo>
              <a:cubicBezTo>
                <a:pt x="153" y="178"/>
                <a:pt x="152" y="178"/>
                <a:pt x="152" y="178"/>
              </a:cubicBezTo>
              <a:cubicBezTo>
                <a:pt x="152" y="195"/>
                <a:pt x="152" y="195"/>
                <a:pt x="152" y="195"/>
              </a:cubicBezTo>
              <a:cubicBezTo>
                <a:pt x="134" y="193"/>
                <a:pt x="119" y="179"/>
                <a:pt x="117" y="160"/>
              </a:cubicBezTo>
              <a:cubicBezTo>
                <a:pt x="134" y="160"/>
                <a:pt x="134" y="160"/>
                <a:pt x="134" y="160"/>
              </a:cubicBezTo>
              <a:cubicBezTo>
                <a:pt x="134" y="160"/>
                <a:pt x="134" y="160"/>
                <a:pt x="134" y="159"/>
              </a:cubicBezTo>
              <a:cubicBezTo>
                <a:pt x="134" y="151"/>
                <a:pt x="134" y="151"/>
                <a:pt x="134" y="151"/>
              </a:cubicBezTo>
              <a:cubicBezTo>
                <a:pt x="134" y="150"/>
                <a:pt x="134" y="150"/>
                <a:pt x="134" y="150"/>
              </a:cubicBezTo>
              <a:cubicBezTo>
                <a:pt x="117" y="150"/>
                <a:pt x="117" y="150"/>
                <a:pt x="117" y="150"/>
              </a:cubicBezTo>
              <a:cubicBezTo>
                <a:pt x="119" y="131"/>
                <a:pt x="134" y="116"/>
                <a:pt x="152" y="113"/>
              </a:cubicBezTo>
              <a:cubicBezTo>
                <a:pt x="152" y="113"/>
                <a:pt x="152" y="113"/>
                <a:pt x="152" y="113"/>
              </a:cubicBezTo>
              <a:cubicBezTo>
                <a:pt x="152" y="113"/>
                <a:pt x="152" y="113"/>
                <a:pt x="152" y="113"/>
              </a:cubicBezTo>
              <a:cubicBezTo>
                <a:pt x="152" y="113"/>
                <a:pt x="152" y="113"/>
                <a:pt x="152" y="113"/>
              </a:cubicBezTo>
              <a:cubicBezTo>
                <a:pt x="152" y="113"/>
                <a:pt x="152" y="113"/>
                <a:pt x="152"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4" y="113"/>
                <a:pt x="154" y="113"/>
                <a:pt x="154" y="113"/>
              </a:cubicBezTo>
              <a:cubicBezTo>
                <a:pt x="154" y="113"/>
                <a:pt x="154" y="113"/>
                <a:pt x="154"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8" y="113"/>
                <a:pt x="158" y="113"/>
                <a:pt x="158" y="113"/>
              </a:cubicBezTo>
              <a:cubicBezTo>
                <a:pt x="158" y="113"/>
                <a:pt x="158" y="113"/>
                <a:pt x="158" y="113"/>
              </a:cubicBezTo>
              <a:cubicBezTo>
                <a:pt x="159" y="113"/>
                <a:pt x="161" y="113"/>
                <a:pt x="163" y="113"/>
              </a:cubicBezTo>
              <a:close/>
              <a:moveTo>
                <a:pt x="199" y="150"/>
              </a:moveTo>
              <a:cubicBezTo>
                <a:pt x="182" y="150"/>
                <a:pt x="182" y="150"/>
                <a:pt x="182" y="150"/>
              </a:cubicBezTo>
              <a:cubicBezTo>
                <a:pt x="182" y="150"/>
                <a:pt x="182" y="150"/>
                <a:pt x="182" y="151"/>
              </a:cubicBezTo>
              <a:cubicBezTo>
                <a:pt x="182" y="159"/>
                <a:pt x="182" y="159"/>
                <a:pt x="182" y="159"/>
              </a:cubicBezTo>
              <a:cubicBezTo>
                <a:pt x="182" y="160"/>
                <a:pt x="182" y="160"/>
                <a:pt x="182" y="160"/>
              </a:cubicBezTo>
              <a:cubicBezTo>
                <a:pt x="198" y="160"/>
                <a:pt x="198" y="160"/>
                <a:pt x="198" y="160"/>
              </a:cubicBezTo>
              <a:cubicBezTo>
                <a:pt x="196" y="179"/>
                <a:pt x="181" y="193"/>
                <a:pt x="163" y="195"/>
              </a:cubicBezTo>
              <a:cubicBezTo>
                <a:pt x="161" y="196"/>
                <a:pt x="160"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7" y="196"/>
                <a:pt x="157" y="196"/>
                <a:pt x="157" y="196"/>
              </a:cubicBezTo>
              <a:cubicBezTo>
                <a:pt x="157" y="196"/>
                <a:pt x="157" y="196"/>
                <a:pt x="157" y="196"/>
              </a:cubicBezTo>
              <a:cubicBezTo>
                <a:pt x="156" y="196"/>
                <a:pt x="154" y="196"/>
                <a:pt x="152" y="195"/>
              </a:cubicBezTo>
              <a:cubicBezTo>
                <a:pt x="152" y="216"/>
                <a:pt x="152" y="216"/>
                <a:pt x="152" y="216"/>
              </a:cubicBezTo>
              <a:cubicBezTo>
                <a:pt x="123" y="214"/>
                <a:pt x="99" y="190"/>
                <a:pt x="96" y="160"/>
              </a:cubicBezTo>
              <a:cubicBezTo>
                <a:pt x="117" y="160"/>
                <a:pt x="117" y="160"/>
                <a:pt x="117" y="160"/>
              </a:cubicBezTo>
              <a:cubicBezTo>
                <a:pt x="117" y="158"/>
                <a:pt x="116" y="156"/>
                <a:pt x="116" y="155"/>
              </a:cubicBezTo>
              <a:cubicBezTo>
                <a:pt x="116" y="155"/>
                <a:pt x="116" y="155"/>
                <a:pt x="116" y="155"/>
              </a:cubicBezTo>
              <a:cubicBezTo>
                <a:pt x="116" y="155"/>
                <a:pt x="116" y="155"/>
                <a:pt x="116" y="155"/>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3"/>
                <a:pt x="116" y="151"/>
                <a:pt x="117" y="150"/>
              </a:cubicBezTo>
              <a:cubicBezTo>
                <a:pt x="96" y="150"/>
                <a:pt x="96" y="150"/>
                <a:pt x="96" y="150"/>
              </a:cubicBezTo>
              <a:cubicBezTo>
                <a:pt x="98" y="120"/>
                <a:pt x="122" y="95"/>
                <a:pt x="152" y="93"/>
              </a:cubicBezTo>
              <a:cubicBezTo>
                <a:pt x="152" y="113"/>
                <a:pt x="152" y="113"/>
                <a:pt x="152" y="113"/>
              </a:cubicBezTo>
              <a:cubicBezTo>
                <a:pt x="152" y="129"/>
                <a:pt x="152" y="129"/>
                <a:pt x="152" y="129"/>
              </a:cubicBezTo>
              <a:cubicBezTo>
                <a:pt x="152" y="129"/>
                <a:pt x="153" y="129"/>
                <a:pt x="153" y="129"/>
              </a:cubicBezTo>
              <a:cubicBezTo>
                <a:pt x="162" y="129"/>
                <a:pt x="162" y="129"/>
                <a:pt x="162" y="129"/>
              </a:cubicBezTo>
              <a:cubicBezTo>
                <a:pt x="162" y="129"/>
                <a:pt x="163" y="129"/>
                <a:pt x="163" y="129"/>
              </a:cubicBezTo>
              <a:cubicBezTo>
                <a:pt x="163" y="113"/>
                <a:pt x="163" y="113"/>
                <a:pt x="163" y="113"/>
              </a:cubicBezTo>
              <a:cubicBezTo>
                <a:pt x="163" y="93"/>
                <a:pt x="163" y="93"/>
                <a:pt x="163" y="93"/>
              </a:cubicBezTo>
              <a:cubicBezTo>
                <a:pt x="193" y="95"/>
                <a:pt x="217" y="120"/>
                <a:pt x="219" y="150"/>
              </a:cubicBezTo>
              <a:cubicBezTo>
                <a:pt x="199" y="150"/>
                <a:pt x="199" y="150"/>
                <a:pt x="199" y="150"/>
              </a:cubicBezTo>
              <a:cubicBezTo>
                <a:pt x="199" y="150"/>
                <a:pt x="199" y="150"/>
                <a:pt x="199" y="150"/>
              </a:cubicBezTo>
              <a:close/>
              <a:moveTo>
                <a:pt x="116" y="154"/>
              </a:moveTo>
              <a:cubicBezTo>
                <a:pt x="116" y="154"/>
                <a:pt x="116" y="154"/>
                <a:pt x="116" y="154"/>
              </a:cubicBezTo>
              <a:cubicBezTo>
                <a:pt x="116" y="154"/>
                <a:pt x="116" y="154"/>
                <a:pt x="116" y="154"/>
              </a:cubicBezTo>
              <a:close/>
              <a:moveTo>
                <a:pt x="158" y="137"/>
              </a:moveTo>
              <a:cubicBezTo>
                <a:pt x="167" y="137"/>
                <a:pt x="175" y="145"/>
                <a:pt x="175" y="154"/>
              </a:cubicBezTo>
              <a:cubicBezTo>
                <a:pt x="175" y="164"/>
                <a:pt x="167" y="172"/>
                <a:pt x="158" y="172"/>
              </a:cubicBezTo>
              <a:cubicBezTo>
                <a:pt x="148" y="172"/>
                <a:pt x="140" y="164"/>
                <a:pt x="140" y="154"/>
              </a:cubicBezTo>
              <a:cubicBezTo>
                <a:pt x="140" y="145"/>
                <a:pt x="148" y="137"/>
                <a:pt x="158" y="137"/>
              </a:cubicBezTo>
              <a:close/>
              <a:moveTo>
                <a:pt x="163" y="68"/>
              </a:moveTo>
              <a:cubicBezTo>
                <a:pt x="207" y="71"/>
                <a:pt x="242" y="106"/>
                <a:pt x="244" y="150"/>
              </a:cubicBezTo>
              <a:cubicBezTo>
                <a:pt x="273" y="150"/>
                <a:pt x="273" y="150"/>
                <a:pt x="273" y="150"/>
              </a:cubicBezTo>
              <a:cubicBezTo>
                <a:pt x="271" y="90"/>
                <a:pt x="223" y="42"/>
                <a:pt x="163" y="39"/>
              </a:cubicBezTo>
              <a:cubicBezTo>
                <a:pt x="163" y="68"/>
                <a:pt x="163" y="68"/>
                <a:pt x="163" y="68"/>
              </a:cubicBezTo>
              <a:close/>
              <a:moveTo>
                <a:pt x="244" y="160"/>
              </a:moveTo>
              <a:cubicBezTo>
                <a:pt x="241" y="204"/>
                <a:pt x="206" y="238"/>
                <a:pt x="163" y="241"/>
              </a:cubicBezTo>
              <a:cubicBezTo>
                <a:pt x="163" y="270"/>
                <a:pt x="163" y="270"/>
                <a:pt x="163" y="270"/>
              </a:cubicBezTo>
              <a:cubicBezTo>
                <a:pt x="222" y="267"/>
                <a:pt x="270" y="219"/>
                <a:pt x="273" y="160"/>
              </a:cubicBezTo>
              <a:cubicBezTo>
                <a:pt x="244" y="160"/>
                <a:pt x="244" y="160"/>
                <a:pt x="244" y="160"/>
              </a:cubicBezTo>
              <a:close/>
              <a:moveTo>
                <a:pt x="152" y="241"/>
              </a:moveTo>
              <a:cubicBezTo>
                <a:pt x="109" y="238"/>
                <a:pt x="74" y="204"/>
                <a:pt x="71" y="160"/>
              </a:cubicBezTo>
              <a:cubicBezTo>
                <a:pt x="42" y="160"/>
                <a:pt x="42" y="160"/>
                <a:pt x="42" y="160"/>
              </a:cubicBezTo>
              <a:cubicBezTo>
                <a:pt x="45" y="219"/>
                <a:pt x="93" y="267"/>
                <a:pt x="152" y="270"/>
              </a:cubicBezTo>
              <a:cubicBezTo>
                <a:pt x="152" y="241"/>
                <a:pt x="152" y="241"/>
                <a:pt x="152" y="241"/>
              </a:cubicBezTo>
              <a:close/>
              <a:moveTo>
                <a:pt x="71" y="150"/>
              </a:moveTo>
              <a:cubicBezTo>
                <a:pt x="73" y="106"/>
                <a:pt x="109" y="71"/>
                <a:pt x="152" y="68"/>
              </a:cubicBezTo>
              <a:cubicBezTo>
                <a:pt x="152" y="39"/>
                <a:pt x="152" y="39"/>
                <a:pt x="152" y="39"/>
              </a:cubicBezTo>
              <a:cubicBezTo>
                <a:pt x="93" y="42"/>
                <a:pt x="45" y="90"/>
                <a:pt x="42" y="150"/>
              </a:cubicBezTo>
              <a:cubicBezTo>
                <a:pt x="71" y="150"/>
                <a:pt x="71" y="150"/>
                <a:pt x="71" y="15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1739151</xdr:colOff>
      <xdr:row>39</xdr:row>
      <xdr:rowOff>143433</xdr:rowOff>
    </xdr:from>
    <xdr:to>
      <xdr:col>3</xdr:col>
      <xdr:colOff>268939</xdr:colOff>
      <xdr:row>41</xdr:row>
      <xdr:rowOff>44823</xdr:rowOff>
    </xdr:to>
    <xdr:sp macro="" textlink="">
      <xdr:nvSpPr>
        <xdr:cNvPr id="8" name="Freeform 7">
          <a:extLst>
            <a:ext uri="{FF2B5EF4-FFF2-40B4-BE49-F238E27FC236}">
              <a16:creationId xmlns:a16="http://schemas.microsoft.com/office/drawing/2014/main" id="{00000000-0008-0000-0300-000008000000}"/>
            </a:ext>
          </a:extLst>
        </xdr:cNvPr>
        <xdr:cNvSpPr>
          <a:spLocks noEditPoints="1"/>
        </xdr:cNvSpPr>
      </xdr:nvSpPr>
      <xdr:spPr bwMode="auto">
        <a:xfrm>
          <a:off x="2158251" y="9721773"/>
          <a:ext cx="282388" cy="282390"/>
        </a:xfrm>
        <a:custGeom>
          <a:avLst/>
          <a:gdLst>
            <a:gd name="T0" fmla="*/ 269 w 354"/>
            <a:gd name="T1" fmla="*/ 109 h 361"/>
            <a:gd name="T2" fmla="*/ 206 w 354"/>
            <a:gd name="T3" fmla="*/ 109 h 361"/>
            <a:gd name="T4" fmla="*/ 130 w 354"/>
            <a:gd name="T5" fmla="*/ 167 h 361"/>
            <a:gd name="T6" fmla="*/ 124 w 354"/>
            <a:gd name="T7" fmla="*/ 177 h 361"/>
            <a:gd name="T8" fmla="*/ 187 w 354"/>
            <a:gd name="T9" fmla="*/ 109 h 361"/>
            <a:gd name="T10" fmla="*/ 124 w 354"/>
            <a:gd name="T11" fmla="*/ 109 h 361"/>
            <a:gd name="T12" fmla="*/ 145 w 354"/>
            <a:gd name="T13" fmla="*/ 149 h 361"/>
            <a:gd name="T14" fmla="*/ 41 w 354"/>
            <a:gd name="T15" fmla="*/ 268 h 361"/>
            <a:gd name="T16" fmla="*/ 104 w 354"/>
            <a:gd name="T17" fmla="*/ 268 h 361"/>
            <a:gd name="T18" fmla="*/ 43 w 354"/>
            <a:gd name="T19" fmla="*/ 227 h 361"/>
            <a:gd name="T20" fmla="*/ 41 w 354"/>
            <a:gd name="T21" fmla="*/ 208 h 361"/>
            <a:gd name="T22" fmla="*/ 104 w 354"/>
            <a:gd name="T23" fmla="*/ 208 h 361"/>
            <a:gd name="T24" fmla="*/ 43 w 354"/>
            <a:gd name="T25" fmla="*/ 167 h 361"/>
            <a:gd name="T26" fmla="*/ 238 w 354"/>
            <a:gd name="T27" fmla="*/ 41 h 361"/>
            <a:gd name="T28" fmla="*/ 244 w 354"/>
            <a:gd name="T29" fmla="*/ 65 h 361"/>
            <a:gd name="T30" fmla="*/ 221 w 354"/>
            <a:gd name="T31" fmla="*/ 55 h 361"/>
            <a:gd name="T32" fmla="*/ 88 w 354"/>
            <a:gd name="T33" fmla="*/ 41 h 361"/>
            <a:gd name="T34" fmla="*/ 93 w 354"/>
            <a:gd name="T35" fmla="*/ 65 h 361"/>
            <a:gd name="T36" fmla="*/ 71 w 354"/>
            <a:gd name="T37" fmla="*/ 55 h 361"/>
            <a:gd name="T38" fmla="*/ 16 w 354"/>
            <a:gd name="T39" fmla="*/ 41 h 361"/>
            <a:gd name="T40" fmla="*/ 126 w 354"/>
            <a:gd name="T41" fmla="*/ 311 h 361"/>
            <a:gd name="T42" fmla="*/ 0 w 354"/>
            <a:gd name="T43" fmla="*/ 45 h 361"/>
            <a:gd name="T44" fmla="*/ 72 w 354"/>
            <a:gd name="T45" fmla="*/ 8 h 361"/>
            <a:gd name="T46" fmla="*/ 88 w 354"/>
            <a:gd name="T47" fmla="*/ 25 h 361"/>
            <a:gd name="T48" fmla="*/ 230 w 354"/>
            <a:gd name="T49" fmla="*/ 0 h 361"/>
            <a:gd name="T50" fmla="*/ 291 w 354"/>
            <a:gd name="T51" fmla="*/ 25 h 361"/>
            <a:gd name="T52" fmla="*/ 295 w 354"/>
            <a:gd name="T53" fmla="*/ 126 h 361"/>
            <a:gd name="T54" fmla="*/ 41 w 354"/>
            <a:gd name="T55" fmla="*/ 147 h 361"/>
            <a:gd name="T56" fmla="*/ 104 w 354"/>
            <a:gd name="T57" fmla="*/ 147 h 361"/>
            <a:gd name="T58" fmla="*/ 43 w 354"/>
            <a:gd name="T59" fmla="*/ 107 h 361"/>
            <a:gd name="T60" fmla="*/ 161 w 354"/>
            <a:gd name="T61" fmla="*/ 319 h 361"/>
            <a:gd name="T62" fmla="*/ 174 w 354"/>
            <a:gd name="T63" fmla="*/ 180 h 361"/>
            <a:gd name="T64" fmla="*/ 174 w 354"/>
            <a:gd name="T65" fmla="*/ 305 h 361"/>
            <a:gd name="T66" fmla="*/ 230 w 354"/>
            <a:gd name="T67" fmla="*/ 249 h 361"/>
            <a:gd name="T68" fmla="*/ 291 w 354"/>
            <a:gd name="T69" fmla="*/ 188 h 361"/>
            <a:gd name="T70" fmla="*/ 206 w 354"/>
            <a:gd name="T71" fmla="*/ 203 h 361"/>
            <a:gd name="T72" fmla="*/ 229 w 354"/>
            <a:gd name="T73" fmla="*/ 296 h 361"/>
            <a:gd name="T74" fmla="*/ 244 w 354"/>
            <a:gd name="T75" fmla="*/ 313 h 361"/>
            <a:gd name="T76" fmla="*/ 229 w 354"/>
            <a:gd name="T77" fmla="*/ 296 h 361"/>
            <a:gd name="T78" fmla="*/ 314 w 354"/>
            <a:gd name="T79" fmla="*/ 243 h 361"/>
            <a:gd name="T80" fmla="*/ 282 w 354"/>
            <a:gd name="T81" fmla="*/ 243 h 361"/>
            <a:gd name="T82" fmla="*/ 229 w 354"/>
            <a:gd name="T83" fmla="*/ 190 h 361"/>
            <a:gd name="T84" fmla="*/ 244 w 354"/>
            <a:gd name="T85" fmla="*/ 173 h 361"/>
            <a:gd name="T86" fmla="*/ 159 w 354"/>
            <a:gd name="T87" fmla="*/ 243 h 361"/>
            <a:gd name="T88" fmla="*/ 191 w 354"/>
            <a:gd name="T89" fmla="*/ 243 h 361"/>
            <a:gd name="T90" fmla="*/ 159 w 354"/>
            <a:gd name="T91" fmla="*/ 243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54" h="361">
              <a:moveTo>
                <a:pt x="206" y="116"/>
              </a:moveTo>
              <a:cubicBezTo>
                <a:pt x="227" y="111"/>
                <a:pt x="248" y="111"/>
                <a:pt x="269" y="117"/>
              </a:cubicBezTo>
              <a:cubicBezTo>
                <a:pt x="269" y="109"/>
                <a:pt x="269" y="109"/>
                <a:pt x="269" y="109"/>
              </a:cubicBezTo>
              <a:cubicBezTo>
                <a:pt x="269" y="108"/>
                <a:pt x="268" y="107"/>
                <a:pt x="267" y="107"/>
              </a:cubicBezTo>
              <a:cubicBezTo>
                <a:pt x="208" y="107"/>
                <a:pt x="208" y="107"/>
                <a:pt x="208" y="107"/>
              </a:cubicBezTo>
              <a:cubicBezTo>
                <a:pt x="207" y="107"/>
                <a:pt x="206" y="108"/>
                <a:pt x="206" y="109"/>
              </a:cubicBezTo>
              <a:cubicBezTo>
                <a:pt x="206" y="116"/>
                <a:pt x="206" y="116"/>
                <a:pt x="206" y="116"/>
              </a:cubicBezTo>
              <a:close/>
              <a:moveTo>
                <a:pt x="124" y="177"/>
              </a:moveTo>
              <a:cubicBezTo>
                <a:pt x="126" y="174"/>
                <a:pt x="128" y="170"/>
                <a:pt x="130" y="167"/>
              </a:cubicBezTo>
              <a:cubicBezTo>
                <a:pt x="126" y="167"/>
                <a:pt x="126" y="167"/>
                <a:pt x="126" y="167"/>
              </a:cubicBezTo>
              <a:cubicBezTo>
                <a:pt x="125" y="167"/>
                <a:pt x="124" y="168"/>
                <a:pt x="124" y="169"/>
              </a:cubicBezTo>
              <a:cubicBezTo>
                <a:pt x="124" y="177"/>
                <a:pt x="124" y="177"/>
                <a:pt x="124" y="177"/>
              </a:cubicBezTo>
              <a:close/>
              <a:moveTo>
                <a:pt x="145" y="149"/>
              </a:moveTo>
              <a:cubicBezTo>
                <a:pt x="157" y="138"/>
                <a:pt x="171" y="129"/>
                <a:pt x="187" y="122"/>
              </a:cubicBezTo>
              <a:cubicBezTo>
                <a:pt x="187" y="109"/>
                <a:pt x="187" y="109"/>
                <a:pt x="187" y="109"/>
              </a:cubicBezTo>
              <a:cubicBezTo>
                <a:pt x="187" y="108"/>
                <a:pt x="186" y="107"/>
                <a:pt x="185" y="107"/>
              </a:cubicBezTo>
              <a:cubicBezTo>
                <a:pt x="126" y="107"/>
                <a:pt x="126" y="107"/>
                <a:pt x="126" y="107"/>
              </a:cubicBezTo>
              <a:cubicBezTo>
                <a:pt x="125" y="107"/>
                <a:pt x="124" y="108"/>
                <a:pt x="124" y="109"/>
              </a:cubicBezTo>
              <a:cubicBezTo>
                <a:pt x="124" y="147"/>
                <a:pt x="124" y="147"/>
                <a:pt x="124" y="147"/>
              </a:cubicBezTo>
              <a:cubicBezTo>
                <a:pt x="124" y="149"/>
                <a:pt x="125" y="149"/>
                <a:pt x="126" y="149"/>
              </a:cubicBezTo>
              <a:cubicBezTo>
                <a:pt x="145" y="149"/>
                <a:pt x="145" y="149"/>
                <a:pt x="145" y="149"/>
              </a:cubicBezTo>
              <a:close/>
              <a:moveTo>
                <a:pt x="43" y="227"/>
              </a:moveTo>
              <a:cubicBezTo>
                <a:pt x="42" y="227"/>
                <a:pt x="41" y="228"/>
                <a:pt x="41" y="229"/>
              </a:cubicBezTo>
              <a:cubicBezTo>
                <a:pt x="41" y="268"/>
                <a:pt x="41" y="268"/>
                <a:pt x="41" y="268"/>
              </a:cubicBezTo>
              <a:cubicBezTo>
                <a:pt x="41" y="269"/>
                <a:pt x="42" y="270"/>
                <a:pt x="43" y="270"/>
              </a:cubicBezTo>
              <a:cubicBezTo>
                <a:pt x="102" y="270"/>
                <a:pt x="102" y="270"/>
                <a:pt x="102" y="270"/>
              </a:cubicBezTo>
              <a:cubicBezTo>
                <a:pt x="103" y="270"/>
                <a:pt x="104" y="269"/>
                <a:pt x="104" y="268"/>
              </a:cubicBezTo>
              <a:cubicBezTo>
                <a:pt x="104" y="229"/>
                <a:pt x="104" y="229"/>
                <a:pt x="104" y="229"/>
              </a:cubicBezTo>
              <a:cubicBezTo>
                <a:pt x="104" y="228"/>
                <a:pt x="103" y="227"/>
                <a:pt x="102" y="227"/>
              </a:cubicBezTo>
              <a:cubicBezTo>
                <a:pt x="43" y="227"/>
                <a:pt x="43" y="227"/>
                <a:pt x="43" y="227"/>
              </a:cubicBezTo>
              <a:close/>
              <a:moveTo>
                <a:pt x="43" y="167"/>
              </a:moveTo>
              <a:cubicBezTo>
                <a:pt x="42" y="167"/>
                <a:pt x="41" y="168"/>
                <a:pt x="41" y="169"/>
              </a:cubicBezTo>
              <a:cubicBezTo>
                <a:pt x="41" y="208"/>
                <a:pt x="41" y="208"/>
                <a:pt x="41" y="208"/>
              </a:cubicBezTo>
              <a:cubicBezTo>
                <a:pt x="41" y="209"/>
                <a:pt x="42" y="209"/>
                <a:pt x="43" y="209"/>
              </a:cubicBezTo>
              <a:cubicBezTo>
                <a:pt x="102" y="209"/>
                <a:pt x="102" y="209"/>
                <a:pt x="102" y="209"/>
              </a:cubicBezTo>
              <a:cubicBezTo>
                <a:pt x="103" y="209"/>
                <a:pt x="104" y="209"/>
                <a:pt x="104" y="208"/>
              </a:cubicBezTo>
              <a:cubicBezTo>
                <a:pt x="104" y="169"/>
                <a:pt x="104" y="169"/>
                <a:pt x="104" y="169"/>
              </a:cubicBezTo>
              <a:cubicBezTo>
                <a:pt x="104" y="168"/>
                <a:pt x="103" y="167"/>
                <a:pt x="102" y="167"/>
              </a:cubicBezTo>
              <a:cubicBezTo>
                <a:pt x="43" y="167"/>
                <a:pt x="43" y="167"/>
                <a:pt x="43" y="167"/>
              </a:cubicBezTo>
              <a:close/>
              <a:moveTo>
                <a:pt x="295" y="126"/>
              </a:moveTo>
              <a:cubicBezTo>
                <a:pt x="295" y="41"/>
                <a:pt x="295" y="41"/>
                <a:pt x="295" y="41"/>
              </a:cubicBezTo>
              <a:cubicBezTo>
                <a:pt x="238" y="41"/>
                <a:pt x="238" y="41"/>
                <a:pt x="238" y="41"/>
              </a:cubicBezTo>
              <a:cubicBezTo>
                <a:pt x="238" y="54"/>
                <a:pt x="238" y="54"/>
                <a:pt x="238" y="54"/>
              </a:cubicBezTo>
              <a:cubicBezTo>
                <a:pt x="239" y="55"/>
                <a:pt x="239" y="55"/>
                <a:pt x="239" y="55"/>
              </a:cubicBezTo>
              <a:cubicBezTo>
                <a:pt x="242" y="58"/>
                <a:pt x="244" y="62"/>
                <a:pt x="244" y="65"/>
              </a:cubicBezTo>
              <a:cubicBezTo>
                <a:pt x="244" y="73"/>
                <a:pt x="238" y="79"/>
                <a:pt x="230" y="79"/>
              </a:cubicBezTo>
              <a:cubicBezTo>
                <a:pt x="223" y="79"/>
                <a:pt x="217" y="73"/>
                <a:pt x="217" y="65"/>
              </a:cubicBezTo>
              <a:cubicBezTo>
                <a:pt x="217" y="62"/>
                <a:pt x="218" y="58"/>
                <a:pt x="221" y="55"/>
              </a:cubicBezTo>
              <a:cubicBezTo>
                <a:pt x="222" y="54"/>
                <a:pt x="222" y="54"/>
                <a:pt x="222" y="54"/>
              </a:cubicBezTo>
              <a:cubicBezTo>
                <a:pt x="222" y="41"/>
                <a:pt x="222" y="41"/>
                <a:pt x="222" y="41"/>
              </a:cubicBezTo>
              <a:cubicBezTo>
                <a:pt x="88" y="41"/>
                <a:pt x="88" y="41"/>
                <a:pt x="88" y="41"/>
              </a:cubicBezTo>
              <a:cubicBezTo>
                <a:pt x="88" y="54"/>
                <a:pt x="88" y="54"/>
                <a:pt x="88" y="54"/>
              </a:cubicBezTo>
              <a:cubicBezTo>
                <a:pt x="89" y="55"/>
                <a:pt x="89" y="55"/>
                <a:pt x="89" y="55"/>
              </a:cubicBezTo>
              <a:cubicBezTo>
                <a:pt x="92" y="58"/>
                <a:pt x="93" y="62"/>
                <a:pt x="93" y="65"/>
              </a:cubicBezTo>
              <a:cubicBezTo>
                <a:pt x="93" y="73"/>
                <a:pt x="87" y="79"/>
                <a:pt x="80" y="79"/>
              </a:cubicBezTo>
              <a:cubicBezTo>
                <a:pt x="73" y="79"/>
                <a:pt x="67" y="73"/>
                <a:pt x="67" y="65"/>
              </a:cubicBezTo>
              <a:cubicBezTo>
                <a:pt x="67" y="62"/>
                <a:pt x="68" y="58"/>
                <a:pt x="71" y="55"/>
              </a:cubicBezTo>
              <a:cubicBezTo>
                <a:pt x="72" y="54"/>
                <a:pt x="72" y="54"/>
                <a:pt x="72" y="54"/>
              </a:cubicBezTo>
              <a:cubicBezTo>
                <a:pt x="72" y="41"/>
                <a:pt x="72" y="41"/>
                <a:pt x="72" y="41"/>
              </a:cubicBezTo>
              <a:cubicBezTo>
                <a:pt x="16" y="41"/>
                <a:pt x="16" y="41"/>
                <a:pt x="16" y="41"/>
              </a:cubicBezTo>
              <a:cubicBezTo>
                <a:pt x="16" y="296"/>
                <a:pt x="16" y="296"/>
                <a:pt x="16" y="296"/>
              </a:cubicBezTo>
              <a:cubicBezTo>
                <a:pt x="117" y="296"/>
                <a:pt x="117" y="296"/>
                <a:pt x="117" y="296"/>
              </a:cubicBezTo>
              <a:cubicBezTo>
                <a:pt x="120" y="301"/>
                <a:pt x="122" y="306"/>
                <a:pt x="126" y="311"/>
              </a:cubicBezTo>
              <a:cubicBezTo>
                <a:pt x="20" y="311"/>
                <a:pt x="20" y="311"/>
                <a:pt x="20" y="311"/>
              </a:cubicBezTo>
              <a:cubicBezTo>
                <a:pt x="9" y="312"/>
                <a:pt x="0" y="304"/>
                <a:pt x="0" y="292"/>
              </a:cubicBezTo>
              <a:cubicBezTo>
                <a:pt x="0" y="45"/>
                <a:pt x="0" y="45"/>
                <a:pt x="0" y="45"/>
              </a:cubicBezTo>
              <a:cubicBezTo>
                <a:pt x="0" y="33"/>
                <a:pt x="8" y="25"/>
                <a:pt x="20" y="25"/>
              </a:cubicBezTo>
              <a:cubicBezTo>
                <a:pt x="72" y="25"/>
                <a:pt x="72" y="25"/>
                <a:pt x="72" y="25"/>
              </a:cubicBezTo>
              <a:cubicBezTo>
                <a:pt x="72" y="8"/>
                <a:pt x="72" y="8"/>
                <a:pt x="72" y="8"/>
              </a:cubicBezTo>
              <a:cubicBezTo>
                <a:pt x="72" y="4"/>
                <a:pt x="76" y="0"/>
                <a:pt x="80" y="0"/>
              </a:cubicBezTo>
              <a:cubicBezTo>
                <a:pt x="84" y="0"/>
                <a:pt x="88" y="4"/>
                <a:pt x="88" y="8"/>
              </a:cubicBezTo>
              <a:cubicBezTo>
                <a:pt x="88" y="25"/>
                <a:pt x="88" y="25"/>
                <a:pt x="88" y="25"/>
              </a:cubicBezTo>
              <a:cubicBezTo>
                <a:pt x="222" y="25"/>
                <a:pt x="222" y="25"/>
                <a:pt x="222" y="25"/>
              </a:cubicBezTo>
              <a:cubicBezTo>
                <a:pt x="222" y="8"/>
                <a:pt x="222" y="8"/>
                <a:pt x="222" y="8"/>
              </a:cubicBezTo>
              <a:cubicBezTo>
                <a:pt x="222" y="4"/>
                <a:pt x="226" y="0"/>
                <a:pt x="230" y="0"/>
              </a:cubicBezTo>
              <a:cubicBezTo>
                <a:pt x="234" y="0"/>
                <a:pt x="238" y="4"/>
                <a:pt x="238" y="8"/>
              </a:cubicBezTo>
              <a:cubicBezTo>
                <a:pt x="238" y="25"/>
                <a:pt x="238" y="25"/>
                <a:pt x="238" y="25"/>
              </a:cubicBezTo>
              <a:cubicBezTo>
                <a:pt x="291" y="25"/>
                <a:pt x="291" y="25"/>
                <a:pt x="291" y="25"/>
              </a:cubicBezTo>
              <a:cubicBezTo>
                <a:pt x="302" y="25"/>
                <a:pt x="310" y="34"/>
                <a:pt x="310" y="44"/>
              </a:cubicBezTo>
              <a:cubicBezTo>
                <a:pt x="310" y="135"/>
                <a:pt x="310" y="135"/>
                <a:pt x="310" y="135"/>
              </a:cubicBezTo>
              <a:cubicBezTo>
                <a:pt x="305" y="132"/>
                <a:pt x="300" y="129"/>
                <a:pt x="295" y="126"/>
              </a:cubicBezTo>
              <a:close/>
              <a:moveTo>
                <a:pt x="43" y="107"/>
              </a:moveTo>
              <a:cubicBezTo>
                <a:pt x="42" y="107"/>
                <a:pt x="41" y="108"/>
                <a:pt x="41" y="109"/>
              </a:cubicBezTo>
              <a:cubicBezTo>
                <a:pt x="41" y="147"/>
                <a:pt x="41" y="147"/>
                <a:pt x="41" y="147"/>
              </a:cubicBezTo>
              <a:cubicBezTo>
                <a:pt x="41" y="149"/>
                <a:pt x="42" y="149"/>
                <a:pt x="43" y="149"/>
              </a:cubicBezTo>
              <a:cubicBezTo>
                <a:pt x="102" y="149"/>
                <a:pt x="102" y="149"/>
                <a:pt x="102" y="149"/>
              </a:cubicBezTo>
              <a:cubicBezTo>
                <a:pt x="103" y="149"/>
                <a:pt x="104" y="149"/>
                <a:pt x="104" y="147"/>
              </a:cubicBezTo>
              <a:cubicBezTo>
                <a:pt x="104" y="109"/>
                <a:pt x="104" y="109"/>
                <a:pt x="104" y="109"/>
              </a:cubicBezTo>
              <a:cubicBezTo>
                <a:pt x="104" y="108"/>
                <a:pt x="103" y="107"/>
                <a:pt x="102" y="107"/>
              </a:cubicBezTo>
              <a:cubicBezTo>
                <a:pt x="43" y="107"/>
                <a:pt x="43" y="107"/>
                <a:pt x="43" y="107"/>
              </a:cubicBezTo>
              <a:close/>
              <a:moveTo>
                <a:pt x="312" y="167"/>
              </a:moveTo>
              <a:cubicBezTo>
                <a:pt x="354" y="209"/>
                <a:pt x="354" y="277"/>
                <a:pt x="312" y="319"/>
              </a:cubicBezTo>
              <a:cubicBezTo>
                <a:pt x="270" y="361"/>
                <a:pt x="202" y="361"/>
                <a:pt x="161" y="319"/>
              </a:cubicBezTo>
              <a:cubicBezTo>
                <a:pt x="119" y="277"/>
                <a:pt x="119" y="209"/>
                <a:pt x="161" y="167"/>
              </a:cubicBezTo>
              <a:cubicBezTo>
                <a:pt x="202" y="125"/>
                <a:pt x="270" y="125"/>
                <a:pt x="312" y="167"/>
              </a:cubicBezTo>
              <a:close/>
              <a:moveTo>
                <a:pt x="174" y="180"/>
              </a:moveTo>
              <a:cubicBezTo>
                <a:pt x="208" y="146"/>
                <a:pt x="264" y="146"/>
                <a:pt x="299" y="180"/>
              </a:cubicBezTo>
              <a:cubicBezTo>
                <a:pt x="333" y="215"/>
                <a:pt x="333" y="271"/>
                <a:pt x="299" y="305"/>
              </a:cubicBezTo>
              <a:cubicBezTo>
                <a:pt x="264" y="340"/>
                <a:pt x="208" y="340"/>
                <a:pt x="174" y="305"/>
              </a:cubicBezTo>
              <a:cubicBezTo>
                <a:pt x="139" y="271"/>
                <a:pt x="139" y="215"/>
                <a:pt x="174" y="180"/>
              </a:cubicBezTo>
              <a:close/>
              <a:moveTo>
                <a:pt x="195" y="214"/>
              </a:moveTo>
              <a:cubicBezTo>
                <a:pt x="230" y="249"/>
                <a:pt x="230" y="249"/>
                <a:pt x="230" y="249"/>
              </a:cubicBezTo>
              <a:cubicBezTo>
                <a:pt x="233" y="252"/>
                <a:pt x="239" y="252"/>
                <a:pt x="242" y="249"/>
              </a:cubicBezTo>
              <a:cubicBezTo>
                <a:pt x="291" y="199"/>
                <a:pt x="291" y="199"/>
                <a:pt x="291" y="199"/>
              </a:cubicBezTo>
              <a:cubicBezTo>
                <a:pt x="294" y="196"/>
                <a:pt x="294" y="191"/>
                <a:pt x="291" y="188"/>
              </a:cubicBezTo>
              <a:cubicBezTo>
                <a:pt x="288" y="185"/>
                <a:pt x="283" y="185"/>
                <a:pt x="280" y="188"/>
              </a:cubicBezTo>
              <a:cubicBezTo>
                <a:pt x="236" y="232"/>
                <a:pt x="236" y="232"/>
                <a:pt x="236" y="232"/>
              </a:cubicBezTo>
              <a:cubicBezTo>
                <a:pt x="206" y="203"/>
                <a:pt x="206" y="203"/>
                <a:pt x="206" y="203"/>
              </a:cubicBezTo>
              <a:cubicBezTo>
                <a:pt x="203" y="200"/>
                <a:pt x="198" y="200"/>
                <a:pt x="195" y="203"/>
              </a:cubicBezTo>
              <a:cubicBezTo>
                <a:pt x="192" y="206"/>
                <a:pt x="192" y="211"/>
                <a:pt x="195" y="214"/>
              </a:cubicBezTo>
              <a:close/>
              <a:moveTo>
                <a:pt x="229" y="296"/>
              </a:moveTo>
              <a:cubicBezTo>
                <a:pt x="229" y="313"/>
                <a:pt x="229" y="313"/>
                <a:pt x="229" y="313"/>
              </a:cubicBezTo>
              <a:cubicBezTo>
                <a:pt x="229" y="317"/>
                <a:pt x="232" y="320"/>
                <a:pt x="236" y="320"/>
              </a:cubicBezTo>
              <a:cubicBezTo>
                <a:pt x="240" y="320"/>
                <a:pt x="244" y="317"/>
                <a:pt x="244" y="313"/>
              </a:cubicBezTo>
              <a:cubicBezTo>
                <a:pt x="244" y="296"/>
                <a:pt x="244" y="296"/>
                <a:pt x="244" y="296"/>
              </a:cubicBezTo>
              <a:cubicBezTo>
                <a:pt x="244" y="292"/>
                <a:pt x="240" y="288"/>
                <a:pt x="236" y="288"/>
              </a:cubicBezTo>
              <a:cubicBezTo>
                <a:pt x="232" y="288"/>
                <a:pt x="229" y="292"/>
                <a:pt x="229" y="296"/>
              </a:cubicBezTo>
              <a:close/>
              <a:moveTo>
                <a:pt x="289" y="250"/>
              </a:moveTo>
              <a:cubicBezTo>
                <a:pt x="307" y="250"/>
                <a:pt x="307" y="250"/>
                <a:pt x="307" y="250"/>
              </a:cubicBezTo>
              <a:cubicBezTo>
                <a:pt x="311" y="250"/>
                <a:pt x="314" y="247"/>
                <a:pt x="314" y="243"/>
              </a:cubicBezTo>
              <a:cubicBezTo>
                <a:pt x="314" y="239"/>
                <a:pt x="311" y="236"/>
                <a:pt x="307" y="236"/>
              </a:cubicBezTo>
              <a:cubicBezTo>
                <a:pt x="289" y="236"/>
                <a:pt x="289" y="236"/>
                <a:pt x="289" y="236"/>
              </a:cubicBezTo>
              <a:cubicBezTo>
                <a:pt x="285" y="236"/>
                <a:pt x="282" y="239"/>
                <a:pt x="282" y="243"/>
              </a:cubicBezTo>
              <a:cubicBezTo>
                <a:pt x="282" y="247"/>
                <a:pt x="285" y="250"/>
                <a:pt x="289" y="250"/>
              </a:cubicBezTo>
              <a:close/>
              <a:moveTo>
                <a:pt x="229" y="173"/>
              </a:moveTo>
              <a:cubicBezTo>
                <a:pt x="229" y="190"/>
                <a:pt x="229" y="190"/>
                <a:pt x="229" y="190"/>
              </a:cubicBezTo>
              <a:cubicBezTo>
                <a:pt x="229" y="194"/>
                <a:pt x="232" y="197"/>
                <a:pt x="236" y="197"/>
              </a:cubicBezTo>
              <a:cubicBezTo>
                <a:pt x="240" y="197"/>
                <a:pt x="244" y="194"/>
                <a:pt x="244" y="190"/>
              </a:cubicBezTo>
              <a:cubicBezTo>
                <a:pt x="244" y="173"/>
                <a:pt x="244" y="173"/>
                <a:pt x="244" y="173"/>
              </a:cubicBezTo>
              <a:cubicBezTo>
                <a:pt x="244" y="169"/>
                <a:pt x="240" y="165"/>
                <a:pt x="236" y="165"/>
              </a:cubicBezTo>
              <a:cubicBezTo>
                <a:pt x="232" y="165"/>
                <a:pt x="229" y="169"/>
                <a:pt x="229" y="173"/>
              </a:cubicBezTo>
              <a:close/>
              <a:moveTo>
                <a:pt x="159" y="243"/>
              </a:moveTo>
              <a:cubicBezTo>
                <a:pt x="159" y="247"/>
                <a:pt x="162" y="250"/>
                <a:pt x="166" y="250"/>
              </a:cubicBezTo>
              <a:cubicBezTo>
                <a:pt x="184" y="250"/>
                <a:pt x="184" y="250"/>
                <a:pt x="184" y="250"/>
              </a:cubicBezTo>
              <a:cubicBezTo>
                <a:pt x="188" y="250"/>
                <a:pt x="191" y="247"/>
                <a:pt x="191" y="243"/>
              </a:cubicBezTo>
              <a:cubicBezTo>
                <a:pt x="191" y="239"/>
                <a:pt x="188" y="236"/>
                <a:pt x="184" y="236"/>
              </a:cubicBezTo>
              <a:cubicBezTo>
                <a:pt x="166" y="236"/>
                <a:pt x="166" y="236"/>
                <a:pt x="166" y="236"/>
              </a:cubicBezTo>
              <a:cubicBezTo>
                <a:pt x="162" y="236"/>
                <a:pt x="159" y="239"/>
                <a:pt x="159" y="243"/>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236897</xdr:colOff>
      <xdr:row>19</xdr:row>
      <xdr:rowOff>1</xdr:rowOff>
    </xdr:from>
    <xdr:to>
      <xdr:col>4</xdr:col>
      <xdr:colOff>95917</xdr:colOff>
      <xdr:row>20</xdr:row>
      <xdr:rowOff>1</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2430822" y="5228168"/>
          <a:ext cx="173345" cy="201083"/>
          <a:chOff x="584200" y="2095500"/>
          <a:chExt cx="808038" cy="1063626"/>
        </a:xfrm>
        <a:solidFill>
          <a:schemeClr val="tx1"/>
        </a:solidFill>
      </xdr:grpSpPr>
      <xdr:sp macro="" textlink="">
        <xdr:nvSpPr>
          <xdr:cNvPr id="11" name="Freeform 10">
            <a:extLst>
              <a:ext uri="{FF2B5EF4-FFF2-40B4-BE49-F238E27FC236}">
                <a16:creationId xmlns:a16="http://schemas.microsoft.com/office/drawing/2014/main" id="{00000000-0008-0000-0300-00000B000000}"/>
              </a:ext>
            </a:extLst>
          </xdr:cNvPr>
          <xdr:cNvSpPr>
            <a:spLocks noEditPoints="1"/>
          </xdr:cNvSpPr>
        </xdr:nvSpPr>
        <xdr:spPr bwMode="auto">
          <a:xfrm>
            <a:off x="584200" y="2538413"/>
            <a:ext cx="808038" cy="620713"/>
          </a:xfrm>
          <a:custGeom>
            <a:avLst/>
            <a:gdLst>
              <a:gd name="T0" fmla="*/ 293 w 315"/>
              <a:gd name="T1" fmla="*/ 64 h 242"/>
              <a:gd name="T2" fmla="*/ 272 w 315"/>
              <a:gd name="T3" fmla="*/ 17 h 242"/>
              <a:gd name="T4" fmla="*/ 272 w 315"/>
              <a:gd name="T5" fmla="*/ 17 h 242"/>
              <a:gd name="T6" fmla="*/ 257 w 315"/>
              <a:gd name="T7" fmla="*/ 13 h 242"/>
              <a:gd name="T8" fmla="*/ 158 w 315"/>
              <a:gd name="T9" fmla="*/ 0 h 242"/>
              <a:gd name="T10" fmla="*/ 58 w 315"/>
              <a:gd name="T11" fmla="*/ 13 h 242"/>
              <a:gd name="T12" fmla="*/ 43 w 315"/>
              <a:gd name="T13" fmla="*/ 17 h 242"/>
              <a:gd name="T14" fmla="*/ 43 w 315"/>
              <a:gd name="T15" fmla="*/ 17 h 242"/>
              <a:gd name="T16" fmla="*/ 22 w 315"/>
              <a:gd name="T17" fmla="*/ 64 h 242"/>
              <a:gd name="T18" fmla="*/ 0 w 315"/>
              <a:gd name="T19" fmla="*/ 158 h 242"/>
              <a:gd name="T20" fmla="*/ 18 w 315"/>
              <a:gd name="T21" fmla="*/ 202 h 242"/>
              <a:gd name="T22" fmla="*/ 63 w 315"/>
              <a:gd name="T23" fmla="*/ 219 h 242"/>
              <a:gd name="T24" fmla="*/ 80 w 315"/>
              <a:gd name="T25" fmla="*/ 219 h 242"/>
              <a:gd name="T26" fmla="*/ 158 w 315"/>
              <a:gd name="T27" fmla="*/ 242 h 242"/>
              <a:gd name="T28" fmla="*/ 235 w 315"/>
              <a:gd name="T29" fmla="*/ 219 h 242"/>
              <a:gd name="T30" fmla="*/ 252 w 315"/>
              <a:gd name="T31" fmla="*/ 219 h 242"/>
              <a:gd name="T32" fmla="*/ 297 w 315"/>
              <a:gd name="T33" fmla="*/ 202 h 242"/>
              <a:gd name="T34" fmla="*/ 315 w 315"/>
              <a:gd name="T35" fmla="*/ 159 h 242"/>
              <a:gd name="T36" fmla="*/ 293 w 315"/>
              <a:gd name="T37" fmla="*/ 64 h 242"/>
              <a:gd name="T38" fmla="*/ 158 w 315"/>
              <a:gd name="T39" fmla="*/ 218 h 242"/>
              <a:gd name="T40" fmla="*/ 42 w 315"/>
              <a:gd name="T41" fmla="*/ 110 h 242"/>
              <a:gd name="T42" fmla="*/ 93 w 315"/>
              <a:gd name="T43" fmla="*/ 17 h 242"/>
              <a:gd name="T44" fmla="*/ 229 w 315"/>
              <a:gd name="T45" fmla="*/ 76 h 242"/>
              <a:gd name="T46" fmla="*/ 270 w 315"/>
              <a:gd name="T47" fmla="*/ 67 h 242"/>
              <a:gd name="T48" fmla="*/ 274 w 315"/>
              <a:gd name="T49" fmla="*/ 102 h 242"/>
              <a:gd name="T50" fmla="*/ 158 w 315"/>
              <a:gd name="T51" fmla="*/ 218 h 242"/>
              <a:gd name="T52" fmla="*/ 113 w 315"/>
              <a:gd name="T53" fmla="*/ 87 h 242"/>
              <a:gd name="T54" fmla="*/ 93 w 315"/>
              <a:gd name="T55" fmla="*/ 107 h 242"/>
              <a:gd name="T56" fmla="*/ 113 w 315"/>
              <a:gd name="T57" fmla="*/ 127 h 242"/>
              <a:gd name="T58" fmla="*/ 133 w 315"/>
              <a:gd name="T59" fmla="*/ 107 h 242"/>
              <a:gd name="T60" fmla="*/ 113 w 315"/>
              <a:gd name="T61" fmla="*/ 87 h 242"/>
              <a:gd name="T62" fmla="*/ 202 w 315"/>
              <a:gd name="T63" fmla="*/ 87 h 242"/>
              <a:gd name="T64" fmla="*/ 182 w 315"/>
              <a:gd name="T65" fmla="*/ 107 h 242"/>
              <a:gd name="T66" fmla="*/ 202 w 315"/>
              <a:gd name="T67" fmla="*/ 127 h 242"/>
              <a:gd name="T68" fmla="*/ 222 w 315"/>
              <a:gd name="T69" fmla="*/ 107 h 242"/>
              <a:gd name="T70" fmla="*/ 202 w 315"/>
              <a:gd name="T71" fmla="*/ 87 h 2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15" h="242">
                <a:moveTo>
                  <a:pt x="293" y="64"/>
                </a:moveTo>
                <a:cubicBezTo>
                  <a:pt x="288" y="47"/>
                  <a:pt x="281" y="31"/>
                  <a:pt x="272" y="17"/>
                </a:cubicBezTo>
                <a:cubicBezTo>
                  <a:pt x="272" y="17"/>
                  <a:pt x="272" y="17"/>
                  <a:pt x="272" y="17"/>
                </a:cubicBezTo>
                <a:cubicBezTo>
                  <a:pt x="257" y="13"/>
                  <a:pt x="257" y="13"/>
                  <a:pt x="257" y="13"/>
                </a:cubicBezTo>
                <a:cubicBezTo>
                  <a:pt x="256" y="13"/>
                  <a:pt x="216" y="0"/>
                  <a:pt x="158" y="0"/>
                </a:cubicBezTo>
                <a:cubicBezTo>
                  <a:pt x="99" y="0"/>
                  <a:pt x="59" y="13"/>
                  <a:pt x="58" y="13"/>
                </a:cubicBezTo>
                <a:cubicBezTo>
                  <a:pt x="43" y="17"/>
                  <a:pt x="43" y="17"/>
                  <a:pt x="43" y="17"/>
                </a:cubicBezTo>
                <a:cubicBezTo>
                  <a:pt x="43" y="17"/>
                  <a:pt x="43" y="17"/>
                  <a:pt x="43" y="17"/>
                </a:cubicBezTo>
                <a:cubicBezTo>
                  <a:pt x="34" y="31"/>
                  <a:pt x="27" y="47"/>
                  <a:pt x="22" y="64"/>
                </a:cubicBezTo>
                <a:cubicBezTo>
                  <a:pt x="18" y="80"/>
                  <a:pt x="0" y="140"/>
                  <a:pt x="0" y="158"/>
                </a:cubicBezTo>
                <a:cubicBezTo>
                  <a:pt x="0" y="175"/>
                  <a:pt x="6" y="191"/>
                  <a:pt x="18" y="202"/>
                </a:cubicBezTo>
                <a:cubicBezTo>
                  <a:pt x="29" y="213"/>
                  <a:pt x="45" y="219"/>
                  <a:pt x="63" y="219"/>
                </a:cubicBezTo>
                <a:cubicBezTo>
                  <a:pt x="80" y="219"/>
                  <a:pt x="80" y="219"/>
                  <a:pt x="80" y="219"/>
                </a:cubicBezTo>
                <a:cubicBezTo>
                  <a:pt x="103" y="233"/>
                  <a:pt x="129" y="242"/>
                  <a:pt x="158" y="242"/>
                </a:cubicBezTo>
                <a:cubicBezTo>
                  <a:pt x="186" y="242"/>
                  <a:pt x="212" y="233"/>
                  <a:pt x="235" y="219"/>
                </a:cubicBezTo>
                <a:cubicBezTo>
                  <a:pt x="252" y="219"/>
                  <a:pt x="252" y="219"/>
                  <a:pt x="252" y="219"/>
                </a:cubicBezTo>
                <a:cubicBezTo>
                  <a:pt x="270" y="219"/>
                  <a:pt x="286" y="213"/>
                  <a:pt x="297" y="202"/>
                </a:cubicBezTo>
                <a:cubicBezTo>
                  <a:pt x="309" y="191"/>
                  <a:pt x="315" y="175"/>
                  <a:pt x="315" y="159"/>
                </a:cubicBezTo>
                <a:cubicBezTo>
                  <a:pt x="315" y="140"/>
                  <a:pt x="297" y="81"/>
                  <a:pt x="293" y="64"/>
                </a:cubicBezTo>
                <a:close/>
                <a:moveTo>
                  <a:pt x="158" y="218"/>
                </a:moveTo>
                <a:cubicBezTo>
                  <a:pt x="96" y="218"/>
                  <a:pt x="46" y="170"/>
                  <a:pt x="42" y="110"/>
                </a:cubicBezTo>
                <a:cubicBezTo>
                  <a:pt x="68" y="84"/>
                  <a:pt x="87" y="55"/>
                  <a:pt x="93" y="17"/>
                </a:cubicBezTo>
                <a:cubicBezTo>
                  <a:pt x="126" y="57"/>
                  <a:pt x="173" y="76"/>
                  <a:pt x="229" y="76"/>
                </a:cubicBezTo>
                <a:cubicBezTo>
                  <a:pt x="246" y="76"/>
                  <a:pt x="260" y="72"/>
                  <a:pt x="270" y="67"/>
                </a:cubicBezTo>
                <a:cubicBezTo>
                  <a:pt x="272" y="76"/>
                  <a:pt x="274" y="92"/>
                  <a:pt x="274" y="102"/>
                </a:cubicBezTo>
                <a:cubicBezTo>
                  <a:pt x="274" y="166"/>
                  <a:pt x="222" y="218"/>
                  <a:pt x="158" y="218"/>
                </a:cubicBezTo>
                <a:close/>
                <a:moveTo>
                  <a:pt x="113" y="87"/>
                </a:moveTo>
                <a:cubicBezTo>
                  <a:pt x="102" y="87"/>
                  <a:pt x="93" y="96"/>
                  <a:pt x="93" y="107"/>
                </a:cubicBezTo>
                <a:cubicBezTo>
                  <a:pt x="93" y="118"/>
                  <a:pt x="102" y="127"/>
                  <a:pt x="113" y="127"/>
                </a:cubicBezTo>
                <a:cubicBezTo>
                  <a:pt x="124" y="127"/>
                  <a:pt x="133" y="118"/>
                  <a:pt x="133" y="107"/>
                </a:cubicBezTo>
                <a:cubicBezTo>
                  <a:pt x="133" y="96"/>
                  <a:pt x="124" y="87"/>
                  <a:pt x="113" y="87"/>
                </a:cubicBezTo>
                <a:close/>
                <a:moveTo>
                  <a:pt x="202" y="87"/>
                </a:moveTo>
                <a:cubicBezTo>
                  <a:pt x="191" y="87"/>
                  <a:pt x="182" y="96"/>
                  <a:pt x="182" y="107"/>
                </a:cubicBezTo>
                <a:cubicBezTo>
                  <a:pt x="182" y="118"/>
                  <a:pt x="191" y="127"/>
                  <a:pt x="202" y="127"/>
                </a:cubicBezTo>
                <a:cubicBezTo>
                  <a:pt x="213" y="127"/>
                  <a:pt x="222" y="118"/>
                  <a:pt x="222" y="107"/>
                </a:cubicBezTo>
                <a:cubicBezTo>
                  <a:pt x="222" y="96"/>
                  <a:pt x="213" y="87"/>
                  <a:pt x="202" y="8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11">
            <a:extLst>
              <a:ext uri="{FF2B5EF4-FFF2-40B4-BE49-F238E27FC236}">
                <a16:creationId xmlns:a16="http://schemas.microsoft.com/office/drawing/2014/main" id="{00000000-0008-0000-0300-00000C000000}"/>
              </a:ext>
            </a:extLst>
          </xdr:cNvPr>
          <xdr:cNvSpPr>
            <a:spLocks noEditPoints="1"/>
          </xdr:cNvSpPr>
        </xdr:nvSpPr>
        <xdr:spPr bwMode="auto">
          <a:xfrm>
            <a:off x="593725" y="2095500"/>
            <a:ext cx="787400" cy="430213"/>
          </a:xfrm>
          <a:custGeom>
            <a:avLst/>
            <a:gdLst>
              <a:gd name="T0" fmla="*/ 153 w 307"/>
              <a:gd name="T1" fmla="*/ 0 h 167"/>
              <a:gd name="T2" fmla="*/ 0 w 307"/>
              <a:gd name="T3" fmla="*/ 74 h 167"/>
              <a:gd name="T4" fmla="*/ 49 w 307"/>
              <a:gd name="T5" fmla="*/ 167 h 167"/>
              <a:gd name="T6" fmla="*/ 154 w 307"/>
              <a:gd name="T7" fmla="*/ 152 h 167"/>
              <a:gd name="T8" fmla="*/ 258 w 307"/>
              <a:gd name="T9" fmla="*/ 167 h 167"/>
              <a:gd name="T10" fmla="*/ 307 w 307"/>
              <a:gd name="T11" fmla="*/ 74 h 167"/>
              <a:gd name="T12" fmla="*/ 153 w 307"/>
              <a:gd name="T13" fmla="*/ 0 h 167"/>
              <a:gd name="T14" fmla="*/ 249 w 307"/>
              <a:gd name="T15" fmla="*/ 145 h 167"/>
              <a:gd name="T16" fmla="*/ 153 w 307"/>
              <a:gd name="T17" fmla="*/ 134 h 167"/>
              <a:gd name="T18" fmla="*/ 58 w 307"/>
              <a:gd name="T19" fmla="*/ 145 h 167"/>
              <a:gd name="T20" fmla="*/ 22 w 307"/>
              <a:gd name="T21" fmla="*/ 77 h 167"/>
              <a:gd name="T22" fmla="*/ 153 w 307"/>
              <a:gd name="T23" fmla="*/ 18 h 167"/>
              <a:gd name="T24" fmla="*/ 285 w 307"/>
              <a:gd name="T25" fmla="*/ 77 h 167"/>
              <a:gd name="T26" fmla="*/ 249 w 307"/>
              <a:gd name="T27" fmla="*/ 145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07" h="167">
                <a:moveTo>
                  <a:pt x="153" y="0"/>
                </a:moveTo>
                <a:cubicBezTo>
                  <a:pt x="91" y="0"/>
                  <a:pt x="36" y="29"/>
                  <a:pt x="0" y="74"/>
                </a:cubicBezTo>
                <a:cubicBezTo>
                  <a:pt x="3" y="80"/>
                  <a:pt x="49" y="167"/>
                  <a:pt x="49" y="167"/>
                </a:cubicBezTo>
                <a:cubicBezTo>
                  <a:pt x="49" y="167"/>
                  <a:pt x="91" y="152"/>
                  <a:pt x="154" y="152"/>
                </a:cubicBezTo>
                <a:cubicBezTo>
                  <a:pt x="216" y="152"/>
                  <a:pt x="258" y="167"/>
                  <a:pt x="258" y="167"/>
                </a:cubicBezTo>
                <a:cubicBezTo>
                  <a:pt x="307" y="74"/>
                  <a:pt x="307" y="74"/>
                  <a:pt x="307" y="74"/>
                </a:cubicBezTo>
                <a:cubicBezTo>
                  <a:pt x="271" y="29"/>
                  <a:pt x="216" y="0"/>
                  <a:pt x="153" y="0"/>
                </a:cubicBezTo>
                <a:close/>
                <a:moveTo>
                  <a:pt x="249" y="145"/>
                </a:moveTo>
                <a:cubicBezTo>
                  <a:pt x="230" y="140"/>
                  <a:pt x="196" y="134"/>
                  <a:pt x="153" y="134"/>
                </a:cubicBezTo>
                <a:cubicBezTo>
                  <a:pt x="111" y="134"/>
                  <a:pt x="77" y="140"/>
                  <a:pt x="58" y="145"/>
                </a:cubicBezTo>
                <a:cubicBezTo>
                  <a:pt x="49" y="126"/>
                  <a:pt x="31" y="94"/>
                  <a:pt x="22" y="77"/>
                </a:cubicBezTo>
                <a:cubicBezTo>
                  <a:pt x="56" y="40"/>
                  <a:pt x="103" y="18"/>
                  <a:pt x="153" y="18"/>
                </a:cubicBezTo>
                <a:cubicBezTo>
                  <a:pt x="204" y="18"/>
                  <a:pt x="251" y="39"/>
                  <a:pt x="285" y="77"/>
                </a:cubicBezTo>
                <a:lnTo>
                  <a:pt x="249" y="14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Freeform 12">
            <a:extLst>
              <a:ext uri="{FF2B5EF4-FFF2-40B4-BE49-F238E27FC236}">
                <a16:creationId xmlns:a16="http://schemas.microsoft.com/office/drawing/2014/main" id="{00000000-0008-0000-0300-00000D000000}"/>
              </a:ext>
            </a:extLst>
          </xdr:cNvPr>
          <xdr:cNvSpPr>
            <a:spLocks/>
          </xdr:cNvSpPr>
        </xdr:nvSpPr>
        <xdr:spPr bwMode="auto">
          <a:xfrm>
            <a:off x="881063" y="2182813"/>
            <a:ext cx="212725" cy="214313"/>
          </a:xfrm>
          <a:custGeom>
            <a:avLst/>
            <a:gdLst>
              <a:gd name="T0" fmla="*/ 134 w 134"/>
              <a:gd name="T1" fmla="*/ 88 h 135"/>
              <a:gd name="T2" fmla="*/ 87 w 134"/>
              <a:gd name="T3" fmla="*/ 88 h 135"/>
              <a:gd name="T4" fmla="*/ 87 w 134"/>
              <a:gd name="T5" fmla="*/ 135 h 135"/>
              <a:gd name="T6" fmla="*/ 47 w 134"/>
              <a:gd name="T7" fmla="*/ 135 h 135"/>
              <a:gd name="T8" fmla="*/ 47 w 134"/>
              <a:gd name="T9" fmla="*/ 88 h 135"/>
              <a:gd name="T10" fmla="*/ 0 w 134"/>
              <a:gd name="T11" fmla="*/ 88 h 135"/>
              <a:gd name="T12" fmla="*/ 0 w 134"/>
              <a:gd name="T13" fmla="*/ 47 h 135"/>
              <a:gd name="T14" fmla="*/ 47 w 134"/>
              <a:gd name="T15" fmla="*/ 47 h 135"/>
              <a:gd name="T16" fmla="*/ 47 w 134"/>
              <a:gd name="T17" fmla="*/ 0 h 135"/>
              <a:gd name="T18" fmla="*/ 87 w 134"/>
              <a:gd name="T19" fmla="*/ 0 h 135"/>
              <a:gd name="T20" fmla="*/ 87 w 134"/>
              <a:gd name="T21" fmla="*/ 47 h 135"/>
              <a:gd name="T22" fmla="*/ 134 w 134"/>
              <a:gd name="T23" fmla="*/ 47 h 135"/>
              <a:gd name="T24" fmla="*/ 134 w 134"/>
              <a:gd name="T25" fmla="*/ 88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34" h="135">
                <a:moveTo>
                  <a:pt x="134" y="88"/>
                </a:moveTo>
                <a:lnTo>
                  <a:pt x="87" y="88"/>
                </a:lnTo>
                <a:lnTo>
                  <a:pt x="87" y="135"/>
                </a:lnTo>
                <a:lnTo>
                  <a:pt x="47" y="135"/>
                </a:lnTo>
                <a:lnTo>
                  <a:pt x="47" y="88"/>
                </a:lnTo>
                <a:lnTo>
                  <a:pt x="0" y="88"/>
                </a:lnTo>
                <a:lnTo>
                  <a:pt x="0" y="47"/>
                </a:lnTo>
                <a:lnTo>
                  <a:pt x="47" y="47"/>
                </a:lnTo>
                <a:lnTo>
                  <a:pt x="47" y="0"/>
                </a:lnTo>
                <a:lnTo>
                  <a:pt x="87" y="0"/>
                </a:lnTo>
                <a:lnTo>
                  <a:pt x="87" y="47"/>
                </a:lnTo>
                <a:lnTo>
                  <a:pt x="134" y="47"/>
                </a:lnTo>
                <a:lnTo>
                  <a:pt x="134" y="8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3</xdr:col>
      <xdr:colOff>197223</xdr:colOff>
      <xdr:row>21</xdr:row>
      <xdr:rowOff>17930</xdr:rowOff>
    </xdr:from>
    <xdr:to>
      <xdr:col>4</xdr:col>
      <xdr:colOff>135591</xdr:colOff>
      <xdr:row>22</xdr:row>
      <xdr:rowOff>0</xdr:rowOff>
    </xdr:to>
    <xdr:sp macro="" textlink="">
      <xdr:nvSpPr>
        <xdr:cNvPr id="14" name="Freeform 13">
          <a:extLst>
            <a:ext uri="{FF2B5EF4-FFF2-40B4-BE49-F238E27FC236}">
              <a16:creationId xmlns:a16="http://schemas.microsoft.com/office/drawing/2014/main" id="{00000000-0008-0000-0300-00000E000000}"/>
            </a:ext>
          </a:extLst>
        </xdr:cNvPr>
        <xdr:cNvSpPr>
          <a:spLocks noEditPoints="1"/>
        </xdr:cNvSpPr>
      </xdr:nvSpPr>
      <xdr:spPr bwMode="auto">
        <a:xfrm>
          <a:off x="2375647" y="5047130"/>
          <a:ext cx="252132" cy="179294"/>
        </a:xfrm>
        <a:custGeom>
          <a:avLst/>
          <a:gdLst>
            <a:gd name="T0" fmla="*/ 187 w 443"/>
            <a:gd name="T1" fmla="*/ 315 h 315"/>
            <a:gd name="T2" fmla="*/ 137 w 443"/>
            <a:gd name="T3" fmla="*/ 305 h 315"/>
            <a:gd name="T4" fmla="*/ 431 w 443"/>
            <a:gd name="T5" fmla="*/ 244 h 315"/>
            <a:gd name="T6" fmla="*/ 443 w 443"/>
            <a:gd name="T7" fmla="*/ 130 h 315"/>
            <a:gd name="T8" fmla="*/ 330 w 443"/>
            <a:gd name="T9" fmla="*/ 118 h 315"/>
            <a:gd name="T10" fmla="*/ 318 w 443"/>
            <a:gd name="T11" fmla="*/ 231 h 315"/>
            <a:gd name="T12" fmla="*/ 371 w 443"/>
            <a:gd name="T13" fmla="*/ 244 h 315"/>
            <a:gd name="T14" fmla="*/ 295 w 443"/>
            <a:gd name="T15" fmla="*/ 299 h 315"/>
            <a:gd name="T16" fmla="*/ 314 w 443"/>
            <a:gd name="T17" fmla="*/ 65 h 315"/>
            <a:gd name="T18" fmla="*/ 276 w 443"/>
            <a:gd name="T19" fmla="*/ 7 h 315"/>
            <a:gd name="T20" fmla="*/ 61 w 443"/>
            <a:gd name="T21" fmla="*/ 0 h 315"/>
            <a:gd name="T22" fmla="*/ 3 w 443"/>
            <a:gd name="T23" fmla="*/ 57 h 315"/>
            <a:gd name="T24" fmla="*/ 26 w 443"/>
            <a:gd name="T25" fmla="*/ 65 h 315"/>
            <a:gd name="T26" fmla="*/ 12 w 443"/>
            <a:gd name="T27" fmla="*/ 299 h 315"/>
            <a:gd name="T28" fmla="*/ 9 w 443"/>
            <a:gd name="T29" fmla="*/ 315 h 315"/>
            <a:gd name="T30" fmla="*/ 133 w 443"/>
            <a:gd name="T31" fmla="*/ 203 h 315"/>
            <a:gd name="T32" fmla="*/ 182 w 443"/>
            <a:gd name="T33" fmla="*/ 193 h 315"/>
            <a:gd name="T34" fmla="*/ 192 w 443"/>
            <a:gd name="T35" fmla="*/ 315 h 315"/>
            <a:gd name="T36" fmla="*/ 443 w 443"/>
            <a:gd name="T37" fmla="*/ 302 h 315"/>
            <a:gd name="T38" fmla="*/ 390 w 443"/>
            <a:gd name="T39" fmla="*/ 299 h 315"/>
            <a:gd name="T40" fmla="*/ 431 w 443"/>
            <a:gd name="T41" fmla="*/ 244 h 315"/>
            <a:gd name="T42" fmla="*/ 98 w 443"/>
            <a:gd name="T43" fmla="*/ 257 h 315"/>
            <a:gd name="T44" fmla="*/ 56 w 443"/>
            <a:gd name="T45" fmla="*/ 249 h 315"/>
            <a:gd name="T46" fmla="*/ 64 w 443"/>
            <a:gd name="T47" fmla="*/ 194 h 315"/>
            <a:gd name="T48" fmla="*/ 107 w 443"/>
            <a:gd name="T49" fmla="*/ 202 h 315"/>
            <a:gd name="T50" fmla="*/ 107 w 443"/>
            <a:gd name="T51" fmla="*/ 152 h 315"/>
            <a:gd name="T52" fmla="*/ 64 w 443"/>
            <a:gd name="T53" fmla="*/ 161 h 315"/>
            <a:gd name="T54" fmla="*/ 56 w 443"/>
            <a:gd name="T55" fmla="*/ 106 h 315"/>
            <a:gd name="T56" fmla="*/ 98 w 443"/>
            <a:gd name="T57" fmla="*/ 97 h 315"/>
            <a:gd name="T58" fmla="*/ 107 w 443"/>
            <a:gd name="T59" fmla="*/ 152 h 315"/>
            <a:gd name="T60" fmla="*/ 180 w 443"/>
            <a:gd name="T61" fmla="*/ 161 h 315"/>
            <a:gd name="T62" fmla="*/ 137 w 443"/>
            <a:gd name="T63" fmla="*/ 152 h 315"/>
            <a:gd name="T64" fmla="*/ 145 w 443"/>
            <a:gd name="T65" fmla="*/ 97 h 315"/>
            <a:gd name="T66" fmla="*/ 188 w 443"/>
            <a:gd name="T67" fmla="*/ 106 h 315"/>
            <a:gd name="T68" fmla="*/ 269 w 443"/>
            <a:gd name="T69" fmla="*/ 249 h 315"/>
            <a:gd name="T70" fmla="*/ 227 w 443"/>
            <a:gd name="T71" fmla="*/ 257 h 315"/>
            <a:gd name="T72" fmla="*/ 218 w 443"/>
            <a:gd name="T73" fmla="*/ 202 h 315"/>
            <a:gd name="T74" fmla="*/ 261 w 443"/>
            <a:gd name="T75" fmla="*/ 194 h 315"/>
            <a:gd name="T76" fmla="*/ 269 w 443"/>
            <a:gd name="T77" fmla="*/ 249 h 315"/>
            <a:gd name="T78" fmla="*/ 261 w 443"/>
            <a:gd name="T79" fmla="*/ 161 h 315"/>
            <a:gd name="T80" fmla="*/ 218 w 443"/>
            <a:gd name="T81" fmla="*/ 152 h 315"/>
            <a:gd name="T82" fmla="*/ 227 w 443"/>
            <a:gd name="T83" fmla="*/ 97 h 315"/>
            <a:gd name="T84" fmla="*/ 269 w 443"/>
            <a:gd name="T85" fmla="*/ 106 h 315"/>
            <a:gd name="T86" fmla="*/ 369 w 443"/>
            <a:gd name="T87" fmla="*/ 224 h 315"/>
            <a:gd name="T88" fmla="*/ 365 w 443"/>
            <a:gd name="T89" fmla="*/ 199 h 315"/>
            <a:gd name="T90" fmla="*/ 341 w 443"/>
            <a:gd name="T91" fmla="*/ 196 h 315"/>
            <a:gd name="T92" fmla="*/ 337 w 443"/>
            <a:gd name="T93" fmla="*/ 169 h 315"/>
            <a:gd name="T94" fmla="*/ 362 w 443"/>
            <a:gd name="T95" fmla="*/ 166 h 315"/>
            <a:gd name="T96" fmla="*/ 365 w 443"/>
            <a:gd name="T97" fmla="*/ 141 h 315"/>
            <a:gd name="T98" fmla="*/ 392 w 443"/>
            <a:gd name="T99" fmla="*/ 137 h 315"/>
            <a:gd name="T100" fmla="*/ 396 w 443"/>
            <a:gd name="T101" fmla="*/ 162 h 315"/>
            <a:gd name="T102" fmla="*/ 420 w 443"/>
            <a:gd name="T103" fmla="*/ 166 h 315"/>
            <a:gd name="T104" fmla="*/ 424 w 443"/>
            <a:gd name="T105" fmla="*/ 192 h 315"/>
            <a:gd name="T106" fmla="*/ 399 w 443"/>
            <a:gd name="T107" fmla="*/ 196 h 315"/>
            <a:gd name="T108" fmla="*/ 396 w 443"/>
            <a:gd name="T109" fmla="*/ 220 h 315"/>
            <a:gd name="T110" fmla="*/ 369 w 443"/>
            <a:gd name="T111" fmla="*/ 224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443" h="315">
              <a:moveTo>
                <a:pt x="137" y="315"/>
              </a:moveTo>
              <a:cubicBezTo>
                <a:pt x="187" y="315"/>
                <a:pt x="187" y="315"/>
                <a:pt x="187" y="315"/>
              </a:cubicBezTo>
              <a:cubicBezTo>
                <a:pt x="187" y="305"/>
                <a:pt x="187" y="305"/>
                <a:pt x="187" y="305"/>
              </a:cubicBezTo>
              <a:cubicBezTo>
                <a:pt x="137" y="305"/>
                <a:pt x="137" y="305"/>
                <a:pt x="137" y="305"/>
              </a:cubicBezTo>
              <a:lnTo>
                <a:pt x="137" y="315"/>
              </a:lnTo>
              <a:close/>
              <a:moveTo>
                <a:pt x="431" y="244"/>
              </a:moveTo>
              <a:cubicBezTo>
                <a:pt x="438" y="244"/>
                <a:pt x="443" y="238"/>
                <a:pt x="443" y="231"/>
              </a:cubicBezTo>
              <a:cubicBezTo>
                <a:pt x="443" y="130"/>
                <a:pt x="443" y="130"/>
                <a:pt x="443" y="130"/>
              </a:cubicBezTo>
              <a:cubicBezTo>
                <a:pt x="443" y="123"/>
                <a:pt x="438" y="118"/>
                <a:pt x="431" y="118"/>
              </a:cubicBezTo>
              <a:cubicBezTo>
                <a:pt x="330" y="118"/>
                <a:pt x="330" y="118"/>
                <a:pt x="330" y="118"/>
              </a:cubicBezTo>
              <a:cubicBezTo>
                <a:pt x="323" y="118"/>
                <a:pt x="318" y="123"/>
                <a:pt x="318" y="130"/>
              </a:cubicBezTo>
              <a:cubicBezTo>
                <a:pt x="318" y="231"/>
                <a:pt x="318" y="231"/>
                <a:pt x="318" y="231"/>
              </a:cubicBezTo>
              <a:cubicBezTo>
                <a:pt x="318" y="238"/>
                <a:pt x="323" y="244"/>
                <a:pt x="330" y="244"/>
              </a:cubicBezTo>
              <a:cubicBezTo>
                <a:pt x="371" y="244"/>
                <a:pt x="371" y="244"/>
                <a:pt x="371" y="244"/>
              </a:cubicBezTo>
              <a:cubicBezTo>
                <a:pt x="371" y="299"/>
                <a:pt x="371" y="299"/>
                <a:pt x="371" y="299"/>
              </a:cubicBezTo>
              <a:cubicBezTo>
                <a:pt x="295" y="299"/>
                <a:pt x="295" y="299"/>
                <a:pt x="295" y="299"/>
              </a:cubicBezTo>
              <a:cubicBezTo>
                <a:pt x="295" y="65"/>
                <a:pt x="295" y="65"/>
                <a:pt x="295" y="65"/>
              </a:cubicBezTo>
              <a:cubicBezTo>
                <a:pt x="314" y="65"/>
                <a:pt x="314" y="65"/>
                <a:pt x="314" y="65"/>
              </a:cubicBezTo>
              <a:cubicBezTo>
                <a:pt x="320" y="65"/>
                <a:pt x="321" y="61"/>
                <a:pt x="318" y="57"/>
              </a:cubicBezTo>
              <a:cubicBezTo>
                <a:pt x="276" y="7"/>
                <a:pt x="276" y="7"/>
                <a:pt x="276" y="7"/>
              </a:cubicBezTo>
              <a:cubicBezTo>
                <a:pt x="272" y="3"/>
                <a:pt x="265" y="0"/>
                <a:pt x="259" y="0"/>
              </a:cubicBezTo>
              <a:cubicBezTo>
                <a:pt x="61" y="0"/>
                <a:pt x="61" y="0"/>
                <a:pt x="61" y="0"/>
              </a:cubicBezTo>
              <a:cubicBezTo>
                <a:pt x="56" y="0"/>
                <a:pt x="49" y="3"/>
                <a:pt x="45" y="7"/>
              </a:cubicBezTo>
              <a:cubicBezTo>
                <a:pt x="3" y="57"/>
                <a:pt x="3" y="57"/>
                <a:pt x="3" y="57"/>
              </a:cubicBezTo>
              <a:cubicBezTo>
                <a:pt x="0" y="61"/>
                <a:pt x="1" y="65"/>
                <a:pt x="7" y="65"/>
              </a:cubicBezTo>
              <a:cubicBezTo>
                <a:pt x="26" y="65"/>
                <a:pt x="26" y="65"/>
                <a:pt x="26" y="65"/>
              </a:cubicBezTo>
              <a:cubicBezTo>
                <a:pt x="26" y="299"/>
                <a:pt x="26" y="299"/>
                <a:pt x="26" y="299"/>
              </a:cubicBezTo>
              <a:cubicBezTo>
                <a:pt x="12" y="299"/>
                <a:pt x="12" y="299"/>
                <a:pt x="12" y="299"/>
              </a:cubicBezTo>
              <a:cubicBezTo>
                <a:pt x="10" y="299"/>
                <a:pt x="9" y="301"/>
                <a:pt x="9" y="302"/>
              </a:cubicBezTo>
              <a:cubicBezTo>
                <a:pt x="9" y="315"/>
                <a:pt x="9" y="315"/>
                <a:pt x="9" y="315"/>
              </a:cubicBezTo>
              <a:cubicBezTo>
                <a:pt x="133" y="315"/>
                <a:pt x="133" y="315"/>
                <a:pt x="133" y="315"/>
              </a:cubicBezTo>
              <a:cubicBezTo>
                <a:pt x="133" y="203"/>
                <a:pt x="133" y="203"/>
                <a:pt x="133" y="203"/>
              </a:cubicBezTo>
              <a:cubicBezTo>
                <a:pt x="133" y="198"/>
                <a:pt x="137" y="193"/>
                <a:pt x="143" y="193"/>
              </a:cubicBezTo>
              <a:cubicBezTo>
                <a:pt x="182" y="193"/>
                <a:pt x="182" y="193"/>
                <a:pt x="182" y="193"/>
              </a:cubicBezTo>
              <a:cubicBezTo>
                <a:pt x="187" y="193"/>
                <a:pt x="192" y="198"/>
                <a:pt x="192" y="203"/>
              </a:cubicBezTo>
              <a:cubicBezTo>
                <a:pt x="192" y="315"/>
                <a:pt x="192" y="315"/>
                <a:pt x="192" y="315"/>
              </a:cubicBezTo>
              <a:cubicBezTo>
                <a:pt x="443" y="315"/>
                <a:pt x="443" y="315"/>
                <a:pt x="443" y="315"/>
              </a:cubicBezTo>
              <a:cubicBezTo>
                <a:pt x="443" y="302"/>
                <a:pt x="443" y="302"/>
                <a:pt x="443" y="302"/>
              </a:cubicBezTo>
              <a:cubicBezTo>
                <a:pt x="443" y="301"/>
                <a:pt x="442" y="299"/>
                <a:pt x="440" y="299"/>
              </a:cubicBezTo>
              <a:cubicBezTo>
                <a:pt x="390" y="299"/>
                <a:pt x="390" y="299"/>
                <a:pt x="390" y="299"/>
              </a:cubicBezTo>
              <a:cubicBezTo>
                <a:pt x="390" y="244"/>
                <a:pt x="390" y="244"/>
                <a:pt x="390" y="244"/>
              </a:cubicBezTo>
              <a:lnTo>
                <a:pt x="431" y="244"/>
              </a:lnTo>
              <a:close/>
              <a:moveTo>
                <a:pt x="107" y="249"/>
              </a:moveTo>
              <a:cubicBezTo>
                <a:pt x="107" y="253"/>
                <a:pt x="103" y="257"/>
                <a:pt x="98" y="257"/>
              </a:cubicBezTo>
              <a:cubicBezTo>
                <a:pt x="64" y="257"/>
                <a:pt x="64" y="257"/>
                <a:pt x="64" y="257"/>
              </a:cubicBezTo>
              <a:cubicBezTo>
                <a:pt x="59" y="257"/>
                <a:pt x="56" y="253"/>
                <a:pt x="56" y="249"/>
              </a:cubicBezTo>
              <a:cubicBezTo>
                <a:pt x="56" y="202"/>
                <a:pt x="56" y="202"/>
                <a:pt x="56" y="202"/>
              </a:cubicBezTo>
              <a:cubicBezTo>
                <a:pt x="56" y="198"/>
                <a:pt x="59" y="194"/>
                <a:pt x="64" y="194"/>
              </a:cubicBezTo>
              <a:cubicBezTo>
                <a:pt x="98" y="194"/>
                <a:pt x="98" y="194"/>
                <a:pt x="98" y="194"/>
              </a:cubicBezTo>
              <a:cubicBezTo>
                <a:pt x="103" y="194"/>
                <a:pt x="107" y="198"/>
                <a:pt x="107" y="202"/>
              </a:cubicBezTo>
              <a:lnTo>
                <a:pt x="107" y="249"/>
              </a:lnTo>
              <a:close/>
              <a:moveTo>
                <a:pt x="107" y="152"/>
              </a:moveTo>
              <a:cubicBezTo>
                <a:pt x="107" y="157"/>
                <a:pt x="103" y="161"/>
                <a:pt x="98" y="161"/>
              </a:cubicBezTo>
              <a:cubicBezTo>
                <a:pt x="64" y="161"/>
                <a:pt x="64" y="161"/>
                <a:pt x="64" y="161"/>
              </a:cubicBezTo>
              <a:cubicBezTo>
                <a:pt x="59" y="161"/>
                <a:pt x="56" y="157"/>
                <a:pt x="56" y="152"/>
              </a:cubicBezTo>
              <a:cubicBezTo>
                <a:pt x="56" y="106"/>
                <a:pt x="56" y="106"/>
                <a:pt x="56" y="106"/>
              </a:cubicBezTo>
              <a:cubicBezTo>
                <a:pt x="56" y="101"/>
                <a:pt x="59" y="97"/>
                <a:pt x="64" y="97"/>
              </a:cubicBezTo>
              <a:cubicBezTo>
                <a:pt x="98" y="97"/>
                <a:pt x="98" y="97"/>
                <a:pt x="98" y="97"/>
              </a:cubicBezTo>
              <a:cubicBezTo>
                <a:pt x="103" y="97"/>
                <a:pt x="107" y="101"/>
                <a:pt x="107" y="106"/>
              </a:cubicBezTo>
              <a:lnTo>
                <a:pt x="107" y="152"/>
              </a:lnTo>
              <a:close/>
              <a:moveTo>
                <a:pt x="188" y="152"/>
              </a:moveTo>
              <a:cubicBezTo>
                <a:pt x="188" y="157"/>
                <a:pt x="184" y="161"/>
                <a:pt x="180" y="161"/>
              </a:cubicBezTo>
              <a:cubicBezTo>
                <a:pt x="145" y="161"/>
                <a:pt x="145" y="161"/>
                <a:pt x="145" y="161"/>
              </a:cubicBezTo>
              <a:cubicBezTo>
                <a:pt x="141" y="161"/>
                <a:pt x="137" y="157"/>
                <a:pt x="137" y="152"/>
              </a:cubicBezTo>
              <a:cubicBezTo>
                <a:pt x="137" y="106"/>
                <a:pt x="137" y="106"/>
                <a:pt x="137" y="106"/>
              </a:cubicBezTo>
              <a:cubicBezTo>
                <a:pt x="137" y="101"/>
                <a:pt x="141" y="97"/>
                <a:pt x="145" y="97"/>
              </a:cubicBezTo>
              <a:cubicBezTo>
                <a:pt x="180" y="97"/>
                <a:pt x="180" y="97"/>
                <a:pt x="180" y="97"/>
              </a:cubicBezTo>
              <a:cubicBezTo>
                <a:pt x="184" y="97"/>
                <a:pt x="188" y="101"/>
                <a:pt x="188" y="106"/>
              </a:cubicBezTo>
              <a:lnTo>
                <a:pt x="188" y="152"/>
              </a:lnTo>
              <a:close/>
              <a:moveTo>
                <a:pt x="269" y="249"/>
              </a:moveTo>
              <a:cubicBezTo>
                <a:pt x="269" y="253"/>
                <a:pt x="265" y="257"/>
                <a:pt x="261" y="257"/>
              </a:cubicBezTo>
              <a:cubicBezTo>
                <a:pt x="227" y="257"/>
                <a:pt x="227" y="257"/>
                <a:pt x="227" y="257"/>
              </a:cubicBezTo>
              <a:cubicBezTo>
                <a:pt x="222" y="257"/>
                <a:pt x="218" y="253"/>
                <a:pt x="218" y="249"/>
              </a:cubicBezTo>
              <a:cubicBezTo>
                <a:pt x="218" y="202"/>
                <a:pt x="218" y="202"/>
                <a:pt x="218" y="202"/>
              </a:cubicBezTo>
              <a:cubicBezTo>
                <a:pt x="218" y="198"/>
                <a:pt x="222" y="194"/>
                <a:pt x="227" y="194"/>
              </a:cubicBezTo>
              <a:cubicBezTo>
                <a:pt x="261" y="194"/>
                <a:pt x="261" y="194"/>
                <a:pt x="261" y="194"/>
              </a:cubicBezTo>
              <a:cubicBezTo>
                <a:pt x="265" y="194"/>
                <a:pt x="269" y="198"/>
                <a:pt x="269" y="202"/>
              </a:cubicBezTo>
              <a:lnTo>
                <a:pt x="269" y="249"/>
              </a:lnTo>
              <a:close/>
              <a:moveTo>
                <a:pt x="269" y="152"/>
              </a:moveTo>
              <a:cubicBezTo>
                <a:pt x="269" y="157"/>
                <a:pt x="265" y="161"/>
                <a:pt x="261" y="161"/>
              </a:cubicBezTo>
              <a:cubicBezTo>
                <a:pt x="227" y="161"/>
                <a:pt x="227" y="161"/>
                <a:pt x="227" y="161"/>
              </a:cubicBezTo>
              <a:cubicBezTo>
                <a:pt x="222" y="161"/>
                <a:pt x="218" y="157"/>
                <a:pt x="218" y="152"/>
              </a:cubicBezTo>
              <a:cubicBezTo>
                <a:pt x="218" y="106"/>
                <a:pt x="218" y="106"/>
                <a:pt x="218" y="106"/>
              </a:cubicBezTo>
              <a:cubicBezTo>
                <a:pt x="218" y="101"/>
                <a:pt x="222" y="97"/>
                <a:pt x="227" y="97"/>
              </a:cubicBezTo>
              <a:cubicBezTo>
                <a:pt x="261" y="97"/>
                <a:pt x="261" y="97"/>
                <a:pt x="261" y="97"/>
              </a:cubicBezTo>
              <a:cubicBezTo>
                <a:pt x="265" y="97"/>
                <a:pt x="269" y="101"/>
                <a:pt x="269" y="106"/>
              </a:cubicBezTo>
              <a:lnTo>
                <a:pt x="269" y="152"/>
              </a:lnTo>
              <a:close/>
              <a:moveTo>
                <a:pt x="369" y="224"/>
              </a:moveTo>
              <a:cubicBezTo>
                <a:pt x="367" y="224"/>
                <a:pt x="365" y="222"/>
                <a:pt x="365" y="220"/>
              </a:cubicBezTo>
              <a:cubicBezTo>
                <a:pt x="365" y="199"/>
                <a:pt x="365" y="199"/>
                <a:pt x="365" y="199"/>
              </a:cubicBezTo>
              <a:cubicBezTo>
                <a:pt x="365" y="197"/>
                <a:pt x="364" y="196"/>
                <a:pt x="362" y="196"/>
              </a:cubicBezTo>
              <a:cubicBezTo>
                <a:pt x="341" y="196"/>
                <a:pt x="341" y="196"/>
                <a:pt x="341" y="196"/>
              </a:cubicBezTo>
              <a:cubicBezTo>
                <a:pt x="339" y="196"/>
                <a:pt x="337" y="194"/>
                <a:pt x="337" y="192"/>
              </a:cubicBezTo>
              <a:cubicBezTo>
                <a:pt x="337" y="169"/>
                <a:pt x="337" y="169"/>
                <a:pt x="337" y="169"/>
              </a:cubicBezTo>
              <a:cubicBezTo>
                <a:pt x="337" y="167"/>
                <a:pt x="339" y="166"/>
                <a:pt x="341" y="166"/>
              </a:cubicBezTo>
              <a:cubicBezTo>
                <a:pt x="362" y="166"/>
                <a:pt x="362" y="166"/>
                <a:pt x="362" y="166"/>
              </a:cubicBezTo>
              <a:cubicBezTo>
                <a:pt x="364" y="166"/>
                <a:pt x="365" y="164"/>
                <a:pt x="365" y="162"/>
              </a:cubicBezTo>
              <a:cubicBezTo>
                <a:pt x="365" y="141"/>
                <a:pt x="365" y="141"/>
                <a:pt x="365" y="141"/>
              </a:cubicBezTo>
              <a:cubicBezTo>
                <a:pt x="365" y="139"/>
                <a:pt x="367" y="137"/>
                <a:pt x="369" y="137"/>
              </a:cubicBezTo>
              <a:cubicBezTo>
                <a:pt x="392" y="137"/>
                <a:pt x="392" y="137"/>
                <a:pt x="392" y="137"/>
              </a:cubicBezTo>
              <a:cubicBezTo>
                <a:pt x="394" y="137"/>
                <a:pt x="396" y="139"/>
                <a:pt x="396" y="141"/>
              </a:cubicBezTo>
              <a:cubicBezTo>
                <a:pt x="396" y="162"/>
                <a:pt x="396" y="162"/>
                <a:pt x="396" y="162"/>
              </a:cubicBezTo>
              <a:cubicBezTo>
                <a:pt x="396" y="164"/>
                <a:pt x="397" y="166"/>
                <a:pt x="399" y="166"/>
              </a:cubicBezTo>
              <a:cubicBezTo>
                <a:pt x="420" y="166"/>
                <a:pt x="420" y="166"/>
                <a:pt x="420" y="166"/>
              </a:cubicBezTo>
              <a:cubicBezTo>
                <a:pt x="422" y="166"/>
                <a:pt x="424" y="167"/>
                <a:pt x="424" y="169"/>
              </a:cubicBezTo>
              <a:cubicBezTo>
                <a:pt x="424" y="192"/>
                <a:pt x="424" y="192"/>
                <a:pt x="424" y="192"/>
              </a:cubicBezTo>
              <a:cubicBezTo>
                <a:pt x="424" y="194"/>
                <a:pt x="422" y="196"/>
                <a:pt x="420" y="196"/>
              </a:cubicBezTo>
              <a:cubicBezTo>
                <a:pt x="399" y="196"/>
                <a:pt x="399" y="196"/>
                <a:pt x="399" y="196"/>
              </a:cubicBezTo>
              <a:cubicBezTo>
                <a:pt x="397" y="196"/>
                <a:pt x="396" y="197"/>
                <a:pt x="396" y="199"/>
              </a:cubicBezTo>
              <a:cubicBezTo>
                <a:pt x="396" y="220"/>
                <a:pt x="396" y="220"/>
                <a:pt x="396" y="220"/>
              </a:cubicBezTo>
              <a:cubicBezTo>
                <a:pt x="396" y="222"/>
                <a:pt x="394" y="224"/>
                <a:pt x="392" y="224"/>
              </a:cubicBezTo>
              <a:lnTo>
                <a:pt x="369" y="224"/>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251572</xdr:colOff>
      <xdr:row>23</xdr:row>
      <xdr:rowOff>17929</xdr:rowOff>
    </xdr:from>
    <xdr:to>
      <xdr:col>4</xdr:col>
      <xdr:colOff>81243</xdr:colOff>
      <xdr:row>24</xdr:row>
      <xdr:rowOff>28655</xdr:rowOff>
    </xdr:to>
    <xdr:sp macro="" textlink="">
      <xdr:nvSpPr>
        <xdr:cNvPr id="15" name="Freeform 14">
          <a:extLst>
            <a:ext uri="{FF2B5EF4-FFF2-40B4-BE49-F238E27FC236}">
              <a16:creationId xmlns:a16="http://schemas.microsoft.com/office/drawing/2014/main" id="{00000000-0008-0000-0300-00000F000000}"/>
            </a:ext>
          </a:extLst>
        </xdr:cNvPr>
        <xdr:cNvSpPr>
          <a:spLocks noEditPoints="1"/>
        </xdr:cNvSpPr>
      </xdr:nvSpPr>
      <xdr:spPr bwMode="auto">
        <a:xfrm>
          <a:off x="2429996" y="5423647"/>
          <a:ext cx="143435" cy="207949"/>
        </a:xfrm>
        <a:custGeom>
          <a:avLst/>
          <a:gdLst>
            <a:gd name="T0" fmla="*/ 535 w 547"/>
            <a:gd name="T1" fmla="*/ 743 h 792"/>
            <a:gd name="T2" fmla="*/ 353 w 547"/>
            <a:gd name="T3" fmla="*/ 328 h 792"/>
            <a:gd name="T4" fmla="*/ 353 w 547"/>
            <a:gd name="T5" fmla="*/ 70 h 792"/>
            <a:gd name="T6" fmla="*/ 353 w 547"/>
            <a:gd name="T7" fmla="*/ 43 h 792"/>
            <a:gd name="T8" fmla="*/ 368 w 547"/>
            <a:gd name="T9" fmla="*/ 22 h 792"/>
            <a:gd name="T10" fmla="*/ 356 w 547"/>
            <a:gd name="T11" fmla="*/ 0 h 792"/>
            <a:gd name="T12" fmla="*/ 191 w 547"/>
            <a:gd name="T13" fmla="*/ 0 h 792"/>
            <a:gd name="T14" fmla="*/ 179 w 547"/>
            <a:gd name="T15" fmla="*/ 22 h 792"/>
            <a:gd name="T16" fmla="*/ 194 w 547"/>
            <a:gd name="T17" fmla="*/ 43 h 792"/>
            <a:gd name="T18" fmla="*/ 194 w 547"/>
            <a:gd name="T19" fmla="*/ 70 h 792"/>
            <a:gd name="T20" fmla="*/ 194 w 547"/>
            <a:gd name="T21" fmla="*/ 328 h 792"/>
            <a:gd name="T22" fmla="*/ 12 w 547"/>
            <a:gd name="T23" fmla="*/ 743 h 792"/>
            <a:gd name="T24" fmla="*/ 44 w 547"/>
            <a:gd name="T25" fmla="*/ 792 h 792"/>
            <a:gd name="T26" fmla="*/ 503 w 547"/>
            <a:gd name="T27" fmla="*/ 792 h 792"/>
            <a:gd name="T28" fmla="*/ 535 w 547"/>
            <a:gd name="T29" fmla="*/ 743 h 792"/>
            <a:gd name="T30" fmla="*/ 260 w 547"/>
            <a:gd name="T31" fmla="*/ 476 h 792"/>
            <a:gd name="T32" fmla="*/ 276 w 547"/>
            <a:gd name="T33" fmla="*/ 459 h 792"/>
            <a:gd name="T34" fmla="*/ 360 w 547"/>
            <a:gd name="T35" fmla="*/ 459 h 792"/>
            <a:gd name="T36" fmla="*/ 375 w 547"/>
            <a:gd name="T37" fmla="*/ 476 h 792"/>
            <a:gd name="T38" fmla="*/ 360 w 547"/>
            <a:gd name="T39" fmla="*/ 492 h 792"/>
            <a:gd name="T40" fmla="*/ 276 w 547"/>
            <a:gd name="T41" fmla="*/ 492 h 792"/>
            <a:gd name="T42" fmla="*/ 260 w 547"/>
            <a:gd name="T43" fmla="*/ 476 h 792"/>
            <a:gd name="T44" fmla="*/ 288 w 547"/>
            <a:gd name="T45" fmla="*/ 538 h 792"/>
            <a:gd name="T46" fmla="*/ 303 w 547"/>
            <a:gd name="T47" fmla="*/ 521 h 792"/>
            <a:gd name="T48" fmla="*/ 387 w 547"/>
            <a:gd name="T49" fmla="*/ 521 h 792"/>
            <a:gd name="T50" fmla="*/ 403 w 547"/>
            <a:gd name="T51" fmla="*/ 538 h 792"/>
            <a:gd name="T52" fmla="*/ 387 w 547"/>
            <a:gd name="T53" fmla="*/ 554 h 792"/>
            <a:gd name="T54" fmla="*/ 303 w 547"/>
            <a:gd name="T55" fmla="*/ 554 h 792"/>
            <a:gd name="T56" fmla="*/ 288 w 547"/>
            <a:gd name="T57" fmla="*/ 538 h 792"/>
            <a:gd name="T58" fmla="*/ 414 w 547"/>
            <a:gd name="T59" fmla="*/ 616 h 792"/>
            <a:gd name="T60" fmla="*/ 330 w 547"/>
            <a:gd name="T61" fmla="*/ 616 h 792"/>
            <a:gd name="T62" fmla="*/ 315 w 547"/>
            <a:gd name="T63" fmla="*/ 600 h 792"/>
            <a:gd name="T64" fmla="*/ 330 w 547"/>
            <a:gd name="T65" fmla="*/ 583 h 792"/>
            <a:gd name="T66" fmla="*/ 414 w 547"/>
            <a:gd name="T67" fmla="*/ 583 h 792"/>
            <a:gd name="T68" fmla="*/ 430 w 547"/>
            <a:gd name="T69" fmla="*/ 600 h 792"/>
            <a:gd name="T70" fmla="*/ 414 w 547"/>
            <a:gd name="T71" fmla="*/ 616 h 7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547" h="792">
              <a:moveTo>
                <a:pt x="535" y="743"/>
              </a:moveTo>
              <a:cubicBezTo>
                <a:pt x="353" y="328"/>
                <a:pt x="353" y="328"/>
                <a:pt x="353" y="328"/>
              </a:cubicBezTo>
              <a:cubicBezTo>
                <a:pt x="353" y="70"/>
                <a:pt x="353" y="70"/>
                <a:pt x="353" y="70"/>
              </a:cubicBezTo>
              <a:cubicBezTo>
                <a:pt x="353" y="55"/>
                <a:pt x="353" y="43"/>
                <a:pt x="353" y="43"/>
              </a:cubicBezTo>
              <a:cubicBezTo>
                <a:pt x="353" y="43"/>
                <a:pt x="360" y="33"/>
                <a:pt x="368" y="22"/>
              </a:cubicBezTo>
              <a:cubicBezTo>
                <a:pt x="376" y="10"/>
                <a:pt x="371" y="0"/>
                <a:pt x="356" y="0"/>
              </a:cubicBezTo>
              <a:cubicBezTo>
                <a:pt x="191" y="0"/>
                <a:pt x="191" y="0"/>
                <a:pt x="191" y="0"/>
              </a:cubicBezTo>
              <a:cubicBezTo>
                <a:pt x="176" y="0"/>
                <a:pt x="171" y="10"/>
                <a:pt x="179" y="22"/>
              </a:cubicBezTo>
              <a:cubicBezTo>
                <a:pt x="187" y="33"/>
                <a:pt x="194" y="43"/>
                <a:pt x="194" y="43"/>
              </a:cubicBezTo>
              <a:cubicBezTo>
                <a:pt x="194" y="43"/>
                <a:pt x="194" y="55"/>
                <a:pt x="194" y="70"/>
              </a:cubicBezTo>
              <a:cubicBezTo>
                <a:pt x="194" y="328"/>
                <a:pt x="194" y="328"/>
                <a:pt x="194" y="328"/>
              </a:cubicBezTo>
              <a:cubicBezTo>
                <a:pt x="12" y="743"/>
                <a:pt x="12" y="743"/>
                <a:pt x="12" y="743"/>
              </a:cubicBezTo>
              <a:cubicBezTo>
                <a:pt x="0" y="770"/>
                <a:pt x="14" y="792"/>
                <a:pt x="44" y="792"/>
              </a:cubicBezTo>
              <a:cubicBezTo>
                <a:pt x="503" y="792"/>
                <a:pt x="503" y="792"/>
                <a:pt x="503" y="792"/>
              </a:cubicBezTo>
              <a:cubicBezTo>
                <a:pt x="532" y="792"/>
                <a:pt x="547" y="770"/>
                <a:pt x="535" y="743"/>
              </a:cubicBezTo>
              <a:close/>
              <a:moveTo>
                <a:pt x="260" y="476"/>
              </a:moveTo>
              <a:cubicBezTo>
                <a:pt x="260" y="467"/>
                <a:pt x="267" y="459"/>
                <a:pt x="276" y="459"/>
              </a:cubicBezTo>
              <a:cubicBezTo>
                <a:pt x="360" y="459"/>
                <a:pt x="360" y="459"/>
                <a:pt x="360" y="459"/>
              </a:cubicBezTo>
              <a:cubicBezTo>
                <a:pt x="368" y="459"/>
                <a:pt x="375" y="467"/>
                <a:pt x="375" y="476"/>
              </a:cubicBezTo>
              <a:cubicBezTo>
                <a:pt x="375" y="484"/>
                <a:pt x="368" y="492"/>
                <a:pt x="360" y="492"/>
              </a:cubicBezTo>
              <a:cubicBezTo>
                <a:pt x="276" y="492"/>
                <a:pt x="276" y="492"/>
                <a:pt x="276" y="492"/>
              </a:cubicBezTo>
              <a:cubicBezTo>
                <a:pt x="267" y="492"/>
                <a:pt x="260" y="484"/>
                <a:pt x="260" y="476"/>
              </a:cubicBezTo>
              <a:close/>
              <a:moveTo>
                <a:pt x="288" y="538"/>
              </a:moveTo>
              <a:cubicBezTo>
                <a:pt x="288" y="530"/>
                <a:pt x="295" y="521"/>
                <a:pt x="303" y="521"/>
              </a:cubicBezTo>
              <a:cubicBezTo>
                <a:pt x="387" y="521"/>
                <a:pt x="387" y="521"/>
                <a:pt x="387" y="521"/>
              </a:cubicBezTo>
              <a:cubicBezTo>
                <a:pt x="396" y="521"/>
                <a:pt x="403" y="530"/>
                <a:pt x="403" y="538"/>
              </a:cubicBezTo>
              <a:cubicBezTo>
                <a:pt x="403" y="546"/>
                <a:pt x="396" y="554"/>
                <a:pt x="387" y="554"/>
              </a:cubicBezTo>
              <a:cubicBezTo>
                <a:pt x="303" y="554"/>
                <a:pt x="303" y="554"/>
                <a:pt x="303" y="554"/>
              </a:cubicBezTo>
              <a:cubicBezTo>
                <a:pt x="295" y="554"/>
                <a:pt x="288" y="546"/>
                <a:pt x="288" y="538"/>
              </a:cubicBezTo>
              <a:close/>
              <a:moveTo>
                <a:pt x="414" y="616"/>
              </a:moveTo>
              <a:cubicBezTo>
                <a:pt x="330" y="616"/>
                <a:pt x="330" y="616"/>
                <a:pt x="330" y="616"/>
              </a:cubicBezTo>
              <a:cubicBezTo>
                <a:pt x="322" y="616"/>
                <a:pt x="315" y="608"/>
                <a:pt x="315" y="600"/>
              </a:cubicBezTo>
              <a:cubicBezTo>
                <a:pt x="315" y="591"/>
                <a:pt x="322" y="583"/>
                <a:pt x="330" y="583"/>
              </a:cubicBezTo>
              <a:cubicBezTo>
                <a:pt x="414" y="583"/>
                <a:pt x="414" y="583"/>
                <a:pt x="414" y="583"/>
              </a:cubicBezTo>
              <a:cubicBezTo>
                <a:pt x="423" y="583"/>
                <a:pt x="430" y="591"/>
                <a:pt x="430" y="600"/>
              </a:cubicBezTo>
              <a:cubicBezTo>
                <a:pt x="430" y="608"/>
                <a:pt x="423" y="616"/>
                <a:pt x="414" y="616"/>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153068</xdr:colOff>
      <xdr:row>17</xdr:row>
      <xdr:rowOff>2</xdr:rowOff>
    </xdr:from>
    <xdr:to>
      <xdr:col>4</xdr:col>
      <xdr:colOff>134469</xdr:colOff>
      <xdr:row>18</xdr:row>
      <xdr:rowOff>35858</xdr:rowOff>
    </xdr:to>
    <xdr:sp macro="" textlink="">
      <xdr:nvSpPr>
        <xdr:cNvPr id="16" name="Freeform 15">
          <a:extLst>
            <a:ext uri="{FF2B5EF4-FFF2-40B4-BE49-F238E27FC236}">
              <a16:creationId xmlns:a16="http://schemas.microsoft.com/office/drawing/2014/main" id="{00000000-0008-0000-0300-000010000000}"/>
            </a:ext>
          </a:extLst>
        </xdr:cNvPr>
        <xdr:cNvSpPr>
          <a:spLocks/>
        </xdr:cNvSpPr>
      </xdr:nvSpPr>
      <xdr:spPr bwMode="auto">
        <a:xfrm>
          <a:off x="2331492" y="4652684"/>
          <a:ext cx="295165" cy="233080"/>
        </a:xfrm>
        <a:custGeom>
          <a:avLst/>
          <a:gdLst>
            <a:gd name="T0" fmla="*/ 0 w 744"/>
            <a:gd name="T1" fmla="*/ 306 h 615"/>
            <a:gd name="T2" fmla="*/ 90 w 744"/>
            <a:gd name="T3" fmla="*/ 306 h 615"/>
            <a:gd name="T4" fmla="*/ 136 w 744"/>
            <a:gd name="T5" fmla="*/ 255 h 615"/>
            <a:gd name="T6" fmla="*/ 173 w 744"/>
            <a:gd name="T7" fmla="*/ 309 h 615"/>
            <a:gd name="T8" fmla="*/ 243 w 744"/>
            <a:gd name="T9" fmla="*/ 219 h 615"/>
            <a:gd name="T10" fmla="*/ 298 w 744"/>
            <a:gd name="T11" fmla="*/ 377 h 615"/>
            <a:gd name="T12" fmla="*/ 339 w 744"/>
            <a:gd name="T13" fmla="*/ 288 h 615"/>
            <a:gd name="T14" fmla="*/ 367 w 744"/>
            <a:gd name="T15" fmla="*/ 338 h 615"/>
            <a:gd name="T16" fmla="*/ 474 w 744"/>
            <a:gd name="T17" fmla="*/ 0 h 615"/>
            <a:gd name="T18" fmla="*/ 575 w 744"/>
            <a:gd name="T19" fmla="*/ 468 h 615"/>
            <a:gd name="T20" fmla="*/ 623 w 744"/>
            <a:gd name="T21" fmla="*/ 274 h 615"/>
            <a:gd name="T22" fmla="*/ 693 w 744"/>
            <a:gd name="T23" fmla="*/ 306 h 615"/>
            <a:gd name="T24" fmla="*/ 744 w 744"/>
            <a:gd name="T25" fmla="*/ 306 h 615"/>
            <a:gd name="T26" fmla="*/ 744 w 744"/>
            <a:gd name="T27" fmla="*/ 336 h 615"/>
            <a:gd name="T28" fmla="*/ 689 w 744"/>
            <a:gd name="T29" fmla="*/ 336 h 615"/>
            <a:gd name="T30" fmla="*/ 648 w 744"/>
            <a:gd name="T31" fmla="*/ 319 h 615"/>
            <a:gd name="T32" fmla="*/ 575 w 744"/>
            <a:gd name="T33" fmla="*/ 615 h 615"/>
            <a:gd name="T34" fmla="*/ 470 w 744"/>
            <a:gd name="T35" fmla="*/ 124 h 615"/>
            <a:gd name="T36" fmla="*/ 375 w 744"/>
            <a:gd name="T37" fmla="*/ 419 h 615"/>
            <a:gd name="T38" fmla="*/ 336 w 744"/>
            <a:gd name="T39" fmla="*/ 354 h 615"/>
            <a:gd name="T40" fmla="*/ 299 w 744"/>
            <a:gd name="T41" fmla="*/ 450 h 615"/>
            <a:gd name="T42" fmla="*/ 233 w 744"/>
            <a:gd name="T43" fmla="*/ 279 h 615"/>
            <a:gd name="T44" fmla="*/ 173 w 744"/>
            <a:gd name="T45" fmla="*/ 353 h 615"/>
            <a:gd name="T46" fmla="*/ 133 w 744"/>
            <a:gd name="T47" fmla="*/ 299 h 615"/>
            <a:gd name="T48" fmla="*/ 92 w 744"/>
            <a:gd name="T49" fmla="*/ 336 h 615"/>
            <a:gd name="T50" fmla="*/ 0 w 744"/>
            <a:gd name="T51" fmla="*/ 336 h 615"/>
            <a:gd name="T52" fmla="*/ 0 w 744"/>
            <a:gd name="T53" fmla="*/ 306 h 615"/>
            <a:gd name="T54" fmla="*/ 0 w 744"/>
            <a:gd name="T55" fmla="*/ 306 h 6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744" h="615">
              <a:moveTo>
                <a:pt x="0" y="306"/>
              </a:moveTo>
              <a:lnTo>
                <a:pt x="90" y="306"/>
              </a:lnTo>
              <a:lnTo>
                <a:pt x="136" y="255"/>
              </a:lnTo>
              <a:lnTo>
                <a:pt x="173" y="309"/>
              </a:lnTo>
              <a:lnTo>
                <a:pt x="243" y="219"/>
              </a:lnTo>
              <a:lnTo>
                <a:pt x="298" y="377"/>
              </a:lnTo>
              <a:lnTo>
                <a:pt x="339" y="288"/>
              </a:lnTo>
              <a:lnTo>
                <a:pt x="367" y="338"/>
              </a:lnTo>
              <a:lnTo>
                <a:pt x="474" y="0"/>
              </a:lnTo>
              <a:lnTo>
                <a:pt x="575" y="468"/>
              </a:lnTo>
              <a:lnTo>
                <a:pt x="623" y="274"/>
              </a:lnTo>
              <a:lnTo>
                <a:pt x="693" y="306"/>
              </a:lnTo>
              <a:lnTo>
                <a:pt x="744" y="306"/>
              </a:lnTo>
              <a:lnTo>
                <a:pt x="744" y="336"/>
              </a:lnTo>
              <a:lnTo>
                <a:pt x="689" y="336"/>
              </a:lnTo>
              <a:lnTo>
                <a:pt x="648" y="319"/>
              </a:lnTo>
              <a:lnTo>
                <a:pt x="575" y="615"/>
              </a:lnTo>
              <a:lnTo>
                <a:pt x="470" y="124"/>
              </a:lnTo>
              <a:lnTo>
                <a:pt x="375" y="419"/>
              </a:lnTo>
              <a:lnTo>
                <a:pt x="336" y="354"/>
              </a:lnTo>
              <a:lnTo>
                <a:pt x="299" y="450"/>
              </a:lnTo>
              <a:lnTo>
                <a:pt x="233" y="279"/>
              </a:lnTo>
              <a:lnTo>
                <a:pt x="173" y="353"/>
              </a:lnTo>
              <a:lnTo>
                <a:pt x="133" y="299"/>
              </a:lnTo>
              <a:lnTo>
                <a:pt x="92" y="336"/>
              </a:lnTo>
              <a:lnTo>
                <a:pt x="0" y="336"/>
              </a:lnTo>
              <a:lnTo>
                <a:pt x="0" y="306"/>
              </a:lnTo>
              <a:lnTo>
                <a:pt x="0" y="306"/>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3</xdr:col>
      <xdr:colOff>219258</xdr:colOff>
      <xdr:row>25</xdr:row>
      <xdr:rowOff>35860</xdr:rowOff>
    </xdr:from>
    <xdr:to>
      <xdr:col>4</xdr:col>
      <xdr:colOff>113556</xdr:colOff>
      <xdr:row>26</xdr:row>
      <xdr:rowOff>44824</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7682" y="6194613"/>
          <a:ext cx="208062" cy="206188"/>
        </a:xfrm>
        <a:prstGeom prst="rect">
          <a:avLst/>
        </a:prstGeom>
      </xdr:spPr>
    </xdr:pic>
    <xdr:clientData/>
  </xdr:twoCellAnchor>
  <xdr:twoCellAnchor>
    <xdr:from>
      <xdr:col>3</xdr:col>
      <xdr:colOff>212202</xdr:colOff>
      <xdr:row>27</xdr:row>
      <xdr:rowOff>14566</xdr:rowOff>
    </xdr:from>
    <xdr:to>
      <xdr:col>4</xdr:col>
      <xdr:colOff>120613</xdr:colOff>
      <xdr:row>28</xdr:row>
      <xdr:rowOff>22544</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2402952" y="6763558"/>
          <a:ext cx="229086" cy="215411"/>
          <a:chOff x="2168525" y="2154238"/>
          <a:chExt cx="1241425" cy="1141412"/>
        </a:xfrm>
        <a:solidFill>
          <a:schemeClr val="tx1"/>
        </a:solidFill>
      </xdr:grpSpPr>
      <xdr:sp macro="" textlink="">
        <xdr:nvSpPr>
          <xdr:cNvPr id="19" name="Freeform 18">
            <a:extLst>
              <a:ext uri="{FF2B5EF4-FFF2-40B4-BE49-F238E27FC236}">
                <a16:creationId xmlns:a16="http://schemas.microsoft.com/office/drawing/2014/main" id="{00000000-0008-0000-0300-000013000000}"/>
              </a:ext>
            </a:extLst>
          </xdr:cNvPr>
          <xdr:cNvSpPr>
            <a:spLocks/>
          </xdr:cNvSpPr>
        </xdr:nvSpPr>
        <xdr:spPr bwMode="auto">
          <a:xfrm>
            <a:off x="2168525" y="2206625"/>
            <a:ext cx="571500" cy="190500"/>
          </a:xfrm>
          <a:custGeom>
            <a:avLst/>
            <a:gdLst>
              <a:gd name="T0" fmla="*/ 68 w 243"/>
              <a:gd name="T1" fmla="*/ 78 h 81"/>
              <a:gd name="T2" fmla="*/ 107 w 243"/>
              <a:gd name="T3" fmla="*/ 62 h 81"/>
              <a:gd name="T4" fmla="*/ 116 w 243"/>
              <a:gd name="T5" fmla="*/ 57 h 81"/>
              <a:gd name="T6" fmla="*/ 124 w 243"/>
              <a:gd name="T7" fmla="*/ 52 h 81"/>
              <a:gd name="T8" fmla="*/ 140 w 243"/>
              <a:gd name="T9" fmla="*/ 43 h 81"/>
              <a:gd name="T10" fmla="*/ 172 w 243"/>
              <a:gd name="T11" fmla="*/ 26 h 81"/>
              <a:gd name="T12" fmla="*/ 188 w 243"/>
              <a:gd name="T13" fmla="*/ 23 h 81"/>
              <a:gd name="T14" fmla="*/ 200 w 243"/>
              <a:gd name="T15" fmla="*/ 25 h 81"/>
              <a:gd name="T16" fmla="*/ 205 w 243"/>
              <a:gd name="T17" fmla="*/ 30 h 81"/>
              <a:gd name="T18" fmla="*/ 208 w 243"/>
              <a:gd name="T19" fmla="*/ 36 h 81"/>
              <a:gd name="T20" fmla="*/ 210 w 243"/>
              <a:gd name="T21" fmla="*/ 45 h 81"/>
              <a:gd name="T22" fmla="*/ 212 w 243"/>
              <a:gd name="T23" fmla="*/ 55 h 81"/>
              <a:gd name="T24" fmla="*/ 215 w 243"/>
              <a:gd name="T25" fmla="*/ 65 h 81"/>
              <a:gd name="T26" fmla="*/ 218 w 243"/>
              <a:gd name="T27" fmla="*/ 70 h 81"/>
              <a:gd name="T28" fmla="*/ 222 w 243"/>
              <a:gd name="T29" fmla="*/ 74 h 81"/>
              <a:gd name="T30" fmla="*/ 233 w 243"/>
              <a:gd name="T31" fmla="*/ 76 h 81"/>
              <a:gd name="T32" fmla="*/ 243 w 243"/>
              <a:gd name="T33" fmla="*/ 73 h 81"/>
              <a:gd name="T34" fmla="*/ 233 w 243"/>
              <a:gd name="T35" fmla="*/ 73 h 81"/>
              <a:gd name="T36" fmla="*/ 226 w 243"/>
              <a:gd name="T37" fmla="*/ 69 h 81"/>
              <a:gd name="T38" fmla="*/ 223 w 243"/>
              <a:gd name="T39" fmla="*/ 63 h 81"/>
              <a:gd name="T40" fmla="*/ 222 w 243"/>
              <a:gd name="T41" fmla="*/ 54 h 81"/>
              <a:gd name="T42" fmla="*/ 223 w 243"/>
              <a:gd name="T43" fmla="*/ 44 h 81"/>
              <a:gd name="T44" fmla="*/ 223 w 243"/>
              <a:gd name="T45" fmla="*/ 33 h 81"/>
              <a:gd name="T46" fmla="*/ 220 w 243"/>
              <a:gd name="T47" fmla="*/ 21 h 81"/>
              <a:gd name="T48" fmla="*/ 216 w 243"/>
              <a:gd name="T49" fmla="*/ 16 h 81"/>
              <a:gd name="T50" fmla="*/ 212 w 243"/>
              <a:gd name="T51" fmla="*/ 11 h 81"/>
              <a:gd name="T52" fmla="*/ 201 w 243"/>
              <a:gd name="T53" fmla="*/ 4 h 81"/>
              <a:gd name="T54" fmla="*/ 189 w 243"/>
              <a:gd name="T55" fmla="*/ 1 h 81"/>
              <a:gd name="T56" fmla="*/ 166 w 243"/>
              <a:gd name="T57" fmla="*/ 2 h 81"/>
              <a:gd name="T58" fmla="*/ 145 w 243"/>
              <a:gd name="T59" fmla="*/ 8 h 81"/>
              <a:gd name="T60" fmla="*/ 126 w 243"/>
              <a:gd name="T61" fmla="*/ 16 h 81"/>
              <a:gd name="T62" fmla="*/ 108 w 243"/>
              <a:gd name="T63" fmla="*/ 25 h 81"/>
              <a:gd name="T64" fmla="*/ 104 w 243"/>
              <a:gd name="T65" fmla="*/ 28 h 81"/>
              <a:gd name="T66" fmla="*/ 100 w 243"/>
              <a:gd name="T67" fmla="*/ 30 h 81"/>
              <a:gd name="T68" fmla="*/ 92 w 243"/>
              <a:gd name="T69" fmla="*/ 35 h 81"/>
              <a:gd name="T70" fmla="*/ 60 w 243"/>
              <a:gd name="T71" fmla="*/ 52 h 81"/>
              <a:gd name="T72" fmla="*/ 44 w 243"/>
              <a:gd name="T73" fmla="*/ 58 h 81"/>
              <a:gd name="T74" fmla="*/ 35 w 243"/>
              <a:gd name="T75" fmla="*/ 60 h 81"/>
              <a:gd name="T76" fmla="*/ 27 w 243"/>
              <a:gd name="T77" fmla="*/ 61 h 81"/>
              <a:gd name="T78" fmla="*/ 12 w 243"/>
              <a:gd name="T79" fmla="*/ 59 h 81"/>
              <a:gd name="T80" fmla="*/ 6 w 243"/>
              <a:gd name="T81" fmla="*/ 54 h 81"/>
              <a:gd name="T82" fmla="*/ 2 w 243"/>
              <a:gd name="T83" fmla="*/ 46 h 81"/>
              <a:gd name="T84" fmla="*/ 0 w 243"/>
              <a:gd name="T85" fmla="*/ 51 h 81"/>
              <a:gd name="T86" fmla="*/ 0 w 243"/>
              <a:gd name="T87" fmla="*/ 56 h 81"/>
              <a:gd name="T88" fmla="*/ 4 w 243"/>
              <a:gd name="T89" fmla="*/ 68 h 81"/>
              <a:gd name="T90" fmla="*/ 14 w 243"/>
              <a:gd name="T91" fmla="*/ 75 h 81"/>
              <a:gd name="T92" fmla="*/ 25 w 243"/>
              <a:gd name="T93" fmla="*/ 79 h 81"/>
              <a:gd name="T94" fmla="*/ 31 w 243"/>
              <a:gd name="T95" fmla="*/ 80 h 81"/>
              <a:gd name="T96" fmla="*/ 36 w 243"/>
              <a:gd name="T97" fmla="*/ 81 h 81"/>
              <a:gd name="T98" fmla="*/ 47 w 243"/>
              <a:gd name="T99" fmla="*/ 81 h 81"/>
              <a:gd name="T100" fmla="*/ 68 w 243"/>
              <a:gd name="T101" fmla="*/ 7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68" y="78"/>
                </a:moveTo>
                <a:cubicBezTo>
                  <a:pt x="82" y="74"/>
                  <a:pt x="95" y="69"/>
                  <a:pt x="107" y="62"/>
                </a:cubicBezTo>
                <a:cubicBezTo>
                  <a:pt x="110" y="61"/>
                  <a:pt x="113" y="59"/>
                  <a:pt x="116" y="57"/>
                </a:cubicBezTo>
                <a:cubicBezTo>
                  <a:pt x="124" y="52"/>
                  <a:pt x="124" y="52"/>
                  <a:pt x="124" y="52"/>
                </a:cubicBezTo>
                <a:cubicBezTo>
                  <a:pt x="130" y="49"/>
                  <a:pt x="135" y="46"/>
                  <a:pt x="140" y="43"/>
                </a:cubicBezTo>
                <a:cubicBezTo>
                  <a:pt x="151" y="36"/>
                  <a:pt x="162" y="30"/>
                  <a:pt x="172" y="26"/>
                </a:cubicBezTo>
                <a:cubicBezTo>
                  <a:pt x="178" y="24"/>
                  <a:pt x="183" y="23"/>
                  <a:pt x="188" y="23"/>
                </a:cubicBezTo>
                <a:cubicBezTo>
                  <a:pt x="192" y="22"/>
                  <a:pt x="196" y="23"/>
                  <a:pt x="200" y="25"/>
                </a:cubicBezTo>
                <a:cubicBezTo>
                  <a:pt x="202" y="27"/>
                  <a:pt x="204" y="28"/>
                  <a:pt x="205" y="30"/>
                </a:cubicBezTo>
                <a:cubicBezTo>
                  <a:pt x="207" y="31"/>
                  <a:pt x="208" y="33"/>
                  <a:pt x="208" y="36"/>
                </a:cubicBezTo>
                <a:cubicBezTo>
                  <a:pt x="209" y="38"/>
                  <a:pt x="210" y="41"/>
                  <a:pt x="210" y="45"/>
                </a:cubicBezTo>
                <a:cubicBezTo>
                  <a:pt x="211" y="48"/>
                  <a:pt x="211" y="51"/>
                  <a:pt x="212" y="55"/>
                </a:cubicBezTo>
                <a:cubicBezTo>
                  <a:pt x="213" y="58"/>
                  <a:pt x="214" y="61"/>
                  <a:pt x="215" y="65"/>
                </a:cubicBezTo>
                <a:cubicBezTo>
                  <a:pt x="216" y="66"/>
                  <a:pt x="217" y="68"/>
                  <a:pt x="218" y="70"/>
                </a:cubicBezTo>
                <a:cubicBezTo>
                  <a:pt x="219" y="71"/>
                  <a:pt x="221" y="73"/>
                  <a:pt x="222" y="74"/>
                </a:cubicBezTo>
                <a:cubicBezTo>
                  <a:pt x="226" y="76"/>
                  <a:pt x="229" y="76"/>
                  <a:pt x="233" y="76"/>
                </a:cubicBezTo>
                <a:cubicBezTo>
                  <a:pt x="236" y="76"/>
                  <a:pt x="240" y="75"/>
                  <a:pt x="243" y="73"/>
                </a:cubicBezTo>
                <a:cubicBezTo>
                  <a:pt x="239" y="74"/>
                  <a:pt x="236" y="74"/>
                  <a:pt x="233" y="73"/>
                </a:cubicBezTo>
                <a:cubicBezTo>
                  <a:pt x="230" y="73"/>
                  <a:pt x="227" y="71"/>
                  <a:pt x="226" y="69"/>
                </a:cubicBezTo>
                <a:cubicBezTo>
                  <a:pt x="224" y="68"/>
                  <a:pt x="223" y="65"/>
                  <a:pt x="223" y="63"/>
                </a:cubicBezTo>
                <a:cubicBezTo>
                  <a:pt x="222" y="60"/>
                  <a:pt x="222" y="57"/>
                  <a:pt x="222" y="54"/>
                </a:cubicBezTo>
                <a:cubicBezTo>
                  <a:pt x="222" y="50"/>
                  <a:pt x="223" y="47"/>
                  <a:pt x="223" y="44"/>
                </a:cubicBezTo>
                <a:cubicBezTo>
                  <a:pt x="223" y="41"/>
                  <a:pt x="223" y="37"/>
                  <a:pt x="223" y="33"/>
                </a:cubicBezTo>
                <a:cubicBezTo>
                  <a:pt x="223" y="30"/>
                  <a:pt x="222" y="25"/>
                  <a:pt x="220" y="21"/>
                </a:cubicBezTo>
                <a:cubicBezTo>
                  <a:pt x="219" y="19"/>
                  <a:pt x="218" y="17"/>
                  <a:pt x="216" y="16"/>
                </a:cubicBezTo>
                <a:cubicBezTo>
                  <a:pt x="215" y="14"/>
                  <a:pt x="214" y="12"/>
                  <a:pt x="212" y="11"/>
                </a:cubicBezTo>
                <a:cubicBezTo>
                  <a:pt x="209" y="8"/>
                  <a:pt x="205" y="6"/>
                  <a:pt x="201" y="4"/>
                </a:cubicBezTo>
                <a:cubicBezTo>
                  <a:pt x="197" y="2"/>
                  <a:pt x="193" y="1"/>
                  <a:pt x="189" y="1"/>
                </a:cubicBezTo>
                <a:cubicBezTo>
                  <a:pt x="181" y="0"/>
                  <a:pt x="173" y="0"/>
                  <a:pt x="166" y="2"/>
                </a:cubicBezTo>
                <a:cubicBezTo>
                  <a:pt x="158" y="3"/>
                  <a:pt x="152" y="5"/>
                  <a:pt x="145" y="8"/>
                </a:cubicBezTo>
                <a:cubicBezTo>
                  <a:pt x="138" y="10"/>
                  <a:pt x="132" y="13"/>
                  <a:pt x="126" y="16"/>
                </a:cubicBezTo>
                <a:cubicBezTo>
                  <a:pt x="120" y="19"/>
                  <a:pt x="114" y="22"/>
                  <a:pt x="108" y="25"/>
                </a:cubicBezTo>
                <a:cubicBezTo>
                  <a:pt x="104" y="28"/>
                  <a:pt x="104" y="28"/>
                  <a:pt x="104" y="28"/>
                </a:cubicBezTo>
                <a:cubicBezTo>
                  <a:pt x="100" y="30"/>
                  <a:pt x="100" y="30"/>
                  <a:pt x="100" y="30"/>
                </a:cubicBezTo>
                <a:cubicBezTo>
                  <a:pt x="97" y="32"/>
                  <a:pt x="95" y="34"/>
                  <a:pt x="92" y="35"/>
                </a:cubicBezTo>
                <a:cubicBezTo>
                  <a:pt x="81" y="41"/>
                  <a:pt x="71" y="47"/>
                  <a:pt x="60" y="52"/>
                </a:cubicBezTo>
                <a:cubicBezTo>
                  <a:pt x="55" y="54"/>
                  <a:pt x="49" y="57"/>
                  <a:pt x="44" y="58"/>
                </a:cubicBezTo>
                <a:cubicBezTo>
                  <a:pt x="41" y="59"/>
                  <a:pt x="38" y="59"/>
                  <a:pt x="35" y="60"/>
                </a:cubicBezTo>
                <a:cubicBezTo>
                  <a:pt x="32" y="60"/>
                  <a:pt x="30" y="61"/>
                  <a:pt x="27" y="61"/>
                </a:cubicBezTo>
                <a:cubicBezTo>
                  <a:pt x="21" y="61"/>
                  <a:pt x="16" y="61"/>
                  <a:pt x="12" y="59"/>
                </a:cubicBezTo>
                <a:cubicBezTo>
                  <a:pt x="10" y="58"/>
                  <a:pt x="8" y="57"/>
                  <a:pt x="6" y="54"/>
                </a:cubicBezTo>
                <a:cubicBezTo>
                  <a:pt x="4" y="52"/>
                  <a:pt x="3" y="49"/>
                  <a:pt x="2" y="46"/>
                </a:cubicBezTo>
                <a:cubicBezTo>
                  <a:pt x="1" y="47"/>
                  <a:pt x="0" y="49"/>
                  <a:pt x="0" y="51"/>
                </a:cubicBezTo>
                <a:cubicBezTo>
                  <a:pt x="0" y="53"/>
                  <a:pt x="0" y="54"/>
                  <a:pt x="0" y="56"/>
                </a:cubicBezTo>
                <a:cubicBezTo>
                  <a:pt x="0" y="60"/>
                  <a:pt x="2" y="64"/>
                  <a:pt x="4" y="68"/>
                </a:cubicBezTo>
                <a:cubicBezTo>
                  <a:pt x="7" y="71"/>
                  <a:pt x="10" y="74"/>
                  <a:pt x="14" y="75"/>
                </a:cubicBezTo>
                <a:cubicBezTo>
                  <a:pt x="18" y="77"/>
                  <a:pt x="21" y="79"/>
                  <a:pt x="25" y="79"/>
                </a:cubicBezTo>
                <a:cubicBezTo>
                  <a:pt x="27" y="80"/>
                  <a:pt x="29" y="80"/>
                  <a:pt x="31" y="80"/>
                </a:cubicBezTo>
                <a:cubicBezTo>
                  <a:pt x="32" y="81"/>
                  <a:pt x="34" y="81"/>
                  <a:pt x="36" y="81"/>
                </a:cubicBezTo>
                <a:cubicBezTo>
                  <a:pt x="40" y="81"/>
                  <a:pt x="43" y="81"/>
                  <a:pt x="47" y="81"/>
                </a:cubicBezTo>
                <a:cubicBezTo>
                  <a:pt x="54" y="81"/>
                  <a:pt x="62" y="79"/>
                  <a:pt x="68" y="7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0" name="Freeform 19">
            <a:extLst>
              <a:ext uri="{FF2B5EF4-FFF2-40B4-BE49-F238E27FC236}">
                <a16:creationId xmlns:a16="http://schemas.microsoft.com/office/drawing/2014/main" id="{00000000-0008-0000-0300-000014000000}"/>
              </a:ext>
            </a:extLst>
          </xdr:cNvPr>
          <xdr:cNvSpPr>
            <a:spLocks/>
          </xdr:cNvSpPr>
        </xdr:nvSpPr>
        <xdr:spPr bwMode="auto">
          <a:xfrm>
            <a:off x="2273300" y="2268538"/>
            <a:ext cx="361950" cy="171450"/>
          </a:xfrm>
          <a:custGeom>
            <a:avLst/>
            <a:gdLst>
              <a:gd name="T0" fmla="*/ 58 w 154"/>
              <a:gd name="T1" fmla="*/ 67 h 73"/>
              <a:gd name="T2" fmla="*/ 90 w 154"/>
              <a:gd name="T3" fmla="*/ 48 h 73"/>
              <a:gd name="T4" fmla="*/ 98 w 154"/>
              <a:gd name="T5" fmla="*/ 43 h 73"/>
              <a:gd name="T6" fmla="*/ 104 w 154"/>
              <a:gd name="T7" fmla="*/ 37 h 73"/>
              <a:gd name="T8" fmla="*/ 117 w 154"/>
              <a:gd name="T9" fmla="*/ 27 h 73"/>
              <a:gd name="T10" fmla="*/ 144 w 154"/>
              <a:gd name="T11" fmla="*/ 8 h 73"/>
              <a:gd name="T12" fmla="*/ 153 w 154"/>
              <a:gd name="T13" fmla="*/ 4 h 73"/>
              <a:gd name="T14" fmla="*/ 154 w 154"/>
              <a:gd name="T15" fmla="*/ 4 h 73"/>
              <a:gd name="T16" fmla="*/ 153 w 154"/>
              <a:gd name="T17" fmla="*/ 2 h 73"/>
              <a:gd name="T18" fmla="*/ 140 w 154"/>
              <a:gd name="T19" fmla="*/ 0 h 73"/>
              <a:gd name="T20" fmla="*/ 125 w 154"/>
              <a:gd name="T21" fmla="*/ 4 h 73"/>
              <a:gd name="T22" fmla="*/ 94 w 154"/>
              <a:gd name="T23" fmla="*/ 22 h 73"/>
              <a:gd name="T24" fmla="*/ 78 w 154"/>
              <a:gd name="T25" fmla="*/ 32 h 73"/>
              <a:gd name="T26" fmla="*/ 70 w 154"/>
              <a:gd name="T27" fmla="*/ 38 h 73"/>
              <a:gd name="T28" fmla="*/ 61 w 154"/>
              <a:gd name="T29" fmla="*/ 43 h 73"/>
              <a:gd name="T30" fmla="*/ 23 w 154"/>
              <a:gd name="T31" fmla="*/ 60 h 73"/>
              <a:gd name="T32" fmla="*/ 2 w 154"/>
              <a:gd name="T33" fmla="*/ 64 h 73"/>
              <a:gd name="T34" fmla="*/ 0 w 154"/>
              <a:gd name="T35" fmla="*/ 64 h 73"/>
              <a:gd name="T36" fmla="*/ 0 w 154"/>
              <a:gd name="T37" fmla="*/ 64 h 73"/>
              <a:gd name="T38" fmla="*/ 10 w 154"/>
              <a:gd name="T39" fmla="*/ 70 h 73"/>
              <a:gd name="T40" fmla="*/ 20 w 154"/>
              <a:gd name="T41" fmla="*/ 73 h 73"/>
              <a:gd name="T42" fmla="*/ 25 w 154"/>
              <a:gd name="T43" fmla="*/ 73 h 73"/>
              <a:gd name="T44" fmla="*/ 30 w 154"/>
              <a:gd name="T45" fmla="*/ 73 h 73"/>
              <a:gd name="T46" fmla="*/ 39 w 154"/>
              <a:gd name="T47" fmla="*/ 72 h 73"/>
              <a:gd name="T48" fmla="*/ 58 w 154"/>
              <a:gd name="T49" fmla="*/ 67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58" y="67"/>
                </a:moveTo>
                <a:cubicBezTo>
                  <a:pt x="70" y="62"/>
                  <a:pt x="81" y="55"/>
                  <a:pt x="90" y="48"/>
                </a:cubicBezTo>
                <a:cubicBezTo>
                  <a:pt x="93" y="46"/>
                  <a:pt x="95" y="45"/>
                  <a:pt x="98" y="43"/>
                </a:cubicBezTo>
                <a:cubicBezTo>
                  <a:pt x="104" y="37"/>
                  <a:pt x="104" y="37"/>
                  <a:pt x="104" y="37"/>
                </a:cubicBezTo>
                <a:cubicBezTo>
                  <a:pt x="109" y="34"/>
                  <a:pt x="113" y="30"/>
                  <a:pt x="117" y="27"/>
                </a:cubicBezTo>
                <a:cubicBezTo>
                  <a:pt x="128" y="18"/>
                  <a:pt x="136" y="13"/>
                  <a:pt x="144" y="8"/>
                </a:cubicBezTo>
                <a:cubicBezTo>
                  <a:pt x="147" y="7"/>
                  <a:pt x="150" y="5"/>
                  <a:pt x="153" y="4"/>
                </a:cubicBezTo>
                <a:cubicBezTo>
                  <a:pt x="154" y="4"/>
                  <a:pt x="154" y="4"/>
                  <a:pt x="154" y="4"/>
                </a:cubicBezTo>
                <a:cubicBezTo>
                  <a:pt x="154" y="3"/>
                  <a:pt x="153" y="3"/>
                  <a:pt x="153" y="2"/>
                </a:cubicBezTo>
                <a:cubicBezTo>
                  <a:pt x="149" y="0"/>
                  <a:pt x="145" y="0"/>
                  <a:pt x="140" y="0"/>
                </a:cubicBezTo>
                <a:cubicBezTo>
                  <a:pt x="135" y="1"/>
                  <a:pt x="130" y="2"/>
                  <a:pt x="125" y="4"/>
                </a:cubicBezTo>
                <a:cubicBezTo>
                  <a:pt x="114" y="9"/>
                  <a:pt x="104" y="15"/>
                  <a:pt x="94" y="22"/>
                </a:cubicBezTo>
                <a:cubicBezTo>
                  <a:pt x="88" y="25"/>
                  <a:pt x="83" y="29"/>
                  <a:pt x="78" y="32"/>
                </a:cubicBezTo>
                <a:cubicBezTo>
                  <a:pt x="70" y="38"/>
                  <a:pt x="70" y="38"/>
                  <a:pt x="70" y="38"/>
                </a:cubicBezTo>
                <a:cubicBezTo>
                  <a:pt x="67" y="39"/>
                  <a:pt x="64" y="41"/>
                  <a:pt x="61" y="43"/>
                </a:cubicBezTo>
                <a:cubicBezTo>
                  <a:pt x="50" y="50"/>
                  <a:pt x="37" y="56"/>
                  <a:pt x="23" y="60"/>
                </a:cubicBezTo>
                <a:cubicBezTo>
                  <a:pt x="16" y="62"/>
                  <a:pt x="9" y="63"/>
                  <a:pt x="2" y="64"/>
                </a:cubicBezTo>
                <a:cubicBezTo>
                  <a:pt x="1" y="64"/>
                  <a:pt x="1" y="64"/>
                  <a:pt x="0" y="64"/>
                </a:cubicBezTo>
                <a:cubicBezTo>
                  <a:pt x="0" y="64"/>
                  <a:pt x="0" y="64"/>
                  <a:pt x="0" y="64"/>
                </a:cubicBezTo>
                <a:cubicBezTo>
                  <a:pt x="3" y="67"/>
                  <a:pt x="6" y="69"/>
                  <a:pt x="10" y="70"/>
                </a:cubicBezTo>
                <a:cubicBezTo>
                  <a:pt x="13" y="72"/>
                  <a:pt x="16" y="73"/>
                  <a:pt x="20" y="73"/>
                </a:cubicBezTo>
                <a:cubicBezTo>
                  <a:pt x="22" y="73"/>
                  <a:pt x="23" y="73"/>
                  <a:pt x="25" y="73"/>
                </a:cubicBezTo>
                <a:cubicBezTo>
                  <a:pt x="26" y="73"/>
                  <a:pt x="28" y="73"/>
                  <a:pt x="30" y="73"/>
                </a:cubicBezTo>
                <a:cubicBezTo>
                  <a:pt x="33" y="73"/>
                  <a:pt x="36" y="72"/>
                  <a:pt x="39" y="72"/>
                </a:cubicBezTo>
                <a:cubicBezTo>
                  <a:pt x="46" y="71"/>
                  <a:pt x="52" y="69"/>
                  <a:pt x="58" y="6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 name="Freeform 20">
            <a:extLst>
              <a:ext uri="{FF2B5EF4-FFF2-40B4-BE49-F238E27FC236}">
                <a16:creationId xmlns:a16="http://schemas.microsoft.com/office/drawing/2014/main" id="{00000000-0008-0000-0300-000015000000}"/>
              </a:ext>
            </a:extLst>
          </xdr:cNvPr>
          <xdr:cNvSpPr>
            <a:spLocks/>
          </xdr:cNvSpPr>
        </xdr:nvSpPr>
        <xdr:spPr bwMode="auto">
          <a:xfrm>
            <a:off x="2362200" y="2281238"/>
            <a:ext cx="285750" cy="188913"/>
          </a:xfrm>
          <a:custGeom>
            <a:avLst/>
            <a:gdLst>
              <a:gd name="T0" fmla="*/ 51 w 122"/>
              <a:gd name="T1" fmla="*/ 71 h 80"/>
              <a:gd name="T2" fmla="*/ 78 w 122"/>
              <a:gd name="T3" fmla="*/ 50 h 80"/>
              <a:gd name="T4" fmla="*/ 84 w 122"/>
              <a:gd name="T5" fmla="*/ 44 h 80"/>
              <a:gd name="T6" fmla="*/ 89 w 122"/>
              <a:gd name="T7" fmla="*/ 39 h 80"/>
              <a:gd name="T8" fmla="*/ 99 w 122"/>
              <a:gd name="T9" fmla="*/ 28 h 80"/>
              <a:gd name="T10" fmla="*/ 121 w 122"/>
              <a:gd name="T11" fmla="*/ 8 h 80"/>
              <a:gd name="T12" fmla="*/ 122 w 122"/>
              <a:gd name="T13" fmla="*/ 7 h 80"/>
              <a:gd name="T14" fmla="*/ 121 w 122"/>
              <a:gd name="T15" fmla="*/ 3 h 80"/>
              <a:gd name="T16" fmla="*/ 120 w 122"/>
              <a:gd name="T17" fmla="*/ 1 h 80"/>
              <a:gd name="T18" fmla="*/ 120 w 122"/>
              <a:gd name="T19" fmla="*/ 0 h 80"/>
              <a:gd name="T20" fmla="*/ 116 w 122"/>
              <a:gd name="T21" fmla="*/ 1 h 80"/>
              <a:gd name="T22" fmla="*/ 103 w 122"/>
              <a:gd name="T23" fmla="*/ 7 h 80"/>
              <a:gd name="T24" fmla="*/ 78 w 122"/>
              <a:gd name="T25" fmla="*/ 26 h 80"/>
              <a:gd name="T26" fmla="*/ 65 w 122"/>
              <a:gd name="T27" fmla="*/ 37 h 80"/>
              <a:gd name="T28" fmla="*/ 58 w 122"/>
              <a:gd name="T29" fmla="*/ 43 h 80"/>
              <a:gd name="T30" fmla="*/ 51 w 122"/>
              <a:gd name="T31" fmla="*/ 49 h 80"/>
              <a:gd name="T32" fmla="*/ 20 w 122"/>
              <a:gd name="T33" fmla="*/ 68 h 80"/>
              <a:gd name="T34" fmla="*/ 1 w 122"/>
              <a:gd name="T35" fmla="*/ 74 h 80"/>
              <a:gd name="T36" fmla="*/ 0 w 122"/>
              <a:gd name="T37" fmla="*/ 75 h 80"/>
              <a:gd name="T38" fmla="*/ 0 w 122"/>
              <a:gd name="T39" fmla="*/ 75 h 80"/>
              <a:gd name="T40" fmla="*/ 0 w 122"/>
              <a:gd name="T41" fmla="*/ 75 h 80"/>
              <a:gd name="T42" fmla="*/ 9 w 122"/>
              <a:gd name="T43" fmla="*/ 79 h 80"/>
              <a:gd name="T44" fmla="*/ 18 w 122"/>
              <a:gd name="T45" fmla="*/ 80 h 80"/>
              <a:gd name="T46" fmla="*/ 23 w 122"/>
              <a:gd name="T47" fmla="*/ 80 h 80"/>
              <a:gd name="T48" fmla="*/ 27 w 122"/>
              <a:gd name="T49" fmla="*/ 79 h 80"/>
              <a:gd name="T50" fmla="*/ 35 w 122"/>
              <a:gd name="T51" fmla="*/ 77 h 80"/>
              <a:gd name="T52" fmla="*/ 51 w 122"/>
              <a:gd name="T53" fmla="*/ 71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51" y="71"/>
                </a:moveTo>
                <a:cubicBezTo>
                  <a:pt x="61" y="65"/>
                  <a:pt x="70" y="58"/>
                  <a:pt x="78" y="50"/>
                </a:cubicBezTo>
                <a:cubicBezTo>
                  <a:pt x="80" y="48"/>
                  <a:pt x="82" y="46"/>
                  <a:pt x="84" y="44"/>
                </a:cubicBezTo>
                <a:cubicBezTo>
                  <a:pt x="89" y="39"/>
                  <a:pt x="89" y="39"/>
                  <a:pt x="89" y="39"/>
                </a:cubicBezTo>
                <a:cubicBezTo>
                  <a:pt x="92" y="35"/>
                  <a:pt x="96" y="31"/>
                  <a:pt x="99" y="28"/>
                </a:cubicBezTo>
                <a:cubicBezTo>
                  <a:pt x="106" y="20"/>
                  <a:pt x="113" y="13"/>
                  <a:pt x="121" y="8"/>
                </a:cubicBezTo>
                <a:cubicBezTo>
                  <a:pt x="121" y="8"/>
                  <a:pt x="122" y="7"/>
                  <a:pt x="122" y="7"/>
                </a:cubicBezTo>
                <a:cubicBezTo>
                  <a:pt x="122" y="6"/>
                  <a:pt x="122" y="4"/>
                  <a:pt x="121" y="3"/>
                </a:cubicBezTo>
                <a:cubicBezTo>
                  <a:pt x="121" y="2"/>
                  <a:pt x="120" y="1"/>
                  <a:pt x="120" y="1"/>
                </a:cubicBezTo>
                <a:cubicBezTo>
                  <a:pt x="120" y="1"/>
                  <a:pt x="120" y="0"/>
                  <a:pt x="120" y="0"/>
                </a:cubicBezTo>
                <a:cubicBezTo>
                  <a:pt x="119" y="1"/>
                  <a:pt x="117" y="1"/>
                  <a:pt x="116" y="1"/>
                </a:cubicBezTo>
                <a:cubicBezTo>
                  <a:pt x="112" y="2"/>
                  <a:pt x="108" y="4"/>
                  <a:pt x="103" y="7"/>
                </a:cubicBezTo>
                <a:cubicBezTo>
                  <a:pt x="95" y="12"/>
                  <a:pt x="86" y="19"/>
                  <a:pt x="78" y="26"/>
                </a:cubicBezTo>
                <a:cubicBezTo>
                  <a:pt x="73" y="29"/>
                  <a:pt x="69" y="33"/>
                  <a:pt x="65" y="37"/>
                </a:cubicBezTo>
                <a:cubicBezTo>
                  <a:pt x="58" y="43"/>
                  <a:pt x="58" y="43"/>
                  <a:pt x="58" y="43"/>
                </a:cubicBezTo>
                <a:cubicBezTo>
                  <a:pt x="56" y="45"/>
                  <a:pt x="54" y="47"/>
                  <a:pt x="51" y="49"/>
                </a:cubicBezTo>
                <a:cubicBezTo>
                  <a:pt x="42" y="56"/>
                  <a:pt x="31" y="63"/>
                  <a:pt x="20" y="68"/>
                </a:cubicBezTo>
                <a:cubicBezTo>
                  <a:pt x="14" y="71"/>
                  <a:pt x="8" y="73"/>
                  <a:pt x="1" y="74"/>
                </a:cubicBezTo>
                <a:cubicBezTo>
                  <a:pt x="1" y="74"/>
                  <a:pt x="0" y="75"/>
                  <a:pt x="0" y="75"/>
                </a:cubicBezTo>
                <a:cubicBezTo>
                  <a:pt x="0" y="75"/>
                  <a:pt x="0" y="75"/>
                  <a:pt x="0" y="75"/>
                </a:cubicBezTo>
                <a:cubicBezTo>
                  <a:pt x="0" y="75"/>
                  <a:pt x="0" y="75"/>
                  <a:pt x="0" y="75"/>
                </a:cubicBezTo>
                <a:cubicBezTo>
                  <a:pt x="2" y="76"/>
                  <a:pt x="5" y="78"/>
                  <a:pt x="9" y="79"/>
                </a:cubicBezTo>
                <a:cubicBezTo>
                  <a:pt x="12" y="80"/>
                  <a:pt x="15" y="80"/>
                  <a:pt x="18" y="80"/>
                </a:cubicBezTo>
                <a:cubicBezTo>
                  <a:pt x="20" y="80"/>
                  <a:pt x="21" y="80"/>
                  <a:pt x="23" y="80"/>
                </a:cubicBezTo>
                <a:cubicBezTo>
                  <a:pt x="24" y="80"/>
                  <a:pt x="26" y="80"/>
                  <a:pt x="27" y="79"/>
                </a:cubicBezTo>
                <a:cubicBezTo>
                  <a:pt x="30" y="79"/>
                  <a:pt x="33" y="78"/>
                  <a:pt x="35" y="77"/>
                </a:cubicBezTo>
                <a:cubicBezTo>
                  <a:pt x="41" y="76"/>
                  <a:pt x="46" y="73"/>
                  <a:pt x="51" y="7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21">
            <a:extLst>
              <a:ext uri="{FF2B5EF4-FFF2-40B4-BE49-F238E27FC236}">
                <a16:creationId xmlns:a16="http://schemas.microsoft.com/office/drawing/2014/main" id="{00000000-0008-0000-0300-000016000000}"/>
              </a:ext>
            </a:extLst>
          </xdr:cNvPr>
          <xdr:cNvSpPr>
            <a:spLocks/>
          </xdr:cNvSpPr>
        </xdr:nvSpPr>
        <xdr:spPr bwMode="auto">
          <a:xfrm>
            <a:off x="2444750" y="2303463"/>
            <a:ext cx="212725" cy="187325"/>
          </a:xfrm>
          <a:custGeom>
            <a:avLst/>
            <a:gdLst>
              <a:gd name="T0" fmla="*/ 66 w 91"/>
              <a:gd name="T1" fmla="*/ 46 h 80"/>
              <a:gd name="T2" fmla="*/ 71 w 91"/>
              <a:gd name="T3" fmla="*/ 40 h 80"/>
              <a:gd name="T4" fmla="*/ 75 w 91"/>
              <a:gd name="T5" fmla="*/ 34 h 80"/>
              <a:gd name="T6" fmla="*/ 83 w 91"/>
              <a:gd name="T7" fmla="*/ 23 h 80"/>
              <a:gd name="T8" fmla="*/ 91 w 91"/>
              <a:gd name="T9" fmla="*/ 11 h 80"/>
              <a:gd name="T10" fmla="*/ 90 w 91"/>
              <a:gd name="T11" fmla="*/ 6 h 80"/>
              <a:gd name="T12" fmla="*/ 89 w 91"/>
              <a:gd name="T13" fmla="*/ 0 h 80"/>
              <a:gd name="T14" fmla="*/ 84 w 91"/>
              <a:gd name="T15" fmla="*/ 3 h 80"/>
              <a:gd name="T16" fmla="*/ 63 w 91"/>
              <a:gd name="T17" fmla="*/ 24 h 80"/>
              <a:gd name="T18" fmla="*/ 53 w 91"/>
              <a:gd name="T19" fmla="*/ 35 h 80"/>
              <a:gd name="T20" fmla="*/ 48 w 91"/>
              <a:gd name="T21" fmla="*/ 41 h 80"/>
              <a:gd name="T22" fmla="*/ 43 w 91"/>
              <a:gd name="T23" fmla="*/ 47 h 80"/>
              <a:gd name="T24" fmla="*/ 17 w 91"/>
              <a:gd name="T25" fmla="*/ 69 h 80"/>
              <a:gd name="T26" fmla="*/ 1 w 91"/>
              <a:gd name="T27" fmla="*/ 76 h 80"/>
              <a:gd name="T28" fmla="*/ 0 w 91"/>
              <a:gd name="T29" fmla="*/ 77 h 80"/>
              <a:gd name="T30" fmla="*/ 0 w 91"/>
              <a:gd name="T31" fmla="*/ 77 h 80"/>
              <a:gd name="T32" fmla="*/ 9 w 91"/>
              <a:gd name="T33" fmla="*/ 80 h 80"/>
              <a:gd name="T34" fmla="*/ 17 w 91"/>
              <a:gd name="T35" fmla="*/ 80 h 80"/>
              <a:gd name="T36" fmla="*/ 21 w 91"/>
              <a:gd name="T37" fmla="*/ 79 h 80"/>
              <a:gd name="T38" fmla="*/ 25 w 91"/>
              <a:gd name="T39" fmla="*/ 78 h 80"/>
              <a:gd name="T40" fmla="*/ 32 w 91"/>
              <a:gd name="T41" fmla="*/ 75 h 80"/>
              <a:gd name="T42" fmla="*/ 45 w 91"/>
              <a:gd name="T43" fmla="*/ 67 h 80"/>
              <a:gd name="T44" fmla="*/ 66 w 91"/>
              <a:gd name="T45" fmla="*/ 46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66" y="46"/>
                </a:moveTo>
                <a:cubicBezTo>
                  <a:pt x="68" y="44"/>
                  <a:pt x="69" y="42"/>
                  <a:pt x="71" y="40"/>
                </a:cubicBezTo>
                <a:cubicBezTo>
                  <a:pt x="75" y="34"/>
                  <a:pt x="75" y="34"/>
                  <a:pt x="75" y="34"/>
                </a:cubicBezTo>
                <a:cubicBezTo>
                  <a:pt x="77" y="30"/>
                  <a:pt x="80" y="26"/>
                  <a:pt x="83" y="23"/>
                </a:cubicBezTo>
                <a:cubicBezTo>
                  <a:pt x="86" y="19"/>
                  <a:pt x="88" y="15"/>
                  <a:pt x="91" y="11"/>
                </a:cubicBezTo>
                <a:cubicBezTo>
                  <a:pt x="91" y="10"/>
                  <a:pt x="91" y="8"/>
                  <a:pt x="90" y="6"/>
                </a:cubicBezTo>
                <a:cubicBezTo>
                  <a:pt x="90" y="4"/>
                  <a:pt x="89" y="2"/>
                  <a:pt x="89" y="0"/>
                </a:cubicBezTo>
                <a:cubicBezTo>
                  <a:pt x="87" y="1"/>
                  <a:pt x="85" y="2"/>
                  <a:pt x="84" y="3"/>
                </a:cubicBezTo>
                <a:cubicBezTo>
                  <a:pt x="77" y="9"/>
                  <a:pt x="70" y="16"/>
                  <a:pt x="63" y="24"/>
                </a:cubicBezTo>
                <a:cubicBezTo>
                  <a:pt x="60" y="27"/>
                  <a:pt x="57" y="31"/>
                  <a:pt x="53" y="35"/>
                </a:cubicBezTo>
                <a:cubicBezTo>
                  <a:pt x="48" y="41"/>
                  <a:pt x="48" y="41"/>
                  <a:pt x="48" y="41"/>
                </a:cubicBezTo>
                <a:cubicBezTo>
                  <a:pt x="46" y="43"/>
                  <a:pt x="45" y="45"/>
                  <a:pt x="43" y="47"/>
                </a:cubicBezTo>
                <a:cubicBezTo>
                  <a:pt x="35" y="55"/>
                  <a:pt x="27" y="63"/>
                  <a:pt x="17" y="69"/>
                </a:cubicBezTo>
                <a:cubicBezTo>
                  <a:pt x="12" y="72"/>
                  <a:pt x="7" y="74"/>
                  <a:pt x="1" y="76"/>
                </a:cubicBezTo>
                <a:cubicBezTo>
                  <a:pt x="1" y="76"/>
                  <a:pt x="0" y="76"/>
                  <a:pt x="0" y="77"/>
                </a:cubicBezTo>
                <a:cubicBezTo>
                  <a:pt x="0" y="77"/>
                  <a:pt x="0" y="77"/>
                  <a:pt x="0" y="77"/>
                </a:cubicBezTo>
                <a:cubicBezTo>
                  <a:pt x="3" y="78"/>
                  <a:pt x="6" y="79"/>
                  <a:pt x="9" y="80"/>
                </a:cubicBezTo>
                <a:cubicBezTo>
                  <a:pt x="11" y="80"/>
                  <a:pt x="14" y="80"/>
                  <a:pt x="17" y="80"/>
                </a:cubicBezTo>
                <a:cubicBezTo>
                  <a:pt x="18" y="80"/>
                  <a:pt x="19" y="79"/>
                  <a:pt x="21" y="79"/>
                </a:cubicBezTo>
                <a:cubicBezTo>
                  <a:pt x="22" y="79"/>
                  <a:pt x="23" y="78"/>
                  <a:pt x="25" y="78"/>
                </a:cubicBezTo>
                <a:cubicBezTo>
                  <a:pt x="27" y="77"/>
                  <a:pt x="29" y="76"/>
                  <a:pt x="32" y="75"/>
                </a:cubicBezTo>
                <a:cubicBezTo>
                  <a:pt x="36" y="73"/>
                  <a:pt x="41" y="70"/>
                  <a:pt x="45" y="67"/>
                </a:cubicBezTo>
                <a:cubicBezTo>
                  <a:pt x="53" y="61"/>
                  <a:pt x="60" y="54"/>
                  <a:pt x="66"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 name="Freeform 22">
            <a:extLst>
              <a:ext uri="{FF2B5EF4-FFF2-40B4-BE49-F238E27FC236}">
                <a16:creationId xmlns:a16="http://schemas.microsoft.com/office/drawing/2014/main" id="{00000000-0008-0000-0300-000017000000}"/>
              </a:ext>
            </a:extLst>
          </xdr:cNvPr>
          <xdr:cNvSpPr>
            <a:spLocks/>
          </xdr:cNvSpPr>
        </xdr:nvSpPr>
        <xdr:spPr bwMode="auto">
          <a:xfrm>
            <a:off x="2520950" y="2336800"/>
            <a:ext cx="150813" cy="166688"/>
          </a:xfrm>
          <a:custGeom>
            <a:avLst/>
            <a:gdLst>
              <a:gd name="T0" fmla="*/ 54 w 64"/>
              <a:gd name="T1" fmla="*/ 33 h 71"/>
              <a:gd name="T2" fmla="*/ 58 w 64"/>
              <a:gd name="T3" fmla="*/ 27 h 71"/>
              <a:gd name="T4" fmla="*/ 60 w 64"/>
              <a:gd name="T5" fmla="*/ 22 h 71"/>
              <a:gd name="T6" fmla="*/ 64 w 64"/>
              <a:gd name="T7" fmla="*/ 14 h 71"/>
              <a:gd name="T8" fmla="*/ 63 w 64"/>
              <a:gd name="T9" fmla="*/ 12 h 71"/>
              <a:gd name="T10" fmla="*/ 60 w 64"/>
              <a:gd name="T11" fmla="*/ 2 h 71"/>
              <a:gd name="T12" fmla="*/ 59 w 64"/>
              <a:gd name="T13" fmla="*/ 0 h 71"/>
              <a:gd name="T14" fmla="*/ 49 w 64"/>
              <a:gd name="T15" fmla="*/ 13 h 71"/>
              <a:gd name="T16" fmla="*/ 42 w 64"/>
              <a:gd name="T17" fmla="*/ 25 h 71"/>
              <a:gd name="T18" fmla="*/ 38 w 64"/>
              <a:gd name="T19" fmla="*/ 31 h 71"/>
              <a:gd name="T20" fmla="*/ 34 w 64"/>
              <a:gd name="T21" fmla="*/ 37 h 71"/>
              <a:gd name="T22" fmla="*/ 13 w 64"/>
              <a:gd name="T23" fmla="*/ 60 h 71"/>
              <a:gd name="T24" fmla="*/ 0 w 64"/>
              <a:gd name="T25" fmla="*/ 68 h 71"/>
              <a:gd name="T26" fmla="*/ 0 w 64"/>
              <a:gd name="T27" fmla="*/ 68 h 71"/>
              <a:gd name="T28" fmla="*/ 0 w 64"/>
              <a:gd name="T29" fmla="*/ 69 h 71"/>
              <a:gd name="T30" fmla="*/ 7 w 64"/>
              <a:gd name="T31" fmla="*/ 71 h 71"/>
              <a:gd name="T32" fmla="*/ 15 w 64"/>
              <a:gd name="T33" fmla="*/ 70 h 71"/>
              <a:gd name="T34" fmla="*/ 18 w 64"/>
              <a:gd name="T35" fmla="*/ 69 h 71"/>
              <a:gd name="T36" fmla="*/ 21 w 64"/>
              <a:gd name="T37" fmla="*/ 67 h 71"/>
              <a:gd name="T38" fmla="*/ 27 w 64"/>
              <a:gd name="T39" fmla="*/ 64 h 71"/>
              <a:gd name="T40" fmla="*/ 38 w 64"/>
              <a:gd name="T41" fmla="*/ 55 h 71"/>
              <a:gd name="T42" fmla="*/ 54 w 64"/>
              <a:gd name="T43" fmla="*/ 33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4" h="71">
                <a:moveTo>
                  <a:pt x="54" y="33"/>
                </a:moveTo>
                <a:cubicBezTo>
                  <a:pt x="55" y="31"/>
                  <a:pt x="57" y="29"/>
                  <a:pt x="58" y="27"/>
                </a:cubicBezTo>
                <a:cubicBezTo>
                  <a:pt x="60" y="22"/>
                  <a:pt x="60" y="22"/>
                  <a:pt x="60" y="22"/>
                </a:cubicBezTo>
                <a:cubicBezTo>
                  <a:pt x="62" y="19"/>
                  <a:pt x="63" y="17"/>
                  <a:pt x="64" y="14"/>
                </a:cubicBezTo>
                <a:cubicBezTo>
                  <a:pt x="64" y="14"/>
                  <a:pt x="63" y="13"/>
                  <a:pt x="63" y="12"/>
                </a:cubicBezTo>
                <a:cubicBezTo>
                  <a:pt x="62" y="9"/>
                  <a:pt x="60" y="5"/>
                  <a:pt x="60" y="2"/>
                </a:cubicBezTo>
                <a:cubicBezTo>
                  <a:pt x="59" y="1"/>
                  <a:pt x="59" y="1"/>
                  <a:pt x="59" y="0"/>
                </a:cubicBezTo>
                <a:cubicBezTo>
                  <a:pt x="56" y="4"/>
                  <a:pt x="52" y="9"/>
                  <a:pt x="49" y="13"/>
                </a:cubicBezTo>
                <a:cubicBezTo>
                  <a:pt x="47" y="17"/>
                  <a:pt x="44" y="21"/>
                  <a:pt x="42" y="25"/>
                </a:cubicBezTo>
                <a:cubicBezTo>
                  <a:pt x="38" y="31"/>
                  <a:pt x="38" y="31"/>
                  <a:pt x="38" y="31"/>
                </a:cubicBezTo>
                <a:cubicBezTo>
                  <a:pt x="37" y="33"/>
                  <a:pt x="35" y="35"/>
                  <a:pt x="34" y="37"/>
                </a:cubicBezTo>
                <a:cubicBezTo>
                  <a:pt x="28" y="45"/>
                  <a:pt x="21" y="53"/>
                  <a:pt x="13" y="60"/>
                </a:cubicBezTo>
                <a:cubicBezTo>
                  <a:pt x="9" y="63"/>
                  <a:pt x="5" y="66"/>
                  <a:pt x="0" y="68"/>
                </a:cubicBezTo>
                <a:cubicBezTo>
                  <a:pt x="0" y="68"/>
                  <a:pt x="0" y="68"/>
                  <a:pt x="0" y="68"/>
                </a:cubicBezTo>
                <a:cubicBezTo>
                  <a:pt x="0" y="68"/>
                  <a:pt x="0" y="69"/>
                  <a:pt x="0" y="69"/>
                </a:cubicBezTo>
                <a:cubicBezTo>
                  <a:pt x="2" y="70"/>
                  <a:pt x="5" y="71"/>
                  <a:pt x="7" y="71"/>
                </a:cubicBezTo>
                <a:cubicBezTo>
                  <a:pt x="10" y="71"/>
                  <a:pt x="12" y="70"/>
                  <a:pt x="15" y="70"/>
                </a:cubicBezTo>
                <a:cubicBezTo>
                  <a:pt x="16" y="70"/>
                  <a:pt x="17" y="69"/>
                  <a:pt x="18" y="69"/>
                </a:cubicBezTo>
                <a:cubicBezTo>
                  <a:pt x="19" y="68"/>
                  <a:pt x="20" y="68"/>
                  <a:pt x="21" y="67"/>
                </a:cubicBezTo>
                <a:cubicBezTo>
                  <a:pt x="23" y="66"/>
                  <a:pt x="25" y="65"/>
                  <a:pt x="27" y="64"/>
                </a:cubicBezTo>
                <a:cubicBezTo>
                  <a:pt x="31" y="61"/>
                  <a:pt x="35" y="58"/>
                  <a:pt x="38" y="55"/>
                </a:cubicBezTo>
                <a:cubicBezTo>
                  <a:pt x="45" y="49"/>
                  <a:pt x="50" y="41"/>
                  <a:pt x="54" y="33"/>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4" name="Freeform 23">
            <a:extLst>
              <a:ext uri="{FF2B5EF4-FFF2-40B4-BE49-F238E27FC236}">
                <a16:creationId xmlns:a16="http://schemas.microsoft.com/office/drawing/2014/main" id="{00000000-0008-0000-0300-000018000000}"/>
              </a:ext>
            </a:extLst>
          </xdr:cNvPr>
          <xdr:cNvSpPr>
            <a:spLocks/>
          </xdr:cNvSpPr>
        </xdr:nvSpPr>
        <xdr:spPr bwMode="auto">
          <a:xfrm>
            <a:off x="2587625" y="2376488"/>
            <a:ext cx="114300" cy="128588"/>
          </a:xfrm>
          <a:custGeom>
            <a:avLst/>
            <a:gdLst>
              <a:gd name="T0" fmla="*/ 45 w 49"/>
              <a:gd name="T1" fmla="*/ 16 h 55"/>
              <a:gd name="T2" fmla="*/ 47 w 49"/>
              <a:gd name="T3" fmla="*/ 10 h 55"/>
              <a:gd name="T4" fmla="*/ 49 w 49"/>
              <a:gd name="T5" fmla="*/ 6 h 55"/>
              <a:gd name="T6" fmla="*/ 43 w 49"/>
              <a:gd name="T7" fmla="*/ 4 h 55"/>
              <a:gd name="T8" fmla="*/ 38 w 49"/>
              <a:gd name="T9" fmla="*/ 0 h 55"/>
              <a:gd name="T10" fmla="*/ 38 w 49"/>
              <a:gd name="T11" fmla="*/ 0 h 55"/>
              <a:gd name="T12" fmla="*/ 33 w 49"/>
              <a:gd name="T13" fmla="*/ 9 h 55"/>
              <a:gd name="T14" fmla="*/ 30 w 49"/>
              <a:gd name="T15" fmla="*/ 15 h 55"/>
              <a:gd name="T16" fmla="*/ 27 w 49"/>
              <a:gd name="T17" fmla="*/ 21 h 55"/>
              <a:gd name="T18" fmla="*/ 12 w 49"/>
              <a:gd name="T19" fmla="*/ 44 h 55"/>
              <a:gd name="T20" fmla="*/ 1 w 49"/>
              <a:gd name="T21" fmla="*/ 53 h 55"/>
              <a:gd name="T22" fmla="*/ 0 w 49"/>
              <a:gd name="T23" fmla="*/ 54 h 55"/>
              <a:gd name="T24" fmla="*/ 1 w 49"/>
              <a:gd name="T25" fmla="*/ 54 h 55"/>
              <a:gd name="T26" fmla="*/ 8 w 49"/>
              <a:gd name="T27" fmla="*/ 55 h 55"/>
              <a:gd name="T28" fmla="*/ 14 w 49"/>
              <a:gd name="T29" fmla="*/ 53 h 55"/>
              <a:gd name="T30" fmla="*/ 17 w 49"/>
              <a:gd name="T31" fmla="*/ 52 h 55"/>
              <a:gd name="T32" fmla="*/ 20 w 49"/>
              <a:gd name="T33" fmla="*/ 50 h 55"/>
              <a:gd name="T34" fmla="*/ 25 w 49"/>
              <a:gd name="T35" fmla="*/ 46 h 55"/>
              <a:gd name="T36" fmla="*/ 33 w 49"/>
              <a:gd name="T37" fmla="*/ 37 h 55"/>
              <a:gd name="T38" fmla="*/ 45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5" y="16"/>
                </a:moveTo>
                <a:cubicBezTo>
                  <a:pt x="46" y="14"/>
                  <a:pt x="47" y="12"/>
                  <a:pt x="47" y="10"/>
                </a:cubicBezTo>
                <a:cubicBezTo>
                  <a:pt x="49" y="6"/>
                  <a:pt x="49" y="6"/>
                  <a:pt x="49" y="6"/>
                </a:cubicBezTo>
                <a:cubicBezTo>
                  <a:pt x="47" y="5"/>
                  <a:pt x="45" y="5"/>
                  <a:pt x="43" y="4"/>
                </a:cubicBezTo>
                <a:cubicBezTo>
                  <a:pt x="41" y="3"/>
                  <a:pt x="39" y="2"/>
                  <a:pt x="38" y="0"/>
                </a:cubicBezTo>
                <a:cubicBezTo>
                  <a:pt x="38" y="0"/>
                  <a:pt x="38" y="0"/>
                  <a:pt x="38" y="0"/>
                </a:cubicBezTo>
                <a:cubicBezTo>
                  <a:pt x="36" y="3"/>
                  <a:pt x="35" y="6"/>
                  <a:pt x="33" y="9"/>
                </a:cubicBezTo>
                <a:cubicBezTo>
                  <a:pt x="30" y="15"/>
                  <a:pt x="30" y="15"/>
                  <a:pt x="30" y="15"/>
                </a:cubicBezTo>
                <a:cubicBezTo>
                  <a:pt x="29" y="17"/>
                  <a:pt x="28" y="19"/>
                  <a:pt x="27" y="21"/>
                </a:cubicBezTo>
                <a:cubicBezTo>
                  <a:pt x="23" y="29"/>
                  <a:pt x="18" y="37"/>
                  <a:pt x="12" y="44"/>
                </a:cubicBezTo>
                <a:cubicBezTo>
                  <a:pt x="9" y="47"/>
                  <a:pt x="5" y="50"/>
                  <a:pt x="1" y="53"/>
                </a:cubicBezTo>
                <a:cubicBezTo>
                  <a:pt x="1" y="53"/>
                  <a:pt x="1" y="54"/>
                  <a:pt x="0" y="54"/>
                </a:cubicBezTo>
                <a:cubicBezTo>
                  <a:pt x="0" y="54"/>
                  <a:pt x="1" y="54"/>
                  <a:pt x="1" y="54"/>
                </a:cubicBezTo>
                <a:cubicBezTo>
                  <a:pt x="3" y="55"/>
                  <a:pt x="5" y="55"/>
                  <a:pt x="8" y="55"/>
                </a:cubicBezTo>
                <a:cubicBezTo>
                  <a:pt x="10" y="55"/>
                  <a:pt x="12" y="54"/>
                  <a:pt x="14" y="53"/>
                </a:cubicBezTo>
                <a:cubicBezTo>
                  <a:pt x="15" y="53"/>
                  <a:pt x="16" y="52"/>
                  <a:pt x="17" y="52"/>
                </a:cubicBezTo>
                <a:cubicBezTo>
                  <a:pt x="18" y="51"/>
                  <a:pt x="19" y="51"/>
                  <a:pt x="20" y="50"/>
                </a:cubicBezTo>
                <a:cubicBezTo>
                  <a:pt x="21" y="49"/>
                  <a:pt x="23" y="48"/>
                  <a:pt x="25" y="46"/>
                </a:cubicBezTo>
                <a:cubicBezTo>
                  <a:pt x="28" y="44"/>
                  <a:pt x="31" y="41"/>
                  <a:pt x="33" y="37"/>
                </a:cubicBezTo>
                <a:cubicBezTo>
                  <a:pt x="38" y="31"/>
                  <a:pt x="42" y="23"/>
                  <a:pt x="45"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5" name="Freeform 24">
            <a:extLst>
              <a:ext uri="{FF2B5EF4-FFF2-40B4-BE49-F238E27FC236}">
                <a16:creationId xmlns:a16="http://schemas.microsoft.com/office/drawing/2014/main" id="{00000000-0008-0000-0300-000019000000}"/>
              </a:ext>
            </a:extLst>
          </xdr:cNvPr>
          <xdr:cNvSpPr>
            <a:spLocks/>
          </xdr:cNvSpPr>
        </xdr:nvSpPr>
        <xdr:spPr bwMode="auto">
          <a:xfrm>
            <a:off x="2651125" y="2381250"/>
            <a:ext cx="87313" cy="119063"/>
          </a:xfrm>
          <a:custGeom>
            <a:avLst/>
            <a:gdLst>
              <a:gd name="T0" fmla="*/ 6 w 37"/>
              <a:gd name="T1" fmla="*/ 51 h 51"/>
              <a:gd name="T2" fmla="*/ 12 w 37"/>
              <a:gd name="T3" fmla="*/ 48 h 51"/>
              <a:gd name="T4" fmla="*/ 14 w 37"/>
              <a:gd name="T5" fmla="*/ 47 h 51"/>
              <a:gd name="T6" fmla="*/ 16 w 37"/>
              <a:gd name="T7" fmla="*/ 45 h 51"/>
              <a:gd name="T8" fmla="*/ 20 w 37"/>
              <a:gd name="T9" fmla="*/ 41 h 51"/>
              <a:gd name="T10" fmla="*/ 27 w 37"/>
              <a:gd name="T11" fmla="*/ 32 h 51"/>
              <a:gd name="T12" fmla="*/ 35 w 37"/>
              <a:gd name="T13" fmla="*/ 11 h 51"/>
              <a:gd name="T14" fmla="*/ 36 w 37"/>
              <a:gd name="T15" fmla="*/ 5 h 51"/>
              <a:gd name="T16" fmla="*/ 37 w 37"/>
              <a:gd name="T17" fmla="*/ 0 h 51"/>
              <a:gd name="T18" fmla="*/ 35 w 37"/>
              <a:gd name="T19" fmla="*/ 2 h 51"/>
              <a:gd name="T20" fmla="*/ 26 w 37"/>
              <a:gd name="T21" fmla="*/ 4 h 51"/>
              <a:gd name="T22" fmla="*/ 24 w 37"/>
              <a:gd name="T23" fmla="*/ 4 h 51"/>
              <a:gd name="T24" fmla="*/ 23 w 37"/>
              <a:gd name="T25" fmla="*/ 6 h 51"/>
              <a:gd name="T26" fmla="*/ 22 w 37"/>
              <a:gd name="T27" fmla="*/ 12 h 51"/>
              <a:gd name="T28" fmla="*/ 20 w 37"/>
              <a:gd name="T29" fmla="*/ 18 h 51"/>
              <a:gd name="T30" fmla="*/ 9 w 37"/>
              <a:gd name="T31" fmla="*/ 40 h 51"/>
              <a:gd name="T32" fmla="*/ 0 w 37"/>
              <a:gd name="T33" fmla="*/ 50 h 51"/>
              <a:gd name="T34" fmla="*/ 0 w 37"/>
              <a:gd name="T35" fmla="*/ 51 h 51"/>
              <a:gd name="T36" fmla="*/ 0 w 37"/>
              <a:gd name="T37" fmla="*/ 51 h 51"/>
              <a:gd name="T38" fmla="*/ 6 w 37"/>
              <a:gd name="T39"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7" h="51">
                <a:moveTo>
                  <a:pt x="6" y="51"/>
                </a:moveTo>
                <a:cubicBezTo>
                  <a:pt x="8" y="50"/>
                  <a:pt x="10" y="49"/>
                  <a:pt x="12" y="48"/>
                </a:cubicBezTo>
                <a:cubicBezTo>
                  <a:pt x="12" y="48"/>
                  <a:pt x="13" y="48"/>
                  <a:pt x="14" y="47"/>
                </a:cubicBezTo>
                <a:cubicBezTo>
                  <a:pt x="15" y="46"/>
                  <a:pt x="15" y="46"/>
                  <a:pt x="16" y="45"/>
                </a:cubicBezTo>
                <a:cubicBezTo>
                  <a:pt x="17" y="44"/>
                  <a:pt x="19" y="43"/>
                  <a:pt x="20" y="41"/>
                </a:cubicBezTo>
                <a:cubicBezTo>
                  <a:pt x="23" y="38"/>
                  <a:pt x="25" y="35"/>
                  <a:pt x="27" y="32"/>
                </a:cubicBezTo>
                <a:cubicBezTo>
                  <a:pt x="30" y="25"/>
                  <a:pt x="33" y="18"/>
                  <a:pt x="35" y="11"/>
                </a:cubicBezTo>
                <a:cubicBezTo>
                  <a:pt x="35" y="9"/>
                  <a:pt x="36" y="7"/>
                  <a:pt x="36" y="5"/>
                </a:cubicBezTo>
                <a:cubicBezTo>
                  <a:pt x="37" y="0"/>
                  <a:pt x="37" y="0"/>
                  <a:pt x="37" y="0"/>
                </a:cubicBezTo>
                <a:cubicBezTo>
                  <a:pt x="37" y="1"/>
                  <a:pt x="36" y="1"/>
                  <a:pt x="35" y="2"/>
                </a:cubicBezTo>
                <a:cubicBezTo>
                  <a:pt x="32" y="3"/>
                  <a:pt x="29" y="3"/>
                  <a:pt x="26" y="4"/>
                </a:cubicBezTo>
                <a:cubicBezTo>
                  <a:pt x="26" y="4"/>
                  <a:pt x="25" y="4"/>
                  <a:pt x="24" y="4"/>
                </a:cubicBezTo>
                <a:cubicBezTo>
                  <a:pt x="24" y="5"/>
                  <a:pt x="24" y="6"/>
                  <a:pt x="23" y="6"/>
                </a:cubicBezTo>
                <a:cubicBezTo>
                  <a:pt x="22" y="12"/>
                  <a:pt x="22" y="12"/>
                  <a:pt x="22" y="12"/>
                </a:cubicBezTo>
                <a:cubicBezTo>
                  <a:pt x="21" y="14"/>
                  <a:pt x="20" y="16"/>
                  <a:pt x="20" y="18"/>
                </a:cubicBezTo>
                <a:cubicBezTo>
                  <a:pt x="17" y="26"/>
                  <a:pt x="13" y="33"/>
                  <a:pt x="9" y="40"/>
                </a:cubicBezTo>
                <a:cubicBezTo>
                  <a:pt x="6" y="44"/>
                  <a:pt x="3" y="47"/>
                  <a:pt x="0" y="50"/>
                </a:cubicBezTo>
                <a:cubicBezTo>
                  <a:pt x="0" y="50"/>
                  <a:pt x="0" y="50"/>
                  <a:pt x="0" y="51"/>
                </a:cubicBezTo>
                <a:cubicBezTo>
                  <a:pt x="0" y="51"/>
                  <a:pt x="0" y="51"/>
                  <a:pt x="0" y="51"/>
                </a:cubicBezTo>
                <a:cubicBezTo>
                  <a:pt x="2" y="51"/>
                  <a:pt x="4" y="51"/>
                  <a:pt x="6"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6" name="Freeform 25">
            <a:extLst>
              <a:ext uri="{FF2B5EF4-FFF2-40B4-BE49-F238E27FC236}">
                <a16:creationId xmlns:a16="http://schemas.microsoft.com/office/drawing/2014/main" id="{00000000-0008-0000-0300-00001A000000}"/>
              </a:ext>
            </a:extLst>
          </xdr:cNvPr>
          <xdr:cNvSpPr>
            <a:spLocks/>
          </xdr:cNvSpPr>
        </xdr:nvSpPr>
        <xdr:spPr bwMode="auto">
          <a:xfrm>
            <a:off x="2838450" y="2206625"/>
            <a:ext cx="571500" cy="190500"/>
          </a:xfrm>
          <a:custGeom>
            <a:avLst/>
            <a:gdLst>
              <a:gd name="T0" fmla="*/ 242 w 243"/>
              <a:gd name="T1" fmla="*/ 51 h 81"/>
              <a:gd name="T2" fmla="*/ 240 w 243"/>
              <a:gd name="T3" fmla="*/ 46 h 81"/>
              <a:gd name="T4" fmla="*/ 236 w 243"/>
              <a:gd name="T5" fmla="*/ 54 h 81"/>
              <a:gd name="T6" fmla="*/ 230 w 243"/>
              <a:gd name="T7" fmla="*/ 59 h 81"/>
              <a:gd name="T8" fmla="*/ 215 w 243"/>
              <a:gd name="T9" fmla="*/ 61 h 81"/>
              <a:gd name="T10" fmla="*/ 207 w 243"/>
              <a:gd name="T11" fmla="*/ 60 h 81"/>
              <a:gd name="T12" fmla="*/ 198 w 243"/>
              <a:gd name="T13" fmla="*/ 58 h 81"/>
              <a:gd name="T14" fmla="*/ 182 w 243"/>
              <a:gd name="T15" fmla="*/ 52 h 81"/>
              <a:gd name="T16" fmla="*/ 150 w 243"/>
              <a:gd name="T17" fmla="*/ 35 h 81"/>
              <a:gd name="T18" fmla="*/ 142 w 243"/>
              <a:gd name="T19" fmla="*/ 30 h 81"/>
              <a:gd name="T20" fmla="*/ 138 w 243"/>
              <a:gd name="T21" fmla="*/ 28 h 81"/>
              <a:gd name="T22" fmla="*/ 134 w 243"/>
              <a:gd name="T23" fmla="*/ 25 h 81"/>
              <a:gd name="T24" fmla="*/ 116 w 243"/>
              <a:gd name="T25" fmla="*/ 16 h 81"/>
              <a:gd name="T26" fmla="*/ 97 w 243"/>
              <a:gd name="T27" fmla="*/ 8 h 81"/>
              <a:gd name="T28" fmla="*/ 76 w 243"/>
              <a:gd name="T29" fmla="*/ 2 h 81"/>
              <a:gd name="T30" fmla="*/ 53 w 243"/>
              <a:gd name="T31" fmla="*/ 1 h 81"/>
              <a:gd name="T32" fmla="*/ 41 w 243"/>
              <a:gd name="T33" fmla="*/ 4 h 81"/>
              <a:gd name="T34" fmla="*/ 30 w 243"/>
              <a:gd name="T35" fmla="*/ 11 h 81"/>
              <a:gd name="T36" fmla="*/ 26 w 243"/>
              <a:gd name="T37" fmla="*/ 16 h 81"/>
              <a:gd name="T38" fmla="*/ 22 w 243"/>
              <a:gd name="T39" fmla="*/ 21 h 81"/>
              <a:gd name="T40" fmla="*/ 19 w 243"/>
              <a:gd name="T41" fmla="*/ 33 h 81"/>
              <a:gd name="T42" fmla="*/ 19 w 243"/>
              <a:gd name="T43" fmla="*/ 44 h 81"/>
              <a:gd name="T44" fmla="*/ 20 w 243"/>
              <a:gd name="T45" fmla="*/ 54 h 81"/>
              <a:gd name="T46" fmla="*/ 20 w 243"/>
              <a:gd name="T47" fmla="*/ 63 h 81"/>
              <a:gd name="T48" fmla="*/ 17 w 243"/>
              <a:gd name="T49" fmla="*/ 69 h 81"/>
              <a:gd name="T50" fmla="*/ 9 w 243"/>
              <a:gd name="T51" fmla="*/ 73 h 81"/>
              <a:gd name="T52" fmla="*/ 0 w 243"/>
              <a:gd name="T53" fmla="*/ 73 h 81"/>
              <a:gd name="T54" fmla="*/ 9 w 243"/>
              <a:gd name="T55" fmla="*/ 76 h 81"/>
              <a:gd name="T56" fmla="*/ 20 w 243"/>
              <a:gd name="T57" fmla="*/ 74 h 81"/>
              <a:gd name="T58" fmla="*/ 24 w 243"/>
              <a:gd name="T59" fmla="*/ 70 h 81"/>
              <a:gd name="T60" fmla="*/ 27 w 243"/>
              <a:gd name="T61" fmla="*/ 65 h 81"/>
              <a:gd name="T62" fmla="*/ 30 w 243"/>
              <a:gd name="T63" fmla="*/ 55 h 81"/>
              <a:gd name="T64" fmla="*/ 32 w 243"/>
              <a:gd name="T65" fmla="*/ 45 h 81"/>
              <a:gd name="T66" fmla="*/ 34 w 243"/>
              <a:gd name="T67" fmla="*/ 36 h 81"/>
              <a:gd name="T68" fmla="*/ 37 w 243"/>
              <a:gd name="T69" fmla="*/ 30 h 81"/>
              <a:gd name="T70" fmla="*/ 42 w 243"/>
              <a:gd name="T71" fmla="*/ 25 h 81"/>
              <a:gd name="T72" fmla="*/ 55 w 243"/>
              <a:gd name="T73" fmla="*/ 23 h 81"/>
              <a:gd name="T74" fmla="*/ 70 w 243"/>
              <a:gd name="T75" fmla="*/ 26 h 81"/>
              <a:gd name="T76" fmla="*/ 102 w 243"/>
              <a:gd name="T77" fmla="*/ 43 h 81"/>
              <a:gd name="T78" fmla="*/ 118 w 243"/>
              <a:gd name="T79" fmla="*/ 52 h 81"/>
              <a:gd name="T80" fmla="*/ 126 w 243"/>
              <a:gd name="T81" fmla="*/ 57 h 81"/>
              <a:gd name="T82" fmla="*/ 135 w 243"/>
              <a:gd name="T83" fmla="*/ 62 h 81"/>
              <a:gd name="T84" fmla="*/ 174 w 243"/>
              <a:gd name="T85" fmla="*/ 78 h 81"/>
              <a:gd name="T86" fmla="*/ 195 w 243"/>
              <a:gd name="T87" fmla="*/ 81 h 81"/>
              <a:gd name="T88" fmla="*/ 206 w 243"/>
              <a:gd name="T89" fmla="*/ 81 h 81"/>
              <a:gd name="T90" fmla="*/ 212 w 243"/>
              <a:gd name="T91" fmla="*/ 80 h 81"/>
              <a:gd name="T92" fmla="*/ 217 w 243"/>
              <a:gd name="T93" fmla="*/ 79 h 81"/>
              <a:gd name="T94" fmla="*/ 228 w 243"/>
              <a:gd name="T95" fmla="*/ 75 h 81"/>
              <a:gd name="T96" fmla="*/ 238 w 243"/>
              <a:gd name="T97" fmla="*/ 68 h 81"/>
              <a:gd name="T98" fmla="*/ 242 w 243"/>
              <a:gd name="T99" fmla="*/ 56 h 81"/>
              <a:gd name="T100" fmla="*/ 242 w 243"/>
              <a:gd name="T101" fmla="*/ 51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242" y="51"/>
                </a:moveTo>
                <a:cubicBezTo>
                  <a:pt x="242" y="49"/>
                  <a:pt x="241" y="47"/>
                  <a:pt x="240" y="46"/>
                </a:cubicBezTo>
                <a:cubicBezTo>
                  <a:pt x="240" y="49"/>
                  <a:pt x="238" y="52"/>
                  <a:pt x="236" y="54"/>
                </a:cubicBezTo>
                <a:cubicBezTo>
                  <a:pt x="234" y="57"/>
                  <a:pt x="232" y="58"/>
                  <a:pt x="230" y="59"/>
                </a:cubicBezTo>
                <a:cubicBezTo>
                  <a:pt x="226" y="61"/>
                  <a:pt x="221" y="61"/>
                  <a:pt x="215" y="61"/>
                </a:cubicBezTo>
                <a:cubicBezTo>
                  <a:pt x="213" y="61"/>
                  <a:pt x="210" y="60"/>
                  <a:pt x="207" y="60"/>
                </a:cubicBezTo>
                <a:cubicBezTo>
                  <a:pt x="204" y="59"/>
                  <a:pt x="201" y="59"/>
                  <a:pt x="198" y="58"/>
                </a:cubicBezTo>
                <a:cubicBezTo>
                  <a:pt x="193" y="57"/>
                  <a:pt x="187" y="54"/>
                  <a:pt x="182" y="52"/>
                </a:cubicBezTo>
                <a:cubicBezTo>
                  <a:pt x="171" y="47"/>
                  <a:pt x="161" y="41"/>
                  <a:pt x="150" y="35"/>
                </a:cubicBezTo>
                <a:cubicBezTo>
                  <a:pt x="148" y="34"/>
                  <a:pt x="145" y="32"/>
                  <a:pt x="142" y="30"/>
                </a:cubicBezTo>
                <a:cubicBezTo>
                  <a:pt x="138" y="28"/>
                  <a:pt x="138" y="28"/>
                  <a:pt x="138" y="28"/>
                </a:cubicBezTo>
                <a:cubicBezTo>
                  <a:pt x="134" y="25"/>
                  <a:pt x="134" y="25"/>
                  <a:pt x="134" y="25"/>
                </a:cubicBezTo>
                <a:cubicBezTo>
                  <a:pt x="128" y="22"/>
                  <a:pt x="122" y="19"/>
                  <a:pt x="116" y="16"/>
                </a:cubicBezTo>
                <a:cubicBezTo>
                  <a:pt x="110" y="13"/>
                  <a:pt x="104" y="10"/>
                  <a:pt x="97" y="8"/>
                </a:cubicBezTo>
                <a:cubicBezTo>
                  <a:pt x="91" y="5"/>
                  <a:pt x="84" y="3"/>
                  <a:pt x="76" y="2"/>
                </a:cubicBezTo>
                <a:cubicBezTo>
                  <a:pt x="69" y="0"/>
                  <a:pt x="62" y="0"/>
                  <a:pt x="53" y="1"/>
                </a:cubicBezTo>
                <a:cubicBezTo>
                  <a:pt x="49" y="1"/>
                  <a:pt x="45" y="2"/>
                  <a:pt x="41" y="4"/>
                </a:cubicBezTo>
                <a:cubicBezTo>
                  <a:pt x="37" y="6"/>
                  <a:pt x="33" y="8"/>
                  <a:pt x="30" y="11"/>
                </a:cubicBezTo>
                <a:cubicBezTo>
                  <a:pt x="28" y="12"/>
                  <a:pt x="27" y="14"/>
                  <a:pt x="26" y="16"/>
                </a:cubicBezTo>
                <a:cubicBezTo>
                  <a:pt x="25" y="17"/>
                  <a:pt x="23" y="19"/>
                  <a:pt x="22" y="21"/>
                </a:cubicBezTo>
                <a:cubicBezTo>
                  <a:pt x="20" y="25"/>
                  <a:pt x="19" y="30"/>
                  <a:pt x="19" y="33"/>
                </a:cubicBezTo>
                <a:cubicBezTo>
                  <a:pt x="19" y="37"/>
                  <a:pt x="19" y="41"/>
                  <a:pt x="19" y="44"/>
                </a:cubicBezTo>
                <a:cubicBezTo>
                  <a:pt x="19" y="47"/>
                  <a:pt x="20" y="50"/>
                  <a:pt x="20" y="54"/>
                </a:cubicBezTo>
                <a:cubicBezTo>
                  <a:pt x="20" y="57"/>
                  <a:pt x="20" y="60"/>
                  <a:pt x="20" y="63"/>
                </a:cubicBezTo>
                <a:cubicBezTo>
                  <a:pt x="19" y="65"/>
                  <a:pt x="18" y="68"/>
                  <a:pt x="17" y="69"/>
                </a:cubicBezTo>
                <a:cubicBezTo>
                  <a:pt x="15" y="71"/>
                  <a:pt x="12" y="73"/>
                  <a:pt x="9" y="73"/>
                </a:cubicBezTo>
                <a:cubicBezTo>
                  <a:pt x="6" y="74"/>
                  <a:pt x="3" y="74"/>
                  <a:pt x="0" y="73"/>
                </a:cubicBezTo>
                <a:cubicBezTo>
                  <a:pt x="2" y="75"/>
                  <a:pt x="6" y="76"/>
                  <a:pt x="9" y="76"/>
                </a:cubicBezTo>
                <a:cubicBezTo>
                  <a:pt x="13" y="76"/>
                  <a:pt x="16" y="76"/>
                  <a:pt x="20" y="74"/>
                </a:cubicBezTo>
                <a:cubicBezTo>
                  <a:pt x="21" y="73"/>
                  <a:pt x="23" y="71"/>
                  <a:pt x="24" y="70"/>
                </a:cubicBezTo>
                <a:cubicBezTo>
                  <a:pt x="25" y="68"/>
                  <a:pt x="26" y="66"/>
                  <a:pt x="27" y="65"/>
                </a:cubicBezTo>
                <a:cubicBezTo>
                  <a:pt x="28" y="61"/>
                  <a:pt x="29" y="58"/>
                  <a:pt x="30" y="55"/>
                </a:cubicBezTo>
                <a:cubicBezTo>
                  <a:pt x="31" y="51"/>
                  <a:pt x="31" y="48"/>
                  <a:pt x="32" y="45"/>
                </a:cubicBezTo>
                <a:cubicBezTo>
                  <a:pt x="32" y="41"/>
                  <a:pt x="33" y="38"/>
                  <a:pt x="34" y="36"/>
                </a:cubicBezTo>
                <a:cubicBezTo>
                  <a:pt x="35" y="33"/>
                  <a:pt x="36" y="31"/>
                  <a:pt x="37" y="30"/>
                </a:cubicBezTo>
                <a:cubicBezTo>
                  <a:pt x="38" y="28"/>
                  <a:pt x="40" y="27"/>
                  <a:pt x="42" y="25"/>
                </a:cubicBezTo>
                <a:cubicBezTo>
                  <a:pt x="46" y="23"/>
                  <a:pt x="50" y="22"/>
                  <a:pt x="55" y="23"/>
                </a:cubicBezTo>
                <a:cubicBezTo>
                  <a:pt x="59" y="23"/>
                  <a:pt x="64" y="24"/>
                  <a:pt x="70" y="26"/>
                </a:cubicBezTo>
                <a:cubicBezTo>
                  <a:pt x="80" y="30"/>
                  <a:pt x="91" y="36"/>
                  <a:pt x="102" y="43"/>
                </a:cubicBezTo>
                <a:cubicBezTo>
                  <a:pt x="107" y="46"/>
                  <a:pt x="112" y="49"/>
                  <a:pt x="118" y="52"/>
                </a:cubicBezTo>
                <a:cubicBezTo>
                  <a:pt x="126" y="57"/>
                  <a:pt x="126" y="57"/>
                  <a:pt x="126" y="57"/>
                </a:cubicBezTo>
                <a:cubicBezTo>
                  <a:pt x="129" y="59"/>
                  <a:pt x="132" y="61"/>
                  <a:pt x="135" y="62"/>
                </a:cubicBezTo>
                <a:cubicBezTo>
                  <a:pt x="147" y="69"/>
                  <a:pt x="160" y="74"/>
                  <a:pt x="174" y="78"/>
                </a:cubicBezTo>
                <a:cubicBezTo>
                  <a:pt x="181" y="79"/>
                  <a:pt x="188" y="81"/>
                  <a:pt x="195" y="81"/>
                </a:cubicBezTo>
                <a:cubicBezTo>
                  <a:pt x="199" y="81"/>
                  <a:pt x="202" y="81"/>
                  <a:pt x="206" y="81"/>
                </a:cubicBezTo>
                <a:cubicBezTo>
                  <a:pt x="208" y="81"/>
                  <a:pt x="210" y="81"/>
                  <a:pt x="212" y="80"/>
                </a:cubicBezTo>
                <a:cubicBezTo>
                  <a:pt x="213" y="80"/>
                  <a:pt x="215" y="80"/>
                  <a:pt x="217" y="79"/>
                </a:cubicBezTo>
                <a:cubicBezTo>
                  <a:pt x="221" y="79"/>
                  <a:pt x="225" y="77"/>
                  <a:pt x="228" y="75"/>
                </a:cubicBezTo>
                <a:cubicBezTo>
                  <a:pt x="232" y="74"/>
                  <a:pt x="235" y="71"/>
                  <a:pt x="238" y="68"/>
                </a:cubicBezTo>
                <a:cubicBezTo>
                  <a:pt x="240" y="64"/>
                  <a:pt x="242" y="60"/>
                  <a:pt x="242" y="56"/>
                </a:cubicBezTo>
                <a:cubicBezTo>
                  <a:pt x="243" y="54"/>
                  <a:pt x="242" y="53"/>
                  <a:pt x="242"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 name="Freeform 26">
            <a:extLst>
              <a:ext uri="{FF2B5EF4-FFF2-40B4-BE49-F238E27FC236}">
                <a16:creationId xmlns:a16="http://schemas.microsoft.com/office/drawing/2014/main" id="{00000000-0008-0000-0300-00001B000000}"/>
              </a:ext>
            </a:extLst>
          </xdr:cNvPr>
          <xdr:cNvSpPr>
            <a:spLocks/>
          </xdr:cNvSpPr>
        </xdr:nvSpPr>
        <xdr:spPr bwMode="auto">
          <a:xfrm>
            <a:off x="2941638" y="2268538"/>
            <a:ext cx="361950" cy="171450"/>
          </a:xfrm>
          <a:custGeom>
            <a:avLst/>
            <a:gdLst>
              <a:gd name="T0" fmla="*/ 131 w 154"/>
              <a:gd name="T1" fmla="*/ 60 h 73"/>
              <a:gd name="T2" fmla="*/ 93 w 154"/>
              <a:gd name="T3" fmla="*/ 43 h 73"/>
              <a:gd name="T4" fmla="*/ 84 w 154"/>
              <a:gd name="T5" fmla="*/ 38 h 73"/>
              <a:gd name="T6" fmla="*/ 76 w 154"/>
              <a:gd name="T7" fmla="*/ 32 h 73"/>
              <a:gd name="T8" fmla="*/ 61 w 154"/>
              <a:gd name="T9" fmla="*/ 22 h 73"/>
              <a:gd name="T10" fmla="*/ 29 w 154"/>
              <a:gd name="T11" fmla="*/ 4 h 73"/>
              <a:gd name="T12" fmla="*/ 14 w 154"/>
              <a:gd name="T13" fmla="*/ 0 h 73"/>
              <a:gd name="T14" fmla="*/ 1 w 154"/>
              <a:gd name="T15" fmla="*/ 2 h 73"/>
              <a:gd name="T16" fmla="*/ 0 w 154"/>
              <a:gd name="T17" fmla="*/ 4 h 73"/>
              <a:gd name="T18" fmla="*/ 1 w 154"/>
              <a:gd name="T19" fmla="*/ 4 h 73"/>
              <a:gd name="T20" fmla="*/ 10 w 154"/>
              <a:gd name="T21" fmla="*/ 8 h 73"/>
              <a:gd name="T22" fmla="*/ 37 w 154"/>
              <a:gd name="T23" fmla="*/ 27 h 73"/>
              <a:gd name="T24" fmla="*/ 50 w 154"/>
              <a:gd name="T25" fmla="*/ 37 h 73"/>
              <a:gd name="T26" fmla="*/ 56 w 154"/>
              <a:gd name="T27" fmla="*/ 43 h 73"/>
              <a:gd name="T28" fmla="*/ 64 w 154"/>
              <a:gd name="T29" fmla="*/ 48 h 73"/>
              <a:gd name="T30" fmla="*/ 96 w 154"/>
              <a:gd name="T31" fmla="*/ 67 h 73"/>
              <a:gd name="T32" fmla="*/ 115 w 154"/>
              <a:gd name="T33" fmla="*/ 72 h 73"/>
              <a:gd name="T34" fmla="*/ 124 w 154"/>
              <a:gd name="T35" fmla="*/ 73 h 73"/>
              <a:gd name="T36" fmla="*/ 129 w 154"/>
              <a:gd name="T37" fmla="*/ 73 h 73"/>
              <a:gd name="T38" fmla="*/ 134 w 154"/>
              <a:gd name="T39" fmla="*/ 73 h 73"/>
              <a:gd name="T40" fmla="*/ 145 w 154"/>
              <a:gd name="T41" fmla="*/ 70 h 73"/>
              <a:gd name="T42" fmla="*/ 154 w 154"/>
              <a:gd name="T43" fmla="*/ 64 h 73"/>
              <a:gd name="T44" fmla="*/ 154 w 154"/>
              <a:gd name="T45" fmla="*/ 64 h 73"/>
              <a:gd name="T46" fmla="*/ 152 w 154"/>
              <a:gd name="T47" fmla="*/ 64 h 73"/>
              <a:gd name="T48" fmla="*/ 131 w 154"/>
              <a:gd name="T49" fmla="*/ 60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131" y="60"/>
                </a:moveTo>
                <a:cubicBezTo>
                  <a:pt x="117" y="56"/>
                  <a:pt x="105" y="50"/>
                  <a:pt x="93" y="43"/>
                </a:cubicBezTo>
                <a:cubicBezTo>
                  <a:pt x="90" y="41"/>
                  <a:pt x="87" y="39"/>
                  <a:pt x="84" y="38"/>
                </a:cubicBezTo>
                <a:cubicBezTo>
                  <a:pt x="76" y="32"/>
                  <a:pt x="76" y="32"/>
                  <a:pt x="76" y="32"/>
                </a:cubicBezTo>
                <a:cubicBezTo>
                  <a:pt x="71" y="29"/>
                  <a:pt x="66" y="25"/>
                  <a:pt x="61" y="22"/>
                </a:cubicBezTo>
                <a:cubicBezTo>
                  <a:pt x="50" y="15"/>
                  <a:pt x="40" y="9"/>
                  <a:pt x="29" y="4"/>
                </a:cubicBezTo>
                <a:cubicBezTo>
                  <a:pt x="24" y="2"/>
                  <a:pt x="19" y="1"/>
                  <a:pt x="14" y="0"/>
                </a:cubicBezTo>
                <a:cubicBezTo>
                  <a:pt x="9" y="0"/>
                  <a:pt x="5" y="0"/>
                  <a:pt x="1" y="2"/>
                </a:cubicBezTo>
                <a:cubicBezTo>
                  <a:pt x="1" y="3"/>
                  <a:pt x="0" y="3"/>
                  <a:pt x="0" y="4"/>
                </a:cubicBezTo>
                <a:cubicBezTo>
                  <a:pt x="0" y="4"/>
                  <a:pt x="0" y="4"/>
                  <a:pt x="1" y="4"/>
                </a:cubicBezTo>
                <a:cubicBezTo>
                  <a:pt x="4" y="5"/>
                  <a:pt x="7" y="7"/>
                  <a:pt x="10" y="8"/>
                </a:cubicBezTo>
                <a:cubicBezTo>
                  <a:pt x="18" y="13"/>
                  <a:pt x="26" y="18"/>
                  <a:pt x="37" y="27"/>
                </a:cubicBezTo>
                <a:cubicBezTo>
                  <a:pt x="41" y="30"/>
                  <a:pt x="45" y="34"/>
                  <a:pt x="50" y="37"/>
                </a:cubicBezTo>
                <a:cubicBezTo>
                  <a:pt x="56" y="43"/>
                  <a:pt x="56" y="43"/>
                  <a:pt x="56" y="43"/>
                </a:cubicBezTo>
                <a:cubicBezTo>
                  <a:pt x="59" y="45"/>
                  <a:pt x="61" y="46"/>
                  <a:pt x="64" y="48"/>
                </a:cubicBezTo>
                <a:cubicBezTo>
                  <a:pt x="73" y="55"/>
                  <a:pt x="84" y="62"/>
                  <a:pt x="96" y="67"/>
                </a:cubicBezTo>
                <a:cubicBezTo>
                  <a:pt x="102" y="69"/>
                  <a:pt x="108" y="71"/>
                  <a:pt x="115" y="72"/>
                </a:cubicBezTo>
                <a:cubicBezTo>
                  <a:pt x="118" y="72"/>
                  <a:pt x="121" y="73"/>
                  <a:pt x="124" y="73"/>
                </a:cubicBezTo>
                <a:cubicBezTo>
                  <a:pt x="126" y="73"/>
                  <a:pt x="128" y="73"/>
                  <a:pt x="129" y="73"/>
                </a:cubicBezTo>
                <a:cubicBezTo>
                  <a:pt x="131" y="73"/>
                  <a:pt x="133" y="73"/>
                  <a:pt x="134" y="73"/>
                </a:cubicBezTo>
                <a:cubicBezTo>
                  <a:pt x="138" y="73"/>
                  <a:pt x="141" y="72"/>
                  <a:pt x="145" y="70"/>
                </a:cubicBezTo>
                <a:cubicBezTo>
                  <a:pt x="148" y="69"/>
                  <a:pt x="151" y="67"/>
                  <a:pt x="154" y="64"/>
                </a:cubicBezTo>
                <a:cubicBezTo>
                  <a:pt x="154" y="64"/>
                  <a:pt x="154" y="64"/>
                  <a:pt x="154" y="64"/>
                </a:cubicBezTo>
                <a:cubicBezTo>
                  <a:pt x="153" y="64"/>
                  <a:pt x="153" y="64"/>
                  <a:pt x="152" y="64"/>
                </a:cubicBezTo>
                <a:cubicBezTo>
                  <a:pt x="145" y="63"/>
                  <a:pt x="138" y="62"/>
                  <a:pt x="131" y="6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27">
            <a:extLst>
              <a:ext uri="{FF2B5EF4-FFF2-40B4-BE49-F238E27FC236}">
                <a16:creationId xmlns:a16="http://schemas.microsoft.com/office/drawing/2014/main" id="{00000000-0008-0000-0300-00001C000000}"/>
              </a:ext>
            </a:extLst>
          </xdr:cNvPr>
          <xdr:cNvSpPr>
            <a:spLocks/>
          </xdr:cNvSpPr>
        </xdr:nvSpPr>
        <xdr:spPr bwMode="auto">
          <a:xfrm>
            <a:off x="2928938" y="2281238"/>
            <a:ext cx="285750" cy="188913"/>
          </a:xfrm>
          <a:custGeom>
            <a:avLst/>
            <a:gdLst>
              <a:gd name="T0" fmla="*/ 102 w 122"/>
              <a:gd name="T1" fmla="*/ 68 h 80"/>
              <a:gd name="T2" fmla="*/ 71 w 122"/>
              <a:gd name="T3" fmla="*/ 49 h 80"/>
              <a:gd name="T4" fmla="*/ 64 w 122"/>
              <a:gd name="T5" fmla="*/ 43 h 80"/>
              <a:gd name="T6" fmla="*/ 57 w 122"/>
              <a:gd name="T7" fmla="*/ 37 h 80"/>
              <a:gd name="T8" fmla="*/ 44 w 122"/>
              <a:gd name="T9" fmla="*/ 26 h 80"/>
              <a:gd name="T10" fmla="*/ 19 w 122"/>
              <a:gd name="T11" fmla="*/ 7 h 80"/>
              <a:gd name="T12" fmla="*/ 6 w 122"/>
              <a:gd name="T13" fmla="*/ 1 h 80"/>
              <a:gd name="T14" fmla="*/ 2 w 122"/>
              <a:gd name="T15" fmla="*/ 0 h 80"/>
              <a:gd name="T16" fmla="*/ 2 w 122"/>
              <a:gd name="T17" fmla="*/ 1 h 80"/>
              <a:gd name="T18" fmla="*/ 1 w 122"/>
              <a:gd name="T19" fmla="*/ 3 h 80"/>
              <a:gd name="T20" fmla="*/ 0 w 122"/>
              <a:gd name="T21" fmla="*/ 7 h 80"/>
              <a:gd name="T22" fmla="*/ 1 w 122"/>
              <a:gd name="T23" fmla="*/ 8 h 80"/>
              <a:gd name="T24" fmla="*/ 23 w 122"/>
              <a:gd name="T25" fmla="*/ 28 h 80"/>
              <a:gd name="T26" fmla="*/ 33 w 122"/>
              <a:gd name="T27" fmla="*/ 39 h 80"/>
              <a:gd name="T28" fmla="*/ 39 w 122"/>
              <a:gd name="T29" fmla="*/ 44 h 80"/>
              <a:gd name="T30" fmla="*/ 44 w 122"/>
              <a:gd name="T31" fmla="*/ 50 h 80"/>
              <a:gd name="T32" fmla="*/ 71 w 122"/>
              <a:gd name="T33" fmla="*/ 71 h 80"/>
              <a:gd name="T34" fmla="*/ 87 w 122"/>
              <a:gd name="T35" fmla="*/ 77 h 80"/>
              <a:gd name="T36" fmla="*/ 95 w 122"/>
              <a:gd name="T37" fmla="*/ 79 h 80"/>
              <a:gd name="T38" fmla="*/ 99 w 122"/>
              <a:gd name="T39" fmla="*/ 80 h 80"/>
              <a:gd name="T40" fmla="*/ 104 w 122"/>
              <a:gd name="T41" fmla="*/ 80 h 80"/>
              <a:gd name="T42" fmla="*/ 113 w 122"/>
              <a:gd name="T43" fmla="*/ 79 h 80"/>
              <a:gd name="T44" fmla="*/ 122 w 122"/>
              <a:gd name="T45" fmla="*/ 75 h 80"/>
              <a:gd name="T46" fmla="*/ 122 w 122"/>
              <a:gd name="T47" fmla="*/ 75 h 80"/>
              <a:gd name="T48" fmla="*/ 122 w 122"/>
              <a:gd name="T49" fmla="*/ 75 h 80"/>
              <a:gd name="T50" fmla="*/ 121 w 122"/>
              <a:gd name="T51" fmla="*/ 74 h 80"/>
              <a:gd name="T52" fmla="*/ 102 w 122"/>
              <a:gd name="T53" fmla="*/ 68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102" y="68"/>
                </a:moveTo>
                <a:cubicBezTo>
                  <a:pt x="91" y="63"/>
                  <a:pt x="80" y="56"/>
                  <a:pt x="71" y="49"/>
                </a:cubicBezTo>
                <a:cubicBezTo>
                  <a:pt x="68" y="47"/>
                  <a:pt x="66" y="45"/>
                  <a:pt x="64" y="43"/>
                </a:cubicBezTo>
                <a:cubicBezTo>
                  <a:pt x="57" y="37"/>
                  <a:pt x="57" y="37"/>
                  <a:pt x="57" y="37"/>
                </a:cubicBezTo>
                <a:cubicBezTo>
                  <a:pt x="53" y="33"/>
                  <a:pt x="49" y="29"/>
                  <a:pt x="44" y="26"/>
                </a:cubicBezTo>
                <a:cubicBezTo>
                  <a:pt x="36" y="19"/>
                  <a:pt x="27" y="12"/>
                  <a:pt x="19" y="7"/>
                </a:cubicBezTo>
                <a:cubicBezTo>
                  <a:pt x="14" y="4"/>
                  <a:pt x="10" y="2"/>
                  <a:pt x="6" y="1"/>
                </a:cubicBezTo>
                <a:cubicBezTo>
                  <a:pt x="5" y="1"/>
                  <a:pt x="4" y="1"/>
                  <a:pt x="2" y="0"/>
                </a:cubicBezTo>
                <a:cubicBezTo>
                  <a:pt x="2" y="0"/>
                  <a:pt x="2" y="1"/>
                  <a:pt x="2" y="1"/>
                </a:cubicBezTo>
                <a:cubicBezTo>
                  <a:pt x="2" y="1"/>
                  <a:pt x="1" y="2"/>
                  <a:pt x="1" y="3"/>
                </a:cubicBezTo>
                <a:cubicBezTo>
                  <a:pt x="0" y="4"/>
                  <a:pt x="0" y="6"/>
                  <a:pt x="0" y="7"/>
                </a:cubicBezTo>
                <a:cubicBezTo>
                  <a:pt x="0" y="7"/>
                  <a:pt x="1" y="8"/>
                  <a:pt x="1" y="8"/>
                </a:cubicBezTo>
                <a:cubicBezTo>
                  <a:pt x="9" y="13"/>
                  <a:pt x="16" y="20"/>
                  <a:pt x="23" y="28"/>
                </a:cubicBezTo>
                <a:cubicBezTo>
                  <a:pt x="26" y="31"/>
                  <a:pt x="30" y="35"/>
                  <a:pt x="33" y="39"/>
                </a:cubicBezTo>
                <a:cubicBezTo>
                  <a:pt x="39" y="44"/>
                  <a:pt x="39" y="44"/>
                  <a:pt x="39" y="44"/>
                </a:cubicBezTo>
                <a:cubicBezTo>
                  <a:pt x="40" y="46"/>
                  <a:pt x="42" y="48"/>
                  <a:pt x="44" y="50"/>
                </a:cubicBezTo>
                <a:cubicBezTo>
                  <a:pt x="52" y="58"/>
                  <a:pt x="61" y="65"/>
                  <a:pt x="71" y="71"/>
                </a:cubicBezTo>
                <a:cubicBezTo>
                  <a:pt x="76" y="73"/>
                  <a:pt x="81" y="76"/>
                  <a:pt x="87" y="77"/>
                </a:cubicBezTo>
                <a:cubicBezTo>
                  <a:pt x="89" y="78"/>
                  <a:pt x="92" y="79"/>
                  <a:pt x="95" y="79"/>
                </a:cubicBezTo>
                <a:cubicBezTo>
                  <a:pt x="97" y="80"/>
                  <a:pt x="98" y="80"/>
                  <a:pt x="99" y="80"/>
                </a:cubicBezTo>
                <a:cubicBezTo>
                  <a:pt x="101" y="80"/>
                  <a:pt x="102" y="80"/>
                  <a:pt x="104" y="80"/>
                </a:cubicBezTo>
                <a:cubicBezTo>
                  <a:pt x="107" y="80"/>
                  <a:pt x="110" y="80"/>
                  <a:pt x="113" y="79"/>
                </a:cubicBezTo>
                <a:cubicBezTo>
                  <a:pt x="117" y="78"/>
                  <a:pt x="120" y="76"/>
                  <a:pt x="122" y="75"/>
                </a:cubicBezTo>
                <a:cubicBezTo>
                  <a:pt x="122" y="75"/>
                  <a:pt x="122" y="75"/>
                  <a:pt x="122" y="75"/>
                </a:cubicBezTo>
                <a:cubicBezTo>
                  <a:pt x="122" y="75"/>
                  <a:pt x="122" y="75"/>
                  <a:pt x="122" y="75"/>
                </a:cubicBezTo>
                <a:cubicBezTo>
                  <a:pt x="122" y="75"/>
                  <a:pt x="121" y="74"/>
                  <a:pt x="121" y="74"/>
                </a:cubicBezTo>
                <a:cubicBezTo>
                  <a:pt x="114" y="73"/>
                  <a:pt x="108" y="71"/>
                  <a:pt x="102"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 name="Freeform 28">
            <a:extLst>
              <a:ext uri="{FF2B5EF4-FFF2-40B4-BE49-F238E27FC236}">
                <a16:creationId xmlns:a16="http://schemas.microsoft.com/office/drawing/2014/main" id="{00000000-0008-0000-0300-00001D000000}"/>
              </a:ext>
            </a:extLst>
          </xdr:cNvPr>
          <xdr:cNvSpPr>
            <a:spLocks/>
          </xdr:cNvSpPr>
        </xdr:nvSpPr>
        <xdr:spPr bwMode="auto">
          <a:xfrm>
            <a:off x="2919413" y="2303463"/>
            <a:ext cx="212725" cy="187325"/>
          </a:xfrm>
          <a:custGeom>
            <a:avLst/>
            <a:gdLst>
              <a:gd name="T0" fmla="*/ 74 w 91"/>
              <a:gd name="T1" fmla="*/ 69 h 80"/>
              <a:gd name="T2" fmla="*/ 48 w 91"/>
              <a:gd name="T3" fmla="*/ 47 h 80"/>
              <a:gd name="T4" fmla="*/ 43 w 91"/>
              <a:gd name="T5" fmla="*/ 41 h 80"/>
              <a:gd name="T6" fmla="*/ 38 w 91"/>
              <a:gd name="T7" fmla="*/ 35 h 80"/>
              <a:gd name="T8" fmla="*/ 28 w 91"/>
              <a:gd name="T9" fmla="*/ 24 h 80"/>
              <a:gd name="T10" fmla="*/ 7 w 91"/>
              <a:gd name="T11" fmla="*/ 3 h 80"/>
              <a:gd name="T12" fmla="*/ 2 w 91"/>
              <a:gd name="T13" fmla="*/ 0 h 80"/>
              <a:gd name="T14" fmla="*/ 1 w 91"/>
              <a:gd name="T15" fmla="*/ 6 h 80"/>
              <a:gd name="T16" fmla="*/ 0 w 91"/>
              <a:gd name="T17" fmla="*/ 11 h 80"/>
              <a:gd name="T18" fmla="*/ 8 w 91"/>
              <a:gd name="T19" fmla="*/ 23 h 80"/>
              <a:gd name="T20" fmla="*/ 16 w 91"/>
              <a:gd name="T21" fmla="*/ 34 h 80"/>
              <a:gd name="T22" fmla="*/ 20 w 91"/>
              <a:gd name="T23" fmla="*/ 40 h 80"/>
              <a:gd name="T24" fmla="*/ 25 w 91"/>
              <a:gd name="T25" fmla="*/ 46 h 80"/>
              <a:gd name="T26" fmla="*/ 46 w 91"/>
              <a:gd name="T27" fmla="*/ 67 h 80"/>
              <a:gd name="T28" fmla="*/ 59 w 91"/>
              <a:gd name="T29" fmla="*/ 75 h 80"/>
              <a:gd name="T30" fmla="*/ 67 w 91"/>
              <a:gd name="T31" fmla="*/ 78 h 80"/>
              <a:gd name="T32" fmla="*/ 70 w 91"/>
              <a:gd name="T33" fmla="*/ 79 h 80"/>
              <a:gd name="T34" fmla="*/ 74 w 91"/>
              <a:gd name="T35" fmla="*/ 80 h 80"/>
              <a:gd name="T36" fmla="*/ 83 w 91"/>
              <a:gd name="T37" fmla="*/ 80 h 80"/>
              <a:gd name="T38" fmla="*/ 91 w 91"/>
              <a:gd name="T39" fmla="*/ 77 h 80"/>
              <a:gd name="T40" fmla="*/ 91 w 91"/>
              <a:gd name="T41" fmla="*/ 77 h 80"/>
              <a:gd name="T42" fmla="*/ 90 w 91"/>
              <a:gd name="T43" fmla="*/ 76 h 80"/>
              <a:gd name="T44" fmla="*/ 74 w 91"/>
              <a:gd name="T45" fmla="*/ 69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74" y="69"/>
                </a:moveTo>
                <a:cubicBezTo>
                  <a:pt x="64" y="63"/>
                  <a:pt x="56" y="55"/>
                  <a:pt x="48" y="47"/>
                </a:cubicBezTo>
                <a:cubicBezTo>
                  <a:pt x="47" y="45"/>
                  <a:pt x="45" y="43"/>
                  <a:pt x="43" y="41"/>
                </a:cubicBezTo>
                <a:cubicBezTo>
                  <a:pt x="38" y="35"/>
                  <a:pt x="38" y="35"/>
                  <a:pt x="38" y="35"/>
                </a:cubicBezTo>
                <a:cubicBezTo>
                  <a:pt x="34" y="31"/>
                  <a:pt x="31" y="27"/>
                  <a:pt x="28" y="24"/>
                </a:cubicBezTo>
                <a:cubicBezTo>
                  <a:pt x="21" y="16"/>
                  <a:pt x="14" y="9"/>
                  <a:pt x="7" y="3"/>
                </a:cubicBezTo>
                <a:cubicBezTo>
                  <a:pt x="6" y="2"/>
                  <a:pt x="4" y="1"/>
                  <a:pt x="2" y="0"/>
                </a:cubicBezTo>
                <a:cubicBezTo>
                  <a:pt x="2" y="2"/>
                  <a:pt x="1" y="4"/>
                  <a:pt x="1" y="6"/>
                </a:cubicBezTo>
                <a:cubicBezTo>
                  <a:pt x="0" y="8"/>
                  <a:pt x="0" y="10"/>
                  <a:pt x="0" y="11"/>
                </a:cubicBezTo>
                <a:cubicBezTo>
                  <a:pt x="3" y="15"/>
                  <a:pt x="6" y="19"/>
                  <a:pt x="8" y="23"/>
                </a:cubicBezTo>
                <a:cubicBezTo>
                  <a:pt x="11" y="26"/>
                  <a:pt x="14" y="30"/>
                  <a:pt x="16" y="34"/>
                </a:cubicBezTo>
                <a:cubicBezTo>
                  <a:pt x="20" y="40"/>
                  <a:pt x="20" y="40"/>
                  <a:pt x="20" y="40"/>
                </a:cubicBezTo>
                <a:cubicBezTo>
                  <a:pt x="22" y="42"/>
                  <a:pt x="23" y="44"/>
                  <a:pt x="25" y="46"/>
                </a:cubicBezTo>
                <a:cubicBezTo>
                  <a:pt x="31" y="54"/>
                  <a:pt x="38" y="61"/>
                  <a:pt x="46" y="67"/>
                </a:cubicBezTo>
                <a:cubicBezTo>
                  <a:pt x="50" y="70"/>
                  <a:pt x="55" y="73"/>
                  <a:pt x="59" y="75"/>
                </a:cubicBezTo>
                <a:cubicBezTo>
                  <a:pt x="62" y="76"/>
                  <a:pt x="64" y="77"/>
                  <a:pt x="67" y="78"/>
                </a:cubicBezTo>
                <a:cubicBezTo>
                  <a:pt x="68" y="78"/>
                  <a:pt x="69" y="79"/>
                  <a:pt x="70" y="79"/>
                </a:cubicBezTo>
                <a:cubicBezTo>
                  <a:pt x="72" y="79"/>
                  <a:pt x="73" y="80"/>
                  <a:pt x="74" y="80"/>
                </a:cubicBezTo>
                <a:cubicBezTo>
                  <a:pt x="77" y="80"/>
                  <a:pt x="80" y="80"/>
                  <a:pt x="83" y="80"/>
                </a:cubicBezTo>
                <a:cubicBezTo>
                  <a:pt x="85" y="79"/>
                  <a:pt x="88" y="78"/>
                  <a:pt x="91" y="77"/>
                </a:cubicBezTo>
                <a:cubicBezTo>
                  <a:pt x="91" y="77"/>
                  <a:pt x="91" y="77"/>
                  <a:pt x="91" y="77"/>
                </a:cubicBezTo>
                <a:cubicBezTo>
                  <a:pt x="91" y="76"/>
                  <a:pt x="90" y="76"/>
                  <a:pt x="90" y="76"/>
                </a:cubicBezTo>
                <a:cubicBezTo>
                  <a:pt x="84" y="74"/>
                  <a:pt x="79" y="72"/>
                  <a:pt x="74" y="6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 name="Freeform 29">
            <a:extLst>
              <a:ext uri="{FF2B5EF4-FFF2-40B4-BE49-F238E27FC236}">
                <a16:creationId xmlns:a16="http://schemas.microsoft.com/office/drawing/2014/main" id="{00000000-0008-0000-0300-00001E000000}"/>
              </a:ext>
            </a:extLst>
          </xdr:cNvPr>
          <xdr:cNvSpPr>
            <a:spLocks/>
          </xdr:cNvSpPr>
        </xdr:nvSpPr>
        <xdr:spPr bwMode="auto">
          <a:xfrm>
            <a:off x="2905125" y="2336800"/>
            <a:ext cx="152400" cy="166688"/>
          </a:xfrm>
          <a:custGeom>
            <a:avLst/>
            <a:gdLst>
              <a:gd name="T0" fmla="*/ 64 w 65"/>
              <a:gd name="T1" fmla="*/ 68 h 71"/>
              <a:gd name="T2" fmla="*/ 51 w 65"/>
              <a:gd name="T3" fmla="*/ 60 h 71"/>
              <a:gd name="T4" fmla="*/ 30 w 65"/>
              <a:gd name="T5" fmla="*/ 37 h 71"/>
              <a:gd name="T6" fmla="*/ 26 w 65"/>
              <a:gd name="T7" fmla="*/ 31 h 71"/>
              <a:gd name="T8" fmla="*/ 22 w 65"/>
              <a:gd name="T9" fmla="*/ 25 h 71"/>
              <a:gd name="T10" fmla="*/ 15 w 65"/>
              <a:gd name="T11" fmla="*/ 13 h 71"/>
              <a:gd name="T12" fmla="*/ 5 w 65"/>
              <a:gd name="T13" fmla="*/ 0 h 71"/>
              <a:gd name="T14" fmla="*/ 5 w 65"/>
              <a:gd name="T15" fmla="*/ 2 h 71"/>
              <a:gd name="T16" fmla="*/ 1 w 65"/>
              <a:gd name="T17" fmla="*/ 12 h 71"/>
              <a:gd name="T18" fmla="*/ 0 w 65"/>
              <a:gd name="T19" fmla="*/ 14 h 71"/>
              <a:gd name="T20" fmla="*/ 4 w 65"/>
              <a:gd name="T21" fmla="*/ 22 h 71"/>
              <a:gd name="T22" fmla="*/ 7 w 65"/>
              <a:gd name="T23" fmla="*/ 27 h 71"/>
              <a:gd name="T24" fmla="*/ 10 w 65"/>
              <a:gd name="T25" fmla="*/ 33 h 71"/>
              <a:gd name="T26" fmla="*/ 26 w 65"/>
              <a:gd name="T27" fmla="*/ 55 h 71"/>
              <a:gd name="T28" fmla="*/ 37 w 65"/>
              <a:gd name="T29" fmla="*/ 64 h 71"/>
              <a:gd name="T30" fmla="*/ 43 w 65"/>
              <a:gd name="T31" fmla="*/ 67 h 71"/>
              <a:gd name="T32" fmla="*/ 46 w 65"/>
              <a:gd name="T33" fmla="*/ 69 h 71"/>
              <a:gd name="T34" fmla="*/ 49 w 65"/>
              <a:gd name="T35" fmla="*/ 70 h 71"/>
              <a:gd name="T36" fmla="*/ 57 w 65"/>
              <a:gd name="T37" fmla="*/ 71 h 71"/>
              <a:gd name="T38" fmla="*/ 65 w 65"/>
              <a:gd name="T39" fmla="*/ 69 h 71"/>
              <a:gd name="T40" fmla="*/ 64 w 65"/>
              <a:gd name="T41" fmla="*/ 68 h 71"/>
              <a:gd name="T42" fmla="*/ 64 w 65"/>
              <a:gd name="T43" fmla="*/ 68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5" h="71">
                <a:moveTo>
                  <a:pt x="64" y="68"/>
                </a:moveTo>
                <a:cubicBezTo>
                  <a:pt x="59" y="66"/>
                  <a:pt x="55" y="63"/>
                  <a:pt x="51" y="60"/>
                </a:cubicBezTo>
                <a:cubicBezTo>
                  <a:pt x="43" y="53"/>
                  <a:pt x="36" y="45"/>
                  <a:pt x="30" y="37"/>
                </a:cubicBezTo>
                <a:cubicBezTo>
                  <a:pt x="29" y="35"/>
                  <a:pt x="28" y="33"/>
                  <a:pt x="26" y="31"/>
                </a:cubicBezTo>
                <a:cubicBezTo>
                  <a:pt x="22" y="25"/>
                  <a:pt x="22" y="25"/>
                  <a:pt x="22" y="25"/>
                </a:cubicBezTo>
                <a:cubicBezTo>
                  <a:pt x="20" y="21"/>
                  <a:pt x="17" y="17"/>
                  <a:pt x="15" y="13"/>
                </a:cubicBezTo>
                <a:cubicBezTo>
                  <a:pt x="12" y="9"/>
                  <a:pt x="8" y="4"/>
                  <a:pt x="5" y="0"/>
                </a:cubicBezTo>
                <a:cubicBezTo>
                  <a:pt x="5" y="1"/>
                  <a:pt x="5" y="1"/>
                  <a:pt x="5" y="2"/>
                </a:cubicBezTo>
                <a:cubicBezTo>
                  <a:pt x="4" y="5"/>
                  <a:pt x="3" y="9"/>
                  <a:pt x="1" y="12"/>
                </a:cubicBezTo>
                <a:cubicBezTo>
                  <a:pt x="1" y="13"/>
                  <a:pt x="0" y="14"/>
                  <a:pt x="0" y="14"/>
                </a:cubicBezTo>
                <a:cubicBezTo>
                  <a:pt x="1" y="17"/>
                  <a:pt x="2" y="19"/>
                  <a:pt x="4" y="22"/>
                </a:cubicBezTo>
                <a:cubicBezTo>
                  <a:pt x="7" y="27"/>
                  <a:pt x="7" y="27"/>
                  <a:pt x="7" y="27"/>
                </a:cubicBezTo>
                <a:cubicBezTo>
                  <a:pt x="8" y="29"/>
                  <a:pt x="9" y="31"/>
                  <a:pt x="10" y="33"/>
                </a:cubicBezTo>
                <a:cubicBezTo>
                  <a:pt x="14" y="41"/>
                  <a:pt x="20" y="49"/>
                  <a:pt x="26" y="55"/>
                </a:cubicBezTo>
                <a:cubicBezTo>
                  <a:pt x="29" y="58"/>
                  <a:pt x="33" y="61"/>
                  <a:pt x="37" y="64"/>
                </a:cubicBezTo>
                <a:cubicBezTo>
                  <a:pt x="39" y="65"/>
                  <a:pt x="41" y="66"/>
                  <a:pt x="43" y="67"/>
                </a:cubicBezTo>
                <a:cubicBezTo>
                  <a:pt x="44" y="68"/>
                  <a:pt x="45" y="68"/>
                  <a:pt x="46" y="69"/>
                </a:cubicBezTo>
                <a:cubicBezTo>
                  <a:pt x="47" y="69"/>
                  <a:pt x="48" y="70"/>
                  <a:pt x="49" y="70"/>
                </a:cubicBezTo>
                <a:cubicBezTo>
                  <a:pt x="52" y="70"/>
                  <a:pt x="54" y="71"/>
                  <a:pt x="57" y="71"/>
                </a:cubicBezTo>
                <a:cubicBezTo>
                  <a:pt x="59" y="71"/>
                  <a:pt x="62" y="70"/>
                  <a:pt x="65" y="69"/>
                </a:cubicBezTo>
                <a:cubicBezTo>
                  <a:pt x="64" y="69"/>
                  <a:pt x="64" y="68"/>
                  <a:pt x="64" y="68"/>
                </a:cubicBezTo>
                <a:cubicBezTo>
                  <a:pt x="64" y="68"/>
                  <a:pt x="64" y="68"/>
                  <a:pt x="64"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 name="Freeform 30">
            <a:extLst>
              <a:ext uri="{FF2B5EF4-FFF2-40B4-BE49-F238E27FC236}">
                <a16:creationId xmlns:a16="http://schemas.microsoft.com/office/drawing/2014/main" id="{00000000-0008-0000-0300-00001F000000}"/>
              </a:ext>
            </a:extLst>
          </xdr:cNvPr>
          <xdr:cNvSpPr>
            <a:spLocks/>
          </xdr:cNvSpPr>
        </xdr:nvSpPr>
        <xdr:spPr bwMode="auto">
          <a:xfrm>
            <a:off x="2873375" y="2376488"/>
            <a:ext cx="115888" cy="128588"/>
          </a:xfrm>
          <a:custGeom>
            <a:avLst/>
            <a:gdLst>
              <a:gd name="T0" fmla="*/ 4 w 49"/>
              <a:gd name="T1" fmla="*/ 16 h 55"/>
              <a:gd name="T2" fmla="*/ 16 w 49"/>
              <a:gd name="T3" fmla="*/ 37 h 55"/>
              <a:gd name="T4" fmla="*/ 24 w 49"/>
              <a:gd name="T5" fmla="*/ 46 h 55"/>
              <a:gd name="T6" fmla="*/ 29 w 49"/>
              <a:gd name="T7" fmla="*/ 50 h 55"/>
              <a:gd name="T8" fmla="*/ 32 w 49"/>
              <a:gd name="T9" fmla="*/ 52 h 55"/>
              <a:gd name="T10" fmla="*/ 35 w 49"/>
              <a:gd name="T11" fmla="*/ 53 h 55"/>
              <a:gd name="T12" fmla="*/ 41 w 49"/>
              <a:gd name="T13" fmla="*/ 55 h 55"/>
              <a:gd name="T14" fmla="*/ 49 w 49"/>
              <a:gd name="T15" fmla="*/ 54 h 55"/>
              <a:gd name="T16" fmla="*/ 49 w 49"/>
              <a:gd name="T17" fmla="*/ 54 h 55"/>
              <a:gd name="T18" fmla="*/ 48 w 49"/>
              <a:gd name="T19" fmla="*/ 53 h 55"/>
              <a:gd name="T20" fmla="*/ 37 w 49"/>
              <a:gd name="T21" fmla="*/ 44 h 55"/>
              <a:gd name="T22" fmla="*/ 22 w 49"/>
              <a:gd name="T23" fmla="*/ 21 h 55"/>
              <a:gd name="T24" fmla="*/ 19 w 49"/>
              <a:gd name="T25" fmla="*/ 15 h 55"/>
              <a:gd name="T26" fmla="*/ 16 w 49"/>
              <a:gd name="T27" fmla="*/ 9 h 55"/>
              <a:gd name="T28" fmla="*/ 11 w 49"/>
              <a:gd name="T29" fmla="*/ 0 h 55"/>
              <a:gd name="T30" fmla="*/ 11 w 49"/>
              <a:gd name="T31" fmla="*/ 0 h 55"/>
              <a:gd name="T32" fmla="*/ 6 w 49"/>
              <a:gd name="T33" fmla="*/ 4 h 55"/>
              <a:gd name="T34" fmla="*/ 0 w 49"/>
              <a:gd name="T35" fmla="*/ 6 h 55"/>
              <a:gd name="T36" fmla="*/ 2 w 49"/>
              <a:gd name="T37" fmla="*/ 10 h 55"/>
              <a:gd name="T38" fmla="*/ 4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 y="16"/>
                </a:moveTo>
                <a:cubicBezTo>
                  <a:pt x="7" y="23"/>
                  <a:pt x="11" y="31"/>
                  <a:pt x="16" y="37"/>
                </a:cubicBezTo>
                <a:cubicBezTo>
                  <a:pt x="18" y="41"/>
                  <a:pt x="21" y="44"/>
                  <a:pt x="24" y="46"/>
                </a:cubicBezTo>
                <a:cubicBezTo>
                  <a:pt x="26" y="48"/>
                  <a:pt x="28" y="49"/>
                  <a:pt x="29" y="50"/>
                </a:cubicBezTo>
                <a:cubicBezTo>
                  <a:pt x="30" y="51"/>
                  <a:pt x="31" y="51"/>
                  <a:pt x="32" y="52"/>
                </a:cubicBezTo>
                <a:cubicBezTo>
                  <a:pt x="33" y="52"/>
                  <a:pt x="34" y="53"/>
                  <a:pt x="35" y="53"/>
                </a:cubicBezTo>
                <a:cubicBezTo>
                  <a:pt x="37" y="54"/>
                  <a:pt x="39" y="55"/>
                  <a:pt x="41" y="55"/>
                </a:cubicBezTo>
                <a:cubicBezTo>
                  <a:pt x="44" y="55"/>
                  <a:pt x="46" y="55"/>
                  <a:pt x="49" y="54"/>
                </a:cubicBezTo>
                <a:cubicBezTo>
                  <a:pt x="49" y="54"/>
                  <a:pt x="49" y="54"/>
                  <a:pt x="49" y="54"/>
                </a:cubicBezTo>
                <a:cubicBezTo>
                  <a:pt x="48" y="54"/>
                  <a:pt x="48" y="53"/>
                  <a:pt x="48" y="53"/>
                </a:cubicBezTo>
                <a:cubicBezTo>
                  <a:pt x="44" y="50"/>
                  <a:pt x="40" y="47"/>
                  <a:pt x="37" y="44"/>
                </a:cubicBezTo>
                <a:cubicBezTo>
                  <a:pt x="31" y="37"/>
                  <a:pt x="26" y="29"/>
                  <a:pt x="22" y="21"/>
                </a:cubicBezTo>
                <a:cubicBezTo>
                  <a:pt x="21" y="19"/>
                  <a:pt x="20" y="17"/>
                  <a:pt x="19" y="15"/>
                </a:cubicBezTo>
                <a:cubicBezTo>
                  <a:pt x="16" y="9"/>
                  <a:pt x="16" y="9"/>
                  <a:pt x="16" y="9"/>
                </a:cubicBezTo>
                <a:cubicBezTo>
                  <a:pt x="14" y="6"/>
                  <a:pt x="13" y="3"/>
                  <a:pt x="11" y="0"/>
                </a:cubicBezTo>
                <a:cubicBezTo>
                  <a:pt x="11" y="0"/>
                  <a:pt x="11" y="0"/>
                  <a:pt x="11" y="0"/>
                </a:cubicBezTo>
                <a:cubicBezTo>
                  <a:pt x="10" y="2"/>
                  <a:pt x="8" y="3"/>
                  <a:pt x="6" y="4"/>
                </a:cubicBezTo>
                <a:cubicBezTo>
                  <a:pt x="4" y="5"/>
                  <a:pt x="2" y="5"/>
                  <a:pt x="0" y="6"/>
                </a:cubicBezTo>
                <a:cubicBezTo>
                  <a:pt x="2" y="10"/>
                  <a:pt x="2" y="10"/>
                  <a:pt x="2" y="10"/>
                </a:cubicBezTo>
                <a:cubicBezTo>
                  <a:pt x="2" y="12"/>
                  <a:pt x="3" y="14"/>
                  <a:pt x="4"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2838450" y="2381250"/>
            <a:ext cx="90488" cy="119063"/>
          </a:xfrm>
          <a:custGeom>
            <a:avLst/>
            <a:gdLst>
              <a:gd name="T0" fmla="*/ 13 w 38"/>
              <a:gd name="T1" fmla="*/ 4 h 51"/>
              <a:gd name="T2" fmla="*/ 11 w 38"/>
              <a:gd name="T3" fmla="*/ 4 h 51"/>
              <a:gd name="T4" fmla="*/ 2 w 38"/>
              <a:gd name="T5" fmla="*/ 2 h 51"/>
              <a:gd name="T6" fmla="*/ 0 w 38"/>
              <a:gd name="T7" fmla="*/ 0 h 51"/>
              <a:gd name="T8" fmla="*/ 1 w 38"/>
              <a:gd name="T9" fmla="*/ 5 h 51"/>
              <a:gd name="T10" fmla="*/ 2 w 38"/>
              <a:gd name="T11" fmla="*/ 11 h 51"/>
              <a:gd name="T12" fmla="*/ 11 w 38"/>
              <a:gd name="T13" fmla="*/ 32 h 51"/>
              <a:gd name="T14" fmla="*/ 17 w 38"/>
              <a:gd name="T15" fmla="*/ 41 h 51"/>
              <a:gd name="T16" fmla="*/ 21 w 38"/>
              <a:gd name="T17" fmla="*/ 45 h 51"/>
              <a:gd name="T18" fmla="*/ 23 w 38"/>
              <a:gd name="T19" fmla="*/ 47 h 51"/>
              <a:gd name="T20" fmla="*/ 26 w 38"/>
              <a:gd name="T21" fmla="*/ 48 h 51"/>
              <a:gd name="T22" fmla="*/ 31 w 38"/>
              <a:gd name="T23" fmla="*/ 51 h 51"/>
              <a:gd name="T24" fmla="*/ 37 w 38"/>
              <a:gd name="T25" fmla="*/ 51 h 51"/>
              <a:gd name="T26" fmla="*/ 38 w 38"/>
              <a:gd name="T27" fmla="*/ 51 h 51"/>
              <a:gd name="T28" fmla="*/ 37 w 38"/>
              <a:gd name="T29" fmla="*/ 50 h 51"/>
              <a:gd name="T30" fmla="*/ 29 w 38"/>
              <a:gd name="T31" fmla="*/ 40 h 51"/>
              <a:gd name="T32" fmla="*/ 17 w 38"/>
              <a:gd name="T33" fmla="*/ 18 h 51"/>
              <a:gd name="T34" fmla="*/ 15 w 38"/>
              <a:gd name="T35" fmla="*/ 12 h 51"/>
              <a:gd name="T36" fmla="*/ 14 w 38"/>
              <a:gd name="T37" fmla="*/ 6 h 51"/>
              <a:gd name="T38" fmla="*/ 13 w 38"/>
              <a:gd name="T39" fmla="*/ 4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51">
                <a:moveTo>
                  <a:pt x="13" y="4"/>
                </a:moveTo>
                <a:cubicBezTo>
                  <a:pt x="12" y="4"/>
                  <a:pt x="11" y="4"/>
                  <a:pt x="11" y="4"/>
                </a:cubicBezTo>
                <a:cubicBezTo>
                  <a:pt x="8" y="3"/>
                  <a:pt x="5" y="3"/>
                  <a:pt x="2" y="2"/>
                </a:cubicBezTo>
                <a:cubicBezTo>
                  <a:pt x="1" y="1"/>
                  <a:pt x="0" y="1"/>
                  <a:pt x="0" y="0"/>
                </a:cubicBezTo>
                <a:cubicBezTo>
                  <a:pt x="1" y="5"/>
                  <a:pt x="1" y="5"/>
                  <a:pt x="1" y="5"/>
                </a:cubicBezTo>
                <a:cubicBezTo>
                  <a:pt x="1" y="7"/>
                  <a:pt x="2" y="9"/>
                  <a:pt x="2" y="11"/>
                </a:cubicBezTo>
                <a:cubicBezTo>
                  <a:pt x="4" y="18"/>
                  <a:pt x="7" y="25"/>
                  <a:pt x="11" y="32"/>
                </a:cubicBezTo>
                <a:cubicBezTo>
                  <a:pt x="12" y="35"/>
                  <a:pt x="15" y="38"/>
                  <a:pt x="17" y="41"/>
                </a:cubicBezTo>
                <a:cubicBezTo>
                  <a:pt x="18" y="43"/>
                  <a:pt x="20" y="44"/>
                  <a:pt x="21" y="45"/>
                </a:cubicBezTo>
                <a:cubicBezTo>
                  <a:pt x="22" y="46"/>
                  <a:pt x="22" y="46"/>
                  <a:pt x="23" y="47"/>
                </a:cubicBezTo>
                <a:cubicBezTo>
                  <a:pt x="24" y="48"/>
                  <a:pt x="25" y="48"/>
                  <a:pt x="26" y="48"/>
                </a:cubicBezTo>
                <a:cubicBezTo>
                  <a:pt x="27" y="49"/>
                  <a:pt x="29" y="50"/>
                  <a:pt x="31" y="51"/>
                </a:cubicBezTo>
                <a:cubicBezTo>
                  <a:pt x="33" y="51"/>
                  <a:pt x="35" y="51"/>
                  <a:pt x="37" y="51"/>
                </a:cubicBezTo>
                <a:cubicBezTo>
                  <a:pt x="38" y="51"/>
                  <a:pt x="38" y="51"/>
                  <a:pt x="38" y="51"/>
                </a:cubicBezTo>
                <a:cubicBezTo>
                  <a:pt x="37" y="50"/>
                  <a:pt x="37" y="50"/>
                  <a:pt x="37" y="50"/>
                </a:cubicBezTo>
                <a:cubicBezTo>
                  <a:pt x="34" y="47"/>
                  <a:pt x="31" y="44"/>
                  <a:pt x="29" y="40"/>
                </a:cubicBezTo>
                <a:cubicBezTo>
                  <a:pt x="24" y="33"/>
                  <a:pt x="20" y="26"/>
                  <a:pt x="17" y="18"/>
                </a:cubicBezTo>
                <a:cubicBezTo>
                  <a:pt x="17" y="16"/>
                  <a:pt x="16" y="14"/>
                  <a:pt x="15" y="12"/>
                </a:cubicBezTo>
                <a:cubicBezTo>
                  <a:pt x="14" y="6"/>
                  <a:pt x="14" y="6"/>
                  <a:pt x="14" y="6"/>
                </a:cubicBezTo>
                <a:cubicBezTo>
                  <a:pt x="13" y="6"/>
                  <a:pt x="13" y="5"/>
                  <a:pt x="13" y="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32">
            <a:extLst>
              <a:ext uri="{FF2B5EF4-FFF2-40B4-BE49-F238E27FC236}">
                <a16:creationId xmlns:a16="http://schemas.microsoft.com/office/drawing/2014/main" id="{00000000-0008-0000-0300-000021000000}"/>
              </a:ext>
            </a:extLst>
          </xdr:cNvPr>
          <xdr:cNvSpPr>
            <a:spLocks noEditPoints="1"/>
          </xdr:cNvSpPr>
        </xdr:nvSpPr>
        <xdr:spPr bwMode="auto">
          <a:xfrm>
            <a:off x="2584450" y="2513013"/>
            <a:ext cx="341313" cy="333375"/>
          </a:xfrm>
          <a:custGeom>
            <a:avLst/>
            <a:gdLst>
              <a:gd name="T0" fmla="*/ 125 w 145"/>
              <a:gd name="T1" fmla="*/ 72 h 142"/>
              <a:gd name="T2" fmla="*/ 122 w 145"/>
              <a:gd name="T3" fmla="*/ 70 h 142"/>
              <a:gd name="T4" fmla="*/ 121 w 145"/>
              <a:gd name="T5" fmla="*/ 70 h 142"/>
              <a:gd name="T6" fmla="*/ 110 w 145"/>
              <a:gd name="T7" fmla="*/ 67 h 142"/>
              <a:gd name="T8" fmla="*/ 76 w 145"/>
              <a:gd name="T9" fmla="*/ 63 h 142"/>
              <a:gd name="T10" fmla="*/ 47 w 145"/>
              <a:gd name="T11" fmla="*/ 57 h 142"/>
              <a:gd name="T12" fmla="*/ 29 w 145"/>
              <a:gd name="T13" fmla="*/ 44 h 142"/>
              <a:gd name="T14" fmla="*/ 29 w 145"/>
              <a:gd name="T15" fmla="*/ 39 h 142"/>
              <a:gd name="T16" fmla="*/ 37 w 145"/>
              <a:gd name="T17" fmla="*/ 33 h 142"/>
              <a:gd name="T18" fmla="*/ 38 w 145"/>
              <a:gd name="T19" fmla="*/ 33 h 142"/>
              <a:gd name="T20" fmla="*/ 41 w 145"/>
              <a:gd name="T21" fmla="*/ 36 h 142"/>
              <a:gd name="T22" fmla="*/ 42 w 145"/>
              <a:gd name="T23" fmla="*/ 37 h 142"/>
              <a:gd name="T24" fmla="*/ 42 w 145"/>
              <a:gd name="T25" fmla="*/ 37 h 142"/>
              <a:gd name="T26" fmla="*/ 42 w 145"/>
              <a:gd name="T27" fmla="*/ 37 h 142"/>
              <a:gd name="T28" fmla="*/ 67 w 145"/>
              <a:gd name="T29" fmla="*/ 19 h 142"/>
              <a:gd name="T30" fmla="*/ 67 w 145"/>
              <a:gd name="T31" fmla="*/ 18 h 142"/>
              <a:gd name="T32" fmla="*/ 65 w 145"/>
              <a:gd name="T33" fmla="*/ 16 h 142"/>
              <a:gd name="T34" fmla="*/ 58 w 145"/>
              <a:gd name="T35" fmla="*/ 8 h 142"/>
              <a:gd name="T36" fmla="*/ 37 w 145"/>
              <a:gd name="T37" fmla="*/ 0 h 142"/>
              <a:gd name="T38" fmla="*/ 19 w 145"/>
              <a:gd name="T39" fmla="*/ 6 h 142"/>
              <a:gd name="T40" fmla="*/ 2 w 145"/>
              <a:gd name="T41" fmla="*/ 28 h 142"/>
              <a:gd name="T42" fmla="*/ 5 w 145"/>
              <a:gd name="T43" fmla="*/ 58 h 142"/>
              <a:gd name="T44" fmla="*/ 21 w 145"/>
              <a:gd name="T45" fmla="*/ 77 h 142"/>
              <a:gd name="T46" fmla="*/ 58 w 145"/>
              <a:gd name="T47" fmla="*/ 89 h 142"/>
              <a:gd name="T48" fmla="*/ 91 w 145"/>
              <a:gd name="T49" fmla="*/ 92 h 142"/>
              <a:gd name="T50" fmla="*/ 112 w 145"/>
              <a:gd name="T51" fmla="*/ 95 h 142"/>
              <a:gd name="T52" fmla="*/ 113 w 145"/>
              <a:gd name="T53" fmla="*/ 95 h 142"/>
              <a:gd name="T54" fmla="*/ 113 w 145"/>
              <a:gd name="T55" fmla="*/ 95 h 142"/>
              <a:gd name="T56" fmla="*/ 113 w 145"/>
              <a:gd name="T57" fmla="*/ 95 h 142"/>
              <a:gd name="T58" fmla="*/ 114 w 145"/>
              <a:gd name="T59" fmla="*/ 95 h 142"/>
              <a:gd name="T60" fmla="*/ 116 w 145"/>
              <a:gd name="T61" fmla="*/ 97 h 142"/>
              <a:gd name="T62" fmla="*/ 122 w 145"/>
              <a:gd name="T63" fmla="*/ 113 h 142"/>
              <a:gd name="T64" fmla="*/ 117 w 145"/>
              <a:gd name="T65" fmla="*/ 119 h 142"/>
              <a:gd name="T66" fmla="*/ 114 w 145"/>
              <a:gd name="T67" fmla="*/ 121 h 142"/>
              <a:gd name="T68" fmla="*/ 111 w 145"/>
              <a:gd name="T69" fmla="*/ 122 h 142"/>
              <a:gd name="T70" fmla="*/ 97 w 145"/>
              <a:gd name="T71" fmla="*/ 126 h 142"/>
              <a:gd name="T72" fmla="*/ 99 w 145"/>
              <a:gd name="T73" fmla="*/ 94 h 142"/>
              <a:gd name="T74" fmla="*/ 91 w 145"/>
              <a:gd name="T75" fmla="*/ 94 h 142"/>
              <a:gd name="T76" fmla="*/ 74 w 145"/>
              <a:gd name="T77" fmla="*/ 93 h 142"/>
              <a:gd name="T78" fmla="*/ 76 w 145"/>
              <a:gd name="T79" fmla="*/ 119 h 142"/>
              <a:gd name="T80" fmla="*/ 85 w 145"/>
              <a:gd name="T81" fmla="*/ 126 h 142"/>
              <a:gd name="T82" fmla="*/ 91 w 145"/>
              <a:gd name="T83" fmla="*/ 128 h 142"/>
              <a:gd name="T84" fmla="*/ 101 w 145"/>
              <a:gd name="T85" fmla="*/ 131 h 142"/>
              <a:gd name="T86" fmla="*/ 114 w 145"/>
              <a:gd name="T87" fmla="*/ 137 h 142"/>
              <a:gd name="T88" fmla="*/ 117 w 145"/>
              <a:gd name="T89" fmla="*/ 138 h 142"/>
              <a:gd name="T90" fmla="*/ 118 w 145"/>
              <a:gd name="T91" fmla="*/ 139 h 142"/>
              <a:gd name="T92" fmla="*/ 123 w 145"/>
              <a:gd name="T93" fmla="*/ 142 h 142"/>
              <a:gd name="T94" fmla="*/ 136 w 145"/>
              <a:gd name="T95" fmla="*/ 133 h 142"/>
              <a:gd name="T96" fmla="*/ 145 w 145"/>
              <a:gd name="T97" fmla="*/ 108 h 142"/>
              <a:gd name="T98" fmla="*/ 130 w 145"/>
              <a:gd name="T99" fmla="*/ 75 h 142"/>
              <a:gd name="T100" fmla="*/ 60 w 145"/>
              <a:gd name="T101" fmla="*/ 20 h 142"/>
              <a:gd name="T102" fmla="*/ 57 w 145"/>
              <a:gd name="T103" fmla="*/ 24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45" h="142">
                <a:moveTo>
                  <a:pt x="130" y="75"/>
                </a:moveTo>
                <a:cubicBezTo>
                  <a:pt x="128" y="74"/>
                  <a:pt x="126" y="73"/>
                  <a:pt x="125" y="72"/>
                </a:cubicBezTo>
                <a:cubicBezTo>
                  <a:pt x="124" y="72"/>
                  <a:pt x="124" y="71"/>
                  <a:pt x="123" y="71"/>
                </a:cubicBezTo>
                <a:cubicBezTo>
                  <a:pt x="123" y="71"/>
                  <a:pt x="123" y="71"/>
                  <a:pt x="122" y="70"/>
                </a:cubicBezTo>
                <a:cubicBezTo>
                  <a:pt x="121" y="70"/>
                  <a:pt x="121" y="70"/>
                  <a:pt x="121" y="70"/>
                </a:cubicBezTo>
                <a:cubicBezTo>
                  <a:pt x="121" y="70"/>
                  <a:pt x="121" y="70"/>
                  <a:pt x="121" y="70"/>
                </a:cubicBezTo>
                <a:cubicBezTo>
                  <a:pt x="119" y="69"/>
                  <a:pt x="119" y="69"/>
                  <a:pt x="119" y="69"/>
                </a:cubicBezTo>
                <a:cubicBezTo>
                  <a:pt x="116" y="68"/>
                  <a:pt x="113" y="67"/>
                  <a:pt x="110" y="67"/>
                </a:cubicBezTo>
                <a:cubicBezTo>
                  <a:pt x="104" y="65"/>
                  <a:pt x="98" y="65"/>
                  <a:pt x="93" y="64"/>
                </a:cubicBezTo>
                <a:cubicBezTo>
                  <a:pt x="76" y="63"/>
                  <a:pt x="76" y="63"/>
                  <a:pt x="76" y="63"/>
                </a:cubicBezTo>
                <a:cubicBezTo>
                  <a:pt x="71" y="62"/>
                  <a:pt x="66" y="61"/>
                  <a:pt x="61" y="60"/>
                </a:cubicBezTo>
                <a:cubicBezTo>
                  <a:pt x="56" y="60"/>
                  <a:pt x="51" y="58"/>
                  <a:pt x="47" y="57"/>
                </a:cubicBezTo>
                <a:cubicBezTo>
                  <a:pt x="42" y="55"/>
                  <a:pt x="39" y="54"/>
                  <a:pt x="35" y="51"/>
                </a:cubicBezTo>
                <a:cubicBezTo>
                  <a:pt x="32" y="49"/>
                  <a:pt x="30" y="46"/>
                  <a:pt x="29" y="44"/>
                </a:cubicBezTo>
                <a:cubicBezTo>
                  <a:pt x="29" y="43"/>
                  <a:pt x="29" y="42"/>
                  <a:pt x="29" y="41"/>
                </a:cubicBezTo>
                <a:cubicBezTo>
                  <a:pt x="29" y="41"/>
                  <a:pt x="29" y="40"/>
                  <a:pt x="29" y="39"/>
                </a:cubicBezTo>
                <a:cubicBezTo>
                  <a:pt x="30" y="38"/>
                  <a:pt x="31" y="36"/>
                  <a:pt x="34" y="34"/>
                </a:cubicBezTo>
                <a:cubicBezTo>
                  <a:pt x="35" y="33"/>
                  <a:pt x="36" y="33"/>
                  <a:pt x="37" y="33"/>
                </a:cubicBezTo>
                <a:cubicBezTo>
                  <a:pt x="37" y="33"/>
                  <a:pt x="37" y="33"/>
                  <a:pt x="37" y="33"/>
                </a:cubicBezTo>
                <a:cubicBezTo>
                  <a:pt x="37" y="33"/>
                  <a:pt x="38" y="33"/>
                  <a:pt x="38" y="33"/>
                </a:cubicBezTo>
                <a:cubicBezTo>
                  <a:pt x="38" y="33"/>
                  <a:pt x="39" y="34"/>
                  <a:pt x="40" y="34"/>
                </a:cubicBezTo>
                <a:cubicBezTo>
                  <a:pt x="40" y="35"/>
                  <a:pt x="41" y="35"/>
                  <a:pt x="41" y="36"/>
                </a:cubicBezTo>
                <a:cubicBezTo>
                  <a:pt x="42" y="36"/>
                  <a:pt x="42" y="36"/>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5" y="42"/>
                  <a:pt x="60" y="44"/>
                  <a:pt x="63" y="42"/>
                </a:cubicBezTo>
                <a:cubicBezTo>
                  <a:pt x="70" y="37"/>
                  <a:pt x="72" y="27"/>
                  <a:pt x="67" y="19"/>
                </a:cubicBezTo>
                <a:cubicBezTo>
                  <a:pt x="67" y="19"/>
                  <a:pt x="67" y="19"/>
                  <a:pt x="67" y="19"/>
                </a:cubicBezTo>
                <a:cubicBezTo>
                  <a:pt x="67" y="18"/>
                  <a:pt x="67" y="18"/>
                  <a:pt x="67" y="18"/>
                </a:cubicBezTo>
                <a:cubicBezTo>
                  <a:pt x="66" y="17"/>
                  <a:pt x="66" y="17"/>
                  <a:pt x="66" y="17"/>
                </a:cubicBezTo>
                <a:cubicBezTo>
                  <a:pt x="66" y="17"/>
                  <a:pt x="65" y="16"/>
                  <a:pt x="65" y="16"/>
                </a:cubicBezTo>
                <a:cubicBezTo>
                  <a:pt x="64" y="15"/>
                  <a:pt x="64" y="14"/>
                  <a:pt x="63" y="13"/>
                </a:cubicBezTo>
                <a:cubicBezTo>
                  <a:pt x="62" y="11"/>
                  <a:pt x="60" y="10"/>
                  <a:pt x="58" y="8"/>
                </a:cubicBezTo>
                <a:cubicBezTo>
                  <a:pt x="55" y="5"/>
                  <a:pt x="51" y="2"/>
                  <a:pt x="46" y="1"/>
                </a:cubicBezTo>
                <a:cubicBezTo>
                  <a:pt x="43" y="0"/>
                  <a:pt x="40" y="0"/>
                  <a:pt x="37" y="0"/>
                </a:cubicBezTo>
                <a:cubicBezTo>
                  <a:pt x="35" y="0"/>
                  <a:pt x="33" y="0"/>
                  <a:pt x="31" y="0"/>
                </a:cubicBezTo>
                <a:cubicBezTo>
                  <a:pt x="26" y="1"/>
                  <a:pt x="22" y="3"/>
                  <a:pt x="19" y="6"/>
                </a:cubicBezTo>
                <a:cubicBezTo>
                  <a:pt x="15" y="8"/>
                  <a:pt x="12" y="11"/>
                  <a:pt x="9" y="15"/>
                </a:cubicBezTo>
                <a:cubicBezTo>
                  <a:pt x="6" y="18"/>
                  <a:pt x="4" y="23"/>
                  <a:pt x="2" y="28"/>
                </a:cubicBezTo>
                <a:cubicBezTo>
                  <a:pt x="1" y="33"/>
                  <a:pt x="0" y="38"/>
                  <a:pt x="0" y="44"/>
                </a:cubicBezTo>
                <a:cubicBezTo>
                  <a:pt x="1" y="49"/>
                  <a:pt x="2" y="54"/>
                  <a:pt x="5" y="58"/>
                </a:cubicBezTo>
                <a:cubicBezTo>
                  <a:pt x="7" y="63"/>
                  <a:pt x="9" y="66"/>
                  <a:pt x="12" y="69"/>
                </a:cubicBezTo>
                <a:cubicBezTo>
                  <a:pt x="15" y="72"/>
                  <a:pt x="18" y="75"/>
                  <a:pt x="21" y="77"/>
                </a:cubicBezTo>
                <a:cubicBezTo>
                  <a:pt x="27" y="81"/>
                  <a:pt x="34" y="84"/>
                  <a:pt x="40" y="85"/>
                </a:cubicBezTo>
                <a:cubicBezTo>
                  <a:pt x="46" y="87"/>
                  <a:pt x="52" y="88"/>
                  <a:pt x="58" y="89"/>
                </a:cubicBezTo>
                <a:cubicBezTo>
                  <a:pt x="63" y="90"/>
                  <a:pt x="69" y="90"/>
                  <a:pt x="74" y="91"/>
                </a:cubicBezTo>
                <a:cubicBezTo>
                  <a:pt x="91" y="92"/>
                  <a:pt x="91" y="92"/>
                  <a:pt x="91" y="92"/>
                </a:cubicBezTo>
                <a:cubicBezTo>
                  <a:pt x="96" y="92"/>
                  <a:pt x="101" y="92"/>
                  <a:pt x="106" y="93"/>
                </a:cubicBezTo>
                <a:cubicBezTo>
                  <a:pt x="108" y="94"/>
                  <a:pt x="110" y="94"/>
                  <a:pt x="112"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4" y="95"/>
                </a:cubicBezTo>
                <a:cubicBezTo>
                  <a:pt x="114" y="95"/>
                  <a:pt x="114" y="95"/>
                  <a:pt x="114" y="95"/>
                </a:cubicBezTo>
                <a:cubicBezTo>
                  <a:pt x="115" y="96"/>
                  <a:pt x="116" y="96"/>
                  <a:pt x="116" y="97"/>
                </a:cubicBezTo>
                <a:cubicBezTo>
                  <a:pt x="119" y="98"/>
                  <a:pt x="121" y="101"/>
                  <a:pt x="122" y="104"/>
                </a:cubicBezTo>
                <a:cubicBezTo>
                  <a:pt x="123" y="107"/>
                  <a:pt x="123" y="111"/>
                  <a:pt x="122" y="113"/>
                </a:cubicBezTo>
                <a:cubicBezTo>
                  <a:pt x="122" y="114"/>
                  <a:pt x="121" y="115"/>
                  <a:pt x="121" y="116"/>
                </a:cubicBezTo>
                <a:cubicBezTo>
                  <a:pt x="120" y="117"/>
                  <a:pt x="119" y="118"/>
                  <a:pt x="117" y="119"/>
                </a:cubicBezTo>
                <a:cubicBezTo>
                  <a:pt x="116" y="120"/>
                  <a:pt x="116" y="120"/>
                  <a:pt x="115" y="120"/>
                </a:cubicBezTo>
                <a:cubicBezTo>
                  <a:pt x="114" y="121"/>
                  <a:pt x="114" y="121"/>
                  <a:pt x="114" y="121"/>
                </a:cubicBezTo>
                <a:cubicBezTo>
                  <a:pt x="113" y="121"/>
                  <a:pt x="113" y="121"/>
                  <a:pt x="113" y="121"/>
                </a:cubicBezTo>
                <a:cubicBezTo>
                  <a:pt x="111" y="122"/>
                  <a:pt x="111" y="122"/>
                  <a:pt x="111" y="122"/>
                </a:cubicBezTo>
                <a:cubicBezTo>
                  <a:pt x="109" y="122"/>
                  <a:pt x="106" y="123"/>
                  <a:pt x="104" y="124"/>
                </a:cubicBezTo>
                <a:cubicBezTo>
                  <a:pt x="102" y="125"/>
                  <a:pt x="99" y="125"/>
                  <a:pt x="97" y="126"/>
                </a:cubicBezTo>
                <a:cubicBezTo>
                  <a:pt x="97" y="124"/>
                  <a:pt x="97" y="121"/>
                  <a:pt x="97" y="119"/>
                </a:cubicBezTo>
                <a:cubicBezTo>
                  <a:pt x="98" y="111"/>
                  <a:pt x="98" y="103"/>
                  <a:pt x="99" y="94"/>
                </a:cubicBezTo>
                <a:cubicBezTo>
                  <a:pt x="96" y="94"/>
                  <a:pt x="93" y="94"/>
                  <a:pt x="91" y="94"/>
                </a:cubicBezTo>
                <a:cubicBezTo>
                  <a:pt x="91" y="94"/>
                  <a:pt x="91" y="94"/>
                  <a:pt x="91" y="94"/>
                </a:cubicBezTo>
                <a:cubicBezTo>
                  <a:pt x="74" y="93"/>
                  <a:pt x="74" y="93"/>
                  <a:pt x="74" y="93"/>
                </a:cubicBezTo>
                <a:cubicBezTo>
                  <a:pt x="74" y="93"/>
                  <a:pt x="74" y="93"/>
                  <a:pt x="74" y="93"/>
                </a:cubicBezTo>
                <a:cubicBezTo>
                  <a:pt x="74" y="93"/>
                  <a:pt x="74" y="93"/>
                  <a:pt x="74" y="93"/>
                </a:cubicBezTo>
                <a:cubicBezTo>
                  <a:pt x="75" y="101"/>
                  <a:pt x="75" y="110"/>
                  <a:pt x="76" y="119"/>
                </a:cubicBezTo>
                <a:cubicBezTo>
                  <a:pt x="76" y="120"/>
                  <a:pt x="76" y="122"/>
                  <a:pt x="76" y="124"/>
                </a:cubicBezTo>
                <a:cubicBezTo>
                  <a:pt x="79" y="125"/>
                  <a:pt x="82" y="125"/>
                  <a:pt x="85" y="126"/>
                </a:cubicBezTo>
                <a:cubicBezTo>
                  <a:pt x="87" y="127"/>
                  <a:pt x="89" y="127"/>
                  <a:pt x="91" y="128"/>
                </a:cubicBezTo>
                <a:cubicBezTo>
                  <a:pt x="91" y="128"/>
                  <a:pt x="91" y="128"/>
                  <a:pt x="91" y="128"/>
                </a:cubicBezTo>
                <a:cubicBezTo>
                  <a:pt x="93" y="129"/>
                  <a:pt x="95" y="129"/>
                  <a:pt x="97" y="130"/>
                </a:cubicBezTo>
                <a:cubicBezTo>
                  <a:pt x="98" y="130"/>
                  <a:pt x="100" y="131"/>
                  <a:pt x="101" y="131"/>
                </a:cubicBezTo>
                <a:cubicBezTo>
                  <a:pt x="104" y="132"/>
                  <a:pt x="107" y="133"/>
                  <a:pt x="110" y="135"/>
                </a:cubicBezTo>
                <a:cubicBezTo>
                  <a:pt x="111" y="135"/>
                  <a:pt x="113" y="136"/>
                  <a:pt x="114" y="137"/>
                </a:cubicBezTo>
                <a:cubicBezTo>
                  <a:pt x="115" y="137"/>
                  <a:pt x="115" y="137"/>
                  <a:pt x="116" y="138"/>
                </a:cubicBezTo>
                <a:cubicBezTo>
                  <a:pt x="117" y="138"/>
                  <a:pt x="117" y="138"/>
                  <a:pt x="117" y="138"/>
                </a:cubicBezTo>
                <a:cubicBezTo>
                  <a:pt x="117" y="139"/>
                  <a:pt x="117" y="139"/>
                  <a:pt x="117" y="139"/>
                </a:cubicBezTo>
                <a:cubicBezTo>
                  <a:pt x="118" y="139"/>
                  <a:pt x="118" y="139"/>
                  <a:pt x="118" y="139"/>
                </a:cubicBezTo>
                <a:cubicBezTo>
                  <a:pt x="119" y="139"/>
                  <a:pt x="119" y="139"/>
                  <a:pt x="119" y="139"/>
                </a:cubicBezTo>
                <a:cubicBezTo>
                  <a:pt x="120" y="140"/>
                  <a:pt x="121" y="141"/>
                  <a:pt x="123" y="142"/>
                </a:cubicBezTo>
                <a:cubicBezTo>
                  <a:pt x="124" y="142"/>
                  <a:pt x="125" y="141"/>
                  <a:pt x="127" y="141"/>
                </a:cubicBezTo>
                <a:cubicBezTo>
                  <a:pt x="130" y="139"/>
                  <a:pt x="133" y="136"/>
                  <a:pt x="136" y="133"/>
                </a:cubicBezTo>
                <a:cubicBezTo>
                  <a:pt x="139" y="130"/>
                  <a:pt x="141" y="126"/>
                  <a:pt x="143" y="122"/>
                </a:cubicBezTo>
                <a:cubicBezTo>
                  <a:pt x="145" y="117"/>
                  <a:pt x="145" y="113"/>
                  <a:pt x="145" y="108"/>
                </a:cubicBezTo>
                <a:cubicBezTo>
                  <a:pt x="145" y="104"/>
                  <a:pt x="145" y="100"/>
                  <a:pt x="143" y="95"/>
                </a:cubicBezTo>
                <a:cubicBezTo>
                  <a:pt x="141" y="87"/>
                  <a:pt x="136" y="80"/>
                  <a:pt x="130" y="75"/>
                </a:cubicBezTo>
                <a:close/>
                <a:moveTo>
                  <a:pt x="53" y="17"/>
                </a:moveTo>
                <a:cubicBezTo>
                  <a:pt x="54" y="16"/>
                  <a:pt x="59" y="19"/>
                  <a:pt x="60" y="20"/>
                </a:cubicBezTo>
                <a:cubicBezTo>
                  <a:pt x="61" y="21"/>
                  <a:pt x="61" y="23"/>
                  <a:pt x="60" y="24"/>
                </a:cubicBezTo>
                <a:cubicBezTo>
                  <a:pt x="59" y="25"/>
                  <a:pt x="58" y="25"/>
                  <a:pt x="57" y="24"/>
                </a:cubicBezTo>
                <a:cubicBezTo>
                  <a:pt x="56" y="23"/>
                  <a:pt x="52" y="18"/>
                  <a:pt x="53"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noEditPoints="1"/>
          </xdr:cNvSpPr>
        </xdr:nvSpPr>
        <xdr:spPr bwMode="auto">
          <a:xfrm>
            <a:off x="2709863" y="2154238"/>
            <a:ext cx="280988" cy="554038"/>
          </a:xfrm>
          <a:custGeom>
            <a:avLst/>
            <a:gdLst>
              <a:gd name="T0" fmla="*/ 101 w 120"/>
              <a:gd name="T1" fmla="*/ 158 h 235"/>
              <a:gd name="T2" fmla="*/ 83 w 120"/>
              <a:gd name="T3" fmla="*/ 152 h 235"/>
              <a:gd name="T4" fmla="*/ 62 w 120"/>
              <a:gd name="T5" fmla="*/ 160 h 235"/>
              <a:gd name="T6" fmla="*/ 55 w 120"/>
              <a:gd name="T7" fmla="*/ 168 h 235"/>
              <a:gd name="T8" fmla="*/ 53 w 120"/>
              <a:gd name="T9" fmla="*/ 170 h 235"/>
              <a:gd name="T10" fmla="*/ 53 w 120"/>
              <a:gd name="T11" fmla="*/ 171 h 235"/>
              <a:gd name="T12" fmla="*/ 78 w 120"/>
              <a:gd name="T13" fmla="*/ 189 h 235"/>
              <a:gd name="T14" fmla="*/ 78 w 120"/>
              <a:gd name="T15" fmla="*/ 189 h 235"/>
              <a:gd name="T16" fmla="*/ 78 w 120"/>
              <a:gd name="T17" fmla="*/ 189 h 235"/>
              <a:gd name="T18" fmla="*/ 79 w 120"/>
              <a:gd name="T19" fmla="*/ 188 h 235"/>
              <a:gd name="T20" fmla="*/ 82 w 120"/>
              <a:gd name="T21" fmla="*/ 185 h 235"/>
              <a:gd name="T22" fmla="*/ 83 w 120"/>
              <a:gd name="T23" fmla="*/ 185 h 235"/>
              <a:gd name="T24" fmla="*/ 91 w 120"/>
              <a:gd name="T25" fmla="*/ 191 h 235"/>
              <a:gd name="T26" fmla="*/ 91 w 120"/>
              <a:gd name="T27" fmla="*/ 196 h 235"/>
              <a:gd name="T28" fmla="*/ 73 w 120"/>
              <a:gd name="T29" fmla="*/ 209 h 235"/>
              <a:gd name="T30" fmla="*/ 47 w 120"/>
              <a:gd name="T31" fmla="*/ 214 h 235"/>
              <a:gd name="T32" fmla="*/ 48 w 120"/>
              <a:gd name="T33" fmla="*/ 192 h 235"/>
              <a:gd name="T34" fmla="*/ 47 w 120"/>
              <a:gd name="T35" fmla="*/ 162 h 235"/>
              <a:gd name="T36" fmla="*/ 47 w 120"/>
              <a:gd name="T37" fmla="*/ 139 h 235"/>
              <a:gd name="T38" fmla="*/ 52 w 120"/>
              <a:gd name="T39" fmla="*/ 116 h 235"/>
              <a:gd name="T40" fmla="*/ 53 w 120"/>
              <a:gd name="T41" fmla="*/ 105 h 235"/>
              <a:gd name="T42" fmla="*/ 45 w 120"/>
              <a:gd name="T43" fmla="*/ 85 h 235"/>
              <a:gd name="T44" fmla="*/ 48 w 120"/>
              <a:gd name="T45" fmla="*/ 73 h 235"/>
              <a:gd name="T46" fmla="*/ 51 w 120"/>
              <a:gd name="T47" fmla="*/ 69 h 235"/>
              <a:gd name="T48" fmla="*/ 62 w 120"/>
              <a:gd name="T49" fmla="*/ 54 h 235"/>
              <a:gd name="T50" fmla="*/ 67 w 120"/>
              <a:gd name="T51" fmla="*/ 34 h 235"/>
              <a:gd name="T52" fmla="*/ 0 w 120"/>
              <a:gd name="T53" fmla="*/ 34 h 235"/>
              <a:gd name="T54" fmla="*/ 5 w 120"/>
              <a:gd name="T55" fmla="*/ 54 h 235"/>
              <a:gd name="T56" fmla="*/ 16 w 120"/>
              <a:gd name="T57" fmla="*/ 69 h 235"/>
              <a:gd name="T58" fmla="*/ 19 w 120"/>
              <a:gd name="T59" fmla="*/ 73 h 235"/>
              <a:gd name="T60" fmla="*/ 22 w 120"/>
              <a:gd name="T61" fmla="*/ 85 h 235"/>
              <a:gd name="T62" fmla="*/ 14 w 120"/>
              <a:gd name="T63" fmla="*/ 105 h 235"/>
              <a:gd name="T64" fmla="*/ 15 w 120"/>
              <a:gd name="T65" fmla="*/ 116 h 235"/>
              <a:gd name="T66" fmla="*/ 20 w 120"/>
              <a:gd name="T67" fmla="*/ 139 h 235"/>
              <a:gd name="T68" fmla="*/ 20 w 120"/>
              <a:gd name="T69" fmla="*/ 162 h 235"/>
              <a:gd name="T70" fmla="*/ 19 w 120"/>
              <a:gd name="T71" fmla="*/ 192 h 235"/>
              <a:gd name="T72" fmla="*/ 20 w 120"/>
              <a:gd name="T73" fmla="*/ 212 h 235"/>
              <a:gd name="T74" fmla="*/ 24 w 120"/>
              <a:gd name="T75" fmla="*/ 213 h 235"/>
              <a:gd name="T76" fmla="*/ 40 w 120"/>
              <a:gd name="T77" fmla="*/ 214 h 235"/>
              <a:gd name="T78" fmla="*/ 47 w 120"/>
              <a:gd name="T79" fmla="*/ 215 h 235"/>
              <a:gd name="T80" fmla="*/ 67 w 120"/>
              <a:gd name="T81" fmla="*/ 219 h 235"/>
              <a:gd name="T82" fmla="*/ 68 w 120"/>
              <a:gd name="T83" fmla="*/ 220 h 235"/>
              <a:gd name="T84" fmla="*/ 69 w 120"/>
              <a:gd name="T85" fmla="*/ 220 h 235"/>
              <a:gd name="T86" fmla="*/ 71 w 120"/>
              <a:gd name="T87" fmla="*/ 221 h 235"/>
              <a:gd name="T88" fmla="*/ 78 w 120"/>
              <a:gd name="T89" fmla="*/ 225 h 235"/>
              <a:gd name="T90" fmla="*/ 99 w 120"/>
              <a:gd name="T91" fmla="*/ 229 h 235"/>
              <a:gd name="T92" fmla="*/ 116 w 120"/>
              <a:gd name="T93" fmla="*/ 210 h 235"/>
              <a:gd name="T94" fmla="*/ 118 w 120"/>
              <a:gd name="T95" fmla="*/ 180 h 235"/>
              <a:gd name="T96" fmla="*/ 64 w 120"/>
              <a:gd name="T97" fmla="*/ 176 h 235"/>
              <a:gd name="T98" fmla="*/ 60 w 120"/>
              <a:gd name="T99" fmla="*/ 172 h 235"/>
              <a:gd name="T100" fmla="*/ 64 w 120"/>
              <a:gd name="T101" fmla="*/ 17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120" h="235">
                <a:moveTo>
                  <a:pt x="111" y="167"/>
                </a:moveTo>
                <a:cubicBezTo>
                  <a:pt x="108" y="163"/>
                  <a:pt x="105" y="160"/>
                  <a:pt x="101" y="158"/>
                </a:cubicBezTo>
                <a:cubicBezTo>
                  <a:pt x="98" y="155"/>
                  <a:pt x="94" y="153"/>
                  <a:pt x="89" y="152"/>
                </a:cubicBezTo>
                <a:cubicBezTo>
                  <a:pt x="87" y="152"/>
                  <a:pt x="85" y="152"/>
                  <a:pt x="83" y="152"/>
                </a:cubicBezTo>
                <a:cubicBezTo>
                  <a:pt x="80" y="152"/>
                  <a:pt x="77" y="152"/>
                  <a:pt x="74" y="153"/>
                </a:cubicBezTo>
                <a:cubicBezTo>
                  <a:pt x="69" y="154"/>
                  <a:pt x="65" y="157"/>
                  <a:pt x="62" y="160"/>
                </a:cubicBezTo>
                <a:cubicBezTo>
                  <a:pt x="60" y="162"/>
                  <a:pt x="58" y="163"/>
                  <a:pt x="57" y="165"/>
                </a:cubicBezTo>
                <a:cubicBezTo>
                  <a:pt x="56" y="166"/>
                  <a:pt x="56" y="167"/>
                  <a:pt x="55" y="168"/>
                </a:cubicBezTo>
                <a:cubicBezTo>
                  <a:pt x="55" y="168"/>
                  <a:pt x="54" y="169"/>
                  <a:pt x="54" y="169"/>
                </a:cubicBezTo>
                <a:cubicBezTo>
                  <a:pt x="53" y="170"/>
                  <a:pt x="53" y="170"/>
                  <a:pt x="53" y="170"/>
                </a:cubicBezTo>
                <a:cubicBezTo>
                  <a:pt x="53" y="171"/>
                  <a:pt x="53" y="171"/>
                  <a:pt x="53" y="171"/>
                </a:cubicBezTo>
                <a:cubicBezTo>
                  <a:pt x="53" y="171"/>
                  <a:pt x="53" y="171"/>
                  <a:pt x="53" y="171"/>
                </a:cubicBezTo>
                <a:cubicBezTo>
                  <a:pt x="48" y="179"/>
                  <a:pt x="50" y="189"/>
                  <a:pt x="57" y="194"/>
                </a:cubicBezTo>
                <a:cubicBezTo>
                  <a:pt x="60" y="196"/>
                  <a:pt x="75" y="194"/>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8"/>
                  <a:pt x="78" y="188"/>
                  <a:pt x="79" y="188"/>
                </a:cubicBezTo>
                <a:cubicBezTo>
                  <a:pt x="79" y="187"/>
                  <a:pt x="80" y="187"/>
                  <a:pt x="80" y="186"/>
                </a:cubicBezTo>
                <a:cubicBezTo>
                  <a:pt x="81" y="186"/>
                  <a:pt x="82" y="185"/>
                  <a:pt x="82" y="185"/>
                </a:cubicBezTo>
                <a:cubicBezTo>
                  <a:pt x="82" y="185"/>
                  <a:pt x="83" y="185"/>
                  <a:pt x="83" y="185"/>
                </a:cubicBezTo>
                <a:cubicBezTo>
                  <a:pt x="83" y="185"/>
                  <a:pt x="83" y="185"/>
                  <a:pt x="83" y="185"/>
                </a:cubicBezTo>
                <a:cubicBezTo>
                  <a:pt x="84" y="185"/>
                  <a:pt x="85" y="185"/>
                  <a:pt x="86" y="186"/>
                </a:cubicBezTo>
                <a:cubicBezTo>
                  <a:pt x="89" y="188"/>
                  <a:pt x="90" y="190"/>
                  <a:pt x="91" y="191"/>
                </a:cubicBezTo>
                <a:cubicBezTo>
                  <a:pt x="91" y="192"/>
                  <a:pt x="91" y="193"/>
                  <a:pt x="91" y="193"/>
                </a:cubicBezTo>
                <a:cubicBezTo>
                  <a:pt x="91" y="194"/>
                  <a:pt x="91" y="195"/>
                  <a:pt x="91" y="196"/>
                </a:cubicBezTo>
                <a:cubicBezTo>
                  <a:pt x="90" y="198"/>
                  <a:pt x="88" y="201"/>
                  <a:pt x="85" y="203"/>
                </a:cubicBezTo>
                <a:cubicBezTo>
                  <a:pt x="82" y="206"/>
                  <a:pt x="78" y="207"/>
                  <a:pt x="73" y="209"/>
                </a:cubicBezTo>
                <a:cubicBezTo>
                  <a:pt x="69" y="210"/>
                  <a:pt x="64" y="212"/>
                  <a:pt x="59" y="212"/>
                </a:cubicBezTo>
                <a:cubicBezTo>
                  <a:pt x="55" y="213"/>
                  <a:pt x="51" y="214"/>
                  <a:pt x="47" y="214"/>
                </a:cubicBezTo>
                <a:cubicBezTo>
                  <a:pt x="47" y="212"/>
                  <a:pt x="47" y="209"/>
                  <a:pt x="47" y="207"/>
                </a:cubicBezTo>
                <a:cubicBezTo>
                  <a:pt x="48" y="202"/>
                  <a:pt x="48" y="197"/>
                  <a:pt x="48" y="192"/>
                </a:cubicBezTo>
                <a:cubicBezTo>
                  <a:pt x="48" y="187"/>
                  <a:pt x="48" y="182"/>
                  <a:pt x="48" y="177"/>
                </a:cubicBezTo>
                <a:cubicBezTo>
                  <a:pt x="47" y="162"/>
                  <a:pt x="47" y="162"/>
                  <a:pt x="47" y="162"/>
                </a:cubicBezTo>
                <a:cubicBezTo>
                  <a:pt x="47" y="157"/>
                  <a:pt x="46" y="152"/>
                  <a:pt x="47" y="147"/>
                </a:cubicBezTo>
                <a:cubicBezTo>
                  <a:pt x="47" y="144"/>
                  <a:pt x="47" y="142"/>
                  <a:pt x="47" y="139"/>
                </a:cubicBezTo>
                <a:cubicBezTo>
                  <a:pt x="48" y="137"/>
                  <a:pt x="48" y="134"/>
                  <a:pt x="49" y="132"/>
                </a:cubicBezTo>
                <a:cubicBezTo>
                  <a:pt x="50" y="126"/>
                  <a:pt x="51" y="121"/>
                  <a:pt x="52" y="116"/>
                </a:cubicBezTo>
                <a:cubicBezTo>
                  <a:pt x="52" y="114"/>
                  <a:pt x="53" y="111"/>
                  <a:pt x="53" y="108"/>
                </a:cubicBezTo>
                <a:cubicBezTo>
                  <a:pt x="53" y="107"/>
                  <a:pt x="53" y="106"/>
                  <a:pt x="53" y="105"/>
                </a:cubicBezTo>
                <a:cubicBezTo>
                  <a:pt x="53" y="103"/>
                  <a:pt x="52" y="102"/>
                  <a:pt x="52" y="101"/>
                </a:cubicBezTo>
                <a:cubicBezTo>
                  <a:pt x="50" y="96"/>
                  <a:pt x="46" y="90"/>
                  <a:pt x="45" y="85"/>
                </a:cubicBezTo>
                <a:cubicBezTo>
                  <a:pt x="44" y="83"/>
                  <a:pt x="45" y="80"/>
                  <a:pt x="46" y="77"/>
                </a:cubicBezTo>
                <a:cubicBezTo>
                  <a:pt x="46" y="76"/>
                  <a:pt x="47" y="75"/>
                  <a:pt x="48" y="73"/>
                </a:cubicBezTo>
                <a:cubicBezTo>
                  <a:pt x="48" y="73"/>
                  <a:pt x="49" y="72"/>
                  <a:pt x="49" y="71"/>
                </a:cubicBezTo>
                <a:cubicBezTo>
                  <a:pt x="50" y="71"/>
                  <a:pt x="50" y="70"/>
                  <a:pt x="51" y="69"/>
                </a:cubicBezTo>
                <a:cubicBezTo>
                  <a:pt x="53" y="67"/>
                  <a:pt x="56" y="64"/>
                  <a:pt x="58" y="62"/>
                </a:cubicBezTo>
                <a:cubicBezTo>
                  <a:pt x="60" y="59"/>
                  <a:pt x="62" y="56"/>
                  <a:pt x="62" y="54"/>
                </a:cubicBezTo>
                <a:cubicBezTo>
                  <a:pt x="63" y="53"/>
                  <a:pt x="63" y="51"/>
                  <a:pt x="63" y="50"/>
                </a:cubicBezTo>
                <a:cubicBezTo>
                  <a:pt x="66" y="45"/>
                  <a:pt x="67" y="40"/>
                  <a:pt x="67" y="34"/>
                </a:cubicBezTo>
                <a:cubicBezTo>
                  <a:pt x="67" y="15"/>
                  <a:pt x="52" y="0"/>
                  <a:pt x="34" y="0"/>
                </a:cubicBezTo>
                <a:cubicBezTo>
                  <a:pt x="15" y="0"/>
                  <a:pt x="0" y="15"/>
                  <a:pt x="0" y="34"/>
                </a:cubicBezTo>
                <a:cubicBezTo>
                  <a:pt x="0" y="40"/>
                  <a:pt x="1" y="45"/>
                  <a:pt x="4" y="50"/>
                </a:cubicBezTo>
                <a:cubicBezTo>
                  <a:pt x="4" y="51"/>
                  <a:pt x="4" y="53"/>
                  <a:pt x="5" y="54"/>
                </a:cubicBezTo>
                <a:cubicBezTo>
                  <a:pt x="5" y="56"/>
                  <a:pt x="7" y="59"/>
                  <a:pt x="9" y="62"/>
                </a:cubicBezTo>
                <a:cubicBezTo>
                  <a:pt x="11" y="64"/>
                  <a:pt x="14" y="67"/>
                  <a:pt x="16" y="69"/>
                </a:cubicBezTo>
                <a:cubicBezTo>
                  <a:pt x="17" y="70"/>
                  <a:pt x="17" y="71"/>
                  <a:pt x="18" y="71"/>
                </a:cubicBezTo>
                <a:cubicBezTo>
                  <a:pt x="18" y="72"/>
                  <a:pt x="19" y="73"/>
                  <a:pt x="19" y="73"/>
                </a:cubicBezTo>
                <a:cubicBezTo>
                  <a:pt x="20" y="75"/>
                  <a:pt x="21" y="76"/>
                  <a:pt x="21" y="77"/>
                </a:cubicBezTo>
                <a:cubicBezTo>
                  <a:pt x="22" y="80"/>
                  <a:pt x="22" y="83"/>
                  <a:pt x="22" y="85"/>
                </a:cubicBezTo>
                <a:cubicBezTo>
                  <a:pt x="21" y="90"/>
                  <a:pt x="17" y="96"/>
                  <a:pt x="15" y="101"/>
                </a:cubicBezTo>
                <a:cubicBezTo>
                  <a:pt x="15" y="102"/>
                  <a:pt x="14" y="103"/>
                  <a:pt x="14" y="105"/>
                </a:cubicBezTo>
                <a:cubicBezTo>
                  <a:pt x="14" y="106"/>
                  <a:pt x="14" y="107"/>
                  <a:pt x="14" y="108"/>
                </a:cubicBezTo>
                <a:cubicBezTo>
                  <a:pt x="14" y="111"/>
                  <a:pt x="15" y="114"/>
                  <a:pt x="15" y="116"/>
                </a:cubicBezTo>
                <a:cubicBezTo>
                  <a:pt x="16" y="121"/>
                  <a:pt x="17" y="126"/>
                  <a:pt x="18" y="132"/>
                </a:cubicBezTo>
                <a:cubicBezTo>
                  <a:pt x="19" y="134"/>
                  <a:pt x="19" y="137"/>
                  <a:pt x="20" y="139"/>
                </a:cubicBezTo>
                <a:cubicBezTo>
                  <a:pt x="20" y="142"/>
                  <a:pt x="20" y="144"/>
                  <a:pt x="20" y="147"/>
                </a:cubicBezTo>
                <a:cubicBezTo>
                  <a:pt x="21" y="152"/>
                  <a:pt x="20" y="157"/>
                  <a:pt x="20" y="162"/>
                </a:cubicBezTo>
                <a:cubicBezTo>
                  <a:pt x="19" y="177"/>
                  <a:pt x="19" y="177"/>
                  <a:pt x="19" y="177"/>
                </a:cubicBezTo>
                <a:cubicBezTo>
                  <a:pt x="19" y="182"/>
                  <a:pt x="19" y="187"/>
                  <a:pt x="19" y="192"/>
                </a:cubicBezTo>
                <a:cubicBezTo>
                  <a:pt x="19" y="197"/>
                  <a:pt x="19" y="202"/>
                  <a:pt x="19" y="207"/>
                </a:cubicBezTo>
                <a:cubicBezTo>
                  <a:pt x="20" y="209"/>
                  <a:pt x="20" y="211"/>
                  <a:pt x="20" y="212"/>
                </a:cubicBezTo>
                <a:cubicBezTo>
                  <a:pt x="21" y="212"/>
                  <a:pt x="22" y="213"/>
                  <a:pt x="24" y="213"/>
                </a:cubicBezTo>
                <a:cubicBezTo>
                  <a:pt x="24" y="213"/>
                  <a:pt x="24" y="213"/>
                  <a:pt x="24" y="213"/>
                </a:cubicBezTo>
                <a:cubicBezTo>
                  <a:pt x="40" y="214"/>
                  <a:pt x="40" y="214"/>
                  <a:pt x="40" y="214"/>
                </a:cubicBezTo>
                <a:cubicBezTo>
                  <a:pt x="40" y="214"/>
                  <a:pt x="40" y="214"/>
                  <a:pt x="40" y="214"/>
                </a:cubicBezTo>
                <a:cubicBezTo>
                  <a:pt x="42" y="214"/>
                  <a:pt x="45" y="215"/>
                  <a:pt x="47" y="215"/>
                </a:cubicBezTo>
                <a:cubicBezTo>
                  <a:pt x="47" y="215"/>
                  <a:pt x="47" y="215"/>
                  <a:pt x="47" y="215"/>
                </a:cubicBezTo>
                <a:cubicBezTo>
                  <a:pt x="50" y="215"/>
                  <a:pt x="54" y="216"/>
                  <a:pt x="57" y="217"/>
                </a:cubicBezTo>
                <a:cubicBezTo>
                  <a:pt x="60" y="217"/>
                  <a:pt x="63" y="218"/>
                  <a:pt x="67" y="219"/>
                </a:cubicBezTo>
                <a:cubicBezTo>
                  <a:pt x="68" y="220"/>
                  <a:pt x="68" y="220"/>
                  <a:pt x="68" y="220"/>
                </a:cubicBezTo>
                <a:cubicBezTo>
                  <a:pt x="68" y="220"/>
                  <a:pt x="68" y="220"/>
                  <a:pt x="68" y="220"/>
                </a:cubicBezTo>
                <a:cubicBezTo>
                  <a:pt x="68" y="220"/>
                  <a:pt x="68" y="220"/>
                  <a:pt x="68" y="220"/>
                </a:cubicBezTo>
                <a:cubicBezTo>
                  <a:pt x="69" y="220"/>
                  <a:pt x="69" y="220"/>
                  <a:pt x="69" y="220"/>
                </a:cubicBezTo>
                <a:cubicBezTo>
                  <a:pt x="70" y="220"/>
                  <a:pt x="70" y="220"/>
                  <a:pt x="70" y="220"/>
                </a:cubicBezTo>
                <a:cubicBezTo>
                  <a:pt x="70" y="221"/>
                  <a:pt x="71" y="221"/>
                  <a:pt x="71" y="221"/>
                </a:cubicBezTo>
                <a:cubicBezTo>
                  <a:pt x="72" y="221"/>
                  <a:pt x="72" y="222"/>
                  <a:pt x="73" y="222"/>
                </a:cubicBezTo>
                <a:cubicBezTo>
                  <a:pt x="74" y="223"/>
                  <a:pt x="76" y="224"/>
                  <a:pt x="78" y="225"/>
                </a:cubicBezTo>
                <a:cubicBezTo>
                  <a:pt x="81" y="228"/>
                  <a:pt x="84" y="231"/>
                  <a:pt x="87" y="235"/>
                </a:cubicBezTo>
                <a:cubicBezTo>
                  <a:pt x="91" y="234"/>
                  <a:pt x="95" y="232"/>
                  <a:pt x="99" y="229"/>
                </a:cubicBezTo>
                <a:cubicBezTo>
                  <a:pt x="102" y="227"/>
                  <a:pt x="105" y="224"/>
                  <a:pt x="108" y="221"/>
                </a:cubicBezTo>
                <a:cubicBezTo>
                  <a:pt x="111" y="218"/>
                  <a:pt x="113" y="215"/>
                  <a:pt x="116" y="210"/>
                </a:cubicBezTo>
                <a:cubicBezTo>
                  <a:pt x="118" y="206"/>
                  <a:pt x="119" y="201"/>
                  <a:pt x="120" y="196"/>
                </a:cubicBezTo>
                <a:cubicBezTo>
                  <a:pt x="120" y="190"/>
                  <a:pt x="119" y="185"/>
                  <a:pt x="118" y="180"/>
                </a:cubicBezTo>
                <a:cubicBezTo>
                  <a:pt x="116" y="175"/>
                  <a:pt x="114" y="170"/>
                  <a:pt x="111" y="167"/>
                </a:cubicBezTo>
                <a:close/>
                <a:moveTo>
                  <a:pt x="64" y="176"/>
                </a:moveTo>
                <a:cubicBezTo>
                  <a:pt x="63" y="177"/>
                  <a:pt x="61" y="177"/>
                  <a:pt x="60" y="176"/>
                </a:cubicBezTo>
                <a:cubicBezTo>
                  <a:pt x="59" y="175"/>
                  <a:pt x="59" y="173"/>
                  <a:pt x="60" y="172"/>
                </a:cubicBezTo>
                <a:cubicBezTo>
                  <a:pt x="61" y="171"/>
                  <a:pt x="66" y="168"/>
                  <a:pt x="67" y="169"/>
                </a:cubicBezTo>
                <a:cubicBezTo>
                  <a:pt x="68" y="170"/>
                  <a:pt x="65" y="175"/>
                  <a:pt x="64" y="17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2651125" y="2714625"/>
            <a:ext cx="241300" cy="473075"/>
          </a:xfrm>
          <a:custGeom>
            <a:avLst/>
            <a:gdLst>
              <a:gd name="T0" fmla="*/ 88 w 103"/>
              <a:gd name="T1" fmla="*/ 54 h 201"/>
              <a:gd name="T2" fmla="*/ 57 w 103"/>
              <a:gd name="T3" fmla="*/ 42 h 201"/>
              <a:gd name="T4" fmla="*/ 30 w 103"/>
              <a:gd name="T5" fmla="*/ 34 h 201"/>
              <a:gd name="T6" fmla="*/ 29 w 103"/>
              <a:gd name="T7" fmla="*/ 11 h 201"/>
              <a:gd name="T8" fmla="*/ 32 w 103"/>
              <a:gd name="T9" fmla="*/ 9 h 201"/>
              <a:gd name="T10" fmla="*/ 33 w 103"/>
              <a:gd name="T11" fmla="*/ 9 h 201"/>
              <a:gd name="T12" fmla="*/ 6 w 103"/>
              <a:gd name="T13" fmla="*/ 0 h 201"/>
              <a:gd name="T14" fmla="*/ 19 w 103"/>
              <a:gd name="T15" fmla="*/ 55 h 201"/>
              <a:gd name="T16" fmla="*/ 36 w 103"/>
              <a:gd name="T17" fmla="*/ 60 h 201"/>
              <a:gd name="T18" fmla="*/ 79 w 103"/>
              <a:gd name="T19" fmla="*/ 72 h 201"/>
              <a:gd name="T20" fmla="*/ 79 w 103"/>
              <a:gd name="T21" fmla="*/ 73 h 201"/>
              <a:gd name="T22" fmla="*/ 79 w 103"/>
              <a:gd name="T23" fmla="*/ 88 h 201"/>
              <a:gd name="T24" fmla="*/ 67 w 103"/>
              <a:gd name="T25" fmla="*/ 70 h 201"/>
              <a:gd name="T26" fmla="*/ 52 w 103"/>
              <a:gd name="T27" fmla="*/ 66 h 201"/>
              <a:gd name="T28" fmla="*/ 28 w 103"/>
              <a:gd name="T29" fmla="*/ 60 h 201"/>
              <a:gd name="T30" fmla="*/ 19 w 103"/>
              <a:gd name="T31" fmla="*/ 64 h 201"/>
              <a:gd name="T32" fmla="*/ 31 w 103"/>
              <a:gd name="T33" fmla="*/ 106 h 201"/>
              <a:gd name="T34" fmla="*/ 65 w 103"/>
              <a:gd name="T35" fmla="*/ 114 h 201"/>
              <a:gd name="T36" fmla="*/ 73 w 103"/>
              <a:gd name="T37" fmla="*/ 133 h 201"/>
              <a:gd name="T38" fmla="*/ 65 w 103"/>
              <a:gd name="T39" fmla="*/ 116 h 201"/>
              <a:gd name="T40" fmla="*/ 41 w 103"/>
              <a:gd name="T41" fmla="*/ 111 h 201"/>
              <a:gd name="T42" fmla="*/ 27 w 103"/>
              <a:gd name="T43" fmla="*/ 133 h 201"/>
              <a:gd name="T44" fmla="*/ 43 w 103"/>
              <a:gd name="T45" fmla="*/ 148 h 201"/>
              <a:gd name="T46" fmla="*/ 68 w 103"/>
              <a:gd name="T47" fmla="*/ 158 h 201"/>
              <a:gd name="T48" fmla="*/ 72 w 103"/>
              <a:gd name="T49" fmla="*/ 168 h 201"/>
              <a:gd name="T50" fmla="*/ 58 w 103"/>
              <a:gd name="T51" fmla="*/ 154 h 201"/>
              <a:gd name="T52" fmla="*/ 55 w 103"/>
              <a:gd name="T53" fmla="*/ 154 h 201"/>
              <a:gd name="T54" fmla="*/ 52 w 103"/>
              <a:gd name="T55" fmla="*/ 153 h 201"/>
              <a:gd name="T56" fmla="*/ 39 w 103"/>
              <a:gd name="T57" fmla="*/ 151 h 201"/>
              <a:gd name="T58" fmla="*/ 58 w 103"/>
              <a:gd name="T59" fmla="*/ 188 h 201"/>
              <a:gd name="T60" fmla="*/ 85 w 103"/>
              <a:gd name="T61" fmla="*/ 196 h 201"/>
              <a:gd name="T62" fmla="*/ 61 w 103"/>
              <a:gd name="T63" fmla="*/ 180 h 201"/>
              <a:gd name="T64" fmla="*/ 48 w 103"/>
              <a:gd name="T65" fmla="*/ 159 h 201"/>
              <a:gd name="T66" fmla="*/ 53 w 103"/>
              <a:gd name="T67" fmla="*/ 155 h 201"/>
              <a:gd name="T68" fmla="*/ 62 w 103"/>
              <a:gd name="T69" fmla="*/ 178 h 201"/>
              <a:gd name="T70" fmla="*/ 62 w 103"/>
              <a:gd name="T71" fmla="*/ 178 h 201"/>
              <a:gd name="T72" fmla="*/ 83 w 103"/>
              <a:gd name="T73" fmla="*/ 167 h 201"/>
              <a:gd name="T74" fmla="*/ 76 w 103"/>
              <a:gd name="T75" fmla="*/ 149 h 201"/>
              <a:gd name="T76" fmla="*/ 48 w 103"/>
              <a:gd name="T77" fmla="*/ 135 h 201"/>
              <a:gd name="T78" fmla="*/ 40 w 103"/>
              <a:gd name="T79" fmla="*/ 128 h 201"/>
              <a:gd name="T80" fmla="*/ 55 w 103"/>
              <a:gd name="T81" fmla="*/ 136 h 201"/>
              <a:gd name="T82" fmla="*/ 76 w 103"/>
              <a:gd name="T83" fmla="*/ 146 h 201"/>
              <a:gd name="T84" fmla="*/ 83 w 103"/>
              <a:gd name="T85" fmla="*/ 143 h 201"/>
              <a:gd name="T86" fmla="*/ 82 w 103"/>
              <a:gd name="T87" fmla="*/ 104 h 201"/>
              <a:gd name="T88" fmla="*/ 78 w 103"/>
              <a:gd name="T89" fmla="*/ 102 h 201"/>
              <a:gd name="T90" fmla="*/ 38 w 103"/>
              <a:gd name="T91" fmla="*/ 89 h 201"/>
              <a:gd name="T92" fmla="*/ 37 w 103"/>
              <a:gd name="T93" fmla="*/ 73 h 201"/>
              <a:gd name="T94" fmla="*/ 38 w 103"/>
              <a:gd name="T95" fmla="*/ 72 h 201"/>
              <a:gd name="T96" fmla="*/ 51 w 103"/>
              <a:gd name="T97" fmla="*/ 91 h 201"/>
              <a:gd name="T98" fmla="*/ 66 w 103"/>
              <a:gd name="T99" fmla="*/ 95 h 201"/>
              <a:gd name="T100" fmla="*/ 82 w 103"/>
              <a:gd name="T101" fmla="*/ 102 h 201"/>
              <a:gd name="T102" fmla="*/ 86 w 103"/>
              <a:gd name="T103" fmla="*/ 106 h 201"/>
              <a:gd name="T104" fmla="*/ 98 w 103"/>
              <a:gd name="T105" fmla="*/ 64 h 20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03" h="201">
                <a:moveTo>
                  <a:pt x="98" y="64"/>
                </a:moveTo>
                <a:cubicBezTo>
                  <a:pt x="96" y="60"/>
                  <a:pt x="93" y="57"/>
                  <a:pt x="90" y="55"/>
                </a:cubicBezTo>
                <a:cubicBezTo>
                  <a:pt x="89" y="55"/>
                  <a:pt x="89" y="55"/>
                  <a:pt x="89" y="55"/>
                </a:cubicBezTo>
                <a:cubicBezTo>
                  <a:pt x="88" y="54"/>
                  <a:pt x="88" y="54"/>
                  <a:pt x="88" y="54"/>
                </a:cubicBezTo>
                <a:cubicBezTo>
                  <a:pt x="88" y="54"/>
                  <a:pt x="88" y="54"/>
                  <a:pt x="88" y="54"/>
                </a:cubicBezTo>
                <a:cubicBezTo>
                  <a:pt x="87" y="54"/>
                  <a:pt x="87" y="54"/>
                  <a:pt x="87" y="54"/>
                </a:cubicBezTo>
                <a:cubicBezTo>
                  <a:pt x="87" y="53"/>
                  <a:pt x="86" y="53"/>
                  <a:pt x="85" y="53"/>
                </a:cubicBezTo>
                <a:cubicBezTo>
                  <a:pt x="84" y="52"/>
                  <a:pt x="82" y="51"/>
                  <a:pt x="81" y="50"/>
                </a:cubicBezTo>
                <a:cubicBezTo>
                  <a:pt x="78" y="49"/>
                  <a:pt x="75" y="48"/>
                  <a:pt x="73" y="47"/>
                </a:cubicBezTo>
                <a:cubicBezTo>
                  <a:pt x="67" y="45"/>
                  <a:pt x="62" y="44"/>
                  <a:pt x="57" y="42"/>
                </a:cubicBezTo>
                <a:cubicBezTo>
                  <a:pt x="51" y="41"/>
                  <a:pt x="46" y="39"/>
                  <a:pt x="41" y="38"/>
                </a:cubicBezTo>
                <a:cubicBezTo>
                  <a:pt x="39" y="37"/>
                  <a:pt x="36" y="36"/>
                  <a:pt x="34" y="36"/>
                </a:cubicBezTo>
                <a:cubicBezTo>
                  <a:pt x="32" y="35"/>
                  <a:pt x="32" y="35"/>
                  <a:pt x="32" y="35"/>
                </a:cubicBezTo>
                <a:cubicBezTo>
                  <a:pt x="31" y="35"/>
                  <a:pt x="31" y="35"/>
                  <a:pt x="31" y="35"/>
                </a:cubicBezTo>
                <a:cubicBezTo>
                  <a:pt x="30" y="34"/>
                  <a:pt x="30" y="34"/>
                  <a:pt x="30" y="34"/>
                </a:cubicBezTo>
                <a:cubicBezTo>
                  <a:pt x="30" y="34"/>
                  <a:pt x="29" y="34"/>
                  <a:pt x="28" y="33"/>
                </a:cubicBezTo>
                <a:cubicBezTo>
                  <a:pt x="27" y="32"/>
                  <a:pt x="25" y="31"/>
                  <a:pt x="25" y="30"/>
                </a:cubicBezTo>
                <a:cubicBezTo>
                  <a:pt x="24" y="29"/>
                  <a:pt x="23" y="28"/>
                  <a:pt x="23" y="27"/>
                </a:cubicBezTo>
                <a:cubicBezTo>
                  <a:pt x="22" y="25"/>
                  <a:pt x="22" y="21"/>
                  <a:pt x="23" y="18"/>
                </a:cubicBezTo>
                <a:cubicBezTo>
                  <a:pt x="24" y="15"/>
                  <a:pt x="26" y="12"/>
                  <a:pt x="29" y="11"/>
                </a:cubicBezTo>
                <a:cubicBezTo>
                  <a:pt x="30" y="10"/>
                  <a:pt x="30" y="10"/>
                  <a:pt x="31" y="9"/>
                </a:cubicBezTo>
                <a:cubicBezTo>
                  <a:pt x="31" y="9"/>
                  <a:pt x="31" y="9"/>
                  <a:pt x="31"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3" y="9"/>
                  <a:pt x="33" y="9"/>
                  <a:pt x="33" y="9"/>
                </a:cubicBezTo>
                <a:cubicBezTo>
                  <a:pt x="33" y="9"/>
                  <a:pt x="33" y="9"/>
                  <a:pt x="33" y="9"/>
                </a:cubicBezTo>
                <a:cubicBezTo>
                  <a:pt x="35" y="8"/>
                  <a:pt x="37" y="8"/>
                  <a:pt x="39" y="7"/>
                </a:cubicBezTo>
                <a:cubicBezTo>
                  <a:pt x="41" y="7"/>
                  <a:pt x="42" y="7"/>
                  <a:pt x="44" y="7"/>
                </a:cubicBezTo>
                <a:cubicBezTo>
                  <a:pt x="39" y="6"/>
                  <a:pt x="34" y="6"/>
                  <a:pt x="29" y="5"/>
                </a:cubicBezTo>
                <a:cubicBezTo>
                  <a:pt x="22" y="4"/>
                  <a:pt x="17" y="3"/>
                  <a:pt x="11" y="1"/>
                </a:cubicBezTo>
                <a:cubicBezTo>
                  <a:pt x="10" y="1"/>
                  <a:pt x="8" y="0"/>
                  <a:pt x="6" y="0"/>
                </a:cubicBezTo>
                <a:cubicBezTo>
                  <a:pt x="4" y="3"/>
                  <a:pt x="3" y="6"/>
                  <a:pt x="2" y="9"/>
                </a:cubicBezTo>
                <a:cubicBezTo>
                  <a:pt x="0" y="14"/>
                  <a:pt x="0" y="18"/>
                  <a:pt x="0" y="22"/>
                </a:cubicBezTo>
                <a:cubicBezTo>
                  <a:pt x="0" y="27"/>
                  <a:pt x="0" y="31"/>
                  <a:pt x="2" y="36"/>
                </a:cubicBezTo>
                <a:cubicBezTo>
                  <a:pt x="4" y="40"/>
                  <a:pt x="6" y="44"/>
                  <a:pt x="9" y="47"/>
                </a:cubicBezTo>
                <a:cubicBezTo>
                  <a:pt x="12" y="50"/>
                  <a:pt x="15" y="53"/>
                  <a:pt x="19" y="55"/>
                </a:cubicBezTo>
                <a:cubicBezTo>
                  <a:pt x="20" y="56"/>
                  <a:pt x="22" y="56"/>
                  <a:pt x="24" y="57"/>
                </a:cubicBezTo>
                <a:cubicBezTo>
                  <a:pt x="24" y="57"/>
                  <a:pt x="25" y="57"/>
                  <a:pt x="25" y="57"/>
                </a:cubicBezTo>
                <a:cubicBezTo>
                  <a:pt x="26" y="58"/>
                  <a:pt x="26" y="58"/>
                  <a:pt x="26" y="58"/>
                </a:cubicBezTo>
                <a:cubicBezTo>
                  <a:pt x="28" y="58"/>
                  <a:pt x="28" y="58"/>
                  <a:pt x="28" y="58"/>
                </a:cubicBezTo>
                <a:cubicBezTo>
                  <a:pt x="31" y="59"/>
                  <a:pt x="33" y="60"/>
                  <a:pt x="36" y="60"/>
                </a:cubicBezTo>
                <a:cubicBezTo>
                  <a:pt x="42" y="62"/>
                  <a:pt x="47" y="63"/>
                  <a:pt x="52" y="64"/>
                </a:cubicBezTo>
                <a:cubicBezTo>
                  <a:pt x="57" y="65"/>
                  <a:pt x="62" y="67"/>
                  <a:pt x="67" y="68"/>
                </a:cubicBezTo>
                <a:cubicBezTo>
                  <a:pt x="70" y="69"/>
                  <a:pt x="72" y="69"/>
                  <a:pt x="74" y="70"/>
                </a:cubicBezTo>
                <a:cubicBezTo>
                  <a:pt x="75" y="71"/>
                  <a:pt x="76" y="71"/>
                  <a:pt x="77" y="72"/>
                </a:cubicBezTo>
                <a:cubicBezTo>
                  <a:pt x="78" y="72"/>
                  <a:pt x="78" y="72"/>
                  <a:pt x="79" y="72"/>
                </a:cubicBezTo>
                <a:cubicBezTo>
                  <a:pt x="79" y="72"/>
                  <a:pt x="79" y="72"/>
                  <a:pt x="79" y="72"/>
                </a:cubicBezTo>
                <a:cubicBezTo>
                  <a:pt x="79" y="73"/>
                  <a:pt x="79" y="73"/>
                  <a:pt x="79" y="73"/>
                </a:cubicBezTo>
                <a:cubicBezTo>
                  <a:pt x="79" y="73"/>
                  <a:pt x="79" y="73"/>
                  <a:pt x="79" y="73"/>
                </a:cubicBezTo>
                <a:cubicBezTo>
                  <a:pt x="79" y="73"/>
                  <a:pt x="79" y="73"/>
                  <a:pt x="79" y="73"/>
                </a:cubicBezTo>
                <a:cubicBezTo>
                  <a:pt x="79" y="73"/>
                  <a:pt x="79" y="73"/>
                  <a:pt x="79" y="73"/>
                </a:cubicBezTo>
                <a:cubicBezTo>
                  <a:pt x="80" y="73"/>
                  <a:pt x="80" y="73"/>
                  <a:pt x="80" y="73"/>
                </a:cubicBezTo>
                <a:cubicBezTo>
                  <a:pt x="83" y="75"/>
                  <a:pt x="84" y="77"/>
                  <a:pt x="85" y="79"/>
                </a:cubicBezTo>
                <a:cubicBezTo>
                  <a:pt x="85" y="82"/>
                  <a:pt x="84" y="84"/>
                  <a:pt x="82" y="86"/>
                </a:cubicBezTo>
                <a:cubicBezTo>
                  <a:pt x="82" y="87"/>
                  <a:pt x="81" y="87"/>
                  <a:pt x="80" y="88"/>
                </a:cubicBezTo>
                <a:cubicBezTo>
                  <a:pt x="80" y="88"/>
                  <a:pt x="80" y="88"/>
                  <a:pt x="79" y="88"/>
                </a:cubicBezTo>
                <a:cubicBezTo>
                  <a:pt x="79" y="89"/>
                  <a:pt x="79" y="89"/>
                  <a:pt x="79" y="89"/>
                </a:cubicBezTo>
                <a:cubicBezTo>
                  <a:pt x="78" y="89"/>
                  <a:pt x="78" y="89"/>
                  <a:pt x="78" y="89"/>
                </a:cubicBezTo>
                <a:cubicBezTo>
                  <a:pt x="76" y="90"/>
                  <a:pt x="74" y="91"/>
                  <a:pt x="71" y="91"/>
                </a:cubicBezTo>
                <a:cubicBezTo>
                  <a:pt x="70" y="92"/>
                  <a:pt x="68" y="92"/>
                  <a:pt x="66" y="93"/>
                </a:cubicBezTo>
                <a:cubicBezTo>
                  <a:pt x="67" y="85"/>
                  <a:pt x="67" y="78"/>
                  <a:pt x="67" y="70"/>
                </a:cubicBezTo>
                <a:cubicBezTo>
                  <a:pt x="67" y="70"/>
                  <a:pt x="67" y="70"/>
                  <a:pt x="67" y="70"/>
                </a:cubicBezTo>
                <a:cubicBezTo>
                  <a:pt x="63" y="69"/>
                  <a:pt x="59" y="68"/>
                  <a:pt x="54" y="67"/>
                </a:cubicBezTo>
                <a:cubicBezTo>
                  <a:pt x="54" y="67"/>
                  <a:pt x="54" y="67"/>
                  <a:pt x="54" y="67"/>
                </a:cubicBezTo>
                <a:cubicBezTo>
                  <a:pt x="54" y="67"/>
                  <a:pt x="53" y="67"/>
                  <a:pt x="53" y="67"/>
                </a:cubicBezTo>
                <a:cubicBezTo>
                  <a:pt x="52" y="66"/>
                  <a:pt x="52" y="66"/>
                  <a:pt x="52" y="66"/>
                </a:cubicBezTo>
                <a:cubicBezTo>
                  <a:pt x="52" y="66"/>
                  <a:pt x="52" y="66"/>
                  <a:pt x="52" y="66"/>
                </a:cubicBezTo>
                <a:cubicBezTo>
                  <a:pt x="51" y="66"/>
                  <a:pt x="50" y="66"/>
                  <a:pt x="49" y="66"/>
                </a:cubicBezTo>
                <a:cubicBezTo>
                  <a:pt x="49" y="66"/>
                  <a:pt x="49" y="66"/>
                  <a:pt x="49" y="66"/>
                </a:cubicBezTo>
                <a:cubicBezTo>
                  <a:pt x="45" y="65"/>
                  <a:pt x="40" y="64"/>
                  <a:pt x="36" y="62"/>
                </a:cubicBezTo>
                <a:cubicBezTo>
                  <a:pt x="33" y="62"/>
                  <a:pt x="30" y="61"/>
                  <a:pt x="28" y="60"/>
                </a:cubicBezTo>
                <a:cubicBezTo>
                  <a:pt x="26" y="60"/>
                  <a:pt x="26" y="60"/>
                  <a:pt x="26" y="60"/>
                </a:cubicBezTo>
                <a:cubicBezTo>
                  <a:pt x="24" y="59"/>
                  <a:pt x="24" y="59"/>
                  <a:pt x="24" y="59"/>
                </a:cubicBezTo>
                <a:cubicBezTo>
                  <a:pt x="24" y="59"/>
                  <a:pt x="24" y="59"/>
                  <a:pt x="23" y="59"/>
                </a:cubicBezTo>
                <a:cubicBezTo>
                  <a:pt x="23" y="59"/>
                  <a:pt x="23" y="59"/>
                  <a:pt x="23" y="59"/>
                </a:cubicBezTo>
                <a:cubicBezTo>
                  <a:pt x="21" y="60"/>
                  <a:pt x="20" y="62"/>
                  <a:pt x="19" y="64"/>
                </a:cubicBezTo>
                <a:cubicBezTo>
                  <a:pt x="17" y="68"/>
                  <a:pt x="15" y="72"/>
                  <a:pt x="14" y="77"/>
                </a:cubicBezTo>
                <a:cubicBezTo>
                  <a:pt x="14" y="81"/>
                  <a:pt x="14" y="86"/>
                  <a:pt x="16" y="90"/>
                </a:cubicBezTo>
                <a:cubicBezTo>
                  <a:pt x="18" y="95"/>
                  <a:pt x="21" y="98"/>
                  <a:pt x="24" y="101"/>
                </a:cubicBezTo>
                <a:cubicBezTo>
                  <a:pt x="25" y="102"/>
                  <a:pt x="27" y="103"/>
                  <a:pt x="28" y="104"/>
                </a:cubicBezTo>
                <a:cubicBezTo>
                  <a:pt x="29" y="105"/>
                  <a:pt x="30" y="105"/>
                  <a:pt x="31" y="106"/>
                </a:cubicBezTo>
                <a:cubicBezTo>
                  <a:pt x="31" y="106"/>
                  <a:pt x="32" y="106"/>
                  <a:pt x="32" y="106"/>
                </a:cubicBezTo>
                <a:cubicBezTo>
                  <a:pt x="33" y="107"/>
                  <a:pt x="33" y="107"/>
                  <a:pt x="33" y="107"/>
                </a:cubicBezTo>
                <a:cubicBezTo>
                  <a:pt x="36" y="108"/>
                  <a:pt x="39" y="108"/>
                  <a:pt x="42" y="109"/>
                </a:cubicBezTo>
                <a:cubicBezTo>
                  <a:pt x="47" y="110"/>
                  <a:pt x="53" y="111"/>
                  <a:pt x="58" y="112"/>
                </a:cubicBezTo>
                <a:cubicBezTo>
                  <a:pt x="60" y="113"/>
                  <a:pt x="63" y="113"/>
                  <a:pt x="65" y="114"/>
                </a:cubicBezTo>
                <a:cubicBezTo>
                  <a:pt x="67" y="115"/>
                  <a:pt x="69" y="115"/>
                  <a:pt x="71" y="116"/>
                </a:cubicBezTo>
                <a:cubicBezTo>
                  <a:pt x="74" y="118"/>
                  <a:pt x="76" y="121"/>
                  <a:pt x="77" y="124"/>
                </a:cubicBezTo>
                <a:cubicBezTo>
                  <a:pt x="77" y="125"/>
                  <a:pt x="77" y="126"/>
                  <a:pt x="77" y="128"/>
                </a:cubicBezTo>
                <a:cubicBezTo>
                  <a:pt x="76" y="129"/>
                  <a:pt x="76" y="131"/>
                  <a:pt x="74" y="132"/>
                </a:cubicBezTo>
                <a:cubicBezTo>
                  <a:pt x="74" y="132"/>
                  <a:pt x="74" y="132"/>
                  <a:pt x="73" y="133"/>
                </a:cubicBezTo>
                <a:cubicBezTo>
                  <a:pt x="73" y="133"/>
                  <a:pt x="73" y="133"/>
                  <a:pt x="73" y="133"/>
                </a:cubicBezTo>
                <a:cubicBezTo>
                  <a:pt x="72" y="134"/>
                  <a:pt x="72" y="134"/>
                  <a:pt x="72" y="134"/>
                </a:cubicBezTo>
                <a:cubicBezTo>
                  <a:pt x="71" y="134"/>
                  <a:pt x="70" y="135"/>
                  <a:pt x="70" y="135"/>
                </a:cubicBezTo>
                <a:cubicBezTo>
                  <a:pt x="68" y="136"/>
                  <a:pt x="66" y="137"/>
                  <a:pt x="64" y="137"/>
                </a:cubicBezTo>
                <a:cubicBezTo>
                  <a:pt x="65" y="116"/>
                  <a:pt x="65" y="116"/>
                  <a:pt x="65" y="116"/>
                </a:cubicBezTo>
                <a:cubicBezTo>
                  <a:pt x="65" y="116"/>
                  <a:pt x="65" y="116"/>
                  <a:pt x="64" y="116"/>
                </a:cubicBezTo>
                <a:cubicBezTo>
                  <a:pt x="62" y="115"/>
                  <a:pt x="60" y="115"/>
                  <a:pt x="57" y="114"/>
                </a:cubicBezTo>
                <a:cubicBezTo>
                  <a:pt x="55" y="114"/>
                  <a:pt x="54" y="114"/>
                  <a:pt x="52" y="113"/>
                </a:cubicBezTo>
                <a:cubicBezTo>
                  <a:pt x="52" y="113"/>
                  <a:pt x="52" y="113"/>
                  <a:pt x="52" y="113"/>
                </a:cubicBezTo>
                <a:cubicBezTo>
                  <a:pt x="48" y="113"/>
                  <a:pt x="45" y="112"/>
                  <a:pt x="41" y="111"/>
                </a:cubicBezTo>
                <a:cubicBezTo>
                  <a:pt x="39" y="111"/>
                  <a:pt x="36" y="110"/>
                  <a:pt x="32" y="108"/>
                </a:cubicBezTo>
                <a:cubicBezTo>
                  <a:pt x="32" y="108"/>
                  <a:pt x="32" y="108"/>
                  <a:pt x="32" y="108"/>
                </a:cubicBezTo>
                <a:cubicBezTo>
                  <a:pt x="31" y="108"/>
                  <a:pt x="31" y="109"/>
                  <a:pt x="31" y="109"/>
                </a:cubicBezTo>
                <a:cubicBezTo>
                  <a:pt x="28" y="112"/>
                  <a:pt x="27" y="116"/>
                  <a:pt x="26" y="120"/>
                </a:cubicBezTo>
                <a:cubicBezTo>
                  <a:pt x="25" y="125"/>
                  <a:pt x="26" y="129"/>
                  <a:pt x="27" y="133"/>
                </a:cubicBezTo>
                <a:cubicBezTo>
                  <a:pt x="29" y="137"/>
                  <a:pt x="31" y="140"/>
                  <a:pt x="34" y="143"/>
                </a:cubicBezTo>
                <a:cubicBezTo>
                  <a:pt x="35" y="144"/>
                  <a:pt x="35" y="144"/>
                  <a:pt x="36" y="145"/>
                </a:cubicBezTo>
                <a:cubicBezTo>
                  <a:pt x="37" y="145"/>
                  <a:pt x="37" y="145"/>
                  <a:pt x="37" y="145"/>
                </a:cubicBezTo>
                <a:cubicBezTo>
                  <a:pt x="37" y="146"/>
                  <a:pt x="38" y="146"/>
                  <a:pt x="38" y="146"/>
                </a:cubicBezTo>
                <a:cubicBezTo>
                  <a:pt x="40" y="147"/>
                  <a:pt x="41" y="148"/>
                  <a:pt x="43" y="148"/>
                </a:cubicBezTo>
                <a:cubicBezTo>
                  <a:pt x="46" y="150"/>
                  <a:pt x="49" y="150"/>
                  <a:pt x="51" y="151"/>
                </a:cubicBezTo>
                <a:cubicBezTo>
                  <a:pt x="54" y="151"/>
                  <a:pt x="56" y="152"/>
                  <a:pt x="59" y="152"/>
                </a:cubicBezTo>
                <a:cubicBezTo>
                  <a:pt x="61" y="153"/>
                  <a:pt x="63" y="154"/>
                  <a:pt x="64" y="155"/>
                </a:cubicBezTo>
                <a:cubicBezTo>
                  <a:pt x="65" y="156"/>
                  <a:pt x="66" y="156"/>
                  <a:pt x="67" y="157"/>
                </a:cubicBezTo>
                <a:cubicBezTo>
                  <a:pt x="68" y="157"/>
                  <a:pt x="68" y="158"/>
                  <a:pt x="68" y="158"/>
                </a:cubicBezTo>
                <a:cubicBezTo>
                  <a:pt x="69" y="158"/>
                  <a:pt x="69" y="158"/>
                  <a:pt x="69" y="158"/>
                </a:cubicBezTo>
                <a:cubicBezTo>
                  <a:pt x="69" y="159"/>
                  <a:pt x="69" y="159"/>
                  <a:pt x="69" y="159"/>
                </a:cubicBezTo>
                <a:cubicBezTo>
                  <a:pt x="69" y="159"/>
                  <a:pt x="69" y="159"/>
                  <a:pt x="70" y="159"/>
                </a:cubicBezTo>
                <a:cubicBezTo>
                  <a:pt x="71" y="161"/>
                  <a:pt x="72" y="162"/>
                  <a:pt x="72" y="164"/>
                </a:cubicBezTo>
                <a:cubicBezTo>
                  <a:pt x="73" y="166"/>
                  <a:pt x="73" y="167"/>
                  <a:pt x="72" y="168"/>
                </a:cubicBezTo>
                <a:cubicBezTo>
                  <a:pt x="72" y="170"/>
                  <a:pt x="70" y="171"/>
                  <a:pt x="69" y="172"/>
                </a:cubicBezTo>
                <a:cubicBezTo>
                  <a:pt x="67" y="174"/>
                  <a:pt x="65" y="175"/>
                  <a:pt x="62" y="176"/>
                </a:cubicBezTo>
                <a:cubicBezTo>
                  <a:pt x="63" y="157"/>
                  <a:pt x="63" y="157"/>
                  <a:pt x="63" y="157"/>
                </a:cubicBezTo>
                <a:cubicBezTo>
                  <a:pt x="63" y="157"/>
                  <a:pt x="63" y="157"/>
                  <a:pt x="63" y="157"/>
                </a:cubicBezTo>
                <a:cubicBezTo>
                  <a:pt x="62" y="156"/>
                  <a:pt x="60" y="155"/>
                  <a:pt x="58" y="154"/>
                </a:cubicBezTo>
                <a:cubicBezTo>
                  <a:pt x="58" y="154"/>
                  <a:pt x="58" y="154"/>
                  <a:pt x="58" y="154"/>
                </a:cubicBezTo>
                <a:cubicBezTo>
                  <a:pt x="58" y="154"/>
                  <a:pt x="58" y="154"/>
                  <a:pt x="58" y="154"/>
                </a:cubicBezTo>
                <a:cubicBezTo>
                  <a:pt x="57" y="154"/>
                  <a:pt x="56" y="154"/>
                  <a:pt x="55" y="154"/>
                </a:cubicBezTo>
                <a:cubicBezTo>
                  <a:pt x="55" y="154"/>
                  <a:pt x="55" y="154"/>
                  <a:pt x="55" y="154"/>
                </a:cubicBezTo>
                <a:cubicBezTo>
                  <a:pt x="55" y="154"/>
                  <a:pt x="55" y="154"/>
                  <a:pt x="55" y="154"/>
                </a:cubicBezTo>
                <a:cubicBezTo>
                  <a:pt x="55" y="154"/>
                  <a:pt x="54" y="153"/>
                  <a:pt x="54" y="153"/>
                </a:cubicBezTo>
                <a:cubicBezTo>
                  <a:pt x="54" y="153"/>
                  <a:pt x="54" y="153"/>
                  <a:pt x="54" y="153"/>
                </a:cubicBezTo>
                <a:cubicBezTo>
                  <a:pt x="53" y="153"/>
                  <a:pt x="53" y="153"/>
                  <a:pt x="53" y="153"/>
                </a:cubicBezTo>
                <a:cubicBezTo>
                  <a:pt x="53" y="153"/>
                  <a:pt x="53" y="153"/>
                  <a:pt x="53" y="153"/>
                </a:cubicBezTo>
                <a:cubicBezTo>
                  <a:pt x="53" y="153"/>
                  <a:pt x="52" y="153"/>
                  <a:pt x="52" y="153"/>
                </a:cubicBezTo>
                <a:cubicBezTo>
                  <a:pt x="51" y="153"/>
                  <a:pt x="51" y="153"/>
                  <a:pt x="51" y="153"/>
                </a:cubicBezTo>
                <a:cubicBezTo>
                  <a:pt x="48" y="152"/>
                  <a:pt x="45" y="152"/>
                  <a:pt x="42" y="150"/>
                </a:cubicBezTo>
                <a:cubicBezTo>
                  <a:pt x="42" y="150"/>
                  <a:pt x="41" y="150"/>
                  <a:pt x="41" y="150"/>
                </a:cubicBezTo>
                <a:cubicBezTo>
                  <a:pt x="40" y="150"/>
                  <a:pt x="40" y="150"/>
                  <a:pt x="40" y="150"/>
                </a:cubicBezTo>
                <a:cubicBezTo>
                  <a:pt x="40" y="150"/>
                  <a:pt x="40" y="151"/>
                  <a:pt x="39" y="151"/>
                </a:cubicBezTo>
                <a:cubicBezTo>
                  <a:pt x="37" y="154"/>
                  <a:pt x="35" y="157"/>
                  <a:pt x="34" y="161"/>
                </a:cubicBezTo>
                <a:cubicBezTo>
                  <a:pt x="34" y="163"/>
                  <a:pt x="34" y="165"/>
                  <a:pt x="34" y="167"/>
                </a:cubicBezTo>
                <a:cubicBezTo>
                  <a:pt x="34" y="169"/>
                  <a:pt x="35" y="171"/>
                  <a:pt x="36" y="173"/>
                </a:cubicBezTo>
                <a:cubicBezTo>
                  <a:pt x="38" y="177"/>
                  <a:pt x="40" y="180"/>
                  <a:pt x="43" y="181"/>
                </a:cubicBezTo>
                <a:cubicBezTo>
                  <a:pt x="48" y="184"/>
                  <a:pt x="53" y="186"/>
                  <a:pt x="58" y="188"/>
                </a:cubicBezTo>
                <a:cubicBezTo>
                  <a:pt x="64" y="190"/>
                  <a:pt x="69" y="191"/>
                  <a:pt x="74" y="192"/>
                </a:cubicBezTo>
                <a:cubicBezTo>
                  <a:pt x="76" y="193"/>
                  <a:pt x="79" y="194"/>
                  <a:pt x="81" y="195"/>
                </a:cubicBezTo>
                <a:cubicBezTo>
                  <a:pt x="82" y="196"/>
                  <a:pt x="83" y="196"/>
                  <a:pt x="84" y="197"/>
                </a:cubicBezTo>
                <a:cubicBezTo>
                  <a:pt x="84" y="198"/>
                  <a:pt x="85" y="199"/>
                  <a:pt x="86" y="201"/>
                </a:cubicBezTo>
                <a:cubicBezTo>
                  <a:pt x="86" y="199"/>
                  <a:pt x="86" y="198"/>
                  <a:pt x="85" y="196"/>
                </a:cubicBezTo>
                <a:cubicBezTo>
                  <a:pt x="84" y="195"/>
                  <a:pt x="84" y="193"/>
                  <a:pt x="83" y="192"/>
                </a:cubicBezTo>
                <a:cubicBezTo>
                  <a:pt x="80" y="190"/>
                  <a:pt x="78" y="189"/>
                  <a:pt x="76" y="187"/>
                </a:cubicBezTo>
                <a:cubicBezTo>
                  <a:pt x="74" y="186"/>
                  <a:pt x="73" y="186"/>
                  <a:pt x="71" y="185"/>
                </a:cubicBezTo>
                <a:cubicBezTo>
                  <a:pt x="71" y="185"/>
                  <a:pt x="71" y="185"/>
                  <a:pt x="71" y="185"/>
                </a:cubicBezTo>
                <a:cubicBezTo>
                  <a:pt x="68" y="183"/>
                  <a:pt x="64" y="181"/>
                  <a:pt x="61" y="180"/>
                </a:cubicBezTo>
                <a:cubicBezTo>
                  <a:pt x="57" y="178"/>
                  <a:pt x="52" y="175"/>
                  <a:pt x="48" y="172"/>
                </a:cubicBezTo>
                <a:cubicBezTo>
                  <a:pt x="47" y="171"/>
                  <a:pt x="45" y="170"/>
                  <a:pt x="45" y="168"/>
                </a:cubicBezTo>
                <a:cubicBezTo>
                  <a:pt x="44" y="167"/>
                  <a:pt x="44" y="166"/>
                  <a:pt x="45" y="164"/>
                </a:cubicBezTo>
                <a:cubicBezTo>
                  <a:pt x="45" y="162"/>
                  <a:pt x="46" y="161"/>
                  <a:pt x="48" y="159"/>
                </a:cubicBezTo>
                <a:cubicBezTo>
                  <a:pt x="48" y="159"/>
                  <a:pt x="48" y="159"/>
                  <a:pt x="48" y="159"/>
                </a:cubicBezTo>
                <a:cubicBezTo>
                  <a:pt x="48" y="158"/>
                  <a:pt x="48" y="158"/>
                  <a:pt x="48" y="158"/>
                </a:cubicBezTo>
                <a:cubicBezTo>
                  <a:pt x="49" y="158"/>
                  <a:pt x="49" y="158"/>
                  <a:pt x="49" y="158"/>
                </a:cubicBezTo>
                <a:cubicBezTo>
                  <a:pt x="49" y="158"/>
                  <a:pt x="49" y="157"/>
                  <a:pt x="50" y="157"/>
                </a:cubicBezTo>
                <a:cubicBezTo>
                  <a:pt x="51" y="156"/>
                  <a:pt x="52" y="156"/>
                  <a:pt x="53" y="155"/>
                </a:cubicBezTo>
                <a:cubicBezTo>
                  <a:pt x="53" y="155"/>
                  <a:pt x="53" y="155"/>
                  <a:pt x="53" y="155"/>
                </a:cubicBezTo>
                <a:cubicBezTo>
                  <a:pt x="53" y="157"/>
                  <a:pt x="53" y="157"/>
                  <a:pt x="53" y="157"/>
                </a:cubicBezTo>
                <a:cubicBezTo>
                  <a:pt x="54" y="174"/>
                  <a:pt x="54" y="174"/>
                  <a:pt x="54" y="174"/>
                </a:cubicBezTo>
                <a:cubicBezTo>
                  <a:pt x="56" y="175"/>
                  <a:pt x="58" y="176"/>
                  <a:pt x="61" y="177"/>
                </a:cubicBezTo>
                <a:cubicBezTo>
                  <a:pt x="61" y="177"/>
                  <a:pt x="61" y="177"/>
                  <a:pt x="61" y="177"/>
                </a:cubicBezTo>
                <a:cubicBezTo>
                  <a:pt x="61"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4" y="179"/>
                  <a:pt x="66" y="180"/>
                  <a:pt x="67" y="181"/>
                </a:cubicBezTo>
                <a:cubicBezTo>
                  <a:pt x="69" y="181"/>
                  <a:pt x="70" y="182"/>
                  <a:pt x="71" y="183"/>
                </a:cubicBezTo>
                <a:cubicBezTo>
                  <a:pt x="72" y="182"/>
                  <a:pt x="73" y="182"/>
                  <a:pt x="74" y="181"/>
                </a:cubicBezTo>
                <a:cubicBezTo>
                  <a:pt x="77" y="180"/>
                  <a:pt x="80" y="177"/>
                  <a:pt x="81" y="173"/>
                </a:cubicBezTo>
                <a:cubicBezTo>
                  <a:pt x="82" y="171"/>
                  <a:pt x="83" y="169"/>
                  <a:pt x="83" y="167"/>
                </a:cubicBezTo>
                <a:cubicBezTo>
                  <a:pt x="83" y="165"/>
                  <a:pt x="83" y="163"/>
                  <a:pt x="83" y="161"/>
                </a:cubicBezTo>
                <a:cubicBezTo>
                  <a:pt x="82" y="157"/>
                  <a:pt x="80" y="154"/>
                  <a:pt x="78" y="151"/>
                </a:cubicBezTo>
                <a:cubicBezTo>
                  <a:pt x="78" y="151"/>
                  <a:pt x="77" y="150"/>
                  <a:pt x="77" y="150"/>
                </a:cubicBezTo>
                <a:cubicBezTo>
                  <a:pt x="77" y="150"/>
                  <a:pt x="77" y="150"/>
                  <a:pt x="77" y="150"/>
                </a:cubicBezTo>
                <a:cubicBezTo>
                  <a:pt x="76" y="149"/>
                  <a:pt x="76" y="149"/>
                  <a:pt x="76" y="149"/>
                </a:cubicBezTo>
                <a:cubicBezTo>
                  <a:pt x="76" y="148"/>
                  <a:pt x="75" y="148"/>
                  <a:pt x="74" y="147"/>
                </a:cubicBezTo>
                <a:cubicBezTo>
                  <a:pt x="73" y="146"/>
                  <a:pt x="72" y="145"/>
                  <a:pt x="71" y="144"/>
                </a:cubicBezTo>
                <a:cubicBezTo>
                  <a:pt x="68" y="143"/>
                  <a:pt x="65" y="141"/>
                  <a:pt x="62" y="140"/>
                </a:cubicBezTo>
                <a:cubicBezTo>
                  <a:pt x="59" y="139"/>
                  <a:pt x="57" y="138"/>
                  <a:pt x="54" y="137"/>
                </a:cubicBezTo>
                <a:cubicBezTo>
                  <a:pt x="52" y="137"/>
                  <a:pt x="49" y="136"/>
                  <a:pt x="48" y="135"/>
                </a:cubicBezTo>
                <a:cubicBezTo>
                  <a:pt x="47" y="135"/>
                  <a:pt x="46" y="134"/>
                  <a:pt x="45" y="134"/>
                </a:cubicBezTo>
                <a:cubicBezTo>
                  <a:pt x="44" y="133"/>
                  <a:pt x="44" y="133"/>
                  <a:pt x="44" y="133"/>
                </a:cubicBezTo>
                <a:cubicBezTo>
                  <a:pt x="44" y="133"/>
                  <a:pt x="44" y="133"/>
                  <a:pt x="44" y="133"/>
                </a:cubicBezTo>
                <a:cubicBezTo>
                  <a:pt x="43" y="132"/>
                  <a:pt x="43" y="132"/>
                  <a:pt x="43" y="132"/>
                </a:cubicBezTo>
                <a:cubicBezTo>
                  <a:pt x="42" y="131"/>
                  <a:pt x="41" y="129"/>
                  <a:pt x="40" y="128"/>
                </a:cubicBezTo>
                <a:cubicBezTo>
                  <a:pt x="40" y="126"/>
                  <a:pt x="40" y="125"/>
                  <a:pt x="40" y="124"/>
                </a:cubicBezTo>
                <a:cubicBezTo>
                  <a:pt x="41" y="121"/>
                  <a:pt x="43" y="118"/>
                  <a:pt x="46" y="116"/>
                </a:cubicBezTo>
                <a:cubicBezTo>
                  <a:pt x="48" y="116"/>
                  <a:pt x="50" y="115"/>
                  <a:pt x="52" y="114"/>
                </a:cubicBezTo>
                <a:cubicBezTo>
                  <a:pt x="53" y="135"/>
                  <a:pt x="53" y="135"/>
                  <a:pt x="53" y="135"/>
                </a:cubicBezTo>
                <a:cubicBezTo>
                  <a:pt x="53" y="135"/>
                  <a:pt x="54" y="135"/>
                  <a:pt x="55" y="136"/>
                </a:cubicBezTo>
                <a:cubicBezTo>
                  <a:pt x="55" y="136"/>
                  <a:pt x="55" y="136"/>
                  <a:pt x="55" y="136"/>
                </a:cubicBezTo>
                <a:cubicBezTo>
                  <a:pt x="57" y="136"/>
                  <a:pt x="60" y="137"/>
                  <a:pt x="63" y="138"/>
                </a:cubicBezTo>
                <a:cubicBezTo>
                  <a:pt x="63" y="138"/>
                  <a:pt x="63" y="138"/>
                  <a:pt x="63" y="138"/>
                </a:cubicBezTo>
                <a:cubicBezTo>
                  <a:pt x="66" y="139"/>
                  <a:pt x="69" y="141"/>
                  <a:pt x="72" y="143"/>
                </a:cubicBezTo>
                <a:cubicBezTo>
                  <a:pt x="73" y="144"/>
                  <a:pt x="74" y="145"/>
                  <a:pt x="76" y="146"/>
                </a:cubicBezTo>
                <a:cubicBezTo>
                  <a:pt x="76" y="146"/>
                  <a:pt x="76" y="147"/>
                  <a:pt x="77" y="147"/>
                </a:cubicBezTo>
                <a:cubicBezTo>
                  <a:pt x="78" y="147"/>
                  <a:pt x="78" y="146"/>
                  <a:pt x="79" y="146"/>
                </a:cubicBezTo>
                <a:cubicBezTo>
                  <a:pt x="79" y="146"/>
                  <a:pt x="80" y="146"/>
                  <a:pt x="80" y="145"/>
                </a:cubicBezTo>
                <a:cubicBezTo>
                  <a:pt x="81" y="145"/>
                  <a:pt x="81" y="145"/>
                  <a:pt x="81" y="145"/>
                </a:cubicBezTo>
                <a:cubicBezTo>
                  <a:pt x="82" y="144"/>
                  <a:pt x="82" y="144"/>
                  <a:pt x="83" y="143"/>
                </a:cubicBezTo>
                <a:cubicBezTo>
                  <a:pt x="86" y="140"/>
                  <a:pt x="88" y="137"/>
                  <a:pt x="90" y="133"/>
                </a:cubicBezTo>
                <a:cubicBezTo>
                  <a:pt x="91" y="129"/>
                  <a:pt x="92" y="125"/>
                  <a:pt x="91" y="120"/>
                </a:cubicBezTo>
                <a:cubicBezTo>
                  <a:pt x="90" y="116"/>
                  <a:pt x="89" y="112"/>
                  <a:pt x="86" y="109"/>
                </a:cubicBezTo>
                <a:cubicBezTo>
                  <a:pt x="85" y="108"/>
                  <a:pt x="84" y="106"/>
                  <a:pt x="82" y="105"/>
                </a:cubicBezTo>
                <a:cubicBezTo>
                  <a:pt x="82" y="104"/>
                  <a:pt x="82" y="104"/>
                  <a:pt x="82" y="104"/>
                </a:cubicBezTo>
                <a:cubicBezTo>
                  <a:pt x="81" y="104"/>
                  <a:pt x="81" y="104"/>
                  <a:pt x="81" y="104"/>
                </a:cubicBezTo>
                <a:cubicBezTo>
                  <a:pt x="81" y="104"/>
                  <a:pt x="81" y="104"/>
                  <a:pt x="81" y="104"/>
                </a:cubicBezTo>
                <a:cubicBezTo>
                  <a:pt x="81" y="104"/>
                  <a:pt x="81" y="104"/>
                  <a:pt x="81" y="104"/>
                </a:cubicBezTo>
                <a:cubicBezTo>
                  <a:pt x="80" y="103"/>
                  <a:pt x="80" y="103"/>
                  <a:pt x="80" y="103"/>
                </a:cubicBezTo>
                <a:cubicBezTo>
                  <a:pt x="80" y="103"/>
                  <a:pt x="79" y="102"/>
                  <a:pt x="78" y="102"/>
                </a:cubicBezTo>
                <a:cubicBezTo>
                  <a:pt x="75" y="100"/>
                  <a:pt x="72" y="99"/>
                  <a:pt x="69" y="98"/>
                </a:cubicBezTo>
                <a:cubicBezTo>
                  <a:pt x="66" y="97"/>
                  <a:pt x="64" y="96"/>
                  <a:pt x="61" y="95"/>
                </a:cubicBezTo>
                <a:cubicBezTo>
                  <a:pt x="56" y="94"/>
                  <a:pt x="50" y="93"/>
                  <a:pt x="46" y="91"/>
                </a:cubicBezTo>
                <a:cubicBezTo>
                  <a:pt x="43" y="91"/>
                  <a:pt x="41" y="90"/>
                  <a:pt x="39" y="89"/>
                </a:cubicBezTo>
                <a:cubicBezTo>
                  <a:pt x="38" y="89"/>
                  <a:pt x="38" y="89"/>
                  <a:pt x="38" y="89"/>
                </a:cubicBezTo>
                <a:cubicBezTo>
                  <a:pt x="38" y="89"/>
                  <a:pt x="38" y="89"/>
                  <a:pt x="38" y="88"/>
                </a:cubicBezTo>
                <a:cubicBezTo>
                  <a:pt x="37" y="88"/>
                  <a:pt x="37" y="88"/>
                  <a:pt x="37" y="88"/>
                </a:cubicBezTo>
                <a:cubicBezTo>
                  <a:pt x="36" y="87"/>
                  <a:pt x="35" y="87"/>
                  <a:pt x="35" y="86"/>
                </a:cubicBezTo>
                <a:cubicBezTo>
                  <a:pt x="33" y="84"/>
                  <a:pt x="32" y="82"/>
                  <a:pt x="32" y="79"/>
                </a:cubicBezTo>
                <a:cubicBezTo>
                  <a:pt x="33" y="77"/>
                  <a:pt x="34" y="75"/>
                  <a:pt x="37" y="73"/>
                </a:cubicBezTo>
                <a:cubicBezTo>
                  <a:pt x="38" y="73"/>
                  <a:pt x="38" y="73"/>
                  <a:pt x="38" y="73"/>
                </a:cubicBezTo>
                <a:cubicBezTo>
                  <a:pt x="38" y="73"/>
                  <a:pt x="38" y="73"/>
                  <a:pt x="38" y="73"/>
                </a:cubicBezTo>
                <a:cubicBezTo>
                  <a:pt x="38" y="73"/>
                  <a:pt x="38" y="73"/>
                  <a:pt x="38" y="73"/>
                </a:cubicBezTo>
                <a:cubicBezTo>
                  <a:pt x="38" y="73"/>
                  <a:pt x="38" y="73"/>
                  <a:pt x="38" y="73"/>
                </a:cubicBezTo>
                <a:cubicBezTo>
                  <a:pt x="38" y="72"/>
                  <a:pt x="38" y="72"/>
                  <a:pt x="38" y="72"/>
                </a:cubicBezTo>
                <a:cubicBezTo>
                  <a:pt x="38" y="72"/>
                  <a:pt x="38" y="72"/>
                  <a:pt x="38" y="72"/>
                </a:cubicBezTo>
                <a:cubicBezTo>
                  <a:pt x="39" y="72"/>
                  <a:pt x="39" y="72"/>
                  <a:pt x="40" y="72"/>
                </a:cubicBezTo>
                <a:cubicBezTo>
                  <a:pt x="41" y="71"/>
                  <a:pt x="42" y="71"/>
                  <a:pt x="43" y="70"/>
                </a:cubicBezTo>
                <a:cubicBezTo>
                  <a:pt x="45" y="70"/>
                  <a:pt x="47" y="69"/>
                  <a:pt x="50" y="68"/>
                </a:cubicBezTo>
                <a:cubicBezTo>
                  <a:pt x="50" y="76"/>
                  <a:pt x="50" y="83"/>
                  <a:pt x="51" y="91"/>
                </a:cubicBezTo>
                <a:cubicBezTo>
                  <a:pt x="54" y="91"/>
                  <a:pt x="58" y="92"/>
                  <a:pt x="61" y="93"/>
                </a:cubicBezTo>
                <a:cubicBezTo>
                  <a:pt x="62" y="93"/>
                  <a:pt x="63" y="94"/>
                  <a:pt x="64" y="94"/>
                </a:cubicBezTo>
                <a:cubicBezTo>
                  <a:pt x="64" y="94"/>
                  <a:pt x="64" y="94"/>
                  <a:pt x="64" y="94"/>
                </a:cubicBezTo>
                <a:cubicBezTo>
                  <a:pt x="65" y="94"/>
                  <a:pt x="65" y="94"/>
                  <a:pt x="66" y="95"/>
                </a:cubicBezTo>
                <a:cubicBezTo>
                  <a:pt x="66" y="95"/>
                  <a:pt x="66" y="95"/>
                  <a:pt x="66" y="95"/>
                </a:cubicBezTo>
                <a:cubicBezTo>
                  <a:pt x="67" y="95"/>
                  <a:pt x="69" y="95"/>
                  <a:pt x="70" y="96"/>
                </a:cubicBezTo>
                <a:cubicBezTo>
                  <a:pt x="72" y="97"/>
                  <a:pt x="76" y="98"/>
                  <a:pt x="79" y="100"/>
                </a:cubicBezTo>
                <a:cubicBezTo>
                  <a:pt x="80" y="100"/>
                  <a:pt x="81" y="101"/>
                  <a:pt x="81" y="101"/>
                </a:cubicBezTo>
                <a:cubicBezTo>
                  <a:pt x="82" y="102"/>
                  <a:pt x="82" y="102"/>
                  <a:pt x="82" y="102"/>
                </a:cubicBezTo>
                <a:cubicBezTo>
                  <a:pt x="82" y="102"/>
                  <a:pt x="82" y="102"/>
                  <a:pt x="82" y="102"/>
                </a:cubicBezTo>
                <a:cubicBezTo>
                  <a:pt x="83" y="102"/>
                  <a:pt x="83" y="102"/>
                  <a:pt x="83" y="102"/>
                </a:cubicBezTo>
                <a:cubicBezTo>
                  <a:pt x="83" y="103"/>
                  <a:pt x="83" y="103"/>
                  <a:pt x="83" y="103"/>
                </a:cubicBezTo>
                <a:cubicBezTo>
                  <a:pt x="84" y="103"/>
                  <a:pt x="84" y="103"/>
                  <a:pt x="84" y="103"/>
                </a:cubicBezTo>
                <a:cubicBezTo>
                  <a:pt x="85" y="104"/>
                  <a:pt x="85" y="105"/>
                  <a:pt x="86" y="106"/>
                </a:cubicBezTo>
                <a:cubicBezTo>
                  <a:pt x="86" y="106"/>
                  <a:pt x="86" y="106"/>
                  <a:pt x="86" y="106"/>
                </a:cubicBezTo>
                <a:cubicBezTo>
                  <a:pt x="87" y="105"/>
                  <a:pt x="88" y="105"/>
                  <a:pt x="89" y="104"/>
                </a:cubicBezTo>
                <a:cubicBezTo>
                  <a:pt x="90" y="103"/>
                  <a:pt x="92" y="102"/>
                  <a:pt x="94" y="101"/>
                </a:cubicBezTo>
                <a:cubicBezTo>
                  <a:pt x="97" y="98"/>
                  <a:pt x="99" y="95"/>
                  <a:pt x="101" y="90"/>
                </a:cubicBezTo>
                <a:cubicBezTo>
                  <a:pt x="103" y="86"/>
                  <a:pt x="103" y="81"/>
                  <a:pt x="103" y="77"/>
                </a:cubicBezTo>
                <a:cubicBezTo>
                  <a:pt x="102" y="72"/>
                  <a:pt x="101" y="68"/>
                  <a:pt x="98" y="6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2724150" y="3149600"/>
            <a:ext cx="73025" cy="146050"/>
          </a:xfrm>
          <a:custGeom>
            <a:avLst/>
            <a:gdLst>
              <a:gd name="T0" fmla="*/ 27 w 31"/>
              <a:gd name="T1" fmla="*/ 5 h 62"/>
              <a:gd name="T2" fmla="*/ 24 w 31"/>
              <a:gd name="T3" fmla="*/ 4 h 62"/>
              <a:gd name="T4" fmla="*/ 24 w 31"/>
              <a:gd name="T5" fmla="*/ 4 h 62"/>
              <a:gd name="T6" fmla="*/ 15 w 31"/>
              <a:gd name="T7" fmla="*/ 0 h 62"/>
              <a:gd name="T8" fmla="*/ 10 w 31"/>
              <a:gd name="T9" fmla="*/ 2 h 62"/>
              <a:gd name="T10" fmla="*/ 4 w 31"/>
              <a:gd name="T11" fmla="*/ 7 h 62"/>
              <a:gd name="T12" fmla="*/ 1 w 31"/>
              <a:gd name="T13" fmla="*/ 11 h 62"/>
              <a:gd name="T14" fmla="*/ 0 w 31"/>
              <a:gd name="T15" fmla="*/ 16 h 62"/>
              <a:gd name="T16" fmla="*/ 2 w 31"/>
              <a:gd name="T17" fmla="*/ 12 h 62"/>
              <a:gd name="T18" fmla="*/ 5 w 31"/>
              <a:gd name="T19" fmla="*/ 10 h 62"/>
              <a:gd name="T20" fmla="*/ 12 w 31"/>
              <a:gd name="T21" fmla="*/ 7 h 62"/>
              <a:gd name="T22" fmla="*/ 24 w 31"/>
              <a:gd name="T23" fmla="*/ 4 h 62"/>
              <a:gd name="T24" fmla="*/ 25 w 31"/>
              <a:gd name="T25" fmla="*/ 22 h 62"/>
              <a:gd name="T26" fmla="*/ 27 w 31"/>
              <a:gd name="T27" fmla="*/ 62 h 62"/>
              <a:gd name="T28" fmla="*/ 30 w 31"/>
              <a:gd name="T29" fmla="*/ 22 h 62"/>
              <a:gd name="T30" fmla="*/ 31 w 31"/>
              <a:gd name="T31" fmla="*/ 6 h 62"/>
              <a:gd name="T32" fmla="*/ 27 w 31"/>
              <a:gd name="T33" fmla="*/ 5 h 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31" h="62">
                <a:moveTo>
                  <a:pt x="27" y="5"/>
                </a:moveTo>
                <a:cubicBezTo>
                  <a:pt x="26" y="5"/>
                  <a:pt x="25" y="5"/>
                  <a:pt x="24" y="4"/>
                </a:cubicBezTo>
                <a:cubicBezTo>
                  <a:pt x="24" y="4"/>
                  <a:pt x="24" y="4"/>
                  <a:pt x="24" y="4"/>
                </a:cubicBezTo>
                <a:cubicBezTo>
                  <a:pt x="21" y="3"/>
                  <a:pt x="18" y="2"/>
                  <a:pt x="15" y="0"/>
                </a:cubicBezTo>
                <a:cubicBezTo>
                  <a:pt x="13" y="1"/>
                  <a:pt x="12" y="1"/>
                  <a:pt x="10" y="2"/>
                </a:cubicBezTo>
                <a:cubicBezTo>
                  <a:pt x="8" y="4"/>
                  <a:pt x="6" y="5"/>
                  <a:pt x="4" y="7"/>
                </a:cubicBezTo>
                <a:cubicBezTo>
                  <a:pt x="3" y="8"/>
                  <a:pt x="2" y="10"/>
                  <a:pt x="1" y="11"/>
                </a:cubicBezTo>
                <a:cubicBezTo>
                  <a:pt x="1" y="13"/>
                  <a:pt x="0" y="14"/>
                  <a:pt x="0" y="16"/>
                </a:cubicBezTo>
                <a:cubicBezTo>
                  <a:pt x="1" y="14"/>
                  <a:pt x="2" y="13"/>
                  <a:pt x="2" y="12"/>
                </a:cubicBezTo>
                <a:cubicBezTo>
                  <a:pt x="3" y="11"/>
                  <a:pt x="4" y="11"/>
                  <a:pt x="5" y="10"/>
                </a:cubicBezTo>
                <a:cubicBezTo>
                  <a:pt x="8" y="9"/>
                  <a:pt x="10" y="8"/>
                  <a:pt x="12" y="7"/>
                </a:cubicBezTo>
                <a:cubicBezTo>
                  <a:pt x="16" y="6"/>
                  <a:pt x="20" y="5"/>
                  <a:pt x="24" y="4"/>
                </a:cubicBezTo>
                <a:cubicBezTo>
                  <a:pt x="25" y="22"/>
                  <a:pt x="25" y="22"/>
                  <a:pt x="25" y="22"/>
                </a:cubicBezTo>
                <a:cubicBezTo>
                  <a:pt x="27" y="62"/>
                  <a:pt x="27" y="62"/>
                  <a:pt x="27" y="62"/>
                </a:cubicBezTo>
                <a:cubicBezTo>
                  <a:pt x="30" y="22"/>
                  <a:pt x="30" y="22"/>
                  <a:pt x="30" y="22"/>
                </a:cubicBezTo>
                <a:cubicBezTo>
                  <a:pt x="31" y="6"/>
                  <a:pt x="31" y="6"/>
                  <a:pt x="31" y="6"/>
                </a:cubicBezTo>
                <a:cubicBezTo>
                  <a:pt x="29" y="6"/>
                  <a:pt x="28" y="6"/>
                  <a:pt x="27" y="5"/>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3</xdr:col>
      <xdr:colOff>175372</xdr:colOff>
      <xdr:row>13</xdr:row>
      <xdr:rowOff>62754</xdr:rowOff>
    </xdr:from>
    <xdr:to>
      <xdr:col>4</xdr:col>
      <xdr:colOff>157443</xdr:colOff>
      <xdr:row>14</xdr:row>
      <xdr:rowOff>50975</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
          <a:biLevel thresh="75000"/>
        </a:blip>
        <a:stretch>
          <a:fillRect/>
        </a:stretch>
      </xdr:blipFill>
      <xdr:spPr>
        <a:xfrm>
          <a:off x="2353796" y="3962401"/>
          <a:ext cx="295835" cy="185444"/>
        </a:xfrm>
        <a:prstGeom prst="rect">
          <a:avLst/>
        </a:prstGeom>
      </xdr:spPr>
    </xdr:pic>
    <xdr:clientData/>
  </xdr:twoCellAnchor>
  <xdr:twoCellAnchor>
    <xdr:from>
      <xdr:col>3</xdr:col>
      <xdr:colOff>237726</xdr:colOff>
      <xdr:row>14</xdr:row>
      <xdr:rowOff>162141</xdr:rowOff>
    </xdr:from>
    <xdr:to>
      <xdr:col>4</xdr:col>
      <xdr:colOff>154412</xdr:colOff>
      <xdr:row>16</xdr:row>
      <xdr:rowOff>26895</xdr:rowOff>
    </xdr:to>
    <xdr:sp macro="" textlink="">
      <xdr:nvSpPr>
        <xdr:cNvPr id="38" name="Freeform 37">
          <a:extLst>
            <a:ext uri="{FF2B5EF4-FFF2-40B4-BE49-F238E27FC236}">
              <a16:creationId xmlns:a16="http://schemas.microsoft.com/office/drawing/2014/main" id="{00000000-0008-0000-0300-000026000000}"/>
            </a:ext>
          </a:extLst>
        </xdr:cNvPr>
        <xdr:cNvSpPr>
          <a:spLocks noEditPoints="1"/>
        </xdr:cNvSpPr>
      </xdr:nvSpPr>
      <xdr:spPr bwMode="auto">
        <a:xfrm>
          <a:off x="2416150" y="4635529"/>
          <a:ext cx="230450" cy="241272"/>
        </a:xfrm>
        <a:custGeom>
          <a:avLst/>
          <a:gdLst>
            <a:gd name="T0" fmla="*/ 340 w 355"/>
            <a:gd name="T1" fmla="*/ 283 h 354"/>
            <a:gd name="T2" fmla="*/ 263 w 355"/>
            <a:gd name="T3" fmla="*/ 206 h 354"/>
            <a:gd name="T4" fmla="*/ 280 w 355"/>
            <a:gd name="T5" fmla="*/ 140 h 354"/>
            <a:gd name="T6" fmla="*/ 239 w 355"/>
            <a:gd name="T7" fmla="*/ 41 h 354"/>
            <a:gd name="T8" fmla="*/ 140 w 355"/>
            <a:gd name="T9" fmla="*/ 0 h 354"/>
            <a:gd name="T10" fmla="*/ 0 w 355"/>
            <a:gd name="T11" fmla="*/ 140 h 354"/>
            <a:gd name="T12" fmla="*/ 41 w 355"/>
            <a:gd name="T13" fmla="*/ 239 h 354"/>
            <a:gd name="T14" fmla="*/ 140 w 355"/>
            <a:gd name="T15" fmla="*/ 279 h 354"/>
            <a:gd name="T16" fmla="*/ 207 w 355"/>
            <a:gd name="T17" fmla="*/ 262 h 354"/>
            <a:gd name="T18" fmla="*/ 284 w 355"/>
            <a:gd name="T19" fmla="*/ 339 h 354"/>
            <a:gd name="T20" fmla="*/ 340 w 355"/>
            <a:gd name="T21" fmla="*/ 339 h 354"/>
            <a:gd name="T22" fmla="*/ 340 w 355"/>
            <a:gd name="T23" fmla="*/ 283 h 354"/>
            <a:gd name="T24" fmla="*/ 70 w 355"/>
            <a:gd name="T25" fmla="*/ 210 h 354"/>
            <a:gd name="T26" fmla="*/ 40 w 355"/>
            <a:gd name="T27" fmla="*/ 140 h 354"/>
            <a:gd name="T28" fmla="*/ 140 w 355"/>
            <a:gd name="T29" fmla="*/ 40 h 354"/>
            <a:gd name="T30" fmla="*/ 240 w 355"/>
            <a:gd name="T31" fmla="*/ 140 h 354"/>
            <a:gd name="T32" fmla="*/ 140 w 355"/>
            <a:gd name="T33" fmla="*/ 239 h 354"/>
            <a:gd name="T34" fmla="*/ 70 w 355"/>
            <a:gd name="T35" fmla="*/ 210 h 354"/>
            <a:gd name="T36" fmla="*/ 202 w 355"/>
            <a:gd name="T37" fmla="*/ 140 h 354"/>
            <a:gd name="T38" fmla="*/ 188 w 355"/>
            <a:gd name="T39" fmla="*/ 154 h 354"/>
            <a:gd name="T40" fmla="*/ 153 w 355"/>
            <a:gd name="T41" fmla="*/ 154 h 354"/>
            <a:gd name="T42" fmla="*/ 153 w 355"/>
            <a:gd name="T43" fmla="*/ 189 h 354"/>
            <a:gd name="T44" fmla="*/ 139 w 355"/>
            <a:gd name="T45" fmla="*/ 203 h 354"/>
            <a:gd name="T46" fmla="*/ 125 w 355"/>
            <a:gd name="T47" fmla="*/ 189 h 354"/>
            <a:gd name="T48" fmla="*/ 125 w 355"/>
            <a:gd name="T49" fmla="*/ 154 h 354"/>
            <a:gd name="T50" fmla="*/ 89 w 355"/>
            <a:gd name="T51" fmla="*/ 154 h 354"/>
            <a:gd name="T52" fmla="*/ 75 w 355"/>
            <a:gd name="T53" fmla="*/ 140 h 354"/>
            <a:gd name="T54" fmla="*/ 89 w 355"/>
            <a:gd name="T55" fmla="*/ 126 h 354"/>
            <a:gd name="T56" fmla="*/ 125 w 355"/>
            <a:gd name="T57" fmla="*/ 126 h 354"/>
            <a:gd name="T58" fmla="*/ 125 w 355"/>
            <a:gd name="T59" fmla="*/ 90 h 354"/>
            <a:gd name="T60" fmla="*/ 139 w 355"/>
            <a:gd name="T61" fmla="*/ 76 h 354"/>
            <a:gd name="T62" fmla="*/ 153 w 355"/>
            <a:gd name="T63" fmla="*/ 90 h 354"/>
            <a:gd name="T64" fmla="*/ 153 w 355"/>
            <a:gd name="T65" fmla="*/ 126 h 354"/>
            <a:gd name="T66" fmla="*/ 188 w 355"/>
            <a:gd name="T67" fmla="*/ 126 h 354"/>
            <a:gd name="T68" fmla="*/ 202 w 355"/>
            <a:gd name="T69" fmla="*/ 140 h 3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55" h="354">
              <a:moveTo>
                <a:pt x="340" y="283"/>
              </a:moveTo>
              <a:cubicBezTo>
                <a:pt x="263" y="206"/>
                <a:pt x="263" y="206"/>
                <a:pt x="263" y="206"/>
              </a:cubicBezTo>
              <a:cubicBezTo>
                <a:pt x="274" y="187"/>
                <a:pt x="280" y="164"/>
                <a:pt x="280" y="140"/>
              </a:cubicBezTo>
              <a:cubicBezTo>
                <a:pt x="280" y="102"/>
                <a:pt x="265" y="67"/>
                <a:pt x="239" y="41"/>
              </a:cubicBezTo>
              <a:cubicBezTo>
                <a:pt x="213" y="14"/>
                <a:pt x="178" y="0"/>
                <a:pt x="140" y="0"/>
              </a:cubicBezTo>
              <a:cubicBezTo>
                <a:pt x="63" y="0"/>
                <a:pt x="0" y="62"/>
                <a:pt x="0" y="140"/>
              </a:cubicBezTo>
              <a:cubicBezTo>
                <a:pt x="0" y="177"/>
                <a:pt x="15" y="212"/>
                <a:pt x="41" y="239"/>
              </a:cubicBezTo>
              <a:cubicBezTo>
                <a:pt x="68" y="265"/>
                <a:pt x="103" y="280"/>
                <a:pt x="140" y="279"/>
              </a:cubicBezTo>
              <a:cubicBezTo>
                <a:pt x="164" y="279"/>
                <a:pt x="187" y="273"/>
                <a:pt x="207" y="262"/>
              </a:cubicBezTo>
              <a:cubicBezTo>
                <a:pt x="284" y="339"/>
                <a:pt x="284" y="339"/>
                <a:pt x="284" y="339"/>
              </a:cubicBezTo>
              <a:cubicBezTo>
                <a:pt x="299" y="354"/>
                <a:pt x="324" y="354"/>
                <a:pt x="340" y="339"/>
              </a:cubicBezTo>
              <a:cubicBezTo>
                <a:pt x="355" y="324"/>
                <a:pt x="355" y="298"/>
                <a:pt x="340" y="283"/>
              </a:cubicBezTo>
              <a:close/>
              <a:moveTo>
                <a:pt x="70" y="210"/>
              </a:moveTo>
              <a:cubicBezTo>
                <a:pt x="51" y="191"/>
                <a:pt x="40" y="166"/>
                <a:pt x="40" y="140"/>
              </a:cubicBezTo>
              <a:cubicBezTo>
                <a:pt x="40" y="85"/>
                <a:pt x="85" y="40"/>
                <a:pt x="140" y="40"/>
              </a:cubicBezTo>
              <a:cubicBezTo>
                <a:pt x="195" y="40"/>
                <a:pt x="240" y="85"/>
                <a:pt x="240" y="140"/>
              </a:cubicBezTo>
              <a:cubicBezTo>
                <a:pt x="240" y="195"/>
                <a:pt x="195" y="239"/>
                <a:pt x="140" y="239"/>
              </a:cubicBezTo>
              <a:cubicBezTo>
                <a:pt x="114" y="239"/>
                <a:pt x="89" y="229"/>
                <a:pt x="70" y="210"/>
              </a:cubicBezTo>
              <a:close/>
              <a:moveTo>
                <a:pt x="202" y="140"/>
              </a:moveTo>
              <a:cubicBezTo>
                <a:pt x="202" y="147"/>
                <a:pt x="196" y="154"/>
                <a:pt x="188" y="154"/>
              </a:cubicBezTo>
              <a:cubicBezTo>
                <a:pt x="153" y="154"/>
                <a:pt x="153" y="154"/>
                <a:pt x="153" y="154"/>
              </a:cubicBezTo>
              <a:cubicBezTo>
                <a:pt x="153" y="189"/>
                <a:pt x="153" y="189"/>
                <a:pt x="153" y="189"/>
              </a:cubicBezTo>
              <a:cubicBezTo>
                <a:pt x="153" y="197"/>
                <a:pt x="146" y="203"/>
                <a:pt x="139" y="203"/>
              </a:cubicBezTo>
              <a:cubicBezTo>
                <a:pt x="131" y="203"/>
                <a:pt x="125" y="197"/>
                <a:pt x="125" y="189"/>
              </a:cubicBezTo>
              <a:cubicBezTo>
                <a:pt x="125" y="154"/>
                <a:pt x="125" y="154"/>
                <a:pt x="125" y="154"/>
              </a:cubicBezTo>
              <a:cubicBezTo>
                <a:pt x="89" y="154"/>
                <a:pt x="89" y="154"/>
                <a:pt x="89" y="154"/>
              </a:cubicBezTo>
              <a:cubicBezTo>
                <a:pt x="81" y="154"/>
                <a:pt x="75" y="147"/>
                <a:pt x="75" y="140"/>
              </a:cubicBezTo>
              <a:cubicBezTo>
                <a:pt x="75" y="132"/>
                <a:pt x="81" y="126"/>
                <a:pt x="89" y="126"/>
              </a:cubicBezTo>
              <a:cubicBezTo>
                <a:pt x="125" y="126"/>
                <a:pt x="125" y="126"/>
                <a:pt x="125" y="126"/>
              </a:cubicBezTo>
              <a:cubicBezTo>
                <a:pt x="125" y="90"/>
                <a:pt x="125" y="90"/>
                <a:pt x="125" y="90"/>
              </a:cubicBezTo>
              <a:cubicBezTo>
                <a:pt x="125" y="82"/>
                <a:pt x="131" y="76"/>
                <a:pt x="139" y="76"/>
              </a:cubicBezTo>
              <a:cubicBezTo>
                <a:pt x="146" y="76"/>
                <a:pt x="153" y="82"/>
                <a:pt x="153" y="90"/>
              </a:cubicBezTo>
              <a:cubicBezTo>
                <a:pt x="153" y="126"/>
                <a:pt x="153" y="126"/>
                <a:pt x="153" y="126"/>
              </a:cubicBezTo>
              <a:cubicBezTo>
                <a:pt x="188" y="126"/>
                <a:pt x="188" y="126"/>
                <a:pt x="188" y="126"/>
              </a:cubicBezTo>
              <a:cubicBezTo>
                <a:pt x="196" y="126"/>
                <a:pt x="202" y="132"/>
                <a:pt x="202" y="14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169333</xdr:colOff>
      <xdr:row>1</xdr:row>
      <xdr:rowOff>84666</xdr:rowOff>
    </xdr:from>
    <xdr:ext cx="1117600" cy="349087"/>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38666" y="186266"/>
          <a:ext cx="1117600" cy="3490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1327150</xdr:colOff>
          <xdr:row>33</xdr:row>
          <xdr:rowOff>31750</xdr:rowOff>
        </xdr:from>
        <xdr:to>
          <xdr:col>4</xdr:col>
          <xdr:colOff>1212850</xdr:colOff>
          <xdr:row>33</xdr:row>
          <xdr:rowOff>374650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4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oneCellAnchor>
    <xdr:from>
      <xdr:col>0</xdr:col>
      <xdr:colOff>214819</xdr:colOff>
      <xdr:row>1</xdr:row>
      <xdr:rowOff>38660</xdr:rowOff>
    </xdr:from>
    <xdr:ext cx="1337422" cy="417749"/>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14819" y="133910"/>
          <a:ext cx="1337422" cy="417749"/>
        </a:xfrm>
        <a:prstGeom prst="rect">
          <a:avLst/>
        </a:prstGeom>
      </xdr:spPr>
    </xdr:pic>
    <xdr:clientData/>
  </xdr:oneCellAnchor>
  <xdr:twoCellAnchor>
    <xdr:from>
      <xdr:col>3</xdr:col>
      <xdr:colOff>652931</xdr:colOff>
      <xdr:row>18</xdr:row>
      <xdr:rowOff>71718</xdr:rowOff>
    </xdr:from>
    <xdr:to>
      <xdr:col>5</xdr:col>
      <xdr:colOff>1075019</xdr:colOff>
      <xdr:row>22</xdr:row>
      <xdr:rowOff>140446</xdr:rowOff>
    </xdr:to>
    <xdr:sp macro="" textlink="">
      <xdr:nvSpPr>
        <xdr:cNvPr id="22" name="Rectangle 21">
          <a:extLst>
            <a:ext uri="{FF2B5EF4-FFF2-40B4-BE49-F238E27FC236}">
              <a16:creationId xmlns:a16="http://schemas.microsoft.com/office/drawing/2014/main" id="{00000000-0008-0000-0400-000016000000}"/>
            </a:ext>
          </a:extLst>
        </xdr:cNvPr>
        <xdr:cNvSpPr/>
      </xdr:nvSpPr>
      <xdr:spPr>
        <a:xfrm>
          <a:off x="5486402" y="4456953"/>
          <a:ext cx="3559735" cy="1039905"/>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0" baseline="0">
              <a:solidFill>
                <a:sysClr val="windowText" lastClr="000000"/>
              </a:solidFill>
            </a:rPr>
            <a:t>●  </a:t>
          </a:r>
          <a:r>
            <a:rPr lang="en-US" sz="1100" b="0" baseline="0">
              <a:solidFill>
                <a:sysClr val="windowText" lastClr="000000"/>
              </a:solidFill>
              <a:latin typeface="+mn-lt"/>
              <a:ea typeface="+mn-ea"/>
              <a:cs typeface="+mn-cs"/>
            </a:rPr>
            <a:t>Select</a:t>
          </a:r>
          <a:r>
            <a:rPr lang="en-US" sz="1100" b="0" baseline="0">
              <a:solidFill>
                <a:sysClr val="windowText" lastClr="000000"/>
              </a:solidFill>
            </a:rPr>
            <a:t> whether you are conducting a country forecast </a:t>
          </a:r>
        </a:p>
        <a:p>
          <a:pPr algn="l"/>
          <a:r>
            <a:rPr lang="en-US" sz="1100" b="0" baseline="0">
              <a:solidFill>
                <a:sysClr val="windowText" lastClr="000000"/>
              </a:solidFill>
            </a:rPr>
            <a:t>     or manual user-defined option. Select "Manual" for </a:t>
          </a:r>
        </a:p>
        <a:p>
          <a:pPr algn="l"/>
          <a:r>
            <a:rPr lang="en-US" sz="1100" b="0" baseline="0">
              <a:solidFill>
                <a:sysClr val="windowText" lastClr="000000"/>
              </a:solidFill>
            </a:rPr>
            <a:t>     sub-national or sub-population level forecasting</a:t>
          </a:r>
        </a:p>
        <a:p>
          <a:pPr algn="l"/>
          <a:r>
            <a:rPr lang="en-US" sz="1100" b="0" baseline="0">
              <a:solidFill>
                <a:sysClr val="windowText" lastClr="000000"/>
              </a:solidFill>
              <a:effectLst/>
              <a:latin typeface="+mn-lt"/>
              <a:ea typeface="+mn-ea"/>
              <a:cs typeface="+mn-cs"/>
            </a:rPr>
            <a:t>●  Next, s</a:t>
          </a:r>
          <a:r>
            <a:rPr lang="en-US" sz="1100" b="0" baseline="0">
              <a:solidFill>
                <a:sysClr val="windowText" lastClr="000000"/>
              </a:solidFill>
            </a:rPr>
            <a:t>elect Country/Territory from drop down menu </a:t>
          </a:r>
        </a:p>
        <a:p>
          <a:pPr algn="l"/>
          <a:r>
            <a:rPr lang="en-US" sz="1100" b="0" baseline="0">
              <a:solidFill>
                <a:sysClr val="windowText" lastClr="000000"/>
              </a:solidFill>
            </a:rPr>
            <a:t>     or enter your population size manually if applicable</a:t>
          </a:r>
          <a:endParaRPr lang="en-US" sz="1100" b="0">
            <a:solidFill>
              <a:sysClr val="windowText" lastClr="000000"/>
            </a:solidFill>
          </a:endParaRPr>
        </a:p>
      </xdr:txBody>
    </xdr:sp>
    <xdr:clientData/>
  </xdr:twoCellAnchor>
  <xdr:twoCellAnchor editAs="oneCell">
    <xdr:from>
      <xdr:col>1</xdr:col>
      <xdr:colOff>493067</xdr:colOff>
      <xdr:row>16</xdr:row>
      <xdr:rowOff>105681</xdr:rowOff>
    </xdr:from>
    <xdr:to>
      <xdr:col>1</xdr:col>
      <xdr:colOff>938194</xdr:colOff>
      <xdr:row>17</xdr:row>
      <xdr:rowOff>251834</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biLevel thresh="75000"/>
        </a:blip>
        <a:stretch>
          <a:fillRect/>
        </a:stretch>
      </xdr:blipFill>
      <xdr:spPr>
        <a:xfrm>
          <a:off x="708220" y="3377799"/>
          <a:ext cx="455287" cy="264113"/>
        </a:xfrm>
        <a:prstGeom prst="rect">
          <a:avLst/>
        </a:prstGeom>
      </xdr:spPr>
    </xdr:pic>
    <xdr:clientData/>
  </xdr:twoCellAnchor>
  <xdr:twoCellAnchor>
    <xdr:from>
      <xdr:col>3</xdr:col>
      <xdr:colOff>183777</xdr:colOff>
      <xdr:row>27</xdr:row>
      <xdr:rowOff>238125</xdr:rowOff>
    </xdr:from>
    <xdr:to>
      <xdr:col>6</xdr:col>
      <xdr:colOff>504264</xdr:colOff>
      <xdr:row>30</xdr:row>
      <xdr:rowOff>89647</xdr:rowOff>
    </xdr:to>
    <xdr:sp macro="" textlink="">
      <xdr:nvSpPr>
        <xdr:cNvPr id="12" name="Rectangle 11">
          <a:extLst>
            <a:ext uri="{FF2B5EF4-FFF2-40B4-BE49-F238E27FC236}">
              <a16:creationId xmlns:a16="http://schemas.microsoft.com/office/drawing/2014/main" id="{00000000-0008-0000-0400-00000C000000}"/>
            </a:ext>
          </a:extLst>
        </xdr:cNvPr>
        <xdr:cNvSpPr/>
      </xdr:nvSpPr>
      <xdr:spPr>
        <a:xfrm>
          <a:off x="4789395" y="6378949"/>
          <a:ext cx="4410634" cy="546286"/>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0" baseline="0">
              <a:solidFill>
                <a:sysClr val="windowText" lastClr="000000"/>
              </a:solidFill>
            </a:rPr>
            <a:t>●  Enter the diagnosed number of cumulative cases currently in-country</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baseline="0">
              <a:solidFill>
                <a:sysClr val="windowText" lastClr="000000"/>
              </a:solidFill>
              <a:effectLst/>
              <a:latin typeface="+mn-lt"/>
              <a:ea typeface="+mn-ea"/>
              <a:cs typeface="+mn-cs"/>
            </a:rPr>
            <a:t>●  Input value must be at least '1'</a:t>
          </a:r>
          <a:endParaRPr lang="en-US">
            <a:solidFill>
              <a:sysClr val="windowText" lastClr="000000"/>
            </a:solidFill>
            <a:effectLst/>
          </a:endParaRPr>
        </a:p>
      </xdr:txBody>
    </xdr:sp>
    <xdr:clientData/>
  </xdr:twoCellAnchor>
  <xdr:twoCellAnchor>
    <xdr:from>
      <xdr:col>1</xdr:col>
      <xdr:colOff>534333</xdr:colOff>
      <xdr:row>26</xdr:row>
      <xdr:rowOff>76200</xdr:rowOff>
    </xdr:from>
    <xdr:to>
      <xdr:col>1</xdr:col>
      <xdr:colOff>831130</xdr:colOff>
      <xdr:row>27</xdr:row>
      <xdr:rowOff>240255</xdr:rowOff>
    </xdr:to>
    <xdr:sp macro="" textlink="">
      <xdr:nvSpPr>
        <xdr:cNvPr id="10" name="Freeform 9">
          <a:extLst>
            <a:ext uri="{FF2B5EF4-FFF2-40B4-BE49-F238E27FC236}">
              <a16:creationId xmlns:a16="http://schemas.microsoft.com/office/drawing/2014/main" id="{00000000-0008-0000-0400-00000A000000}"/>
            </a:ext>
          </a:extLst>
        </xdr:cNvPr>
        <xdr:cNvSpPr>
          <a:spLocks noEditPoints="1"/>
        </xdr:cNvSpPr>
      </xdr:nvSpPr>
      <xdr:spPr bwMode="auto">
        <a:xfrm>
          <a:off x="749486" y="5535706"/>
          <a:ext cx="296797" cy="271631"/>
        </a:xfrm>
        <a:custGeom>
          <a:avLst/>
          <a:gdLst>
            <a:gd name="T0" fmla="*/ 340 w 355"/>
            <a:gd name="T1" fmla="*/ 283 h 354"/>
            <a:gd name="T2" fmla="*/ 263 w 355"/>
            <a:gd name="T3" fmla="*/ 206 h 354"/>
            <a:gd name="T4" fmla="*/ 280 w 355"/>
            <a:gd name="T5" fmla="*/ 140 h 354"/>
            <a:gd name="T6" fmla="*/ 239 w 355"/>
            <a:gd name="T7" fmla="*/ 41 h 354"/>
            <a:gd name="T8" fmla="*/ 140 w 355"/>
            <a:gd name="T9" fmla="*/ 0 h 354"/>
            <a:gd name="T10" fmla="*/ 0 w 355"/>
            <a:gd name="T11" fmla="*/ 140 h 354"/>
            <a:gd name="T12" fmla="*/ 41 w 355"/>
            <a:gd name="T13" fmla="*/ 239 h 354"/>
            <a:gd name="T14" fmla="*/ 140 w 355"/>
            <a:gd name="T15" fmla="*/ 279 h 354"/>
            <a:gd name="T16" fmla="*/ 207 w 355"/>
            <a:gd name="T17" fmla="*/ 262 h 354"/>
            <a:gd name="T18" fmla="*/ 284 w 355"/>
            <a:gd name="T19" fmla="*/ 339 h 354"/>
            <a:gd name="T20" fmla="*/ 340 w 355"/>
            <a:gd name="T21" fmla="*/ 339 h 354"/>
            <a:gd name="T22" fmla="*/ 340 w 355"/>
            <a:gd name="T23" fmla="*/ 283 h 354"/>
            <a:gd name="T24" fmla="*/ 70 w 355"/>
            <a:gd name="T25" fmla="*/ 210 h 354"/>
            <a:gd name="T26" fmla="*/ 40 w 355"/>
            <a:gd name="T27" fmla="*/ 140 h 354"/>
            <a:gd name="T28" fmla="*/ 140 w 355"/>
            <a:gd name="T29" fmla="*/ 40 h 354"/>
            <a:gd name="T30" fmla="*/ 240 w 355"/>
            <a:gd name="T31" fmla="*/ 140 h 354"/>
            <a:gd name="T32" fmla="*/ 140 w 355"/>
            <a:gd name="T33" fmla="*/ 239 h 354"/>
            <a:gd name="T34" fmla="*/ 70 w 355"/>
            <a:gd name="T35" fmla="*/ 210 h 354"/>
            <a:gd name="T36" fmla="*/ 202 w 355"/>
            <a:gd name="T37" fmla="*/ 140 h 354"/>
            <a:gd name="T38" fmla="*/ 188 w 355"/>
            <a:gd name="T39" fmla="*/ 154 h 354"/>
            <a:gd name="T40" fmla="*/ 153 w 355"/>
            <a:gd name="T41" fmla="*/ 154 h 354"/>
            <a:gd name="T42" fmla="*/ 153 w 355"/>
            <a:gd name="T43" fmla="*/ 189 h 354"/>
            <a:gd name="T44" fmla="*/ 139 w 355"/>
            <a:gd name="T45" fmla="*/ 203 h 354"/>
            <a:gd name="T46" fmla="*/ 125 w 355"/>
            <a:gd name="T47" fmla="*/ 189 h 354"/>
            <a:gd name="T48" fmla="*/ 125 w 355"/>
            <a:gd name="T49" fmla="*/ 154 h 354"/>
            <a:gd name="T50" fmla="*/ 89 w 355"/>
            <a:gd name="T51" fmla="*/ 154 h 354"/>
            <a:gd name="T52" fmla="*/ 75 w 355"/>
            <a:gd name="T53" fmla="*/ 140 h 354"/>
            <a:gd name="T54" fmla="*/ 89 w 355"/>
            <a:gd name="T55" fmla="*/ 126 h 354"/>
            <a:gd name="T56" fmla="*/ 125 w 355"/>
            <a:gd name="T57" fmla="*/ 126 h 354"/>
            <a:gd name="T58" fmla="*/ 125 w 355"/>
            <a:gd name="T59" fmla="*/ 90 h 354"/>
            <a:gd name="T60" fmla="*/ 139 w 355"/>
            <a:gd name="T61" fmla="*/ 76 h 354"/>
            <a:gd name="T62" fmla="*/ 153 w 355"/>
            <a:gd name="T63" fmla="*/ 90 h 354"/>
            <a:gd name="T64" fmla="*/ 153 w 355"/>
            <a:gd name="T65" fmla="*/ 126 h 354"/>
            <a:gd name="T66" fmla="*/ 188 w 355"/>
            <a:gd name="T67" fmla="*/ 126 h 354"/>
            <a:gd name="T68" fmla="*/ 202 w 355"/>
            <a:gd name="T69" fmla="*/ 140 h 3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55" h="354">
              <a:moveTo>
                <a:pt x="340" y="283"/>
              </a:moveTo>
              <a:cubicBezTo>
                <a:pt x="263" y="206"/>
                <a:pt x="263" y="206"/>
                <a:pt x="263" y="206"/>
              </a:cubicBezTo>
              <a:cubicBezTo>
                <a:pt x="274" y="187"/>
                <a:pt x="280" y="164"/>
                <a:pt x="280" y="140"/>
              </a:cubicBezTo>
              <a:cubicBezTo>
                <a:pt x="280" y="102"/>
                <a:pt x="265" y="67"/>
                <a:pt x="239" y="41"/>
              </a:cubicBezTo>
              <a:cubicBezTo>
                <a:pt x="213" y="14"/>
                <a:pt x="178" y="0"/>
                <a:pt x="140" y="0"/>
              </a:cubicBezTo>
              <a:cubicBezTo>
                <a:pt x="63" y="0"/>
                <a:pt x="0" y="62"/>
                <a:pt x="0" y="140"/>
              </a:cubicBezTo>
              <a:cubicBezTo>
                <a:pt x="0" y="177"/>
                <a:pt x="15" y="212"/>
                <a:pt x="41" y="239"/>
              </a:cubicBezTo>
              <a:cubicBezTo>
                <a:pt x="68" y="265"/>
                <a:pt x="103" y="280"/>
                <a:pt x="140" y="279"/>
              </a:cubicBezTo>
              <a:cubicBezTo>
                <a:pt x="164" y="279"/>
                <a:pt x="187" y="273"/>
                <a:pt x="207" y="262"/>
              </a:cubicBezTo>
              <a:cubicBezTo>
                <a:pt x="284" y="339"/>
                <a:pt x="284" y="339"/>
                <a:pt x="284" y="339"/>
              </a:cubicBezTo>
              <a:cubicBezTo>
                <a:pt x="299" y="354"/>
                <a:pt x="324" y="354"/>
                <a:pt x="340" y="339"/>
              </a:cubicBezTo>
              <a:cubicBezTo>
                <a:pt x="355" y="324"/>
                <a:pt x="355" y="298"/>
                <a:pt x="340" y="283"/>
              </a:cubicBezTo>
              <a:close/>
              <a:moveTo>
                <a:pt x="70" y="210"/>
              </a:moveTo>
              <a:cubicBezTo>
                <a:pt x="51" y="191"/>
                <a:pt x="40" y="166"/>
                <a:pt x="40" y="140"/>
              </a:cubicBezTo>
              <a:cubicBezTo>
                <a:pt x="40" y="85"/>
                <a:pt x="85" y="40"/>
                <a:pt x="140" y="40"/>
              </a:cubicBezTo>
              <a:cubicBezTo>
                <a:pt x="195" y="40"/>
                <a:pt x="240" y="85"/>
                <a:pt x="240" y="140"/>
              </a:cubicBezTo>
              <a:cubicBezTo>
                <a:pt x="240" y="195"/>
                <a:pt x="195" y="239"/>
                <a:pt x="140" y="239"/>
              </a:cubicBezTo>
              <a:cubicBezTo>
                <a:pt x="114" y="239"/>
                <a:pt x="89" y="229"/>
                <a:pt x="70" y="210"/>
              </a:cubicBezTo>
              <a:close/>
              <a:moveTo>
                <a:pt x="202" y="140"/>
              </a:moveTo>
              <a:cubicBezTo>
                <a:pt x="202" y="147"/>
                <a:pt x="196" y="154"/>
                <a:pt x="188" y="154"/>
              </a:cubicBezTo>
              <a:cubicBezTo>
                <a:pt x="153" y="154"/>
                <a:pt x="153" y="154"/>
                <a:pt x="153" y="154"/>
              </a:cubicBezTo>
              <a:cubicBezTo>
                <a:pt x="153" y="189"/>
                <a:pt x="153" y="189"/>
                <a:pt x="153" y="189"/>
              </a:cubicBezTo>
              <a:cubicBezTo>
                <a:pt x="153" y="197"/>
                <a:pt x="146" y="203"/>
                <a:pt x="139" y="203"/>
              </a:cubicBezTo>
              <a:cubicBezTo>
                <a:pt x="131" y="203"/>
                <a:pt x="125" y="197"/>
                <a:pt x="125" y="189"/>
              </a:cubicBezTo>
              <a:cubicBezTo>
                <a:pt x="125" y="154"/>
                <a:pt x="125" y="154"/>
                <a:pt x="125" y="154"/>
              </a:cubicBezTo>
              <a:cubicBezTo>
                <a:pt x="89" y="154"/>
                <a:pt x="89" y="154"/>
                <a:pt x="89" y="154"/>
              </a:cubicBezTo>
              <a:cubicBezTo>
                <a:pt x="81" y="154"/>
                <a:pt x="75" y="147"/>
                <a:pt x="75" y="140"/>
              </a:cubicBezTo>
              <a:cubicBezTo>
                <a:pt x="75" y="132"/>
                <a:pt x="81" y="126"/>
                <a:pt x="89" y="126"/>
              </a:cubicBezTo>
              <a:cubicBezTo>
                <a:pt x="125" y="126"/>
                <a:pt x="125" y="126"/>
                <a:pt x="125" y="126"/>
              </a:cubicBezTo>
              <a:cubicBezTo>
                <a:pt x="125" y="90"/>
                <a:pt x="125" y="90"/>
                <a:pt x="125" y="90"/>
              </a:cubicBezTo>
              <a:cubicBezTo>
                <a:pt x="125" y="82"/>
                <a:pt x="131" y="76"/>
                <a:pt x="139" y="76"/>
              </a:cubicBezTo>
              <a:cubicBezTo>
                <a:pt x="146" y="76"/>
                <a:pt x="153" y="82"/>
                <a:pt x="153" y="90"/>
              </a:cubicBezTo>
              <a:cubicBezTo>
                <a:pt x="153" y="126"/>
                <a:pt x="153" y="126"/>
                <a:pt x="153" y="126"/>
              </a:cubicBezTo>
              <a:cubicBezTo>
                <a:pt x="188" y="126"/>
                <a:pt x="188" y="126"/>
                <a:pt x="188" y="126"/>
              </a:cubicBezTo>
              <a:cubicBezTo>
                <a:pt x="196" y="126"/>
                <a:pt x="202" y="132"/>
                <a:pt x="202" y="14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504827</xdr:colOff>
      <xdr:row>58</xdr:row>
      <xdr:rowOff>4761</xdr:rowOff>
    </xdr:from>
    <xdr:to>
      <xdr:col>1</xdr:col>
      <xdr:colOff>809625</xdr:colOff>
      <xdr:row>58</xdr:row>
      <xdr:rowOff>333374</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745069" y="12845519"/>
          <a:ext cx="304798" cy="328613"/>
          <a:chOff x="584200" y="2095500"/>
          <a:chExt cx="808038" cy="1063626"/>
        </a:xfrm>
        <a:solidFill>
          <a:schemeClr val="tx1"/>
        </a:solidFill>
      </xdr:grpSpPr>
      <xdr:sp macro="" textlink="">
        <xdr:nvSpPr>
          <xdr:cNvPr id="15" name="Freeform 14">
            <a:extLst>
              <a:ext uri="{FF2B5EF4-FFF2-40B4-BE49-F238E27FC236}">
                <a16:creationId xmlns:a16="http://schemas.microsoft.com/office/drawing/2014/main" id="{00000000-0008-0000-0400-00000F000000}"/>
              </a:ext>
            </a:extLst>
          </xdr:cNvPr>
          <xdr:cNvSpPr>
            <a:spLocks noEditPoints="1"/>
          </xdr:cNvSpPr>
        </xdr:nvSpPr>
        <xdr:spPr bwMode="auto">
          <a:xfrm>
            <a:off x="584200" y="2538413"/>
            <a:ext cx="808038" cy="620713"/>
          </a:xfrm>
          <a:custGeom>
            <a:avLst/>
            <a:gdLst>
              <a:gd name="T0" fmla="*/ 293 w 315"/>
              <a:gd name="T1" fmla="*/ 64 h 242"/>
              <a:gd name="T2" fmla="*/ 272 w 315"/>
              <a:gd name="T3" fmla="*/ 17 h 242"/>
              <a:gd name="T4" fmla="*/ 272 w 315"/>
              <a:gd name="T5" fmla="*/ 17 h 242"/>
              <a:gd name="T6" fmla="*/ 257 w 315"/>
              <a:gd name="T7" fmla="*/ 13 h 242"/>
              <a:gd name="T8" fmla="*/ 158 w 315"/>
              <a:gd name="T9" fmla="*/ 0 h 242"/>
              <a:gd name="T10" fmla="*/ 58 w 315"/>
              <a:gd name="T11" fmla="*/ 13 h 242"/>
              <a:gd name="T12" fmla="*/ 43 w 315"/>
              <a:gd name="T13" fmla="*/ 17 h 242"/>
              <a:gd name="T14" fmla="*/ 43 w 315"/>
              <a:gd name="T15" fmla="*/ 17 h 242"/>
              <a:gd name="T16" fmla="*/ 22 w 315"/>
              <a:gd name="T17" fmla="*/ 64 h 242"/>
              <a:gd name="T18" fmla="*/ 0 w 315"/>
              <a:gd name="T19" fmla="*/ 158 h 242"/>
              <a:gd name="T20" fmla="*/ 18 w 315"/>
              <a:gd name="T21" fmla="*/ 202 h 242"/>
              <a:gd name="T22" fmla="*/ 63 w 315"/>
              <a:gd name="T23" fmla="*/ 219 h 242"/>
              <a:gd name="T24" fmla="*/ 80 w 315"/>
              <a:gd name="T25" fmla="*/ 219 h 242"/>
              <a:gd name="T26" fmla="*/ 158 w 315"/>
              <a:gd name="T27" fmla="*/ 242 h 242"/>
              <a:gd name="T28" fmla="*/ 235 w 315"/>
              <a:gd name="T29" fmla="*/ 219 h 242"/>
              <a:gd name="T30" fmla="*/ 252 w 315"/>
              <a:gd name="T31" fmla="*/ 219 h 242"/>
              <a:gd name="T32" fmla="*/ 297 w 315"/>
              <a:gd name="T33" fmla="*/ 202 h 242"/>
              <a:gd name="T34" fmla="*/ 315 w 315"/>
              <a:gd name="T35" fmla="*/ 159 h 242"/>
              <a:gd name="T36" fmla="*/ 293 w 315"/>
              <a:gd name="T37" fmla="*/ 64 h 242"/>
              <a:gd name="T38" fmla="*/ 158 w 315"/>
              <a:gd name="T39" fmla="*/ 218 h 242"/>
              <a:gd name="T40" fmla="*/ 42 w 315"/>
              <a:gd name="T41" fmla="*/ 110 h 242"/>
              <a:gd name="T42" fmla="*/ 93 w 315"/>
              <a:gd name="T43" fmla="*/ 17 h 242"/>
              <a:gd name="T44" fmla="*/ 229 w 315"/>
              <a:gd name="T45" fmla="*/ 76 h 242"/>
              <a:gd name="T46" fmla="*/ 270 w 315"/>
              <a:gd name="T47" fmla="*/ 67 h 242"/>
              <a:gd name="T48" fmla="*/ 274 w 315"/>
              <a:gd name="T49" fmla="*/ 102 h 242"/>
              <a:gd name="T50" fmla="*/ 158 w 315"/>
              <a:gd name="T51" fmla="*/ 218 h 242"/>
              <a:gd name="T52" fmla="*/ 113 w 315"/>
              <a:gd name="T53" fmla="*/ 87 h 242"/>
              <a:gd name="T54" fmla="*/ 93 w 315"/>
              <a:gd name="T55" fmla="*/ 107 h 242"/>
              <a:gd name="T56" fmla="*/ 113 w 315"/>
              <a:gd name="T57" fmla="*/ 127 h 242"/>
              <a:gd name="T58" fmla="*/ 133 w 315"/>
              <a:gd name="T59" fmla="*/ 107 h 242"/>
              <a:gd name="T60" fmla="*/ 113 w 315"/>
              <a:gd name="T61" fmla="*/ 87 h 242"/>
              <a:gd name="T62" fmla="*/ 202 w 315"/>
              <a:gd name="T63" fmla="*/ 87 h 242"/>
              <a:gd name="T64" fmla="*/ 182 w 315"/>
              <a:gd name="T65" fmla="*/ 107 h 242"/>
              <a:gd name="T66" fmla="*/ 202 w 315"/>
              <a:gd name="T67" fmla="*/ 127 h 242"/>
              <a:gd name="T68" fmla="*/ 222 w 315"/>
              <a:gd name="T69" fmla="*/ 107 h 242"/>
              <a:gd name="T70" fmla="*/ 202 w 315"/>
              <a:gd name="T71" fmla="*/ 87 h 2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15" h="242">
                <a:moveTo>
                  <a:pt x="293" y="64"/>
                </a:moveTo>
                <a:cubicBezTo>
                  <a:pt x="288" y="47"/>
                  <a:pt x="281" y="31"/>
                  <a:pt x="272" y="17"/>
                </a:cubicBezTo>
                <a:cubicBezTo>
                  <a:pt x="272" y="17"/>
                  <a:pt x="272" y="17"/>
                  <a:pt x="272" y="17"/>
                </a:cubicBezTo>
                <a:cubicBezTo>
                  <a:pt x="257" y="13"/>
                  <a:pt x="257" y="13"/>
                  <a:pt x="257" y="13"/>
                </a:cubicBezTo>
                <a:cubicBezTo>
                  <a:pt x="256" y="13"/>
                  <a:pt x="216" y="0"/>
                  <a:pt x="158" y="0"/>
                </a:cubicBezTo>
                <a:cubicBezTo>
                  <a:pt x="99" y="0"/>
                  <a:pt x="59" y="13"/>
                  <a:pt x="58" y="13"/>
                </a:cubicBezTo>
                <a:cubicBezTo>
                  <a:pt x="43" y="17"/>
                  <a:pt x="43" y="17"/>
                  <a:pt x="43" y="17"/>
                </a:cubicBezTo>
                <a:cubicBezTo>
                  <a:pt x="43" y="17"/>
                  <a:pt x="43" y="17"/>
                  <a:pt x="43" y="17"/>
                </a:cubicBezTo>
                <a:cubicBezTo>
                  <a:pt x="34" y="31"/>
                  <a:pt x="27" y="47"/>
                  <a:pt x="22" y="64"/>
                </a:cubicBezTo>
                <a:cubicBezTo>
                  <a:pt x="18" y="80"/>
                  <a:pt x="0" y="140"/>
                  <a:pt x="0" y="158"/>
                </a:cubicBezTo>
                <a:cubicBezTo>
                  <a:pt x="0" y="175"/>
                  <a:pt x="6" y="191"/>
                  <a:pt x="18" y="202"/>
                </a:cubicBezTo>
                <a:cubicBezTo>
                  <a:pt x="29" y="213"/>
                  <a:pt x="45" y="219"/>
                  <a:pt x="63" y="219"/>
                </a:cubicBezTo>
                <a:cubicBezTo>
                  <a:pt x="80" y="219"/>
                  <a:pt x="80" y="219"/>
                  <a:pt x="80" y="219"/>
                </a:cubicBezTo>
                <a:cubicBezTo>
                  <a:pt x="103" y="233"/>
                  <a:pt x="129" y="242"/>
                  <a:pt x="158" y="242"/>
                </a:cubicBezTo>
                <a:cubicBezTo>
                  <a:pt x="186" y="242"/>
                  <a:pt x="212" y="233"/>
                  <a:pt x="235" y="219"/>
                </a:cubicBezTo>
                <a:cubicBezTo>
                  <a:pt x="252" y="219"/>
                  <a:pt x="252" y="219"/>
                  <a:pt x="252" y="219"/>
                </a:cubicBezTo>
                <a:cubicBezTo>
                  <a:pt x="270" y="219"/>
                  <a:pt x="286" y="213"/>
                  <a:pt x="297" y="202"/>
                </a:cubicBezTo>
                <a:cubicBezTo>
                  <a:pt x="309" y="191"/>
                  <a:pt x="315" y="175"/>
                  <a:pt x="315" y="159"/>
                </a:cubicBezTo>
                <a:cubicBezTo>
                  <a:pt x="315" y="140"/>
                  <a:pt x="297" y="81"/>
                  <a:pt x="293" y="64"/>
                </a:cubicBezTo>
                <a:close/>
                <a:moveTo>
                  <a:pt x="158" y="218"/>
                </a:moveTo>
                <a:cubicBezTo>
                  <a:pt x="96" y="218"/>
                  <a:pt x="46" y="170"/>
                  <a:pt x="42" y="110"/>
                </a:cubicBezTo>
                <a:cubicBezTo>
                  <a:pt x="68" y="84"/>
                  <a:pt x="87" y="55"/>
                  <a:pt x="93" y="17"/>
                </a:cubicBezTo>
                <a:cubicBezTo>
                  <a:pt x="126" y="57"/>
                  <a:pt x="173" y="76"/>
                  <a:pt x="229" y="76"/>
                </a:cubicBezTo>
                <a:cubicBezTo>
                  <a:pt x="246" y="76"/>
                  <a:pt x="260" y="72"/>
                  <a:pt x="270" y="67"/>
                </a:cubicBezTo>
                <a:cubicBezTo>
                  <a:pt x="272" y="76"/>
                  <a:pt x="274" y="92"/>
                  <a:pt x="274" y="102"/>
                </a:cubicBezTo>
                <a:cubicBezTo>
                  <a:pt x="274" y="166"/>
                  <a:pt x="222" y="218"/>
                  <a:pt x="158" y="218"/>
                </a:cubicBezTo>
                <a:close/>
                <a:moveTo>
                  <a:pt x="113" y="87"/>
                </a:moveTo>
                <a:cubicBezTo>
                  <a:pt x="102" y="87"/>
                  <a:pt x="93" y="96"/>
                  <a:pt x="93" y="107"/>
                </a:cubicBezTo>
                <a:cubicBezTo>
                  <a:pt x="93" y="118"/>
                  <a:pt x="102" y="127"/>
                  <a:pt x="113" y="127"/>
                </a:cubicBezTo>
                <a:cubicBezTo>
                  <a:pt x="124" y="127"/>
                  <a:pt x="133" y="118"/>
                  <a:pt x="133" y="107"/>
                </a:cubicBezTo>
                <a:cubicBezTo>
                  <a:pt x="133" y="96"/>
                  <a:pt x="124" y="87"/>
                  <a:pt x="113" y="87"/>
                </a:cubicBezTo>
                <a:close/>
                <a:moveTo>
                  <a:pt x="202" y="87"/>
                </a:moveTo>
                <a:cubicBezTo>
                  <a:pt x="191" y="87"/>
                  <a:pt x="182" y="96"/>
                  <a:pt x="182" y="107"/>
                </a:cubicBezTo>
                <a:cubicBezTo>
                  <a:pt x="182" y="118"/>
                  <a:pt x="191" y="127"/>
                  <a:pt x="202" y="127"/>
                </a:cubicBezTo>
                <a:cubicBezTo>
                  <a:pt x="213" y="127"/>
                  <a:pt x="222" y="118"/>
                  <a:pt x="222" y="107"/>
                </a:cubicBezTo>
                <a:cubicBezTo>
                  <a:pt x="222" y="96"/>
                  <a:pt x="213" y="87"/>
                  <a:pt x="202" y="8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15">
            <a:extLst>
              <a:ext uri="{FF2B5EF4-FFF2-40B4-BE49-F238E27FC236}">
                <a16:creationId xmlns:a16="http://schemas.microsoft.com/office/drawing/2014/main" id="{00000000-0008-0000-0400-000010000000}"/>
              </a:ext>
            </a:extLst>
          </xdr:cNvPr>
          <xdr:cNvSpPr>
            <a:spLocks noEditPoints="1"/>
          </xdr:cNvSpPr>
        </xdr:nvSpPr>
        <xdr:spPr bwMode="auto">
          <a:xfrm>
            <a:off x="593725" y="2095500"/>
            <a:ext cx="787400" cy="430213"/>
          </a:xfrm>
          <a:custGeom>
            <a:avLst/>
            <a:gdLst>
              <a:gd name="T0" fmla="*/ 153 w 307"/>
              <a:gd name="T1" fmla="*/ 0 h 167"/>
              <a:gd name="T2" fmla="*/ 0 w 307"/>
              <a:gd name="T3" fmla="*/ 74 h 167"/>
              <a:gd name="T4" fmla="*/ 49 w 307"/>
              <a:gd name="T5" fmla="*/ 167 h 167"/>
              <a:gd name="T6" fmla="*/ 154 w 307"/>
              <a:gd name="T7" fmla="*/ 152 h 167"/>
              <a:gd name="T8" fmla="*/ 258 w 307"/>
              <a:gd name="T9" fmla="*/ 167 h 167"/>
              <a:gd name="T10" fmla="*/ 307 w 307"/>
              <a:gd name="T11" fmla="*/ 74 h 167"/>
              <a:gd name="T12" fmla="*/ 153 w 307"/>
              <a:gd name="T13" fmla="*/ 0 h 167"/>
              <a:gd name="T14" fmla="*/ 249 w 307"/>
              <a:gd name="T15" fmla="*/ 145 h 167"/>
              <a:gd name="T16" fmla="*/ 153 w 307"/>
              <a:gd name="T17" fmla="*/ 134 h 167"/>
              <a:gd name="T18" fmla="*/ 58 w 307"/>
              <a:gd name="T19" fmla="*/ 145 h 167"/>
              <a:gd name="T20" fmla="*/ 22 w 307"/>
              <a:gd name="T21" fmla="*/ 77 h 167"/>
              <a:gd name="T22" fmla="*/ 153 w 307"/>
              <a:gd name="T23" fmla="*/ 18 h 167"/>
              <a:gd name="T24" fmla="*/ 285 w 307"/>
              <a:gd name="T25" fmla="*/ 77 h 167"/>
              <a:gd name="T26" fmla="*/ 249 w 307"/>
              <a:gd name="T27" fmla="*/ 145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07" h="167">
                <a:moveTo>
                  <a:pt x="153" y="0"/>
                </a:moveTo>
                <a:cubicBezTo>
                  <a:pt x="91" y="0"/>
                  <a:pt x="36" y="29"/>
                  <a:pt x="0" y="74"/>
                </a:cubicBezTo>
                <a:cubicBezTo>
                  <a:pt x="3" y="80"/>
                  <a:pt x="49" y="167"/>
                  <a:pt x="49" y="167"/>
                </a:cubicBezTo>
                <a:cubicBezTo>
                  <a:pt x="49" y="167"/>
                  <a:pt x="91" y="152"/>
                  <a:pt x="154" y="152"/>
                </a:cubicBezTo>
                <a:cubicBezTo>
                  <a:pt x="216" y="152"/>
                  <a:pt x="258" y="167"/>
                  <a:pt x="258" y="167"/>
                </a:cubicBezTo>
                <a:cubicBezTo>
                  <a:pt x="307" y="74"/>
                  <a:pt x="307" y="74"/>
                  <a:pt x="307" y="74"/>
                </a:cubicBezTo>
                <a:cubicBezTo>
                  <a:pt x="271" y="29"/>
                  <a:pt x="216" y="0"/>
                  <a:pt x="153" y="0"/>
                </a:cubicBezTo>
                <a:close/>
                <a:moveTo>
                  <a:pt x="249" y="145"/>
                </a:moveTo>
                <a:cubicBezTo>
                  <a:pt x="230" y="140"/>
                  <a:pt x="196" y="134"/>
                  <a:pt x="153" y="134"/>
                </a:cubicBezTo>
                <a:cubicBezTo>
                  <a:pt x="111" y="134"/>
                  <a:pt x="77" y="140"/>
                  <a:pt x="58" y="145"/>
                </a:cubicBezTo>
                <a:cubicBezTo>
                  <a:pt x="49" y="126"/>
                  <a:pt x="31" y="94"/>
                  <a:pt x="22" y="77"/>
                </a:cubicBezTo>
                <a:cubicBezTo>
                  <a:pt x="56" y="40"/>
                  <a:pt x="103" y="18"/>
                  <a:pt x="153" y="18"/>
                </a:cubicBezTo>
                <a:cubicBezTo>
                  <a:pt x="204" y="18"/>
                  <a:pt x="251" y="39"/>
                  <a:pt x="285" y="77"/>
                </a:cubicBezTo>
                <a:lnTo>
                  <a:pt x="249" y="14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8" name="Freeform 17">
            <a:extLst>
              <a:ext uri="{FF2B5EF4-FFF2-40B4-BE49-F238E27FC236}">
                <a16:creationId xmlns:a16="http://schemas.microsoft.com/office/drawing/2014/main" id="{00000000-0008-0000-0400-000012000000}"/>
              </a:ext>
            </a:extLst>
          </xdr:cNvPr>
          <xdr:cNvSpPr>
            <a:spLocks/>
          </xdr:cNvSpPr>
        </xdr:nvSpPr>
        <xdr:spPr bwMode="auto">
          <a:xfrm>
            <a:off x="881063" y="2182813"/>
            <a:ext cx="212725" cy="214313"/>
          </a:xfrm>
          <a:custGeom>
            <a:avLst/>
            <a:gdLst>
              <a:gd name="T0" fmla="*/ 134 w 134"/>
              <a:gd name="T1" fmla="*/ 88 h 135"/>
              <a:gd name="T2" fmla="*/ 87 w 134"/>
              <a:gd name="T3" fmla="*/ 88 h 135"/>
              <a:gd name="T4" fmla="*/ 87 w 134"/>
              <a:gd name="T5" fmla="*/ 135 h 135"/>
              <a:gd name="T6" fmla="*/ 47 w 134"/>
              <a:gd name="T7" fmla="*/ 135 h 135"/>
              <a:gd name="T8" fmla="*/ 47 w 134"/>
              <a:gd name="T9" fmla="*/ 88 h 135"/>
              <a:gd name="T10" fmla="*/ 0 w 134"/>
              <a:gd name="T11" fmla="*/ 88 h 135"/>
              <a:gd name="T12" fmla="*/ 0 w 134"/>
              <a:gd name="T13" fmla="*/ 47 h 135"/>
              <a:gd name="T14" fmla="*/ 47 w 134"/>
              <a:gd name="T15" fmla="*/ 47 h 135"/>
              <a:gd name="T16" fmla="*/ 47 w 134"/>
              <a:gd name="T17" fmla="*/ 0 h 135"/>
              <a:gd name="T18" fmla="*/ 87 w 134"/>
              <a:gd name="T19" fmla="*/ 0 h 135"/>
              <a:gd name="T20" fmla="*/ 87 w 134"/>
              <a:gd name="T21" fmla="*/ 47 h 135"/>
              <a:gd name="T22" fmla="*/ 134 w 134"/>
              <a:gd name="T23" fmla="*/ 47 h 135"/>
              <a:gd name="T24" fmla="*/ 134 w 134"/>
              <a:gd name="T25" fmla="*/ 88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34" h="135">
                <a:moveTo>
                  <a:pt x="134" y="88"/>
                </a:moveTo>
                <a:lnTo>
                  <a:pt x="87" y="88"/>
                </a:lnTo>
                <a:lnTo>
                  <a:pt x="87" y="135"/>
                </a:lnTo>
                <a:lnTo>
                  <a:pt x="47" y="135"/>
                </a:lnTo>
                <a:lnTo>
                  <a:pt x="47" y="88"/>
                </a:lnTo>
                <a:lnTo>
                  <a:pt x="0" y="88"/>
                </a:lnTo>
                <a:lnTo>
                  <a:pt x="0" y="47"/>
                </a:lnTo>
                <a:lnTo>
                  <a:pt x="47" y="47"/>
                </a:lnTo>
                <a:lnTo>
                  <a:pt x="47" y="0"/>
                </a:lnTo>
                <a:lnTo>
                  <a:pt x="87" y="0"/>
                </a:lnTo>
                <a:lnTo>
                  <a:pt x="87" y="47"/>
                </a:lnTo>
                <a:lnTo>
                  <a:pt x="134" y="47"/>
                </a:lnTo>
                <a:lnTo>
                  <a:pt x="134" y="8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881343</xdr:colOff>
      <xdr:row>92</xdr:row>
      <xdr:rowOff>142875</xdr:rowOff>
    </xdr:from>
    <xdr:to>
      <xdr:col>1</xdr:col>
      <xdr:colOff>1281393</xdr:colOff>
      <xdr:row>93</xdr:row>
      <xdr:rowOff>246380</xdr:rowOff>
    </xdr:to>
    <xdr:sp macro="" textlink="">
      <xdr:nvSpPr>
        <xdr:cNvPr id="32" name="Freeform 31">
          <a:extLst>
            <a:ext uri="{FF2B5EF4-FFF2-40B4-BE49-F238E27FC236}">
              <a16:creationId xmlns:a16="http://schemas.microsoft.com/office/drawing/2014/main" id="{00000000-0008-0000-0400-000020000000}"/>
            </a:ext>
          </a:extLst>
        </xdr:cNvPr>
        <xdr:cNvSpPr>
          <a:spLocks noEditPoints="1"/>
        </xdr:cNvSpPr>
      </xdr:nvSpPr>
      <xdr:spPr bwMode="auto">
        <a:xfrm>
          <a:off x="1096496" y="12352804"/>
          <a:ext cx="400050" cy="282800"/>
        </a:xfrm>
        <a:custGeom>
          <a:avLst/>
          <a:gdLst>
            <a:gd name="T0" fmla="*/ 187 w 443"/>
            <a:gd name="T1" fmla="*/ 315 h 315"/>
            <a:gd name="T2" fmla="*/ 137 w 443"/>
            <a:gd name="T3" fmla="*/ 305 h 315"/>
            <a:gd name="T4" fmla="*/ 431 w 443"/>
            <a:gd name="T5" fmla="*/ 244 h 315"/>
            <a:gd name="T6" fmla="*/ 443 w 443"/>
            <a:gd name="T7" fmla="*/ 130 h 315"/>
            <a:gd name="T8" fmla="*/ 330 w 443"/>
            <a:gd name="T9" fmla="*/ 118 h 315"/>
            <a:gd name="T10" fmla="*/ 318 w 443"/>
            <a:gd name="T11" fmla="*/ 231 h 315"/>
            <a:gd name="T12" fmla="*/ 371 w 443"/>
            <a:gd name="T13" fmla="*/ 244 h 315"/>
            <a:gd name="T14" fmla="*/ 295 w 443"/>
            <a:gd name="T15" fmla="*/ 299 h 315"/>
            <a:gd name="T16" fmla="*/ 314 w 443"/>
            <a:gd name="T17" fmla="*/ 65 h 315"/>
            <a:gd name="T18" fmla="*/ 276 w 443"/>
            <a:gd name="T19" fmla="*/ 7 h 315"/>
            <a:gd name="T20" fmla="*/ 61 w 443"/>
            <a:gd name="T21" fmla="*/ 0 h 315"/>
            <a:gd name="T22" fmla="*/ 3 w 443"/>
            <a:gd name="T23" fmla="*/ 57 h 315"/>
            <a:gd name="T24" fmla="*/ 26 w 443"/>
            <a:gd name="T25" fmla="*/ 65 h 315"/>
            <a:gd name="T26" fmla="*/ 12 w 443"/>
            <a:gd name="T27" fmla="*/ 299 h 315"/>
            <a:gd name="T28" fmla="*/ 9 w 443"/>
            <a:gd name="T29" fmla="*/ 315 h 315"/>
            <a:gd name="T30" fmla="*/ 133 w 443"/>
            <a:gd name="T31" fmla="*/ 203 h 315"/>
            <a:gd name="T32" fmla="*/ 182 w 443"/>
            <a:gd name="T33" fmla="*/ 193 h 315"/>
            <a:gd name="T34" fmla="*/ 192 w 443"/>
            <a:gd name="T35" fmla="*/ 315 h 315"/>
            <a:gd name="T36" fmla="*/ 443 w 443"/>
            <a:gd name="T37" fmla="*/ 302 h 315"/>
            <a:gd name="T38" fmla="*/ 390 w 443"/>
            <a:gd name="T39" fmla="*/ 299 h 315"/>
            <a:gd name="T40" fmla="*/ 431 w 443"/>
            <a:gd name="T41" fmla="*/ 244 h 315"/>
            <a:gd name="T42" fmla="*/ 98 w 443"/>
            <a:gd name="T43" fmla="*/ 257 h 315"/>
            <a:gd name="T44" fmla="*/ 56 w 443"/>
            <a:gd name="T45" fmla="*/ 249 h 315"/>
            <a:gd name="T46" fmla="*/ 64 w 443"/>
            <a:gd name="T47" fmla="*/ 194 h 315"/>
            <a:gd name="T48" fmla="*/ 107 w 443"/>
            <a:gd name="T49" fmla="*/ 202 h 315"/>
            <a:gd name="T50" fmla="*/ 107 w 443"/>
            <a:gd name="T51" fmla="*/ 152 h 315"/>
            <a:gd name="T52" fmla="*/ 64 w 443"/>
            <a:gd name="T53" fmla="*/ 161 h 315"/>
            <a:gd name="T54" fmla="*/ 56 w 443"/>
            <a:gd name="T55" fmla="*/ 106 h 315"/>
            <a:gd name="T56" fmla="*/ 98 w 443"/>
            <a:gd name="T57" fmla="*/ 97 h 315"/>
            <a:gd name="T58" fmla="*/ 107 w 443"/>
            <a:gd name="T59" fmla="*/ 152 h 315"/>
            <a:gd name="T60" fmla="*/ 180 w 443"/>
            <a:gd name="T61" fmla="*/ 161 h 315"/>
            <a:gd name="T62" fmla="*/ 137 w 443"/>
            <a:gd name="T63" fmla="*/ 152 h 315"/>
            <a:gd name="T64" fmla="*/ 145 w 443"/>
            <a:gd name="T65" fmla="*/ 97 h 315"/>
            <a:gd name="T66" fmla="*/ 188 w 443"/>
            <a:gd name="T67" fmla="*/ 106 h 315"/>
            <a:gd name="T68" fmla="*/ 269 w 443"/>
            <a:gd name="T69" fmla="*/ 249 h 315"/>
            <a:gd name="T70" fmla="*/ 227 w 443"/>
            <a:gd name="T71" fmla="*/ 257 h 315"/>
            <a:gd name="T72" fmla="*/ 218 w 443"/>
            <a:gd name="T73" fmla="*/ 202 h 315"/>
            <a:gd name="T74" fmla="*/ 261 w 443"/>
            <a:gd name="T75" fmla="*/ 194 h 315"/>
            <a:gd name="T76" fmla="*/ 269 w 443"/>
            <a:gd name="T77" fmla="*/ 249 h 315"/>
            <a:gd name="T78" fmla="*/ 261 w 443"/>
            <a:gd name="T79" fmla="*/ 161 h 315"/>
            <a:gd name="T80" fmla="*/ 218 w 443"/>
            <a:gd name="T81" fmla="*/ 152 h 315"/>
            <a:gd name="T82" fmla="*/ 227 w 443"/>
            <a:gd name="T83" fmla="*/ 97 h 315"/>
            <a:gd name="T84" fmla="*/ 269 w 443"/>
            <a:gd name="T85" fmla="*/ 106 h 315"/>
            <a:gd name="T86" fmla="*/ 369 w 443"/>
            <a:gd name="T87" fmla="*/ 224 h 315"/>
            <a:gd name="T88" fmla="*/ 365 w 443"/>
            <a:gd name="T89" fmla="*/ 199 h 315"/>
            <a:gd name="T90" fmla="*/ 341 w 443"/>
            <a:gd name="T91" fmla="*/ 196 h 315"/>
            <a:gd name="T92" fmla="*/ 337 w 443"/>
            <a:gd name="T93" fmla="*/ 169 h 315"/>
            <a:gd name="T94" fmla="*/ 362 w 443"/>
            <a:gd name="T95" fmla="*/ 166 h 315"/>
            <a:gd name="T96" fmla="*/ 365 w 443"/>
            <a:gd name="T97" fmla="*/ 141 h 315"/>
            <a:gd name="T98" fmla="*/ 392 w 443"/>
            <a:gd name="T99" fmla="*/ 137 h 315"/>
            <a:gd name="T100" fmla="*/ 396 w 443"/>
            <a:gd name="T101" fmla="*/ 162 h 315"/>
            <a:gd name="T102" fmla="*/ 420 w 443"/>
            <a:gd name="T103" fmla="*/ 166 h 315"/>
            <a:gd name="T104" fmla="*/ 424 w 443"/>
            <a:gd name="T105" fmla="*/ 192 h 315"/>
            <a:gd name="T106" fmla="*/ 399 w 443"/>
            <a:gd name="T107" fmla="*/ 196 h 315"/>
            <a:gd name="T108" fmla="*/ 396 w 443"/>
            <a:gd name="T109" fmla="*/ 220 h 315"/>
            <a:gd name="T110" fmla="*/ 369 w 443"/>
            <a:gd name="T111" fmla="*/ 224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443" h="315">
              <a:moveTo>
                <a:pt x="137" y="315"/>
              </a:moveTo>
              <a:cubicBezTo>
                <a:pt x="187" y="315"/>
                <a:pt x="187" y="315"/>
                <a:pt x="187" y="315"/>
              </a:cubicBezTo>
              <a:cubicBezTo>
                <a:pt x="187" y="305"/>
                <a:pt x="187" y="305"/>
                <a:pt x="187" y="305"/>
              </a:cubicBezTo>
              <a:cubicBezTo>
                <a:pt x="137" y="305"/>
                <a:pt x="137" y="305"/>
                <a:pt x="137" y="305"/>
              </a:cubicBezTo>
              <a:lnTo>
                <a:pt x="137" y="315"/>
              </a:lnTo>
              <a:close/>
              <a:moveTo>
                <a:pt x="431" y="244"/>
              </a:moveTo>
              <a:cubicBezTo>
                <a:pt x="438" y="244"/>
                <a:pt x="443" y="238"/>
                <a:pt x="443" y="231"/>
              </a:cubicBezTo>
              <a:cubicBezTo>
                <a:pt x="443" y="130"/>
                <a:pt x="443" y="130"/>
                <a:pt x="443" y="130"/>
              </a:cubicBezTo>
              <a:cubicBezTo>
                <a:pt x="443" y="123"/>
                <a:pt x="438" y="118"/>
                <a:pt x="431" y="118"/>
              </a:cubicBezTo>
              <a:cubicBezTo>
                <a:pt x="330" y="118"/>
                <a:pt x="330" y="118"/>
                <a:pt x="330" y="118"/>
              </a:cubicBezTo>
              <a:cubicBezTo>
                <a:pt x="323" y="118"/>
                <a:pt x="318" y="123"/>
                <a:pt x="318" y="130"/>
              </a:cubicBezTo>
              <a:cubicBezTo>
                <a:pt x="318" y="231"/>
                <a:pt x="318" y="231"/>
                <a:pt x="318" y="231"/>
              </a:cubicBezTo>
              <a:cubicBezTo>
                <a:pt x="318" y="238"/>
                <a:pt x="323" y="244"/>
                <a:pt x="330" y="244"/>
              </a:cubicBezTo>
              <a:cubicBezTo>
                <a:pt x="371" y="244"/>
                <a:pt x="371" y="244"/>
                <a:pt x="371" y="244"/>
              </a:cubicBezTo>
              <a:cubicBezTo>
                <a:pt x="371" y="299"/>
                <a:pt x="371" y="299"/>
                <a:pt x="371" y="299"/>
              </a:cubicBezTo>
              <a:cubicBezTo>
                <a:pt x="295" y="299"/>
                <a:pt x="295" y="299"/>
                <a:pt x="295" y="299"/>
              </a:cubicBezTo>
              <a:cubicBezTo>
                <a:pt x="295" y="65"/>
                <a:pt x="295" y="65"/>
                <a:pt x="295" y="65"/>
              </a:cubicBezTo>
              <a:cubicBezTo>
                <a:pt x="314" y="65"/>
                <a:pt x="314" y="65"/>
                <a:pt x="314" y="65"/>
              </a:cubicBezTo>
              <a:cubicBezTo>
                <a:pt x="320" y="65"/>
                <a:pt x="321" y="61"/>
                <a:pt x="318" y="57"/>
              </a:cubicBezTo>
              <a:cubicBezTo>
                <a:pt x="276" y="7"/>
                <a:pt x="276" y="7"/>
                <a:pt x="276" y="7"/>
              </a:cubicBezTo>
              <a:cubicBezTo>
                <a:pt x="272" y="3"/>
                <a:pt x="265" y="0"/>
                <a:pt x="259" y="0"/>
              </a:cubicBezTo>
              <a:cubicBezTo>
                <a:pt x="61" y="0"/>
                <a:pt x="61" y="0"/>
                <a:pt x="61" y="0"/>
              </a:cubicBezTo>
              <a:cubicBezTo>
                <a:pt x="56" y="0"/>
                <a:pt x="49" y="3"/>
                <a:pt x="45" y="7"/>
              </a:cubicBezTo>
              <a:cubicBezTo>
                <a:pt x="3" y="57"/>
                <a:pt x="3" y="57"/>
                <a:pt x="3" y="57"/>
              </a:cubicBezTo>
              <a:cubicBezTo>
                <a:pt x="0" y="61"/>
                <a:pt x="1" y="65"/>
                <a:pt x="7" y="65"/>
              </a:cubicBezTo>
              <a:cubicBezTo>
                <a:pt x="26" y="65"/>
                <a:pt x="26" y="65"/>
                <a:pt x="26" y="65"/>
              </a:cubicBezTo>
              <a:cubicBezTo>
                <a:pt x="26" y="299"/>
                <a:pt x="26" y="299"/>
                <a:pt x="26" y="299"/>
              </a:cubicBezTo>
              <a:cubicBezTo>
                <a:pt x="12" y="299"/>
                <a:pt x="12" y="299"/>
                <a:pt x="12" y="299"/>
              </a:cubicBezTo>
              <a:cubicBezTo>
                <a:pt x="10" y="299"/>
                <a:pt x="9" y="301"/>
                <a:pt x="9" y="302"/>
              </a:cubicBezTo>
              <a:cubicBezTo>
                <a:pt x="9" y="315"/>
                <a:pt x="9" y="315"/>
                <a:pt x="9" y="315"/>
              </a:cubicBezTo>
              <a:cubicBezTo>
                <a:pt x="133" y="315"/>
                <a:pt x="133" y="315"/>
                <a:pt x="133" y="315"/>
              </a:cubicBezTo>
              <a:cubicBezTo>
                <a:pt x="133" y="203"/>
                <a:pt x="133" y="203"/>
                <a:pt x="133" y="203"/>
              </a:cubicBezTo>
              <a:cubicBezTo>
                <a:pt x="133" y="198"/>
                <a:pt x="137" y="193"/>
                <a:pt x="143" y="193"/>
              </a:cubicBezTo>
              <a:cubicBezTo>
                <a:pt x="182" y="193"/>
                <a:pt x="182" y="193"/>
                <a:pt x="182" y="193"/>
              </a:cubicBezTo>
              <a:cubicBezTo>
                <a:pt x="187" y="193"/>
                <a:pt x="192" y="198"/>
                <a:pt x="192" y="203"/>
              </a:cubicBezTo>
              <a:cubicBezTo>
                <a:pt x="192" y="315"/>
                <a:pt x="192" y="315"/>
                <a:pt x="192" y="315"/>
              </a:cubicBezTo>
              <a:cubicBezTo>
                <a:pt x="443" y="315"/>
                <a:pt x="443" y="315"/>
                <a:pt x="443" y="315"/>
              </a:cubicBezTo>
              <a:cubicBezTo>
                <a:pt x="443" y="302"/>
                <a:pt x="443" y="302"/>
                <a:pt x="443" y="302"/>
              </a:cubicBezTo>
              <a:cubicBezTo>
                <a:pt x="443" y="301"/>
                <a:pt x="442" y="299"/>
                <a:pt x="440" y="299"/>
              </a:cubicBezTo>
              <a:cubicBezTo>
                <a:pt x="390" y="299"/>
                <a:pt x="390" y="299"/>
                <a:pt x="390" y="299"/>
              </a:cubicBezTo>
              <a:cubicBezTo>
                <a:pt x="390" y="244"/>
                <a:pt x="390" y="244"/>
                <a:pt x="390" y="244"/>
              </a:cubicBezTo>
              <a:lnTo>
                <a:pt x="431" y="244"/>
              </a:lnTo>
              <a:close/>
              <a:moveTo>
                <a:pt x="107" y="249"/>
              </a:moveTo>
              <a:cubicBezTo>
                <a:pt x="107" y="253"/>
                <a:pt x="103" y="257"/>
                <a:pt x="98" y="257"/>
              </a:cubicBezTo>
              <a:cubicBezTo>
                <a:pt x="64" y="257"/>
                <a:pt x="64" y="257"/>
                <a:pt x="64" y="257"/>
              </a:cubicBezTo>
              <a:cubicBezTo>
                <a:pt x="59" y="257"/>
                <a:pt x="56" y="253"/>
                <a:pt x="56" y="249"/>
              </a:cubicBezTo>
              <a:cubicBezTo>
                <a:pt x="56" y="202"/>
                <a:pt x="56" y="202"/>
                <a:pt x="56" y="202"/>
              </a:cubicBezTo>
              <a:cubicBezTo>
                <a:pt x="56" y="198"/>
                <a:pt x="59" y="194"/>
                <a:pt x="64" y="194"/>
              </a:cubicBezTo>
              <a:cubicBezTo>
                <a:pt x="98" y="194"/>
                <a:pt x="98" y="194"/>
                <a:pt x="98" y="194"/>
              </a:cubicBezTo>
              <a:cubicBezTo>
                <a:pt x="103" y="194"/>
                <a:pt x="107" y="198"/>
                <a:pt x="107" y="202"/>
              </a:cubicBezTo>
              <a:lnTo>
                <a:pt x="107" y="249"/>
              </a:lnTo>
              <a:close/>
              <a:moveTo>
                <a:pt x="107" y="152"/>
              </a:moveTo>
              <a:cubicBezTo>
                <a:pt x="107" y="157"/>
                <a:pt x="103" y="161"/>
                <a:pt x="98" y="161"/>
              </a:cubicBezTo>
              <a:cubicBezTo>
                <a:pt x="64" y="161"/>
                <a:pt x="64" y="161"/>
                <a:pt x="64" y="161"/>
              </a:cubicBezTo>
              <a:cubicBezTo>
                <a:pt x="59" y="161"/>
                <a:pt x="56" y="157"/>
                <a:pt x="56" y="152"/>
              </a:cubicBezTo>
              <a:cubicBezTo>
                <a:pt x="56" y="106"/>
                <a:pt x="56" y="106"/>
                <a:pt x="56" y="106"/>
              </a:cubicBezTo>
              <a:cubicBezTo>
                <a:pt x="56" y="101"/>
                <a:pt x="59" y="97"/>
                <a:pt x="64" y="97"/>
              </a:cubicBezTo>
              <a:cubicBezTo>
                <a:pt x="98" y="97"/>
                <a:pt x="98" y="97"/>
                <a:pt x="98" y="97"/>
              </a:cubicBezTo>
              <a:cubicBezTo>
                <a:pt x="103" y="97"/>
                <a:pt x="107" y="101"/>
                <a:pt x="107" y="106"/>
              </a:cubicBezTo>
              <a:lnTo>
                <a:pt x="107" y="152"/>
              </a:lnTo>
              <a:close/>
              <a:moveTo>
                <a:pt x="188" y="152"/>
              </a:moveTo>
              <a:cubicBezTo>
                <a:pt x="188" y="157"/>
                <a:pt x="184" y="161"/>
                <a:pt x="180" y="161"/>
              </a:cubicBezTo>
              <a:cubicBezTo>
                <a:pt x="145" y="161"/>
                <a:pt x="145" y="161"/>
                <a:pt x="145" y="161"/>
              </a:cubicBezTo>
              <a:cubicBezTo>
                <a:pt x="141" y="161"/>
                <a:pt x="137" y="157"/>
                <a:pt x="137" y="152"/>
              </a:cubicBezTo>
              <a:cubicBezTo>
                <a:pt x="137" y="106"/>
                <a:pt x="137" y="106"/>
                <a:pt x="137" y="106"/>
              </a:cubicBezTo>
              <a:cubicBezTo>
                <a:pt x="137" y="101"/>
                <a:pt x="141" y="97"/>
                <a:pt x="145" y="97"/>
              </a:cubicBezTo>
              <a:cubicBezTo>
                <a:pt x="180" y="97"/>
                <a:pt x="180" y="97"/>
                <a:pt x="180" y="97"/>
              </a:cubicBezTo>
              <a:cubicBezTo>
                <a:pt x="184" y="97"/>
                <a:pt x="188" y="101"/>
                <a:pt x="188" y="106"/>
              </a:cubicBezTo>
              <a:lnTo>
                <a:pt x="188" y="152"/>
              </a:lnTo>
              <a:close/>
              <a:moveTo>
                <a:pt x="269" y="249"/>
              </a:moveTo>
              <a:cubicBezTo>
                <a:pt x="269" y="253"/>
                <a:pt x="265" y="257"/>
                <a:pt x="261" y="257"/>
              </a:cubicBezTo>
              <a:cubicBezTo>
                <a:pt x="227" y="257"/>
                <a:pt x="227" y="257"/>
                <a:pt x="227" y="257"/>
              </a:cubicBezTo>
              <a:cubicBezTo>
                <a:pt x="222" y="257"/>
                <a:pt x="218" y="253"/>
                <a:pt x="218" y="249"/>
              </a:cubicBezTo>
              <a:cubicBezTo>
                <a:pt x="218" y="202"/>
                <a:pt x="218" y="202"/>
                <a:pt x="218" y="202"/>
              </a:cubicBezTo>
              <a:cubicBezTo>
                <a:pt x="218" y="198"/>
                <a:pt x="222" y="194"/>
                <a:pt x="227" y="194"/>
              </a:cubicBezTo>
              <a:cubicBezTo>
                <a:pt x="261" y="194"/>
                <a:pt x="261" y="194"/>
                <a:pt x="261" y="194"/>
              </a:cubicBezTo>
              <a:cubicBezTo>
                <a:pt x="265" y="194"/>
                <a:pt x="269" y="198"/>
                <a:pt x="269" y="202"/>
              </a:cubicBezTo>
              <a:lnTo>
                <a:pt x="269" y="249"/>
              </a:lnTo>
              <a:close/>
              <a:moveTo>
                <a:pt x="269" y="152"/>
              </a:moveTo>
              <a:cubicBezTo>
                <a:pt x="269" y="157"/>
                <a:pt x="265" y="161"/>
                <a:pt x="261" y="161"/>
              </a:cubicBezTo>
              <a:cubicBezTo>
                <a:pt x="227" y="161"/>
                <a:pt x="227" y="161"/>
                <a:pt x="227" y="161"/>
              </a:cubicBezTo>
              <a:cubicBezTo>
                <a:pt x="222" y="161"/>
                <a:pt x="218" y="157"/>
                <a:pt x="218" y="152"/>
              </a:cubicBezTo>
              <a:cubicBezTo>
                <a:pt x="218" y="106"/>
                <a:pt x="218" y="106"/>
                <a:pt x="218" y="106"/>
              </a:cubicBezTo>
              <a:cubicBezTo>
                <a:pt x="218" y="101"/>
                <a:pt x="222" y="97"/>
                <a:pt x="227" y="97"/>
              </a:cubicBezTo>
              <a:cubicBezTo>
                <a:pt x="261" y="97"/>
                <a:pt x="261" y="97"/>
                <a:pt x="261" y="97"/>
              </a:cubicBezTo>
              <a:cubicBezTo>
                <a:pt x="265" y="97"/>
                <a:pt x="269" y="101"/>
                <a:pt x="269" y="106"/>
              </a:cubicBezTo>
              <a:lnTo>
                <a:pt x="269" y="152"/>
              </a:lnTo>
              <a:close/>
              <a:moveTo>
                <a:pt x="369" y="224"/>
              </a:moveTo>
              <a:cubicBezTo>
                <a:pt x="367" y="224"/>
                <a:pt x="365" y="222"/>
                <a:pt x="365" y="220"/>
              </a:cubicBezTo>
              <a:cubicBezTo>
                <a:pt x="365" y="199"/>
                <a:pt x="365" y="199"/>
                <a:pt x="365" y="199"/>
              </a:cubicBezTo>
              <a:cubicBezTo>
                <a:pt x="365" y="197"/>
                <a:pt x="364" y="196"/>
                <a:pt x="362" y="196"/>
              </a:cubicBezTo>
              <a:cubicBezTo>
                <a:pt x="341" y="196"/>
                <a:pt x="341" y="196"/>
                <a:pt x="341" y="196"/>
              </a:cubicBezTo>
              <a:cubicBezTo>
                <a:pt x="339" y="196"/>
                <a:pt x="337" y="194"/>
                <a:pt x="337" y="192"/>
              </a:cubicBezTo>
              <a:cubicBezTo>
                <a:pt x="337" y="169"/>
                <a:pt x="337" y="169"/>
                <a:pt x="337" y="169"/>
              </a:cubicBezTo>
              <a:cubicBezTo>
                <a:pt x="337" y="167"/>
                <a:pt x="339" y="166"/>
                <a:pt x="341" y="166"/>
              </a:cubicBezTo>
              <a:cubicBezTo>
                <a:pt x="362" y="166"/>
                <a:pt x="362" y="166"/>
                <a:pt x="362" y="166"/>
              </a:cubicBezTo>
              <a:cubicBezTo>
                <a:pt x="364" y="166"/>
                <a:pt x="365" y="164"/>
                <a:pt x="365" y="162"/>
              </a:cubicBezTo>
              <a:cubicBezTo>
                <a:pt x="365" y="141"/>
                <a:pt x="365" y="141"/>
                <a:pt x="365" y="141"/>
              </a:cubicBezTo>
              <a:cubicBezTo>
                <a:pt x="365" y="139"/>
                <a:pt x="367" y="137"/>
                <a:pt x="369" y="137"/>
              </a:cubicBezTo>
              <a:cubicBezTo>
                <a:pt x="392" y="137"/>
                <a:pt x="392" y="137"/>
                <a:pt x="392" y="137"/>
              </a:cubicBezTo>
              <a:cubicBezTo>
                <a:pt x="394" y="137"/>
                <a:pt x="396" y="139"/>
                <a:pt x="396" y="141"/>
              </a:cubicBezTo>
              <a:cubicBezTo>
                <a:pt x="396" y="162"/>
                <a:pt x="396" y="162"/>
                <a:pt x="396" y="162"/>
              </a:cubicBezTo>
              <a:cubicBezTo>
                <a:pt x="396" y="164"/>
                <a:pt x="397" y="166"/>
                <a:pt x="399" y="166"/>
              </a:cubicBezTo>
              <a:cubicBezTo>
                <a:pt x="420" y="166"/>
                <a:pt x="420" y="166"/>
                <a:pt x="420" y="166"/>
              </a:cubicBezTo>
              <a:cubicBezTo>
                <a:pt x="422" y="166"/>
                <a:pt x="424" y="167"/>
                <a:pt x="424" y="169"/>
              </a:cubicBezTo>
              <a:cubicBezTo>
                <a:pt x="424" y="192"/>
                <a:pt x="424" y="192"/>
                <a:pt x="424" y="192"/>
              </a:cubicBezTo>
              <a:cubicBezTo>
                <a:pt x="424" y="194"/>
                <a:pt x="422" y="196"/>
                <a:pt x="420" y="196"/>
              </a:cubicBezTo>
              <a:cubicBezTo>
                <a:pt x="399" y="196"/>
                <a:pt x="399" y="196"/>
                <a:pt x="399" y="196"/>
              </a:cubicBezTo>
              <a:cubicBezTo>
                <a:pt x="397" y="196"/>
                <a:pt x="396" y="197"/>
                <a:pt x="396" y="199"/>
              </a:cubicBezTo>
              <a:cubicBezTo>
                <a:pt x="396" y="220"/>
                <a:pt x="396" y="220"/>
                <a:pt x="396" y="220"/>
              </a:cubicBezTo>
              <a:cubicBezTo>
                <a:pt x="396" y="222"/>
                <a:pt x="394" y="224"/>
                <a:pt x="392" y="224"/>
              </a:cubicBezTo>
              <a:lnTo>
                <a:pt x="369" y="224"/>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564777</xdr:colOff>
      <xdr:row>36</xdr:row>
      <xdr:rowOff>82372</xdr:rowOff>
    </xdr:from>
    <xdr:to>
      <xdr:col>1</xdr:col>
      <xdr:colOff>941295</xdr:colOff>
      <xdr:row>37</xdr:row>
      <xdr:rowOff>268100</xdr:rowOff>
    </xdr:to>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779930" y="12050254"/>
          <a:ext cx="376518" cy="311234"/>
        </a:xfrm>
        <a:custGeom>
          <a:avLst/>
          <a:gdLst>
            <a:gd name="T0" fmla="*/ 0 w 744"/>
            <a:gd name="T1" fmla="*/ 306 h 615"/>
            <a:gd name="T2" fmla="*/ 90 w 744"/>
            <a:gd name="T3" fmla="*/ 306 h 615"/>
            <a:gd name="T4" fmla="*/ 136 w 744"/>
            <a:gd name="T5" fmla="*/ 255 h 615"/>
            <a:gd name="T6" fmla="*/ 173 w 744"/>
            <a:gd name="T7" fmla="*/ 309 h 615"/>
            <a:gd name="T8" fmla="*/ 243 w 744"/>
            <a:gd name="T9" fmla="*/ 219 h 615"/>
            <a:gd name="T10" fmla="*/ 298 w 744"/>
            <a:gd name="T11" fmla="*/ 377 h 615"/>
            <a:gd name="T12" fmla="*/ 339 w 744"/>
            <a:gd name="T13" fmla="*/ 288 h 615"/>
            <a:gd name="T14" fmla="*/ 367 w 744"/>
            <a:gd name="T15" fmla="*/ 338 h 615"/>
            <a:gd name="T16" fmla="*/ 474 w 744"/>
            <a:gd name="T17" fmla="*/ 0 h 615"/>
            <a:gd name="T18" fmla="*/ 575 w 744"/>
            <a:gd name="T19" fmla="*/ 468 h 615"/>
            <a:gd name="T20" fmla="*/ 623 w 744"/>
            <a:gd name="T21" fmla="*/ 274 h 615"/>
            <a:gd name="T22" fmla="*/ 693 w 744"/>
            <a:gd name="T23" fmla="*/ 306 h 615"/>
            <a:gd name="T24" fmla="*/ 744 w 744"/>
            <a:gd name="T25" fmla="*/ 306 h 615"/>
            <a:gd name="T26" fmla="*/ 744 w 744"/>
            <a:gd name="T27" fmla="*/ 336 h 615"/>
            <a:gd name="T28" fmla="*/ 689 w 744"/>
            <a:gd name="T29" fmla="*/ 336 h 615"/>
            <a:gd name="T30" fmla="*/ 648 w 744"/>
            <a:gd name="T31" fmla="*/ 319 h 615"/>
            <a:gd name="T32" fmla="*/ 575 w 744"/>
            <a:gd name="T33" fmla="*/ 615 h 615"/>
            <a:gd name="T34" fmla="*/ 470 w 744"/>
            <a:gd name="T35" fmla="*/ 124 h 615"/>
            <a:gd name="T36" fmla="*/ 375 w 744"/>
            <a:gd name="T37" fmla="*/ 419 h 615"/>
            <a:gd name="T38" fmla="*/ 336 w 744"/>
            <a:gd name="T39" fmla="*/ 354 h 615"/>
            <a:gd name="T40" fmla="*/ 299 w 744"/>
            <a:gd name="T41" fmla="*/ 450 h 615"/>
            <a:gd name="T42" fmla="*/ 233 w 744"/>
            <a:gd name="T43" fmla="*/ 279 h 615"/>
            <a:gd name="T44" fmla="*/ 173 w 744"/>
            <a:gd name="T45" fmla="*/ 353 h 615"/>
            <a:gd name="T46" fmla="*/ 133 w 744"/>
            <a:gd name="T47" fmla="*/ 299 h 615"/>
            <a:gd name="T48" fmla="*/ 92 w 744"/>
            <a:gd name="T49" fmla="*/ 336 h 615"/>
            <a:gd name="T50" fmla="*/ 0 w 744"/>
            <a:gd name="T51" fmla="*/ 336 h 615"/>
            <a:gd name="T52" fmla="*/ 0 w 744"/>
            <a:gd name="T53" fmla="*/ 306 h 615"/>
            <a:gd name="T54" fmla="*/ 0 w 744"/>
            <a:gd name="T55" fmla="*/ 306 h 6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744" h="615">
              <a:moveTo>
                <a:pt x="0" y="306"/>
              </a:moveTo>
              <a:lnTo>
                <a:pt x="90" y="306"/>
              </a:lnTo>
              <a:lnTo>
                <a:pt x="136" y="255"/>
              </a:lnTo>
              <a:lnTo>
                <a:pt x="173" y="309"/>
              </a:lnTo>
              <a:lnTo>
                <a:pt x="243" y="219"/>
              </a:lnTo>
              <a:lnTo>
                <a:pt x="298" y="377"/>
              </a:lnTo>
              <a:lnTo>
                <a:pt x="339" y="288"/>
              </a:lnTo>
              <a:lnTo>
                <a:pt x="367" y="338"/>
              </a:lnTo>
              <a:lnTo>
                <a:pt x="474" y="0"/>
              </a:lnTo>
              <a:lnTo>
                <a:pt x="575" y="468"/>
              </a:lnTo>
              <a:lnTo>
                <a:pt x="623" y="274"/>
              </a:lnTo>
              <a:lnTo>
                <a:pt x="693" y="306"/>
              </a:lnTo>
              <a:lnTo>
                <a:pt x="744" y="306"/>
              </a:lnTo>
              <a:lnTo>
                <a:pt x="744" y="336"/>
              </a:lnTo>
              <a:lnTo>
                <a:pt x="689" y="336"/>
              </a:lnTo>
              <a:lnTo>
                <a:pt x="648" y="319"/>
              </a:lnTo>
              <a:lnTo>
                <a:pt x="575" y="615"/>
              </a:lnTo>
              <a:lnTo>
                <a:pt x="470" y="124"/>
              </a:lnTo>
              <a:lnTo>
                <a:pt x="375" y="419"/>
              </a:lnTo>
              <a:lnTo>
                <a:pt x="336" y="354"/>
              </a:lnTo>
              <a:lnTo>
                <a:pt x="299" y="450"/>
              </a:lnTo>
              <a:lnTo>
                <a:pt x="233" y="279"/>
              </a:lnTo>
              <a:lnTo>
                <a:pt x="173" y="353"/>
              </a:lnTo>
              <a:lnTo>
                <a:pt x="133" y="299"/>
              </a:lnTo>
              <a:lnTo>
                <a:pt x="92" y="336"/>
              </a:lnTo>
              <a:lnTo>
                <a:pt x="0" y="336"/>
              </a:lnTo>
              <a:lnTo>
                <a:pt x="0" y="306"/>
              </a:lnTo>
              <a:lnTo>
                <a:pt x="0" y="306"/>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2794000</xdr:colOff>
          <xdr:row>18</xdr:row>
          <xdr:rowOff>152400</xdr:rowOff>
        </xdr:from>
        <xdr:to>
          <xdr:col>2</xdr:col>
          <xdr:colOff>266700</xdr:colOff>
          <xdr:row>20</xdr:row>
          <xdr:rowOff>12700</xdr:rowOff>
        </xdr:to>
        <xdr:sp macro="" textlink="">
          <xdr:nvSpPr>
            <xdr:cNvPr id="57360" name="Option Button 16" hidden="1">
              <a:extLst>
                <a:ext uri="{63B3BB69-23CF-44E3-9099-C40C66FF867C}">
                  <a14:compatExt spid="_x0000_s57360"/>
                </a:ext>
                <a:ext uri="{FF2B5EF4-FFF2-40B4-BE49-F238E27FC236}">
                  <a16:creationId xmlns:a16="http://schemas.microsoft.com/office/drawing/2014/main" id="{00000000-0008-0000-0400-00001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Country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18</xdr:row>
          <xdr:rowOff>146050</xdr:rowOff>
        </xdr:from>
        <xdr:to>
          <xdr:col>3</xdr:col>
          <xdr:colOff>184150</xdr:colOff>
          <xdr:row>20</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4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Manual Entry</a:t>
              </a:r>
            </a:p>
          </xdr:txBody>
        </xdr:sp>
        <xdr:clientData fLocksWithSheet="0"/>
      </xdr:twoCellAnchor>
    </mc:Choice>
    <mc:Fallback/>
  </mc:AlternateContent>
  <xdr:twoCellAnchor editAs="oneCell">
    <xdr:from>
      <xdr:col>1</xdr:col>
      <xdr:colOff>1262903</xdr:colOff>
      <xdr:row>175</xdr:row>
      <xdr:rowOff>98612</xdr:rowOff>
    </xdr:from>
    <xdr:to>
      <xdr:col>1</xdr:col>
      <xdr:colOff>1641960</xdr:colOff>
      <xdr:row>176</xdr:row>
      <xdr:rowOff>286941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1028" y="35731637"/>
          <a:ext cx="379057" cy="369304"/>
        </a:xfrm>
        <a:prstGeom prst="rect">
          <a:avLst/>
        </a:prstGeom>
      </xdr:spPr>
    </xdr:pic>
    <xdr:clientData/>
  </xdr:twoCellAnchor>
  <xdr:twoCellAnchor>
    <xdr:from>
      <xdr:col>1</xdr:col>
      <xdr:colOff>1105461</xdr:colOff>
      <xdr:row>188</xdr:row>
      <xdr:rowOff>98611</xdr:rowOff>
    </xdr:from>
    <xdr:to>
      <xdr:col>1</xdr:col>
      <xdr:colOff>1508873</xdr:colOff>
      <xdr:row>189</xdr:row>
      <xdr:rowOff>290228</xdr:rowOff>
    </xdr:to>
    <xdr:grpSp>
      <xdr:nvGrpSpPr>
        <xdr:cNvPr id="57" name="Group 56">
          <a:extLst>
            <a:ext uri="{FF2B5EF4-FFF2-40B4-BE49-F238E27FC236}">
              <a16:creationId xmlns:a16="http://schemas.microsoft.com/office/drawing/2014/main" id="{00000000-0008-0000-0400-000039000000}"/>
            </a:ext>
          </a:extLst>
        </xdr:cNvPr>
        <xdr:cNvGrpSpPr/>
      </xdr:nvGrpSpPr>
      <xdr:grpSpPr>
        <a:xfrm>
          <a:off x="1348878" y="38011286"/>
          <a:ext cx="406587" cy="371534"/>
          <a:chOff x="2168525" y="2154238"/>
          <a:chExt cx="1241425" cy="1141412"/>
        </a:xfrm>
        <a:solidFill>
          <a:schemeClr val="tx1"/>
        </a:solidFill>
      </xdr:grpSpPr>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2168525" y="2206625"/>
            <a:ext cx="571500" cy="190500"/>
          </a:xfrm>
          <a:custGeom>
            <a:avLst/>
            <a:gdLst>
              <a:gd name="T0" fmla="*/ 68 w 243"/>
              <a:gd name="T1" fmla="*/ 78 h 81"/>
              <a:gd name="T2" fmla="*/ 107 w 243"/>
              <a:gd name="T3" fmla="*/ 62 h 81"/>
              <a:gd name="T4" fmla="*/ 116 w 243"/>
              <a:gd name="T5" fmla="*/ 57 h 81"/>
              <a:gd name="T6" fmla="*/ 124 w 243"/>
              <a:gd name="T7" fmla="*/ 52 h 81"/>
              <a:gd name="T8" fmla="*/ 140 w 243"/>
              <a:gd name="T9" fmla="*/ 43 h 81"/>
              <a:gd name="T10" fmla="*/ 172 w 243"/>
              <a:gd name="T11" fmla="*/ 26 h 81"/>
              <a:gd name="T12" fmla="*/ 188 w 243"/>
              <a:gd name="T13" fmla="*/ 23 h 81"/>
              <a:gd name="T14" fmla="*/ 200 w 243"/>
              <a:gd name="T15" fmla="*/ 25 h 81"/>
              <a:gd name="T16" fmla="*/ 205 w 243"/>
              <a:gd name="T17" fmla="*/ 30 h 81"/>
              <a:gd name="T18" fmla="*/ 208 w 243"/>
              <a:gd name="T19" fmla="*/ 36 h 81"/>
              <a:gd name="T20" fmla="*/ 210 w 243"/>
              <a:gd name="T21" fmla="*/ 45 h 81"/>
              <a:gd name="T22" fmla="*/ 212 w 243"/>
              <a:gd name="T23" fmla="*/ 55 h 81"/>
              <a:gd name="T24" fmla="*/ 215 w 243"/>
              <a:gd name="T25" fmla="*/ 65 h 81"/>
              <a:gd name="T26" fmla="*/ 218 w 243"/>
              <a:gd name="T27" fmla="*/ 70 h 81"/>
              <a:gd name="T28" fmla="*/ 222 w 243"/>
              <a:gd name="T29" fmla="*/ 74 h 81"/>
              <a:gd name="T30" fmla="*/ 233 w 243"/>
              <a:gd name="T31" fmla="*/ 76 h 81"/>
              <a:gd name="T32" fmla="*/ 243 w 243"/>
              <a:gd name="T33" fmla="*/ 73 h 81"/>
              <a:gd name="T34" fmla="*/ 233 w 243"/>
              <a:gd name="T35" fmla="*/ 73 h 81"/>
              <a:gd name="T36" fmla="*/ 226 w 243"/>
              <a:gd name="T37" fmla="*/ 69 h 81"/>
              <a:gd name="T38" fmla="*/ 223 w 243"/>
              <a:gd name="T39" fmla="*/ 63 h 81"/>
              <a:gd name="T40" fmla="*/ 222 w 243"/>
              <a:gd name="T41" fmla="*/ 54 h 81"/>
              <a:gd name="T42" fmla="*/ 223 w 243"/>
              <a:gd name="T43" fmla="*/ 44 h 81"/>
              <a:gd name="T44" fmla="*/ 223 w 243"/>
              <a:gd name="T45" fmla="*/ 33 h 81"/>
              <a:gd name="T46" fmla="*/ 220 w 243"/>
              <a:gd name="T47" fmla="*/ 21 h 81"/>
              <a:gd name="T48" fmla="*/ 216 w 243"/>
              <a:gd name="T49" fmla="*/ 16 h 81"/>
              <a:gd name="T50" fmla="*/ 212 w 243"/>
              <a:gd name="T51" fmla="*/ 11 h 81"/>
              <a:gd name="T52" fmla="*/ 201 w 243"/>
              <a:gd name="T53" fmla="*/ 4 h 81"/>
              <a:gd name="T54" fmla="*/ 189 w 243"/>
              <a:gd name="T55" fmla="*/ 1 h 81"/>
              <a:gd name="T56" fmla="*/ 166 w 243"/>
              <a:gd name="T57" fmla="*/ 2 h 81"/>
              <a:gd name="T58" fmla="*/ 145 w 243"/>
              <a:gd name="T59" fmla="*/ 8 h 81"/>
              <a:gd name="T60" fmla="*/ 126 w 243"/>
              <a:gd name="T61" fmla="*/ 16 h 81"/>
              <a:gd name="T62" fmla="*/ 108 w 243"/>
              <a:gd name="T63" fmla="*/ 25 h 81"/>
              <a:gd name="T64" fmla="*/ 104 w 243"/>
              <a:gd name="T65" fmla="*/ 28 h 81"/>
              <a:gd name="T66" fmla="*/ 100 w 243"/>
              <a:gd name="T67" fmla="*/ 30 h 81"/>
              <a:gd name="T68" fmla="*/ 92 w 243"/>
              <a:gd name="T69" fmla="*/ 35 h 81"/>
              <a:gd name="T70" fmla="*/ 60 w 243"/>
              <a:gd name="T71" fmla="*/ 52 h 81"/>
              <a:gd name="T72" fmla="*/ 44 w 243"/>
              <a:gd name="T73" fmla="*/ 58 h 81"/>
              <a:gd name="T74" fmla="*/ 35 w 243"/>
              <a:gd name="T75" fmla="*/ 60 h 81"/>
              <a:gd name="T76" fmla="*/ 27 w 243"/>
              <a:gd name="T77" fmla="*/ 61 h 81"/>
              <a:gd name="T78" fmla="*/ 12 w 243"/>
              <a:gd name="T79" fmla="*/ 59 h 81"/>
              <a:gd name="T80" fmla="*/ 6 w 243"/>
              <a:gd name="T81" fmla="*/ 54 h 81"/>
              <a:gd name="T82" fmla="*/ 2 w 243"/>
              <a:gd name="T83" fmla="*/ 46 h 81"/>
              <a:gd name="T84" fmla="*/ 0 w 243"/>
              <a:gd name="T85" fmla="*/ 51 h 81"/>
              <a:gd name="T86" fmla="*/ 0 w 243"/>
              <a:gd name="T87" fmla="*/ 56 h 81"/>
              <a:gd name="T88" fmla="*/ 4 w 243"/>
              <a:gd name="T89" fmla="*/ 68 h 81"/>
              <a:gd name="T90" fmla="*/ 14 w 243"/>
              <a:gd name="T91" fmla="*/ 75 h 81"/>
              <a:gd name="T92" fmla="*/ 25 w 243"/>
              <a:gd name="T93" fmla="*/ 79 h 81"/>
              <a:gd name="T94" fmla="*/ 31 w 243"/>
              <a:gd name="T95" fmla="*/ 80 h 81"/>
              <a:gd name="T96" fmla="*/ 36 w 243"/>
              <a:gd name="T97" fmla="*/ 81 h 81"/>
              <a:gd name="T98" fmla="*/ 47 w 243"/>
              <a:gd name="T99" fmla="*/ 81 h 81"/>
              <a:gd name="T100" fmla="*/ 68 w 243"/>
              <a:gd name="T101" fmla="*/ 7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68" y="78"/>
                </a:moveTo>
                <a:cubicBezTo>
                  <a:pt x="82" y="74"/>
                  <a:pt x="95" y="69"/>
                  <a:pt x="107" y="62"/>
                </a:cubicBezTo>
                <a:cubicBezTo>
                  <a:pt x="110" y="61"/>
                  <a:pt x="113" y="59"/>
                  <a:pt x="116" y="57"/>
                </a:cubicBezTo>
                <a:cubicBezTo>
                  <a:pt x="124" y="52"/>
                  <a:pt x="124" y="52"/>
                  <a:pt x="124" y="52"/>
                </a:cubicBezTo>
                <a:cubicBezTo>
                  <a:pt x="130" y="49"/>
                  <a:pt x="135" y="46"/>
                  <a:pt x="140" y="43"/>
                </a:cubicBezTo>
                <a:cubicBezTo>
                  <a:pt x="151" y="36"/>
                  <a:pt x="162" y="30"/>
                  <a:pt x="172" y="26"/>
                </a:cubicBezTo>
                <a:cubicBezTo>
                  <a:pt x="178" y="24"/>
                  <a:pt x="183" y="23"/>
                  <a:pt x="188" y="23"/>
                </a:cubicBezTo>
                <a:cubicBezTo>
                  <a:pt x="192" y="22"/>
                  <a:pt x="196" y="23"/>
                  <a:pt x="200" y="25"/>
                </a:cubicBezTo>
                <a:cubicBezTo>
                  <a:pt x="202" y="27"/>
                  <a:pt x="204" y="28"/>
                  <a:pt x="205" y="30"/>
                </a:cubicBezTo>
                <a:cubicBezTo>
                  <a:pt x="207" y="31"/>
                  <a:pt x="208" y="33"/>
                  <a:pt x="208" y="36"/>
                </a:cubicBezTo>
                <a:cubicBezTo>
                  <a:pt x="209" y="38"/>
                  <a:pt x="210" y="41"/>
                  <a:pt x="210" y="45"/>
                </a:cubicBezTo>
                <a:cubicBezTo>
                  <a:pt x="211" y="48"/>
                  <a:pt x="211" y="51"/>
                  <a:pt x="212" y="55"/>
                </a:cubicBezTo>
                <a:cubicBezTo>
                  <a:pt x="213" y="58"/>
                  <a:pt x="214" y="61"/>
                  <a:pt x="215" y="65"/>
                </a:cubicBezTo>
                <a:cubicBezTo>
                  <a:pt x="216" y="66"/>
                  <a:pt x="217" y="68"/>
                  <a:pt x="218" y="70"/>
                </a:cubicBezTo>
                <a:cubicBezTo>
                  <a:pt x="219" y="71"/>
                  <a:pt x="221" y="73"/>
                  <a:pt x="222" y="74"/>
                </a:cubicBezTo>
                <a:cubicBezTo>
                  <a:pt x="226" y="76"/>
                  <a:pt x="229" y="76"/>
                  <a:pt x="233" y="76"/>
                </a:cubicBezTo>
                <a:cubicBezTo>
                  <a:pt x="236" y="76"/>
                  <a:pt x="240" y="75"/>
                  <a:pt x="243" y="73"/>
                </a:cubicBezTo>
                <a:cubicBezTo>
                  <a:pt x="239" y="74"/>
                  <a:pt x="236" y="74"/>
                  <a:pt x="233" y="73"/>
                </a:cubicBezTo>
                <a:cubicBezTo>
                  <a:pt x="230" y="73"/>
                  <a:pt x="227" y="71"/>
                  <a:pt x="226" y="69"/>
                </a:cubicBezTo>
                <a:cubicBezTo>
                  <a:pt x="224" y="68"/>
                  <a:pt x="223" y="65"/>
                  <a:pt x="223" y="63"/>
                </a:cubicBezTo>
                <a:cubicBezTo>
                  <a:pt x="222" y="60"/>
                  <a:pt x="222" y="57"/>
                  <a:pt x="222" y="54"/>
                </a:cubicBezTo>
                <a:cubicBezTo>
                  <a:pt x="222" y="50"/>
                  <a:pt x="223" y="47"/>
                  <a:pt x="223" y="44"/>
                </a:cubicBezTo>
                <a:cubicBezTo>
                  <a:pt x="223" y="41"/>
                  <a:pt x="223" y="37"/>
                  <a:pt x="223" y="33"/>
                </a:cubicBezTo>
                <a:cubicBezTo>
                  <a:pt x="223" y="30"/>
                  <a:pt x="222" y="25"/>
                  <a:pt x="220" y="21"/>
                </a:cubicBezTo>
                <a:cubicBezTo>
                  <a:pt x="219" y="19"/>
                  <a:pt x="218" y="17"/>
                  <a:pt x="216" y="16"/>
                </a:cubicBezTo>
                <a:cubicBezTo>
                  <a:pt x="215" y="14"/>
                  <a:pt x="214" y="12"/>
                  <a:pt x="212" y="11"/>
                </a:cubicBezTo>
                <a:cubicBezTo>
                  <a:pt x="209" y="8"/>
                  <a:pt x="205" y="6"/>
                  <a:pt x="201" y="4"/>
                </a:cubicBezTo>
                <a:cubicBezTo>
                  <a:pt x="197" y="2"/>
                  <a:pt x="193" y="1"/>
                  <a:pt x="189" y="1"/>
                </a:cubicBezTo>
                <a:cubicBezTo>
                  <a:pt x="181" y="0"/>
                  <a:pt x="173" y="0"/>
                  <a:pt x="166" y="2"/>
                </a:cubicBezTo>
                <a:cubicBezTo>
                  <a:pt x="158" y="3"/>
                  <a:pt x="152" y="5"/>
                  <a:pt x="145" y="8"/>
                </a:cubicBezTo>
                <a:cubicBezTo>
                  <a:pt x="138" y="10"/>
                  <a:pt x="132" y="13"/>
                  <a:pt x="126" y="16"/>
                </a:cubicBezTo>
                <a:cubicBezTo>
                  <a:pt x="120" y="19"/>
                  <a:pt x="114" y="22"/>
                  <a:pt x="108" y="25"/>
                </a:cubicBezTo>
                <a:cubicBezTo>
                  <a:pt x="104" y="28"/>
                  <a:pt x="104" y="28"/>
                  <a:pt x="104" y="28"/>
                </a:cubicBezTo>
                <a:cubicBezTo>
                  <a:pt x="100" y="30"/>
                  <a:pt x="100" y="30"/>
                  <a:pt x="100" y="30"/>
                </a:cubicBezTo>
                <a:cubicBezTo>
                  <a:pt x="97" y="32"/>
                  <a:pt x="95" y="34"/>
                  <a:pt x="92" y="35"/>
                </a:cubicBezTo>
                <a:cubicBezTo>
                  <a:pt x="81" y="41"/>
                  <a:pt x="71" y="47"/>
                  <a:pt x="60" y="52"/>
                </a:cubicBezTo>
                <a:cubicBezTo>
                  <a:pt x="55" y="54"/>
                  <a:pt x="49" y="57"/>
                  <a:pt x="44" y="58"/>
                </a:cubicBezTo>
                <a:cubicBezTo>
                  <a:pt x="41" y="59"/>
                  <a:pt x="38" y="59"/>
                  <a:pt x="35" y="60"/>
                </a:cubicBezTo>
                <a:cubicBezTo>
                  <a:pt x="32" y="60"/>
                  <a:pt x="30" y="61"/>
                  <a:pt x="27" y="61"/>
                </a:cubicBezTo>
                <a:cubicBezTo>
                  <a:pt x="21" y="61"/>
                  <a:pt x="16" y="61"/>
                  <a:pt x="12" y="59"/>
                </a:cubicBezTo>
                <a:cubicBezTo>
                  <a:pt x="10" y="58"/>
                  <a:pt x="8" y="57"/>
                  <a:pt x="6" y="54"/>
                </a:cubicBezTo>
                <a:cubicBezTo>
                  <a:pt x="4" y="52"/>
                  <a:pt x="3" y="49"/>
                  <a:pt x="2" y="46"/>
                </a:cubicBezTo>
                <a:cubicBezTo>
                  <a:pt x="1" y="47"/>
                  <a:pt x="0" y="49"/>
                  <a:pt x="0" y="51"/>
                </a:cubicBezTo>
                <a:cubicBezTo>
                  <a:pt x="0" y="53"/>
                  <a:pt x="0" y="54"/>
                  <a:pt x="0" y="56"/>
                </a:cubicBezTo>
                <a:cubicBezTo>
                  <a:pt x="0" y="60"/>
                  <a:pt x="2" y="64"/>
                  <a:pt x="4" y="68"/>
                </a:cubicBezTo>
                <a:cubicBezTo>
                  <a:pt x="7" y="71"/>
                  <a:pt x="10" y="74"/>
                  <a:pt x="14" y="75"/>
                </a:cubicBezTo>
                <a:cubicBezTo>
                  <a:pt x="18" y="77"/>
                  <a:pt x="21" y="79"/>
                  <a:pt x="25" y="79"/>
                </a:cubicBezTo>
                <a:cubicBezTo>
                  <a:pt x="27" y="80"/>
                  <a:pt x="29" y="80"/>
                  <a:pt x="31" y="80"/>
                </a:cubicBezTo>
                <a:cubicBezTo>
                  <a:pt x="32" y="81"/>
                  <a:pt x="34" y="81"/>
                  <a:pt x="36" y="81"/>
                </a:cubicBezTo>
                <a:cubicBezTo>
                  <a:pt x="40" y="81"/>
                  <a:pt x="43" y="81"/>
                  <a:pt x="47" y="81"/>
                </a:cubicBezTo>
                <a:cubicBezTo>
                  <a:pt x="54" y="81"/>
                  <a:pt x="62" y="79"/>
                  <a:pt x="68" y="7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2273300" y="2268538"/>
            <a:ext cx="361950" cy="171450"/>
          </a:xfrm>
          <a:custGeom>
            <a:avLst/>
            <a:gdLst>
              <a:gd name="T0" fmla="*/ 58 w 154"/>
              <a:gd name="T1" fmla="*/ 67 h 73"/>
              <a:gd name="T2" fmla="*/ 90 w 154"/>
              <a:gd name="T3" fmla="*/ 48 h 73"/>
              <a:gd name="T4" fmla="*/ 98 w 154"/>
              <a:gd name="T5" fmla="*/ 43 h 73"/>
              <a:gd name="T6" fmla="*/ 104 w 154"/>
              <a:gd name="T7" fmla="*/ 37 h 73"/>
              <a:gd name="T8" fmla="*/ 117 w 154"/>
              <a:gd name="T9" fmla="*/ 27 h 73"/>
              <a:gd name="T10" fmla="*/ 144 w 154"/>
              <a:gd name="T11" fmla="*/ 8 h 73"/>
              <a:gd name="T12" fmla="*/ 153 w 154"/>
              <a:gd name="T13" fmla="*/ 4 h 73"/>
              <a:gd name="T14" fmla="*/ 154 w 154"/>
              <a:gd name="T15" fmla="*/ 4 h 73"/>
              <a:gd name="T16" fmla="*/ 153 w 154"/>
              <a:gd name="T17" fmla="*/ 2 h 73"/>
              <a:gd name="T18" fmla="*/ 140 w 154"/>
              <a:gd name="T19" fmla="*/ 0 h 73"/>
              <a:gd name="T20" fmla="*/ 125 w 154"/>
              <a:gd name="T21" fmla="*/ 4 h 73"/>
              <a:gd name="T22" fmla="*/ 94 w 154"/>
              <a:gd name="T23" fmla="*/ 22 h 73"/>
              <a:gd name="T24" fmla="*/ 78 w 154"/>
              <a:gd name="T25" fmla="*/ 32 h 73"/>
              <a:gd name="T26" fmla="*/ 70 w 154"/>
              <a:gd name="T27" fmla="*/ 38 h 73"/>
              <a:gd name="T28" fmla="*/ 61 w 154"/>
              <a:gd name="T29" fmla="*/ 43 h 73"/>
              <a:gd name="T30" fmla="*/ 23 w 154"/>
              <a:gd name="T31" fmla="*/ 60 h 73"/>
              <a:gd name="T32" fmla="*/ 2 w 154"/>
              <a:gd name="T33" fmla="*/ 64 h 73"/>
              <a:gd name="T34" fmla="*/ 0 w 154"/>
              <a:gd name="T35" fmla="*/ 64 h 73"/>
              <a:gd name="T36" fmla="*/ 0 w 154"/>
              <a:gd name="T37" fmla="*/ 64 h 73"/>
              <a:gd name="T38" fmla="*/ 10 w 154"/>
              <a:gd name="T39" fmla="*/ 70 h 73"/>
              <a:gd name="T40" fmla="*/ 20 w 154"/>
              <a:gd name="T41" fmla="*/ 73 h 73"/>
              <a:gd name="T42" fmla="*/ 25 w 154"/>
              <a:gd name="T43" fmla="*/ 73 h 73"/>
              <a:gd name="T44" fmla="*/ 30 w 154"/>
              <a:gd name="T45" fmla="*/ 73 h 73"/>
              <a:gd name="T46" fmla="*/ 39 w 154"/>
              <a:gd name="T47" fmla="*/ 72 h 73"/>
              <a:gd name="T48" fmla="*/ 58 w 154"/>
              <a:gd name="T49" fmla="*/ 67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58" y="67"/>
                </a:moveTo>
                <a:cubicBezTo>
                  <a:pt x="70" y="62"/>
                  <a:pt x="81" y="55"/>
                  <a:pt x="90" y="48"/>
                </a:cubicBezTo>
                <a:cubicBezTo>
                  <a:pt x="93" y="46"/>
                  <a:pt x="95" y="45"/>
                  <a:pt x="98" y="43"/>
                </a:cubicBezTo>
                <a:cubicBezTo>
                  <a:pt x="104" y="37"/>
                  <a:pt x="104" y="37"/>
                  <a:pt x="104" y="37"/>
                </a:cubicBezTo>
                <a:cubicBezTo>
                  <a:pt x="109" y="34"/>
                  <a:pt x="113" y="30"/>
                  <a:pt x="117" y="27"/>
                </a:cubicBezTo>
                <a:cubicBezTo>
                  <a:pt x="128" y="18"/>
                  <a:pt x="136" y="13"/>
                  <a:pt x="144" y="8"/>
                </a:cubicBezTo>
                <a:cubicBezTo>
                  <a:pt x="147" y="7"/>
                  <a:pt x="150" y="5"/>
                  <a:pt x="153" y="4"/>
                </a:cubicBezTo>
                <a:cubicBezTo>
                  <a:pt x="154" y="4"/>
                  <a:pt x="154" y="4"/>
                  <a:pt x="154" y="4"/>
                </a:cubicBezTo>
                <a:cubicBezTo>
                  <a:pt x="154" y="3"/>
                  <a:pt x="153" y="3"/>
                  <a:pt x="153" y="2"/>
                </a:cubicBezTo>
                <a:cubicBezTo>
                  <a:pt x="149" y="0"/>
                  <a:pt x="145" y="0"/>
                  <a:pt x="140" y="0"/>
                </a:cubicBezTo>
                <a:cubicBezTo>
                  <a:pt x="135" y="1"/>
                  <a:pt x="130" y="2"/>
                  <a:pt x="125" y="4"/>
                </a:cubicBezTo>
                <a:cubicBezTo>
                  <a:pt x="114" y="9"/>
                  <a:pt x="104" y="15"/>
                  <a:pt x="94" y="22"/>
                </a:cubicBezTo>
                <a:cubicBezTo>
                  <a:pt x="88" y="25"/>
                  <a:pt x="83" y="29"/>
                  <a:pt x="78" y="32"/>
                </a:cubicBezTo>
                <a:cubicBezTo>
                  <a:pt x="70" y="38"/>
                  <a:pt x="70" y="38"/>
                  <a:pt x="70" y="38"/>
                </a:cubicBezTo>
                <a:cubicBezTo>
                  <a:pt x="67" y="39"/>
                  <a:pt x="64" y="41"/>
                  <a:pt x="61" y="43"/>
                </a:cubicBezTo>
                <a:cubicBezTo>
                  <a:pt x="50" y="50"/>
                  <a:pt x="37" y="56"/>
                  <a:pt x="23" y="60"/>
                </a:cubicBezTo>
                <a:cubicBezTo>
                  <a:pt x="16" y="62"/>
                  <a:pt x="9" y="63"/>
                  <a:pt x="2" y="64"/>
                </a:cubicBezTo>
                <a:cubicBezTo>
                  <a:pt x="1" y="64"/>
                  <a:pt x="1" y="64"/>
                  <a:pt x="0" y="64"/>
                </a:cubicBezTo>
                <a:cubicBezTo>
                  <a:pt x="0" y="64"/>
                  <a:pt x="0" y="64"/>
                  <a:pt x="0" y="64"/>
                </a:cubicBezTo>
                <a:cubicBezTo>
                  <a:pt x="3" y="67"/>
                  <a:pt x="6" y="69"/>
                  <a:pt x="10" y="70"/>
                </a:cubicBezTo>
                <a:cubicBezTo>
                  <a:pt x="13" y="72"/>
                  <a:pt x="16" y="73"/>
                  <a:pt x="20" y="73"/>
                </a:cubicBezTo>
                <a:cubicBezTo>
                  <a:pt x="22" y="73"/>
                  <a:pt x="23" y="73"/>
                  <a:pt x="25" y="73"/>
                </a:cubicBezTo>
                <a:cubicBezTo>
                  <a:pt x="26" y="73"/>
                  <a:pt x="28" y="73"/>
                  <a:pt x="30" y="73"/>
                </a:cubicBezTo>
                <a:cubicBezTo>
                  <a:pt x="33" y="73"/>
                  <a:pt x="36" y="72"/>
                  <a:pt x="39" y="72"/>
                </a:cubicBezTo>
                <a:cubicBezTo>
                  <a:pt x="46" y="71"/>
                  <a:pt x="52" y="69"/>
                  <a:pt x="58" y="6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2362200" y="2281238"/>
            <a:ext cx="285750" cy="188913"/>
          </a:xfrm>
          <a:custGeom>
            <a:avLst/>
            <a:gdLst>
              <a:gd name="T0" fmla="*/ 51 w 122"/>
              <a:gd name="T1" fmla="*/ 71 h 80"/>
              <a:gd name="T2" fmla="*/ 78 w 122"/>
              <a:gd name="T3" fmla="*/ 50 h 80"/>
              <a:gd name="T4" fmla="*/ 84 w 122"/>
              <a:gd name="T5" fmla="*/ 44 h 80"/>
              <a:gd name="T6" fmla="*/ 89 w 122"/>
              <a:gd name="T7" fmla="*/ 39 h 80"/>
              <a:gd name="T8" fmla="*/ 99 w 122"/>
              <a:gd name="T9" fmla="*/ 28 h 80"/>
              <a:gd name="T10" fmla="*/ 121 w 122"/>
              <a:gd name="T11" fmla="*/ 8 h 80"/>
              <a:gd name="T12" fmla="*/ 122 w 122"/>
              <a:gd name="T13" fmla="*/ 7 h 80"/>
              <a:gd name="T14" fmla="*/ 121 w 122"/>
              <a:gd name="T15" fmla="*/ 3 h 80"/>
              <a:gd name="T16" fmla="*/ 120 w 122"/>
              <a:gd name="T17" fmla="*/ 1 h 80"/>
              <a:gd name="T18" fmla="*/ 120 w 122"/>
              <a:gd name="T19" fmla="*/ 0 h 80"/>
              <a:gd name="T20" fmla="*/ 116 w 122"/>
              <a:gd name="T21" fmla="*/ 1 h 80"/>
              <a:gd name="T22" fmla="*/ 103 w 122"/>
              <a:gd name="T23" fmla="*/ 7 h 80"/>
              <a:gd name="T24" fmla="*/ 78 w 122"/>
              <a:gd name="T25" fmla="*/ 26 h 80"/>
              <a:gd name="T26" fmla="*/ 65 w 122"/>
              <a:gd name="T27" fmla="*/ 37 h 80"/>
              <a:gd name="T28" fmla="*/ 58 w 122"/>
              <a:gd name="T29" fmla="*/ 43 h 80"/>
              <a:gd name="T30" fmla="*/ 51 w 122"/>
              <a:gd name="T31" fmla="*/ 49 h 80"/>
              <a:gd name="T32" fmla="*/ 20 w 122"/>
              <a:gd name="T33" fmla="*/ 68 h 80"/>
              <a:gd name="T34" fmla="*/ 1 w 122"/>
              <a:gd name="T35" fmla="*/ 74 h 80"/>
              <a:gd name="T36" fmla="*/ 0 w 122"/>
              <a:gd name="T37" fmla="*/ 75 h 80"/>
              <a:gd name="T38" fmla="*/ 0 w 122"/>
              <a:gd name="T39" fmla="*/ 75 h 80"/>
              <a:gd name="T40" fmla="*/ 0 w 122"/>
              <a:gd name="T41" fmla="*/ 75 h 80"/>
              <a:gd name="T42" fmla="*/ 9 w 122"/>
              <a:gd name="T43" fmla="*/ 79 h 80"/>
              <a:gd name="T44" fmla="*/ 18 w 122"/>
              <a:gd name="T45" fmla="*/ 80 h 80"/>
              <a:gd name="T46" fmla="*/ 23 w 122"/>
              <a:gd name="T47" fmla="*/ 80 h 80"/>
              <a:gd name="T48" fmla="*/ 27 w 122"/>
              <a:gd name="T49" fmla="*/ 79 h 80"/>
              <a:gd name="T50" fmla="*/ 35 w 122"/>
              <a:gd name="T51" fmla="*/ 77 h 80"/>
              <a:gd name="T52" fmla="*/ 51 w 122"/>
              <a:gd name="T53" fmla="*/ 71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51" y="71"/>
                </a:moveTo>
                <a:cubicBezTo>
                  <a:pt x="61" y="65"/>
                  <a:pt x="70" y="58"/>
                  <a:pt x="78" y="50"/>
                </a:cubicBezTo>
                <a:cubicBezTo>
                  <a:pt x="80" y="48"/>
                  <a:pt x="82" y="46"/>
                  <a:pt x="84" y="44"/>
                </a:cubicBezTo>
                <a:cubicBezTo>
                  <a:pt x="89" y="39"/>
                  <a:pt x="89" y="39"/>
                  <a:pt x="89" y="39"/>
                </a:cubicBezTo>
                <a:cubicBezTo>
                  <a:pt x="92" y="35"/>
                  <a:pt x="96" y="31"/>
                  <a:pt x="99" y="28"/>
                </a:cubicBezTo>
                <a:cubicBezTo>
                  <a:pt x="106" y="20"/>
                  <a:pt x="113" y="13"/>
                  <a:pt x="121" y="8"/>
                </a:cubicBezTo>
                <a:cubicBezTo>
                  <a:pt x="121" y="8"/>
                  <a:pt x="122" y="7"/>
                  <a:pt x="122" y="7"/>
                </a:cubicBezTo>
                <a:cubicBezTo>
                  <a:pt x="122" y="6"/>
                  <a:pt x="122" y="4"/>
                  <a:pt x="121" y="3"/>
                </a:cubicBezTo>
                <a:cubicBezTo>
                  <a:pt x="121" y="2"/>
                  <a:pt x="120" y="1"/>
                  <a:pt x="120" y="1"/>
                </a:cubicBezTo>
                <a:cubicBezTo>
                  <a:pt x="120" y="1"/>
                  <a:pt x="120" y="0"/>
                  <a:pt x="120" y="0"/>
                </a:cubicBezTo>
                <a:cubicBezTo>
                  <a:pt x="119" y="1"/>
                  <a:pt x="117" y="1"/>
                  <a:pt x="116" y="1"/>
                </a:cubicBezTo>
                <a:cubicBezTo>
                  <a:pt x="112" y="2"/>
                  <a:pt x="108" y="4"/>
                  <a:pt x="103" y="7"/>
                </a:cubicBezTo>
                <a:cubicBezTo>
                  <a:pt x="95" y="12"/>
                  <a:pt x="86" y="19"/>
                  <a:pt x="78" y="26"/>
                </a:cubicBezTo>
                <a:cubicBezTo>
                  <a:pt x="73" y="29"/>
                  <a:pt x="69" y="33"/>
                  <a:pt x="65" y="37"/>
                </a:cubicBezTo>
                <a:cubicBezTo>
                  <a:pt x="58" y="43"/>
                  <a:pt x="58" y="43"/>
                  <a:pt x="58" y="43"/>
                </a:cubicBezTo>
                <a:cubicBezTo>
                  <a:pt x="56" y="45"/>
                  <a:pt x="54" y="47"/>
                  <a:pt x="51" y="49"/>
                </a:cubicBezTo>
                <a:cubicBezTo>
                  <a:pt x="42" y="56"/>
                  <a:pt x="31" y="63"/>
                  <a:pt x="20" y="68"/>
                </a:cubicBezTo>
                <a:cubicBezTo>
                  <a:pt x="14" y="71"/>
                  <a:pt x="8" y="73"/>
                  <a:pt x="1" y="74"/>
                </a:cubicBezTo>
                <a:cubicBezTo>
                  <a:pt x="1" y="74"/>
                  <a:pt x="0" y="75"/>
                  <a:pt x="0" y="75"/>
                </a:cubicBezTo>
                <a:cubicBezTo>
                  <a:pt x="0" y="75"/>
                  <a:pt x="0" y="75"/>
                  <a:pt x="0" y="75"/>
                </a:cubicBezTo>
                <a:cubicBezTo>
                  <a:pt x="0" y="75"/>
                  <a:pt x="0" y="75"/>
                  <a:pt x="0" y="75"/>
                </a:cubicBezTo>
                <a:cubicBezTo>
                  <a:pt x="2" y="76"/>
                  <a:pt x="5" y="78"/>
                  <a:pt x="9" y="79"/>
                </a:cubicBezTo>
                <a:cubicBezTo>
                  <a:pt x="12" y="80"/>
                  <a:pt x="15" y="80"/>
                  <a:pt x="18" y="80"/>
                </a:cubicBezTo>
                <a:cubicBezTo>
                  <a:pt x="20" y="80"/>
                  <a:pt x="21" y="80"/>
                  <a:pt x="23" y="80"/>
                </a:cubicBezTo>
                <a:cubicBezTo>
                  <a:pt x="24" y="80"/>
                  <a:pt x="26" y="80"/>
                  <a:pt x="27" y="79"/>
                </a:cubicBezTo>
                <a:cubicBezTo>
                  <a:pt x="30" y="79"/>
                  <a:pt x="33" y="78"/>
                  <a:pt x="35" y="77"/>
                </a:cubicBezTo>
                <a:cubicBezTo>
                  <a:pt x="41" y="76"/>
                  <a:pt x="46" y="73"/>
                  <a:pt x="51" y="7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2444750" y="2303463"/>
            <a:ext cx="212725" cy="187325"/>
          </a:xfrm>
          <a:custGeom>
            <a:avLst/>
            <a:gdLst>
              <a:gd name="T0" fmla="*/ 66 w 91"/>
              <a:gd name="T1" fmla="*/ 46 h 80"/>
              <a:gd name="T2" fmla="*/ 71 w 91"/>
              <a:gd name="T3" fmla="*/ 40 h 80"/>
              <a:gd name="T4" fmla="*/ 75 w 91"/>
              <a:gd name="T5" fmla="*/ 34 h 80"/>
              <a:gd name="T6" fmla="*/ 83 w 91"/>
              <a:gd name="T7" fmla="*/ 23 h 80"/>
              <a:gd name="T8" fmla="*/ 91 w 91"/>
              <a:gd name="T9" fmla="*/ 11 h 80"/>
              <a:gd name="T10" fmla="*/ 90 w 91"/>
              <a:gd name="T11" fmla="*/ 6 h 80"/>
              <a:gd name="T12" fmla="*/ 89 w 91"/>
              <a:gd name="T13" fmla="*/ 0 h 80"/>
              <a:gd name="T14" fmla="*/ 84 w 91"/>
              <a:gd name="T15" fmla="*/ 3 h 80"/>
              <a:gd name="T16" fmla="*/ 63 w 91"/>
              <a:gd name="T17" fmla="*/ 24 h 80"/>
              <a:gd name="T18" fmla="*/ 53 w 91"/>
              <a:gd name="T19" fmla="*/ 35 h 80"/>
              <a:gd name="T20" fmla="*/ 48 w 91"/>
              <a:gd name="T21" fmla="*/ 41 h 80"/>
              <a:gd name="T22" fmla="*/ 43 w 91"/>
              <a:gd name="T23" fmla="*/ 47 h 80"/>
              <a:gd name="T24" fmla="*/ 17 w 91"/>
              <a:gd name="T25" fmla="*/ 69 h 80"/>
              <a:gd name="T26" fmla="*/ 1 w 91"/>
              <a:gd name="T27" fmla="*/ 76 h 80"/>
              <a:gd name="T28" fmla="*/ 0 w 91"/>
              <a:gd name="T29" fmla="*/ 77 h 80"/>
              <a:gd name="T30" fmla="*/ 0 w 91"/>
              <a:gd name="T31" fmla="*/ 77 h 80"/>
              <a:gd name="T32" fmla="*/ 9 w 91"/>
              <a:gd name="T33" fmla="*/ 80 h 80"/>
              <a:gd name="T34" fmla="*/ 17 w 91"/>
              <a:gd name="T35" fmla="*/ 80 h 80"/>
              <a:gd name="T36" fmla="*/ 21 w 91"/>
              <a:gd name="T37" fmla="*/ 79 h 80"/>
              <a:gd name="T38" fmla="*/ 25 w 91"/>
              <a:gd name="T39" fmla="*/ 78 h 80"/>
              <a:gd name="T40" fmla="*/ 32 w 91"/>
              <a:gd name="T41" fmla="*/ 75 h 80"/>
              <a:gd name="T42" fmla="*/ 45 w 91"/>
              <a:gd name="T43" fmla="*/ 67 h 80"/>
              <a:gd name="T44" fmla="*/ 66 w 91"/>
              <a:gd name="T45" fmla="*/ 46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66" y="46"/>
                </a:moveTo>
                <a:cubicBezTo>
                  <a:pt x="68" y="44"/>
                  <a:pt x="69" y="42"/>
                  <a:pt x="71" y="40"/>
                </a:cubicBezTo>
                <a:cubicBezTo>
                  <a:pt x="75" y="34"/>
                  <a:pt x="75" y="34"/>
                  <a:pt x="75" y="34"/>
                </a:cubicBezTo>
                <a:cubicBezTo>
                  <a:pt x="77" y="30"/>
                  <a:pt x="80" y="26"/>
                  <a:pt x="83" y="23"/>
                </a:cubicBezTo>
                <a:cubicBezTo>
                  <a:pt x="86" y="19"/>
                  <a:pt x="88" y="15"/>
                  <a:pt x="91" y="11"/>
                </a:cubicBezTo>
                <a:cubicBezTo>
                  <a:pt x="91" y="10"/>
                  <a:pt x="91" y="8"/>
                  <a:pt x="90" y="6"/>
                </a:cubicBezTo>
                <a:cubicBezTo>
                  <a:pt x="90" y="4"/>
                  <a:pt x="89" y="2"/>
                  <a:pt x="89" y="0"/>
                </a:cubicBezTo>
                <a:cubicBezTo>
                  <a:pt x="87" y="1"/>
                  <a:pt x="85" y="2"/>
                  <a:pt x="84" y="3"/>
                </a:cubicBezTo>
                <a:cubicBezTo>
                  <a:pt x="77" y="9"/>
                  <a:pt x="70" y="16"/>
                  <a:pt x="63" y="24"/>
                </a:cubicBezTo>
                <a:cubicBezTo>
                  <a:pt x="60" y="27"/>
                  <a:pt x="57" y="31"/>
                  <a:pt x="53" y="35"/>
                </a:cubicBezTo>
                <a:cubicBezTo>
                  <a:pt x="48" y="41"/>
                  <a:pt x="48" y="41"/>
                  <a:pt x="48" y="41"/>
                </a:cubicBezTo>
                <a:cubicBezTo>
                  <a:pt x="46" y="43"/>
                  <a:pt x="45" y="45"/>
                  <a:pt x="43" y="47"/>
                </a:cubicBezTo>
                <a:cubicBezTo>
                  <a:pt x="35" y="55"/>
                  <a:pt x="27" y="63"/>
                  <a:pt x="17" y="69"/>
                </a:cubicBezTo>
                <a:cubicBezTo>
                  <a:pt x="12" y="72"/>
                  <a:pt x="7" y="74"/>
                  <a:pt x="1" y="76"/>
                </a:cubicBezTo>
                <a:cubicBezTo>
                  <a:pt x="1" y="76"/>
                  <a:pt x="0" y="76"/>
                  <a:pt x="0" y="77"/>
                </a:cubicBezTo>
                <a:cubicBezTo>
                  <a:pt x="0" y="77"/>
                  <a:pt x="0" y="77"/>
                  <a:pt x="0" y="77"/>
                </a:cubicBezTo>
                <a:cubicBezTo>
                  <a:pt x="3" y="78"/>
                  <a:pt x="6" y="79"/>
                  <a:pt x="9" y="80"/>
                </a:cubicBezTo>
                <a:cubicBezTo>
                  <a:pt x="11" y="80"/>
                  <a:pt x="14" y="80"/>
                  <a:pt x="17" y="80"/>
                </a:cubicBezTo>
                <a:cubicBezTo>
                  <a:pt x="18" y="80"/>
                  <a:pt x="19" y="79"/>
                  <a:pt x="21" y="79"/>
                </a:cubicBezTo>
                <a:cubicBezTo>
                  <a:pt x="22" y="79"/>
                  <a:pt x="23" y="78"/>
                  <a:pt x="25" y="78"/>
                </a:cubicBezTo>
                <a:cubicBezTo>
                  <a:pt x="27" y="77"/>
                  <a:pt x="29" y="76"/>
                  <a:pt x="32" y="75"/>
                </a:cubicBezTo>
                <a:cubicBezTo>
                  <a:pt x="36" y="73"/>
                  <a:pt x="41" y="70"/>
                  <a:pt x="45" y="67"/>
                </a:cubicBezTo>
                <a:cubicBezTo>
                  <a:pt x="53" y="61"/>
                  <a:pt x="60" y="54"/>
                  <a:pt x="66"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2520950" y="2336800"/>
            <a:ext cx="150813" cy="166688"/>
          </a:xfrm>
          <a:custGeom>
            <a:avLst/>
            <a:gdLst>
              <a:gd name="T0" fmla="*/ 54 w 64"/>
              <a:gd name="T1" fmla="*/ 33 h 71"/>
              <a:gd name="T2" fmla="*/ 58 w 64"/>
              <a:gd name="T3" fmla="*/ 27 h 71"/>
              <a:gd name="T4" fmla="*/ 60 w 64"/>
              <a:gd name="T5" fmla="*/ 22 h 71"/>
              <a:gd name="T6" fmla="*/ 64 w 64"/>
              <a:gd name="T7" fmla="*/ 14 h 71"/>
              <a:gd name="T8" fmla="*/ 63 w 64"/>
              <a:gd name="T9" fmla="*/ 12 h 71"/>
              <a:gd name="T10" fmla="*/ 60 w 64"/>
              <a:gd name="T11" fmla="*/ 2 h 71"/>
              <a:gd name="T12" fmla="*/ 59 w 64"/>
              <a:gd name="T13" fmla="*/ 0 h 71"/>
              <a:gd name="T14" fmla="*/ 49 w 64"/>
              <a:gd name="T15" fmla="*/ 13 h 71"/>
              <a:gd name="T16" fmla="*/ 42 w 64"/>
              <a:gd name="T17" fmla="*/ 25 h 71"/>
              <a:gd name="T18" fmla="*/ 38 w 64"/>
              <a:gd name="T19" fmla="*/ 31 h 71"/>
              <a:gd name="T20" fmla="*/ 34 w 64"/>
              <a:gd name="T21" fmla="*/ 37 h 71"/>
              <a:gd name="T22" fmla="*/ 13 w 64"/>
              <a:gd name="T23" fmla="*/ 60 h 71"/>
              <a:gd name="T24" fmla="*/ 0 w 64"/>
              <a:gd name="T25" fmla="*/ 68 h 71"/>
              <a:gd name="T26" fmla="*/ 0 w 64"/>
              <a:gd name="T27" fmla="*/ 68 h 71"/>
              <a:gd name="T28" fmla="*/ 0 w 64"/>
              <a:gd name="T29" fmla="*/ 69 h 71"/>
              <a:gd name="T30" fmla="*/ 7 w 64"/>
              <a:gd name="T31" fmla="*/ 71 h 71"/>
              <a:gd name="T32" fmla="*/ 15 w 64"/>
              <a:gd name="T33" fmla="*/ 70 h 71"/>
              <a:gd name="T34" fmla="*/ 18 w 64"/>
              <a:gd name="T35" fmla="*/ 69 h 71"/>
              <a:gd name="T36" fmla="*/ 21 w 64"/>
              <a:gd name="T37" fmla="*/ 67 h 71"/>
              <a:gd name="T38" fmla="*/ 27 w 64"/>
              <a:gd name="T39" fmla="*/ 64 h 71"/>
              <a:gd name="T40" fmla="*/ 38 w 64"/>
              <a:gd name="T41" fmla="*/ 55 h 71"/>
              <a:gd name="T42" fmla="*/ 54 w 64"/>
              <a:gd name="T43" fmla="*/ 33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4" h="71">
                <a:moveTo>
                  <a:pt x="54" y="33"/>
                </a:moveTo>
                <a:cubicBezTo>
                  <a:pt x="55" y="31"/>
                  <a:pt x="57" y="29"/>
                  <a:pt x="58" y="27"/>
                </a:cubicBezTo>
                <a:cubicBezTo>
                  <a:pt x="60" y="22"/>
                  <a:pt x="60" y="22"/>
                  <a:pt x="60" y="22"/>
                </a:cubicBezTo>
                <a:cubicBezTo>
                  <a:pt x="62" y="19"/>
                  <a:pt x="63" y="17"/>
                  <a:pt x="64" y="14"/>
                </a:cubicBezTo>
                <a:cubicBezTo>
                  <a:pt x="64" y="14"/>
                  <a:pt x="63" y="13"/>
                  <a:pt x="63" y="12"/>
                </a:cubicBezTo>
                <a:cubicBezTo>
                  <a:pt x="62" y="9"/>
                  <a:pt x="60" y="5"/>
                  <a:pt x="60" y="2"/>
                </a:cubicBezTo>
                <a:cubicBezTo>
                  <a:pt x="59" y="1"/>
                  <a:pt x="59" y="1"/>
                  <a:pt x="59" y="0"/>
                </a:cubicBezTo>
                <a:cubicBezTo>
                  <a:pt x="56" y="4"/>
                  <a:pt x="52" y="9"/>
                  <a:pt x="49" y="13"/>
                </a:cubicBezTo>
                <a:cubicBezTo>
                  <a:pt x="47" y="17"/>
                  <a:pt x="44" y="21"/>
                  <a:pt x="42" y="25"/>
                </a:cubicBezTo>
                <a:cubicBezTo>
                  <a:pt x="38" y="31"/>
                  <a:pt x="38" y="31"/>
                  <a:pt x="38" y="31"/>
                </a:cubicBezTo>
                <a:cubicBezTo>
                  <a:pt x="37" y="33"/>
                  <a:pt x="35" y="35"/>
                  <a:pt x="34" y="37"/>
                </a:cubicBezTo>
                <a:cubicBezTo>
                  <a:pt x="28" y="45"/>
                  <a:pt x="21" y="53"/>
                  <a:pt x="13" y="60"/>
                </a:cubicBezTo>
                <a:cubicBezTo>
                  <a:pt x="9" y="63"/>
                  <a:pt x="5" y="66"/>
                  <a:pt x="0" y="68"/>
                </a:cubicBezTo>
                <a:cubicBezTo>
                  <a:pt x="0" y="68"/>
                  <a:pt x="0" y="68"/>
                  <a:pt x="0" y="68"/>
                </a:cubicBezTo>
                <a:cubicBezTo>
                  <a:pt x="0" y="68"/>
                  <a:pt x="0" y="69"/>
                  <a:pt x="0" y="69"/>
                </a:cubicBezTo>
                <a:cubicBezTo>
                  <a:pt x="2" y="70"/>
                  <a:pt x="5" y="71"/>
                  <a:pt x="7" y="71"/>
                </a:cubicBezTo>
                <a:cubicBezTo>
                  <a:pt x="10" y="71"/>
                  <a:pt x="12" y="70"/>
                  <a:pt x="15" y="70"/>
                </a:cubicBezTo>
                <a:cubicBezTo>
                  <a:pt x="16" y="70"/>
                  <a:pt x="17" y="69"/>
                  <a:pt x="18" y="69"/>
                </a:cubicBezTo>
                <a:cubicBezTo>
                  <a:pt x="19" y="68"/>
                  <a:pt x="20" y="68"/>
                  <a:pt x="21" y="67"/>
                </a:cubicBezTo>
                <a:cubicBezTo>
                  <a:pt x="23" y="66"/>
                  <a:pt x="25" y="65"/>
                  <a:pt x="27" y="64"/>
                </a:cubicBezTo>
                <a:cubicBezTo>
                  <a:pt x="31" y="61"/>
                  <a:pt x="35" y="58"/>
                  <a:pt x="38" y="55"/>
                </a:cubicBezTo>
                <a:cubicBezTo>
                  <a:pt x="45" y="49"/>
                  <a:pt x="50" y="41"/>
                  <a:pt x="54" y="33"/>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2587625" y="2376488"/>
            <a:ext cx="114300" cy="128588"/>
          </a:xfrm>
          <a:custGeom>
            <a:avLst/>
            <a:gdLst>
              <a:gd name="T0" fmla="*/ 45 w 49"/>
              <a:gd name="T1" fmla="*/ 16 h 55"/>
              <a:gd name="T2" fmla="*/ 47 w 49"/>
              <a:gd name="T3" fmla="*/ 10 h 55"/>
              <a:gd name="T4" fmla="*/ 49 w 49"/>
              <a:gd name="T5" fmla="*/ 6 h 55"/>
              <a:gd name="T6" fmla="*/ 43 w 49"/>
              <a:gd name="T7" fmla="*/ 4 h 55"/>
              <a:gd name="T8" fmla="*/ 38 w 49"/>
              <a:gd name="T9" fmla="*/ 0 h 55"/>
              <a:gd name="T10" fmla="*/ 38 w 49"/>
              <a:gd name="T11" fmla="*/ 0 h 55"/>
              <a:gd name="T12" fmla="*/ 33 w 49"/>
              <a:gd name="T13" fmla="*/ 9 h 55"/>
              <a:gd name="T14" fmla="*/ 30 w 49"/>
              <a:gd name="T15" fmla="*/ 15 h 55"/>
              <a:gd name="T16" fmla="*/ 27 w 49"/>
              <a:gd name="T17" fmla="*/ 21 h 55"/>
              <a:gd name="T18" fmla="*/ 12 w 49"/>
              <a:gd name="T19" fmla="*/ 44 h 55"/>
              <a:gd name="T20" fmla="*/ 1 w 49"/>
              <a:gd name="T21" fmla="*/ 53 h 55"/>
              <a:gd name="T22" fmla="*/ 0 w 49"/>
              <a:gd name="T23" fmla="*/ 54 h 55"/>
              <a:gd name="T24" fmla="*/ 1 w 49"/>
              <a:gd name="T25" fmla="*/ 54 h 55"/>
              <a:gd name="T26" fmla="*/ 8 w 49"/>
              <a:gd name="T27" fmla="*/ 55 h 55"/>
              <a:gd name="T28" fmla="*/ 14 w 49"/>
              <a:gd name="T29" fmla="*/ 53 h 55"/>
              <a:gd name="T30" fmla="*/ 17 w 49"/>
              <a:gd name="T31" fmla="*/ 52 h 55"/>
              <a:gd name="T32" fmla="*/ 20 w 49"/>
              <a:gd name="T33" fmla="*/ 50 h 55"/>
              <a:gd name="T34" fmla="*/ 25 w 49"/>
              <a:gd name="T35" fmla="*/ 46 h 55"/>
              <a:gd name="T36" fmla="*/ 33 w 49"/>
              <a:gd name="T37" fmla="*/ 37 h 55"/>
              <a:gd name="T38" fmla="*/ 45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5" y="16"/>
                </a:moveTo>
                <a:cubicBezTo>
                  <a:pt x="46" y="14"/>
                  <a:pt x="47" y="12"/>
                  <a:pt x="47" y="10"/>
                </a:cubicBezTo>
                <a:cubicBezTo>
                  <a:pt x="49" y="6"/>
                  <a:pt x="49" y="6"/>
                  <a:pt x="49" y="6"/>
                </a:cubicBezTo>
                <a:cubicBezTo>
                  <a:pt x="47" y="5"/>
                  <a:pt x="45" y="5"/>
                  <a:pt x="43" y="4"/>
                </a:cubicBezTo>
                <a:cubicBezTo>
                  <a:pt x="41" y="3"/>
                  <a:pt x="39" y="2"/>
                  <a:pt x="38" y="0"/>
                </a:cubicBezTo>
                <a:cubicBezTo>
                  <a:pt x="38" y="0"/>
                  <a:pt x="38" y="0"/>
                  <a:pt x="38" y="0"/>
                </a:cubicBezTo>
                <a:cubicBezTo>
                  <a:pt x="36" y="3"/>
                  <a:pt x="35" y="6"/>
                  <a:pt x="33" y="9"/>
                </a:cubicBezTo>
                <a:cubicBezTo>
                  <a:pt x="30" y="15"/>
                  <a:pt x="30" y="15"/>
                  <a:pt x="30" y="15"/>
                </a:cubicBezTo>
                <a:cubicBezTo>
                  <a:pt x="29" y="17"/>
                  <a:pt x="28" y="19"/>
                  <a:pt x="27" y="21"/>
                </a:cubicBezTo>
                <a:cubicBezTo>
                  <a:pt x="23" y="29"/>
                  <a:pt x="18" y="37"/>
                  <a:pt x="12" y="44"/>
                </a:cubicBezTo>
                <a:cubicBezTo>
                  <a:pt x="9" y="47"/>
                  <a:pt x="5" y="50"/>
                  <a:pt x="1" y="53"/>
                </a:cubicBezTo>
                <a:cubicBezTo>
                  <a:pt x="1" y="53"/>
                  <a:pt x="1" y="54"/>
                  <a:pt x="0" y="54"/>
                </a:cubicBezTo>
                <a:cubicBezTo>
                  <a:pt x="0" y="54"/>
                  <a:pt x="1" y="54"/>
                  <a:pt x="1" y="54"/>
                </a:cubicBezTo>
                <a:cubicBezTo>
                  <a:pt x="3" y="55"/>
                  <a:pt x="5" y="55"/>
                  <a:pt x="8" y="55"/>
                </a:cubicBezTo>
                <a:cubicBezTo>
                  <a:pt x="10" y="55"/>
                  <a:pt x="12" y="54"/>
                  <a:pt x="14" y="53"/>
                </a:cubicBezTo>
                <a:cubicBezTo>
                  <a:pt x="15" y="53"/>
                  <a:pt x="16" y="52"/>
                  <a:pt x="17" y="52"/>
                </a:cubicBezTo>
                <a:cubicBezTo>
                  <a:pt x="18" y="51"/>
                  <a:pt x="19" y="51"/>
                  <a:pt x="20" y="50"/>
                </a:cubicBezTo>
                <a:cubicBezTo>
                  <a:pt x="21" y="49"/>
                  <a:pt x="23" y="48"/>
                  <a:pt x="25" y="46"/>
                </a:cubicBezTo>
                <a:cubicBezTo>
                  <a:pt x="28" y="44"/>
                  <a:pt x="31" y="41"/>
                  <a:pt x="33" y="37"/>
                </a:cubicBezTo>
                <a:cubicBezTo>
                  <a:pt x="38" y="31"/>
                  <a:pt x="42" y="23"/>
                  <a:pt x="45"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2651125" y="2381250"/>
            <a:ext cx="87313" cy="119063"/>
          </a:xfrm>
          <a:custGeom>
            <a:avLst/>
            <a:gdLst>
              <a:gd name="T0" fmla="*/ 6 w 37"/>
              <a:gd name="T1" fmla="*/ 51 h 51"/>
              <a:gd name="T2" fmla="*/ 12 w 37"/>
              <a:gd name="T3" fmla="*/ 48 h 51"/>
              <a:gd name="T4" fmla="*/ 14 w 37"/>
              <a:gd name="T5" fmla="*/ 47 h 51"/>
              <a:gd name="T6" fmla="*/ 16 w 37"/>
              <a:gd name="T7" fmla="*/ 45 h 51"/>
              <a:gd name="T8" fmla="*/ 20 w 37"/>
              <a:gd name="T9" fmla="*/ 41 h 51"/>
              <a:gd name="T10" fmla="*/ 27 w 37"/>
              <a:gd name="T11" fmla="*/ 32 h 51"/>
              <a:gd name="T12" fmla="*/ 35 w 37"/>
              <a:gd name="T13" fmla="*/ 11 h 51"/>
              <a:gd name="T14" fmla="*/ 36 w 37"/>
              <a:gd name="T15" fmla="*/ 5 h 51"/>
              <a:gd name="T16" fmla="*/ 37 w 37"/>
              <a:gd name="T17" fmla="*/ 0 h 51"/>
              <a:gd name="T18" fmla="*/ 35 w 37"/>
              <a:gd name="T19" fmla="*/ 2 h 51"/>
              <a:gd name="T20" fmla="*/ 26 w 37"/>
              <a:gd name="T21" fmla="*/ 4 h 51"/>
              <a:gd name="T22" fmla="*/ 24 w 37"/>
              <a:gd name="T23" fmla="*/ 4 h 51"/>
              <a:gd name="T24" fmla="*/ 23 w 37"/>
              <a:gd name="T25" fmla="*/ 6 h 51"/>
              <a:gd name="T26" fmla="*/ 22 w 37"/>
              <a:gd name="T27" fmla="*/ 12 h 51"/>
              <a:gd name="T28" fmla="*/ 20 w 37"/>
              <a:gd name="T29" fmla="*/ 18 h 51"/>
              <a:gd name="T30" fmla="*/ 9 w 37"/>
              <a:gd name="T31" fmla="*/ 40 h 51"/>
              <a:gd name="T32" fmla="*/ 0 w 37"/>
              <a:gd name="T33" fmla="*/ 50 h 51"/>
              <a:gd name="T34" fmla="*/ 0 w 37"/>
              <a:gd name="T35" fmla="*/ 51 h 51"/>
              <a:gd name="T36" fmla="*/ 0 w 37"/>
              <a:gd name="T37" fmla="*/ 51 h 51"/>
              <a:gd name="T38" fmla="*/ 6 w 37"/>
              <a:gd name="T39"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7" h="51">
                <a:moveTo>
                  <a:pt x="6" y="51"/>
                </a:moveTo>
                <a:cubicBezTo>
                  <a:pt x="8" y="50"/>
                  <a:pt x="10" y="49"/>
                  <a:pt x="12" y="48"/>
                </a:cubicBezTo>
                <a:cubicBezTo>
                  <a:pt x="12" y="48"/>
                  <a:pt x="13" y="48"/>
                  <a:pt x="14" y="47"/>
                </a:cubicBezTo>
                <a:cubicBezTo>
                  <a:pt x="15" y="46"/>
                  <a:pt x="15" y="46"/>
                  <a:pt x="16" y="45"/>
                </a:cubicBezTo>
                <a:cubicBezTo>
                  <a:pt x="17" y="44"/>
                  <a:pt x="19" y="43"/>
                  <a:pt x="20" y="41"/>
                </a:cubicBezTo>
                <a:cubicBezTo>
                  <a:pt x="23" y="38"/>
                  <a:pt x="25" y="35"/>
                  <a:pt x="27" y="32"/>
                </a:cubicBezTo>
                <a:cubicBezTo>
                  <a:pt x="30" y="25"/>
                  <a:pt x="33" y="18"/>
                  <a:pt x="35" y="11"/>
                </a:cubicBezTo>
                <a:cubicBezTo>
                  <a:pt x="35" y="9"/>
                  <a:pt x="36" y="7"/>
                  <a:pt x="36" y="5"/>
                </a:cubicBezTo>
                <a:cubicBezTo>
                  <a:pt x="37" y="0"/>
                  <a:pt x="37" y="0"/>
                  <a:pt x="37" y="0"/>
                </a:cubicBezTo>
                <a:cubicBezTo>
                  <a:pt x="37" y="1"/>
                  <a:pt x="36" y="1"/>
                  <a:pt x="35" y="2"/>
                </a:cubicBezTo>
                <a:cubicBezTo>
                  <a:pt x="32" y="3"/>
                  <a:pt x="29" y="3"/>
                  <a:pt x="26" y="4"/>
                </a:cubicBezTo>
                <a:cubicBezTo>
                  <a:pt x="26" y="4"/>
                  <a:pt x="25" y="4"/>
                  <a:pt x="24" y="4"/>
                </a:cubicBezTo>
                <a:cubicBezTo>
                  <a:pt x="24" y="5"/>
                  <a:pt x="24" y="6"/>
                  <a:pt x="23" y="6"/>
                </a:cubicBezTo>
                <a:cubicBezTo>
                  <a:pt x="22" y="12"/>
                  <a:pt x="22" y="12"/>
                  <a:pt x="22" y="12"/>
                </a:cubicBezTo>
                <a:cubicBezTo>
                  <a:pt x="21" y="14"/>
                  <a:pt x="20" y="16"/>
                  <a:pt x="20" y="18"/>
                </a:cubicBezTo>
                <a:cubicBezTo>
                  <a:pt x="17" y="26"/>
                  <a:pt x="13" y="33"/>
                  <a:pt x="9" y="40"/>
                </a:cubicBezTo>
                <a:cubicBezTo>
                  <a:pt x="6" y="44"/>
                  <a:pt x="3" y="47"/>
                  <a:pt x="0" y="50"/>
                </a:cubicBezTo>
                <a:cubicBezTo>
                  <a:pt x="0" y="50"/>
                  <a:pt x="0" y="50"/>
                  <a:pt x="0" y="51"/>
                </a:cubicBezTo>
                <a:cubicBezTo>
                  <a:pt x="0" y="51"/>
                  <a:pt x="0" y="51"/>
                  <a:pt x="0" y="51"/>
                </a:cubicBezTo>
                <a:cubicBezTo>
                  <a:pt x="2" y="51"/>
                  <a:pt x="4" y="51"/>
                  <a:pt x="6"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2838450" y="2206625"/>
            <a:ext cx="571500" cy="190500"/>
          </a:xfrm>
          <a:custGeom>
            <a:avLst/>
            <a:gdLst>
              <a:gd name="T0" fmla="*/ 242 w 243"/>
              <a:gd name="T1" fmla="*/ 51 h 81"/>
              <a:gd name="T2" fmla="*/ 240 w 243"/>
              <a:gd name="T3" fmla="*/ 46 h 81"/>
              <a:gd name="T4" fmla="*/ 236 w 243"/>
              <a:gd name="T5" fmla="*/ 54 h 81"/>
              <a:gd name="T6" fmla="*/ 230 w 243"/>
              <a:gd name="T7" fmla="*/ 59 h 81"/>
              <a:gd name="T8" fmla="*/ 215 w 243"/>
              <a:gd name="T9" fmla="*/ 61 h 81"/>
              <a:gd name="T10" fmla="*/ 207 w 243"/>
              <a:gd name="T11" fmla="*/ 60 h 81"/>
              <a:gd name="T12" fmla="*/ 198 w 243"/>
              <a:gd name="T13" fmla="*/ 58 h 81"/>
              <a:gd name="T14" fmla="*/ 182 w 243"/>
              <a:gd name="T15" fmla="*/ 52 h 81"/>
              <a:gd name="T16" fmla="*/ 150 w 243"/>
              <a:gd name="T17" fmla="*/ 35 h 81"/>
              <a:gd name="T18" fmla="*/ 142 w 243"/>
              <a:gd name="T19" fmla="*/ 30 h 81"/>
              <a:gd name="T20" fmla="*/ 138 w 243"/>
              <a:gd name="T21" fmla="*/ 28 h 81"/>
              <a:gd name="T22" fmla="*/ 134 w 243"/>
              <a:gd name="T23" fmla="*/ 25 h 81"/>
              <a:gd name="T24" fmla="*/ 116 w 243"/>
              <a:gd name="T25" fmla="*/ 16 h 81"/>
              <a:gd name="T26" fmla="*/ 97 w 243"/>
              <a:gd name="T27" fmla="*/ 8 h 81"/>
              <a:gd name="T28" fmla="*/ 76 w 243"/>
              <a:gd name="T29" fmla="*/ 2 h 81"/>
              <a:gd name="T30" fmla="*/ 53 w 243"/>
              <a:gd name="T31" fmla="*/ 1 h 81"/>
              <a:gd name="T32" fmla="*/ 41 w 243"/>
              <a:gd name="T33" fmla="*/ 4 h 81"/>
              <a:gd name="T34" fmla="*/ 30 w 243"/>
              <a:gd name="T35" fmla="*/ 11 h 81"/>
              <a:gd name="T36" fmla="*/ 26 w 243"/>
              <a:gd name="T37" fmla="*/ 16 h 81"/>
              <a:gd name="T38" fmla="*/ 22 w 243"/>
              <a:gd name="T39" fmla="*/ 21 h 81"/>
              <a:gd name="T40" fmla="*/ 19 w 243"/>
              <a:gd name="T41" fmla="*/ 33 h 81"/>
              <a:gd name="T42" fmla="*/ 19 w 243"/>
              <a:gd name="T43" fmla="*/ 44 h 81"/>
              <a:gd name="T44" fmla="*/ 20 w 243"/>
              <a:gd name="T45" fmla="*/ 54 h 81"/>
              <a:gd name="T46" fmla="*/ 20 w 243"/>
              <a:gd name="T47" fmla="*/ 63 h 81"/>
              <a:gd name="T48" fmla="*/ 17 w 243"/>
              <a:gd name="T49" fmla="*/ 69 h 81"/>
              <a:gd name="T50" fmla="*/ 9 w 243"/>
              <a:gd name="T51" fmla="*/ 73 h 81"/>
              <a:gd name="T52" fmla="*/ 0 w 243"/>
              <a:gd name="T53" fmla="*/ 73 h 81"/>
              <a:gd name="T54" fmla="*/ 9 w 243"/>
              <a:gd name="T55" fmla="*/ 76 h 81"/>
              <a:gd name="T56" fmla="*/ 20 w 243"/>
              <a:gd name="T57" fmla="*/ 74 h 81"/>
              <a:gd name="T58" fmla="*/ 24 w 243"/>
              <a:gd name="T59" fmla="*/ 70 h 81"/>
              <a:gd name="T60" fmla="*/ 27 w 243"/>
              <a:gd name="T61" fmla="*/ 65 h 81"/>
              <a:gd name="T62" fmla="*/ 30 w 243"/>
              <a:gd name="T63" fmla="*/ 55 h 81"/>
              <a:gd name="T64" fmla="*/ 32 w 243"/>
              <a:gd name="T65" fmla="*/ 45 h 81"/>
              <a:gd name="T66" fmla="*/ 34 w 243"/>
              <a:gd name="T67" fmla="*/ 36 h 81"/>
              <a:gd name="T68" fmla="*/ 37 w 243"/>
              <a:gd name="T69" fmla="*/ 30 h 81"/>
              <a:gd name="T70" fmla="*/ 42 w 243"/>
              <a:gd name="T71" fmla="*/ 25 h 81"/>
              <a:gd name="T72" fmla="*/ 55 w 243"/>
              <a:gd name="T73" fmla="*/ 23 h 81"/>
              <a:gd name="T74" fmla="*/ 70 w 243"/>
              <a:gd name="T75" fmla="*/ 26 h 81"/>
              <a:gd name="T76" fmla="*/ 102 w 243"/>
              <a:gd name="T77" fmla="*/ 43 h 81"/>
              <a:gd name="T78" fmla="*/ 118 w 243"/>
              <a:gd name="T79" fmla="*/ 52 h 81"/>
              <a:gd name="T80" fmla="*/ 126 w 243"/>
              <a:gd name="T81" fmla="*/ 57 h 81"/>
              <a:gd name="T82" fmla="*/ 135 w 243"/>
              <a:gd name="T83" fmla="*/ 62 h 81"/>
              <a:gd name="T84" fmla="*/ 174 w 243"/>
              <a:gd name="T85" fmla="*/ 78 h 81"/>
              <a:gd name="T86" fmla="*/ 195 w 243"/>
              <a:gd name="T87" fmla="*/ 81 h 81"/>
              <a:gd name="T88" fmla="*/ 206 w 243"/>
              <a:gd name="T89" fmla="*/ 81 h 81"/>
              <a:gd name="T90" fmla="*/ 212 w 243"/>
              <a:gd name="T91" fmla="*/ 80 h 81"/>
              <a:gd name="T92" fmla="*/ 217 w 243"/>
              <a:gd name="T93" fmla="*/ 79 h 81"/>
              <a:gd name="T94" fmla="*/ 228 w 243"/>
              <a:gd name="T95" fmla="*/ 75 h 81"/>
              <a:gd name="T96" fmla="*/ 238 w 243"/>
              <a:gd name="T97" fmla="*/ 68 h 81"/>
              <a:gd name="T98" fmla="*/ 242 w 243"/>
              <a:gd name="T99" fmla="*/ 56 h 81"/>
              <a:gd name="T100" fmla="*/ 242 w 243"/>
              <a:gd name="T101" fmla="*/ 51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242" y="51"/>
                </a:moveTo>
                <a:cubicBezTo>
                  <a:pt x="242" y="49"/>
                  <a:pt x="241" y="47"/>
                  <a:pt x="240" y="46"/>
                </a:cubicBezTo>
                <a:cubicBezTo>
                  <a:pt x="240" y="49"/>
                  <a:pt x="238" y="52"/>
                  <a:pt x="236" y="54"/>
                </a:cubicBezTo>
                <a:cubicBezTo>
                  <a:pt x="234" y="57"/>
                  <a:pt x="232" y="58"/>
                  <a:pt x="230" y="59"/>
                </a:cubicBezTo>
                <a:cubicBezTo>
                  <a:pt x="226" y="61"/>
                  <a:pt x="221" y="61"/>
                  <a:pt x="215" y="61"/>
                </a:cubicBezTo>
                <a:cubicBezTo>
                  <a:pt x="213" y="61"/>
                  <a:pt x="210" y="60"/>
                  <a:pt x="207" y="60"/>
                </a:cubicBezTo>
                <a:cubicBezTo>
                  <a:pt x="204" y="59"/>
                  <a:pt x="201" y="59"/>
                  <a:pt x="198" y="58"/>
                </a:cubicBezTo>
                <a:cubicBezTo>
                  <a:pt x="193" y="57"/>
                  <a:pt x="187" y="54"/>
                  <a:pt x="182" y="52"/>
                </a:cubicBezTo>
                <a:cubicBezTo>
                  <a:pt x="171" y="47"/>
                  <a:pt x="161" y="41"/>
                  <a:pt x="150" y="35"/>
                </a:cubicBezTo>
                <a:cubicBezTo>
                  <a:pt x="148" y="34"/>
                  <a:pt x="145" y="32"/>
                  <a:pt x="142" y="30"/>
                </a:cubicBezTo>
                <a:cubicBezTo>
                  <a:pt x="138" y="28"/>
                  <a:pt x="138" y="28"/>
                  <a:pt x="138" y="28"/>
                </a:cubicBezTo>
                <a:cubicBezTo>
                  <a:pt x="134" y="25"/>
                  <a:pt x="134" y="25"/>
                  <a:pt x="134" y="25"/>
                </a:cubicBezTo>
                <a:cubicBezTo>
                  <a:pt x="128" y="22"/>
                  <a:pt x="122" y="19"/>
                  <a:pt x="116" y="16"/>
                </a:cubicBezTo>
                <a:cubicBezTo>
                  <a:pt x="110" y="13"/>
                  <a:pt x="104" y="10"/>
                  <a:pt x="97" y="8"/>
                </a:cubicBezTo>
                <a:cubicBezTo>
                  <a:pt x="91" y="5"/>
                  <a:pt x="84" y="3"/>
                  <a:pt x="76" y="2"/>
                </a:cubicBezTo>
                <a:cubicBezTo>
                  <a:pt x="69" y="0"/>
                  <a:pt x="62" y="0"/>
                  <a:pt x="53" y="1"/>
                </a:cubicBezTo>
                <a:cubicBezTo>
                  <a:pt x="49" y="1"/>
                  <a:pt x="45" y="2"/>
                  <a:pt x="41" y="4"/>
                </a:cubicBezTo>
                <a:cubicBezTo>
                  <a:pt x="37" y="6"/>
                  <a:pt x="33" y="8"/>
                  <a:pt x="30" y="11"/>
                </a:cubicBezTo>
                <a:cubicBezTo>
                  <a:pt x="28" y="12"/>
                  <a:pt x="27" y="14"/>
                  <a:pt x="26" y="16"/>
                </a:cubicBezTo>
                <a:cubicBezTo>
                  <a:pt x="25" y="17"/>
                  <a:pt x="23" y="19"/>
                  <a:pt x="22" y="21"/>
                </a:cubicBezTo>
                <a:cubicBezTo>
                  <a:pt x="20" y="25"/>
                  <a:pt x="19" y="30"/>
                  <a:pt x="19" y="33"/>
                </a:cubicBezTo>
                <a:cubicBezTo>
                  <a:pt x="19" y="37"/>
                  <a:pt x="19" y="41"/>
                  <a:pt x="19" y="44"/>
                </a:cubicBezTo>
                <a:cubicBezTo>
                  <a:pt x="19" y="47"/>
                  <a:pt x="20" y="50"/>
                  <a:pt x="20" y="54"/>
                </a:cubicBezTo>
                <a:cubicBezTo>
                  <a:pt x="20" y="57"/>
                  <a:pt x="20" y="60"/>
                  <a:pt x="20" y="63"/>
                </a:cubicBezTo>
                <a:cubicBezTo>
                  <a:pt x="19" y="65"/>
                  <a:pt x="18" y="68"/>
                  <a:pt x="17" y="69"/>
                </a:cubicBezTo>
                <a:cubicBezTo>
                  <a:pt x="15" y="71"/>
                  <a:pt x="12" y="73"/>
                  <a:pt x="9" y="73"/>
                </a:cubicBezTo>
                <a:cubicBezTo>
                  <a:pt x="6" y="74"/>
                  <a:pt x="3" y="74"/>
                  <a:pt x="0" y="73"/>
                </a:cubicBezTo>
                <a:cubicBezTo>
                  <a:pt x="2" y="75"/>
                  <a:pt x="6" y="76"/>
                  <a:pt x="9" y="76"/>
                </a:cubicBezTo>
                <a:cubicBezTo>
                  <a:pt x="13" y="76"/>
                  <a:pt x="16" y="76"/>
                  <a:pt x="20" y="74"/>
                </a:cubicBezTo>
                <a:cubicBezTo>
                  <a:pt x="21" y="73"/>
                  <a:pt x="23" y="71"/>
                  <a:pt x="24" y="70"/>
                </a:cubicBezTo>
                <a:cubicBezTo>
                  <a:pt x="25" y="68"/>
                  <a:pt x="26" y="66"/>
                  <a:pt x="27" y="65"/>
                </a:cubicBezTo>
                <a:cubicBezTo>
                  <a:pt x="28" y="61"/>
                  <a:pt x="29" y="58"/>
                  <a:pt x="30" y="55"/>
                </a:cubicBezTo>
                <a:cubicBezTo>
                  <a:pt x="31" y="51"/>
                  <a:pt x="31" y="48"/>
                  <a:pt x="32" y="45"/>
                </a:cubicBezTo>
                <a:cubicBezTo>
                  <a:pt x="32" y="41"/>
                  <a:pt x="33" y="38"/>
                  <a:pt x="34" y="36"/>
                </a:cubicBezTo>
                <a:cubicBezTo>
                  <a:pt x="35" y="33"/>
                  <a:pt x="36" y="31"/>
                  <a:pt x="37" y="30"/>
                </a:cubicBezTo>
                <a:cubicBezTo>
                  <a:pt x="38" y="28"/>
                  <a:pt x="40" y="27"/>
                  <a:pt x="42" y="25"/>
                </a:cubicBezTo>
                <a:cubicBezTo>
                  <a:pt x="46" y="23"/>
                  <a:pt x="50" y="22"/>
                  <a:pt x="55" y="23"/>
                </a:cubicBezTo>
                <a:cubicBezTo>
                  <a:pt x="59" y="23"/>
                  <a:pt x="64" y="24"/>
                  <a:pt x="70" y="26"/>
                </a:cubicBezTo>
                <a:cubicBezTo>
                  <a:pt x="80" y="30"/>
                  <a:pt x="91" y="36"/>
                  <a:pt x="102" y="43"/>
                </a:cubicBezTo>
                <a:cubicBezTo>
                  <a:pt x="107" y="46"/>
                  <a:pt x="112" y="49"/>
                  <a:pt x="118" y="52"/>
                </a:cubicBezTo>
                <a:cubicBezTo>
                  <a:pt x="126" y="57"/>
                  <a:pt x="126" y="57"/>
                  <a:pt x="126" y="57"/>
                </a:cubicBezTo>
                <a:cubicBezTo>
                  <a:pt x="129" y="59"/>
                  <a:pt x="132" y="61"/>
                  <a:pt x="135" y="62"/>
                </a:cubicBezTo>
                <a:cubicBezTo>
                  <a:pt x="147" y="69"/>
                  <a:pt x="160" y="74"/>
                  <a:pt x="174" y="78"/>
                </a:cubicBezTo>
                <a:cubicBezTo>
                  <a:pt x="181" y="79"/>
                  <a:pt x="188" y="81"/>
                  <a:pt x="195" y="81"/>
                </a:cubicBezTo>
                <a:cubicBezTo>
                  <a:pt x="199" y="81"/>
                  <a:pt x="202" y="81"/>
                  <a:pt x="206" y="81"/>
                </a:cubicBezTo>
                <a:cubicBezTo>
                  <a:pt x="208" y="81"/>
                  <a:pt x="210" y="81"/>
                  <a:pt x="212" y="80"/>
                </a:cubicBezTo>
                <a:cubicBezTo>
                  <a:pt x="213" y="80"/>
                  <a:pt x="215" y="80"/>
                  <a:pt x="217" y="79"/>
                </a:cubicBezTo>
                <a:cubicBezTo>
                  <a:pt x="221" y="79"/>
                  <a:pt x="225" y="77"/>
                  <a:pt x="228" y="75"/>
                </a:cubicBezTo>
                <a:cubicBezTo>
                  <a:pt x="232" y="74"/>
                  <a:pt x="235" y="71"/>
                  <a:pt x="238" y="68"/>
                </a:cubicBezTo>
                <a:cubicBezTo>
                  <a:pt x="240" y="64"/>
                  <a:pt x="242" y="60"/>
                  <a:pt x="242" y="56"/>
                </a:cubicBezTo>
                <a:cubicBezTo>
                  <a:pt x="243" y="54"/>
                  <a:pt x="242" y="53"/>
                  <a:pt x="242"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2941638" y="2268538"/>
            <a:ext cx="361950" cy="171450"/>
          </a:xfrm>
          <a:custGeom>
            <a:avLst/>
            <a:gdLst>
              <a:gd name="T0" fmla="*/ 131 w 154"/>
              <a:gd name="T1" fmla="*/ 60 h 73"/>
              <a:gd name="T2" fmla="*/ 93 w 154"/>
              <a:gd name="T3" fmla="*/ 43 h 73"/>
              <a:gd name="T4" fmla="*/ 84 w 154"/>
              <a:gd name="T5" fmla="*/ 38 h 73"/>
              <a:gd name="T6" fmla="*/ 76 w 154"/>
              <a:gd name="T7" fmla="*/ 32 h 73"/>
              <a:gd name="T8" fmla="*/ 61 w 154"/>
              <a:gd name="T9" fmla="*/ 22 h 73"/>
              <a:gd name="T10" fmla="*/ 29 w 154"/>
              <a:gd name="T11" fmla="*/ 4 h 73"/>
              <a:gd name="T12" fmla="*/ 14 w 154"/>
              <a:gd name="T13" fmla="*/ 0 h 73"/>
              <a:gd name="T14" fmla="*/ 1 w 154"/>
              <a:gd name="T15" fmla="*/ 2 h 73"/>
              <a:gd name="T16" fmla="*/ 0 w 154"/>
              <a:gd name="T17" fmla="*/ 4 h 73"/>
              <a:gd name="T18" fmla="*/ 1 w 154"/>
              <a:gd name="T19" fmla="*/ 4 h 73"/>
              <a:gd name="T20" fmla="*/ 10 w 154"/>
              <a:gd name="T21" fmla="*/ 8 h 73"/>
              <a:gd name="T22" fmla="*/ 37 w 154"/>
              <a:gd name="T23" fmla="*/ 27 h 73"/>
              <a:gd name="T24" fmla="*/ 50 w 154"/>
              <a:gd name="T25" fmla="*/ 37 h 73"/>
              <a:gd name="T26" fmla="*/ 56 w 154"/>
              <a:gd name="T27" fmla="*/ 43 h 73"/>
              <a:gd name="T28" fmla="*/ 64 w 154"/>
              <a:gd name="T29" fmla="*/ 48 h 73"/>
              <a:gd name="T30" fmla="*/ 96 w 154"/>
              <a:gd name="T31" fmla="*/ 67 h 73"/>
              <a:gd name="T32" fmla="*/ 115 w 154"/>
              <a:gd name="T33" fmla="*/ 72 h 73"/>
              <a:gd name="T34" fmla="*/ 124 w 154"/>
              <a:gd name="T35" fmla="*/ 73 h 73"/>
              <a:gd name="T36" fmla="*/ 129 w 154"/>
              <a:gd name="T37" fmla="*/ 73 h 73"/>
              <a:gd name="T38" fmla="*/ 134 w 154"/>
              <a:gd name="T39" fmla="*/ 73 h 73"/>
              <a:gd name="T40" fmla="*/ 145 w 154"/>
              <a:gd name="T41" fmla="*/ 70 h 73"/>
              <a:gd name="T42" fmla="*/ 154 w 154"/>
              <a:gd name="T43" fmla="*/ 64 h 73"/>
              <a:gd name="T44" fmla="*/ 154 w 154"/>
              <a:gd name="T45" fmla="*/ 64 h 73"/>
              <a:gd name="T46" fmla="*/ 152 w 154"/>
              <a:gd name="T47" fmla="*/ 64 h 73"/>
              <a:gd name="T48" fmla="*/ 131 w 154"/>
              <a:gd name="T49" fmla="*/ 60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131" y="60"/>
                </a:moveTo>
                <a:cubicBezTo>
                  <a:pt x="117" y="56"/>
                  <a:pt x="105" y="50"/>
                  <a:pt x="93" y="43"/>
                </a:cubicBezTo>
                <a:cubicBezTo>
                  <a:pt x="90" y="41"/>
                  <a:pt x="87" y="39"/>
                  <a:pt x="84" y="38"/>
                </a:cubicBezTo>
                <a:cubicBezTo>
                  <a:pt x="76" y="32"/>
                  <a:pt x="76" y="32"/>
                  <a:pt x="76" y="32"/>
                </a:cubicBezTo>
                <a:cubicBezTo>
                  <a:pt x="71" y="29"/>
                  <a:pt x="66" y="25"/>
                  <a:pt x="61" y="22"/>
                </a:cubicBezTo>
                <a:cubicBezTo>
                  <a:pt x="50" y="15"/>
                  <a:pt x="40" y="9"/>
                  <a:pt x="29" y="4"/>
                </a:cubicBezTo>
                <a:cubicBezTo>
                  <a:pt x="24" y="2"/>
                  <a:pt x="19" y="1"/>
                  <a:pt x="14" y="0"/>
                </a:cubicBezTo>
                <a:cubicBezTo>
                  <a:pt x="9" y="0"/>
                  <a:pt x="5" y="0"/>
                  <a:pt x="1" y="2"/>
                </a:cubicBezTo>
                <a:cubicBezTo>
                  <a:pt x="1" y="3"/>
                  <a:pt x="0" y="3"/>
                  <a:pt x="0" y="4"/>
                </a:cubicBezTo>
                <a:cubicBezTo>
                  <a:pt x="0" y="4"/>
                  <a:pt x="0" y="4"/>
                  <a:pt x="1" y="4"/>
                </a:cubicBezTo>
                <a:cubicBezTo>
                  <a:pt x="4" y="5"/>
                  <a:pt x="7" y="7"/>
                  <a:pt x="10" y="8"/>
                </a:cubicBezTo>
                <a:cubicBezTo>
                  <a:pt x="18" y="13"/>
                  <a:pt x="26" y="18"/>
                  <a:pt x="37" y="27"/>
                </a:cubicBezTo>
                <a:cubicBezTo>
                  <a:pt x="41" y="30"/>
                  <a:pt x="45" y="34"/>
                  <a:pt x="50" y="37"/>
                </a:cubicBezTo>
                <a:cubicBezTo>
                  <a:pt x="56" y="43"/>
                  <a:pt x="56" y="43"/>
                  <a:pt x="56" y="43"/>
                </a:cubicBezTo>
                <a:cubicBezTo>
                  <a:pt x="59" y="45"/>
                  <a:pt x="61" y="46"/>
                  <a:pt x="64" y="48"/>
                </a:cubicBezTo>
                <a:cubicBezTo>
                  <a:pt x="73" y="55"/>
                  <a:pt x="84" y="62"/>
                  <a:pt x="96" y="67"/>
                </a:cubicBezTo>
                <a:cubicBezTo>
                  <a:pt x="102" y="69"/>
                  <a:pt x="108" y="71"/>
                  <a:pt x="115" y="72"/>
                </a:cubicBezTo>
                <a:cubicBezTo>
                  <a:pt x="118" y="72"/>
                  <a:pt x="121" y="73"/>
                  <a:pt x="124" y="73"/>
                </a:cubicBezTo>
                <a:cubicBezTo>
                  <a:pt x="126" y="73"/>
                  <a:pt x="128" y="73"/>
                  <a:pt x="129" y="73"/>
                </a:cubicBezTo>
                <a:cubicBezTo>
                  <a:pt x="131" y="73"/>
                  <a:pt x="133" y="73"/>
                  <a:pt x="134" y="73"/>
                </a:cubicBezTo>
                <a:cubicBezTo>
                  <a:pt x="138" y="73"/>
                  <a:pt x="141" y="72"/>
                  <a:pt x="145" y="70"/>
                </a:cubicBezTo>
                <a:cubicBezTo>
                  <a:pt x="148" y="69"/>
                  <a:pt x="151" y="67"/>
                  <a:pt x="154" y="64"/>
                </a:cubicBezTo>
                <a:cubicBezTo>
                  <a:pt x="154" y="64"/>
                  <a:pt x="154" y="64"/>
                  <a:pt x="154" y="64"/>
                </a:cubicBezTo>
                <a:cubicBezTo>
                  <a:pt x="153" y="64"/>
                  <a:pt x="153" y="64"/>
                  <a:pt x="152" y="64"/>
                </a:cubicBezTo>
                <a:cubicBezTo>
                  <a:pt x="145" y="63"/>
                  <a:pt x="138" y="62"/>
                  <a:pt x="131" y="6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2928938" y="2281238"/>
            <a:ext cx="285750" cy="188913"/>
          </a:xfrm>
          <a:custGeom>
            <a:avLst/>
            <a:gdLst>
              <a:gd name="T0" fmla="*/ 102 w 122"/>
              <a:gd name="T1" fmla="*/ 68 h 80"/>
              <a:gd name="T2" fmla="*/ 71 w 122"/>
              <a:gd name="T3" fmla="*/ 49 h 80"/>
              <a:gd name="T4" fmla="*/ 64 w 122"/>
              <a:gd name="T5" fmla="*/ 43 h 80"/>
              <a:gd name="T6" fmla="*/ 57 w 122"/>
              <a:gd name="T7" fmla="*/ 37 h 80"/>
              <a:gd name="T8" fmla="*/ 44 w 122"/>
              <a:gd name="T9" fmla="*/ 26 h 80"/>
              <a:gd name="T10" fmla="*/ 19 w 122"/>
              <a:gd name="T11" fmla="*/ 7 h 80"/>
              <a:gd name="T12" fmla="*/ 6 w 122"/>
              <a:gd name="T13" fmla="*/ 1 h 80"/>
              <a:gd name="T14" fmla="*/ 2 w 122"/>
              <a:gd name="T15" fmla="*/ 0 h 80"/>
              <a:gd name="T16" fmla="*/ 2 w 122"/>
              <a:gd name="T17" fmla="*/ 1 h 80"/>
              <a:gd name="T18" fmla="*/ 1 w 122"/>
              <a:gd name="T19" fmla="*/ 3 h 80"/>
              <a:gd name="T20" fmla="*/ 0 w 122"/>
              <a:gd name="T21" fmla="*/ 7 h 80"/>
              <a:gd name="T22" fmla="*/ 1 w 122"/>
              <a:gd name="T23" fmla="*/ 8 h 80"/>
              <a:gd name="T24" fmla="*/ 23 w 122"/>
              <a:gd name="T25" fmla="*/ 28 h 80"/>
              <a:gd name="T26" fmla="*/ 33 w 122"/>
              <a:gd name="T27" fmla="*/ 39 h 80"/>
              <a:gd name="T28" fmla="*/ 39 w 122"/>
              <a:gd name="T29" fmla="*/ 44 h 80"/>
              <a:gd name="T30" fmla="*/ 44 w 122"/>
              <a:gd name="T31" fmla="*/ 50 h 80"/>
              <a:gd name="T32" fmla="*/ 71 w 122"/>
              <a:gd name="T33" fmla="*/ 71 h 80"/>
              <a:gd name="T34" fmla="*/ 87 w 122"/>
              <a:gd name="T35" fmla="*/ 77 h 80"/>
              <a:gd name="T36" fmla="*/ 95 w 122"/>
              <a:gd name="T37" fmla="*/ 79 h 80"/>
              <a:gd name="T38" fmla="*/ 99 w 122"/>
              <a:gd name="T39" fmla="*/ 80 h 80"/>
              <a:gd name="T40" fmla="*/ 104 w 122"/>
              <a:gd name="T41" fmla="*/ 80 h 80"/>
              <a:gd name="T42" fmla="*/ 113 w 122"/>
              <a:gd name="T43" fmla="*/ 79 h 80"/>
              <a:gd name="T44" fmla="*/ 122 w 122"/>
              <a:gd name="T45" fmla="*/ 75 h 80"/>
              <a:gd name="T46" fmla="*/ 122 w 122"/>
              <a:gd name="T47" fmla="*/ 75 h 80"/>
              <a:gd name="T48" fmla="*/ 122 w 122"/>
              <a:gd name="T49" fmla="*/ 75 h 80"/>
              <a:gd name="T50" fmla="*/ 121 w 122"/>
              <a:gd name="T51" fmla="*/ 74 h 80"/>
              <a:gd name="T52" fmla="*/ 102 w 122"/>
              <a:gd name="T53" fmla="*/ 68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102" y="68"/>
                </a:moveTo>
                <a:cubicBezTo>
                  <a:pt x="91" y="63"/>
                  <a:pt x="80" y="56"/>
                  <a:pt x="71" y="49"/>
                </a:cubicBezTo>
                <a:cubicBezTo>
                  <a:pt x="68" y="47"/>
                  <a:pt x="66" y="45"/>
                  <a:pt x="64" y="43"/>
                </a:cubicBezTo>
                <a:cubicBezTo>
                  <a:pt x="57" y="37"/>
                  <a:pt x="57" y="37"/>
                  <a:pt x="57" y="37"/>
                </a:cubicBezTo>
                <a:cubicBezTo>
                  <a:pt x="53" y="33"/>
                  <a:pt x="49" y="29"/>
                  <a:pt x="44" y="26"/>
                </a:cubicBezTo>
                <a:cubicBezTo>
                  <a:pt x="36" y="19"/>
                  <a:pt x="27" y="12"/>
                  <a:pt x="19" y="7"/>
                </a:cubicBezTo>
                <a:cubicBezTo>
                  <a:pt x="14" y="4"/>
                  <a:pt x="10" y="2"/>
                  <a:pt x="6" y="1"/>
                </a:cubicBezTo>
                <a:cubicBezTo>
                  <a:pt x="5" y="1"/>
                  <a:pt x="4" y="1"/>
                  <a:pt x="2" y="0"/>
                </a:cubicBezTo>
                <a:cubicBezTo>
                  <a:pt x="2" y="0"/>
                  <a:pt x="2" y="1"/>
                  <a:pt x="2" y="1"/>
                </a:cubicBezTo>
                <a:cubicBezTo>
                  <a:pt x="2" y="1"/>
                  <a:pt x="1" y="2"/>
                  <a:pt x="1" y="3"/>
                </a:cubicBezTo>
                <a:cubicBezTo>
                  <a:pt x="0" y="4"/>
                  <a:pt x="0" y="6"/>
                  <a:pt x="0" y="7"/>
                </a:cubicBezTo>
                <a:cubicBezTo>
                  <a:pt x="0" y="7"/>
                  <a:pt x="1" y="8"/>
                  <a:pt x="1" y="8"/>
                </a:cubicBezTo>
                <a:cubicBezTo>
                  <a:pt x="9" y="13"/>
                  <a:pt x="16" y="20"/>
                  <a:pt x="23" y="28"/>
                </a:cubicBezTo>
                <a:cubicBezTo>
                  <a:pt x="26" y="31"/>
                  <a:pt x="30" y="35"/>
                  <a:pt x="33" y="39"/>
                </a:cubicBezTo>
                <a:cubicBezTo>
                  <a:pt x="39" y="44"/>
                  <a:pt x="39" y="44"/>
                  <a:pt x="39" y="44"/>
                </a:cubicBezTo>
                <a:cubicBezTo>
                  <a:pt x="40" y="46"/>
                  <a:pt x="42" y="48"/>
                  <a:pt x="44" y="50"/>
                </a:cubicBezTo>
                <a:cubicBezTo>
                  <a:pt x="52" y="58"/>
                  <a:pt x="61" y="65"/>
                  <a:pt x="71" y="71"/>
                </a:cubicBezTo>
                <a:cubicBezTo>
                  <a:pt x="76" y="73"/>
                  <a:pt x="81" y="76"/>
                  <a:pt x="87" y="77"/>
                </a:cubicBezTo>
                <a:cubicBezTo>
                  <a:pt x="89" y="78"/>
                  <a:pt x="92" y="79"/>
                  <a:pt x="95" y="79"/>
                </a:cubicBezTo>
                <a:cubicBezTo>
                  <a:pt x="97" y="80"/>
                  <a:pt x="98" y="80"/>
                  <a:pt x="99" y="80"/>
                </a:cubicBezTo>
                <a:cubicBezTo>
                  <a:pt x="101" y="80"/>
                  <a:pt x="102" y="80"/>
                  <a:pt x="104" y="80"/>
                </a:cubicBezTo>
                <a:cubicBezTo>
                  <a:pt x="107" y="80"/>
                  <a:pt x="110" y="80"/>
                  <a:pt x="113" y="79"/>
                </a:cubicBezTo>
                <a:cubicBezTo>
                  <a:pt x="117" y="78"/>
                  <a:pt x="120" y="76"/>
                  <a:pt x="122" y="75"/>
                </a:cubicBezTo>
                <a:cubicBezTo>
                  <a:pt x="122" y="75"/>
                  <a:pt x="122" y="75"/>
                  <a:pt x="122" y="75"/>
                </a:cubicBezTo>
                <a:cubicBezTo>
                  <a:pt x="122" y="75"/>
                  <a:pt x="122" y="75"/>
                  <a:pt x="122" y="75"/>
                </a:cubicBezTo>
                <a:cubicBezTo>
                  <a:pt x="122" y="75"/>
                  <a:pt x="121" y="74"/>
                  <a:pt x="121" y="74"/>
                </a:cubicBezTo>
                <a:cubicBezTo>
                  <a:pt x="114" y="73"/>
                  <a:pt x="108" y="71"/>
                  <a:pt x="102"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2919413" y="2303463"/>
            <a:ext cx="212725" cy="187325"/>
          </a:xfrm>
          <a:custGeom>
            <a:avLst/>
            <a:gdLst>
              <a:gd name="T0" fmla="*/ 74 w 91"/>
              <a:gd name="T1" fmla="*/ 69 h 80"/>
              <a:gd name="T2" fmla="*/ 48 w 91"/>
              <a:gd name="T3" fmla="*/ 47 h 80"/>
              <a:gd name="T4" fmla="*/ 43 w 91"/>
              <a:gd name="T5" fmla="*/ 41 h 80"/>
              <a:gd name="T6" fmla="*/ 38 w 91"/>
              <a:gd name="T7" fmla="*/ 35 h 80"/>
              <a:gd name="T8" fmla="*/ 28 w 91"/>
              <a:gd name="T9" fmla="*/ 24 h 80"/>
              <a:gd name="T10" fmla="*/ 7 w 91"/>
              <a:gd name="T11" fmla="*/ 3 h 80"/>
              <a:gd name="T12" fmla="*/ 2 w 91"/>
              <a:gd name="T13" fmla="*/ 0 h 80"/>
              <a:gd name="T14" fmla="*/ 1 w 91"/>
              <a:gd name="T15" fmla="*/ 6 h 80"/>
              <a:gd name="T16" fmla="*/ 0 w 91"/>
              <a:gd name="T17" fmla="*/ 11 h 80"/>
              <a:gd name="T18" fmla="*/ 8 w 91"/>
              <a:gd name="T19" fmla="*/ 23 h 80"/>
              <a:gd name="T20" fmla="*/ 16 w 91"/>
              <a:gd name="T21" fmla="*/ 34 h 80"/>
              <a:gd name="T22" fmla="*/ 20 w 91"/>
              <a:gd name="T23" fmla="*/ 40 h 80"/>
              <a:gd name="T24" fmla="*/ 25 w 91"/>
              <a:gd name="T25" fmla="*/ 46 h 80"/>
              <a:gd name="T26" fmla="*/ 46 w 91"/>
              <a:gd name="T27" fmla="*/ 67 h 80"/>
              <a:gd name="T28" fmla="*/ 59 w 91"/>
              <a:gd name="T29" fmla="*/ 75 h 80"/>
              <a:gd name="T30" fmla="*/ 67 w 91"/>
              <a:gd name="T31" fmla="*/ 78 h 80"/>
              <a:gd name="T32" fmla="*/ 70 w 91"/>
              <a:gd name="T33" fmla="*/ 79 h 80"/>
              <a:gd name="T34" fmla="*/ 74 w 91"/>
              <a:gd name="T35" fmla="*/ 80 h 80"/>
              <a:gd name="T36" fmla="*/ 83 w 91"/>
              <a:gd name="T37" fmla="*/ 80 h 80"/>
              <a:gd name="T38" fmla="*/ 91 w 91"/>
              <a:gd name="T39" fmla="*/ 77 h 80"/>
              <a:gd name="T40" fmla="*/ 91 w 91"/>
              <a:gd name="T41" fmla="*/ 77 h 80"/>
              <a:gd name="T42" fmla="*/ 90 w 91"/>
              <a:gd name="T43" fmla="*/ 76 h 80"/>
              <a:gd name="T44" fmla="*/ 74 w 91"/>
              <a:gd name="T45" fmla="*/ 69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74" y="69"/>
                </a:moveTo>
                <a:cubicBezTo>
                  <a:pt x="64" y="63"/>
                  <a:pt x="56" y="55"/>
                  <a:pt x="48" y="47"/>
                </a:cubicBezTo>
                <a:cubicBezTo>
                  <a:pt x="47" y="45"/>
                  <a:pt x="45" y="43"/>
                  <a:pt x="43" y="41"/>
                </a:cubicBezTo>
                <a:cubicBezTo>
                  <a:pt x="38" y="35"/>
                  <a:pt x="38" y="35"/>
                  <a:pt x="38" y="35"/>
                </a:cubicBezTo>
                <a:cubicBezTo>
                  <a:pt x="34" y="31"/>
                  <a:pt x="31" y="27"/>
                  <a:pt x="28" y="24"/>
                </a:cubicBezTo>
                <a:cubicBezTo>
                  <a:pt x="21" y="16"/>
                  <a:pt x="14" y="9"/>
                  <a:pt x="7" y="3"/>
                </a:cubicBezTo>
                <a:cubicBezTo>
                  <a:pt x="6" y="2"/>
                  <a:pt x="4" y="1"/>
                  <a:pt x="2" y="0"/>
                </a:cubicBezTo>
                <a:cubicBezTo>
                  <a:pt x="2" y="2"/>
                  <a:pt x="1" y="4"/>
                  <a:pt x="1" y="6"/>
                </a:cubicBezTo>
                <a:cubicBezTo>
                  <a:pt x="0" y="8"/>
                  <a:pt x="0" y="10"/>
                  <a:pt x="0" y="11"/>
                </a:cubicBezTo>
                <a:cubicBezTo>
                  <a:pt x="3" y="15"/>
                  <a:pt x="6" y="19"/>
                  <a:pt x="8" y="23"/>
                </a:cubicBezTo>
                <a:cubicBezTo>
                  <a:pt x="11" y="26"/>
                  <a:pt x="14" y="30"/>
                  <a:pt x="16" y="34"/>
                </a:cubicBezTo>
                <a:cubicBezTo>
                  <a:pt x="20" y="40"/>
                  <a:pt x="20" y="40"/>
                  <a:pt x="20" y="40"/>
                </a:cubicBezTo>
                <a:cubicBezTo>
                  <a:pt x="22" y="42"/>
                  <a:pt x="23" y="44"/>
                  <a:pt x="25" y="46"/>
                </a:cubicBezTo>
                <a:cubicBezTo>
                  <a:pt x="31" y="54"/>
                  <a:pt x="38" y="61"/>
                  <a:pt x="46" y="67"/>
                </a:cubicBezTo>
                <a:cubicBezTo>
                  <a:pt x="50" y="70"/>
                  <a:pt x="55" y="73"/>
                  <a:pt x="59" y="75"/>
                </a:cubicBezTo>
                <a:cubicBezTo>
                  <a:pt x="62" y="76"/>
                  <a:pt x="64" y="77"/>
                  <a:pt x="67" y="78"/>
                </a:cubicBezTo>
                <a:cubicBezTo>
                  <a:pt x="68" y="78"/>
                  <a:pt x="69" y="79"/>
                  <a:pt x="70" y="79"/>
                </a:cubicBezTo>
                <a:cubicBezTo>
                  <a:pt x="72" y="79"/>
                  <a:pt x="73" y="80"/>
                  <a:pt x="74" y="80"/>
                </a:cubicBezTo>
                <a:cubicBezTo>
                  <a:pt x="77" y="80"/>
                  <a:pt x="80" y="80"/>
                  <a:pt x="83" y="80"/>
                </a:cubicBezTo>
                <a:cubicBezTo>
                  <a:pt x="85" y="79"/>
                  <a:pt x="88" y="78"/>
                  <a:pt x="91" y="77"/>
                </a:cubicBezTo>
                <a:cubicBezTo>
                  <a:pt x="91" y="77"/>
                  <a:pt x="91" y="77"/>
                  <a:pt x="91" y="77"/>
                </a:cubicBezTo>
                <a:cubicBezTo>
                  <a:pt x="91" y="76"/>
                  <a:pt x="90" y="76"/>
                  <a:pt x="90" y="76"/>
                </a:cubicBezTo>
                <a:cubicBezTo>
                  <a:pt x="84" y="74"/>
                  <a:pt x="79" y="72"/>
                  <a:pt x="74" y="6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905125" y="2336800"/>
            <a:ext cx="152400" cy="166688"/>
          </a:xfrm>
          <a:custGeom>
            <a:avLst/>
            <a:gdLst>
              <a:gd name="T0" fmla="*/ 64 w 65"/>
              <a:gd name="T1" fmla="*/ 68 h 71"/>
              <a:gd name="T2" fmla="*/ 51 w 65"/>
              <a:gd name="T3" fmla="*/ 60 h 71"/>
              <a:gd name="T4" fmla="*/ 30 w 65"/>
              <a:gd name="T5" fmla="*/ 37 h 71"/>
              <a:gd name="T6" fmla="*/ 26 w 65"/>
              <a:gd name="T7" fmla="*/ 31 h 71"/>
              <a:gd name="T8" fmla="*/ 22 w 65"/>
              <a:gd name="T9" fmla="*/ 25 h 71"/>
              <a:gd name="T10" fmla="*/ 15 w 65"/>
              <a:gd name="T11" fmla="*/ 13 h 71"/>
              <a:gd name="T12" fmla="*/ 5 w 65"/>
              <a:gd name="T13" fmla="*/ 0 h 71"/>
              <a:gd name="T14" fmla="*/ 5 w 65"/>
              <a:gd name="T15" fmla="*/ 2 h 71"/>
              <a:gd name="T16" fmla="*/ 1 w 65"/>
              <a:gd name="T17" fmla="*/ 12 h 71"/>
              <a:gd name="T18" fmla="*/ 0 w 65"/>
              <a:gd name="T19" fmla="*/ 14 h 71"/>
              <a:gd name="T20" fmla="*/ 4 w 65"/>
              <a:gd name="T21" fmla="*/ 22 h 71"/>
              <a:gd name="T22" fmla="*/ 7 w 65"/>
              <a:gd name="T23" fmla="*/ 27 h 71"/>
              <a:gd name="T24" fmla="*/ 10 w 65"/>
              <a:gd name="T25" fmla="*/ 33 h 71"/>
              <a:gd name="T26" fmla="*/ 26 w 65"/>
              <a:gd name="T27" fmla="*/ 55 h 71"/>
              <a:gd name="T28" fmla="*/ 37 w 65"/>
              <a:gd name="T29" fmla="*/ 64 h 71"/>
              <a:gd name="T30" fmla="*/ 43 w 65"/>
              <a:gd name="T31" fmla="*/ 67 h 71"/>
              <a:gd name="T32" fmla="*/ 46 w 65"/>
              <a:gd name="T33" fmla="*/ 69 h 71"/>
              <a:gd name="T34" fmla="*/ 49 w 65"/>
              <a:gd name="T35" fmla="*/ 70 h 71"/>
              <a:gd name="T36" fmla="*/ 57 w 65"/>
              <a:gd name="T37" fmla="*/ 71 h 71"/>
              <a:gd name="T38" fmla="*/ 65 w 65"/>
              <a:gd name="T39" fmla="*/ 69 h 71"/>
              <a:gd name="T40" fmla="*/ 64 w 65"/>
              <a:gd name="T41" fmla="*/ 68 h 71"/>
              <a:gd name="T42" fmla="*/ 64 w 65"/>
              <a:gd name="T43" fmla="*/ 68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5" h="71">
                <a:moveTo>
                  <a:pt x="64" y="68"/>
                </a:moveTo>
                <a:cubicBezTo>
                  <a:pt x="59" y="66"/>
                  <a:pt x="55" y="63"/>
                  <a:pt x="51" y="60"/>
                </a:cubicBezTo>
                <a:cubicBezTo>
                  <a:pt x="43" y="53"/>
                  <a:pt x="36" y="45"/>
                  <a:pt x="30" y="37"/>
                </a:cubicBezTo>
                <a:cubicBezTo>
                  <a:pt x="29" y="35"/>
                  <a:pt x="28" y="33"/>
                  <a:pt x="26" y="31"/>
                </a:cubicBezTo>
                <a:cubicBezTo>
                  <a:pt x="22" y="25"/>
                  <a:pt x="22" y="25"/>
                  <a:pt x="22" y="25"/>
                </a:cubicBezTo>
                <a:cubicBezTo>
                  <a:pt x="20" y="21"/>
                  <a:pt x="17" y="17"/>
                  <a:pt x="15" y="13"/>
                </a:cubicBezTo>
                <a:cubicBezTo>
                  <a:pt x="12" y="9"/>
                  <a:pt x="8" y="4"/>
                  <a:pt x="5" y="0"/>
                </a:cubicBezTo>
                <a:cubicBezTo>
                  <a:pt x="5" y="1"/>
                  <a:pt x="5" y="1"/>
                  <a:pt x="5" y="2"/>
                </a:cubicBezTo>
                <a:cubicBezTo>
                  <a:pt x="4" y="5"/>
                  <a:pt x="3" y="9"/>
                  <a:pt x="1" y="12"/>
                </a:cubicBezTo>
                <a:cubicBezTo>
                  <a:pt x="1" y="13"/>
                  <a:pt x="0" y="14"/>
                  <a:pt x="0" y="14"/>
                </a:cubicBezTo>
                <a:cubicBezTo>
                  <a:pt x="1" y="17"/>
                  <a:pt x="2" y="19"/>
                  <a:pt x="4" y="22"/>
                </a:cubicBezTo>
                <a:cubicBezTo>
                  <a:pt x="7" y="27"/>
                  <a:pt x="7" y="27"/>
                  <a:pt x="7" y="27"/>
                </a:cubicBezTo>
                <a:cubicBezTo>
                  <a:pt x="8" y="29"/>
                  <a:pt x="9" y="31"/>
                  <a:pt x="10" y="33"/>
                </a:cubicBezTo>
                <a:cubicBezTo>
                  <a:pt x="14" y="41"/>
                  <a:pt x="20" y="49"/>
                  <a:pt x="26" y="55"/>
                </a:cubicBezTo>
                <a:cubicBezTo>
                  <a:pt x="29" y="58"/>
                  <a:pt x="33" y="61"/>
                  <a:pt x="37" y="64"/>
                </a:cubicBezTo>
                <a:cubicBezTo>
                  <a:pt x="39" y="65"/>
                  <a:pt x="41" y="66"/>
                  <a:pt x="43" y="67"/>
                </a:cubicBezTo>
                <a:cubicBezTo>
                  <a:pt x="44" y="68"/>
                  <a:pt x="45" y="68"/>
                  <a:pt x="46" y="69"/>
                </a:cubicBezTo>
                <a:cubicBezTo>
                  <a:pt x="47" y="69"/>
                  <a:pt x="48" y="70"/>
                  <a:pt x="49" y="70"/>
                </a:cubicBezTo>
                <a:cubicBezTo>
                  <a:pt x="52" y="70"/>
                  <a:pt x="54" y="71"/>
                  <a:pt x="57" y="71"/>
                </a:cubicBezTo>
                <a:cubicBezTo>
                  <a:pt x="59" y="71"/>
                  <a:pt x="62" y="70"/>
                  <a:pt x="65" y="69"/>
                </a:cubicBezTo>
                <a:cubicBezTo>
                  <a:pt x="64" y="69"/>
                  <a:pt x="64" y="68"/>
                  <a:pt x="64" y="68"/>
                </a:cubicBezTo>
                <a:cubicBezTo>
                  <a:pt x="64" y="68"/>
                  <a:pt x="64" y="68"/>
                  <a:pt x="64"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873375" y="2376488"/>
            <a:ext cx="115888" cy="128588"/>
          </a:xfrm>
          <a:custGeom>
            <a:avLst/>
            <a:gdLst>
              <a:gd name="T0" fmla="*/ 4 w 49"/>
              <a:gd name="T1" fmla="*/ 16 h 55"/>
              <a:gd name="T2" fmla="*/ 16 w 49"/>
              <a:gd name="T3" fmla="*/ 37 h 55"/>
              <a:gd name="T4" fmla="*/ 24 w 49"/>
              <a:gd name="T5" fmla="*/ 46 h 55"/>
              <a:gd name="T6" fmla="*/ 29 w 49"/>
              <a:gd name="T7" fmla="*/ 50 h 55"/>
              <a:gd name="T8" fmla="*/ 32 w 49"/>
              <a:gd name="T9" fmla="*/ 52 h 55"/>
              <a:gd name="T10" fmla="*/ 35 w 49"/>
              <a:gd name="T11" fmla="*/ 53 h 55"/>
              <a:gd name="T12" fmla="*/ 41 w 49"/>
              <a:gd name="T13" fmla="*/ 55 h 55"/>
              <a:gd name="T14" fmla="*/ 49 w 49"/>
              <a:gd name="T15" fmla="*/ 54 h 55"/>
              <a:gd name="T16" fmla="*/ 49 w 49"/>
              <a:gd name="T17" fmla="*/ 54 h 55"/>
              <a:gd name="T18" fmla="*/ 48 w 49"/>
              <a:gd name="T19" fmla="*/ 53 h 55"/>
              <a:gd name="T20" fmla="*/ 37 w 49"/>
              <a:gd name="T21" fmla="*/ 44 h 55"/>
              <a:gd name="T22" fmla="*/ 22 w 49"/>
              <a:gd name="T23" fmla="*/ 21 h 55"/>
              <a:gd name="T24" fmla="*/ 19 w 49"/>
              <a:gd name="T25" fmla="*/ 15 h 55"/>
              <a:gd name="T26" fmla="*/ 16 w 49"/>
              <a:gd name="T27" fmla="*/ 9 h 55"/>
              <a:gd name="T28" fmla="*/ 11 w 49"/>
              <a:gd name="T29" fmla="*/ 0 h 55"/>
              <a:gd name="T30" fmla="*/ 11 w 49"/>
              <a:gd name="T31" fmla="*/ 0 h 55"/>
              <a:gd name="T32" fmla="*/ 6 w 49"/>
              <a:gd name="T33" fmla="*/ 4 h 55"/>
              <a:gd name="T34" fmla="*/ 0 w 49"/>
              <a:gd name="T35" fmla="*/ 6 h 55"/>
              <a:gd name="T36" fmla="*/ 2 w 49"/>
              <a:gd name="T37" fmla="*/ 10 h 55"/>
              <a:gd name="T38" fmla="*/ 4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 y="16"/>
                </a:moveTo>
                <a:cubicBezTo>
                  <a:pt x="7" y="23"/>
                  <a:pt x="11" y="31"/>
                  <a:pt x="16" y="37"/>
                </a:cubicBezTo>
                <a:cubicBezTo>
                  <a:pt x="18" y="41"/>
                  <a:pt x="21" y="44"/>
                  <a:pt x="24" y="46"/>
                </a:cubicBezTo>
                <a:cubicBezTo>
                  <a:pt x="26" y="48"/>
                  <a:pt x="28" y="49"/>
                  <a:pt x="29" y="50"/>
                </a:cubicBezTo>
                <a:cubicBezTo>
                  <a:pt x="30" y="51"/>
                  <a:pt x="31" y="51"/>
                  <a:pt x="32" y="52"/>
                </a:cubicBezTo>
                <a:cubicBezTo>
                  <a:pt x="33" y="52"/>
                  <a:pt x="34" y="53"/>
                  <a:pt x="35" y="53"/>
                </a:cubicBezTo>
                <a:cubicBezTo>
                  <a:pt x="37" y="54"/>
                  <a:pt x="39" y="55"/>
                  <a:pt x="41" y="55"/>
                </a:cubicBezTo>
                <a:cubicBezTo>
                  <a:pt x="44" y="55"/>
                  <a:pt x="46" y="55"/>
                  <a:pt x="49" y="54"/>
                </a:cubicBezTo>
                <a:cubicBezTo>
                  <a:pt x="49" y="54"/>
                  <a:pt x="49" y="54"/>
                  <a:pt x="49" y="54"/>
                </a:cubicBezTo>
                <a:cubicBezTo>
                  <a:pt x="48" y="54"/>
                  <a:pt x="48" y="53"/>
                  <a:pt x="48" y="53"/>
                </a:cubicBezTo>
                <a:cubicBezTo>
                  <a:pt x="44" y="50"/>
                  <a:pt x="40" y="47"/>
                  <a:pt x="37" y="44"/>
                </a:cubicBezTo>
                <a:cubicBezTo>
                  <a:pt x="31" y="37"/>
                  <a:pt x="26" y="29"/>
                  <a:pt x="22" y="21"/>
                </a:cubicBezTo>
                <a:cubicBezTo>
                  <a:pt x="21" y="19"/>
                  <a:pt x="20" y="17"/>
                  <a:pt x="19" y="15"/>
                </a:cubicBezTo>
                <a:cubicBezTo>
                  <a:pt x="16" y="9"/>
                  <a:pt x="16" y="9"/>
                  <a:pt x="16" y="9"/>
                </a:cubicBezTo>
                <a:cubicBezTo>
                  <a:pt x="14" y="6"/>
                  <a:pt x="13" y="3"/>
                  <a:pt x="11" y="0"/>
                </a:cubicBezTo>
                <a:cubicBezTo>
                  <a:pt x="11" y="0"/>
                  <a:pt x="11" y="0"/>
                  <a:pt x="11" y="0"/>
                </a:cubicBezTo>
                <a:cubicBezTo>
                  <a:pt x="10" y="2"/>
                  <a:pt x="8" y="3"/>
                  <a:pt x="6" y="4"/>
                </a:cubicBezTo>
                <a:cubicBezTo>
                  <a:pt x="4" y="5"/>
                  <a:pt x="2" y="5"/>
                  <a:pt x="0" y="6"/>
                </a:cubicBezTo>
                <a:cubicBezTo>
                  <a:pt x="2" y="10"/>
                  <a:pt x="2" y="10"/>
                  <a:pt x="2" y="10"/>
                </a:cubicBezTo>
                <a:cubicBezTo>
                  <a:pt x="2" y="12"/>
                  <a:pt x="3" y="14"/>
                  <a:pt x="4"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70">
            <a:extLst>
              <a:ext uri="{FF2B5EF4-FFF2-40B4-BE49-F238E27FC236}">
                <a16:creationId xmlns:a16="http://schemas.microsoft.com/office/drawing/2014/main" id="{00000000-0008-0000-0400-000047000000}"/>
              </a:ext>
            </a:extLst>
          </xdr:cNvPr>
          <xdr:cNvSpPr>
            <a:spLocks/>
          </xdr:cNvSpPr>
        </xdr:nvSpPr>
        <xdr:spPr bwMode="auto">
          <a:xfrm>
            <a:off x="2838450" y="2381250"/>
            <a:ext cx="90488" cy="119063"/>
          </a:xfrm>
          <a:custGeom>
            <a:avLst/>
            <a:gdLst>
              <a:gd name="T0" fmla="*/ 13 w 38"/>
              <a:gd name="T1" fmla="*/ 4 h 51"/>
              <a:gd name="T2" fmla="*/ 11 w 38"/>
              <a:gd name="T3" fmla="*/ 4 h 51"/>
              <a:gd name="T4" fmla="*/ 2 w 38"/>
              <a:gd name="T5" fmla="*/ 2 h 51"/>
              <a:gd name="T6" fmla="*/ 0 w 38"/>
              <a:gd name="T7" fmla="*/ 0 h 51"/>
              <a:gd name="T8" fmla="*/ 1 w 38"/>
              <a:gd name="T9" fmla="*/ 5 h 51"/>
              <a:gd name="T10" fmla="*/ 2 w 38"/>
              <a:gd name="T11" fmla="*/ 11 h 51"/>
              <a:gd name="T12" fmla="*/ 11 w 38"/>
              <a:gd name="T13" fmla="*/ 32 h 51"/>
              <a:gd name="T14" fmla="*/ 17 w 38"/>
              <a:gd name="T15" fmla="*/ 41 h 51"/>
              <a:gd name="T16" fmla="*/ 21 w 38"/>
              <a:gd name="T17" fmla="*/ 45 h 51"/>
              <a:gd name="T18" fmla="*/ 23 w 38"/>
              <a:gd name="T19" fmla="*/ 47 h 51"/>
              <a:gd name="T20" fmla="*/ 26 w 38"/>
              <a:gd name="T21" fmla="*/ 48 h 51"/>
              <a:gd name="T22" fmla="*/ 31 w 38"/>
              <a:gd name="T23" fmla="*/ 51 h 51"/>
              <a:gd name="T24" fmla="*/ 37 w 38"/>
              <a:gd name="T25" fmla="*/ 51 h 51"/>
              <a:gd name="T26" fmla="*/ 38 w 38"/>
              <a:gd name="T27" fmla="*/ 51 h 51"/>
              <a:gd name="T28" fmla="*/ 37 w 38"/>
              <a:gd name="T29" fmla="*/ 50 h 51"/>
              <a:gd name="T30" fmla="*/ 29 w 38"/>
              <a:gd name="T31" fmla="*/ 40 h 51"/>
              <a:gd name="T32" fmla="*/ 17 w 38"/>
              <a:gd name="T33" fmla="*/ 18 h 51"/>
              <a:gd name="T34" fmla="*/ 15 w 38"/>
              <a:gd name="T35" fmla="*/ 12 h 51"/>
              <a:gd name="T36" fmla="*/ 14 w 38"/>
              <a:gd name="T37" fmla="*/ 6 h 51"/>
              <a:gd name="T38" fmla="*/ 13 w 38"/>
              <a:gd name="T39" fmla="*/ 4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51">
                <a:moveTo>
                  <a:pt x="13" y="4"/>
                </a:moveTo>
                <a:cubicBezTo>
                  <a:pt x="12" y="4"/>
                  <a:pt x="11" y="4"/>
                  <a:pt x="11" y="4"/>
                </a:cubicBezTo>
                <a:cubicBezTo>
                  <a:pt x="8" y="3"/>
                  <a:pt x="5" y="3"/>
                  <a:pt x="2" y="2"/>
                </a:cubicBezTo>
                <a:cubicBezTo>
                  <a:pt x="1" y="1"/>
                  <a:pt x="0" y="1"/>
                  <a:pt x="0" y="0"/>
                </a:cubicBezTo>
                <a:cubicBezTo>
                  <a:pt x="1" y="5"/>
                  <a:pt x="1" y="5"/>
                  <a:pt x="1" y="5"/>
                </a:cubicBezTo>
                <a:cubicBezTo>
                  <a:pt x="1" y="7"/>
                  <a:pt x="2" y="9"/>
                  <a:pt x="2" y="11"/>
                </a:cubicBezTo>
                <a:cubicBezTo>
                  <a:pt x="4" y="18"/>
                  <a:pt x="7" y="25"/>
                  <a:pt x="11" y="32"/>
                </a:cubicBezTo>
                <a:cubicBezTo>
                  <a:pt x="12" y="35"/>
                  <a:pt x="15" y="38"/>
                  <a:pt x="17" y="41"/>
                </a:cubicBezTo>
                <a:cubicBezTo>
                  <a:pt x="18" y="43"/>
                  <a:pt x="20" y="44"/>
                  <a:pt x="21" y="45"/>
                </a:cubicBezTo>
                <a:cubicBezTo>
                  <a:pt x="22" y="46"/>
                  <a:pt x="22" y="46"/>
                  <a:pt x="23" y="47"/>
                </a:cubicBezTo>
                <a:cubicBezTo>
                  <a:pt x="24" y="48"/>
                  <a:pt x="25" y="48"/>
                  <a:pt x="26" y="48"/>
                </a:cubicBezTo>
                <a:cubicBezTo>
                  <a:pt x="27" y="49"/>
                  <a:pt x="29" y="50"/>
                  <a:pt x="31" y="51"/>
                </a:cubicBezTo>
                <a:cubicBezTo>
                  <a:pt x="33" y="51"/>
                  <a:pt x="35" y="51"/>
                  <a:pt x="37" y="51"/>
                </a:cubicBezTo>
                <a:cubicBezTo>
                  <a:pt x="38" y="51"/>
                  <a:pt x="38" y="51"/>
                  <a:pt x="38" y="51"/>
                </a:cubicBezTo>
                <a:cubicBezTo>
                  <a:pt x="37" y="50"/>
                  <a:pt x="37" y="50"/>
                  <a:pt x="37" y="50"/>
                </a:cubicBezTo>
                <a:cubicBezTo>
                  <a:pt x="34" y="47"/>
                  <a:pt x="31" y="44"/>
                  <a:pt x="29" y="40"/>
                </a:cubicBezTo>
                <a:cubicBezTo>
                  <a:pt x="24" y="33"/>
                  <a:pt x="20" y="26"/>
                  <a:pt x="17" y="18"/>
                </a:cubicBezTo>
                <a:cubicBezTo>
                  <a:pt x="17" y="16"/>
                  <a:pt x="16" y="14"/>
                  <a:pt x="15" y="12"/>
                </a:cubicBezTo>
                <a:cubicBezTo>
                  <a:pt x="14" y="6"/>
                  <a:pt x="14" y="6"/>
                  <a:pt x="14" y="6"/>
                </a:cubicBezTo>
                <a:cubicBezTo>
                  <a:pt x="13" y="6"/>
                  <a:pt x="13" y="5"/>
                  <a:pt x="13" y="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71">
            <a:extLst>
              <a:ext uri="{FF2B5EF4-FFF2-40B4-BE49-F238E27FC236}">
                <a16:creationId xmlns:a16="http://schemas.microsoft.com/office/drawing/2014/main" id="{00000000-0008-0000-0400-000048000000}"/>
              </a:ext>
            </a:extLst>
          </xdr:cNvPr>
          <xdr:cNvSpPr>
            <a:spLocks noEditPoints="1"/>
          </xdr:cNvSpPr>
        </xdr:nvSpPr>
        <xdr:spPr bwMode="auto">
          <a:xfrm>
            <a:off x="2584450" y="2513013"/>
            <a:ext cx="341313" cy="333375"/>
          </a:xfrm>
          <a:custGeom>
            <a:avLst/>
            <a:gdLst>
              <a:gd name="T0" fmla="*/ 125 w 145"/>
              <a:gd name="T1" fmla="*/ 72 h 142"/>
              <a:gd name="T2" fmla="*/ 122 w 145"/>
              <a:gd name="T3" fmla="*/ 70 h 142"/>
              <a:gd name="T4" fmla="*/ 121 w 145"/>
              <a:gd name="T5" fmla="*/ 70 h 142"/>
              <a:gd name="T6" fmla="*/ 110 w 145"/>
              <a:gd name="T7" fmla="*/ 67 h 142"/>
              <a:gd name="T8" fmla="*/ 76 w 145"/>
              <a:gd name="T9" fmla="*/ 63 h 142"/>
              <a:gd name="T10" fmla="*/ 47 w 145"/>
              <a:gd name="T11" fmla="*/ 57 h 142"/>
              <a:gd name="T12" fmla="*/ 29 w 145"/>
              <a:gd name="T13" fmla="*/ 44 h 142"/>
              <a:gd name="T14" fmla="*/ 29 w 145"/>
              <a:gd name="T15" fmla="*/ 39 h 142"/>
              <a:gd name="T16" fmla="*/ 37 w 145"/>
              <a:gd name="T17" fmla="*/ 33 h 142"/>
              <a:gd name="T18" fmla="*/ 38 w 145"/>
              <a:gd name="T19" fmla="*/ 33 h 142"/>
              <a:gd name="T20" fmla="*/ 41 w 145"/>
              <a:gd name="T21" fmla="*/ 36 h 142"/>
              <a:gd name="T22" fmla="*/ 42 w 145"/>
              <a:gd name="T23" fmla="*/ 37 h 142"/>
              <a:gd name="T24" fmla="*/ 42 w 145"/>
              <a:gd name="T25" fmla="*/ 37 h 142"/>
              <a:gd name="T26" fmla="*/ 42 w 145"/>
              <a:gd name="T27" fmla="*/ 37 h 142"/>
              <a:gd name="T28" fmla="*/ 67 w 145"/>
              <a:gd name="T29" fmla="*/ 19 h 142"/>
              <a:gd name="T30" fmla="*/ 67 w 145"/>
              <a:gd name="T31" fmla="*/ 18 h 142"/>
              <a:gd name="T32" fmla="*/ 65 w 145"/>
              <a:gd name="T33" fmla="*/ 16 h 142"/>
              <a:gd name="T34" fmla="*/ 58 w 145"/>
              <a:gd name="T35" fmla="*/ 8 h 142"/>
              <a:gd name="T36" fmla="*/ 37 w 145"/>
              <a:gd name="T37" fmla="*/ 0 h 142"/>
              <a:gd name="T38" fmla="*/ 19 w 145"/>
              <a:gd name="T39" fmla="*/ 6 h 142"/>
              <a:gd name="T40" fmla="*/ 2 w 145"/>
              <a:gd name="T41" fmla="*/ 28 h 142"/>
              <a:gd name="T42" fmla="*/ 5 w 145"/>
              <a:gd name="T43" fmla="*/ 58 h 142"/>
              <a:gd name="T44" fmla="*/ 21 w 145"/>
              <a:gd name="T45" fmla="*/ 77 h 142"/>
              <a:gd name="T46" fmla="*/ 58 w 145"/>
              <a:gd name="T47" fmla="*/ 89 h 142"/>
              <a:gd name="T48" fmla="*/ 91 w 145"/>
              <a:gd name="T49" fmla="*/ 92 h 142"/>
              <a:gd name="T50" fmla="*/ 112 w 145"/>
              <a:gd name="T51" fmla="*/ 95 h 142"/>
              <a:gd name="T52" fmla="*/ 113 w 145"/>
              <a:gd name="T53" fmla="*/ 95 h 142"/>
              <a:gd name="T54" fmla="*/ 113 w 145"/>
              <a:gd name="T55" fmla="*/ 95 h 142"/>
              <a:gd name="T56" fmla="*/ 113 w 145"/>
              <a:gd name="T57" fmla="*/ 95 h 142"/>
              <a:gd name="T58" fmla="*/ 114 w 145"/>
              <a:gd name="T59" fmla="*/ 95 h 142"/>
              <a:gd name="T60" fmla="*/ 116 w 145"/>
              <a:gd name="T61" fmla="*/ 97 h 142"/>
              <a:gd name="T62" fmla="*/ 122 w 145"/>
              <a:gd name="T63" fmla="*/ 113 h 142"/>
              <a:gd name="T64" fmla="*/ 117 w 145"/>
              <a:gd name="T65" fmla="*/ 119 h 142"/>
              <a:gd name="T66" fmla="*/ 114 w 145"/>
              <a:gd name="T67" fmla="*/ 121 h 142"/>
              <a:gd name="T68" fmla="*/ 111 w 145"/>
              <a:gd name="T69" fmla="*/ 122 h 142"/>
              <a:gd name="T70" fmla="*/ 97 w 145"/>
              <a:gd name="T71" fmla="*/ 126 h 142"/>
              <a:gd name="T72" fmla="*/ 99 w 145"/>
              <a:gd name="T73" fmla="*/ 94 h 142"/>
              <a:gd name="T74" fmla="*/ 91 w 145"/>
              <a:gd name="T75" fmla="*/ 94 h 142"/>
              <a:gd name="T76" fmla="*/ 74 w 145"/>
              <a:gd name="T77" fmla="*/ 93 h 142"/>
              <a:gd name="T78" fmla="*/ 76 w 145"/>
              <a:gd name="T79" fmla="*/ 119 h 142"/>
              <a:gd name="T80" fmla="*/ 85 w 145"/>
              <a:gd name="T81" fmla="*/ 126 h 142"/>
              <a:gd name="T82" fmla="*/ 91 w 145"/>
              <a:gd name="T83" fmla="*/ 128 h 142"/>
              <a:gd name="T84" fmla="*/ 101 w 145"/>
              <a:gd name="T85" fmla="*/ 131 h 142"/>
              <a:gd name="T86" fmla="*/ 114 w 145"/>
              <a:gd name="T87" fmla="*/ 137 h 142"/>
              <a:gd name="T88" fmla="*/ 117 w 145"/>
              <a:gd name="T89" fmla="*/ 138 h 142"/>
              <a:gd name="T90" fmla="*/ 118 w 145"/>
              <a:gd name="T91" fmla="*/ 139 h 142"/>
              <a:gd name="T92" fmla="*/ 123 w 145"/>
              <a:gd name="T93" fmla="*/ 142 h 142"/>
              <a:gd name="T94" fmla="*/ 136 w 145"/>
              <a:gd name="T95" fmla="*/ 133 h 142"/>
              <a:gd name="T96" fmla="*/ 145 w 145"/>
              <a:gd name="T97" fmla="*/ 108 h 142"/>
              <a:gd name="T98" fmla="*/ 130 w 145"/>
              <a:gd name="T99" fmla="*/ 75 h 142"/>
              <a:gd name="T100" fmla="*/ 60 w 145"/>
              <a:gd name="T101" fmla="*/ 20 h 142"/>
              <a:gd name="T102" fmla="*/ 57 w 145"/>
              <a:gd name="T103" fmla="*/ 24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45" h="142">
                <a:moveTo>
                  <a:pt x="130" y="75"/>
                </a:moveTo>
                <a:cubicBezTo>
                  <a:pt x="128" y="74"/>
                  <a:pt x="126" y="73"/>
                  <a:pt x="125" y="72"/>
                </a:cubicBezTo>
                <a:cubicBezTo>
                  <a:pt x="124" y="72"/>
                  <a:pt x="124" y="71"/>
                  <a:pt x="123" y="71"/>
                </a:cubicBezTo>
                <a:cubicBezTo>
                  <a:pt x="123" y="71"/>
                  <a:pt x="123" y="71"/>
                  <a:pt x="122" y="70"/>
                </a:cubicBezTo>
                <a:cubicBezTo>
                  <a:pt x="121" y="70"/>
                  <a:pt x="121" y="70"/>
                  <a:pt x="121" y="70"/>
                </a:cubicBezTo>
                <a:cubicBezTo>
                  <a:pt x="121" y="70"/>
                  <a:pt x="121" y="70"/>
                  <a:pt x="121" y="70"/>
                </a:cubicBezTo>
                <a:cubicBezTo>
                  <a:pt x="119" y="69"/>
                  <a:pt x="119" y="69"/>
                  <a:pt x="119" y="69"/>
                </a:cubicBezTo>
                <a:cubicBezTo>
                  <a:pt x="116" y="68"/>
                  <a:pt x="113" y="67"/>
                  <a:pt x="110" y="67"/>
                </a:cubicBezTo>
                <a:cubicBezTo>
                  <a:pt x="104" y="65"/>
                  <a:pt x="98" y="65"/>
                  <a:pt x="93" y="64"/>
                </a:cubicBezTo>
                <a:cubicBezTo>
                  <a:pt x="76" y="63"/>
                  <a:pt x="76" y="63"/>
                  <a:pt x="76" y="63"/>
                </a:cubicBezTo>
                <a:cubicBezTo>
                  <a:pt x="71" y="62"/>
                  <a:pt x="66" y="61"/>
                  <a:pt x="61" y="60"/>
                </a:cubicBezTo>
                <a:cubicBezTo>
                  <a:pt x="56" y="60"/>
                  <a:pt x="51" y="58"/>
                  <a:pt x="47" y="57"/>
                </a:cubicBezTo>
                <a:cubicBezTo>
                  <a:pt x="42" y="55"/>
                  <a:pt x="39" y="54"/>
                  <a:pt x="35" y="51"/>
                </a:cubicBezTo>
                <a:cubicBezTo>
                  <a:pt x="32" y="49"/>
                  <a:pt x="30" y="46"/>
                  <a:pt x="29" y="44"/>
                </a:cubicBezTo>
                <a:cubicBezTo>
                  <a:pt x="29" y="43"/>
                  <a:pt x="29" y="42"/>
                  <a:pt x="29" y="41"/>
                </a:cubicBezTo>
                <a:cubicBezTo>
                  <a:pt x="29" y="41"/>
                  <a:pt x="29" y="40"/>
                  <a:pt x="29" y="39"/>
                </a:cubicBezTo>
                <a:cubicBezTo>
                  <a:pt x="30" y="38"/>
                  <a:pt x="31" y="36"/>
                  <a:pt x="34" y="34"/>
                </a:cubicBezTo>
                <a:cubicBezTo>
                  <a:pt x="35" y="33"/>
                  <a:pt x="36" y="33"/>
                  <a:pt x="37" y="33"/>
                </a:cubicBezTo>
                <a:cubicBezTo>
                  <a:pt x="37" y="33"/>
                  <a:pt x="37" y="33"/>
                  <a:pt x="37" y="33"/>
                </a:cubicBezTo>
                <a:cubicBezTo>
                  <a:pt x="37" y="33"/>
                  <a:pt x="38" y="33"/>
                  <a:pt x="38" y="33"/>
                </a:cubicBezTo>
                <a:cubicBezTo>
                  <a:pt x="38" y="33"/>
                  <a:pt x="39" y="34"/>
                  <a:pt x="40" y="34"/>
                </a:cubicBezTo>
                <a:cubicBezTo>
                  <a:pt x="40" y="35"/>
                  <a:pt x="41" y="35"/>
                  <a:pt x="41" y="36"/>
                </a:cubicBezTo>
                <a:cubicBezTo>
                  <a:pt x="42" y="36"/>
                  <a:pt x="42" y="36"/>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5" y="42"/>
                  <a:pt x="60" y="44"/>
                  <a:pt x="63" y="42"/>
                </a:cubicBezTo>
                <a:cubicBezTo>
                  <a:pt x="70" y="37"/>
                  <a:pt x="72" y="27"/>
                  <a:pt x="67" y="19"/>
                </a:cubicBezTo>
                <a:cubicBezTo>
                  <a:pt x="67" y="19"/>
                  <a:pt x="67" y="19"/>
                  <a:pt x="67" y="19"/>
                </a:cubicBezTo>
                <a:cubicBezTo>
                  <a:pt x="67" y="18"/>
                  <a:pt x="67" y="18"/>
                  <a:pt x="67" y="18"/>
                </a:cubicBezTo>
                <a:cubicBezTo>
                  <a:pt x="66" y="17"/>
                  <a:pt x="66" y="17"/>
                  <a:pt x="66" y="17"/>
                </a:cubicBezTo>
                <a:cubicBezTo>
                  <a:pt x="66" y="17"/>
                  <a:pt x="65" y="16"/>
                  <a:pt x="65" y="16"/>
                </a:cubicBezTo>
                <a:cubicBezTo>
                  <a:pt x="64" y="15"/>
                  <a:pt x="64" y="14"/>
                  <a:pt x="63" y="13"/>
                </a:cubicBezTo>
                <a:cubicBezTo>
                  <a:pt x="62" y="11"/>
                  <a:pt x="60" y="10"/>
                  <a:pt x="58" y="8"/>
                </a:cubicBezTo>
                <a:cubicBezTo>
                  <a:pt x="55" y="5"/>
                  <a:pt x="51" y="2"/>
                  <a:pt x="46" y="1"/>
                </a:cubicBezTo>
                <a:cubicBezTo>
                  <a:pt x="43" y="0"/>
                  <a:pt x="40" y="0"/>
                  <a:pt x="37" y="0"/>
                </a:cubicBezTo>
                <a:cubicBezTo>
                  <a:pt x="35" y="0"/>
                  <a:pt x="33" y="0"/>
                  <a:pt x="31" y="0"/>
                </a:cubicBezTo>
                <a:cubicBezTo>
                  <a:pt x="26" y="1"/>
                  <a:pt x="22" y="3"/>
                  <a:pt x="19" y="6"/>
                </a:cubicBezTo>
                <a:cubicBezTo>
                  <a:pt x="15" y="8"/>
                  <a:pt x="12" y="11"/>
                  <a:pt x="9" y="15"/>
                </a:cubicBezTo>
                <a:cubicBezTo>
                  <a:pt x="6" y="18"/>
                  <a:pt x="4" y="23"/>
                  <a:pt x="2" y="28"/>
                </a:cubicBezTo>
                <a:cubicBezTo>
                  <a:pt x="1" y="33"/>
                  <a:pt x="0" y="38"/>
                  <a:pt x="0" y="44"/>
                </a:cubicBezTo>
                <a:cubicBezTo>
                  <a:pt x="1" y="49"/>
                  <a:pt x="2" y="54"/>
                  <a:pt x="5" y="58"/>
                </a:cubicBezTo>
                <a:cubicBezTo>
                  <a:pt x="7" y="63"/>
                  <a:pt x="9" y="66"/>
                  <a:pt x="12" y="69"/>
                </a:cubicBezTo>
                <a:cubicBezTo>
                  <a:pt x="15" y="72"/>
                  <a:pt x="18" y="75"/>
                  <a:pt x="21" y="77"/>
                </a:cubicBezTo>
                <a:cubicBezTo>
                  <a:pt x="27" y="81"/>
                  <a:pt x="34" y="84"/>
                  <a:pt x="40" y="85"/>
                </a:cubicBezTo>
                <a:cubicBezTo>
                  <a:pt x="46" y="87"/>
                  <a:pt x="52" y="88"/>
                  <a:pt x="58" y="89"/>
                </a:cubicBezTo>
                <a:cubicBezTo>
                  <a:pt x="63" y="90"/>
                  <a:pt x="69" y="90"/>
                  <a:pt x="74" y="91"/>
                </a:cubicBezTo>
                <a:cubicBezTo>
                  <a:pt x="91" y="92"/>
                  <a:pt x="91" y="92"/>
                  <a:pt x="91" y="92"/>
                </a:cubicBezTo>
                <a:cubicBezTo>
                  <a:pt x="96" y="92"/>
                  <a:pt x="101" y="92"/>
                  <a:pt x="106" y="93"/>
                </a:cubicBezTo>
                <a:cubicBezTo>
                  <a:pt x="108" y="94"/>
                  <a:pt x="110" y="94"/>
                  <a:pt x="112"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4" y="95"/>
                </a:cubicBezTo>
                <a:cubicBezTo>
                  <a:pt x="114" y="95"/>
                  <a:pt x="114" y="95"/>
                  <a:pt x="114" y="95"/>
                </a:cubicBezTo>
                <a:cubicBezTo>
                  <a:pt x="115" y="96"/>
                  <a:pt x="116" y="96"/>
                  <a:pt x="116" y="97"/>
                </a:cubicBezTo>
                <a:cubicBezTo>
                  <a:pt x="119" y="98"/>
                  <a:pt x="121" y="101"/>
                  <a:pt x="122" y="104"/>
                </a:cubicBezTo>
                <a:cubicBezTo>
                  <a:pt x="123" y="107"/>
                  <a:pt x="123" y="111"/>
                  <a:pt x="122" y="113"/>
                </a:cubicBezTo>
                <a:cubicBezTo>
                  <a:pt x="122" y="114"/>
                  <a:pt x="121" y="115"/>
                  <a:pt x="121" y="116"/>
                </a:cubicBezTo>
                <a:cubicBezTo>
                  <a:pt x="120" y="117"/>
                  <a:pt x="119" y="118"/>
                  <a:pt x="117" y="119"/>
                </a:cubicBezTo>
                <a:cubicBezTo>
                  <a:pt x="116" y="120"/>
                  <a:pt x="116" y="120"/>
                  <a:pt x="115" y="120"/>
                </a:cubicBezTo>
                <a:cubicBezTo>
                  <a:pt x="114" y="121"/>
                  <a:pt x="114" y="121"/>
                  <a:pt x="114" y="121"/>
                </a:cubicBezTo>
                <a:cubicBezTo>
                  <a:pt x="113" y="121"/>
                  <a:pt x="113" y="121"/>
                  <a:pt x="113" y="121"/>
                </a:cubicBezTo>
                <a:cubicBezTo>
                  <a:pt x="111" y="122"/>
                  <a:pt x="111" y="122"/>
                  <a:pt x="111" y="122"/>
                </a:cubicBezTo>
                <a:cubicBezTo>
                  <a:pt x="109" y="122"/>
                  <a:pt x="106" y="123"/>
                  <a:pt x="104" y="124"/>
                </a:cubicBezTo>
                <a:cubicBezTo>
                  <a:pt x="102" y="125"/>
                  <a:pt x="99" y="125"/>
                  <a:pt x="97" y="126"/>
                </a:cubicBezTo>
                <a:cubicBezTo>
                  <a:pt x="97" y="124"/>
                  <a:pt x="97" y="121"/>
                  <a:pt x="97" y="119"/>
                </a:cubicBezTo>
                <a:cubicBezTo>
                  <a:pt x="98" y="111"/>
                  <a:pt x="98" y="103"/>
                  <a:pt x="99" y="94"/>
                </a:cubicBezTo>
                <a:cubicBezTo>
                  <a:pt x="96" y="94"/>
                  <a:pt x="93" y="94"/>
                  <a:pt x="91" y="94"/>
                </a:cubicBezTo>
                <a:cubicBezTo>
                  <a:pt x="91" y="94"/>
                  <a:pt x="91" y="94"/>
                  <a:pt x="91" y="94"/>
                </a:cubicBezTo>
                <a:cubicBezTo>
                  <a:pt x="74" y="93"/>
                  <a:pt x="74" y="93"/>
                  <a:pt x="74" y="93"/>
                </a:cubicBezTo>
                <a:cubicBezTo>
                  <a:pt x="74" y="93"/>
                  <a:pt x="74" y="93"/>
                  <a:pt x="74" y="93"/>
                </a:cubicBezTo>
                <a:cubicBezTo>
                  <a:pt x="74" y="93"/>
                  <a:pt x="74" y="93"/>
                  <a:pt x="74" y="93"/>
                </a:cubicBezTo>
                <a:cubicBezTo>
                  <a:pt x="75" y="101"/>
                  <a:pt x="75" y="110"/>
                  <a:pt x="76" y="119"/>
                </a:cubicBezTo>
                <a:cubicBezTo>
                  <a:pt x="76" y="120"/>
                  <a:pt x="76" y="122"/>
                  <a:pt x="76" y="124"/>
                </a:cubicBezTo>
                <a:cubicBezTo>
                  <a:pt x="79" y="125"/>
                  <a:pt x="82" y="125"/>
                  <a:pt x="85" y="126"/>
                </a:cubicBezTo>
                <a:cubicBezTo>
                  <a:pt x="87" y="127"/>
                  <a:pt x="89" y="127"/>
                  <a:pt x="91" y="128"/>
                </a:cubicBezTo>
                <a:cubicBezTo>
                  <a:pt x="91" y="128"/>
                  <a:pt x="91" y="128"/>
                  <a:pt x="91" y="128"/>
                </a:cubicBezTo>
                <a:cubicBezTo>
                  <a:pt x="93" y="129"/>
                  <a:pt x="95" y="129"/>
                  <a:pt x="97" y="130"/>
                </a:cubicBezTo>
                <a:cubicBezTo>
                  <a:pt x="98" y="130"/>
                  <a:pt x="100" y="131"/>
                  <a:pt x="101" y="131"/>
                </a:cubicBezTo>
                <a:cubicBezTo>
                  <a:pt x="104" y="132"/>
                  <a:pt x="107" y="133"/>
                  <a:pt x="110" y="135"/>
                </a:cubicBezTo>
                <a:cubicBezTo>
                  <a:pt x="111" y="135"/>
                  <a:pt x="113" y="136"/>
                  <a:pt x="114" y="137"/>
                </a:cubicBezTo>
                <a:cubicBezTo>
                  <a:pt x="115" y="137"/>
                  <a:pt x="115" y="137"/>
                  <a:pt x="116" y="138"/>
                </a:cubicBezTo>
                <a:cubicBezTo>
                  <a:pt x="117" y="138"/>
                  <a:pt x="117" y="138"/>
                  <a:pt x="117" y="138"/>
                </a:cubicBezTo>
                <a:cubicBezTo>
                  <a:pt x="117" y="139"/>
                  <a:pt x="117" y="139"/>
                  <a:pt x="117" y="139"/>
                </a:cubicBezTo>
                <a:cubicBezTo>
                  <a:pt x="118" y="139"/>
                  <a:pt x="118" y="139"/>
                  <a:pt x="118" y="139"/>
                </a:cubicBezTo>
                <a:cubicBezTo>
                  <a:pt x="119" y="139"/>
                  <a:pt x="119" y="139"/>
                  <a:pt x="119" y="139"/>
                </a:cubicBezTo>
                <a:cubicBezTo>
                  <a:pt x="120" y="140"/>
                  <a:pt x="121" y="141"/>
                  <a:pt x="123" y="142"/>
                </a:cubicBezTo>
                <a:cubicBezTo>
                  <a:pt x="124" y="142"/>
                  <a:pt x="125" y="141"/>
                  <a:pt x="127" y="141"/>
                </a:cubicBezTo>
                <a:cubicBezTo>
                  <a:pt x="130" y="139"/>
                  <a:pt x="133" y="136"/>
                  <a:pt x="136" y="133"/>
                </a:cubicBezTo>
                <a:cubicBezTo>
                  <a:pt x="139" y="130"/>
                  <a:pt x="141" y="126"/>
                  <a:pt x="143" y="122"/>
                </a:cubicBezTo>
                <a:cubicBezTo>
                  <a:pt x="145" y="117"/>
                  <a:pt x="145" y="113"/>
                  <a:pt x="145" y="108"/>
                </a:cubicBezTo>
                <a:cubicBezTo>
                  <a:pt x="145" y="104"/>
                  <a:pt x="145" y="100"/>
                  <a:pt x="143" y="95"/>
                </a:cubicBezTo>
                <a:cubicBezTo>
                  <a:pt x="141" y="87"/>
                  <a:pt x="136" y="80"/>
                  <a:pt x="130" y="75"/>
                </a:cubicBezTo>
                <a:close/>
                <a:moveTo>
                  <a:pt x="53" y="17"/>
                </a:moveTo>
                <a:cubicBezTo>
                  <a:pt x="54" y="16"/>
                  <a:pt x="59" y="19"/>
                  <a:pt x="60" y="20"/>
                </a:cubicBezTo>
                <a:cubicBezTo>
                  <a:pt x="61" y="21"/>
                  <a:pt x="61" y="23"/>
                  <a:pt x="60" y="24"/>
                </a:cubicBezTo>
                <a:cubicBezTo>
                  <a:pt x="59" y="25"/>
                  <a:pt x="58" y="25"/>
                  <a:pt x="57" y="24"/>
                </a:cubicBezTo>
                <a:cubicBezTo>
                  <a:pt x="56" y="23"/>
                  <a:pt x="52" y="18"/>
                  <a:pt x="53"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72">
            <a:extLst>
              <a:ext uri="{FF2B5EF4-FFF2-40B4-BE49-F238E27FC236}">
                <a16:creationId xmlns:a16="http://schemas.microsoft.com/office/drawing/2014/main" id="{00000000-0008-0000-0400-000049000000}"/>
              </a:ext>
            </a:extLst>
          </xdr:cNvPr>
          <xdr:cNvSpPr>
            <a:spLocks noEditPoints="1"/>
          </xdr:cNvSpPr>
        </xdr:nvSpPr>
        <xdr:spPr bwMode="auto">
          <a:xfrm>
            <a:off x="2709863" y="2154238"/>
            <a:ext cx="280988" cy="554038"/>
          </a:xfrm>
          <a:custGeom>
            <a:avLst/>
            <a:gdLst>
              <a:gd name="T0" fmla="*/ 101 w 120"/>
              <a:gd name="T1" fmla="*/ 158 h 235"/>
              <a:gd name="T2" fmla="*/ 83 w 120"/>
              <a:gd name="T3" fmla="*/ 152 h 235"/>
              <a:gd name="T4" fmla="*/ 62 w 120"/>
              <a:gd name="T5" fmla="*/ 160 h 235"/>
              <a:gd name="T6" fmla="*/ 55 w 120"/>
              <a:gd name="T7" fmla="*/ 168 h 235"/>
              <a:gd name="T8" fmla="*/ 53 w 120"/>
              <a:gd name="T9" fmla="*/ 170 h 235"/>
              <a:gd name="T10" fmla="*/ 53 w 120"/>
              <a:gd name="T11" fmla="*/ 171 h 235"/>
              <a:gd name="T12" fmla="*/ 78 w 120"/>
              <a:gd name="T13" fmla="*/ 189 h 235"/>
              <a:gd name="T14" fmla="*/ 78 w 120"/>
              <a:gd name="T15" fmla="*/ 189 h 235"/>
              <a:gd name="T16" fmla="*/ 78 w 120"/>
              <a:gd name="T17" fmla="*/ 189 h 235"/>
              <a:gd name="T18" fmla="*/ 79 w 120"/>
              <a:gd name="T19" fmla="*/ 188 h 235"/>
              <a:gd name="T20" fmla="*/ 82 w 120"/>
              <a:gd name="T21" fmla="*/ 185 h 235"/>
              <a:gd name="T22" fmla="*/ 83 w 120"/>
              <a:gd name="T23" fmla="*/ 185 h 235"/>
              <a:gd name="T24" fmla="*/ 91 w 120"/>
              <a:gd name="T25" fmla="*/ 191 h 235"/>
              <a:gd name="T26" fmla="*/ 91 w 120"/>
              <a:gd name="T27" fmla="*/ 196 h 235"/>
              <a:gd name="T28" fmla="*/ 73 w 120"/>
              <a:gd name="T29" fmla="*/ 209 h 235"/>
              <a:gd name="T30" fmla="*/ 47 w 120"/>
              <a:gd name="T31" fmla="*/ 214 h 235"/>
              <a:gd name="T32" fmla="*/ 48 w 120"/>
              <a:gd name="T33" fmla="*/ 192 h 235"/>
              <a:gd name="T34" fmla="*/ 47 w 120"/>
              <a:gd name="T35" fmla="*/ 162 h 235"/>
              <a:gd name="T36" fmla="*/ 47 w 120"/>
              <a:gd name="T37" fmla="*/ 139 h 235"/>
              <a:gd name="T38" fmla="*/ 52 w 120"/>
              <a:gd name="T39" fmla="*/ 116 h 235"/>
              <a:gd name="T40" fmla="*/ 53 w 120"/>
              <a:gd name="T41" fmla="*/ 105 h 235"/>
              <a:gd name="T42" fmla="*/ 45 w 120"/>
              <a:gd name="T43" fmla="*/ 85 h 235"/>
              <a:gd name="T44" fmla="*/ 48 w 120"/>
              <a:gd name="T45" fmla="*/ 73 h 235"/>
              <a:gd name="T46" fmla="*/ 51 w 120"/>
              <a:gd name="T47" fmla="*/ 69 h 235"/>
              <a:gd name="T48" fmla="*/ 62 w 120"/>
              <a:gd name="T49" fmla="*/ 54 h 235"/>
              <a:gd name="T50" fmla="*/ 67 w 120"/>
              <a:gd name="T51" fmla="*/ 34 h 235"/>
              <a:gd name="T52" fmla="*/ 0 w 120"/>
              <a:gd name="T53" fmla="*/ 34 h 235"/>
              <a:gd name="T54" fmla="*/ 5 w 120"/>
              <a:gd name="T55" fmla="*/ 54 h 235"/>
              <a:gd name="T56" fmla="*/ 16 w 120"/>
              <a:gd name="T57" fmla="*/ 69 h 235"/>
              <a:gd name="T58" fmla="*/ 19 w 120"/>
              <a:gd name="T59" fmla="*/ 73 h 235"/>
              <a:gd name="T60" fmla="*/ 22 w 120"/>
              <a:gd name="T61" fmla="*/ 85 h 235"/>
              <a:gd name="T62" fmla="*/ 14 w 120"/>
              <a:gd name="T63" fmla="*/ 105 h 235"/>
              <a:gd name="T64" fmla="*/ 15 w 120"/>
              <a:gd name="T65" fmla="*/ 116 h 235"/>
              <a:gd name="T66" fmla="*/ 20 w 120"/>
              <a:gd name="T67" fmla="*/ 139 h 235"/>
              <a:gd name="T68" fmla="*/ 20 w 120"/>
              <a:gd name="T69" fmla="*/ 162 h 235"/>
              <a:gd name="T70" fmla="*/ 19 w 120"/>
              <a:gd name="T71" fmla="*/ 192 h 235"/>
              <a:gd name="T72" fmla="*/ 20 w 120"/>
              <a:gd name="T73" fmla="*/ 212 h 235"/>
              <a:gd name="T74" fmla="*/ 24 w 120"/>
              <a:gd name="T75" fmla="*/ 213 h 235"/>
              <a:gd name="T76" fmla="*/ 40 w 120"/>
              <a:gd name="T77" fmla="*/ 214 h 235"/>
              <a:gd name="T78" fmla="*/ 47 w 120"/>
              <a:gd name="T79" fmla="*/ 215 h 235"/>
              <a:gd name="T80" fmla="*/ 67 w 120"/>
              <a:gd name="T81" fmla="*/ 219 h 235"/>
              <a:gd name="T82" fmla="*/ 68 w 120"/>
              <a:gd name="T83" fmla="*/ 220 h 235"/>
              <a:gd name="T84" fmla="*/ 69 w 120"/>
              <a:gd name="T85" fmla="*/ 220 h 235"/>
              <a:gd name="T86" fmla="*/ 71 w 120"/>
              <a:gd name="T87" fmla="*/ 221 h 235"/>
              <a:gd name="T88" fmla="*/ 78 w 120"/>
              <a:gd name="T89" fmla="*/ 225 h 235"/>
              <a:gd name="T90" fmla="*/ 99 w 120"/>
              <a:gd name="T91" fmla="*/ 229 h 235"/>
              <a:gd name="T92" fmla="*/ 116 w 120"/>
              <a:gd name="T93" fmla="*/ 210 h 235"/>
              <a:gd name="T94" fmla="*/ 118 w 120"/>
              <a:gd name="T95" fmla="*/ 180 h 235"/>
              <a:gd name="T96" fmla="*/ 64 w 120"/>
              <a:gd name="T97" fmla="*/ 176 h 235"/>
              <a:gd name="T98" fmla="*/ 60 w 120"/>
              <a:gd name="T99" fmla="*/ 172 h 235"/>
              <a:gd name="T100" fmla="*/ 64 w 120"/>
              <a:gd name="T101" fmla="*/ 17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120" h="235">
                <a:moveTo>
                  <a:pt x="111" y="167"/>
                </a:moveTo>
                <a:cubicBezTo>
                  <a:pt x="108" y="163"/>
                  <a:pt x="105" y="160"/>
                  <a:pt x="101" y="158"/>
                </a:cubicBezTo>
                <a:cubicBezTo>
                  <a:pt x="98" y="155"/>
                  <a:pt x="94" y="153"/>
                  <a:pt x="89" y="152"/>
                </a:cubicBezTo>
                <a:cubicBezTo>
                  <a:pt x="87" y="152"/>
                  <a:pt x="85" y="152"/>
                  <a:pt x="83" y="152"/>
                </a:cubicBezTo>
                <a:cubicBezTo>
                  <a:pt x="80" y="152"/>
                  <a:pt x="77" y="152"/>
                  <a:pt x="74" y="153"/>
                </a:cubicBezTo>
                <a:cubicBezTo>
                  <a:pt x="69" y="154"/>
                  <a:pt x="65" y="157"/>
                  <a:pt x="62" y="160"/>
                </a:cubicBezTo>
                <a:cubicBezTo>
                  <a:pt x="60" y="162"/>
                  <a:pt x="58" y="163"/>
                  <a:pt x="57" y="165"/>
                </a:cubicBezTo>
                <a:cubicBezTo>
                  <a:pt x="56" y="166"/>
                  <a:pt x="56" y="167"/>
                  <a:pt x="55" y="168"/>
                </a:cubicBezTo>
                <a:cubicBezTo>
                  <a:pt x="55" y="168"/>
                  <a:pt x="54" y="169"/>
                  <a:pt x="54" y="169"/>
                </a:cubicBezTo>
                <a:cubicBezTo>
                  <a:pt x="53" y="170"/>
                  <a:pt x="53" y="170"/>
                  <a:pt x="53" y="170"/>
                </a:cubicBezTo>
                <a:cubicBezTo>
                  <a:pt x="53" y="171"/>
                  <a:pt x="53" y="171"/>
                  <a:pt x="53" y="171"/>
                </a:cubicBezTo>
                <a:cubicBezTo>
                  <a:pt x="53" y="171"/>
                  <a:pt x="53" y="171"/>
                  <a:pt x="53" y="171"/>
                </a:cubicBezTo>
                <a:cubicBezTo>
                  <a:pt x="48" y="179"/>
                  <a:pt x="50" y="189"/>
                  <a:pt x="57" y="194"/>
                </a:cubicBezTo>
                <a:cubicBezTo>
                  <a:pt x="60" y="196"/>
                  <a:pt x="75" y="194"/>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8"/>
                  <a:pt x="78" y="188"/>
                  <a:pt x="79" y="188"/>
                </a:cubicBezTo>
                <a:cubicBezTo>
                  <a:pt x="79" y="187"/>
                  <a:pt x="80" y="187"/>
                  <a:pt x="80" y="186"/>
                </a:cubicBezTo>
                <a:cubicBezTo>
                  <a:pt x="81" y="186"/>
                  <a:pt x="82" y="185"/>
                  <a:pt x="82" y="185"/>
                </a:cubicBezTo>
                <a:cubicBezTo>
                  <a:pt x="82" y="185"/>
                  <a:pt x="83" y="185"/>
                  <a:pt x="83" y="185"/>
                </a:cubicBezTo>
                <a:cubicBezTo>
                  <a:pt x="83" y="185"/>
                  <a:pt x="83" y="185"/>
                  <a:pt x="83" y="185"/>
                </a:cubicBezTo>
                <a:cubicBezTo>
                  <a:pt x="84" y="185"/>
                  <a:pt x="85" y="185"/>
                  <a:pt x="86" y="186"/>
                </a:cubicBezTo>
                <a:cubicBezTo>
                  <a:pt x="89" y="188"/>
                  <a:pt x="90" y="190"/>
                  <a:pt x="91" y="191"/>
                </a:cubicBezTo>
                <a:cubicBezTo>
                  <a:pt x="91" y="192"/>
                  <a:pt x="91" y="193"/>
                  <a:pt x="91" y="193"/>
                </a:cubicBezTo>
                <a:cubicBezTo>
                  <a:pt x="91" y="194"/>
                  <a:pt x="91" y="195"/>
                  <a:pt x="91" y="196"/>
                </a:cubicBezTo>
                <a:cubicBezTo>
                  <a:pt x="90" y="198"/>
                  <a:pt x="88" y="201"/>
                  <a:pt x="85" y="203"/>
                </a:cubicBezTo>
                <a:cubicBezTo>
                  <a:pt x="82" y="206"/>
                  <a:pt x="78" y="207"/>
                  <a:pt x="73" y="209"/>
                </a:cubicBezTo>
                <a:cubicBezTo>
                  <a:pt x="69" y="210"/>
                  <a:pt x="64" y="212"/>
                  <a:pt x="59" y="212"/>
                </a:cubicBezTo>
                <a:cubicBezTo>
                  <a:pt x="55" y="213"/>
                  <a:pt x="51" y="214"/>
                  <a:pt x="47" y="214"/>
                </a:cubicBezTo>
                <a:cubicBezTo>
                  <a:pt x="47" y="212"/>
                  <a:pt x="47" y="209"/>
                  <a:pt x="47" y="207"/>
                </a:cubicBezTo>
                <a:cubicBezTo>
                  <a:pt x="48" y="202"/>
                  <a:pt x="48" y="197"/>
                  <a:pt x="48" y="192"/>
                </a:cubicBezTo>
                <a:cubicBezTo>
                  <a:pt x="48" y="187"/>
                  <a:pt x="48" y="182"/>
                  <a:pt x="48" y="177"/>
                </a:cubicBezTo>
                <a:cubicBezTo>
                  <a:pt x="47" y="162"/>
                  <a:pt x="47" y="162"/>
                  <a:pt x="47" y="162"/>
                </a:cubicBezTo>
                <a:cubicBezTo>
                  <a:pt x="47" y="157"/>
                  <a:pt x="46" y="152"/>
                  <a:pt x="47" y="147"/>
                </a:cubicBezTo>
                <a:cubicBezTo>
                  <a:pt x="47" y="144"/>
                  <a:pt x="47" y="142"/>
                  <a:pt x="47" y="139"/>
                </a:cubicBezTo>
                <a:cubicBezTo>
                  <a:pt x="48" y="137"/>
                  <a:pt x="48" y="134"/>
                  <a:pt x="49" y="132"/>
                </a:cubicBezTo>
                <a:cubicBezTo>
                  <a:pt x="50" y="126"/>
                  <a:pt x="51" y="121"/>
                  <a:pt x="52" y="116"/>
                </a:cubicBezTo>
                <a:cubicBezTo>
                  <a:pt x="52" y="114"/>
                  <a:pt x="53" y="111"/>
                  <a:pt x="53" y="108"/>
                </a:cubicBezTo>
                <a:cubicBezTo>
                  <a:pt x="53" y="107"/>
                  <a:pt x="53" y="106"/>
                  <a:pt x="53" y="105"/>
                </a:cubicBezTo>
                <a:cubicBezTo>
                  <a:pt x="53" y="103"/>
                  <a:pt x="52" y="102"/>
                  <a:pt x="52" y="101"/>
                </a:cubicBezTo>
                <a:cubicBezTo>
                  <a:pt x="50" y="96"/>
                  <a:pt x="46" y="90"/>
                  <a:pt x="45" y="85"/>
                </a:cubicBezTo>
                <a:cubicBezTo>
                  <a:pt x="44" y="83"/>
                  <a:pt x="45" y="80"/>
                  <a:pt x="46" y="77"/>
                </a:cubicBezTo>
                <a:cubicBezTo>
                  <a:pt x="46" y="76"/>
                  <a:pt x="47" y="75"/>
                  <a:pt x="48" y="73"/>
                </a:cubicBezTo>
                <a:cubicBezTo>
                  <a:pt x="48" y="73"/>
                  <a:pt x="49" y="72"/>
                  <a:pt x="49" y="71"/>
                </a:cubicBezTo>
                <a:cubicBezTo>
                  <a:pt x="50" y="71"/>
                  <a:pt x="50" y="70"/>
                  <a:pt x="51" y="69"/>
                </a:cubicBezTo>
                <a:cubicBezTo>
                  <a:pt x="53" y="67"/>
                  <a:pt x="56" y="64"/>
                  <a:pt x="58" y="62"/>
                </a:cubicBezTo>
                <a:cubicBezTo>
                  <a:pt x="60" y="59"/>
                  <a:pt x="62" y="56"/>
                  <a:pt x="62" y="54"/>
                </a:cubicBezTo>
                <a:cubicBezTo>
                  <a:pt x="63" y="53"/>
                  <a:pt x="63" y="51"/>
                  <a:pt x="63" y="50"/>
                </a:cubicBezTo>
                <a:cubicBezTo>
                  <a:pt x="66" y="45"/>
                  <a:pt x="67" y="40"/>
                  <a:pt x="67" y="34"/>
                </a:cubicBezTo>
                <a:cubicBezTo>
                  <a:pt x="67" y="15"/>
                  <a:pt x="52" y="0"/>
                  <a:pt x="34" y="0"/>
                </a:cubicBezTo>
                <a:cubicBezTo>
                  <a:pt x="15" y="0"/>
                  <a:pt x="0" y="15"/>
                  <a:pt x="0" y="34"/>
                </a:cubicBezTo>
                <a:cubicBezTo>
                  <a:pt x="0" y="40"/>
                  <a:pt x="1" y="45"/>
                  <a:pt x="4" y="50"/>
                </a:cubicBezTo>
                <a:cubicBezTo>
                  <a:pt x="4" y="51"/>
                  <a:pt x="4" y="53"/>
                  <a:pt x="5" y="54"/>
                </a:cubicBezTo>
                <a:cubicBezTo>
                  <a:pt x="5" y="56"/>
                  <a:pt x="7" y="59"/>
                  <a:pt x="9" y="62"/>
                </a:cubicBezTo>
                <a:cubicBezTo>
                  <a:pt x="11" y="64"/>
                  <a:pt x="14" y="67"/>
                  <a:pt x="16" y="69"/>
                </a:cubicBezTo>
                <a:cubicBezTo>
                  <a:pt x="17" y="70"/>
                  <a:pt x="17" y="71"/>
                  <a:pt x="18" y="71"/>
                </a:cubicBezTo>
                <a:cubicBezTo>
                  <a:pt x="18" y="72"/>
                  <a:pt x="19" y="73"/>
                  <a:pt x="19" y="73"/>
                </a:cubicBezTo>
                <a:cubicBezTo>
                  <a:pt x="20" y="75"/>
                  <a:pt x="21" y="76"/>
                  <a:pt x="21" y="77"/>
                </a:cubicBezTo>
                <a:cubicBezTo>
                  <a:pt x="22" y="80"/>
                  <a:pt x="22" y="83"/>
                  <a:pt x="22" y="85"/>
                </a:cubicBezTo>
                <a:cubicBezTo>
                  <a:pt x="21" y="90"/>
                  <a:pt x="17" y="96"/>
                  <a:pt x="15" y="101"/>
                </a:cubicBezTo>
                <a:cubicBezTo>
                  <a:pt x="15" y="102"/>
                  <a:pt x="14" y="103"/>
                  <a:pt x="14" y="105"/>
                </a:cubicBezTo>
                <a:cubicBezTo>
                  <a:pt x="14" y="106"/>
                  <a:pt x="14" y="107"/>
                  <a:pt x="14" y="108"/>
                </a:cubicBezTo>
                <a:cubicBezTo>
                  <a:pt x="14" y="111"/>
                  <a:pt x="15" y="114"/>
                  <a:pt x="15" y="116"/>
                </a:cubicBezTo>
                <a:cubicBezTo>
                  <a:pt x="16" y="121"/>
                  <a:pt x="17" y="126"/>
                  <a:pt x="18" y="132"/>
                </a:cubicBezTo>
                <a:cubicBezTo>
                  <a:pt x="19" y="134"/>
                  <a:pt x="19" y="137"/>
                  <a:pt x="20" y="139"/>
                </a:cubicBezTo>
                <a:cubicBezTo>
                  <a:pt x="20" y="142"/>
                  <a:pt x="20" y="144"/>
                  <a:pt x="20" y="147"/>
                </a:cubicBezTo>
                <a:cubicBezTo>
                  <a:pt x="21" y="152"/>
                  <a:pt x="20" y="157"/>
                  <a:pt x="20" y="162"/>
                </a:cubicBezTo>
                <a:cubicBezTo>
                  <a:pt x="19" y="177"/>
                  <a:pt x="19" y="177"/>
                  <a:pt x="19" y="177"/>
                </a:cubicBezTo>
                <a:cubicBezTo>
                  <a:pt x="19" y="182"/>
                  <a:pt x="19" y="187"/>
                  <a:pt x="19" y="192"/>
                </a:cubicBezTo>
                <a:cubicBezTo>
                  <a:pt x="19" y="197"/>
                  <a:pt x="19" y="202"/>
                  <a:pt x="19" y="207"/>
                </a:cubicBezTo>
                <a:cubicBezTo>
                  <a:pt x="20" y="209"/>
                  <a:pt x="20" y="211"/>
                  <a:pt x="20" y="212"/>
                </a:cubicBezTo>
                <a:cubicBezTo>
                  <a:pt x="21" y="212"/>
                  <a:pt x="22" y="213"/>
                  <a:pt x="24" y="213"/>
                </a:cubicBezTo>
                <a:cubicBezTo>
                  <a:pt x="24" y="213"/>
                  <a:pt x="24" y="213"/>
                  <a:pt x="24" y="213"/>
                </a:cubicBezTo>
                <a:cubicBezTo>
                  <a:pt x="40" y="214"/>
                  <a:pt x="40" y="214"/>
                  <a:pt x="40" y="214"/>
                </a:cubicBezTo>
                <a:cubicBezTo>
                  <a:pt x="40" y="214"/>
                  <a:pt x="40" y="214"/>
                  <a:pt x="40" y="214"/>
                </a:cubicBezTo>
                <a:cubicBezTo>
                  <a:pt x="42" y="214"/>
                  <a:pt x="45" y="215"/>
                  <a:pt x="47" y="215"/>
                </a:cubicBezTo>
                <a:cubicBezTo>
                  <a:pt x="47" y="215"/>
                  <a:pt x="47" y="215"/>
                  <a:pt x="47" y="215"/>
                </a:cubicBezTo>
                <a:cubicBezTo>
                  <a:pt x="50" y="215"/>
                  <a:pt x="54" y="216"/>
                  <a:pt x="57" y="217"/>
                </a:cubicBezTo>
                <a:cubicBezTo>
                  <a:pt x="60" y="217"/>
                  <a:pt x="63" y="218"/>
                  <a:pt x="67" y="219"/>
                </a:cubicBezTo>
                <a:cubicBezTo>
                  <a:pt x="68" y="220"/>
                  <a:pt x="68" y="220"/>
                  <a:pt x="68" y="220"/>
                </a:cubicBezTo>
                <a:cubicBezTo>
                  <a:pt x="68" y="220"/>
                  <a:pt x="68" y="220"/>
                  <a:pt x="68" y="220"/>
                </a:cubicBezTo>
                <a:cubicBezTo>
                  <a:pt x="68" y="220"/>
                  <a:pt x="68" y="220"/>
                  <a:pt x="68" y="220"/>
                </a:cubicBezTo>
                <a:cubicBezTo>
                  <a:pt x="69" y="220"/>
                  <a:pt x="69" y="220"/>
                  <a:pt x="69" y="220"/>
                </a:cubicBezTo>
                <a:cubicBezTo>
                  <a:pt x="70" y="220"/>
                  <a:pt x="70" y="220"/>
                  <a:pt x="70" y="220"/>
                </a:cubicBezTo>
                <a:cubicBezTo>
                  <a:pt x="70" y="221"/>
                  <a:pt x="71" y="221"/>
                  <a:pt x="71" y="221"/>
                </a:cubicBezTo>
                <a:cubicBezTo>
                  <a:pt x="72" y="221"/>
                  <a:pt x="72" y="222"/>
                  <a:pt x="73" y="222"/>
                </a:cubicBezTo>
                <a:cubicBezTo>
                  <a:pt x="74" y="223"/>
                  <a:pt x="76" y="224"/>
                  <a:pt x="78" y="225"/>
                </a:cubicBezTo>
                <a:cubicBezTo>
                  <a:pt x="81" y="228"/>
                  <a:pt x="84" y="231"/>
                  <a:pt x="87" y="235"/>
                </a:cubicBezTo>
                <a:cubicBezTo>
                  <a:pt x="91" y="234"/>
                  <a:pt x="95" y="232"/>
                  <a:pt x="99" y="229"/>
                </a:cubicBezTo>
                <a:cubicBezTo>
                  <a:pt x="102" y="227"/>
                  <a:pt x="105" y="224"/>
                  <a:pt x="108" y="221"/>
                </a:cubicBezTo>
                <a:cubicBezTo>
                  <a:pt x="111" y="218"/>
                  <a:pt x="113" y="215"/>
                  <a:pt x="116" y="210"/>
                </a:cubicBezTo>
                <a:cubicBezTo>
                  <a:pt x="118" y="206"/>
                  <a:pt x="119" y="201"/>
                  <a:pt x="120" y="196"/>
                </a:cubicBezTo>
                <a:cubicBezTo>
                  <a:pt x="120" y="190"/>
                  <a:pt x="119" y="185"/>
                  <a:pt x="118" y="180"/>
                </a:cubicBezTo>
                <a:cubicBezTo>
                  <a:pt x="116" y="175"/>
                  <a:pt x="114" y="170"/>
                  <a:pt x="111" y="167"/>
                </a:cubicBezTo>
                <a:close/>
                <a:moveTo>
                  <a:pt x="64" y="176"/>
                </a:moveTo>
                <a:cubicBezTo>
                  <a:pt x="63" y="177"/>
                  <a:pt x="61" y="177"/>
                  <a:pt x="60" y="176"/>
                </a:cubicBezTo>
                <a:cubicBezTo>
                  <a:pt x="59" y="175"/>
                  <a:pt x="59" y="173"/>
                  <a:pt x="60" y="172"/>
                </a:cubicBezTo>
                <a:cubicBezTo>
                  <a:pt x="61" y="171"/>
                  <a:pt x="66" y="168"/>
                  <a:pt x="67" y="169"/>
                </a:cubicBezTo>
                <a:cubicBezTo>
                  <a:pt x="68" y="170"/>
                  <a:pt x="65" y="175"/>
                  <a:pt x="64" y="17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651125" y="2714625"/>
            <a:ext cx="241300" cy="473075"/>
          </a:xfrm>
          <a:custGeom>
            <a:avLst/>
            <a:gdLst>
              <a:gd name="T0" fmla="*/ 88 w 103"/>
              <a:gd name="T1" fmla="*/ 54 h 201"/>
              <a:gd name="T2" fmla="*/ 57 w 103"/>
              <a:gd name="T3" fmla="*/ 42 h 201"/>
              <a:gd name="T4" fmla="*/ 30 w 103"/>
              <a:gd name="T5" fmla="*/ 34 h 201"/>
              <a:gd name="T6" fmla="*/ 29 w 103"/>
              <a:gd name="T7" fmla="*/ 11 h 201"/>
              <a:gd name="T8" fmla="*/ 32 w 103"/>
              <a:gd name="T9" fmla="*/ 9 h 201"/>
              <a:gd name="T10" fmla="*/ 33 w 103"/>
              <a:gd name="T11" fmla="*/ 9 h 201"/>
              <a:gd name="T12" fmla="*/ 6 w 103"/>
              <a:gd name="T13" fmla="*/ 0 h 201"/>
              <a:gd name="T14" fmla="*/ 19 w 103"/>
              <a:gd name="T15" fmla="*/ 55 h 201"/>
              <a:gd name="T16" fmla="*/ 36 w 103"/>
              <a:gd name="T17" fmla="*/ 60 h 201"/>
              <a:gd name="T18" fmla="*/ 79 w 103"/>
              <a:gd name="T19" fmla="*/ 72 h 201"/>
              <a:gd name="T20" fmla="*/ 79 w 103"/>
              <a:gd name="T21" fmla="*/ 73 h 201"/>
              <a:gd name="T22" fmla="*/ 79 w 103"/>
              <a:gd name="T23" fmla="*/ 88 h 201"/>
              <a:gd name="T24" fmla="*/ 67 w 103"/>
              <a:gd name="T25" fmla="*/ 70 h 201"/>
              <a:gd name="T26" fmla="*/ 52 w 103"/>
              <a:gd name="T27" fmla="*/ 66 h 201"/>
              <a:gd name="T28" fmla="*/ 28 w 103"/>
              <a:gd name="T29" fmla="*/ 60 h 201"/>
              <a:gd name="T30" fmla="*/ 19 w 103"/>
              <a:gd name="T31" fmla="*/ 64 h 201"/>
              <a:gd name="T32" fmla="*/ 31 w 103"/>
              <a:gd name="T33" fmla="*/ 106 h 201"/>
              <a:gd name="T34" fmla="*/ 65 w 103"/>
              <a:gd name="T35" fmla="*/ 114 h 201"/>
              <a:gd name="T36" fmla="*/ 73 w 103"/>
              <a:gd name="T37" fmla="*/ 133 h 201"/>
              <a:gd name="T38" fmla="*/ 65 w 103"/>
              <a:gd name="T39" fmla="*/ 116 h 201"/>
              <a:gd name="T40" fmla="*/ 41 w 103"/>
              <a:gd name="T41" fmla="*/ 111 h 201"/>
              <a:gd name="T42" fmla="*/ 27 w 103"/>
              <a:gd name="T43" fmla="*/ 133 h 201"/>
              <a:gd name="T44" fmla="*/ 43 w 103"/>
              <a:gd name="T45" fmla="*/ 148 h 201"/>
              <a:gd name="T46" fmla="*/ 68 w 103"/>
              <a:gd name="T47" fmla="*/ 158 h 201"/>
              <a:gd name="T48" fmla="*/ 72 w 103"/>
              <a:gd name="T49" fmla="*/ 168 h 201"/>
              <a:gd name="T50" fmla="*/ 58 w 103"/>
              <a:gd name="T51" fmla="*/ 154 h 201"/>
              <a:gd name="T52" fmla="*/ 55 w 103"/>
              <a:gd name="T53" fmla="*/ 154 h 201"/>
              <a:gd name="T54" fmla="*/ 52 w 103"/>
              <a:gd name="T55" fmla="*/ 153 h 201"/>
              <a:gd name="T56" fmla="*/ 39 w 103"/>
              <a:gd name="T57" fmla="*/ 151 h 201"/>
              <a:gd name="T58" fmla="*/ 58 w 103"/>
              <a:gd name="T59" fmla="*/ 188 h 201"/>
              <a:gd name="T60" fmla="*/ 85 w 103"/>
              <a:gd name="T61" fmla="*/ 196 h 201"/>
              <a:gd name="T62" fmla="*/ 61 w 103"/>
              <a:gd name="T63" fmla="*/ 180 h 201"/>
              <a:gd name="T64" fmla="*/ 48 w 103"/>
              <a:gd name="T65" fmla="*/ 159 h 201"/>
              <a:gd name="T66" fmla="*/ 53 w 103"/>
              <a:gd name="T67" fmla="*/ 155 h 201"/>
              <a:gd name="T68" fmla="*/ 62 w 103"/>
              <a:gd name="T69" fmla="*/ 178 h 201"/>
              <a:gd name="T70" fmla="*/ 62 w 103"/>
              <a:gd name="T71" fmla="*/ 178 h 201"/>
              <a:gd name="T72" fmla="*/ 83 w 103"/>
              <a:gd name="T73" fmla="*/ 167 h 201"/>
              <a:gd name="T74" fmla="*/ 76 w 103"/>
              <a:gd name="T75" fmla="*/ 149 h 201"/>
              <a:gd name="T76" fmla="*/ 48 w 103"/>
              <a:gd name="T77" fmla="*/ 135 h 201"/>
              <a:gd name="T78" fmla="*/ 40 w 103"/>
              <a:gd name="T79" fmla="*/ 128 h 201"/>
              <a:gd name="T80" fmla="*/ 55 w 103"/>
              <a:gd name="T81" fmla="*/ 136 h 201"/>
              <a:gd name="T82" fmla="*/ 76 w 103"/>
              <a:gd name="T83" fmla="*/ 146 h 201"/>
              <a:gd name="T84" fmla="*/ 83 w 103"/>
              <a:gd name="T85" fmla="*/ 143 h 201"/>
              <a:gd name="T86" fmla="*/ 82 w 103"/>
              <a:gd name="T87" fmla="*/ 104 h 201"/>
              <a:gd name="T88" fmla="*/ 78 w 103"/>
              <a:gd name="T89" fmla="*/ 102 h 201"/>
              <a:gd name="T90" fmla="*/ 38 w 103"/>
              <a:gd name="T91" fmla="*/ 89 h 201"/>
              <a:gd name="T92" fmla="*/ 37 w 103"/>
              <a:gd name="T93" fmla="*/ 73 h 201"/>
              <a:gd name="T94" fmla="*/ 38 w 103"/>
              <a:gd name="T95" fmla="*/ 72 h 201"/>
              <a:gd name="T96" fmla="*/ 51 w 103"/>
              <a:gd name="T97" fmla="*/ 91 h 201"/>
              <a:gd name="T98" fmla="*/ 66 w 103"/>
              <a:gd name="T99" fmla="*/ 95 h 201"/>
              <a:gd name="T100" fmla="*/ 82 w 103"/>
              <a:gd name="T101" fmla="*/ 102 h 201"/>
              <a:gd name="T102" fmla="*/ 86 w 103"/>
              <a:gd name="T103" fmla="*/ 106 h 201"/>
              <a:gd name="T104" fmla="*/ 98 w 103"/>
              <a:gd name="T105" fmla="*/ 64 h 20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03" h="201">
                <a:moveTo>
                  <a:pt x="98" y="64"/>
                </a:moveTo>
                <a:cubicBezTo>
                  <a:pt x="96" y="60"/>
                  <a:pt x="93" y="57"/>
                  <a:pt x="90" y="55"/>
                </a:cubicBezTo>
                <a:cubicBezTo>
                  <a:pt x="89" y="55"/>
                  <a:pt x="89" y="55"/>
                  <a:pt x="89" y="55"/>
                </a:cubicBezTo>
                <a:cubicBezTo>
                  <a:pt x="88" y="54"/>
                  <a:pt x="88" y="54"/>
                  <a:pt x="88" y="54"/>
                </a:cubicBezTo>
                <a:cubicBezTo>
                  <a:pt x="88" y="54"/>
                  <a:pt x="88" y="54"/>
                  <a:pt x="88" y="54"/>
                </a:cubicBezTo>
                <a:cubicBezTo>
                  <a:pt x="87" y="54"/>
                  <a:pt x="87" y="54"/>
                  <a:pt x="87" y="54"/>
                </a:cubicBezTo>
                <a:cubicBezTo>
                  <a:pt x="87" y="53"/>
                  <a:pt x="86" y="53"/>
                  <a:pt x="85" y="53"/>
                </a:cubicBezTo>
                <a:cubicBezTo>
                  <a:pt x="84" y="52"/>
                  <a:pt x="82" y="51"/>
                  <a:pt x="81" y="50"/>
                </a:cubicBezTo>
                <a:cubicBezTo>
                  <a:pt x="78" y="49"/>
                  <a:pt x="75" y="48"/>
                  <a:pt x="73" y="47"/>
                </a:cubicBezTo>
                <a:cubicBezTo>
                  <a:pt x="67" y="45"/>
                  <a:pt x="62" y="44"/>
                  <a:pt x="57" y="42"/>
                </a:cubicBezTo>
                <a:cubicBezTo>
                  <a:pt x="51" y="41"/>
                  <a:pt x="46" y="39"/>
                  <a:pt x="41" y="38"/>
                </a:cubicBezTo>
                <a:cubicBezTo>
                  <a:pt x="39" y="37"/>
                  <a:pt x="36" y="36"/>
                  <a:pt x="34" y="36"/>
                </a:cubicBezTo>
                <a:cubicBezTo>
                  <a:pt x="32" y="35"/>
                  <a:pt x="32" y="35"/>
                  <a:pt x="32" y="35"/>
                </a:cubicBezTo>
                <a:cubicBezTo>
                  <a:pt x="31" y="35"/>
                  <a:pt x="31" y="35"/>
                  <a:pt x="31" y="35"/>
                </a:cubicBezTo>
                <a:cubicBezTo>
                  <a:pt x="30" y="34"/>
                  <a:pt x="30" y="34"/>
                  <a:pt x="30" y="34"/>
                </a:cubicBezTo>
                <a:cubicBezTo>
                  <a:pt x="30" y="34"/>
                  <a:pt x="29" y="34"/>
                  <a:pt x="28" y="33"/>
                </a:cubicBezTo>
                <a:cubicBezTo>
                  <a:pt x="27" y="32"/>
                  <a:pt x="25" y="31"/>
                  <a:pt x="25" y="30"/>
                </a:cubicBezTo>
                <a:cubicBezTo>
                  <a:pt x="24" y="29"/>
                  <a:pt x="23" y="28"/>
                  <a:pt x="23" y="27"/>
                </a:cubicBezTo>
                <a:cubicBezTo>
                  <a:pt x="22" y="25"/>
                  <a:pt x="22" y="21"/>
                  <a:pt x="23" y="18"/>
                </a:cubicBezTo>
                <a:cubicBezTo>
                  <a:pt x="24" y="15"/>
                  <a:pt x="26" y="12"/>
                  <a:pt x="29" y="11"/>
                </a:cubicBezTo>
                <a:cubicBezTo>
                  <a:pt x="30" y="10"/>
                  <a:pt x="30" y="10"/>
                  <a:pt x="31" y="9"/>
                </a:cubicBezTo>
                <a:cubicBezTo>
                  <a:pt x="31" y="9"/>
                  <a:pt x="31" y="9"/>
                  <a:pt x="31"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3" y="9"/>
                  <a:pt x="33" y="9"/>
                  <a:pt x="33" y="9"/>
                </a:cubicBezTo>
                <a:cubicBezTo>
                  <a:pt x="33" y="9"/>
                  <a:pt x="33" y="9"/>
                  <a:pt x="33" y="9"/>
                </a:cubicBezTo>
                <a:cubicBezTo>
                  <a:pt x="35" y="8"/>
                  <a:pt x="37" y="8"/>
                  <a:pt x="39" y="7"/>
                </a:cubicBezTo>
                <a:cubicBezTo>
                  <a:pt x="41" y="7"/>
                  <a:pt x="42" y="7"/>
                  <a:pt x="44" y="7"/>
                </a:cubicBezTo>
                <a:cubicBezTo>
                  <a:pt x="39" y="6"/>
                  <a:pt x="34" y="6"/>
                  <a:pt x="29" y="5"/>
                </a:cubicBezTo>
                <a:cubicBezTo>
                  <a:pt x="22" y="4"/>
                  <a:pt x="17" y="3"/>
                  <a:pt x="11" y="1"/>
                </a:cubicBezTo>
                <a:cubicBezTo>
                  <a:pt x="10" y="1"/>
                  <a:pt x="8" y="0"/>
                  <a:pt x="6" y="0"/>
                </a:cubicBezTo>
                <a:cubicBezTo>
                  <a:pt x="4" y="3"/>
                  <a:pt x="3" y="6"/>
                  <a:pt x="2" y="9"/>
                </a:cubicBezTo>
                <a:cubicBezTo>
                  <a:pt x="0" y="14"/>
                  <a:pt x="0" y="18"/>
                  <a:pt x="0" y="22"/>
                </a:cubicBezTo>
                <a:cubicBezTo>
                  <a:pt x="0" y="27"/>
                  <a:pt x="0" y="31"/>
                  <a:pt x="2" y="36"/>
                </a:cubicBezTo>
                <a:cubicBezTo>
                  <a:pt x="4" y="40"/>
                  <a:pt x="6" y="44"/>
                  <a:pt x="9" y="47"/>
                </a:cubicBezTo>
                <a:cubicBezTo>
                  <a:pt x="12" y="50"/>
                  <a:pt x="15" y="53"/>
                  <a:pt x="19" y="55"/>
                </a:cubicBezTo>
                <a:cubicBezTo>
                  <a:pt x="20" y="56"/>
                  <a:pt x="22" y="56"/>
                  <a:pt x="24" y="57"/>
                </a:cubicBezTo>
                <a:cubicBezTo>
                  <a:pt x="24" y="57"/>
                  <a:pt x="25" y="57"/>
                  <a:pt x="25" y="57"/>
                </a:cubicBezTo>
                <a:cubicBezTo>
                  <a:pt x="26" y="58"/>
                  <a:pt x="26" y="58"/>
                  <a:pt x="26" y="58"/>
                </a:cubicBezTo>
                <a:cubicBezTo>
                  <a:pt x="28" y="58"/>
                  <a:pt x="28" y="58"/>
                  <a:pt x="28" y="58"/>
                </a:cubicBezTo>
                <a:cubicBezTo>
                  <a:pt x="31" y="59"/>
                  <a:pt x="33" y="60"/>
                  <a:pt x="36" y="60"/>
                </a:cubicBezTo>
                <a:cubicBezTo>
                  <a:pt x="42" y="62"/>
                  <a:pt x="47" y="63"/>
                  <a:pt x="52" y="64"/>
                </a:cubicBezTo>
                <a:cubicBezTo>
                  <a:pt x="57" y="65"/>
                  <a:pt x="62" y="67"/>
                  <a:pt x="67" y="68"/>
                </a:cubicBezTo>
                <a:cubicBezTo>
                  <a:pt x="70" y="69"/>
                  <a:pt x="72" y="69"/>
                  <a:pt x="74" y="70"/>
                </a:cubicBezTo>
                <a:cubicBezTo>
                  <a:pt x="75" y="71"/>
                  <a:pt x="76" y="71"/>
                  <a:pt x="77" y="72"/>
                </a:cubicBezTo>
                <a:cubicBezTo>
                  <a:pt x="78" y="72"/>
                  <a:pt x="78" y="72"/>
                  <a:pt x="79" y="72"/>
                </a:cubicBezTo>
                <a:cubicBezTo>
                  <a:pt x="79" y="72"/>
                  <a:pt x="79" y="72"/>
                  <a:pt x="79" y="72"/>
                </a:cubicBezTo>
                <a:cubicBezTo>
                  <a:pt x="79" y="73"/>
                  <a:pt x="79" y="73"/>
                  <a:pt x="79" y="73"/>
                </a:cubicBezTo>
                <a:cubicBezTo>
                  <a:pt x="79" y="73"/>
                  <a:pt x="79" y="73"/>
                  <a:pt x="79" y="73"/>
                </a:cubicBezTo>
                <a:cubicBezTo>
                  <a:pt x="79" y="73"/>
                  <a:pt x="79" y="73"/>
                  <a:pt x="79" y="73"/>
                </a:cubicBezTo>
                <a:cubicBezTo>
                  <a:pt x="79" y="73"/>
                  <a:pt x="79" y="73"/>
                  <a:pt x="79" y="73"/>
                </a:cubicBezTo>
                <a:cubicBezTo>
                  <a:pt x="80" y="73"/>
                  <a:pt x="80" y="73"/>
                  <a:pt x="80" y="73"/>
                </a:cubicBezTo>
                <a:cubicBezTo>
                  <a:pt x="83" y="75"/>
                  <a:pt x="84" y="77"/>
                  <a:pt x="85" y="79"/>
                </a:cubicBezTo>
                <a:cubicBezTo>
                  <a:pt x="85" y="82"/>
                  <a:pt x="84" y="84"/>
                  <a:pt x="82" y="86"/>
                </a:cubicBezTo>
                <a:cubicBezTo>
                  <a:pt x="82" y="87"/>
                  <a:pt x="81" y="87"/>
                  <a:pt x="80" y="88"/>
                </a:cubicBezTo>
                <a:cubicBezTo>
                  <a:pt x="80" y="88"/>
                  <a:pt x="80" y="88"/>
                  <a:pt x="79" y="88"/>
                </a:cubicBezTo>
                <a:cubicBezTo>
                  <a:pt x="79" y="89"/>
                  <a:pt x="79" y="89"/>
                  <a:pt x="79" y="89"/>
                </a:cubicBezTo>
                <a:cubicBezTo>
                  <a:pt x="78" y="89"/>
                  <a:pt x="78" y="89"/>
                  <a:pt x="78" y="89"/>
                </a:cubicBezTo>
                <a:cubicBezTo>
                  <a:pt x="76" y="90"/>
                  <a:pt x="74" y="91"/>
                  <a:pt x="71" y="91"/>
                </a:cubicBezTo>
                <a:cubicBezTo>
                  <a:pt x="70" y="92"/>
                  <a:pt x="68" y="92"/>
                  <a:pt x="66" y="93"/>
                </a:cubicBezTo>
                <a:cubicBezTo>
                  <a:pt x="67" y="85"/>
                  <a:pt x="67" y="78"/>
                  <a:pt x="67" y="70"/>
                </a:cubicBezTo>
                <a:cubicBezTo>
                  <a:pt x="67" y="70"/>
                  <a:pt x="67" y="70"/>
                  <a:pt x="67" y="70"/>
                </a:cubicBezTo>
                <a:cubicBezTo>
                  <a:pt x="63" y="69"/>
                  <a:pt x="59" y="68"/>
                  <a:pt x="54" y="67"/>
                </a:cubicBezTo>
                <a:cubicBezTo>
                  <a:pt x="54" y="67"/>
                  <a:pt x="54" y="67"/>
                  <a:pt x="54" y="67"/>
                </a:cubicBezTo>
                <a:cubicBezTo>
                  <a:pt x="54" y="67"/>
                  <a:pt x="53" y="67"/>
                  <a:pt x="53" y="67"/>
                </a:cubicBezTo>
                <a:cubicBezTo>
                  <a:pt x="52" y="66"/>
                  <a:pt x="52" y="66"/>
                  <a:pt x="52" y="66"/>
                </a:cubicBezTo>
                <a:cubicBezTo>
                  <a:pt x="52" y="66"/>
                  <a:pt x="52" y="66"/>
                  <a:pt x="52" y="66"/>
                </a:cubicBezTo>
                <a:cubicBezTo>
                  <a:pt x="51" y="66"/>
                  <a:pt x="50" y="66"/>
                  <a:pt x="49" y="66"/>
                </a:cubicBezTo>
                <a:cubicBezTo>
                  <a:pt x="49" y="66"/>
                  <a:pt x="49" y="66"/>
                  <a:pt x="49" y="66"/>
                </a:cubicBezTo>
                <a:cubicBezTo>
                  <a:pt x="45" y="65"/>
                  <a:pt x="40" y="64"/>
                  <a:pt x="36" y="62"/>
                </a:cubicBezTo>
                <a:cubicBezTo>
                  <a:pt x="33" y="62"/>
                  <a:pt x="30" y="61"/>
                  <a:pt x="28" y="60"/>
                </a:cubicBezTo>
                <a:cubicBezTo>
                  <a:pt x="26" y="60"/>
                  <a:pt x="26" y="60"/>
                  <a:pt x="26" y="60"/>
                </a:cubicBezTo>
                <a:cubicBezTo>
                  <a:pt x="24" y="59"/>
                  <a:pt x="24" y="59"/>
                  <a:pt x="24" y="59"/>
                </a:cubicBezTo>
                <a:cubicBezTo>
                  <a:pt x="24" y="59"/>
                  <a:pt x="24" y="59"/>
                  <a:pt x="23" y="59"/>
                </a:cubicBezTo>
                <a:cubicBezTo>
                  <a:pt x="23" y="59"/>
                  <a:pt x="23" y="59"/>
                  <a:pt x="23" y="59"/>
                </a:cubicBezTo>
                <a:cubicBezTo>
                  <a:pt x="21" y="60"/>
                  <a:pt x="20" y="62"/>
                  <a:pt x="19" y="64"/>
                </a:cubicBezTo>
                <a:cubicBezTo>
                  <a:pt x="17" y="68"/>
                  <a:pt x="15" y="72"/>
                  <a:pt x="14" y="77"/>
                </a:cubicBezTo>
                <a:cubicBezTo>
                  <a:pt x="14" y="81"/>
                  <a:pt x="14" y="86"/>
                  <a:pt x="16" y="90"/>
                </a:cubicBezTo>
                <a:cubicBezTo>
                  <a:pt x="18" y="95"/>
                  <a:pt x="21" y="98"/>
                  <a:pt x="24" y="101"/>
                </a:cubicBezTo>
                <a:cubicBezTo>
                  <a:pt x="25" y="102"/>
                  <a:pt x="27" y="103"/>
                  <a:pt x="28" y="104"/>
                </a:cubicBezTo>
                <a:cubicBezTo>
                  <a:pt x="29" y="105"/>
                  <a:pt x="30" y="105"/>
                  <a:pt x="31" y="106"/>
                </a:cubicBezTo>
                <a:cubicBezTo>
                  <a:pt x="31" y="106"/>
                  <a:pt x="32" y="106"/>
                  <a:pt x="32" y="106"/>
                </a:cubicBezTo>
                <a:cubicBezTo>
                  <a:pt x="33" y="107"/>
                  <a:pt x="33" y="107"/>
                  <a:pt x="33" y="107"/>
                </a:cubicBezTo>
                <a:cubicBezTo>
                  <a:pt x="36" y="108"/>
                  <a:pt x="39" y="108"/>
                  <a:pt x="42" y="109"/>
                </a:cubicBezTo>
                <a:cubicBezTo>
                  <a:pt x="47" y="110"/>
                  <a:pt x="53" y="111"/>
                  <a:pt x="58" y="112"/>
                </a:cubicBezTo>
                <a:cubicBezTo>
                  <a:pt x="60" y="113"/>
                  <a:pt x="63" y="113"/>
                  <a:pt x="65" y="114"/>
                </a:cubicBezTo>
                <a:cubicBezTo>
                  <a:pt x="67" y="115"/>
                  <a:pt x="69" y="115"/>
                  <a:pt x="71" y="116"/>
                </a:cubicBezTo>
                <a:cubicBezTo>
                  <a:pt x="74" y="118"/>
                  <a:pt x="76" y="121"/>
                  <a:pt x="77" y="124"/>
                </a:cubicBezTo>
                <a:cubicBezTo>
                  <a:pt x="77" y="125"/>
                  <a:pt x="77" y="126"/>
                  <a:pt x="77" y="128"/>
                </a:cubicBezTo>
                <a:cubicBezTo>
                  <a:pt x="76" y="129"/>
                  <a:pt x="76" y="131"/>
                  <a:pt x="74" y="132"/>
                </a:cubicBezTo>
                <a:cubicBezTo>
                  <a:pt x="74" y="132"/>
                  <a:pt x="74" y="132"/>
                  <a:pt x="73" y="133"/>
                </a:cubicBezTo>
                <a:cubicBezTo>
                  <a:pt x="73" y="133"/>
                  <a:pt x="73" y="133"/>
                  <a:pt x="73" y="133"/>
                </a:cubicBezTo>
                <a:cubicBezTo>
                  <a:pt x="72" y="134"/>
                  <a:pt x="72" y="134"/>
                  <a:pt x="72" y="134"/>
                </a:cubicBezTo>
                <a:cubicBezTo>
                  <a:pt x="71" y="134"/>
                  <a:pt x="70" y="135"/>
                  <a:pt x="70" y="135"/>
                </a:cubicBezTo>
                <a:cubicBezTo>
                  <a:pt x="68" y="136"/>
                  <a:pt x="66" y="137"/>
                  <a:pt x="64" y="137"/>
                </a:cubicBezTo>
                <a:cubicBezTo>
                  <a:pt x="65" y="116"/>
                  <a:pt x="65" y="116"/>
                  <a:pt x="65" y="116"/>
                </a:cubicBezTo>
                <a:cubicBezTo>
                  <a:pt x="65" y="116"/>
                  <a:pt x="65" y="116"/>
                  <a:pt x="64" y="116"/>
                </a:cubicBezTo>
                <a:cubicBezTo>
                  <a:pt x="62" y="115"/>
                  <a:pt x="60" y="115"/>
                  <a:pt x="57" y="114"/>
                </a:cubicBezTo>
                <a:cubicBezTo>
                  <a:pt x="55" y="114"/>
                  <a:pt x="54" y="114"/>
                  <a:pt x="52" y="113"/>
                </a:cubicBezTo>
                <a:cubicBezTo>
                  <a:pt x="52" y="113"/>
                  <a:pt x="52" y="113"/>
                  <a:pt x="52" y="113"/>
                </a:cubicBezTo>
                <a:cubicBezTo>
                  <a:pt x="48" y="113"/>
                  <a:pt x="45" y="112"/>
                  <a:pt x="41" y="111"/>
                </a:cubicBezTo>
                <a:cubicBezTo>
                  <a:pt x="39" y="111"/>
                  <a:pt x="36" y="110"/>
                  <a:pt x="32" y="108"/>
                </a:cubicBezTo>
                <a:cubicBezTo>
                  <a:pt x="32" y="108"/>
                  <a:pt x="32" y="108"/>
                  <a:pt x="32" y="108"/>
                </a:cubicBezTo>
                <a:cubicBezTo>
                  <a:pt x="31" y="108"/>
                  <a:pt x="31" y="109"/>
                  <a:pt x="31" y="109"/>
                </a:cubicBezTo>
                <a:cubicBezTo>
                  <a:pt x="28" y="112"/>
                  <a:pt x="27" y="116"/>
                  <a:pt x="26" y="120"/>
                </a:cubicBezTo>
                <a:cubicBezTo>
                  <a:pt x="25" y="125"/>
                  <a:pt x="26" y="129"/>
                  <a:pt x="27" y="133"/>
                </a:cubicBezTo>
                <a:cubicBezTo>
                  <a:pt x="29" y="137"/>
                  <a:pt x="31" y="140"/>
                  <a:pt x="34" y="143"/>
                </a:cubicBezTo>
                <a:cubicBezTo>
                  <a:pt x="35" y="144"/>
                  <a:pt x="35" y="144"/>
                  <a:pt x="36" y="145"/>
                </a:cubicBezTo>
                <a:cubicBezTo>
                  <a:pt x="37" y="145"/>
                  <a:pt x="37" y="145"/>
                  <a:pt x="37" y="145"/>
                </a:cubicBezTo>
                <a:cubicBezTo>
                  <a:pt x="37" y="146"/>
                  <a:pt x="38" y="146"/>
                  <a:pt x="38" y="146"/>
                </a:cubicBezTo>
                <a:cubicBezTo>
                  <a:pt x="40" y="147"/>
                  <a:pt x="41" y="148"/>
                  <a:pt x="43" y="148"/>
                </a:cubicBezTo>
                <a:cubicBezTo>
                  <a:pt x="46" y="150"/>
                  <a:pt x="49" y="150"/>
                  <a:pt x="51" y="151"/>
                </a:cubicBezTo>
                <a:cubicBezTo>
                  <a:pt x="54" y="151"/>
                  <a:pt x="56" y="152"/>
                  <a:pt x="59" y="152"/>
                </a:cubicBezTo>
                <a:cubicBezTo>
                  <a:pt x="61" y="153"/>
                  <a:pt x="63" y="154"/>
                  <a:pt x="64" y="155"/>
                </a:cubicBezTo>
                <a:cubicBezTo>
                  <a:pt x="65" y="156"/>
                  <a:pt x="66" y="156"/>
                  <a:pt x="67" y="157"/>
                </a:cubicBezTo>
                <a:cubicBezTo>
                  <a:pt x="68" y="157"/>
                  <a:pt x="68" y="158"/>
                  <a:pt x="68" y="158"/>
                </a:cubicBezTo>
                <a:cubicBezTo>
                  <a:pt x="69" y="158"/>
                  <a:pt x="69" y="158"/>
                  <a:pt x="69" y="158"/>
                </a:cubicBezTo>
                <a:cubicBezTo>
                  <a:pt x="69" y="159"/>
                  <a:pt x="69" y="159"/>
                  <a:pt x="69" y="159"/>
                </a:cubicBezTo>
                <a:cubicBezTo>
                  <a:pt x="69" y="159"/>
                  <a:pt x="69" y="159"/>
                  <a:pt x="70" y="159"/>
                </a:cubicBezTo>
                <a:cubicBezTo>
                  <a:pt x="71" y="161"/>
                  <a:pt x="72" y="162"/>
                  <a:pt x="72" y="164"/>
                </a:cubicBezTo>
                <a:cubicBezTo>
                  <a:pt x="73" y="166"/>
                  <a:pt x="73" y="167"/>
                  <a:pt x="72" y="168"/>
                </a:cubicBezTo>
                <a:cubicBezTo>
                  <a:pt x="72" y="170"/>
                  <a:pt x="70" y="171"/>
                  <a:pt x="69" y="172"/>
                </a:cubicBezTo>
                <a:cubicBezTo>
                  <a:pt x="67" y="174"/>
                  <a:pt x="65" y="175"/>
                  <a:pt x="62" y="176"/>
                </a:cubicBezTo>
                <a:cubicBezTo>
                  <a:pt x="63" y="157"/>
                  <a:pt x="63" y="157"/>
                  <a:pt x="63" y="157"/>
                </a:cubicBezTo>
                <a:cubicBezTo>
                  <a:pt x="63" y="157"/>
                  <a:pt x="63" y="157"/>
                  <a:pt x="63" y="157"/>
                </a:cubicBezTo>
                <a:cubicBezTo>
                  <a:pt x="62" y="156"/>
                  <a:pt x="60" y="155"/>
                  <a:pt x="58" y="154"/>
                </a:cubicBezTo>
                <a:cubicBezTo>
                  <a:pt x="58" y="154"/>
                  <a:pt x="58" y="154"/>
                  <a:pt x="58" y="154"/>
                </a:cubicBezTo>
                <a:cubicBezTo>
                  <a:pt x="58" y="154"/>
                  <a:pt x="58" y="154"/>
                  <a:pt x="58" y="154"/>
                </a:cubicBezTo>
                <a:cubicBezTo>
                  <a:pt x="57" y="154"/>
                  <a:pt x="56" y="154"/>
                  <a:pt x="55" y="154"/>
                </a:cubicBezTo>
                <a:cubicBezTo>
                  <a:pt x="55" y="154"/>
                  <a:pt x="55" y="154"/>
                  <a:pt x="55" y="154"/>
                </a:cubicBezTo>
                <a:cubicBezTo>
                  <a:pt x="55" y="154"/>
                  <a:pt x="55" y="154"/>
                  <a:pt x="55" y="154"/>
                </a:cubicBezTo>
                <a:cubicBezTo>
                  <a:pt x="55" y="154"/>
                  <a:pt x="54" y="153"/>
                  <a:pt x="54" y="153"/>
                </a:cubicBezTo>
                <a:cubicBezTo>
                  <a:pt x="54" y="153"/>
                  <a:pt x="54" y="153"/>
                  <a:pt x="54" y="153"/>
                </a:cubicBezTo>
                <a:cubicBezTo>
                  <a:pt x="53" y="153"/>
                  <a:pt x="53" y="153"/>
                  <a:pt x="53" y="153"/>
                </a:cubicBezTo>
                <a:cubicBezTo>
                  <a:pt x="53" y="153"/>
                  <a:pt x="53" y="153"/>
                  <a:pt x="53" y="153"/>
                </a:cubicBezTo>
                <a:cubicBezTo>
                  <a:pt x="53" y="153"/>
                  <a:pt x="52" y="153"/>
                  <a:pt x="52" y="153"/>
                </a:cubicBezTo>
                <a:cubicBezTo>
                  <a:pt x="51" y="153"/>
                  <a:pt x="51" y="153"/>
                  <a:pt x="51" y="153"/>
                </a:cubicBezTo>
                <a:cubicBezTo>
                  <a:pt x="48" y="152"/>
                  <a:pt x="45" y="152"/>
                  <a:pt x="42" y="150"/>
                </a:cubicBezTo>
                <a:cubicBezTo>
                  <a:pt x="42" y="150"/>
                  <a:pt x="41" y="150"/>
                  <a:pt x="41" y="150"/>
                </a:cubicBezTo>
                <a:cubicBezTo>
                  <a:pt x="40" y="150"/>
                  <a:pt x="40" y="150"/>
                  <a:pt x="40" y="150"/>
                </a:cubicBezTo>
                <a:cubicBezTo>
                  <a:pt x="40" y="150"/>
                  <a:pt x="40" y="151"/>
                  <a:pt x="39" y="151"/>
                </a:cubicBezTo>
                <a:cubicBezTo>
                  <a:pt x="37" y="154"/>
                  <a:pt x="35" y="157"/>
                  <a:pt x="34" y="161"/>
                </a:cubicBezTo>
                <a:cubicBezTo>
                  <a:pt x="34" y="163"/>
                  <a:pt x="34" y="165"/>
                  <a:pt x="34" y="167"/>
                </a:cubicBezTo>
                <a:cubicBezTo>
                  <a:pt x="34" y="169"/>
                  <a:pt x="35" y="171"/>
                  <a:pt x="36" y="173"/>
                </a:cubicBezTo>
                <a:cubicBezTo>
                  <a:pt x="38" y="177"/>
                  <a:pt x="40" y="180"/>
                  <a:pt x="43" y="181"/>
                </a:cubicBezTo>
                <a:cubicBezTo>
                  <a:pt x="48" y="184"/>
                  <a:pt x="53" y="186"/>
                  <a:pt x="58" y="188"/>
                </a:cubicBezTo>
                <a:cubicBezTo>
                  <a:pt x="64" y="190"/>
                  <a:pt x="69" y="191"/>
                  <a:pt x="74" y="192"/>
                </a:cubicBezTo>
                <a:cubicBezTo>
                  <a:pt x="76" y="193"/>
                  <a:pt x="79" y="194"/>
                  <a:pt x="81" y="195"/>
                </a:cubicBezTo>
                <a:cubicBezTo>
                  <a:pt x="82" y="196"/>
                  <a:pt x="83" y="196"/>
                  <a:pt x="84" y="197"/>
                </a:cubicBezTo>
                <a:cubicBezTo>
                  <a:pt x="84" y="198"/>
                  <a:pt x="85" y="199"/>
                  <a:pt x="86" y="201"/>
                </a:cubicBezTo>
                <a:cubicBezTo>
                  <a:pt x="86" y="199"/>
                  <a:pt x="86" y="198"/>
                  <a:pt x="85" y="196"/>
                </a:cubicBezTo>
                <a:cubicBezTo>
                  <a:pt x="84" y="195"/>
                  <a:pt x="84" y="193"/>
                  <a:pt x="83" y="192"/>
                </a:cubicBezTo>
                <a:cubicBezTo>
                  <a:pt x="80" y="190"/>
                  <a:pt x="78" y="189"/>
                  <a:pt x="76" y="187"/>
                </a:cubicBezTo>
                <a:cubicBezTo>
                  <a:pt x="74" y="186"/>
                  <a:pt x="73" y="186"/>
                  <a:pt x="71" y="185"/>
                </a:cubicBezTo>
                <a:cubicBezTo>
                  <a:pt x="71" y="185"/>
                  <a:pt x="71" y="185"/>
                  <a:pt x="71" y="185"/>
                </a:cubicBezTo>
                <a:cubicBezTo>
                  <a:pt x="68" y="183"/>
                  <a:pt x="64" y="181"/>
                  <a:pt x="61" y="180"/>
                </a:cubicBezTo>
                <a:cubicBezTo>
                  <a:pt x="57" y="178"/>
                  <a:pt x="52" y="175"/>
                  <a:pt x="48" y="172"/>
                </a:cubicBezTo>
                <a:cubicBezTo>
                  <a:pt x="47" y="171"/>
                  <a:pt x="45" y="170"/>
                  <a:pt x="45" y="168"/>
                </a:cubicBezTo>
                <a:cubicBezTo>
                  <a:pt x="44" y="167"/>
                  <a:pt x="44" y="166"/>
                  <a:pt x="45" y="164"/>
                </a:cubicBezTo>
                <a:cubicBezTo>
                  <a:pt x="45" y="162"/>
                  <a:pt x="46" y="161"/>
                  <a:pt x="48" y="159"/>
                </a:cubicBezTo>
                <a:cubicBezTo>
                  <a:pt x="48" y="159"/>
                  <a:pt x="48" y="159"/>
                  <a:pt x="48" y="159"/>
                </a:cubicBezTo>
                <a:cubicBezTo>
                  <a:pt x="48" y="158"/>
                  <a:pt x="48" y="158"/>
                  <a:pt x="48" y="158"/>
                </a:cubicBezTo>
                <a:cubicBezTo>
                  <a:pt x="49" y="158"/>
                  <a:pt x="49" y="158"/>
                  <a:pt x="49" y="158"/>
                </a:cubicBezTo>
                <a:cubicBezTo>
                  <a:pt x="49" y="158"/>
                  <a:pt x="49" y="157"/>
                  <a:pt x="50" y="157"/>
                </a:cubicBezTo>
                <a:cubicBezTo>
                  <a:pt x="51" y="156"/>
                  <a:pt x="52" y="156"/>
                  <a:pt x="53" y="155"/>
                </a:cubicBezTo>
                <a:cubicBezTo>
                  <a:pt x="53" y="155"/>
                  <a:pt x="53" y="155"/>
                  <a:pt x="53" y="155"/>
                </a:cubicBezTo>
                <a:cubicBezTo>
                  <a:pt x="53" y="157"/>
                  <a:pt x="53" y="157"/>
                  <a:pt x="53" y="157"/>
                </a:cubicBezTo>
                <a:cubicBezTo>
                  <a:pt x="54" y="174"/>
                  <a:pt x="54" y="174"/>
                  <a:pt x="54" y="174"/>
                </a:cubicBezTo>
                <a:cubicBezTo>
                  <a:pt x="56" y="175"/>
                  <a:pt x="58" y="176"/>
                  <a:pt x="61" y="177"/>
                </a:cubicBezTo>
                <a:cubicBezTo>
                  <a:pt x="61" y="177"/>
                  <a:pt x="61" y="177"/>
                  <a:pt x="61" y="177"/>
                </a:cubicBezTo>
                <a:cubicBezTo>
                  <a:pt x="61"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4" y="179"/>
                  <a:pt x="66" y="180"/>
                  <a:pt x="67" y="181"/>
                </a:cubicBezTo>
                <a:cubicBezTo>
                  <a:pt x="69" y="181"/>
                  <a:pt x="70" y="182"/>
                  <a:pt x="71" y="183"/>
                </a:cubicBezTo>
                <a:cubicBezTo>
                  <a:pt x="72" y="182"/>
                  <a:pt x="73" y="182"/>
                  <a:pt x="74" y="181"/>
                </a:cubicBezTo>
                <a:cubicBezTo>
                  <a:pt x="77" y="180"/>
                  <a:pt x="80" y="177"/>
                  <a:pt x="81" y="173"/>
                </a:cubicBezTo>
                <a:cubicBezTo>
                  <a:pt x="82" y="171"/>
                  <a:pt x="83" y="169"/>
                  <a:pt x="83" y="167"/>
                </a:cubicBezTo>
                <a:cubicBezTo>
                  <a:pt x="83" y="165"/>
                  <a:pt x="83" y="163"/>
                  <a:pt x="83" y="161"/>
                </a:cubicBezTo>
                <a:cubicBezTo>
                  <a:pt x="82" y="157"/>
                  <a:pt x="80" y="154"/>
                  <a:pt x="78" y="151"/>
                </a:cubicBezTo>
                <a:cubicBezTo>
                  <a:pt x="78" y="151"/>
                  <a:pt x="77" y="150"/>
                  <a:pt x="77" y="150"/>
                </a:cubicBezTo>
                <a:cubicBezTo>
                  <a:pt x="77" y="150"/>
                  <a:pt x="77" y="150"/>
                  <a:pt x="77" y="150"/>
                </a:cubicBezTo>
                <a:cubicBezTo>
                  <a:pt x="76" y="149"/>
                  <a:pt x="76" y="149"/>
                  <a:pt x="76" y="149"/>
                </a:cubicBezTo>
                <a:cubicBezTo>
                  <a:pt x="76" y="148"/>
                  <a:pt x="75" y="148"/>
                  <a:pt x="74" y="147"/>
                </a:cubicBezTo>
                <a:cubicBezTo>
                  <a:pt x="73" y="146"/>
                  <a:pt x="72" y="145"/>
                  <a:pt x="71" y="144"/>
                </a:cubicBezTo>
                <a:cubicBezTo>
                  <a:pt x="68" y="143"/>
                  <a:pt x="65" y="141"/>
                  <a:pt x="62" y="140"/>
                </a:cubicBezTo>
                <a:cubicBezTo>
                  <a:pt x="59" y="139"/>
                  <a:pt x="57" y="138"/>
                  <a:pt x="54" y="137"/>
                </a:cubicBezTo>
                <a:cubicBezTo>
                  <a:pt x="52" y="137"/>
                  <a:pt x="49" y="136"/>
                  <a:pt x="48" y="135"/>
                </a:cubicBezTo>
                <a:cubicBezTo>
                  <a:pt x="47" y="135"/>
                  <a:pt x="46" y="134"/>
                  <a:pt x="45" y="134"/>
                </a:cubicBezTo>
                <a:cubicBezTo>
                  <a:pt x="44" y="133"/>
                  <a:pt x="44" y="133"/>
                  <a:pt x="44" y="133"/>
                </a:cubicBezTo>
                <a:cubicBezTo>
                  <a:pt x="44" y="133"/>
                  <a:pt x="44" y="133"/>
                  <a:pt x="44" y="133"/>
                </a:cubicBezTo>
                <a:cubicBezTo>
                  <a:pt x="43" y="132"/>
                  <a:pt x="43" y="132"/>
                  <a:pt x="43" y="132"/>
                </a:cubicBezTo>
                <a:cubicBezTo>
                  <a:pt x="42" y="131"/>
                  <a:pt x="41" y="129"/>
                  <a:pt x="40" y="128"/>
                </a:cubicBezTo>
                <a:cubicBezTo>
                  <a:pt x="40" y="126"/>
                  <a:pt x="40" y="125"/>
                  <a:pt x="40" y="124"/>
                </a:cubicBezTo>
                <a:cubicBezTo>
                  <a:pt x="41" y="121"/>
                  <a:pt x="43" y="118"/>
                  <a:pt x="46" y="116"/>
                </a:cubicBezTo>
                <a:cubicBezTo>
                  <a:pt x="48" y="116"/>
                  <a:pt x="50" y="115"/>
                  <a:pt x="52" y="114"/>
                </a:cubicBezTo>
                <a:cubicBezTo>
                  <a:pt x="53" y="135"/>
                  <a:pt x="53" y="135"/>
                  <a:pt x="53" y="135"/>
                </a:cubicBezTo>
                <a:cubicBezTo>
                  <a:pt x="53" y="135"/>
                  <a:pt x="54" y="135"/>
                  <a:pt x="55" y="136"/>
                </a:cubicBezTo>
                <a:cubicBezTo>
                  <a:pt x="55" y="136"/>
                  <a:pt x="55" y="136"/>
                  <a:pt x="55" y="136"/>
                </a:cubicBezTo>
                <a:cubicBezTo>
                  <a:pt x="57" y="136"/>
                  <a:pt x="60" y="137"/>
                  <a:pt x="63" y="138"/>
                </a:cubicBezTo>
                <a:cubicBezTo>
                  <a:pt x="63" y="138"/>
                  <a:pt x="63" y="138"/>
                  <a:pt x="63" y="138"/>
                </a:cubicBezTo>
                <a:cubicBezTo>
                  <a:pt x="66" y="139"/>
                  <a:pt x="69" y="141"/>
                  <a:pt x="72" y="143"/>
                </a:cubicBezTo>
                <a:cubicBezTo>
                  <a:pt x="73" y="144"/>
                  <a:pt x="74" y="145"/>
                  <a:pt x="76" y="146"/>
                </a:cubicBezTo>
                <a:cubicBezTo>
                  <a:pt x="76" y="146"/>
                  <a:pt x="76" y="147"/>
                  <a:pt x="77" y="147"/>
                </a:cubicBezTo>
                <a:cubicBezTo>
                  <a:pt x="78" y="147"/>
                  <a:pt x="78" y="146"/>
                  <a:pt x="79" y="146"/>
                </a:cubicBezTo>
                <a:cubicBezTo>
                  <a:pt x="79" y="146"/>
                  <a:pt x="80" y="146"/>
                  <a:pt x="80" y="145"/>
                </a:cubicBezTo>
                <a:cubicBezTo>
                  <a:pt x="81" y="145"/>
                  <a:pt x="81" y="145"/>
                  <a:pt x="81" y="145"/>
                </a:cubicBezTo>
                <a:cubicBezTo>
                  <a:pt x="82" y="144"/>
                  <a:pt x="82" y="144"/>
                  <a:pt x="83" y="143"/>
                </a:cubicBezTo>
                <a:cubicBezTo>
                  <a:pt x="86" y="140"/>
                  <a:pt x="88" y="137"/>
                  <a:pt x="90" y="133"/>
                </a:cubicBezTo>
                <a:cubicBezTo>
                  <a:pt x="91" y="129"/>
                  <a:pt x="92" y="125"/>
                  <a:pt x="91" y="120"/>
                </a:cubicBezTo>
                <a:cubicBezTo>
                  <a:pt x="90" y="116"/>
                  <a:pt x="89" y="112"/>
                  <a:pt x="86" y="109"/>
                </a:cubicBezTo>
                <a:cubicBezTo>
                  <a:pt x="85" y="108"/>
                  <a:pt x="84" y="106"/>
                  <a:pt x="82" y="105"/>
                </a:cubicBezTo>
                <a:cubicBezTo>
                  <a:pt x="82" y="104"/>
                  <a:pt x="82" y="104"/>
                  <a:pt x="82" y="104"/>
                </a:cubicBezTo>
                <a:cubicBezTo>
                  <a:pt x="81" y="104"/>
                  <a:pt x="81" y="104"/>
                  <a:pt x="81" y="104"/>
                </a:cubicBezTo>
                <a:cubicBezTo>
                  <a:pt x="81" y="104"/>
                  <a:pt x="81" y="104"/>
                  <a:pt x="81" y="104"/>
                </a:cubicBezTo>
                <a:cubicBezTo>
                  <a:pt x="81" y="104"/>
                  <a:pt x="81" y="104"/>
                  <a:pt x="81" y="104"/>
                </a:cubicBezTo>
                <a:cubicBezTo>
                  <a:pt x="80" y="103"/>
                  <a:pt x="80" y="103"/>
                  <a:pt x="80" y="103"/>
                </a:cubicBezTo>
                <a:cubicBezTo>
                  <a:pt x="80" y="103"/>
                  <a:pt x="79" y="102"/>
                  <a:pt x="78" y="102"/>
                </a:cubicBezTo>
                <a:cubicBezTo>
                  <a:pt x="75" y="100"/>
                  <a:pt x="72" y="99"/>
                  <a:pt x="69" y="98"/>
                </a:cubicBezTo>
                <a:cubicBezTo>
                  <a:pt x="66" y="97"/>
                  <a:pt x="64" y="96"/>
                  <a:pt x="61" y="95"/>
                </a:cubicBezTo>
                <a:cubicBezTo>
                  <a:pt x="56" y="94"/>
                  <a:pt x="50" y="93"/>
                  <a:pt x="46" y="91"/>
                </a:cubicBezTo>
                <a:cubicBezTo>
                  <a:pt x="43" y="91"/>
                  <a:pt x="41" y="90"/>
                  <a:pt x="39" y="89"/>
                </a:cubicBezTo>
                <a:cubicBezTo>
                  <a:pt x="38" y="89"/>
                  <a:pt x="38" y="89"/>
                  <a:pt x="38" y="89"/>
                </a:cubicBezTo>
                <a:cubicBezTo>
                  <a:pt x="38" y="89"/>
                  <a:pt x="38" y="89"/>
                  <a:pt x="38" y="88"/>
                </a:cubicBezTo>
                <a:cubicBezTo>
                  <a:pt x="37" y="88"/>
                  <a:pt x="37" y="88"/>
                  <a:pt x="37" y="88"/>
                </a:cubicBezTo>
                <a:cubicBezTo>
                  <a:pt x="36" y="87"/>
                  <a:pt x="35" y="87"/>
                  <a:pt x="35" y="86"/>
                </a:cubicBezTo>
                <a:cubicBezTo>
                  <a:pt x="33" y="84"/>
                  <a:pt x="32" y="82"/>
                  <a:pt x="32" y="79"/>
                </a:cubicBezTo>
                <a:cubicBezTo>
                  <a:pt x="33" y="77"/>
                  <a:pt x="34" y="75"/>
                  <a:pt x="37" y="73"/>
                </a:cubicBezTo>
                <a:cubicBezTo>
                  <a:pt x="38" y="73"/>
                  <a:pt x="38" y="73"/>
                  <a:pt x="38" y="73"/>
                </a:cubicBezTo>
                <a:cubicBezTo>
                  <a:pt x="38" y="73"/>
                  <a:pt x="38" y="73"/>
                  <a:pt x="38" y="73"/>
                </a:cubicBezTo>
                <a:cubicBezTo>
                  <a:pt x="38" y="73"/>
                  <a:pt x="38" y="73"/>
                  <a:pt x="38" y="73"/>
                </a:cubicBezTo>
                <a:cubicBezTo>
                  <a:pt x="38" y="73"/>
                  <a:pt x="38" y="73"/>
                  <a:pt x="38" y="73"/>
                </a:cubicBezTo>
                <a:cubicBezTo>
                  <a:pt x="38" y="72"/>
                  <a:pt x="38" y="72"/>
                  <a:pt x="38" y="72"/>
                </a:cubicBezTo>
                <a:cubicBezTo>
                  <a:pt x="38" y="72"/>
                  <a:pt x="38" y="72"/>
                  <a:pt x="38" y="72"/>
                </a:cubicBezTo>
                <a:cubicBezTo>
                  <a:pt x="39" y="72"/>
                  <a:pt x="39" y="72"/>
                  <a:pt x="40" y="72"/>
                </a:cubicBezTo>
                <a:cubicBezTo>
                  <a:pt x="41" y="71"/>
                  <a:pt x="42" y="71"/>
                  <a:pt x="43" y="70"/>
                </a:cubicBezTo>
                <a:cubicBezTo>
                  <a:pt x="45" y="70"/>
                  <a:pt x="47" y="69"/>
                  <a:pt x="50" y="68"/>
                </a:cubicBezTo>
                <a:cubicBezTo>
                  <a:pt x="50" y="76"/>
                  <a:pt x="50" y="83"/>
                  <a:pt x="51" y="91"/>
                </a:cubicBezTo>
                <a:cubicBezTo>
                  <a:pt x="54" y="91"/>
                  <a:pt x="58" y="92"/>
                  <a:pt x="61" y="93"/>
                </a:cubicBezTo>
                <a:cubicBezTo>
                  <a:pt x="62" y="93"/>
                  <a:pt x="63" y="94"/>
                  <a:pt x="64" y="94"/>
                </a:cubicBezTo>
                <a:cubicBezTo>
                  <a:pt x="64" y="94"/>
                  <a:pt x="64" y="94"/>
                  <a:pt x="64" y="94"/>
                </a:cubicBezTo>
                <a:cubicBezTo>
                  <a:pt x="65" y="94"/>
                  <a:pt x="65" y="94"/>
                  <a:pt x="66" y="95"/>
                </a:cubicBezTo>
                <a:cubicBezTo>
                  <a:pt x="66" y="95"/>
                  <a:pt x="66" y="95"/>
                  <a:pt x="66" y="95"/>
                </a:cubicBezTo>
                <a:cubicBezTo>
                  <a:pt x="67" y="95"/>
                  <a:pt x="69" y="95"/>
                  <a:pt x="70" y="96"/>
                </a:cubicBezTo>
                <a:cubicBezTo>
                  <a:pt x="72" y="97"/>
                  <a:pt x="76" y="98"/>
                  <a:pt x="79" y="100"/>
                </a:cubicBezTo>
                <a:cubicBezTo>
                  <a:pt x="80" y="100"/>
                  <a:pt x="81" y="101"/>
                  <a:pt x="81" y="101"/>
                </a:cubicBezTo>
                <a:cubicBezTo>
                  <a:pt x="82" y="102"/>
                  <a:pt x="82" y="102"/>
                  <a:pt x="82" y="102"/>
                </a:cubicBezTo>
                <a:cubicBezTo>
                  <a:pt x="82" y="102"/>
                  <a:pt x="82" y="102"/>
                  <a:pt x="82" y="102"/>
                </a:cubicBezTo>
                <a:cubicBezTo>
                  <a:pt x="83" y="102"/>
                  <a:pt x="83" y="102"/>
                  <a:pt x="83" y="102"/>
                </a:cubicBezTo>
                <a:cubicBezTo>
                  <a:pt x="83" y="103"/>
                  <a:pt x="83" y="103"/>
                  <a:pt x="83" y="103"/>
                </a:cubicBezTo>
                <a:cubicBezTo>
                  <a:pt x="84" y="103"/>
                  <a:pt x="84" y="103"/>
                  <a:pt x="84" y="103"/>
                </a:cubicBezTo>
                <a:cubicBezTo>
                  <a:pt x="85" y="104"/>
                  <a:pt x="85" y="105"/>
                  <a:pt x="86" y="106"/>
                </a:cubicBezTo>
                <a:cubicBezTo>
                  <a:pt x="86" y="106"/>
                  <a:pt x="86" y="106"/>
                  <a:pt x="86" y="106"/>
                </a:cubicBezTo>
                <a:cubicBezTo>
                  <a:pt x="87" y="105"/>
                  <a:pt x="88" y="105"/>
                  <a:pt x="89" y="104"/>
                </a:cubicBezTo>
                <a:cubicBezTo>
                  <a:pt x="90" y="103"/>
                  <a:pt x="92" y="102"/>
                  <a:pt x="94" y="101"/>
                </a:cubicBezTo>
                <a:cubicBezTo>
                  <a:pt x="97" y="98"/>
                  <a:pt x="99" y="95"/>
                  <a:pt x="101" y="90"/>
                </a:cubicBezTo>
                <a:cubicBezTo>
                  <a:pt x="103" y="86"/>
                  <a:pt x="103" y="81"/>
                  <a:pt x="103" y="77"/>
                </a:cubicBezTo>
                <a:cubicBezTo>
                  <a:pt x="102" y="72"/>
                  <a:pt x="101" y="68"/>
                  <a:pt x="98" y="6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724150" y="3149600"/>
            <a:ext cx="73025" cy="146050"/>
          </a:xfrm>
          <a:custGeom>
            <a:avLst/>
            <a:gdLst>
              <a:gd name="T0" fmla="*/ 27 w 31"/>
              <a:gd name="T1" fmla="*/ 5 h 62"/>
              <a:gd name="T2" fmla="*/ 24 w 31"/>
              <a:gd name="T3" fmla="*/ 4 h 62"/>
              <a:gd name="T4" fmla="*/ 24 w 31"/>
              <a:gd name="T5" fmla="*/ 4 h 62"/>
              <a:gd name="T6" fmla="*/ 15 w 31"/>
              <a:gd name="T7" fmla="*/ 0 h 62"/>
              <a:gd name="T8" fmla="*/ 10 w 31"/>
              <a:gd name="T9" fmla="*/ 2 h 62"/>
              <a:gd name="T10" fmla="*/ 4 w 31"/>
              <a:gd name="T11" fmla="*/ 7 h 62"/>
              <a:gd name="T12" fmla="*/ 1 w 31"/>
              <a:gd name="T13" fmla="*/ 11 h 62"/>
              <a:gd name="T14" fmla="*/ 0 w 31"/>
              <a:gd name="T15" fmla="*/ 16 h 62"/>
              <a:gd name="T16" fmla="*/ 2 w 31"/>
              <a:gd name="T17" fmla="*/ 12 h 62"/>
              <a:gd name="T18" fmla="*/ 5 w 31"/>
              <a:gd name="T19" fmla="*/ 10 h 62"/>
              <a:gd name="T20" fmla="*/ 12 w 31"/>
              <a:gd name="T21" fmla="*/ 7 h 62"/>
              <a:gd name="T22" fmla="*/ 24 w 31"/>
              <a:gd name="T23" fmla="*/ 4 h 62"/>
              <a:gd name="T24" fmla="*/ 25 w 31"/>
              <a:gd name="T25" fmla="*/ 22 h 62"/>
              <a:gd name="T26" fmla="*/ 27 w 31"/>
              <a:gd name="T27" fmla="*/ 62 h 62"/>
              <a:gd name="T28" fmla="*/ 30 w 31"/>
              <a:gd name="T29" fmla="*/ 22 h 62"/>
              <a:gd name="T30" fmla="*/ 31 w 31"/>
              <a:gd name="T31" fmla="*/ 6 h 62"/>
              <a:gd name="T32" fmla="*/ 27 w 31"/>
              <a:gd name="T33" fmla="*/ 5 h 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31" h="62">
                <a:moveTo>
                  <a:pt x="27" y="5"/>
                </a:moveTo>
                <a:cubicBezTo>
                  <a:pt x="26" y="5"/>
                  <a:pt x="25" y="5"/>
                  <a:pt x="24" y="4"/>
                </a:cubicBezTo>
                <a:cubicBezTo>
                  <a:pt x="24" y="4"/>
                  <a:pt x="24" y="4"/>
                  <a:pt x="24" y="4"/>
                </a:cubicBezTo>
                <a:cubicBezTo>
                  <a:pt x="21" y="3"/>
                  <a:pt x="18" y="2"/>
                  <a:pt x="15" y="0"/>
                </a:cubicBezTo>
                <a:cubicBezTo>
                  <a:pt x="13" y="1"/>
                  <a:pt x="12" y="1"/>
                  <a:pt x="10" y="2"/>
                </a:cubicBezTo>
                <a:cubicBezTo>
                  <a:pt x="8" y="4"/>
                  <a:pt x="6" y="5"/>
                  <a:pt x="4" y="7"/>
                </a:cubicBezTo>
                <a:cubicBezTo>
                  <a:pt x="3" y="8"/>
                  <a:pt x="2" y="10"/>
                  <a:pt x="1" y="11"/>
                </a:cubicBezTo>
                <a:cubicBezTo>
                  <a:pt x="1" y="13"/>
                  <a:pt x="0" y="14"/>
                  <a:pt x="0" y="16"/>
                </a:cubicBezTo>
                <a:cubicBezTo>
                  <a:pt x="1" y="14"/>
                  <a:pt x="2" y="13"/>
                  <a:pt x="2" y="12"/>
                </a:cubicBezTo>
                <a:cubicBezTo>
                  <a:pt x="3" y="11"/>
                  <a:pt x="4" y="11"/>
                  <a:pt x="5" y="10"/>
                </a:cubicBezTo>
                <a:cubicBezTo>
                  <a:pt x="8" y="9"/>
                  <a:pt x="10" y="8"/>
                  <a:pt x="12" y="7"/>
                </a:cubicBezTo>
                <a:cubicBezTo>
                  <a:pt x="16" y="6"/>
                  <a:pt x="20" y="5"/>
                  <a:pt x="24" y="4"/>
                </a:cubicBezTo>
                <a:cubicBezTo>
                  <a:pt x="25" y="22"/>
                  <a:pt x="25" y="22"/>
                  <a:pt x="25" y="22"/>
                </a:cubicBezTo>
                <a:cubicBezTo>
                  <a:pt x="27" y="62"/>
                  <a:pt x="27" y="62"/>
                  <a:pt x="27" y="62"/>
                </a:cubicBezTo>
                <a:cubicBezTo>
                  <a:pt x="30" y="22"/>
                  <a:pt x="30" y="22"/>
                  <a:pt x="30" y="22"/>
                </a:cubicBezTo>
                <a:cubicBezTo>
                  <a:pt x="31" y="6"/>
                  <a:pt x="31" y="6"/>
                  <a:pt x="31" y="6"/>
                </a:cubicBezTo>
                <a:cubicBezTo>
                  <a:pt x="29" y="6"/>
                  <a:pt x="28" y="6"/>
                  <a:pt x="27" y="5"/>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0</xdr:col>
      <xdr:colOff>210671</xdr:colOff>
      <xdr:row>191</xdr:row>
      <xdr:rowOff>26895</xdr:rowOff>
    </xdr:from>
    <xdr:to>
      <xdr:col>3</xdr:col>
      <xdr:colOff>8966</xdr:colOff>
      <xdr:row>195</xdr:row>
      <xdr:rowOff>92449</xdr:rowOff>
    </xdr:to>
    <xdr:sp macro="" textlink="">
      <xdr:nvSpPr>
        <xdr:cNvPr id="76" name="Rectangle 75">
          <a:extLst>
            <a:ext uri="{FF2B5EF4-FFF2-40B4-BE49-F238E27FC236}">
              <a16:creationId xmlns:a16="http://schemas.microsoft.com/office/drawing/2014/main" id="{00000000-0008-0000-0400-00004C000000}"/>
            </a:ext>
          </a:extLst>
        </xdr:cNvPr>
        <xdr:cNvSpPr/>
      </xdr:nvSpPr>
      <xdr:spPr>
        <a:xfrm>
          <a:off x="210671" y="21156707"/>
          <a:ext cx="3724836" cy="782730"/>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100" b="0" baseline="0">
              <a:solidFill>
                <a:sysClr val="windowText" lastClr="000000"/>
              </a:solidFill>
            </a:rPr>
            <a:t>The equipment and commodity lists and usage assumptions (hygiene, PPE, diagnostics, and biomedical equipment) can be found on the 'Equipment List &amp; Usage' tab. Navigate there using the link below.</a:t>
          </a:r>
          <a:endParaRPr lang="en-US" sz="1100" b="0">
            <a:solidFill>
              <a:sysClr val="windowText" lastClr="000000"/>
            </a:solidFill>
          </a:endParaRPr>
        </a:p>
      </xdr:txBody>
    </xdr:sp>
    <xdr:clientData/>
  </xdr:twoCellAnchor>
  <xdr:twoCellAnchor>
    <xdr:from>
      <xdr:col>1</xdr:col>
      <xdr:colOff>152400</xdr:colOff>
      <xdr:row>145</xdr:row>
      <xdr:rowOff>80683</xdr:rowOff>
    </xdr:from>
    <xdr:to>
      <xdr:col>2</xdr:col>
      <xdr:colOff>1541930</xdr:colOff>
      <xdr:row>146</xdr:row>
      <xdr:rowOff>71718</xdr:rowOff>
    </xdr:to>
    <xdr:sp macro="" textlink="">
      <xdr:nvSpPr>
        <xdr:cNvPr id="4" name="Isosceles Triangle 3">
          <a:extLst>
            <a:ext uri="{FF2B5EF4-FFF2-40B4-BE49-F238E27FC236}">
              <a16:creationId xmlns:a16="http://schemas.microsoft.com/office/drawing/2014/main" id="{00000000-0008-0000-0400-000004000000}"/>
            </a:ext>
          </a:extLst>
        </xdr:cNvPr>
        <xdr:cNvSpPr/>
      </xdr:nvSpPr>
      <xdr:spPr>
        <a:xfrm flipV="1">
          <a:off x="376518" y="27288565"/>
          <a:ext cx="4052047" cy="170329"/>
        </a:xfrm>
        <a:prstGeom prst="triangle">
          <a:avLst/>
        </a:prstGeom>
        <a:solidFill>
          <a:srgbClr val="1E7FB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111496</xdr:colOff>
      <xdr:row>118</xdr:row>
      <xdr:rowOff>76200</xdr:rowOff>
    </xdr:from>
    <xdr:to>
      <xdr:col>10</xdr:col>
      <xdr:colOff>200024</xdr:colOff>
      <xdr:row>127</xdr:row>
      <xdr:rowOff>128589</xdr:rowOff>
    </xdr:to>
    <xdr:sp macro="" textlink="">
      <xdr:nvSpPr>
        <xdr:cNvPr id="43" name="Rectangle 42">
          <a:extLst>
            <a:ext uri="{FF2B5EF4-FFF2-40B4-BE49-F238E27FC236}">
              <a16:creationId xmlns:a16="http://schemas.microsoft.com/office/drawing/2014/main" id="{00000000-0008-0000-0400-00002B000000}"/>
            </a:ext>
          </a:extLst>
        </xdr:cNvPr>
        <xdr:cNvSpPr/>
      </xdr:nvSpPr>
      <xdr:spPr>
        <a:xfrm>
          <a:off x="7950571" y="23869650"/>
          <a:ext cx="6917953" cy="1871664"/>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1" baseline="0">
              <a:solidFill>
                <a:sysClr val="windowText" lastClr="000000"/>
              </a:solidFill>
            </a:rPr>
            <a:t>Max Tests per Day Module - Instructions</a:t>
          </a:r>
        </a:p>
        <a:p>
          <a:pPr algn="l"/>
          <a:r>
            <a:rPr lang="en-US" sz="1100" b="0" baseline="0">
              <a:solidFill>
                <a:sysClr val="windowText" lastClr="000000"/>
              </a:solidFill>
            </a:rPr>
            <a:t>●  The "Max Tests per Day Module" is a standalone module that assists countries in estimating the total number of </a:t>
          </a:r>
        </a:p>
        <a:p>
          <a:pPr algn="l"/>
          <a:r>
            <a:rPr lang="en-US" sz="1100" b="0" baseline="0">
              <a:solidFill>
                <a:sysClr val="windowText" lastClr="000000"/>
              </a:solidFill>
            </a:rPr>
            <a:t>     tests they can run each day</a:t>
          </a:r>
          <a:r>
            <a:rPr lang="en-US" sz="1100" b="0" baseline="0">
              <a:solidFill>
                <a:sysClr val="windowText" lastClr="000000"/>
              </a:solidFill>
              <a:effectLst/>
            </a:rPr>
            <a:t> based on existing lab infrastructure (i.e., absorption capacity)</a:t>
          </a:r>
        </a:p>
        <a:p>
          <a:pPr algn="l"/>
          <a:r>
            <a:rPr lang="en-US" sz="1100" b="0" baseline="0">
              <a:solidFill>
                <a:sysClr val="windowText" lastClr="000000"/>
              </a:solidFill>
              <a:effectLst/>
              <a:latin typeface="+mn-lt"/>
              <a:ea typeface="+mn-ea"/>
              <a:cs typeface="+mn-cs"/>
            </a:rPr>
            <a:t>●  The "Calculated Max Testing Capacity/Day" below the blue arrow is the output of this module, and can be used to </a:t>
          </a:r>
        </a:p>
        <a:p>
          <a:pPr algn="l"/>
          <a:r>
            <a:rPr lang="en-US" sz="1100" b="0" baseline="0">
              <a:solidFill>
                <a:sysClr val="windowText" lastClr="000000"/>
              </a:solidFill>
              <a:effectLst/>
              <a:latin typeface="+mn-lt"/>
              <a:ea typeface="+mn-ea"/>
              <a:cs typeface="+mn-cs"/>
            </a:rPr>
            <a:t>     "cap" the testing capacity in the given scenario based on likely absorption capacity</a:t>
          </a:r>
        </a:p>
        <a:p>
          <a:r>
            <a:rPr lang="en-US" sz="1100" b="0" baseline="0">
              <a:solidFill>
                <a:sysClr val="windowText" lastClr="000000"/>
              </a:solidFill>
              <a:effectLst/>
              <a:latin typeface="+mn-lt"/>
              <a:ea typeface="+mn-ea"/>
              <a:cs typeface="+mn-cs"/>
            </a:rPr>
            <a:t>●  To model </a:t>
          </a:r>
          <a:r>
            <a:rPr lang="en-US" sz="1100" b="0" i="1" baseline="0">
              <a:solidFill>
                <a:sysClr val="windowText" lastClr="000000"/>
              </a:solidFill>
              <a:effectLst/>
              <a:latin typeface="+mn-lt"/>
              <a:ea typeface="+mn-ea"/>
              <a:cs typeface="+mn-cs"/>
            </a:rPr>
            <a:t>unlimited </a:t>
          </a:r>
          <a:r>
            <a:rPr lang="en-US" sz="1100" b="0" baseline="0">
              <a:solidFill>
                <a:sysClr val="windowText" lastClr="000000"/>
              </a:solidFill>
              <a:effectLst/>
              <a:latin typeface="+mn-lt"/>
              <a:ea typeface="+mn-ea"/>
              <a:cs typeface="+mn-cs"/>
            </a:rPr>
            <a:t>testing capacity (i.e., no capacity constraints), enter 100,000,000,000 as the "User Input </a:t>
          </a:r>
        </a:p>
        <a:p>
          <a:r>
            <a:rPr lang="en-US" sz="1100" b="0" baseline="0">
              <a:solidFill>
                <a:sysClr val="windowText" lastClr="000000"/>
              </a:solidFill>
              <a:effectLst/>
              <a:latin typeface="+mn-lt"/>
              <a:ea typeface="+mn-ea"/>
              <a:cs typeface="+mn-cs"/>
            </a:rPr>
            <a:t>     Maximum # Tests per Day"</a:t>
          </a:r>
        </a:p>
        <a:p>
          <a:r>
            <a:rPr lang="en-US" sz="1100" b="0" baseline="0">
              <a:solidFill>
                <a:sysClr val="windowText" lastClr="000000"/>
              </a:solidFill>
              <a:effectLst/>
              <a:latin typeface="+mn-lt"/>
              <a:ea typeface="+mn-ea"/>
              <a:cs typeface="+mn-cs"/>
            </a:rPr>
            <a:t>●  The module also calculates the estimated lab staff needed based on the existing platforms in the country. This can </a:t>
          </a:r>
        </a:p>
        <a:p>
          <a:r>
            <a:rPr lang="en-US" sz="1100" b="0" baseline="0">
              <a:solidFill>
                <a:sysClr val="windowText" lastClr="000000"/>
              </a:solidFill>
              <a:effectLst/>
              <a:latin typeface="+mn-lt"/>
              <a:ea typeface="+mn-ea"/>
              <a:cs typeface="+mn-cs"/>
            </a:rPr>
            <a:t>     be used as an additional reference point (along with the World Bank data on lab staff) when filling in the "# of Lab </a:t>
          </a:r>
        </a:p>
        <a:p>
          <a:r>
            <a:rPr lang="en-US" sz="1100" b="0" baseline="0">
              <a:solidFill>
                <a:sysClr val="windowText" lastClr="000000"/>
              </a:solidFill>
              <a:effectLst/>
              <a:latin typeface="+mn-lt"/>
              <a:ea typeface="+mn-ea"/>
              <a:cs typeface="+mn-cs"/>
            </a:rPr>
            <a:t>     Staff In Country" cell</a:t>
          </a:r>
          <a:endParaRPr lang="en-US">
            <a:solidFill>
              <a:sysClr val="windowText" lastClr="000000"/>
            </a:solidFill>
            <a:effectLst/>
          </a:endParaRPr>
        </a:p>
      </xdr:txBody>
    </xdr:sp>
    <xdr:clientData/>
  </xdr:twoCellAnchor>
  <xdr:twoCellAnchor>
    <xdr:from>
      <xdr:col>1</xdr:col>
      <xdr:colOff>1201272</xdr:colOff>
      <xdr:row>118</xdr:row>
      <xdr:rowOff>89648</xdr:rowOff>
    </xdr:from>
    <xdr:to>
      <xdr:col>1</xdr:col>
      <xdr:colOff>1437404</xdr:colOff>
      <xdr:row>119</xdr:row>
      <xdr:rowOff>251012</xdr:rowOff>
    </xdr:to>
    <xdr:sp macro="" textlink="">
      <xdr:nvSpPr>
        <xdr:cNvPr id="45" name="Freeform 44">
          <a:extLst>
            <a:ext uri="{FF2B5EF4-FFF2-40B4-BE49-F238E27FC236}">
              <a16:creationId xmlns:a16="http://schemas.microsoft.com/office/drawing/2014/main" id="{00000000-0008-0000-0400-00002D000000}"/>
            </a:ext>
          </a:extLst>
        </xdr:cNvPr>
        <xdr:cNvSpPr>
          <a:spLocks noEditPoints="1"/>
        </xdr:cNvSpPr>
      </xdr:nvSpPr>
      <xdr:spPr bwMode="auto">
        <a:xfrm>
          <a:off x="1416425" y="14944166"/>
          <a:ext cx="236132" cy="340658"/>
        </a:xfrm>
        <a:custGeom>
          <a:avLst/>
          <a:gdLst>
            <a:gd name="T0" fmla="*/ 535 w 547"/>
            <a:gd name="T1" fmla="*/ 743 h 792"/>
            <a:gd name="T2" fmla="*/ 353 w 547"/>
            <a:gd name="T3" fmla="*/ 328 h 792"/>
            <a:gd name="T4" fmla="*/ 353 w 547"/>
            <a:gd name="T5" fmla="*/ 70 h 792"/>
            <a:gd name="T6" fmla="*/ 353 w 547"/>
            <a:gd name="T7" fmla="*/ 43 h 792"/>
            <a:gd name="T8" fmla="*/ 368 w 547"/>
            <a:gd name="T9" fmla="*/ 22 h 792"/>
            <a:gd name="T10" fmla="*/ 356 w 547"/>
            <a:gd name="T11" fmla="*/ 0 h 792"/>
            <a:gd name="T12" fmla="*/ 191 w 547"/>
            <a:gd name="T13" fmla="*/ 0 h 792"/>
            <a:gd name="T14" fmla="*/ 179 w 547"/>
            <a:gd name="T15" fmla="*/ 22 h 792"/>
            <a:gd name="T16" fmla="*/ 194 w 547"/>
            <a:gd name="T17" fmla="*/ 43 h 792"/>
            <a:gd name="T18" fmla="*/ 194 w 547"/>
            <a:gd name="T19" fmla="*/ 70 h 792"/>
            <a:gd name="T20" fmla="*/ 194 w 547"/>
            <a:gd name="T21" fmla="*/ 328 h 792"/>
            <a:gd name="T22" fmla="*/ 12 w 547"/>
            <a:gd name="T23" fmla="*/ 743 h 792"/>
            <a:gd name="T24" fmla="*/ 44 w 547"/>
            <a:gd name="T25" fmla="*/ 792 h 792"/>
            <a:gd name="T26" fmla="*/ 503 w 547"/>
            <a:gd name="T27" fmla="*/ 792 h 792"/>
            <a:gd name="T28" fmla="*/ 535 w 547"/>
            <a:gd name="T29" fmla="*/ 743 h 792"/>
            <a:gd name="T30" fmla="*/ 260 w 547"/>
            <a:gd name="T31" fmla="*/ 476 h 792"/>
            <a:gd name="T32" fmla="*/ 276 w 547"/>
            <a:gd name="T33" fmla="*/ 459 h 792"/>
            <a:gd name="T34" fmla="*/ 360 w 547"/>
            <a:gd name="T35" fmla="*/ 459 h 792"/>
            <a:gd name="T36" fmla="*/ 375 w 547"/>
            <a:gd name="T37" fmla="*/ 476 h 792"/>
            <a:gd name="T38" fmla="*/ 360 w 547"/>
            <a:gd name="T39" fmla="*/ 492 h 792"/>
            <a:gd name="T40" fmla="*/ 276 w 547"/>
            <a:gd name="T41" fmla="*/ 492 h 792"/>
            <a:gd name="T42" fmla="*/ 260 w 547"/>
            <a:gd name="T43" fmla="*/ 476 h 792"/>
            <a:gd name="T44" fmla="*/ 288 w 547"/>
            <a:gd name="T45" fmla="*/ 538 h 792"/>
            <a:gd name="T46" fmla="*/ 303 w 547"/>
            <a:gd name="T47" fmla="*/ 521 h 792"/>
            <a:gd name="T48" fmla="*/ 387 w 547"/>
            <a:gd name="T49" fmla="*/ 521 h 792"/>
            <a:gd name="T50" fmla="*/ 403 w 547"/>
            <a:gd name="T51" fmla="*/ 538 h 792"/>
            <a:gd name="T52" fmla="*/ 387 w 547"/>
            <a:gd name="T53" fmla="*/ 554 h 792"/>
            <a:gd name="T54" fmla="*/ 303 w 547"/>
            <a:gd name="T55" fmla="*/ 554 h 792"/>
            <a:gd name="T56" fmla="*/ 288 w 547"/>
            <a:gd name="T57" fmla="*/ 538 h 792"/>
            <a:gd name="T58" fmla="*/ 414 w 547"/>
            <a:gd name="T59" fmla="*/ 616 h 792"/>
            <a:gd name="T60" fmla="*/ 330 w 547"/>
            <a:gd name="T61" fmla="*/ 616 h 792"/>
            <a:gd name="T62" fmla="*/ 315 w 547"/>
            <a:gd name="T63" fmla="*/ 600 h 792"/>
            <a:gd name="T64" fmla="*/ 330 w 547"/>
            <a:gd name="T65" fmla="*/ 583 h 792"/>
            <a:gd name="T66" fmla="*/ 414 w 547"/>
            <a:gd name="T67" fmla="*/ 583 h 792"/>
            <a:gd name="T68" fmla="*/ 430 w 547"/>
            <a:gd name="T69" fmla="*/ 600 h 792"/>
            <a:gd name="T70" fmla="*/ 414 w 547"/>
            <a:gd name="T71" fmla="*/ 616 h 7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547" h="792">
              <a:moveTo>
                <a:pt x="535" y="743"/>
              </a:moveTo>
              <a:cubicBezTo>
                <a:pt x="353" y="328"/>
                <a:pt x="353" y="328"/>
                <a:pt x="353" y="328"/>
              </a:cubicBezTo>
              <a:cubicBezTo>
                <a:pt x="353" y="70"/>
                <a:pt x="353" y="70"/>
                <a:pt x="353" y="70"/>
              </a:cubicBezTo>
              <a:cubicBezTo>
                <a:pt x="353" y="55"/>
                <a:pt x="353" y="43"/>
                <a:pt x="353" y="43"/>
              </a:cubicBezTo>
              <a:cubicBezTo>
                <a:pt x="353" y="43"/>
                <a:pt x="360" y="33"/>
                <a:pt x="368" y="22"/>
              </a:cubicBezTo>
              <a:cubicBezTo>
                <a:pt x="376" y="10"/>
                <a:pt x="371" y="0"/>
                <a:pt x="356" y="0"/>
              </a:cubicBezTo>
              <a:cubicBezTo>
                <a:pt x="191" y="0"/>
                <a:pt x="191" y="0"/>
                <a:pt x="191" y="0"/>
              </a:cubicBezTo>
              <a:cubicBezTo>
                <a:pt x="176" y="0"/>
                <a:pt x="171" y="10"/>
                <a:pt x="179" y="22"/>
              </a:cubicBezTo>
              <a:cubicBezTo>
                <a:pt x="187" y="33"/>
                <a:pt x="194" y="43"/>
                <a:pt x="194" y="43"/>
              </a:cubicBezTo>
              <a:cubicBezTo>
                <a:pt x="194" y="43"/>
                <a:pt x="194" y="55"/>
                <a:pt x="194" y="70"/>
              </a:cubicBezTo>
              <a:cubicBezTo>
                <a:pt x="194" y="328"/>
                <a:pt x="194" y="328"/>
                <a:pt x="194" y="328"/>
              </a:cubicBezTo>
              <a:cubicBezTo>
                <a:pt x="12" y="743"/>
                <a:pt x="12" y="743"/>
                <a:pt x="12" y="743"/>
              </a:cubicBezTo>
              <a:cubicBezTo>
                <a:pt x="0" y="770"/>
                <a:pt x="14" y="792"/>
                <a:pt x="44" y="792"/>
              </a:cubicBezTo>
              <a:cubicBezTo>
                <a:pt x="503" y="792"/>
                <a:pt x="503" y="792"/>
                <a:pt x="503" y="792"/>
              </a:cubicBezTo>
              <a:cubicBezTo>
                <a:pt x="532" y="792"/>
                <a:pt x="547" y="770"/>
                <a:pt x="535" y="743"/>
              </a:cubicBezTo>
              <a:close/>
              <a:moveTo>
                <a:pt x="260" y="476"/>
              </a:moveTo>
              <a:cubicBezTo>
                <a:pt x="260" y="467"/>
                <a:pt x="267" y="459"/>
                <a:pt x="276" y="459"/>
              </a:cubicBezTo>
              <a:cubicBezTo>
                <a:pt x="360" y="459"/>
                <a:pt x="360" y="459"/>
                <a:pt x="360" y="459"/>
              </a:cubicBezTo>
              <a:cubicBezTo>
                <a:pt x="368" y="459"/>
                <a:pt x="375" y="467"/>
                <a:pt x="375" y="476"/>
              </a:cubicBezTo>
              <a:cubicBezTo>
                <a:pt x="375" y="484"/>
                <a:pt x="368" y="492"/>
                <a:pt x="360" y="492"/>
              </a:cubicBezTo>
              <a:cubicBezTo>
                <a:pt x="276" y="492"/>
                <a:pt x="276" y="492"/>
                <a:pt x="276" y="492"/>
              </a:cubicBezTo>
              <a:cubicBezTo>
                <a:pt x="267" y="492"/>
                <a:pt x="260" y="484"/>
                <a:pt x="260" y="476"/>
              </a:cubicBezTo>
              <a:close/>
              <a:moveTo>
                <a:pt x="288" y="538"/>
              </a:moveTo>
              <a:cubicBezTo>
                <a:pt x="288" y="530"/>
                <a:pt x="295" y="521"/>
                <a:pt x="303" y="521"/>
              </a:cubicBezTo>
              <a:cubicBezTo>
                <a:pt x="387" y="521"/>
                <a:pt x="387" y="521"/>
                <a:pt x="387" y="521"/>
              </a:cubicBezTo>
              <a:cubicBezTo>
                <a:pt x="396" y="521"/>
                <a:pt x="403" y="530"/>
                <a:pt x="403" y="538"/>
              </a:cubicBezTo>
              <a:cubicBezTo>
                <a:pt x="403" y="546"/>
                <a:pt x="396" y="554"/>
                <a:pt x="387" y="554"/>
              </a:cubicBezTo>
              <a:cubicBezTo>
                <a:pt x="303" y="554"/>
                <a:pt x="303" y="554"/>
                <a:pt x="303" y="554"/>
              </a:cubicBezTo>
              <a:cubicBezTo>
                <a:pt x="295" y="554"/>
                <a:pt x="288" y="546"/>
                <a:pt x="288" y="538"/>
              </a:cubicBezTo>
              <a:close/>
              <a:moveTo>
                <a:pt x="414" y="616"/>
              </a:moveTo>
              <a:cubicBezTo>
                <a:pt x="330" y="616"/>
                <a:pt x="330" y="616"/>
                <a:pt x="330" y="616"/>
              </a:cubicBezTo>
              <a:cubicBezTo>
                <a:pt x="322" y="616"/>
                <a:pt x="315" y="608"/>
                <a:pt x="315" y="600"/>
              </a:cubicBezTo>
              <a:cubicBezTo>
                <a:pt x="315" y="591"/>
                <a:pt x="322" y="583"/>
                <a:pt x="330" y="583"/>
              </a:cubicBezTo>
              <a:cubicBezTo>
                <a:pt x="414" y="583"/>
                <a:pt x="414" y="583"/>
                <a:pt x="414" y="583"/>
              </a:cubicBezTo>
              <a:cubicBezTo>
                <a:pt x="423" y="583"/>
                <a:pt x="430" y="591"/>
                <a:pt x="430" y="600"/>
              </a:cubicBezTo>
              <a:cubicBezTo>
                <a:pt x="430" y="608"/>
                <a:pt x="423" y="616"/>
                <a:pt x="414" y="616"/>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262468</xdr:colOff>
      <xdr:row>150</xdr:row>
      <xdr:rowOff>118533</xdr:rowOff>
    </xdr:from>
    <xdr:to>
      <xdr:col>6</xdr:col>
      <xdr:colOff>1611157</xdr:colOff>
      <xdr:row>159</xdr:row>
      <xdr:rowOff>135466</xdr:rowOff>
    </xdr:to>
    <xdr:sp macro="" textlink="">
      <xdr:nvSpPr>
        <xdr:cNvPr id="46" name="Rectangle 45">
          <a:extLst>
            <a:ext uri="{FF2B5EF4-FFF2-40B4-BE49-F238E27FC236}">
              <a16:creationId xmlns:a16="http://schemas.microsoft.com/office/drawing/2014/main" id="{00000000-0008-0000-0400-00002E000000}"/>
            </a:ext>
          </a:extLst>
        </xdr:cNvPr>
        <xdr:cNvSpPr/>
      </xdr:nvSpPr>
      <xdr:spPr>
        <a:xfrm>
          <a:off x="4961468" y="30598533"/>
          <a:ext cx="5565089" cy="1693333"/>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1" baseline="0">
              <a:solidFill>
                <a:sysClr val="windowText" lastClr="000000"/>
              </a:solidFill>
            </a:rPr>
            <a:t>Additional Capacity per Day Module - Instructions</a:t>
          </a:r>
        </a:p>
        <a:p>
          <a:pPr algn="l"/>
          <a:r>
            <a:rPr lang="en-US" sz="1100" b="0" baseline="0">
              <a:solidFill>
                <a:sysClr val="windowText" lastClr="000000"/>
              </a:solidFill>
            </a:rPr>
            <a:t>●  The "Additional Capacity per Day Module" allows users to input needs for additional near-   </a:t>
          </a:r>
        </a:p>
        <a:p>
          <a:pPr algn="l"/>
          <a:r>
            <a:rPr lang="en-US" sz="1100" b="0" baseline="0">
              <a:solidFill>
                <a:sysClr val="windowText" lastClr="000000"/>
              </a:solidFill>
            </a:rPr>
            <a:t>     patient and manual platforms to increase COVID-19 testing capacity</a:t>
          </a:r>
          <a:endParaRPr lang="en-US" sz="1100" b="0" baseline="0">
            <a:solidFill>
              <a:sysClr val="windowText" lastClr="000000"/>
            </a:solidFill>
            <a:effectLst/>
          </a:endParaRPr>
        </a:p>
        <a:p>
          <a:r>
            <a:rPr lang="en-US" sz="1100" b="0" baseline="0">
              <a:solidFill>
                <a:sysClr val="windowText" lastClr="000000"/>
              </a:solidFill>
              <a:effectLst/>
              <a:latin typeface="+mn-lt"/>
              <a:ea typeface="+mn-ea"/>
              <a:cs typeface="+mn-cs"/>
            </a:rPr>
            <a:t>●  Additional systems entered here will be quantified and costed in the outputs of the tool</a:t>
          </a:r>
        </a:p>
        <a:p>
          <a:r>
            <a:rPr lang="en-US" sz="1100" b="0" baseline="0">
              <a:solidFill>
                <a:sysClr val="windowText" lastClr="000000"/>
              </a:solidFill>
              <a:effectLst/>
              <a:latin typeface="+mn-lt"/>
              <a:ea typeface="+mn-ea"/>
              <a:cs typeface="+mn-cs"/>
            </a:rPr>
            <a:t>●  The module will also calculate the estimated increase in capacity per day given the </a:t>
          </a:r>
        </a:p>
        <a:p>
          <a:r>
            <a:rPr lang="en-US" sz="1100" b="0" baseline="0">
              <a:solidFill>
                <a:sysClr val="windowText" lastClr="000000"/>
              </a:solidFill>
              <a:effectLst/>
              <a:latin typeface="+mn-lt"/>
              <a:ea typeface="+mn-ea"/>
              <a:cs typeface="+mn-cs"/>
            </a:rPr>
            <a:t>     additional systems entered here (based on shifts and operating days entered in the "Max </a:t>
          </a:r>
        </a:p>
        <a:p>
          <a:r>
            <a:rPr lang="en-US" sz="1100" b="0" baseline="0">
              <a:solidFill>
                <a:sysClr val="windowText" lastClr="000000"/>
              </a:solidFill>
              <a:effectLst/>
              <a:latin typeface="+mn-lt"/>
              <a:ea typeface="+mn-ea"/>
              <a:cs typeface="+mn-cs"/>
            </a:rPr>
            <a:t>     Tests per Day" module and assuming these platforms will be 100% dedicated to COVID-19)</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ysClr val="windowText" lastClr="000000"/>
              </a:solidFill>
              <a:effectLst/>
              <a:latin typeface="+mn-lt"/>
              <a:ea typeface="+mn-ea"/>
              <a:cs typeface="+mn-cs"/>
            </a:rPr>
            <a:t>●  Leave this section blank if you do not want to procure additional platforms</a:t>
          </a:r>
          <a:endParaRPr lang="en-US">
            <a:solidFill>
              <a:sysClr val="windowText" lastClr="000000"/>
            </a:solidFill>
            <a:effectLst/>
          </a:endParaRPr>
        </a:p>
      </xdr:txBody>
    </xdr:sp>
    <xdr:clientData/>
  </xdr:twoCellAnchor>
  <xdr:twoCellAnchor>
    <xdr:from>
      <xdr:col>5</xdr:col>
      <xdr:colOff>28575</xdr:colOff>
      <xdr:row>32</xdr:row>
      <xdr:rowOff>66675</xdr:rowOff>
    </xdr:from>
    <xdr:to>
      <xdr:col>5</xdr:col>
      <xdr:colOff>1076325</xdr:colOff>
      <xdr:row>34</xdr:row>
      <xdr:rowOff>19050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867650" y="7267575"/>
          <a:ext cx="1047750" cy="409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176893</xdr:colOff>
      <xdr:row>23</xdr:row>
      <xdr:rowOff>170969</xdr:rowOff>
    </xdr:from>
    <xdr:to>
      <xdr:col>3</xdr:col>
      <xdr:colOff>206829</xdr:colOff>
      <xdr:row>38</xdr:row>
      <xdr:rowOff>32582</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693964</xdr:colOff>
      <xdr:row>61</xdr:row>
      <xdr:rowOff>123824</xdr:rowOff>
    </xdr:from>
    <xdr:to>
      <xdr:col>6</xdr:col>
      <xdr:colOff>1162050</xdr:colOff>
      <xdr:row>76</xdr:row>
      <xdr:rowOff>138790</xdr:rowOff>
    </xdr:to>
    <xdr:graphicFrame macro="">
      <xdr:nvGraphicFramePr>
        <xdr:cNvPr id="27" name="Chart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776449</xdr:colOff>
      <xdr:row>8</xdr:row>
      <xdr:rowOff>68242</xdr:rowOff>
    </xdr:from>
    <xdr:to>
      <xdr:col>7</xdr:col>
      <xdr:colOff>806630</xdr:colOff>
      <xdr:row>9</xdr:row>
      <xdr:rowOff>124838</xdr:rowOff>
    </xdr:to>
    <xdr:sp macro="" textlink="">
      <xdr:nvSpPr>
        <xdr:cNvPr id="55" name="Rectangle 54">
          <a:extLst>
            <a:ext uri="{FF2B5EF4-FFF2-40B4-BE49-F238E27FC236}">
              <a16:creationId xmlns:a16="http://schemas.microsoft.com/office/drawing/2014/main" id="{00000000-0008-0000-0500-000037000000}"/>
            </a:ext>
          </a:extLst>
        </xdr:cNvPr>
        <xdr:cNvSpPr/>
      </xdr:nvSpPr>
      <xdr:spPr>
        <a:xfrm>
          <a:off x="9822478" y="2016785"/>
          <a:ext cx="2076695" cy="241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Determine</a:t>
          </a:r>
          <a:r>
            <a:rPr lang="en-US" sz="1200" b="1" baseline="0">
              <a:solidFill>
                <a:sysClr val="windowText" lastClr="000000"/>
              </a:solidFill>
            </a:rPr>
            <a:t> </a:t>
          </a:r>
          <a:r>
            <a:rPr lang="en-US" sz="1200" b="1">
              <a:solidFill>
                <a:sysClr val="windowText" lastClr="000000"/>
              </a:solidFill>
            </a:rPr>
            <a:t>Forecast Period</a:t>
          </a:r>
        </a:p>
      </xdr:txBody>
    </xdr:sp>
    <xdr:clientData/>
  </xdr:twoCellAnchor>
  <xdr:twoCellAnchor>
    <xdr:from>
      <xdr:col>1</xdr:col>
      <xdr:colOff>599944</xdr:colOff>
      <xdr:row>8</xdr:row>
      <xdr:rowOff>21683</xdr:rowOff>
    </xdr:from>
    <xdr:to>
      <xdr:col>2</xdr:col>
      <xdr:colOff>1699531</xdr:colOff>
      <xdr:row>9</xdr:row>
      <xdr:rowOff>130629</xdr:rowOff>
    </xdr:to>
    <xdr:sp macro="" textlink="">
      <xdr:nvSpPr>
        <xdr:cNvPr id="57" name="Rectangle 56">
          <a:extLst>
            <a:ext uri="{FF2B5EF4-FFF2-40B4-BE49-F238E27FC236}">
              <a16:creationId xmlns:a16="http://schemas.microsoft.com/office/drawing/2014/main" id="{00000000-0008-0000-0500-000039000000}"/>
            </a:ext>
          </a:extLst>
        </xdr:cNvPr>
        <xdr:cNvSpPr/>
      </xdr:nvSpPr>
      <xdr:spPr>
        <a:xfrm>
          <a:off x="876169" y="2031458"/>
          <a:ext cx="2909337" cy="3089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Define Infections &amp; Growth Rate</a:t>
          </a:r>
        </a:p>
      </xdr:txBody>
    </xdr:sp>
    <xdr:clientData/>
  </xdr:twoCellAnchor>
  <xdr:twoCellAnchor>
    <xdr:from>
      <xdr:col>6</xdr:col>
      <xdr:colOff>819992</xdr:colOff>
      <xdr:row>14</xdr:row>
      <xdr:rowOff>216103</xdr:rowOff>
    </xdr:from>
    <xdr:to>
      <xdr:col>7</xdr:col>
      <xdr:colOff>850173</xdr:colOff>
      <xdr:row>14</xdr:row>
      <xdr:rowOff>457756</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a:off x="9144842" y="3807028"/>
          <a:ext cx="2668606" cy="241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Testing Strategy</a:t>
          </a:r>
        </a:p>
      </xdr:txBody>
    </xdr:sp>
    <xdr:clientData/>
  </xdr:twoCellAnchor>
  <xdr:twoCellAnchor>
    <xdr:from>
      <xdr:col>6</xdr:col>
      <xdr:colOff>0</xdr:colOff>
      <xdr:row>15</xdr:row>
      <xdr:rowOff>89626</xdr:rowOff>
    </xdr:from>
    <xdr:to>
      <xdr:col>8</xdr:col>
      <xdr:colOff>13426</xdr:colOff>
      <xdr:row>15</xdr:row>
      <xdr:rowOff>171922</xdr:rowOff>
    </xdr:to>
    <xdr:sp macro="" textlink="">
      <xdr:nvSpPr>
        <xdr:cNvPr id="3" name="Rectangle 2">
          <a:extLst>
            <a:ext uri="{FF2B5EF4-FFF2-40B4-BE49-F238E27FC236}">
              <a16:creationId xmlns:a16="http://schemas.microsoft.com/office/drawing/2014/main" id="{00000000-0008-0000-0500-000003000000}"/>
            </a:ext>
          </a:extLst>
        </xdr:cNvPr>
        <xdr:cNvSpPr/>
      </xdr:nvSpPr>
      <xdr:spPr>
        <a:xfrm>
          <a:off x="9022080" y="4044406"/>
          <a:ext cx="3853906" cy="822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460914</xdr:colOff>
      <xdr:row>7</xdr:row>
      <xdr:rowOff>195283</xdr:rowOff>
    </xdr:from>
    <xdr:to>
      <xdr:col>1</xdr:col>
      <xdr:colOff>840666</xdr:colOff>
      <xdr:row>9</xdr:row>
      <xdr:rowOff>150194</xdr:rowOff>
    </xdr:to>
    <xdr:grpSp>
      <xdr:nvGrpSpPr>
        <xdr:cNvPr id="11" name="Group 10">
          <a:extLst>
            <a:ext uri="{FF2B5EF4-FFF2-40B4-BE49-F238E27FC236}">
              <a16:creationId xmlns:a16="http://schemas.microsoft.com/office/drawing/2014/main" id="{00000000-0008-0000-0500-00000B000000}"/>
            </a:ext>
          </a:extLst>
        </xdr:cNvPr>
        <xdr:cNvGrpSpPr/>
      </xdr:nvGrpSpPr>
      <xdr:grpSpPr>
        <a:xfrm rot="1530268">
          <a:off x="737933" y="2020114"/>
          <a:ext cx="376577" cy="368455"/>
          <a:chOff x="4108450" y="489175"/>
          <a:chExt cx="844175" cy="795113"/>
        </a:xfrm>
        <a:solidFill>
          <a:schemeClr val="tx1"/>
        </a:solidFill>
      </xdr:grpSpPr>
      <xdr:sp macro="" textlink="">
        <xdr:nvSpPr>
          <xdr:cNvPr id="12" name="Freeform 11">
            <a:extLst>
              <a:ext uri="{FF2B5EF4-FFF2-40B4-BE49-F238E27FC236}">
                <a16:creationId xmlns:a16="http://schemas.microsoft.com/office/drawing/2014/main" id="{00000000-0008-0000-0500-00000C000000}"/>
              </a:ext>
            </a:extLst>
          </xdr:cNvPr>
          <xdr:cNvSpPr>
            <a:spLocks/>
          </xdr:cNvSpPr>
        </xdr:nvSpPr>
        <xdr:spPr bwMode="auto">
          <a:xfrm>
            <a:off x="4108450" y="633413"/>
            <a:ext cx="785813" cy="650875"/>
          </a:xfrm>
          <a:custGeom>
            <a:avLst/>
            <a:gdLst>
              <a:gd name="T0" fmla="*/ 442 w 495"/>
              <a:gd name="T1" fmla="*/ 0 h 410"/>
              <a:gd name="T2" fmla="*/ 355 w 495"/>
              <a:gd name="T3" fmla="*/ 209 h 410"/>
              <a:gd name="T4" fmla="*/ 268 w 495"/>
              <a:gd name="T5" fmla="*/ 121 h 410"/>
              <a:gd name="T6" fmla="*/ 196 w 495"/>
              <a:gd name="T7" fmla="*/ 286 h 410"/>
              <a:gd name="T8" fmla="*/ 117 w 495"/>
              <a:gd name="T9" fmla="*/ 205 h 410"/>
              <a:gd name="T10" fmla="*/ 0 w 495"/>
              <a:gd name="T11" fmla="*/ 375 h 410"/>
              <a:gd name="T12" fmla="*/ 47 w 495"/>
              <a:gd name="T13" fmla="*/ 410 h 410"/>
              <a:gd name="T14" fmla="*/ 47 w 495"/>
              <a:gd name="T15" fmla="*/ 410 h 410"/>
              <a:gd name="T16" fmla="*/ 125 w 495"/>
              <a:gd name="T17" fmla="*/ 297 h 410"/>
              <a:gd name="T18" fmla="*/ 214 w 495"/>
              <a:gd name="T19" fmla="*/ 390 h 410"/>
              <a:gd name="T20" fmla="*/ 286 w 495"/>
              <a:gd name="T21" fmla="*/ 224 h 410"/>
              <a:gd name="T22" fmla="*/ 375 w 495"/>
              <a:gd name="T23" fmla="*/ 312 h 410"/>
              <a:gd name="T24" fmla="*/ 495 w 495"/>
              <a:gd name="T25" fmla="*/ 22 h 410"/>
              <a:gd name="T26" fmla="*/ 442 w 495"/>
              <a:gd name="T27" fmla="*/ 0 h 4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95" h="410">
                <a:moveTo>
                  <a:pt x="442" y="0"/>
                </a:moveTo>
                <a:lnTo>
                  <a:pt x="355" y="209"/>
                </a:lnTo>
                <a:lnTo>
                  <a:pt x="268" y="121"/>
                </a:lnTo>
                <a:lnTo>
                  <a:pt x="196" y="286"/>
                </a:lnTo>
                <a:lnTo>
                  <a:pt x="117" y="205"/>
                </a:lnTo>
                <a:lnTo>
                  <a:pt x="0" y="375"/>
                </a:lnTo>
                <a:lnTo>
                  <a:pt x="47" y="410"/>
                </a:lnTo>
                <a:lnTo>
                  <a:pt x="47" y="410"/>
                </a:lnTo>
                <a:lnTo>
                  <a:pt x="125" y="297"/>
                </a:lnTo>
                <a:lnTo>
                  <a:pt x="214" y="390"/>
                </a:lnTo>
                <a:lnTo>
                  <a:pt x="286" y="224"/>
                </a:lnTo>
                <a:lnTo>
                  <a:pt x="375" y="312"/>
                </a:lnTo>
                <a:lnTo>
                  <a:pt x="495" y="22"/>
                </a:lnTo>
                <a:lnTo>
                  <a:pt x="44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Freeform 12">
            <a:extLst>
              <a:ext uri="{FF2B5EF4-FFF2-40B4-BE49-F238E27FC236}">
                <a16:creationId xmlns:a16="http://schemas.microsoft.com/office/drawing/2014/main" id="{00000000-0008-0000-0500-00000D000000}"/>
              </a:ext>
            </a:extLst>
          </xdr:cNvPr>
          <xdr:cNvSpPr>
            <a:spLocks/>
          </xdr:cNvSpPr>
        </xdr:nvSpPr>
        <xdr:spPr bwMode="auto">
          <a:xfrm>
            <a:off x="4752600" y="489175"/>
            <a:ext cx="200025" cy="214313"/>
          </a:xfrm>
          <a:custGeom>
            <a:avLst/>
            <a:gdLst>
              <a:gd name="T0" fmla="*/ 72 w 85"/>
              <a:gd name="T1" fmla="*/ 88 h 91"/>
              <a:gd name="T2" fmla="*/ 83 w 85"/>
              <a:gd name="T3" fmla="*/ 75 h 91"/>
              <a:gd name="T4" fmla="*/ 75 w 85"/>
              <a:gd name="T5" fmla="*/ 13 h 91"/>
              <a:gd name="T6" fmla="*/ 58 w 85"/>
              <a:gd name="T7" fmla="*/ 6 h 91"/>
              <a:gd name="T8" fmla="*/ 8 w 85"/>
              <a:gd name="T9" fmla="*/ 44 h 91"/>
              <a:gd name="T10" fmla="*/ 7 w 85"/>
              <a:gd name="T11" fmla="*/ 61 h 91"/>
              <a:gd name="T12" fmla="*/ 39 w 85"/>
              <a:gd name="T13" fmla="*/ 74 h 91"/>
              <a:gd name="T14" fmla="*/ 41 w 85"/>
              <a:gd name="T15" fmla="*/ 75 h 91"/>
              <a:gd name="T16" fmla="*/ 72 w 85"/>
              <a:gd name="T17" fmla="*/ 88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91">
                <a:moveTo>
                  <a:pt x="72" y="88"/>
                </a:moveTo>
                <a:cubicBezTo>
                  <a:pt x="80" y="91"/>
                  <a:pt x="85" y="85"/>
                  <a:pt x="83" y="75"/>
                </a:cubicBezTo>
                <a:cubicBezTo>
                  <a:pt x="75" y="13"/>
                  <a:pt x="75" y="13"/>
                  <a:pt x="75" y="13"/>
                </a:cubicBezTo>
                <a:cubicBezTo>
                  <a:pt x="74" y="3"/>
                  <a:pt x="66" y="0"/>
                  <a:pt x="58" y="6"/>
                </a:cubicBezTo>
                <a:cubicBezTo>
                  <a:pt x="8" y="44"/>
                  <a:pt x="8" y="44"/>
                  <a:pt x="8" y="44"/>
                </a:cubicBezTo>
                <a:cubicBezTo>
                  <a:pt x="0" y="50"/>
                  <a:pt x="0" y="58"/>
                  <a:pt x="7" y="61"/>
                </a:cubicBezTo>
                <a:cubicBezTo>
                  <a:pt x="15" y="65"/>
                  <a:pt x="29" y="70"/>
                  <a:pt x="39" y="74"/>
                </a:cubicBezTo>
                <a:cubicBezTo>
                  <a:pt x="41" y="75"/>
                  <a:pt x="41" y="75"/>
                  <a:pt x="41" y="75"/>
                </a:cubicBezTo>
                <a:cubicBezTo>
                  <a:pt x="50" y="79"/>
                  <a:pt x="64" y="85"/>
                  <a:pt x="72" y="8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6</xdr:col>
      <xdr:colOff>1227523</xdr:colOff>
      <xdr:row>14</xdr:row>
      <xdr:rowOff>205313</xdr:rowOff>
    </xdr:from>
    <xdr:to>
      <xdr:col>6</xdr:col>
      <xdr:colOff>1501843</xdr:colOff>
      <xdr:row>14</xdr:row>
      <xdr:rowOff>479633</xdr:rowOff>
    </xdr:to>
    <xdr:sp macro="" textlink="">
      <xdr:nvSpPr>
        <xdr:cNvPr id="14" name="Freeform 13">
          <a:extLst>
            <a:ext uri="{FF2B5EF4-FFF2-40B4-BE49-F238E27FC236}">
              <a16:creationId xmlns:a16="http://schemas.microsoft.com/office/drawing/2014/main" id="{00000000-0008-0000-0500-00000E000000}"/>
            </a:ext>
          </a:extLst>
        </xdr:cNvPr>
        <xdr:cNvSpPr>
          <a:spLocks noEditPoints="1"/>
        </xdr:cNvSpPr>
      </xdr:nvSpPr>
      <xdr:spPr bwMode="auto">
        <a:xfrm>
          <a:off x="9537805" y="3809125"/>
          <a:ext cx="274320" cy="274320"/>
        </a:xfrm>
        <a:custGeom>
          <a:avLst/>
          <a:gdLst>
            <a:gd name="T0" fmla="*/ 152 w 312"/>
            <a:gd name="T1" fmla="*/ 10 h 309"/>
            <a:gd name="T2" fmla="*/ 302 w 312"/>
            <a:gd name="T3" fmla="*/ 150 h 309"/>
            <a:gd name="T4" fmla="*/ 310 w 312"/>
            <a:gd name="T5" fmla="*/ 160 h 309"/>
            <a:gd name="T6" fmla="*/ 162 w 312"/>
            <a:gd name="T7" fmla="*/ 309 h 309"/>
            <a:gd name="T8" fmla="*/ 13 w 312"/>
            <a:gd name="T9" fmla="*/ 160 h 309"/>
            <a:gd name="T10" fmla="*/ 199 w 312"/>
            <a:gd name="T11" fmla="*/ 150 h 309"/>
            <a:gd name="T12" fmla="*/ 199 w 312"/>
            <a:gd name="T13" fmla="*/ 154 h 309"/>
            <a:gd name="T14" fmla="*/ 199 w 312"/>
            <a:gd name="T15" fmla="*/ 154 h 309"/>
            <a:gd name="T16" fmla="*/ 199 w 312"/>
            <a:gd name="T17" fmla="*/ 155 h 309"/>
            <a:gd name="T18" fmla="*/ 163 w 312"/>
            <a:gd name="T19" fmla="*/ 216 h 309"/>
            <a:gd name="T20" fmla="*/ 153 w 312"/>
            <a:gd name="T21" fmla="*/ 178 h 309"/>
            <a:gd name="T22" fmla="*/ 134 w 312"/>
            <a:gd name="T23" fmla="*/ 160 h 309"/>
            <a:gd name="T24" fmla="*/ 117 w 312"/>
            <a:gd name="T25" fmla="*/ 150 h 309"/>
            <a:gd name="T26" fmla="*/ 152 w 312"/>
            <a:gd name="T27" fmla="*/ 113 h 309"/>
            <a:gd name="T28" fmla="*/ 153 w 312"/>
            <a:gd name="T29" fmla="*/ 113 h 309"/>
            <a:gd name="T30" fmla="*/ 153 w 312"/>
            <a:gd name="T31" fmla="*/ 113 h 309"/>
            <a:gd name="T32" fmla="*/ 153 w 312"/>
            <a:gd name="T33" fmla="*/ 113 h 309"/>
            <a:gd name="T34" fmla="*/ 154 w 312"/>
            <a:gd name="T35" fmla="*/ 113 h 309"/>
            <a:gd name="T36" fmla="*/ 155 w 312"/>
            <a:gd name="T37" fmla="*/ 113 h 309"/>
            <a:gd name="T38" fmla="*/ 155 w 312"/>
            <a:gd name="T39" fmla="*/ 113 h 309"/>
            <a:gd name="T40" fmla="*/ 155 w 312"/>
            <a:gd name="T41" fmla="*/ 113 h 309"/>
            <a:gd name="T42" fmla="*/ 155 w 312"/>
            <a:gd name="T43" fmla="*/ 113 h 309"/>
            <a:gd name="T44" fmla="*/ 155 w 312"/>
            <a:gd name="T45" fmla="*/ 113 h 309"/>
            <a:gd name="T46" fmla="*/ 155 w 312"/>
            <a:gd name="T47" fmla="*/ 113 h 309"/>
            <a:gd name="T48" fmla="*/ 156 w 312"/>
            <a:gd name="T49" fmla="*/ 113 h 309"/>
            <a:gd name="T50" fmla="*/ 156 w 312"/>
            <a:gd name="T51" fmla="*/ 113 h 309"/>
            <a:gd name="T52" fmla="*/ 156 w 312"/>
            <a:gd name="T53" fmla="*/ 113 h 309"/>
            <a:gd name="T54" fmla="*/ 156 w 312"/>
            <a:gd name="T55" fmla="*/ 113 h 309"/>
            <a:gd name="T56" fmla="*/ 156 w 312"/>
            <a:gd name="T57" fmla="*/ 113 h 309"/>
            <a:gd name="T58" fmla="*/ 156 w 312"/>
            <a:gd name="T59" fmla="*/ 113 h 309"/>
            <a:gd name="T60" fmla="*/ 157 w 312"/>
            <a:gd name="T61" fmla="*/ 113 h 309"/>
            <a:gd name="T62" fmla="*/ 157 w 312"/>
            <a:gd name="T63" fmla="*/ 113 h 309"/>
            <a:gd name="T64" fmla="*/ 157 w 312"/>
            <a:gd name="T65" fmla="*/ 113 h 309"/>
            <a:gd name="T66" fmla="*/ 157 w 312"/>
            <a:gd name="T67" fmla="*/ 113 h 309"/>
            <a:gd name="T68" fmla="*/ 157 w 312"/>
            <a:gd name="T69" fmla="*/ 113 h 309"/>
            <a:gd name="T70" fmla="*/ 199 w 312"/>
            <a:gd name="T71" fmla="*/ 150 h 309"/>
            <a:gd name="T72" fmla="*/ 182 w 312"/>
            <a:gd name="T73" fmla="*/ 160 h 309"/>
            <a:gd name="T74" fmla="*/ 158 w 312"/>
            <a:gd name="T75" fmla="*/ 196 h 309"/>
            <a:gd name="T76" fmla="*/ 158 w 312"/>
            <a:gd name="T77" fmla="*/ 196 h 309"/>
            <a:gd name="T78" fmla="*/ 158 w 312"/>
            <a:gd name="T79" fmla="*/ 196 h 309"/>
            <a:gd name="T80" fmla="*/ 152 w 312"/>
            <a:gd name="T81" fmla="*/ 216 h 309"/>
            <a:gd name="T82" fmla="*/ 116 w 312"/>
            <a:gd name="T83" fmla="*/ 155 h 309"/>
            <a:gd name="T84" fmla="*/ 116 w 312"/>
            <a:gd name="T85" fmla="*/ 154 h 309"/>
            <a:gd name="T86" fmla="*/ 116 w 312"/>
            <a:gd name="T87" fmla="*/ 154 h 309"/>
            <a:gd name="T88" fmla="*/ 152 w 312"/>
            <a:gd name="T89" fmla="*/ 93 h 309"/>
            <a:gd name="T90" fmla="*/ 162 w 312"/>
            <a:gd name="T91" fmla="*/ 129 h 309"/>
            <a:gd name="T92" fmla="*/ 219 w 312"/>
            <a:gd name="T93" fmla="*/ 150 h 309"/>
            <a:gd name="T94" fmla="*/ 116 w 312"/>
            <a:gd name="T95" fmla="*/ 154 h 309"/>
            <a:gd name="T96" fmla="*/ 158 w 312"/>
            <a:gd name="T97" fmla="*/ 172 h 309"/>
            <a:gd name="T98" fmla="*/ 244 w 312"/>
            <a:gd name="T99" fmla="*/ 150 h 309"/>
            <a:gd name="T100" fmla="*/ 244 w 312"/>
            <a:gd name="T101" fmla="*/ 160 h 309"/>
            <a:gd name="T102" fmla="*/ 244 w 312"/>
            <a:gd name="T103" fmla="*/ 160 h 309"/>
            <a:gd name="T104" fmla="*/ 152 w 312"/>
            <a:gd name="T105" fmla="*/ 270 h 309"/>
            <a:gd name="T106" fmla="*/ 152 w 312"/>
            <a:gd name="T107" fmla="*/ 39 h 3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12" h="309">
              <a:moveTo>
                <a:pt x="0" y="160"/>
              </a:moveTo>
              <a:cubicBezTo>
                <a:pt x="0" y="150"/>
                <a:pt x="0" y="150"/>
                <a:pt x="0" y="150"/>
              </a:cubicBezTo>
              <a:cubicBezTo>
                <a:pt x="13" y="150"/>
                <a:pt x="13" y="150"/>
                <a:pt x="13" y="150"/>
              </a:cubicBezTo>
              <a:cubicBezTo>
                <a:pt x="16" y="74"/>
                <a:pt x="77" y="13"/>
                <a:pt x="152" y="10"/>
              </a:cubicBezTo>
              <a:cubicBezTo>
                <a:pt x="152" y="0"/>
                <a:pt x="152" y="0"/>
                <a:pt x="152" y="0"/>
              </a:cubicBezTo>
              <a:cubicBezTo>
                <a:pt x="163" y="0"/>
                <a:pt x="163" y="0"/>
                <a:pt x="163" y="0"/>
              </a:cubicBezTo>
              <a:cubicBezTo>
                <a:pt x="163" y="10"/>
                <a:pt x="163" y="10"/>
                <a:pt x="163" y="10"/>
              </a:cubicBezTo>
              <a:cubicBezTo>
                <a:pt x="238" y="13"/>
                <a:pt x="300" y="74"/>
                <a:pt x="302" y="150"/>
              </a:cubicBezTo>
              <a:cubicBezTo>
                <a:pt x="310" y="150"/>
                <a:pt x="310" y="150"/>
                <a:pt x="310" y="150"/>
              </a:cubicBezTo>
              <a:cubicBezTo>
                <a:pt x="311" y="150"/>
                <a:pt x="312" y="150"/>
                <a:pt x="312" y="151"/>
              </a:cubicBezTo>
              <a:cubicBezTo>
                <a:pt x="312" y="159"/>
                <a:pt x="312" y="159"/>
                <a:pt x="312" y="159"/>
              </a:cubicBezTo>
              <a:cubicBezTo>
                <a:pt x="312" y="160"/>
                <a:pt x="311" y="160"/>
                <a:pt x="310" y="160"/>
              </a:cubicBezTo>
              <a:cubicBezTo>
                <a:pt x="302" y="160"/>
                <a:pt x="302" y="160"/>
                <a:pt x="302" y="160"/>
              </a:cubicBezTo>
              <a:cubicBezTo>
                <a:pt x="299" y="235"/>
                <a:pt x="238" y="296"/>
                <a:pt x="163" y="299"/>
              </a:cubicBezTo>
              <a:cubicBezTo>
                <a:pt x="163" y="308"/>
                <a:pt x="163" y="308"/>
                <a:pt x="163" y="308"/>
              </a:cubicBezTo>
              <a:cubicBezTo>
                <a:pt x="163" y="309"/>
                <a:pt x="162" y="309"/>
                <a:pt x="162" y="309"/>
              </a:cubicBezTo>
              <a:cubicBezTo>
                <a:pt x="153" y="309"/>
                <a:pt x="153" y="309"/>
                <a:pt x="153" y="309"/>
              </a:cubicBezTo>
              <a:cubicBezTo>
                <a:pt x="153" y="309"/>
                <a:pt x="152" y="309"/>
                <a:pt x="152" y="308"/>
              </a:cubicBezTo>
              <a:cubicBezTo>
                <a:pt x="152" y="299"/>
                <a:pt x="152" y="299"/>
                <a:pt x="152" y="299"/>
              </a:cubicBezTo>
              <a:cubicBezTo>
                <a:pt x="77" y="296"/>
                <a:pt x="16" y="235"/>
                <a:pt x="13" y="160"/>
              </a:cubicBezTo>
              <a:cubicBezTo>
                <a:pt x="0" y="160"/>
                <a:pt x="0" y="160"/>
                <a:pt x="0" y="160"/>
              </a:cubicBezTo>
              <a:close/>
              <a:moveTo>
                <a:pt x="163" y="113"/>
              </a:moveTo>
              <a:cubicBezTo>
                <a:pt x="182" y="116"/>
                <a:pt x="197" y="131"/>
                <a:pt x="199" y="150"/>
              </a:cubicBezTo>
              <a:cubicBezTo>
                <a:pt x="199" y="150"/>
                <a:pt x="199" y="150"/>
                <a:pt x="199" y="150"/>
              </a:cubicBezTo>
              <a:cubicBezTo>
                <a:pt x="199" y="151"/>
                <a:pt x="199" y="153"/>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5"/>
                <a:pt x="199" y="155"/>
                <a:pt x="199" y="155"/>
              </a:cubicBezTo>
              <a:cubicBezTo>
                <a:pt x="199" y="155"/>
                <a:pt x="199" y="155"/>
                <a:pt x="199" y="155"/>
              </a:cubicBezTo>
              <a:cubicBezTo>
                <a:pt x="199" y="155"/>
                <a:pt x="199" y="155"/>
                <a:pt x="199" y="155"/>
              </a:cubicBezTo>
              <a:cubicBezTo>
                <a:pt x="199" y="157"/>
                <a:pt x="199" y="158"/>
                <a:pt x="198" y="160"/>
              </a:cubicBezTo>
              <a:cubicBezTo>
                <a:pt x="219" y="160"/>
                <a:pt x="219" y="160"/>
                <a:pt x="219" y="160"/>
              </a:cubicBezTo>
              <a:cubicBezTo>
                <a:pt x="216" y="190"/>
                <a:pt x="193" y="214"/>
                <a:pt x="163" y="216"/>
              </a:cubicBezTo>
              <a:cubicBezTo>
                <a:pt x="163" y="195"/>
                <a:pt x="163" y="195"/>
                <a:pt x="163" y="195"/>
              </a:cubicBezTo>
              <a:cubicBezTo>
                <a:pt x="163" y="178"/>
                <a:pt x="163" y="178"/>
                <a:pt x="163" y="178"/>
              </a:cubicBezTo>
              <a:cubicBezTo>
                <a:pt x="163" y="178"/>
                <a:pt x="162" y="178"/>
                <a:pt x="162" y="178"/>
              </a:cubicBezTo>
              <a:cubicBezTo>
                <a:pt x="153" y="178"/>
                <a:pt x="153" y="178"/>
                <a:pt x="153" y="178"/>
              </a:cubicBezTo>
              <a:cubicBezTo>
                <a:pt x="153" y="178"/>
                <a:pt x="152" y="178"/>
                <a:pt x="152" y="178"/>
              </a:cubicBezTo>
              <a:cubicBezTo>
                <a:pt x="152" y="195"/>
                <a:pt x="152" y="195"/>
                <a:pt x="152" y="195"/>
              </a:cubicBezTo>
              <a:cubicBezTo>
                <a:pt x="134" y="193"/>
                <a:pt x="119" y="179"/>
                <a:pt x="117" y="160"/>
              </a:cubicBezTo>
              <a:cubicBezTo>
                <a:pt x="134" y="160"/>
                <a:pt x="134" y="160"/>
                <a:pt x="134" y="160"/>
              </a:cubicBezTo>
              <a:cubicBezTo>
                <a:pt x="134" y="160"/>
                <a:pt x="134" y="160"/>
                <a:pt x="134" y="159"/>
              </a:cubicBezTo>
              <a:cubicBezTo>
                <a:pt x="134" y="151"/>
                <a:pt x="134" y="151"/>
                <a:pt x="134" y="151"/>
              </a:cubicBezTo>
              <a:cubicBezTo>
                <a:pt x="134" y="150"/>
                <a:pt x="134" y="150"/>
                <a:pt x="134" y="150"/>
              </a:cubicBezTo>
              <a:cubicBezTo>
                <a:pt x="117" y="150"/>
                <a:pt x="117" y="150"/>
                <a:pt x="117" y="150"/>
              </a:cubicBezTo>
              <a:cubicBezTo>
                <a:pt x="119" y="131"/>
                <a:pt x="134" y="116"/>
                <a:pt x="152" y="113"/>
              </a:cubicBezTo>
              <a:cubicBezTo>
                <a:pt x="152" y="113"/>
                <a:pt x="152" y="113"/>
                <a:pt x="152" y="113"/>
              </a:cubicBezTo>
              <a:cubicBezTo>
                <a:pt x="152" y="113"/>
                <a:pt x="152" y="113"/>
                <a:pt x="152" y="113"/>
              </a:cubicBezTo>
              <a:cubicBezTo>
                <a:pt x="152" y="113"/>
                <a:pt x="152" y="113"/>
                <a:pt x="152" y="113"/>
              </a:cubicBezTo>
              <a:cubicBezTo>
                <a:pt x="152" y="113"/>
                <a:pt x="152" y="113"/>
                <a:pt x="152"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4" y="113"/>
                <a:pt x="154" y="113"/>
                <a:pt x="154" y="113"/>
              </a:cubicBezTo>
              <a:cubicBezTo>
                <a:pt x="154" y="113"/>
                <a:pt x="154" y="113"/>
                <a:pt x="154"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8" y="113"/>
                <a:pt x="158" y="113"/>
                <a:pt x="158" y="113"/>
              </a:cubicBezTo>
              <a:cubicBezTo>
                <a:pt x="158" y="113"/>
                <a:pt x="158" y="113"/>
                <a:pt x="158" y="113"/>
              </a:cubicBezTo>
              <a:cubicBezTo>
                <a:pt x="159" y="113"/>
                <a:pt x="161" y="113"/>
                <a:pt x="163" y="113"/>
              </a:cubicBezTo>
              <a:close/>
              <a:moveTo>
                <a:pt x="199" y="150"/>
              </a:moveTo>
              <a:cubicBezTo>
                <a:pt x="182" y="150"/>
                <a:pt x="182" y="150"/>
                <a:pt x="182" y="150"/>
              </a:cubicBezTo>
              <a:cubicBezTo>
                <a:pt x="182" y="150"/>
                <a:pt x="182" y="150"/>
                <a:pt x="182" y="151"/>
              </a:cubicBezTo>
              <a:cubicBezTo>
                <a:pt x="182" y="159"/>
                <a:pt x="182" y="159"/>
                <a:pt x="182" y="159"/>
              </a:cubicBezTo>
              <a:cubicBezTo>
                <a:pt x="182" y="160"/>
                <a:pt x="182" y="160"/>
                <a:pt x="182" y="160"/>
              </a:cubicBezTo>
              <a:cubicBezTo>
                <a:pt x="198" y="160"/>
                <a:pt x="198" y="160"/>
                <a:pt x="198" y="160"/>
              </a:cubicBezTo>
              <a:cubicBezTo>
                <a:pt x="196" y="179"/>
                <a:pt x="181" y="193"/>
                <a:pt x="163" y="195"/>
              </a:cubicBezTo>
              <a:cubicBezTo>
                <a:pt x="161" y="196"/>
                <a:pt x="160"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7" y="196"/>
                <a:pt x="157" y="196"/>
                <a:pt x="157" y="196"/>
              </a:cubicBezTo>
              <a:cubicBezTo>
                <a:pt x="157" y="196"/>
                <a:pt x="157" y="196"/>
                <a:pt x="157" y="196"/>
              </a:cubicBezTo>
              <a:cubicBezTo>
                <a:pt x="156" y="196"/>
                <a:pt x="154" y="196"/>
                <a:pt x="152" y="195"/>
              </a:cubicBezTo>
              <a:cubicBezTo>
                <a:pt x="152" y="216"/>
                <a:pt x="152" y="216"/>
                <a:pt x="152" y="216"/>
              </a:cubicBezTo>
              <a:cubicBezTo>
                <a:pt x="123" y="214"/>
                <a:pt x="99" y="190"/>
                <a:pt x="96" y="160"/>
              </a:cubicBezTo>
              <a:cubicBezTo>
                <a:pt x="117" y="160"/>
                <a:pt x="117" y="160"/>
                <a:pt x="117" y="160"/>
              </a:cubicBezTo>
              <a:cubicBezTo>
                <a:pt x="117" y="158"/>
                <a:pt x="116" y="156"/>
                <a:pt x="116" y="155"/>
              </a:cubicBezTo>
              <a:cubicBezTo>
                <a:pt x="116" y="155"/>
                <a:pt x="116" y="155"/>
                <a:pt x="116" y="155"/>
              </a:cubicBezTo>
              <a:cubicBezTo>
                <a:pt x="116" y="155"/>
                <a:pt x="116" y="155"/>
                <a:pt x="116" y="155"/>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3"/>
                <a:pt x="116" y="151"/>
                <a:pt x="117" y="150"/>
              </a:cubicBezTo>
              <a:cubicBezTo>
                <a:pt x="96" y="150"/>
                <a:pt x="96" y="150"/>
                <a:pt x="96" y="150"/>
              </a:cubicBezTo>
              <a:cubicBezTo>
                <a:pt x="98" y="120"/>
                <a:pt x="122" y="95"/>
                <a:pt x="152" y="93"/>
              </a:cubicBezTo>
              <a:cubicBezTo>
                <a:pt x="152" y="113"/>
                <a:pt x="152" y="113"/>
                <a:pt x="152" y="113"/>
              </a:cubicBezTo>
              <a:cubicBezTo>
                <a:pt x="152" y="129"/>
                <a:pt x="152" y="129"/>
                <a:pt x="152" y="129"/>
              </a:cubicBezTo>
              <a:cubicBezTo>
                <a:pt x="152" y="129"/>
                <a:pt x="153" y="129"/>
                <a:pt x="153" y="129"/>
              </a:cubicBezTo>
              <a:cubicBezTo>
                <a:pt x="162" y="129"/>
                <a:pt x="162" y="129"/>
                <a:pt x="162" y="129"/>
              </a:cubicBezTo>
              <a:cubicBezTo>
                <a:pt x="162" y="129"/>
                <a:pt x="163" y="129"/>
                <a:pt x="163" y="129"/>
              </a:cubicBezTo>
              <a:cubicBezTo>
                <a:pt x="163" y="113"/>
                <a:pt x="163" y="113"/>
                <a:pt x="163" y="113"/>
              </a:cubicBezTo>
              <a:cubicBezTo>
                <a:pt x="163" y="93"/>
                <a:pt x="163" y="93"/>
                <a:pt x="163" y="93"/>
              </a:cubicBezTo>
              <a:cubicBezTo>
                <a:pt x="193" y="95"/>
                <a:pt x="217" y="120"/>
                <a:pt x="219" y="150"/>
              </a:cubicBezTo>
              <a:cubicBezTo>
                <a:pt x="199" y="150"/>
                <a:pt x="199" y="150"/>
                <a:pt x="199" y="150"/>
              </a:cubicBezTo>
              <a:cubicBezTo>
                <a:pt x="199" y="150"/>
                <a:pt x="199" y="150"/>
                <a:pt x="199" y="150"/>
              </a:cubicBezTo>
              <a:close/>
              <a:moveTo>
                <a:pt x="116" y="154"/>
              </a:moveTo>
              <a:cubicBezTo>
                <a:pt x="116" y="154"/>
                <a:pt x="116" y="154"/>
                <a:pt x="116" y="154"/>
              </a:cubicBezTo>
              <a:cubicBezTo>
                <a:pt x="116" y="154"/>
                <a:pt x="116" y="154"/>
                <a:pt x="116" y="154"/>
              </a:cubicBezTo>
              <a:close/>
              <a:moveTo>
                <a:pt x="158" y="137"/>
              </a:moveTo>
              <a:cubicBezTo>
                <a:pt x="167" y="137"/>
                <a:pt x="175" y="145"/>
                <a:pt x="175" y="154"/>
              </a:cubicBezTo>
              <a:cubicBezTo>
                <a:pt x="175" y="164"/>
                <a:pt x="167" y="172"/>
                <a:pt x="158" y="172"/>
              </a:cubicBezTo>
              <a:cubicBezTo>
                <a:pt x="148" y="172"/>
                <a:pt x="140" y="164"/>
                <a:pt x="140" y="154"/>
              </a:cubicBezTo>
              <a:cubicBezTo>
                <a:pt x="140" y="145"/>
                <a:pt x="148" y="137"/>
                <a:pt x="158" y="137"/>
              </a:cubicBezTo>
              <a:close/>
              <a:moveTo>
                <a:pt x="163" y="68"/>
              </a:moveTo>
              <a:cubicBezTo>
                <a:pt x="207" y="71"/>
                <a:pt x="242" y="106"/>
                <a:pt x="244" y="150"/>
              </a:cubicBezTo>
              <a:cubicBezTo>
                <a:pt x="273" y="150"/>
                <a:pt x="273" y="150"/>
                <a:pt x="273" y="150"/>
              </a:cubicBezTo>
              <a:cubicBezTo>
                <a:pt x="271" y="90"/>
                <a:pt x="223" y="42"/>
                <a:pt x="163" y="39"/>
              </a:cubicBezTo>
              <a:cubicBezTo>
                <a:pt x="163" y="68"/>
                <a:pt x="163" y="68"/>
                <a:pt x="163" y="68"/>
              </a:cubicBezTo>
              <a:close/>
              <a:moveTo>
                <a:pt x="244" y="160"/>
              </a:moveTo>
              <a:cubicBezTo>
                <a:pt x="241" y="204"/>
                <a:pt x="206" y="238"/>
                <a:pt x="163" y="241"/>
              </a:cubicBezTo>
              <a:cubicBezTo>
                <a:pt x="163" y="270"/>
                <a:pt x="163" y="270"/>
                <a:pt x="163" y="270"/>
              </a:cubicBezTo>
              <a:cubicBezTo>
                <a:pt x="222" y="267"/>
                <a:pt x="270" y="219"/>
                <a:pt x="273" y="160"/>
              </a:cubicBezTo>
              <a:cubicBezTo>
                <a:pt x="244" y="160"/>
                <a:pt x="244" y="160"/>
                <a:pt x="244" y="160"/>
              </a:cubicBezTo>
              <a:close/>
              <a:moveTo>
                <a:pt x="152" y="241"/>
              </a:moveTo>
              <a:cubicBezTo>
                <a:pt x="109" y="238"/>
                <a:pt x="74" y="204"/>
                <a:pt x="71" y="160"/>
              </a:cubicBezTo>
              <a:cubicBezTo>
                <a:pt x="42" y="160"/>
                <a:pt x="42" y="160"/>
                <a:pt x="42" y="160"/>
              </a:cubicBezTo>
              <a:cubicBezTo>
                <a:pt x="45" y="219"/>
                <a:pt x="93" y="267"/>
                <a:pt x="152" y="270"/>
              </a:cubicBezTo>
              <a:cubicBezTo>
                <a:pt x="152" y="241"/>
                <a:pt x="152" y="241"/>
                <a:pt x="152" y="241"/>
              </a:cubicBezTo>
              <a:close/>
              <a:moveTo>
                <a:pt x="71" y="150"/>
              </a:moveTo>
              <a:cubicBezTo>
                <a:pt x="73" y="106"/>
                <a:pt x="109" y="71"/>
                <a:pt x="152" y="68"/>
              </a:cubicBezTo>
              <a:cubicBezTo>
                <a:pt x="152" y="39"/>
                <a:pt x="152" y="39"/>
                <a:pt x="152" y="39"/>
              </a:cubicBezTo>
              <a:cubicBezTo>
                <a:pt x="93" y="42"/>
                <a:pt x="45" y="90"/>
                <a:pt x="42" y="150"/>
              </a:cubicBezTo>
              <a:cubicBezTo>
                <a:pt x="71" y="150"/>
                <a:pt x="71" y="150"/>
                <a:pt x="71" y="15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742043</xdr:colOff>
      <xdr:row>8</xdr:row>
      <xdr:rowOff>20339</xdr:rowOff>
    </xdr:from>
    <xdr:to>
      <xdr:col>6</xdr:col>
      <xdr:colOff>1008684</xdr:colOff>
      <xdr:row>9</xdr:row>
      <xdr:rowOff>107424</xdr:rowOff>
    </xdr:to>
    <xdr:sp macro="" textlink="">
      <xdr:nvSpPr>
        <xdr:cNvPr id="15" name="Freeform 14">
          <a:extLst>
            <a:ext uri="{FF2B5EF4-FFF2-40B4-BE49-F238E27FC236}">
              <a16:creationId xmlns:a16="http://schemas.microsoft.com/office/drawing/2014/main" id="{00000000-0008-0000-0500-00000F000000}"/>
            </a:ext>
          </a:extLst>
        </xdr:cNvPr>
        <xdr:cNvSpPr>
          <a:spLocks noEditPoints="1"/>
        </xdr:cNvSpPr>
      </xdr:nvSpPr>
      <xdr:spPr bwMode="auto">
        <a:xfrm>
          <a:off x="9777186" y="2143053"/>
          <a:ext cx="266641" cy="304800"/>
        </a:xfrm>
        <a:custGeom>
          <a:avLst/>
          <a:gdLst>
            <a:gd name="T0" fmla="*/ 269 w 354"/>
            <a:gd name="T1" fmla="*/ 109 h 361"/>
            <a:gd name="T2" fmla="*/ 206 w 354"/>
            <a:gd name="T3" fmla="*/ 109 h 361"/>
            <a:gd name="T4" fmla="*/ 130 w 354"/>
            <a:gd name="T5" fmla="*/ 167 h 361"/>
            <a:gd name="T6" fmla="*/ 124 w 354"/>
            <a:gd name="T7" fmla="*/ 177 h 361"/>
            <a:gd name="T8" fmla="*/ 187 w 354"/>
            <a:gd name="T9" fmla="*/ 109 h 361"/>
            <a:gd name="T10" fmla="*/ 124 w 354"/>
            <a:gd name="T11" fmla="*/ 109 h 361"/>
            <a:gd name="T12" fmla="*/ 145 w 354"/>
            <a:gd name="T13" fmla="*/ 149 h 361"/>
            <a:gd name="T14" fmla="*/ 41 w 354"/>
            <a:gd name="T15" fmla="*/ 268 h 361"/>
            <a:gd name="T16" fmla="*/ 104 w 354"/>
            <a:gd name="T17" fmla="*/ 268 h 361"/>
            <a:gd name="T18" fmla="*/ 43 w 354"/>
            <a:gd name="T19" fmla="*/ 227 h 361"/>
            <a:gd name="T20" fmla="*/ 41 w 354"/>
            <a:gd name="T21" fmla="*/ 208 h 361"/>
            <a:gd name="T22" fmla="*/ 104 w 354"/>
            <a:gd name="T23" fmla="*/ 208 h 361"/>
            <a:gd name="T24" fmla="*/ 43 w 354"/>
            <a:gd name="T25" fmla="*/ 167 h 361"/>
            <a:gd name="T26" fmla="*/ 238 w 354"/>
            <a:gd name="T27" fmla="*/ 41 h 361"/>
            <a:gd name="T28" fmla="*/ 244 w 354"/>
            <a:gd name="T29" fmla="*/ 65 h 361"/>
            <a:gd name="T30" fmla="*/ 221 w 354"/>
            <a:gd name="T31" fmla="*/ 55 h 361"/>
            <a:gd name="T32" fmla="*/ 88 w 354"/>
            <a:gd name="T33" fmla="*/ 41 h 361"/>
            <a:gd name="T34" fmla="*/ 93 w 354"/>
            <a:gd name="T35" fmla="*/ 65 h 361"/>
            <a:gd name="T36" fmla="*/ 71 w 354"/>
            <a:gd name="T37" fmla="*/ 55 h 361"/>
            <a:gd name="T38" fmla="*/ 16 w 354"/>
            <a:gd name="T39" fmla="*/ 41 h 361"/>
            <a:gd name="T40" fmla="*/ 126 w 354"/>
            <a:gd name="T41" fmla="*/ 311 h 361"/>
            <a:gd name="T42" fmla="*/ 0 w 354"/>
            <a:gd name="T43" fmla="*/ 45 h 361"/>
            <a:gd name="T44" fmla="*/ 72 w 354"/>
            <a:gd name="T45" fmla="*/ 8 h 361"/>
            <a:gd name="T46" fmla="*/ 88 w 354"/>
            <a:gd name="T47" fmla="*/ 25 h 361"/>
            <a:gd name="T48" fmla="*/ 230 w 354"/>
            <a:gd name="T49" fmla="*/ 0 h 361"/>
            <a:gd name="T50" fmla="*/ 291 w 354"/>
            <a:gd name="T51" fmla="*/ 25 h 361"/>
            <a:gd name="T52" fmla="*/ 295 w 354"/>
            <a:gd name="T53" fmla="*/ 126 h 361"/>
            <a:gd name="T54" fmla="*/ 41 w 354"/>
            <a:gd name="T55" fmla="*/ 147 h 361"/>
            <a:gd name="T56" fmla="*/ 104 w 354"/>
            <a:gd name="T57" fmla="*/ 147 h 361"/>
            <a:gd name="T58" fmla="*/ 43 w 354"/>
            <a:gd name="T59" fmla="*/ 107 h 361"/>
            <a:gd name="T60" fmla="*/ 161 w 354"/>
            <a:gd name="T61" fmla="*/ 319 h 361"/>
            <a:gd name="T62" fmla="*/ 174 w 354"/>
            <a:gd name="T63" fmla="*/ 180 h 361"/>
            <a:gd name="T64" fmla="*/ 174 w 354"/>
            <a:gd name="T65" fmla="*/ 305 h 361"/>
            <a:gd name="T66" fmla="*/ 230 w 354"/>
            <a:gd name="T67" fmla="*/ 249 h 361"/>
            <a:gd name="T68" fmla="*/ 291 w 354"/>
            <a:gd name="T69" fmla="*/ 188 h 361"/>
            <a:gd name="T70" fmla="*/ 206 w 354"/>
            <a:gd name="T71" fmla="*/ 203 h 361"/>
            <a:gd name="T72" fmla="*/ 229 w 354"/>
            <a:gd name="T73" fmla="*/ 296 h 361"/>
            <a:gd name="T74" fmla="*/ 244 w 354"/>
            <a:gd name="T75" fmla="*/ 313 h 361"/>
            <a:gd name="T76" fmla="*/ 229 w 354"/>
            <a:gd name="T77" fmla="*/ 296 h 361"/>
            <a:gd name="T78" fmla="*/ 314 w 354"/>
            <a:gd name="T79" fmla="*/ 243 h 361"/>
            <a:gd name="T80" fmla="*/ 282 w 354"/>
            <a:gd name="T81" fmla="*/ 243 h 361"/>
            <a:gd name="T82" fmla="*/ 229 w 354"/>
            <a:gd name="T83" fmla="*/ 190 h 361"/>
            <a:gd name="T84" fmla="*/ 244 w 354"/>
            <a:gd name="T85" fmla="*/ 173 h 361"/>
            <a:gd name="T86" fmla="*/ 159 w 354"/>
            <a:gd name="T87" fmla="*/ 243 h 361"/>
            <a:gd name="T88" fmla="*/ 191 w 354"/>
            <a:gd name="T89" fmla="*/ 243 h 361"/>
            <a:gd name="T90" fmla="*/ 159 w 354"/>
            <a:gd name="T91" fmla="*/ 243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54" h="361">
              <a:moveTo>
                <a:pt x="206" y="116"/>
              </a:moveTo>
              <a:cubicBezTo>
                <a:pt x="227" y="111"/>
                <a:pt x="248" y="111"/>
                <a:pt x="269" y="117"/>
              </a:cubicBezTo>
              <a:cubicBezTo>
                <a:pt x="269" y="109"/>
                <a:pt x="269" y="109"/>
                <a:pt x="269" y="109"/>
              </a:cubicBezTo>
              <a:cubicBezTo>
                <a:pt x="269" y="108"/>
                <a:pt x="268" y="107"/>
                <a:pt x="267" y="107"/>
              </a:cubicBezTo>
              <a:cubicBezTo>
                <a:pt x="208" y="107"/>
                <a:pt x="208" y="107"/>
                <a:pt x="208" y="107"/>
              </a:cubicBezTo>
              <a:cubicBezTo>
                <a:pt x="207" y="107"/>
                <a:pt x="206" y="108"/>
                <a:pt x="206" y="109"/>
              </a:cubicBezTo>
              <a:cubicBezTo>
                <a:pt x="206" y="116"/>
                <a:pt x="206" y="116"/>
                <a:pt x="206" y="116"/>
              </a:cubicBezTo>
              <a:close/>
              <a:moveTo>
                <a:pt x="124" y="177"/>
              </a:moveTo>
              <a:cubicBezTo>
                <a:pt x="126" y="174"/>
                <a:pt x="128" y="170"/>
                <a:pt x="130" y="167"/>
              </a:cubicBezTo>
              <a:cubicBezTo>
                <a:pt x="126" y="167"/>
                <a:pt x="126" y="167"/>
                <a:pt x="126" y="167"/>
              </a:cubicBezTo>
              <a:cubicBezTo>
                <a:pt x="125" y="167"/>
                <a:pt x="124" y="168"/>
                <a:pt x="124" y="169"/>
              </a:cubicBezTo>
              <a:cubicBezTo>
                <a:pt x="124" y="177"/>
                <a:pt x="124" y="177"/>
                <a:pt x="124" y="177"/>
              </a:cubicBezTo>
              <a:close/>
              <a:moveTo>
                <a:pt x="145" y="149"/>
              </a:moveTo>
              <a:cubicBezTo>
                <a:pt x="157" y="138"/>
                <a:pt x="171" y="129"/>
                <a:pt x="187" y="122"/>
              </a:cubicBezTo>
              <a:cubicBezTo>
                <a:pt x="187" y="109"/>
                <a:pt x="187" y="109"/>
                <a:pt x="187" y="109"/>
              </a:cubicBezTo>
              <a:cubicBezTo>
                <a:pt x="187" y="108"/>
                <a:pt x="186" y="107"/>
                <a:pt x="185" y="107"/>
              </a:cubicBezTo>
              <a:cubicBezTo>
                <a:pt x="126" y="107"/>
                <a:pt x="126" y="107"/>
                <a:pt x="126" y="107"/>
              </a:cubicBezTo>
              <a:cubicBezTo>
                <a:pt x="125" y="107"/>
                <a:pt x="124" y="108"/>
                <a:pt x="124" y="109"/>
              </a:cubicBezTo>
              <a:cubicBezTo>
                <a:pt x="124" y="147"/>
                <a:pt x="124" y="147"/>
                <a:pt x="124" y="147"/>
              </a:cubicBezTo>
              <a:cubicBezTo>
                <a:pt x="124" y="149"/>
                <a:pt x="125" y="149"/>
                <a:pt x="126" y="149"/>
              </a:cubicBezTo>
              <a:cubicBezTo>
                <a:pt x="145" y="149"/>
                <a:pt x="145" y="149"/>
                <a:pt x="145" y="149"/>
              </a:cubicBezTo>
              <a:close/>
              <a:moveTo>
                <a:pt x="43" y="227"/>
              </a:moveTo>
              <a:cubicBezTo>
                <a:pt x="42" y="227"/>
                <a:pt x="41" y="228"/>
                <a:pt x="41" y="229"/>
              </a:cubicBezTo>
              <a:cubicBezTo>
                <a:pt x="41" y="268"/>
                <a:pt x="41" y="268"/>
                <a:pt x="41" y="268"/>
              </a:cubicBezTo>
              <a:cubicBezTo>
                <a:pt x="41" y="269"/>
                <a:pt x="42" y="270"/>
                <a:pt x="43" y="270"/>
              </a:cubicBezTo>
              <a:cubicBezTo>
                <a:pt x="102" y="270"/>
                <a:pt x="102" y="270"/>
                <a:pt x="102" y="270"/>
              </a:cubicBezTo>
              <a:cubicBezTo>
                <a:pt x="103" y="270"/>
                <a:pt x="104" y="269"/>
                <a:pt x="104" y="268"/>
              </a:cubicBezTo>
              <a:cubicBezTo>
                <a:pt x="104" y="229"/>
                <a:pt x="104" y="229"/>
                <a:pt x="104" y="229"/>
              </a:cubicBezTo>
              <a:cubicBezTo>
                <a:pt x="104" y="228"/>
                <a:pt x="103" y="227"/>
                <a:pt x="102" y="227"/>
              </a:cubicBezTo>
              <a:cubicBezTo>
                <a:pt x="43" y="227"/>
                <a:pt x="43" y="227"/>
                <a:pt x="43" y="227"/>
              </a:cubicBezTo>
              <a:close/>
              <a:moveTo>
                <a:pt x="43" y="167"/>
              </a:moveTo>
              <a:cubicBezTo>
                <a:pt x="42" y="167"/>
                <a:pt x="41" y="168"/>
                <a:pt x="41" y="169"/>
              </a:cubicBezTo>
              <a:cubicBezTo>
                <a:pt x="41" y="208"/>
                <a:pt x="41" y="208"/>
                <a:pt x="41" y="208"/>
              </a:cubicBezTo>
              <a:cubicBezTo>
                <a:pt x="41" y="209"/>
                <a:pt x="42" y="209"/>
                <a:pt x="43" y="209"/>
              </a:cubicBezTo>
              <a:cubicBezTo>
                <a:pt x="102" y="209"/>
                <a:pt x="102" y="209"/>
                <a:pt x="102" y="209"/>
              </a:cubicBezTo>
              <a:cubicBezTo>
                <a:pt x="103" y="209"/>
                <a:pt x="104" y="209"/>
                <a:pt x="104" y="208"/>
              </a:cubicBezTo>
              <a:cubicBezTo>
                <a:pt x="104" y="169"/>
                <a:pt x="104" y="169"/>
                <a:pt x="104" y="169"/>
              </a:cubicBezTo>
              <a:cubicBezTo>
                <a:pt x="104" y="168"/>
                <a:pt x="103" y="167"/>
                <a:pt x="102" y="167"/>
              </a:cubicBezTo>
              <a:cubicBezTo>
                <a:pt x="43" y="167"/>
                <a:pt x="43" y="167"/>
                <a:pt x="43" y="167"/>
              </a:cubicBezTo>
              <a:close/>
              <a:moveTo>
                <a:pt x="295" y="126"/>
              </a:moveTo>
              <a:cubicBezTo>
                <a:pt x="295" y="41"/>
                <a:pt x="295" y="41"/>
                <a:pt x="295" y="41"/>
              </a:cubicBezTo>
              <a:cubicBezTo>
                <a:pt x="238" y="41"/>
                <a:pt x="238" y="41"/>
                <a:pt x="238" y="41"/>
              </a:cubicBezTo>
              <a:cubicBezTo>
                <a:pt x="238" y="54"/>
                <a:pt x="238" y="54"/>
                <a:pt x="238" y="54"/>
              </a:cubicBezTo>
              <a:cubicBezTo>
                <a:pt x="239" y="55"/>
                <a:pt x="239" y="55"/>
                <a:pt x="239" y="55"/>
              </a:cubicBezTo>
              <a:cubicBezTo>
                <a:pt x="242" y="58"/>
                <a:pt x="244" y="62"/>
                <a:pt x="244" y="65"/>
              </a:cubicBezTo>
              <a:cubicBezTo>
                <a:pt x="244" y="73"/>
                <a:pt x="238" y="79"/>
                <a:pt x="230" y="79"/>
              </a:cubicBezTo>
              <a:cubicBezTo>
                <a:pt x="223" y="79"/>
                <a:pt x="217" y="73"/>
                <a:pt x="217" y="65"/>
              </a:cubicBezTo>
              <a:cubicBezTo>
                <a:pt x="217" y="62"/>
                <a:pt x="218" y="58"/>
                <a:pt x="221" y="55"/>
              </a:cubicBezTo>
              <a:cubicBezTo>
                <a:pt x="222" y="54"/>
                <a:pt x="222" y="54"/>
                <a:pt x="222" y="54"/>
              </a:cubicBezTo>
              <a:cubicBezTo>
                <a:pt x="222" y="41"/>
                <a:pt x="222" y="41"/>
                <a:pt x="222" y="41"/>
              </a:cubicBezTo>
              <a:cubicBezTo>
                <a:pt x="88" y="41"/>
                <a:pt x="88" y="41"/>
                <a:pt x="88" y="41"/>
              </a:cubicBezTo>
              <a:cubicBezTo>
                <a:pt x="88" y="54"/>
                <a:pt x="88" y="54"/>
                <a:pt x="88" y="54"/>
              </a:cubicBezTo>
              <a:cubicBezTo>
                <a:pt x="89" y="55"/>
                <a:pt x="89" y="55"/>
                <a:pt x="89" y="55"/>
              </a:cubicBezTo>
              <a:cubicBezTo>
                <a:pt x="92" y="58"/>
                <a:pt x="93" y="62"/>
                <a:pt x="93" y="65"/>
              </a:cubicBezTo>
              <a:cubicBezTo>
                <a:pt x="93" y="73"/>
                <a:pt x="87" y="79"/>
                <a:pt x="80" y="79"/>
              </a:cubicBezTo>
              <a:cubicBezTo>
                <a:pt x="73" y="79"/>
                <a:pt x="67" y="73"/>
                <a:pt x="67" y="65"/>
              </a:cubicBezTo>
              <a:cubicBezTo>
                <a:pt x="67" y="62"/>
                <a:pt x="68" y="58"/>
                <a:pt x="71" y="55"/>
              </a:cubicBezTo>
              <a:cubicBezTo>
                <a:pt x="72" y="54"/>
                <a:pt x="72" y="54"/>
                <a:pt x="72" y="54"/>
              </a:cubicBezTo>
              <a:cubicBezTo>
                <a:pt x="72" y="41"/>
                <a:pt x="72" y="41"/>
                <a:pt x="72" y="41"/>
              </a:cubicBezTo>
              <a:cubicBezTo>
                <a:pt x="16" y="41"/>
                <a:pt x="16" y="41"/>
                <a:pt x="16" y="41"/>
              </a:cubicBezTo>
              <a:cubicBezTo>
                <a:pt x="16" y="296"/>
                <a:pt x="16" y="296"/>
                <a:pt x="16" y="296"/>
              </a:cubicBezTo>
              <a:cubicBezTo>
                <a:pt x="117" y="296"/>
                <a:pt x="117" y="296"/>
                <a:pt x="117" y="296"/>
              </a:cubicBezTo>
              <a:cubicBezTo>
                <a:pt x="120" y="301"/>
                <a:pt x="122" y="306"/>
                <a:pt x="126" y="311"/>
              </a:cubicBezTo>
              <a:cubicBezTo>
                <a:pt x="20" y="311"/>
                <a:pt x="20" y="311"/>
                <a:pt x="20" y="311"/>
              </a:cubicBezTo>
              <a:cubicBezTo>
                <a:pt x="9" y="312"/>
                <a:pt x="0" y="304"/>
                <a:pt x="0" y="292"/>
              </a:cubicBezTo>
              <a:cubicBezTo>
                <a:pt x="0" y="45"/>
                <a:pt x="0" y="45"/>
                <a:pt x="0" y="45"/>
              </a:cubicBezTo>
              <a:cubicBezTo>
                <a:pt x="0" y="33"/>
                <a:pt x="8" y="25"/>
                <a:pt x="20" y="25"/>
              </a:cubicBezTo>
              <a:cubicBezTo>
                <a:pt x="72" y="25"/>
                <a:pt x="72" y="25"/>
                <a:pt x="72" y="25"/>
              </a:cubicBezTo>
              <a:cubicBezTo>
                <a:pt x="72" y="8"/>
                <a:pt x="72" y="8"/>
                <a:pt x="72" y="8"/>
              </a:cubicBezTo>
              <a:cubicBezTo>
                <a:pt x="72" y="4"/>
                <a:pt x="76" y="0"/>
                <a:pt x="80" y="0"/>
              </a:cubicBezTo>
              <a:cubicBezTo>
                <a:pt x="84" y="0"/>
                <a:pt x="88" y="4"/>
                <a:pt x="88" y="8"/>
              </a:cubicBezTo>
              <a:cubicBezTo>
                <a:pt x="88" y="25"/>
                <a:pt x="88" y="25"/>
                <a:pt x="88" y="25"/>
              </a:cubicBezTo>
              <a:cubicBezTo>
                <a:pt x="222" y="25"/>
                <a:pt x="222" y="25"/>
                <a:pt x="222" y="25"/>
              </a:cubicBezTo>
              <a:cubicBezTo>
                <a:pt x="222" y="8"/>
                <a:pt x="222" y="8"/>
                <a:pt x="222" y="8"/>
              </a:cubicBezTo>
              <a:cubicBezTo>
                <a:pt x="222" y="4"/>
                <a:pt x="226" y="0"/>
                <a:pt x="230" y="0"/>
              </a:cubicBezTo>
              <a:cubicBezTo>
                <a:pt x="234" y="0"/>
                <a:pt x="238" y="4"/>
                <a:pt x="238" y="8"/>
              </a:cubicBezTo>
              <a:cubicBezTo>
                <a:pt x="238" y="25"/>
                <a:pt x="238" y="25"/>
                <a:pt x="238" y="25"/>
              </a:cubicBezTo>
              <a:cubicBezTo>
                <a:pt x="291" y="25"/>
                <a:pt x="291" y="25"/>
                <a:pt x="291" y="25"/>
              </a:cubicBezTo>
              <a:cubicBezTo>
                <a:pt x="302" y="25"/>
                <a:pt x="310" y="34"/>
                <a:pt x="310" y="44"/>
              </a:cubicBezTo>
              <a:cubicBezTo>
                <a:pt x="310" y="135"/>
                <a:pt x="310" y="135"/>
                <a:pt x="310" y="135"/>
              </a:cubicBezTo>
              <a:cubicBezTo>
                <a:pt x="305" y="132"/>
                <a:pt x="300" y="129"/>
                <a:pt x="295" y="126"/>
              </a:cubicBezTo>
              <a:close/>
              <a:moveTo>
                <a:pt x="43" y="107"/>
              </a:moveTo>
              <a:cubicBezTo>
                <a:pt x="42" y="107"/>
                <a:pt x="41" y="108"/>
                <a:pt x="41" y="109"/>
              </a:cubicBezTo>
              <a:cubicBezTo>
                <a:pt x="41" y="147"/>
                <a:pt x="41" y="147"/>
                <a:pt x="41" y="147"/>
              </a:cubicBezTo>
              <a:cubicBezTo>
                <a:pt x="41" y="149"/>
                <a:pt x="42" y="149"/>
                <a:pt x="43" y="149"/>
              </a:cubicBezTo>
              <a:cubicBezTo>
                <a:pt x="102" y="149"/>
                <a:pt x="102" y="149"/>
                <a:pt x="102" y="149"/>
              </a:cubicBezTo>
              <a:cubicBezTo>
                <a:pt x="103" y="149"/>
                <a:pt x="104" y="149"/>
                <a:pt x="104" y="147"/>
              </a:cubicBezTo>
              <a:cubicBezTo>
                <a:pt x="104" y="109"/>
                <a:pt x="104" y="109"/>
                <a:pt x="104" y="109"/>
              </a:cubicBezTo>
              <a:cubicBezTo>
                <a:pt x="104" y="108"/>
                <a:pt x="103" y="107"/>
                <a:pt x="102" y="107"/>
              </a:cubicBezTo>
              <a:cubicBezTo>
                <a:pt x="43" y="107"/>
                <a:pt x="43" y="107"/>
                <a:pt x="43" y="107"/>
              </a:cubicBezTo>
              <a:close/>
              <a:moveTo>
                <a:pt x="312" y="167"/>
              </a:moveTo>
              <a:cubicBezTo>
                <a:pt x="354" y="209"/>
                <a:pt x="354" y="277"/>
                <a:pt x="312" y="319"/>
              </a:cubicBezTo>
              <a:cubicBezTo>
                <a:pt x="270" y="361"/>
                <a:pt x="202" y="361"/>
                <a:pt x="161" y="319"/>
              </a:cubicBezTo>
              <a:cubicBezTo>
                <a:pt x="119" y="277"/>
                <a:pt x="119" y="209"/>
                <a:pt x="161" y="167"/>
              </a:cubicBezTo>
              <a:cubicBezTo>
                <a:pt x="202" y="125"/>
                <a:pt x="270" y="125"/>
                <a:pt x="312" y="167"/>
              </a:cubicBezTo>
              <a:close/>
              <a:moveTo>
                <a:pt x="174" y="180"/>
              </a:moveTo>
              <a:cubicBezTo>
                <a:pt x="208" y="146"/>
                <a:pt x="264" y="146"/>
                <a:pt x="299" y="180"/>
              </a:cubicBezTo>
              <a:cubicBezTo>
                <a:pt x="333" y="215"/>
                <a:pt x="333" y="271"/>
                <a:pt x="299" y="305"/>
              </a:cubicBezTo>
              <a:cubicBezTo>
                <a:pt x="264" y="340"/>
                <a:pt x="208" y="340"/>
                <a:pt x="174" y="305"/>
              </a:cubicBezTo>
              <a:cubicBezTo>
                <a:pt x="139" y="271"/>
                <a:pt x="139" y="215"/>
                <a:pt x="174" y="180"/>
              </a:cubicBezTo>
              <a:close/>
              <a:moveTo>
                <a:pt x="195" y="214"/>
              </a:moveTo>
              <a:cubicBezTo>
                <a:pt x="230" y="249"/>
                <a:pt x="230" y="249"/>
                <a:pt x="230" y="249"/>
              </a:cubicBezTo>
              <a:cubicBezTo>
                <a:pt x="233" y="252"/>
                <a:pt x="239" y="252"/>
                <a:pt x="242" y="249"/>
              </a:cubicBezTo>
              <a:cubicBezTo>
                <a:pt x="291" y="199"/>
                <a:pt x="291" y="199"/>
                <a:pt x="291" y="199"/>
              </a:cubicBezTo>
              <a:cubicBezTo>
                <a:pt x="294" y="196"/>
                <a:pt x="294" y="191"/>
                <a:pt x="291" y="188"/>
              </a:cubicBezTo>
              <a:cubicBezTo>
                <a:pt x="288" y="185"/>
                <a:pt x="283" y="185"/>
                <a:pt x="280" y="188"/>
              </a:cubicBezTo>
              <a:cubicBezTo>
                <a:pt x="236" y="232"/>
                <a:pt x="236" y="232"/>
                <a:pt x="236" y="232"/>
              </a:cubicBezTo>
              <a:cubicBezTo>
                <a:pt x="206" y="203"/>
                <a:pt x="206" y="203"/>
                <a:pt x="206" y="203"/>
              </a:cubicBezTo>
              <a:cubicBezTo>
                <a:pt x="203" y="200"/>
                <a:pt x="198" y="200"/>
                <a:pt x="195" y="203"/>
              </a:cubicBezTo>
              <a:cubicBezTo>
                <a:pt x="192" y="206"/>
                <a:pt x="192" y="211"/>
                <a:pt x="195" y="214"/>
              </a:cubicBezTo>
              <a:close/>
              <a:moveTo>
                <a:pt x="229" y="296"/>
              </a:moveTo>
              <a:cubicBezTo>
                <a:pt x="229" y="313"/>
                <a:pt x="229" y="313"/>
                <a:pt x="229" y="313"/>
              </a:cubicBezTo>
              <a:cubicBezTo>
                <a:pt x="229" y="317"/>
                <a:pt x="232" y="320"/>
                <a:pt x="236" y="320"/>
              </a:cubicBezTo>
              <a:cubicBezTo>
                <a:pt x="240" y="320"/>
                <a:pt x="244" y="317"/>
                <a:pt x="244" y="313"/>
              </a:cubicBezTo>
              <a:cubicBezTo>
                <a:pt x="244" y="296"/>
                <a:pt x="244" y="296"/>
                <a:pt x="244" y="296"/>
              </a:cubicBezTo>
              <a:cubicBezTo>
                <a:pt x="244" y="292"/>
                <a:pt x="240" y="288"/>
                <a:pt x="236" y="288"/>
              </a:cubicBezTo>
              <a:cubicBezTo>
                <a:pt x="232" y="288"/>
                <a:pt x="229" y="292"/>
                <a:pt x="229" y="296"/>
              </a:cubicBezTo>
              <a:close/>
              <a:moveTo>
                <a:pt x="289" y="250"/>
              </a:moveTo>
              <a:cubicBezTo>
                <a:pt x="307" y="250"/>
                <a:pt x="307" y="250"/>
                <a:pt x="307" y="250"/>
              </a:cubicBezTo>
              <a:cubicBezTo>
                <a:pt x="311" y="250"/>
                <a:pt x="314" y="247"/>
                <a:pt x="314" y="243"/>
              </a:cubicBezTo>
              <a:cubicBezTo>
                <a:pt x="314" y="239"/>
                <a:pt x="311" y="236"/>
                <a:pt x="307" y="236"/>
              </a:cubicBezTo>
              <a:cubicBezTo>
                <a:pt x="289" y="236"/>
                <a:pt x="289" y="236"/>
                <a:pt x="289" y="236"/>
              </a:cubicBezTo>
              <a:cubicBezTo>
                <a:pt x="285" y="236"/>
                <a:pt x="282" y="239"/>
                <a:pt x="282" y="243"/>
              </a:cubicBezTo>
              <a:cubicBezTo>
                <a:pt x="282" y="247"/>
                <a:pt x="285" y="250"/>
                <a:pt x="289" y="250"/>
              </a:cubicBezTo>
              <a:close/>
              <a:moveTo>
                <a:pt x="229" y="173"/>
              </a:moveTo>
              <a:cubicBezTo>
                <a:pt x="229" y="190"/>
                <a:pt x="229" y="190"/>
                <a:pt x="229" y="190"/>
              </a:cubicBezTo>
              <a:cubicBezTo>
                <a:pt x="229" y="194"/>
                <a:pt x="232" y="197"/>
                <a:pt x="236" y="197"/>
              </a:cubicBezTo>
              <a:cubicBezTo>
                <a:pt x="240" y="197"/>
                <a:pt x="244" y="194"/>
                <a:pt x="244" y="190"/>
              </a:cubicBezTo>
              <a:cubicBezTo>
                <a:pt x="244" y="173"/>
                <a:pt x="244" y="173"/>
                <a:pt x="244" y="173"/>
              </a:cubicBezTo>
              <a:cubicBezTo>
                <a:pt x="244" y="169"/>
                <a:pt x="240" y="165"/>
                <a:pt x="236" y="165"/>
              </a:cubicBezTo>
              <a:cubicBezTo>
                <a:pt x="232" y="165"/>
                <a:pt x="229" y="169"/>
                <a:pt x="229" y="173"/>
              </a:cubicBezTo>
              <a:close/>
              <a:moveTo>
                <a:pt x="159" y="243"/>
              </a:moveTo>
              <a:cubicBezTo>
                <a:pt x="159" y="247"/>
                <a:pt x="162" y="250"/>
                <a:pt x="166" y="250"/>
              </a:cubicBezTo>
              <a:cubicBezTo>
                <a:pt x="184" y="250"/>
                <a:pt x="184" y="250"/>
                <a:pt x="184" y="250"/>
              </a:cubicBezTo>
              <a:cubicBezTo>
                <a:pt x="188" y="250"/>
                <a:pt x="191" y="247"/>
                <a:pt x="191" y="243"/>
              </a:cubicBezTo>
              <a:cubicBezTo>
                <a:pt x="191" y="239"/>
                <a:pt x="188" y="236"/>
                <a:pt x="184" y="236"/>
              </a:cubicBezTo>
              <a:cubicBezTo>
                <a:pt x="166" y="236"/>
                <a:pt x="166" y="236"/>
                <a:pt x="166" y="236"/>
              </a:cubicBezTo>
              <a:cubicBezTo>
                <a:pt x="162" y="236"/>
                <a:pt x="159" y="239"/>
                <a:pt x="159" y="243"/>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4</xdr:col>
      <xdr:colOff>101783</xdr:colOff>
      <xdr:row>79</xdr:row>
      <xdr:rowOff>174140</xdr:rowOff>
    </xdr:from>
    <xdr:to>
      <xdr:col>9</xdr:col>
      <xdr:colOff>1094509</xdr:colOff>
      <xdr:row>94</xdr:row>
      <xdr:rowOff>51526</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61</xdr:row>
      <xdr:rowOff>152942</xdr:rowOff>
    </xdr:from>
    <xdr:to>
      <xdr:col>3</xdr:col>
      <xdr:colOff>180975</xdr:colOff>
      <xdr:row>76</xdr:row>
      <xdr:rowOff>156481</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174171</xdr:colOff>
      <xdr:row>42</xdr:row>
      <xdr:rowOff>129267</xdr:rowOff>
    </xdr:from>
    <xdr:to>
      <xdr:col>3</xdr:col>
      <xdr:colOff>217714</xdr:colOff>
      <xdr:row>57</xdr:row>
      <xdr:rowOff>1766</xdr:rowOff>
    </xdr:to>
    <xdr:graphicFrame macro="">
      <xdr:nvGraphicFramePr>
        <xdr:cNvPr id="19" name="Chart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510268</xdr:colOff>
      <xdr:row>42</xdr:row>
      <xdr:rowOff>119742</xdr:rowOff>
    </xdr:from>
    <xdr:to>
      <xdr:col>9</xdr:col>
      <xdr:colOff>1043667</xdr:colOff>
      <xdr:row>56</xdr:row>
      <xdr:rowOff>174172</xdr:rowOff>
    </xdr:to>
    <xdr:graphicFrame macro="">
      <xdr:nvGraphicFramePr>
        <xdr:cNvPr id="20" name="Chart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511630</xdr:colOff>
      <xdr:row>23</xdr:row>
      <xdr:rowOff>188322</xdr:rowOff>
    </xdr:from>
    <xdr:to>
      <xdr:col>9</xdr:col>
      <xdr:colOff>1045029</xdr:colOff>
      <xdr:row>38</xdr:row>
      <xdr:rowOff>54429</xdr:rowOff>
    </xdr:to>
    <xdr:graphicFrame macro="">
      <xdr:nvGraphicFramePr>
        <xdr:cNvPr id="22" name="Chart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18</xdr:col>
          <xdr:colOff>1060450</xdr:colOff>
          <xdr:row>8</xdr:row>
          <xdr:rowOff>31750</xdr:rowOff>
        </xdr:from>
        <xdr:to>
          <xdr:col>22</xdr:col>
          <xdr:colOff>69850</xdr:colOff>
          <xdr:row>9</xdr:row>
          <xdr:rowOff>146050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500-00001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40</xdr:col>
      <xdr:colOff>247652</xdr:colOff>
      <xdr:row>8</xdr:row>
      <xdr:rowOff>97970</xdr:rowOff>
    </xdr:from>
    <xdr:to>
      <xdr:col>47</xdr:col>
      <xdr:colOff>495300</xdr:colOff>
      <xdr:row>19</xdr:row>
      <xdr:rowOff>10886</xdr:rowOff>
    </xdr:to>
    <xdr:graphicFrame macro="">
      <xdr:nvGraphicFramePr>
        <xdr:cNvPr id="24" name="Chart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25</xdr:col>
          <xdr:colOff>222250</xdr:colOff>
          <xdr:row>14</xdr:row>
          <xdr:rowOff>69850</xdr:rowOff>
        </xdr:from>
        <xdr:to>
          <xdr:col>28</xdr:col>
          <xdr:colOff>184150</xdr:colOff>
          <xdr:row>14</xdr:row>
          <xdr:rowOff>393700</xdr:rowOff>
        </xdr:to>
        <xdr:sp macro="" textlink="">
          <xdr:nvSpPr>
            <xdr:cNvPr id="2081" name="Option Button 33" hidden="1">
              <a:extLst>
                <a:ext uri="{63B3BB69-23CF-44E3-9099-C40C66FF867C}">
                  <a14:compatExt spid="_x0000_s2081"/>
                </a:ext>
                <a:ext uri="{FF2B5EF4-FFF2-40B4-BE49-F238E27FC236}">
                  <a16:creationId xmlns:a16="http://schemas.microsoft.com/office/drawing/2014/main" id="{00000000-0008-0000-0500-00002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222250</xdr:colOff>
          <xdr:row>14</xdr:row>
          <xdr:rowOff>488950</xdr:rowOff>
        </xdr:from>
        <xdr:to>
          <xdr:col>27</xdr:col>
          <xdr:colOff>336550</xdr:colOff>
          <xdr:row>16</xdr:row>
          <xdr:rowOff>0</xdr:rowOff>
        </xdr:to>
        <xdr:sp macro="" textlink="">
          <xdr:nvSpPr>
            <xdr:cNvPr id="2082" name="Option Button 34" hidden="1">
              <a:extLst>
                <a:ext uri="{63B3BB69-23CF-44E3-9099-C40C66FF867C}">
                  <a14:compatExt spid="_x0000_s2082"/>
                </a:ext>
                <a:ext uri="{FF2B5EF4-FFF2-40B4-BE49-F238E27FC236}">
                  <a16:creationId xmlns:a16="http://schemas.microsoft.com/office/drawing/2014/main" id="{00000000-0008-0000-0500-00002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1</xdr:col>
      <xdr:colOff>0</xdr:colOff>
      <xdr:row>9</xdr:row>
      <xdr:rowOff>174535</xdr:rowOff>
    </xdr:from>
    <xdr:to>
      <xdr:col>3</xdr:col>
      <xdr:colOff>5256</xdr:colOff>
      <xdr:row>10</xdr:row>
      <xdr:rowOff>73951</xdr:rowOff>
    </xdr:to>
    <xdr:sp macro="" textlink="">
      <xdr:nvSpPr>
        <xdr:cNvPr id="25" name="Rectangle 24">
          <a:extLst>
            <a:ext uri="{FF2B5EF4-FFF2-40B4-BE49-F238E27FC236}">
              <a16:creationId xmlns:a16="http://schemas.microsoft.com/office/drawing/2014/main" id="{00000000-0008-0000-0500-000019000000}"/>
            </a:ext>
          </a:extLst>
        </xdr:cNvPr>
        <xdr:cNvSpPr/>
      </xdr:nvSpPr>
      <xdr:spPr>
        <a:xfrm>
          <a:off x="272143" y="2297249"/>
          <a:ext cx="4501056" cy="84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1187670</xdr:colOff>
      <xdr:row>9</xdr:row>
      <xdr:rowOff>152763</xdr:rowOff>
    </xdr:from>
    <xdr:to>
      <xdr:col>7</xdr:col>
      <xdr:colOff>1416270</xdr:colOff>
      <xdr:row>10</xdr:row>
      <xdr:rowOff>52179</xdr:rowOff>
    </xdr:to>
    <xdr:sp macro="" textlink="">
      <xdr:nvSpPr>
        <xdr:cNvPr id="26" name="Rectangle 25">
          <a:extLst>
            <a:ext uri="{FF2B5EF4-FFF2-40B4-BE49-F238E27FC236}">
              <a16:creationId xmlns:a16="http://schemas.microsoft.com/office/drawing/2014/main" id="{00000000-0008-0000-0500-00001A000000}"/>
            </a:ext>
          </a:extLst>
        </xdr:cNvPr>
        <xdr:cNvSpPr/>
      </xdr:nvSpPr>
      <xdr:spPr>
        <a:xfrm>
          <a:off x="9014499" y="2493192"/>
          <a:ext cx="3842657" cy="84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161366</xdr:colOff>
      <xdr:row>79</xdr:row>
      <xdr:rowOff>161364</xdr:rowOff>
    </xdr:from>
    <xdr:to>
      <xdr:col>3</xdr:col>
      <xdr:colOff>1524001</xdr:colOff>
      <xdr:row>94</xdr:row>
      <xdr:rowOff>53787</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259976</xdr:colOff>
      <xdr:row>1</xdr:row>
      <xdr:rowOff>80682</xdr:rowOff>
    </xdr:from>
    <xdr:ext cx="1117600" cy="349087"/>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537882" y="197223"/>
          <a:ext cx="1117600" cy="349087"/>
        </a:xfrm>
        <a:prstGeom prst="rect">
          <a:avLst/>
        </a:prstGeom>
      </xdr:spPr>
    </xdr:pic>
    <xdr:clientData/>
  </xdr:oneCellAnchor>
  <xdr:twoCellAnchor>
    <xdr:from>
      <xdr:col>22</xdr:col>
      <xdr:colOff>19050</xdr:colOff>
      <xdr:row>8</xdr:row>
      <xdr:rowOff>19050</xdr:rowOff>
    </xdr:from>
    <xdr:to>
      <xdr:col>22</xdr:col>
      <xdr:colOff>5095875</xdr:colOff>
      <xdr:row>8</xdr:row>
      <xdr:rowOff>190500</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26127075" y="2028825"/>
          <a:ext cx="50768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1076324</xdr:colOff>
      <xdr:row>14</xdr:row>
      <xdr:rowOff>419100</xdr:rowOff>
    </xdr:from>
    <xdr:to>
      <xdr:col>31</xdr:col>
      <xdr:colOff>247649</xdr:colOff>
      <xdr:row>16</xdr:row>
      <xdr:rowOff>123825</xdr:rowOff>
    </xdr:to>
    <xdr:sp macro="" textlink="">
      <xdr:nvSpPr>
        <xdr:cNvPr id="29" name="Rectangle 28">
          <a:extLst>
            <a:ext uri="{FF2B5EF4-FFF2-40B4-BE49-F238E27FC236}">
              <a16:creationId xmlns:a16="http://schemas.microsoft.com/office/drawing/2014/main" id="{00000000-0008-0000-0500-00001D000000}"/>
            </a:ext>
          </a:extLst>
        </xdr:cNvPr>
        <xdr:cNvSpPr/>
      </xdr:nvSpPr>
      <xdr:spPr>
        <a:xfrm>
          <a:off x="36518849" y="4010025"/>
          <a:ext cx="923925" cy="485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108993</xdr:colOff>
      <xdr:row>91</xdr:row>
      <xdr:rowOff>104775</xdr:rowOff>
    </xdr:from>
    <xdr:ext cx="565155" cy="233205"/>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85218" y="19240500"/>
          <a:ext cx="56515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Hygiene</a:t>
          </a:r>
        </a:p>
      </xdr:txBody>
    </xdr:sp>
    <xdr:clientData/>
  </xdr:oneCellAnchor>
  <xdr:oneCellAnchor>
    <xdr:from>
      <xdr:col>1</xdr:col>
      <xdr:colOff>890920</xdr:colOff>
      <xdr:row>91</xdr:row>
      <xdr:rowOff>104775</xdr:rowOff>
    </xdr:from>
    <xdr:ext cx="360290" cy="233205"/>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1167145" y="19240500"/>
          <a:ext cx="36029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PPE</a:t>
          </a:r>
        </a:p>
      </xdr:txBody>
    </xdr:sp>
    <xdr:clientData/>
  </xdr:oneCellAnchor>
  <xdr:oneCellAnchor>
    <xdr:from>
      <xdr:col>1</xdr:col>
      <xdr:colOff>1483872</xdr:colOff>
      <xdr:row>91</xdr:row>
      <xdr:rowOff>104775</xdr:rowOff>
    </xdr:from>
    <xdr:ext cx="717439" cy="233205"/>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1760097" y="19240500"/>
          <a:ext cx="71743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Diagnostics</a:t>
          </a:r>
        </a:p>
      </xdr:txBody>
    </xdr:sp>
    <xdr:clientData/>
  </xdr:oneCellAnchor>
  <xdr:oneCellAnchor>
    <xdr:from>
      <xdr:col>2</xdr:col>
      <xdr:colOff>1148636</xdr:colOff>
      <xdr:row>91</xdr:row>
      <xdr:rowOff>104775</xdr:rowOff>
    </xdr:from>
    <xdr:ext cx="702115" cy="374077"/>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3234611" y="19240500"/>
          <a:ext cx="702115"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Biomedical</a:t>
          </a:r>
          <a:br>
            <a:rPr lang="en-US" sz="900"/>
          </a:br>
          <a:r>
            <a:rPr lang="en-US" sz="900"/>
            <a:t>Equipment</a:t>
          </a:r>
        </a:p>
      </xdr:txBody>
    </xdr:sp>
    <xdr:clientData/>
  </xdr:oneCellAnchor>
  <xdr:oneCellAnchor>
    <xdr:from>
      <xdr:col>3</xdr:col>
      <xdr:colOff>888560</xdr:colOff>
      <xdr:row>91</xdr:row>
      <xdr:rowOff>104775</xdr:rowOff>
    </xdr:from>
    <xdr:ext cx="422167" cy="233205"/>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4860485" y="19240500"/>
          <a:ext cx="42216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Total</a:t>
          </a:r>
        </a:p>
      </xdr:txBody>
    </xdr:sp>
    <xdr:clientData/>
  </xdr:oneCellAnchor>
  <xdr:oneCellAnchor>
    <xdr:from>
      <xdr:col>2</xdr:col>
      <xdr:colOff>341852</xdr:colOff>
      <xdr:row>91</xdr:row>
      <xdr:rowOff>104775</xdr:rowOff>
    </xdr:from>
    <xdr:ext cx="810735" cy="374077"/>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2427827" y="19240500"/>
          <a:ext cx="810735"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Drugs &amp; </a:t>
          </a:r>
          <a:br>
            <a:rPr lang="en-US" sz="900"/>
          </a:br>
          <a:r>
            <a:rPr lang="en-US" sz="900"/>
            <a:t>Consumables</a:t>
          </a:r>
        </a:p>
      </xdr:txBody>
    </xdr:sp>
    <xdr:clientData/>
  </xdr:oneCellAnchor>
  <xdr:oneCellAnchor>
    <xdr:from>
      <xdr:col>2</xdr:col>
      <xdr:colOff>1790860</xdr:colOff>
      <xdr:row>91</xdr:row>
      <xdr:rowOff>104775</xdr:rowOff>
    </xdr:from>
    <xdr:ext cx="941668" cy="514949"/>
    <xdr:sp macro="" textlink="">
      <xdr:nvSpPr>
        <xdr:cNvPr id="35" name="TextBox 34">
          <a:extLst>
            <a:ext uri="{FF2B5EF4-FFF2-40B4-BE49-F238E27FC236}">
              <a16:creationId xmlns:a16="http://schemas.microsoft.com/office/drawing/2014/main" id="{00000000-0008-0000-0500-000023000000}"/>
            </a:ext>
          </a:extLst>
        </xdr:cNvPr>
        <xdr:cNvSpPr txBox="1"/>
      </xdr:nvSpPr>
      <xdr:spPr>
        <a:xfrm>
          <a:off x="3876835" y="19240500"/>
          <a:ext cx="941668"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Biomedical</a:t>
          </a:r>
          <a:br>
            <a:rPr lang="en-US" sz="900"/>
          </a:br>
          <a:r>
            <a:rPr lang="en-US" sz="900"/>
            <a:t>Consumables &amp; </a:t>
          </a:r>
          <a:br>
            <a:rPr lang="en-US" sz="900"/>
          </a:br>
          <a:r>
            <a:rPr lang="en-US" sz="900"/>
            <a:t>Accessories</a:t>
          </a:r>
        </a:p>
      </xdr:txBody>
    </xdr:sp>
    <xdr:clientData/>
  </xdr:oneCellAnchor>
  <xdr:twoCellAnchor>
    <xdr:from>
      <xdr:col>6</xdr:col>
      <xdr:colOff>1971675</xdr:colOff>
      <xdr:row>61</xdr:row>
      <xdr:rowOff>127000</xdr:rowOff>
    </xdr:from>
    <xdr:to>
      <xdr:col>16</xdr:col>
      <xdr:colOff>123824</xdr:colOff>
      <xdr:row>76</xdr:row>
      <xdr:rowOff>130629</xdr:rowOff>
    </xdr:to>
    <xdr:graphicFrame macro="">
      <xdr:nvGraphicFramePr>
        <xdr:cNvPr id="36" name="Chart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43544</xdr:colOff>
      <xdr:row>0</xdr:row>
      <xdr:rowOff>43543</xdr:rowOff>
    </xdr:from>
    <xdr:to>
      <xdr:col>1</xdr:col>
      <xdr:colOff>965371</xdr:colOff>
      <xdr:row>0</xdr:row>
      <xdr:rowOff>439543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44" y="43543"/>
          <a:ext cx="1286498" cy="3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42863</xdr:colOff>
      <xdr:row>0</xdr:row>
      <xdr:rowOff>23813</xdr:rowOff>
    </xdr:from>
    <xdr:to>
      <xdr:col>1</xdr:col>
      <xdr:colOff>967411</xdr:colOff>
      <xdr:row>0</xdr:row>
      <xdr:rowOff>419813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3" y="23813"/>
          <a:ext cx="1286498" cy="396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35859</xdr:colOff>
      <xdr:row>0</xdr:row>
      <xdr:rowOff>31376</xdr:rowOff>
    </xdr:from>
    <xdr:to>
      <xdr:col>2</xdr:col>
      <xdr:colOff>385545</xdr:colOff>
      <xdr:row>0</xdr:row>
      <xdr:rowOff>427376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59" y="31376"/>
          <a:ext cx="1286498" cy="39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xdr:colOff>
      <xdr:row>0</xdr:row>
      <xdr:rowOff>23813</xdr:rowOff>
    </xdr:from>
    <xdr:to>
      <xdr:col>1</xdr:col>
      <xdr:colOff>995985</xdr:colOff>
      <xdr:row>0</xdr:row>
      <xdr:rowOff>419813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 y="23813"/>
          <a:ext cx="1286498" cy="396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16329</xdr:colOff>
      <xdr:row>0</xdr:row>
      <xdr:rowOff>21772</xdr:rowOff>
    </xdr:from>
    <xdr:to>
      <xdr:col>1</xdr:col>
      <xdr:colOff>546270</xdr:colOff>
      <xdr:row>0</xdr:row>
      <xdr:rowOff>417772</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29" y="21772"/>
          <a:ext cx="1286498" cy="39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ashboar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creativecommons.org/licenses/by-nc-sa/3.0/ig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creativecommons.org/licenses/by-nc-sa/3.0/ig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https://creativecommons.org/licenses/by-nc-sa/3.0/ig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https://creativecommons.org/licenses/by-nc-sa/3.0/igo"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s://creativecommons.org/licenses/by-nc-sa/3.0/igo"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creativecommons.org/licenses/by-nc-sa/3.0/igo" TargetMode="External"/><Relationship Id="rId3" Type="http://schemas.openxmlformats.org/officeDocument/2006/relationships/hyperlink" Target="http://apps.who.int/gho/data/node.wrapper.imr?x-id=5322" TargetMode="External"/><Relationship Id="rId7" Type="http://schemas.openxmlformats.org/officeDocument/2006/relationships/hyperlink" Target="https://apps.who.int/gho/data/node.wrapper.imr?x-id=5321" TargetMode="External"/><Relationship Id="rId2" Type="http://schemas.openxmlformats.org/officeDocument/2006/relationships/hyperlink" Target="http://apps.who.int/gho/data/node.wrapper.imr?x-id=5321" TargetMode="External"/><Relationship Id="rId1" Type="http://schemas.openxmlformats.org/officeDocument/2006/relationships/hyperlink" Target="http://apps.who.int/gho/data/node.wrapper.imr?x-id=5320" TargetMode="External"/><Relationship Id="rId6" Type="http://schemas.openxmlformats.org/officeDocument/2006/relationships/hyperlink" Target="https://apps.who.int/gho/data/node.wrapper.imr?x-id=5321" TargetMode="External"/><Relationship Id="rId5" Type="http://schemas.openxmlformats.org/officeDocument/2006/relationships/hyperlink" Target="http://apps.who.int/gho/data/node.wrapper.imr?x-id=5315" TargetMode="External"/><Relationship Id="rId10" Type="http://schemas.openxmlformats.org/officeDocument/2006/relationships/drawing" Target="../drawings/drawing11.xml"/><Relationship Id="rId4" Type="http://schemas.openxmlformats.org/officeDocument/2006/relationships/hyperlink" Target="http://apps.who.int/gho/data/node.wrapper.imr?x-id=5319" TargetMode="External"/><Relationship Id="rId9"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https://creativecommons.org/licenses/by-nc-sa/3.0/ig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creativecommons.org/licenses/by-nc-sa/3.0/igo"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3.xml"/><Relationship Id="rId7" Type="http://schemas.openxmlformats.org/officeDocument/2006/relationships/ctrlProp" Target="../ctrlProps/ctrlProp3.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igo"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printerSettings" Target="../printerSettings/printerSettings6.bin"/><Relationship Id="rId7" Type="http://schemas.openxmlformats.org/officeDocument/2006/relationships/ctrlProp" Target="../ctrlProps/ctrlProp5.xml"/><Relationship Id="rId2" Type="http://schemas.openxmlformats.org/officeDocument/2006/relationships/hyperlink" Target="https://creativecommons.org/licenses/by-nc-sa/3.0/igo" TargetMode="External"/><Relationship Id="rId1" Type="http://schemas.openxmlformats.org/officeDocument/2006/relationships/hyperlink" Target="https://www.who.int/publications-detail/oxygen-sources-and-distribution-for-covid-19-treatment-centres" TargetMode="External"/><Relationship Id="rId6" Type="http://schemas.openxmlformats.org/officeDocument/2006/relationships/ctrlProp" Target="../ctrlProps/ctrlProp4.xml"/><Relationship Id="rId5" Type="http://schemas.openxmlformats.org/officeDocument/2006/relationships/vmlDrawing" Target="../drawings/vmlDrawing2.vml"/><Relationship Id="rId4" Type="http://schemas.openxmlformats.org/officeDocument/2006/relationships/drawing" Target="../drawings/drawing4.xm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creativecommons.org/licenses/by-nc-sa/3.0/i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L19"/>
  <sheetViews>
    <sheetView showGridLines="0" topLeftCell="A10" zoomScale="90" zoomScaleNormal="90" workbookViewId="0"/>
  </sheetViews>
  <sheetFormatPr defaultColWidth="8.81640625" defaultRowHeight="14.5" x14ac:dyDescent="0.35"/>
  <cols>
    <col min="1" max="1" width="3.453125" customWidth="1"/>
    <col min="4" max="4" width="27.453125" customWidth="1"/>
    <col min="5" max="5" width="28.453125" customWidth="1"/>
    <col min="6" max="6" width="26.453125" customWidth="1"/>
    <col min="7" max="7" width="29.453125" customWidth="1"/>
    <col min="8" max="8" width="23.453125" customWidth="1"/>
  </cols>
  <sheetData>
    <row r="1" spans="1:12" s="41" customFormat="1" ht="8.15" customHeight="1" x14ac:dyDescent="0.35">
      <c r="B1" s="4"/>
      <c r="C1" s="4"/>
    </row>
    <row r="2" spans="1:12" s="49" customFormat="1" ht="39" customHeight="1" x14ac:dyDescent="0.5">
      <c r="C2" s="50"/>
      <c r="D2" s="1034" t="s">
        <v>1895</v>
      </c>
    </row>
    <row r="3" spans="1:12" s="41" customFormat="1" x14ac:dyDescent="0.35">
      <c r="A3" s="51"/>
      <c r="B3" s="51" t="s">
        <v>1896</v>
      </c>
    </row>
    <row r="4" spans="1:12" s="41" customFormat="1" ht="15" thickBot="1" x14ac:dyDescent="0.4">
      <c r="B4" s="51"/>
    </row>
    <row r="5" spans="1:12" s="41" customFormat="1" ht="44" thickBot="1" x14ac:dyDescent="0.4">
      <c r="B5" s="1392" t="s">
        <v>789</v>
      </c>
      <c r="C5" s="1393"/>
      <c r="D5" s="1393"/>
      <c r="E5" s="1393"/>
      <c r="F5" s="1393"/>
      <c r="G5" s="1393"/>
      <c r="H5" s="155" t="s">
        <v>800</v>
      </c>
      <c r="I5" s="9" t="s">
        <v>792</v>
      </c>
    </row>
    <row r="6" spans="1:12" s="41" customFormat="1" ht="60.65" customHeight="1" x14ac:dyDescent="0.35">
      <c r="B6" s="1394" t="s">
        <v>1710</v>
      </c>
      <c r="C6" s="1395"/>
      <c r="D6" s="1395"/>
      <c r="E6" s="1395"/>
      <c r="F6" s="1395"/>
      <c r="G6" s="1395"/>
      <c r="H6" s="1400"/>
      <c r="I6" s="9">
        <f>IF(ISBLANK(H6),0,1)</f>
        <v>0</v>
      </c>
      <c r="L6" s="9" t="s">
        <v>790</v>
      </c>
    </row>
    <row r="7" spans="1:12" s="41" customFormat="1" ht="60" customHeight="1" x14ac:dyDescent="0.35">
      <c r="B7" s="1396" t="s">
        <v>1746</v>
      </c>
      <c r="C7" s="1397"/>
      <c r="D7" s="1397"/>
      <c r="E7" s="1397"/>
      <c r="F7" s="1397"/>
      <c r="G7" s="1397"/>
      <c r="H7" s="1401"/>
      <c r="I7" s="9">
        <f>IF(ISBLANK(H7),0,1)</f>
        <v>0</v>
      </c>
      <c r="L7" s="9"/>
    </row>
    <row r="8" spans="1:12" ht="45" customHeight="1" x14ac:dyDescent="0.35">
      <c r="B8" s="1396" t="s">
        <v>1703</v>
      </c>
      <c r="C8" s="1397"/>
      <c r="D8" s="1397"/>
      <c r="E8" s="1397"/>
      <c r="F8" s="1397"/>
      <c r="G8" s="1397"/>
      <c r="H8" s="1401"/>
      <c r="I8" s="9">
        <f>IF(ISBLANK(H8),0,1)</f>
        <v>0</v>
      </c>
    </row>
    <row r="9" spans="1:12" s="41" customFormat="1" ht="59.15" customHeight="1" x14ac:dyDescent="0.35">
      <c r="B9" s="1396" t="s">
        <v>1704</v>
      </c>
      <c r="C9" s="1397"/>
      <c r="D9" s="1397"/>
      <c r="E9" s="1397"/>
      <c r="F9" s="1397"/>
      <c r="G9" s="1397"/>
      <c r="H9" s="1401"/>
      <c r="I9" s="9">
        <f>IF(ISBLANK(H9),0,1)</f>
        <v>0</v>
      </c>
    </row>
    <row r="10" spans="1:12" ht="34.4" customHeight="1" thickBot="1" x14ac:dyDescent="0.4">
      <c r="B10" s="1398" t="s">
        <v>1701</v>
      </c>
      <c r="C10" s="1399"/>
      <c r="D10" s="1399"/>
      <c r="E10" s="1399"/>
      <c r="F10" s="1399"/>
      <c r="G10" s="1399"/>
      <c r="H10" s="1402"/>
      <c r="I10" s="9">
        <f>IF(ISBLANK(H10),0,1)</f>
        <v>0</v>
      </c>
    </row>
    <row r="11" spans="1:12" x14ac:dyDescent="0.35">
      <c r="B11" s="41"/>
      <c r="I11" s="9">
        <f>SUM(I6:I10)</f>
        <v>0</v>
      </c>
    </row>
    <row r="13" spans="1:12" x14ac:dyDescent="0.35">
      <c r="B13" s="4" t="s">
        <v>791</v>
      </c>
      <c r="G13" s="1390" t="str">
        <f>IF(I11=1,"COMPLETE, please proceed to the following tabs","Please review disclaimer")</f>
        <v>Please review disclaimer</v>
      </c>
      <c r="H13" s="1391"/>
    </row>
    <row r="17" spans="2:7" x14ac:dyDescent="0.35">
      <c r="B17" s="909"/>
      <c r="C17" s="909"/>
      <c r="D17" s="909"/>
      <c r="E17" s="909"/>
      <c r="F17" s="909"/>
      <c r="G17" s="909"/>
    </row>
    <row r="18" spans="2:7" ht="18" customHeight="1" x14ac:dyDescent="0.35">
      <c r="B18" s="1389" t="s">
        <v>1898</v>
      </c>
      <c r="C18" s="1389"/>
      <c r="D18" s="1389"/>
      <c r="E18" s="1389"/>
      <c r="F18" s="1389"/>
      <c r="G18" s="1389"/>
    </row>
    <row r="19" spans="2:7" ht="18" customHeight="1" x14ac:dyDescent="0.35">
      <c r="B19" s="909" t="s">
        <v>1897</v>
      </c>
      <c r="C19" s="909"/>
      <c r="D19" s="909"/>
      <c r="E19" s="909"/>
      <c r="F19" s="909"/>
      <c r="G19" s="909"/>
    </row>
  </sheetData>
  <sheetProtection algorithmName="SHA-512" hashValue="bjoKGxgJEe0HQAN1YXORshdo9IyGA2GEsXfTzs9Rzi6snvHbLfe9b48BjTxIIDfOxftnzmDsaGO6LxCZ3ui+ng==" saltValue="69A9Pwx3jAbGOZuAEJXniw==" spinCount="100000" sheet="1" objects="1" scenarios="1"/>
  <mergeCells count="9">
    <mergeCell ref="B18:G18"/>
    <mergeCell ref="G13:H13"/>
    <mergeCell ref="B5:G5"/>
    <mergeCell ref="B6:G6"/>
    <mergeCell ref="B8:G8"/>
    <mergeCell ref="B10:G10"/>
    <mergeCell ref="B7:G7"/>
    <mergeCell ref="B9:G9"/>
    <mergeCell ref="H6:H10"/>
  </mergeCells>
  <conditionalFormatting sqref="G13">
    <cfRule type="expression" dxfId="111" priority="2">
      <formula>IF(G13="Please review disclaimer",TRUE,FALSE)</formula>
    </cfRule>
  </conditionalFormatting>
  <conditionalFormatting sqref="B22">
    <cfRule type="expression" priority="1">
      <formula>IF($I$11=1,TRUE,FALSE)</formula>
    </cfRule>
  </conditionalFormatting>
  <dataValidations count="1">
    <dataValidation type="list" allowBlank="1" showInputMessage="1" showErrorMessage="1" sqref="H6" xr:uid="{00000000-0002-0000-0000-000000000000}">
      <formula1>$L$6:$L$7</formula1>
    </dataValidation>
  </dataValidations>
  <hyperlinks>
    <hyperlink ref="B18" r:id="rId1" display="https://creativecommons.org/licenses/by-nc-sa/3.0/igo" xr:uid="{2D03B1F5-1F2C-4356-84CB-9414B8F4F64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pageSetUpPr autoPageBreaks="0"/>
  </sheetPr>
  <dimension ref="A1:BJ91"/>
  <sheetViews>
    <sheetView showGridLines="0" zoomScale="80" zoomScaleNormal="80" workbookViewId="0">
      <pane xSplit="5" ySplit="12" topLeftCell="F40" activePane="bottomRight" state="frozen"/>
      <selection pane="topRight" activeCell="F1" sqref="F1"/>
      <selection pane="bottomLeft" activeCell="A15" sqref="A15"/>
      <selection pane="bottomRight" activeCell="B4" sqref="B4:D7"/>
    </sheetView>
  </sheetViews>
  <sheetFormatPr defaultColWidth="8.453125" defaultRowHeight="14.5" x14ac:dyDescent="0.35"/>
  <cols>
    <col min="1" max="1" width="5" style="909" customWidth="1"/>
    <col min="2" max="2" width="23.453125" style="81" customWidth="1"/>
    <col min="3" max="3" width="21.453125" style="81" bestFit="1" customWidth="1"/>
    <col min="4" max="4" width="41.453125" style="909" customWidth="1"/>
    <col min="5" max="5" width="10.453125" style="909" customWidth="1"/>
    <col min="6" max="6" width="14.453125" style="909" customWidth="1"/>
    <col min="7" max="7" width="39.453125" style="909" customWidth="1"/>
    <col min="8" max="8" width="11.7265625" style="909" customWidth="1"/>
    <col min="9" max="9" width="5.1796875" style="909" customWidth="1"/>
    <col min="10" max="10" width="15.1796875" style="909" customWidth="1"/>
    <col min="11" max="62" width="16.1796875" style="909" customWidth="1"/>
    <col min="63" max="16384" width="8.453125" style="909"/>
  </cols>
  <sheetData>
    <row r="1" spans="1:62" ht="38.15" customHeight="1" x14ac:dyDescent="0.35"/>
    <row r="2" spans="1:62" s="23" customFormat="1" ht="18.5" x14ac:dyDescent="0.45">
      <c r="B2" s="523" t="s">
        <v>1880</v>
      </c>
      <c r="C2" s="523"/>
      <c r="F2" s="24"/>
      <c r="G2" s="24"/>
      <c r="H2" s="24"/>
      <c r="I2" s="24"/>
      <c r="J2" s="24"/>
    </row>
    <row r="3" spans="1:62" ht="15" thickBot="1" x14ac:dyDescent="0.4">
      <c r="B3" s="733"/>
      <c r="F3" s="6"/>
      <c r="G3" s="33"/>
    </row>
    <row r="4" spans="1:62" ht="15" customHeight="1" thickBot="1" x14ac:dyDescent="0.4">
      <c r="B4" s="1428" t="s">
        <v>1890</v>
      </c>
      <c r="C4" s="1429"/>
      <c r="D4" s="1430"/>
      <c r="E4" s="1320"/>
      <c r="G4" s="165" t="s">
        <v>1441</v>
      </c>
      <c r="H4"/>
    </row>
    <row r="5" spans="1:62" ht="15" customHeight="1" x14ac:dyDescent="0.35">
      <c r="B5" s="1431"/>
      <c r="C5" s="1432"/>
      <c r="D5" s="1433"/>
      <c r="E5" s="1320"/>
      <c r="F5" s="6"/>
      <c r="G5" s="164" t="s">
        <v>297</v>
      </c>
      <c r="H5"/>
      <c r="L5"/>
      <c r="M5"/>
      <c r="N5"/>
      <c r="O5"/>
      <c r="P5"/>
      <c r="Q5"/>
      <c r="R5"/>
      <c r="S5"/>
      <c r="T5"/>
      <c r="U5"/>
      <c r="V5"/>
      <c r="W5"/>
      <c r="X5"/>
      <c r="Y5"/>
      <c r="Z5"/>
    </row>
    <row r="6" spans="1:62" s="137" customFormat="1" ht="15" customHeight="1" x14ac:dyDescent="0.35">
      <c r="A6"/>
      <c r="B6" s="1431"/>
      <c r="C6" s="1432"/>
      <c r="D6" s="1433"/>
      <c r="E6"/>
      <c r="F6" s="138"/>
      <c r="G6" s="164" t="s">
        <v>263</v>
      </c>
      <c r="H6"/>
      <c r="I6" s="909"/>
      <c r="J6" s="909"/>
      <c r="L6"/>
      <c r="M6"/>
      <c r="N6"/>
      <c r="O6"/>
      <c r="P6"/>
      <c r="Q6"/>
      <c r="R6"/>
      <c r="S6"/>
      <c r="T6"/>
      <c r="U6"/>
      <c r="V6"/>
      <c r="W6"/>
      <c r="X6"/>
      <c r="Y6"/>
      <c r="Z6"/>
    </row>
    <row r="7" spans="1:62" s="137" customFormat="1" ht="15" customHeight="1" thickBot="1" x14ac:dyDescent="0.4">
      <c r="A7"/>
      <c r="B7" s="1434"/>
      <c r="C7" s="1435"/>
      <c r="D7" s="1436"/>
      <c r="E7"/>
      <c r="F7" s="138"/>
      <c r="G7" s="164" t="s">
        <v>262</v>
      </c>
      <c r="H7"/>
      <c r="I7" s="909"/>
      <c r="J7" s="909"/>
      <c r="K7" s="1348" t="s">
        <v>1889</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row>
    <row r="8" spans="1:62" ht="15" thickBot="1" x14ac:dyDescent="0.4">
      <c r="A8"/>
      <c r="B8"/>
      <c r="C8"/>
      <c r="D8"/>
      <c r="E8"/>
      <c r="F8" s="6"/>
      <c r="G8" s="700" t="s">
        <v>610</v>
      </c>
      <c r="H8"/>
      <c r="J8" s="27"/>
      <c r="K8" s="885" t="s">
        <v>1577</v>
      </c>
    </row>
    <row r="9" spans="1:62" x14ac:dyDescent="0.35">
      <c r="J9" s="1387">
        <f>'User Dashboard'!$H$14</f>
        <v>44065</v>
      </c>
      <c r="K9" s="1387">
        <f t="shared" ref="K9:AP9" si="0">DATE(YEAR(J9),MONTH(J9),DAY(J9)+7)</f>
        <v>44072</v>
      </c>
      <c r="L9" s="1387">
        <f t="shared" si="0"/>
        <v>44079</v>
      </c>
      <c r="M9" s="1387">
        <f t="shared" si="0"/>
        <v>44086</v>
      </c>
      <c r="N9" s="1387">
        <f t="shared" si="0"/>
        <v>44093</v>
      </c>
      <c r="O9" s="1387">
        <f t="shared" si="0"/>
        <v>44100</v>
      </c>
      <c r="P9" s="1387">
        <f t="shared" si="0"/>
        <v>44107</v>
      </c>
      <c r="Q9" s="1387">
        <f t="shared" si="0"/>
        <v>44114</v>
      </c>
      <c r="R9" s="1387">
        <f t="shared" si="0"/>
        <v>44121</v>
      </c>
      <c r="S9" s="1387">
        <f t="shared" si="0"/>
        <v>44128</v>
      </c>
      <c r="T9" s="1387">
        <f t="shared" si="0"/>
        <v>44135</v>
      </c>
      <c r="U9" s="1387">
        <f t="shared" si="0"/>
        <v>44142</v>
      </c>
      <c r="V9" s="1387">
        <f t="shared" si="0"/>
        <v>44149</v>
      </c>
      <c r="W9" s="1387">
        <f t="shared" si="0"/>
        <v>44156</v>
      </c>
      <c r="X9" s="1387">
        <f t="shared" si="0"/>
        <v>44163</v>
      </c>
      <c r="Y9" s="1387">
        <f t="shared" si="0"/>
        <v>44170</v>
      </c>
      <c r="Z9" s="1387">
        <f t="shared" si="0"/>
        <v>44177</v>
      </c>
      <c r="AA9" s="1387">
        <f t="shared" si="0"/>
        <v>44184</v>
      </c>
      <c r="AB9" s="1387">
        <f t="shared" si="0"/>
        <v>44191</v>
      </c>
      <c r="AC9" s="1387">
        <f t="shared" si="0"/>
        <v>44198</v>
      </c>
      <c r="AD9" s="1387">
        <f t="shared" si="0"/>
        <v>44205</v>
      </c>
      <c r="AE9" s="1387">
        <f t="shared" si="0"/>
        <v>44212</v>
      </c>
      <c r="AF9" s="1387">
        <f t="shared" si="0"/>
        <v>44219</v>
      </c>
      <c r="AG9" s="1387">
        <f t="shared" si="0"/>
        <v>44226</v>
      </c>
      <c r="AH9" s="1387">
        <f t="shared" si="0"/>
        <v>44233</v>
      </c>
      <c r="AI9" s="1387">
        <f t="shared" si="0"/>
        <v>44240</v>
      </c>
      <c r="AJ9" s="1387">
        <f t="shared" si="0"/>
        <v>44247</v>
      </c>
      <c r="AK9" s="1387">
        <f t="shared" si="0"/>
        <v>44254</v>
      </c>
      <c r="AL9" s="1387">
        <f t="shared" si="0"/>
        <v>44261</v>
      </c>
      <c r="AM9" s="1387">
        <f t="shared" si="0"/>
        <v>44268</v>
      </c>
      <c r="AN9" s="1387">
        <f t="shared" si="0"/>
        <v>44275</v>
      </c>
      <c r="AO9" s="1387">
        <f t="shared" si="0"/>
        <v>44282</v>
      </c>
      <c r="AP9" s="1387">
        <f t="shared" si="0"/>
        <v>44289</v>
      </c>
      <c r="AQ9" s="1387">
        <f t="shared" ref="AQ9:BJ9" si="1">DATE(YEAR(AP9),MONTH(AP9),DAY(AP9)+7)</f>
        <v>44296</v>
      </c>
      <c r="AR9" s="1387">
        <f t="shared" si="1"/>
        <v>44303</v>
      </c>
      <c r="AS9" s="1387">
        <f t="shared" si="1"/>
        <v>44310</v>
      </c>
      <c r="AT9" s="1387">
        <f t="shared" si="1"/>
        <v>44317</v>
      </c>
      <c r="AU9" s="1387">
        <f t="shared" si="1"/>
        <v>44324</v>
      </c>
      <c r="AV9" s="1387">
        <f t="shared" si="1"/>
        <v>44331</v>
      </c>
      <c r="AW9" s="1387">
        <f t="shared" si="1"/>
        <v>44338</v>
      </c>
      <c r="AX9" s="1387">
        <f t="shared" si="1"/>
        <v>44345</v>
      </c>
      <c r="AY9" s="1387">
        <f t="shared" si="1"/>
        <v>44352</v>
      </c>
      <c r="AZ9" s="1387">
        <f t="shared" si="1"/>
        <v>44359</v>
      </c>
      <c r="BA9" s="1387">
        <f t="shared" si="1"/>
        <v>44366</v>
      </c>
      <c r="BB9" s="1387">
        <f t="shared" si="1"/>
        <v>44373</v>
      </c>
      <c r="BC9" s="1387">
        <f t="shared" si="1"/>
        <v>44380</v>
      </c>
      <c r="BD9" s="1387">
        <f t="shared" si="1"/>
        <v>44387</v>
      </c>
      <c r="BE9" s="1387">
        <f t="shared" si="1"/>
        <v>44394</v>
      </c>
      <c r="BF9" s="1387">
        <f t="shared" si="1"/>
        <v>44401</v>
      </c>
      <c r="BG9" s="1387">
        <f t="shared" si="1"/>
        <v>44408</v>
      </c>
      <c r="BH9" s="1387">
        <f t="shared" si="1"/>
        <v>44415</v>
      </c>
      <c r="BI9" s="1387">
        <f t="shared" si="1"/>
        <v>44422</v>
      </c>
      <c r="BJ9" s="1387">
        <f t="shared" si="1"/>
        <v>44429</v>
      </c>
    </row>
    <row r="10" spans="1:62" customFormat="1" ht="18.5" x14ac:dyDescent="0.35">
      <c r="A10" s="240"/>
      <c r="B10" s="606" t="s">
        <v>1310</v>
      </c>
      <c r="C10" s="603"/>
      <c r="D10" s="240"/>
      <c r="E10" s="240"/>
      <c r="F10" s="240"/>
      <c r="G10" s="240"/>
      <c r="H10" s="240"/>
      <c r="I10" s="240"/>
      <c r="J10" s="1334">
        <v>0</v>
      </c>
      <c r="K10" s="1335">
        <v>1</v>
      </c>
      <c r="L10" s="1335">
        <v>2</v>
      </c>
      <c r="M10" s="1335">
        <v>3</v>
      </c>
      <c r="N10" s="1335">
        <v>4</v>
      </c>
      <c r="O10" s="1355">
        <v>5</v>
      </c>
      <c r="P10" s="1355">
        <v>6</v>
      </c>
      <c r="Q10" s="1355">
        <v>7</v>
      </c>
      <c r="R10" s="1355">
        <v>8</v>
      </c>
      <c r="S10" s="1335">
        <v>9</v>
      </c>
      <c r="T10" s="1335">
        <v>10</v>
      </c>
      <c r="U10" s="1335">
        <v>11</v>
      </c>
      <c r="V10" s="1335">
        <v>12</v>
      </c>
      <c r="W10" s="1335">
        <v>13</v>
      </c>
      <c r="X10" s="1335">
        <v>14</v>
      </c>
      <c r="Y10" s="1335">
        <v>15</v>
      </c>
      <c r="Z10" s="1335">
        <v>16</v>
      </c>
      <c r="AA10" s="1335">
        <v>17</v>
      </c>
      <c r="AB10" s="1335">
        <v>18</v>
      </c>
      <c r="AC10" s="1335">
        <v>19</v>
      </c>
      <c r="AD10" s="1335">
        <v>20</v>
      </c>
      <c r="AE10" s="1335">
        <v>21</v>
      </c>
      <c r="AF10" s="1335">
        <v>22</v>
      </c>
      <c r="AG10" s="1335">
        <v>23</v>
      </c>
      <c r="AH10" s="1335">
        <v>24</v>
      </c>
      <c r="AI10" s="1335">
        <v>25</v>
      </c>
      <c r="AJ10" s="1335">
        <v>26</v>
      </c>
      <c r="AK10" s="1335">
        <v>27</v>
      </c>
      <c r="AL10" s="1335">
        <v>28</v>
      </c>
      <c r="AM10" s="1335">
        <v>29</v>
      </c>
      <c r="AN10" s="1335">
        <v>30</v>
      </c>
      <c r="AO10" s="1335">
        <v>31</v>
      </c>
      <c r="AP10" s="1335">
        <v>32</v>
      </c>
      <c r="AQ10" s="1335">
        <v>33</v>
      </c>
      <c r="AR10" s="1335">
        <v>34</v>
      </c>
      <c r="AS10" s="1335">
        <v>35</v>
      </c>
      <c r="AT10" s="1335">
        <v>36</v>
      </c>
      <c r="AU10" s="1335">
        <v>37</v>
      </c>
      <c r="AV10" s="1335">
        <v>38</v>
      </c>
      <c r="AW10" s="1335">
        <v>39</v>
      </c>
      <c r="AX10" s="1335">
        <v>40</v>
      </c>
      <c r="AY10" s="1335">
        <v>41</v>
      </c>
      <c r="AZ10" s="1335">
        <v>42</v>
      </c>
      <c r="BA10" s="1335">
        <v>43</v>
      </c>
      <c r="BB10" s="1335">
        <v>44</v>
      </c>
      <c r="BC10" s="1335">
        <v>45</v>
      </c>
      <c r="BD10" s="1335">
        <v>46</v>
      </c>
      <c r="BE10" s="1335">
        <v>47</v>
      </c>
      <c r="BF10" s="1335">
        <v>48</v>
      </c>
      <c r="BG10" s="1335">
        <v>49</v>
      </c>
      <c r="BH10" s="1335">
        <v>50</v>
      </c>
      <c r="BI10" s="1335">
        <v>51</v>
      </c>
      <c r="BJ10" s="1335">
        <v>52</v>
      </c>
    </row>
    <row r="11" spans="1:62" customFormat="1" ht="15" thickBot="1" x14ac:dyDescent="0.4">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c r="AP11" s="909"/>
      <c r="AQ11" s="909"/>
      <c r="AR11" s="909"/>
      <c r="AS11" s="909"/>
      <c r="AT11" s="909"/>
      <c r="AU11" s="909"/>
      <c r="AV11" s="909"/>
      <c r="AW11" s="909"/>
      <c r="AX11" s="909"/>
      <c r="AY11" s="909"/>
      <c r="AZ11" s="909"/>
      <c r="BA11" s="909"/>
      <c r="BB11" s="909"/>
      <c r="BC11" s="909"/>
      <c r="BD11" s="909"/>
      <c r="BE11" s="909"/>
      <c r="BF11" s="909"/>
      <c r="BG11" s="909"/>
      <c r="BH11" s="909"/>
      <c r="BI11" s="909"/>
      <c r="BJ11" s="909"/>
    </row>
    <row r="12" spans="1:62" s="1" customFormat="1" ht="15" thickBot="1" x14ac:dyDescent="0.4">
      <c r="B12" s="772" t="s">
        <v>292</v>
      </c>
      <c r="C12" s="773" t="s">
        <v>294</v>
      </c>
      <c r="D12" s="773" t="s">
        <v>293</v>
      </c>
      <c r="E12" s="773" t="s">
        <v>287</v>
      </c>
      <c r="F12" s="773" t="s">
        <v>276</v>
      </c>
      <c r="G12" s="774" t="s">
        <v>778</v>
      </c>
      <c r="H12" s="1361" t="s">
        <v>259</v>
      </c>
      <c r="X12" s="1329"/>
      <c r="Y12" s="1329"/>
    </row>
    <row r="13" spans="1:62" x14ac:dyDescent="0.35">
      <c r="B13" s="1359" t="s">
        <v>295</v>
      </c>
      <c r="C13" s="1360" t="str">
        <f>'Equipment List &amp; Usage'!C15</f>
        <v>Hygiene</v>
      </c>
      <c r="D13" s="1360" t="str">
        <f>'Equipment List &amp; Usage'!D15</f>
        <v>Chlorine, HTH 70%</v>
      </c>
      <c r="E13" s="1360" t="str">
        <f>'Equipment List &amp; Usage'!E15</f>
        <v>Kg</v>
      </c>
      <c r="F13" s="1360" t="str">
        <f>'Equipment List &amp; Usage'!F15</f>
        <v>No</v>
      </c>
      <c r="G13" s="1360" t="str">
        <f>'Equipment List &amp; Usage'!G15</f>
        <v>N/A</v>
      </c>
      <c r="H13" s="1364">
        <f ca="1">SUM(K13:BJ13)</f>
        <v>1521.4469211251035</v>
      </c>
      <c r="J13" s="1356"/>
      <c r="K13" s="1375">
        <f ca="1">IF('User Dashboard'!$H$13=1,0,IF($F13="Yes",(
IF($F13="yes",MMULT(--('Equipment List &amp; Usage'!$J15:$N15&gt;0),--('Weekly Summary'!E$112:E$116))*'Equipment List &amp; Usage'!$C$114,MMULT(--('Equipment List &amp; Usage'!$J15:$N15),--('Weekly Summary'!E$112:E$116))*'Equipment List &amp; Usage'!$C$115)+IF('Equipment List &amp; Usage'!$F14="yes",'Equipment List &amp; Usage'!$C$114,'Equipment List &amp; Usage'!$C$115)*(('Weekly Summary'!E$66*'Equipment List &amp; Usage'!$Q15)+('Weekly Summary'!E$64*'Equipment List &amp; Usage'!$O15)+('Weekly Summary'!E$65*'Equipment List &amp; Usage'!$P15)))+(IF('Equipment List &amp; Usage'!$F15="Yes",'Equipment List &amp; Usage'!$C$114*((('Weekly Summary'!E$131*SelfQuarantine_Mild)+('Weekly Summary'!E$100*SelfQuarantine_Mild)+('Weekly Summary'!E$101*SelfQuarantine_Moderate))),'Equipment List &amp; Usage'!$C$115)*((('Weekly Summary'!E$131*SelfQuarantine_Mild*'Equipment List &amp; Usage'!$W15)+('Weekly Summary'!E$100*SelfQuarantine_Mild*'Equipment List &amp; Usage'!$X15)+('Weekly Summary'!E$101*SelfQuarantine_Moderate*'Equipment List &amp; Usage'!$X15)))+IF('Equipment List &amp; Usage'!$F15="Yes",'Equipment List &amp; Usage'!$C$114*(IF('Equipment List &amp; Usage'!$AA15&gt;0,'Weekly Summary'!E$128,0)+IF('Equipment List &amp; Usage'!$AB15&gt;0,'Weekly Summary'!E$100+'Weekly Summary'!E$101,0)),'Equipment List &amp; Usage'!$C$115*(('Weekly Summary'!E$128*'Equipment List &amp; Usage'!$AA15)+('Weekly Summary'!E$100*'Equipment List &amp; Usage'!$AB15*SelfQuarantine_Mild)+('Weekly Summary'!E$101*'Equipment List &amp; Usage'!$AB15*SelfQuarantine_Moderate)))+IF('Equipment List &amp; Usage'!$F15="Yes",('Equipment List &amp; Usage'!$C$114*(IF('Equipment List &amp; Usage'!$AE15&gt;0,'Weekly Summary'!E$134,0)+IF('Equipment List &amp; Usage'!$AF15&gt;0,'Weekly Summary'!E$135))),'Equipment List &amp; Usage'!$C$115*(('Weekly Summary'!E$134*'Equipment List &amp; Usage'!$AE15)+('Weekly Summary'!E$135*'Equipment List &amp; Usage'!$AF15)))),
IF($F13="yes",MMULT(--('Equipment List &amp; Usage'!$J15:$N15&gt;0),--('Weekly Summary'!E$112:E$116))*'Equipment List &amp; Usage'!$C$114,MMULT(--('Equipment List &amp; Usage'!$J15:$N15),--('Weekly Summary'!E$112:E$116))*'Equipment List &amp; Usage'!$C$115)+IF('Equipment List &amp; Usage'!$F14="yes",'Equipment List &amp; Usage'!$C$114,'Equipment List &amp; Usage'!$C$115)*(('Weekly Summary'!E$66*'Equipment List &amp; Usage'!$Q15)+('Weekly Summary'!E$64*'Equipment List &amp; Usage'!$O15)+('Weekly Summary'!E$65*'Equipment List &amp; Usage'!$P15))+(IF('Equipment List &amp; Usage'!$F15="Yes",'Equipment List &amp; Usage'!$C$114*((('Weekly Summary'!E$131*SelfQuarantine_Mild)+('Weekly Summary'!E$100*SelfQuarantine_Mild)+('Weekly Summary'!E$101*SelfQuarantine_Moderate))),'Equipment List &amp; Usage'!$C$115)*((('Weekly Summary'!E$131*SelfQuarantine_Mild*'Equipment List &amp; Usage'!$W15)+('Weekly Summary'!E$100*SelfQuarantine_Mild*'Equipment List &amp; Usage'!$X15)+('Weekly Summary'!E$101*SelfQuarantine_Moderate*'Equipment List &amp; Usage'!$X15))))+IF('Equipment List &amp; Usage'!$F15="Yes",'Equipment List &amp; Usage'!$C$114*(IF('Equipment List &amp; Usage'!$AA15&gt;0,'Weekly Summary'!E$128,0)+IF('Equipment List &amp; Usage'!$AB15&gt;0,'Weekly Summary'!E$100+'Weekly Summary'!E$101,0)),'Equipment List &amp; Usage'!$C$115*(('Weekly Summary'!E$128*'Equipment List &amp; Usage'!$AA15)+('Weekly Summary'!E$100*'Equipment List &amp; Usage'!$AB15*SelfQuarantine_Mild)+('Weekly Summary'!E$101*'Equipment List &amp; Usage'!$AB15*SelfQuarantine_Moderate)))+IF('Equipment List &amp; Usage'!$F15="Yes",('Equipment List &amp; Usage'!$C$114*(IF('Equipment List &amp; Usage'!$AE15&gt;0,'Weekly Summary'!E$134,0)+IF('Equipment List &amp; Usage'!$AF15&gt;0,'Weekly Summary'!E$135))),'Equipment List &amp; Usage'!$C$115*(('Weekly Summary'!E$134*'Equipment List &amp; Usage'!$AE15)+('Weekly Summary'!E$135*'Equipment List &amp; Usage'!$AF15)))))</f>
        <v>241.60840924402015</v>
      </c>
      <c r="L13" s="1375">
        <f ca="1">MAX(IF($F13="Yes",(
IF($F13="yes",MMULT(--('Equipment List &amp; Usage'!$J15:$N15&gt;0),--('Weekly Summary'!F$112:F$116))*'Equipment List &amp; Usage'!$C$114,MMULT(--('Equipment List &amp; Usage'!$J15:$N15),--('Weekly Summary'!F$112:F$116))*'Equipment List &amp; Usage'!$C$115)+IF('Equipment List &amp; Usage'!$F14="yes",'Equipment List &amp; Usage'!$C$114,'Equipment List &amp; Usage'!$C$115)*(('Weekly Summary'!F$66*'Equipment List &amp; Usage'!$Q15)+('Weekly Summary'!F$64*'Equipment List &amp; Usage'!$O15)+('Weekly Summary'!F$65*'Equipment List &amp; Usage'!$P15)))+(IF('Equipment List &amp; Usage'!$F15="Yes",'Equipment List &amp; Usage'!$C$114*((('Weekly Summary'!F$131*SelfQuarantine_Mild)+('Weekly Summary'!F$100*SelfQuarantine_Mild)+('Weekly Summary'!F$101*SelfQuarantine_Moderate))),'Equipment List &amp; Usage'!$C$115)*((('Weekly Summary'!F$131*SelfQuarantine_Mild*'Equipment List &amp; Usage'!$W15)+('Weekly Summary'!F$100*SelfQuarantine_Mild*'Equipment List &amp; Usage'!$X15)+('Weekly Summary'!F$101*SelfQuarantine_Moderate*'Equipment List &amp; Usage'!$X15)))+IF('Equipment List &amp; Usage'!$F15="Yes",'Equipment List &amp; Usage'!$C$114*(IF('Equipment List &amp; Usage'!$AA15&gt;0,'Weekly Summary'!F$128,0)+IF('Equipment List &amp; Usage'!$AB15&gt;0,'Weekly Summary'!F$100+'Weekly Summary'!F$101,0)),'Equipment List &amp; Usage'!$C$115*(('Weekly Summary'!F$128*'Equipment List &amp; Usage'!$AA15)+('Weekly Summary'!F$100*'Equipment List &amp; Usage'!$AB15*SelfQuarantine_Mild)+('Weekly Summary'!F$101*'Equipment List &amp; Usage'!$AB15*SelfQuarantine_Moderate)))+IF('Equipment List &amp; Usage'!$F15="Yes",('Equipment List &amp; Usage'!$C$114*(IF('Equipment List &amp; Usage'!$AE15&gt;0,'Weekly Summary'!F$134,0)+IF('Equipment List &amp; Usage'!$AF15&gt;0,'Weekly Summary'!F$135))),'Equipment List &amp; Usage'!$C$115*(('Weekly Summary'!F$134*'Equipment List &amp; Usage'!$AE15)+('Weekly Summary'!F$135*'Equipment List &amp; Usage'!$AF15))))-SUM($I13:K13),
IF($F13="yes",MMULT(--('Equipment List &amp; Usage'!$J15:$N15&gt;0),--('Weekly Summary'!F$112:F$116))*'Equipment List &amp; Usage'!$C$114,MMULT(--('Equipment List &amp; Usage'!$J15:$N15),--('Weekly Summary'!F$112:F$116))*'Equipment List &amp; Usage'!$C$115)+IF('Equipment List &amp; Usage'!$F14="yes",'Equipment List &amp; Usage'!$C$114,'Equipment List &amp; Usage'!$C$115)*(('Weekly Summary'!F$66*'Equipment List &amp; Usage'!$Q15)+('Weekly Summary'!F$64*'Equipment List &amp; Usage'!$O15)+('Weekly Summary'!F$65*'Equipment List &amp; Usage'!$P15))+(IF('Equipment List &amp; Usage'!$F15="Yes",'Equipment List &amp; Usage'!$C$114*((('Weekly Summary'!F$131*SelfQuarantine_Mild)+('Weekly Summary'!F$100*SelfQuarantine_Mild)+('Weekly Summary'!F$101*SelfQuarantine_Moderate))),'Equipment List &amp; Usage'!$C$115)*((('Weekly Summary'!F$131*SelfQuarantine_Mild*'Equipment List &amp; Usage'!$W15)+('Weekly Summary'!F$100*SelfQuarantine_Mild*'Equipment List &amp; Usage'!$X15)+('Weekly Summary'!F$101*SelfQuarantine_Moderate*'Equipment List &amp; Usage'!$X15))))+IF('Equipment List &amp; Usage'!$F15="Yes",'Equipment List &amp; Usage'!$C$114*(IF('Equipment List &amp; Usage'!$AA15&gt;0,'Weekly Summary'!F$128,0)+IF('Equipment List &amp; Usage'!$AB15&gt;0,'Weekly Summary'!F$100+'Weekly Summary'!F$101,0)),'Equipment List &amp; Usage'!$C$115*(('Weekly Summary'!F$128*'Equipment List &amp; Usage'!$AA15)+('Weekly Summary'!F$100*'Equipment List &amp; Usage'!$AB15*SelfQuarantine_Mild)+('Weekly Summary'!F$101*'Equipment List &amp; Usage'!$AB15*SelfQuarantine_Moderate)))+IF('Equipment List &amp; Usage'!$F15="Yes",('Equipment List &amp; Usage'!$C$114*(IF('Equipment List &amp; Usage'!$AE15&gt;0,'Weekly Summary'!F$134,0)+IF('Equipment List &amp; Usage'!$AF15&gt;0,'Weekly Summary'!F$135))),'Equipment List &amp; Usage'!$C$115*(('Weekly Summary'!F$134*'Equipment List &amp; Usage'!$AE15)+('Weekly Summary'!F$135*'Equipment List &amp; Usage'!$AF15)))),0)</f>
        <v>241.86872248603939</v>
      </c>
      <c r="M13" s="1375">
        <f ca="1">MAX(IF($F13="Yes",(
IF($F13="yes",MMULT(--('Equipment List &amp; Usage'!$J15:$N15&gt;0),--('Weekly Summary'!G$112:G$116))*'Equipment List &amp; Usage'!$C$114,MMULT(--('Equipment List &amp; Usage'!$J15:$N15),--('Weekly Summary'!G$112:G$116))*'Equipment List &amp; Usage'!$C$115)+IF('Equipment List &amp; Usage'!$F14="yes",'Equipment List &amp; Usage'!$C$114,'Equipment List &amp; Usage'!$C$115)*(('Weekly Summary'!G$66*'Equipment List &amp; Usage'!$Q15)+('Weekly Summary'!G$64*'Equipment List &amp; Usage'!$O15)+('Weekly Summary'!G$65*'Equipment List &amp; Usage'!$P15)))+(IF('Equipment List &amp; Usage'!$F15="Yes",'Equipment List &amp; Usage'!$C$114*((('Weekly Summary'!G$131*SelfQuarantine_Mild)+('Weekly Summary'!G$100*SelfQuarantine_Mild)+('Weekly Summary'!G$101*SelfQuarantine_Moderate))),'Equipment List &amp; Usage'!$C$115)*((('Weekly Summary'!G$131*SelfQuarantine_Mild*'Equipment List &amp; Usage'!$W15)+('Weekly Summary'!G$100*SelfQuarantine_Mild*'Equipment List &amp; Usage'!$X15)+('Weekly Summary'!G$101*SelfQuarantine_Moderate*'Equipment List &amp; Usage'!$X15)))+IF('Equipment List &amp; Usage'!$F15="Yes",'Equipment List &amp; Usage'!$C$114*(IF('Equipment List &amp; Usage'!$AA15&gt;0,'Weekly Summary'!G$128,0)+IF('Equipment List &amp; Usage'!$AB15&gt;0,'Weekly Summary'!G$100+'Weekly Summary'!G$101,0)),'Equipment List &amp; Usage'!$C$115*(('Weekly Summary'!G$128*'Equipment List &amp; Usage'!$AA15)+('Weekly Summary'!G$100*'Equipment List &amp; Usage'!$AB15*SelfQuarantine_Mild)+('Weekly Summary'!G$101*'Equipment List &amp; Usage'!$AB15*SelfQuarantine_Moderate)))+IF('Equipment List &amp; Usage'!$F15="Yes",('Equipment List &amp; Usage'!$C$114*(IF('Equipment List &amp; Usage'!$AE15&gt;0,'Weekly Summary'!G$134,0)+IF('Equipment List &amp; Usage'!$AF15&gt;0,'Weekly Summary'!G$135))),'Equipment List &amp; Usage'!$C$115*(('Weekly Summary'!G$134*'Equipment List &amp; Usage'!$AE15)+('Weekly Summary'!G$135*'Equipment List &amp; Usage'!$AF15))))-SUM($I13:L13),
IF($F13="yes",MMULT(--('Equipment List &amp; Usage'!$J15:$N15&gt;0),--('Weekly Summary'!G$112:G$116))*'Equipment List &amp; Usage'!$C$114,MMULT(--('Equipment List &amp; Usage'!$J15:$N15),--('Weekly Summary'!G$112:G$116))*'Equipment List &amp; Usage'!$C$115)+IF('Equipment List &amp; Usage'!$F14="yes",'Equipment List &amp; Usage'!$C$114,'Equipment List &amp; Usage'!$C$115)*(('Weekly Summary'!G$66*'Equipment List &amp; Usage'!$Q15)+('Weekly Summary'!G$64*'Equipment List &amp; Usage'!$O15)+('Weekly Summary'!G$65*'Equipment List &amp; Usage'!$P15))+(IF('Equipment List &amp; Usage'!$F15="Yes",'Equipment List &amp; Usage'!$C$114*((('Weekly Summary'!G$131*SelfQuarantine_Mild)+('Weekly Summary'!G$100*SelfQuarantine_Mild)+('Weekly Summary'!G$101*SelfQuarantine_Moderate))),'Equipment List &amp; Usage'!$C$115)*((('Weekly Summary'!G$131*SelfQuarantine_Mild*'Equipment List &amp; Usage'!$W15)+('Weekly Summary'!G$100*SelfQuarantine_Mild*'Equipment List &amp; Usage'!$X15)+('Weekly Summary'!G$101*SelfQuarantine_Moderate*'Equipment List &amp; Usage'!$X15))))+IF('Equipment List &amp; Usage'!$F15="Yes",'Equipment List &amp; Usage'!$C$114*(IF('Equipment List &amp; Usage'!$AA15&gt;0,'Weekly Summary'!G$128,0)+IF('Equipment List &amp; Usage'!$AB15&gt;0,'Weekly Summary'!G$100+'Weekly Summary'!G$101,0)),'Equipment List &amp; Usage'!$C$115*(('Weekly Summary'!G$128*'Equipment List &amp; Usage'!$AA15)+('Weekly Summary'!G$100*'Equipment List &amp; Usage'!$AB15*SelfQuarantine_Mild)+('Weekly Summary'!G$101*'Equipment List &amp; Usage'!$AB15*SelfQuarantine_Moderate)))+IF('Equipment List &amp; Usage'!$F15="Yes",('Equipment List &amp; Usage'!$C$114*(IF('Equipment List &amp; Usage'!$AE15&gt;0,'Weekly Summary'!G$134,0)+IF('Equipment List &amp; Usage'!$AF15&gt;0,'Weekly Summary'!G$135))),'Equipment List &amp; Usage'!$C$115*(('Weekly Summary'!G$134*'Equipment List &amp; Usage'!$AE15)+('Weekly Summary'!G$135*'Equipment List &amp; Usage'!$AF15)))),0)</f>
        <v>242.76710639664597</v>
      </c>
      <c r="N13" s="1375">
        <f ca="1">MAX(IF($F13="Yes",(
IF($F13="yes",MMULT(--('Equipment List &amp; Usage'!$J15:$N15&gt;0),--('Weekly Summary'!H$112:H$116))*'Equipment List &amp; Usage'!$C$114,MMULT(--('Equipment List &amp; Usage'!$J15:$N15),--('Weekly Summary'!H$112:H$116))*'Equipment List &amp; Usage'!$C$115)+IF('Equipment List &amp; Usage'!$F14="yes",'Equipment List &amp; Usage'!$C$114,'Equipment List &amp; Usage'!$C$115)*(('Weekly Summary'!H$66*'Equipment List &amp; Usage'!$Q15)+('Weekly Summary'!H$64*'Equipment List &amp; Usage'!$O15)+('Weekly Summary'!H$65*'Equipment List &amp; Usage'!$P15)))+(IF('Equipment List &amp; Usage'!$F15="Yes",'Equipment List &amp; Usage'!$C$114*((('Weekly Summary'!H$131*SelfQuarantine_Mild)+('Weekly Summary'!H$100*SelfQuarantine_Mild)+('Weekly Summary'!H$101*SelfQuarantine_Moderate))),'Equipment List &amp; Usage'!$C$115)*((('Weekly Summary'!H$131*SelfQuarantine_Mild*'Equipment List &amp; Usage'!$W15)+('Weekly Summary'!H$100*SelfQuarantine_Mild*'Equipment List &amp; Usage'!$X15)+('Weekly Summary'!H$101*SelfQuarantine_Moderate*'Equipment List &amp; Usage'!$X15)))+IF('Equipment List &amp; Usage'!$F15="Yes",'Equipment List &amp; Usage'!$C$114*(IF('Equipment List &amp; Usage'!$AA15&gt;0,'Weekly Summary'!H$128,0)+IF('Equipment List &amp; Usage'!$AB15&gt;0,'Weekly Summary'!H$100+'Weekly Summary'!H$101,0)),'Equipment List &amp; Usage'!$C$115*(('Weekly Summary'!H$128*'Equipment List &amp; Usage'!$AA15)+('Weekly Summary'!H$100*'Equipment List &amp; Usage'!$AB15*SelfQuarantine_Mild)+('Weekly Summary'!H$101*'Equipment List &amp; Usage'!$AB15*SelfQuarantine_Moderate)))+IF('Equipment List &amp; Usage'!$F15="Yes",('Equipment List &amp; Usage'!$C$114*(IF('Equipment List &amp; Usage'!$AE15&gt;0,'Weekly Summary'!H$134,0)+IF('Equipment List &amp; Usage'!$AF15&gt;0,'Weekly Summary'!H$135))),'Equipment List &amp; Usage'!$C$115*(('Weekly Summary'!H$134*'Equipment List &amp; Usage'!$AE15)+('Weekly Summary'!H$135*'Equipment List &amp; Usage'!$AF15))))-SUM($I13:M13),
IF($F13="yes",MMULT(--('Equipment List &amp; Usage'!$J15:$N15&gt;0),--('Weekly Summary'!H$112:H$116))*'Equipment List &amp; Usage'!$C$114,MMULT(--('Equipment List &amp; Usage'!$J15:$N15),--('Weekly Summary'!H$112:H$116))*'Equipment List &amp; Usage'!$C$115)+IF('Equipment List &amp; Usage'!$F14="yes",'Equipment List &amp; Usage'!$C$114,'Equipment List &amp; Usage'!$C$115)*(('Weekly Summary'!H$66*'Equipment List &amp; Usage'!$Q15)+('Weekly Summary'!H$64*'Equipment List &amp; Usage'!$O15)+('Weekly Summary'!H$65*'Equipment List &amp; Usage'!$P15))+(IF('Equipment List &amp; Usage'!$F15="Yes",'Equipment List &amp; Usage'!$C$114*((('Weekly Summary'!H$131*SelfQuarantine_Mild)+('Weekly Summary'!H$100*SelfQuarantine_Mild)+('Weekly Summary'!H$101*SelfQuarantine_Moderate))),'Equipment List &amp; Usage'!$C$115)*((('Weekly Summary'!H$131*SelfQuarantine_Mild*'Equipment List &amp; Usage'!$W15)+('Weekly Summary'!H$100*SelfQuarantine_Mild*'Equipment List &amp; Usage'!$X15)+('Weekly Summary'!H$101*SelfQuarantine_Moderate*'Equipment List &amp; Usage'!$X15))))+IF('Equipment List &amp; Usage'!$F15="Yes",'Equipment List &amp; Usage'!$C$114*(IF('Equipment List &amp; Usage'!$AA15&gt;0,'Weekly Summary'!H$128,0)+IF('Equipment List &amp; Usage'!$AB15&gt;0,'Weekly Summary'!H$100+'Weekly Summary'!H$101,0)),'Equipment List &amp; Usage'!$C$115*(('Weekly Summary'!H$128*'Equipment List &amp; Usage'!$AA15)+('Weekly Summary'!H$100*'Equipment List &amp; Usage'!$AB15*SelfQuarantine_Mild)+('Weekly Summary'!H$101*'Equipment List &amp; Usage'!$AB15*SelfQuarantine_Moderate)))+IF('Equipment List &amp; Usage'!$F15="Yes",('Equipment List &amp; Usage'!$C$114*(IF('Equipment List &amp; Usage'!$AE15&gt;0,'Weekly Summary'!H$134,0)+IF('Equipment List &amp; Usage'!$AF15&gt;0,'Weekly Summary'!H$135))),'Equipment List &amp; Usage'!$C$115*(('Weekly Summary'!H$134*'Equipment List &amp; Usage'!$AE15)+('Weekly Summary'!H$135*'Equipment List &amp; Usage'!$AF15)))),0)</f>
        <v>245.8542444142455</v>
      </c>
      <c r="O13" s="1375">
        <f ca="1">MAX(IF($F13="Yes",(
IF($F13="yes",MMULT(--('Equipment List &amp; Usage'!$J15:$N15&gt;0),--('Weekly Summary'!I$112:I$116))*'Equipment List &amp; Usage'!$C$114,MMULT(--('Equipment List &amp; Usage'!$J15:$N15),--('Weekly Summary'!I$112:I$116))*'Equipment List &amp; Usage'!$C$115)+IF('Equipment List &amp; Usage'!$F14="yes",'Equipment List &amp; Usage'!$C$114,'Equipment List &amp; Usage'!$C$115)*(('Weekly Summary'!I$66*'Equipment List &amp; Usage'!$Q15)+('Weekly Summary'!I$64*'Equipment List &amp; Usage'!$O15)+('Weekly Summary'!I$65*'Equipment List &amp; Usage'!$P15)))+(IF('Equipment List &amp; Usage'!$F15="Yes",'Equipment List &amp; Usage'!$C$114*((('Weekly Summary'!I$131*SelfQuarantine_Mild)+('Weekly Summary'!I$100*SelfQuarantine_Mild)+('Weekly Summary'!I$101*SelfQuarantine_Moderate))),'Equipment List &amp; Usage'!$C$115)*((('Weekly Summary'!I$131*SelfQuarantine_Mild*'Equipment List &amp; Usage'!$W15)+('Weekly Summary'!I$100*SelfQuarantine_Mild*'Equipment List &amp; Usage'!$X15)+('Weekly Summary'!I$101*SelfQuarantine_Moderate*'Equipment List &amp; Usage'!$X15)))+IF('Equipment List &amp; Usage'!$F15="Yes",'Equipment List &amp; Usage'!$C$114*(IF('Equipment List &amp; Usage'!$AA15&gt;0,'Weekly Summary'!I$128,0)+IF('Equipment List &amp; Usage'!$AB15&gt;0,'Weekly Summary'!I$100+'Weekly Summary'!I$101,0)),'Equipment List &amp; Usage'!$C$115*(('Weekly Summary'!I$128*'Equipment List &amp; Usage'!$AA15)+('Weekly Summary'!I$100*'Equipment List &amp; Usage'!$AB15*SelfQuarantine_Mild)+('Weekly Summary'!I$101*'Equipment List &amp; Usage'!$AB15*SelfQuarantine_Moderate)))+IF('Equipment List &amp; Usage'!$F15="Yes",('Equipment List &amp; Usage'!$C$114*(IF('Equipment List &amp; Usage'!$AE15&gt;0,'Weekly Summary'!I$134,0)+IF('Equipment List &amp; Usage'!$AF15&gt;0,'Weekly Summary'!I$135))),'Equipment List &amp; Usage'!$C$115*(('Weekly Summary'!I$134*'Equipment List &amp; Usage'!$AE15)+('Weekly Summary'!I$135*'Equipment List &amp; Usage'!$AF15))))-SUM($I13:N13),
IF($F13="yes",MMULT(--('Equipment List &amp; Usage'!$J15:$N15&gt;0),--('Weekly Summary'!I$112:I$116))*'Equipment List &amp; Usage'!$C$114,MMULT(--('Equipment List &amp; Usage'!$J15:$N15),--('Weekly Summary'!I$112:I$116))*'Equipment List &amp; Usage'!$C$115)+IF('Equipment List &amp; Usage'!$F14="yes",'Equipment List &amp; Usage'!$C$114,'Equipment List &amp; Usage'!$C$115)*(('Weekly Summary'!I$66*'Equipment List &amp; Usage'!$Q15)+('Weekly Summary'!I$64*'Equipment List &amp; Usage'!$O15)+('Weekly Summary'!I$65*'Equipment List &amp; Usage'!$P15))+(IF('Equipment List &amp; Usage'!$F15="Yes",'Equipment List &amp; Usage'!$C$114*((('Weekly Summary'!I$131*SelfQuarantine_Mild)+('Weekly Summary'!I$100*SelfQuarantine_Mild)+('Weekly Summary'!I$101*SelfQuarantine_Moderate))),'Equipment List &amp; Usage'!$C$115)*((('Weekly Summary'!I$131*SelfQuarantine_Mild*'Equipment List &amp; Usage'!$W15)+('Weekly Summary'!I$100*SelfQuarantine_Mild*'Equipment List &amp; Usage'!$X15)+('Weekly Summary'!I$101*SelfQuarantine_Moderate*'Equipment List &amp; Usage'!$X15))))+IF('Equipment List &amp; Usage'!$F15="Yes",'Equipment List &amp; Usage'!$C$114*(IF('Equipment List &amp; Usage'!$AA15&gt;0,'Weekly Summary'!I$128,0)+IF('Equipment List &amp; Usage'!$AB15&gt;0,'Weekly Summary'!I$100+'Weekly Summary'!I$101,0)),'Equipment List &amp; Usage'!$C$115*(('Weekly Summary'!I$128*'Equipment List &amp; Usage'!$AA15)+('Weekly Summary'!I$100*'Equipment List &amp; Usage'!$AB15*SelfQuarantine_Mild)+('Weekly Summary'!I$101*'Equipment List &amp; Usage'!$AB15*SelfQuarantine_Moderate)))+IF('Equipment List &amp; Usage'!$F15="Yes",('Equipment List &amp; Usage'!$C$114*(IF('Equipment List &amp; Usage'!$AE15&gt;0,'Weekly Summary'!I$134,0)+IF('Equipment List &amp; Usage'!$AF15&gt;0,'Weekly Summary'!I$135))),'Equipment List &amp; Usage'!$C$115*(('Weekly Summary'!I$134*'Equipment List &amp; Usage'!$AE15)+('Weekly Summary'!I$135*'Equipment List &amp; Usage'!$AF15)))),0)</f>
        <v>256.46116143951053</v>
      </c>
      <c r="P13" s="1375">
        <f ca="1">MAX(IF($F13="Yes",(
IF($F13="yes",MMULT(--('Equipment List &amp; Usage'!$J15:$N15&gt;0),--('Weekly Summary'!J$112:J$116))*'Equipment List &amp; Usage'!$C$114,MMULT(--('Equipment List &amp; Usage'!$J15:$N15),--('Weekly Summary'!J$112:J$116))*'Equipment List &amp; Usage'!$C$115)+IF('Equipment List &amp; Usage'!$F14="yes",'Equipment List &amp; Usage'!$C$114,'Equipment List &amp; Usage'!$C$115)*(('Weekly Summary'!J$66*'Equipment List &amp; Usage'!$Q15)+('Weekly Summary'!J$64*'Equipment List &amp; Usage'!$O15)+('Weekly Summary'!J$65*'Equipment List &amp; Usage'!$P15)))+(IF('Equipment List &amp; Usage'!$F15="Yes",'Equipment List &amp; Usage'!$C$114*((('Weekly Summary'!J$131*SelfQuarantine_Mild)+('Weekly Summary'!J$100*SelfQuarantine_Mild)+('Weekly Summary'!J$101*SelfQuarantine_Moderate))),'Equipment List &amp; Usage'!$C$115)*((('Weekly Summary'!J$131*SelfQuarantine_Mild*'Equipment List &amp; Usage'!$W15)+('Weekly Summary'!J$100*SelfQuarantine_Mild*'Equipment List &amp; Usage'!$X15)+('Weekly Summary'!J$101*SelfQuarantine_Moderate*'Equipment List &amp; Usage'!$X15)))+IF('Equipment List &amp; Usage'!$F15="Yes",'Equipment List &amp; Usage'!$C$114*(IF('Equipment List &amp; Usage'!$AA15&gt;0,'Weekly Summary'!J$128,0)+IF('Equipment List &amp; Usage'!$AB15&gt;0,'Weekly Summary'!J$100+'Weekly Summary'!J$101,0)),'Equipment List &amp; Usage'!$C$115*(('Weekly Summary'!J$128*'Equipment List &amp; Usage'!$AA15)+('Weekly Summary'!J$100*'Equipment List &amp; Usage'!$AB15*SelfQuarantine_Mild)+('Weekly Summary'!J$101*'Equipment List &amp; Usage'!$AB15*SelfQuarantine_Moderate)))+IF('Equipment List &amp; Usage'!$F15="Yes",('Equipment List &amp; Usage'!$C$114*(IF('Equipment List &amp; Usage'!$AE15&gt;0,'Weekly Summary'!J$134,0)+IF('Equipment List &amp; Usage'!$AF15&gt;0,'Weekly Summary'!J$135))),'Equipment List &amp; Usage'!$C$115*(('Weekly Summary'!J$134*'Equipment List &amp; Usage'!$AE15)+('Weekly Summary'!J$135*'Equipment List &amp; Usage'!$AF15))))-SUM($I13:O13),
IF($F13="yes",MMULT(--('Equipment List &amp; Usage'!$J15:$N15&gt;0),--('Weekly Summary'!J$112:J$116))*'Equipment List &amp; Usage'!$C$114,MMULT(--('Equipment List &amp; Usage'!$J15:$N15),--('Weekly Summary'!J$112:J$116))*'Equipment List &amp; Usage'!$C$115)+IF('Equipment List &amp; Usage'!$F14="yes",'Equipment List &amp; Usage'!$C$114,'Equipment List &amp; Usage'!$C$115)*(('Weekly Summary'!J$66*'Equipment List &amp; Usage'!$Q15)+('Weekly Summary'!J$64*'Equipment List &amp; Usage'!$O15)+('Weekly Summary'!J$65*'Equipment List &amp; Usage'!$P15))+(IF('Equipment List &amp; Usage'!$F15="Yes",'Equipment List &amp; Usage'!$C$114*((('Weekly Summary'!J$131*SelfQuarantine_Mild)+('Weekly Summary'!J$100*SelfQuarantine_Mild)+('Weekly Summary'!J$101*SelfQuarantine_Moderate))),'Equipment List &amp; Usage'!$C$115)*((('Weekly Summary'!J$131*SelfQuarantine_Mild*'Equipment List &amp; Usage'!$W15)+('Weekly Summary'!J$100*SelfQuarantine_Mild*'Equipment List &amp; Usage'!$X15)+('Weekly Summary'!J$101*SelfQuarantine_Moderate*'Equipment List &amp; Usage'!$X15))))+IF('Equipment List &amp; Usage'!$F15="Yes",'Equipment List &amp; Usage'!$C$114*(IF('Equipment List &amp; Usage'!$AA15&gt;0,'Weekly Summary'!J$128,0)+IF('Equipment List &amp; Usage'!$AB15&gt;0,'Weekly Summary'!J$100+'Weekly Summary'!J$101,0)),'Equipment List &amp; Usage'!$C$115*(('Weekly Summary'!J$128*'Equipment List &amp; Usage'!$AA15)+('Weekly Summary'!J$100*'Equipment List &amp; Usage'!$AB15*SelfQuarantine_Mild)+('Weekly Summary'!J$101*'Equipment List &amp; Usage'!$AB15*SelfQuarantine_Moderate)))+IF('Equipment List &amp; Usage'!$F15="Yes",('Equipment List &amp; Usage'!$C$114*(IF('Equipment List &amp; Usage'!$AE15&gt;0,'Weekly Summary'!J$134,0)+IF('Equipment List &amp; Usage'!$AF15&gt;0,'Weekly Summary'!J$135))),'Equipment List &amp; Usage'!$C$115*(('Weekly Summary'!J$134*'Equipment List &amp; Usage'!$AE15)+('Weekly Summary'!J$135*'Equipment List &amp; Usage'!$AF15)))),0)</f>
        <v>292.88727714464164</v>
      </c>
      <c r="Q13" s="1375">
        <f ca="1">MAX(IF($F13="Yes",(
IF($F13="yes",MMULT(--('Equipment List &amp; Usage'!$J15:$N15&gt;0),--('Weekly Summary'!K$112:K$116))*'Equipment List &amp; Usage'!$C$114,MMULT(--('Equipment List &amp; Usage'!$J15:$N15),--('Weekly Summary'!K$112:K$116))*'Equipment List &amp; Usage'!$C$115)+IF('Equipment List &amp; Usage'!$F14="yes",'Equipment List &amp; Usage'!$C$114,'Equipment List &amp; Usage'!$C$115)*(('Weekly Summary'!K$66*'Equipment List &amp; Usage'!$Q15)+('Weekly Summary'!K$64*'Equipment List &amp; Usage'!$O15)+('Weekly Summary'!K$65*'Equipment List &amp; Usage'!$P15)))+(IF('Equipment List &amp; Usage'!$F15="Yes",'Equipment List &amp; Usage'!$C$114*((('Weekly Summary'!K$131*SelfQuarantine_Mild)+('Weekly Summary'!K$100*SelfQuarantine_Mild)+('Weekly Summary'!K$101*SelfQuarantine_Moderate))),'Equipment List &amp; Usage'!$C$115)*((('Weekly Summary'!K$131*SelfQuarantine_Mild*'Equipment List &amp; Usage'!$W15)+('Weekly Summary'!K$100*SelfQuarantine_Mild*'Equipment List &amp; Usage'!$X15)+('Weekly Summary'!K$101*SelfQuarantine_Moderate*'Equipment List &amp; Usage'!$X15)))+IF('Equipment List &amp; Usage'!$F15="Yes",'Equipment List &amp; Usage'!$C$114*(IF('Equipment List &amp; Usage'!$AA15&gt;0,'Weekly Summary'!K$128,0)+IF('Equipment List &amp; Usage'!$AB15&gt;0,'Weekly Summary'!K$100+'Weekly Summary'!K$101,0)),'Equipment List &amp; Usage'!$C$115*(('Weekly Summary'!K$128*'Equipment List &amp; Usage'!$AA15)+('Weekly Summary'!K$100*'Equipment List &amp; Usage'!$AB15*SelfQuarantine_Mild)+('Weekly Summary'!K$101*'Equipment List &amp; Usage'!$AB15*SelfQuarantine_Moderate)))+IF('Equipment List &amp; Usage'!$F15="Yes",('Equipment List &amp; Usage'!$C$114*(IF('Equipment List &amp; Usage'!$AE15&gt;0,'Weekly Summary'!K$134,0)+IF('Equipment List &amp; Usage'!$AF15&gt;0,'Weekly Summary'!K$135))),'Equipment List &amp; Usage'!$C$115*(('Weekly Summary'!K$134*'Equipment List &amp; Usage'!$AE15)+('Weekly Summary'!K$135*'Equipment List &amp; Usage'!$AF15))))-SUM($I13:P13),
IF($F13="yes",MMULT(--('Equipment List &amp; Usage'!$J15:$N15&gt;0),--('Weekly Summary'!K$112:K$116))*'Equipment List &amp; Usage'!$C$114,MMULT(--('Equipment List &amp; Usage'!$J15:$N15),--('Weekly Summary'!K$112:K$116))*'Equipment List &amp; Usage'!$C$115)+IF('Equipment List &amp; Usage'!$F14="yes",'Equipment List &amp; Usage'!$C$114,'Equipment List &amp; Usage'!$C$115)*(('Weekly Summary'!K$66*'Equipment List &amp; Usage'!$Q15)+('Weekly Summary'!K$64*'Equipment List &amp; Usage'!$O15)+('Weekly Summary'!K$65*'Equipment List &amp; Usage'!$P15))+(IF('Equipment List &amp; Usage'!$F15="Yes",'Equipment List &amp; Usage'!$C$114*((('Weekly Summary'!K$131*SelfQuarantine_Mild)+('Weekly Summary'!K$100*SelfQuarantine_Mild)+('Weekly Summary'!K$101*SelfQuarantine_Moderate))),'Equipment List &amp; Usage'!$C$115)*((('Weekly Summary'!K$131*SelfQuarantine_Mild*'Equipment List &amp; Usage'!$W15)+('Weekly Summary'!K$100*SelfQuarantine_Mild*'Equipment List &amp; Usage'!$X15)+('Weekly Summary'!K$101*SelfQuarantine_Moderate*'Equipment List &amp; Usage'!$X15))))+IF('Equipment List &amp; Usage'!$F15="Yes",'Equipment List &amp; Usage'!$C$114*(IF('Equipment List &amp; Usage'!$AA15&gt;0,'Weekly Summary'!K$128,0)+IF('Equipment List &amp; Usage'!$AB15&gt;0,'Weekly Summary'!K$100+'Weekly Summary'!K$101,0)),'Equipment List &amp; Usage'!$C$115*(('Weekly Summary'!K$128*'Equipment List &amp; Usage'!$AA15)+('Weekly Summary'!K$100*'Equipment List &amp; Usage'!$AB15*SelfQuarantine_Mild)+('Weekly Summary'!K$101*'Equipment List &amp; Usage'!$AB15*SelfQuarantine_Moderate)))+IF('Equipment List &amp; Usage'!$F15="Yes",('Equipment List &amp; Usage'!$C$114*(IF('Equipment List &amp; Usage'!$AE15&gt;0,'Weekly Summary'!K$134,0)+IF('Equipment List &amp; Usage'!$AF15&gt;0,'Weekly Summary'!K$135))),'Equipment List &amp; Usage'!$C$115*(('Weekly Summary'!K$134*'Equipment List &amp; Usage'!$AE15)+('Weekly Summary'!K$135*'Equipment List &amp; Usage'!$AF15)))),0)</f>
        <v>0</v>
      </c>
      <c r="R13" s="1375">
        <f ca="1">MAX(IF($F13="Yes",(
IF($F13="yes",MMULT(--('Equipment List &amp; Usage'!$J15:$N15&gt;0),--('Weekly Summary'!L$112:L$116))*'Equipment List &amp; Usage'!$C$114,MMULT(--('Equipment List &amp; Usage'!$J15:$N15),--('Weekly Summary'!L$112:L$116))*'Equipment List &amp; Usage'!$C$115)+IF('Equipment List &amp; Usage'!$F14="yes",'Equipment List &amp; Usage'!$C$114,'Equipment List &amp; Usage'!$C$115)*(('Weekly Summary'!L$66*'Equipment List &amp; Usage'!$Q15)+('Weekly Summary'!L$64*'Equipment List &amp; Usage'!$O15)+('Weekly Summary'!L$65*'Equipment List &amp; Usage'!$P15)))+(IF('Equipment List &amp; Usage'!$F15="Yes",'Equipment List &amp; Usage'!$C$114*((('Weekly Summary'!L$131*SelfQuarantine_Mild)+('Weekly Summary'!L$100*SelfQuarantine_Mild)+('Weekly Summary'!L$101*SelfQuarantine_Moderate))),'Equipment List &amp; Usage'!$C$115)*((('Weekly Summary'!L$131*SelfQuarantine_Mild*'Equipment List &amp; Usage'!$W15)+('Weekly Summary'!L$100*SelfQuarantine_Mild*'Equipment List &amp; Usage'!$X15)+('Weekly Summary'!L$101*SelfQuarantine_Moderate*'Equipment List &amp; Usage'!$X15)))+IF('Equipment List &amp; Usage'!$F15="Yes",'Equipment List &amp; Usage'!$C$114*(IF('Equipment List &amp; Usage'!$AA15&gt;0,'Weekly Summary'!L$128,0)+IF('Equipment List &amp; Usage'!$AB15&gt;0,'Weekly Summary'!L$100+'Weekly Summary'!L$101,0)),'Equipment List &amp; Usage'!$C$115*(('Weekly Summary'!L$128*'Equipment List &amp; Usage'!$AA15)+('Weekly Summary'!L$100*'Equipment List &amp; Usage'!$AB15*SelfQuarantine_Mild)+('Weekly Summary'!L$101*'Equipment List &amp; Usage'!$AB15*SelfQuarantine_Moderate)))+IF('Equipment List &amp; Usage'!$F15="Yes",('Equipment List &amp; Usage'!$C$114*(IF('Equipment List &amp; Usage'!$AE15&gt;0,'Weekly Summary'!L$134,0)+IF('Equipment List &amp; Usage'!$AF15&gt;0,'Weekly Summary'!L$135))),'Equipment List &amp; Usage'!$C$115*(('Weekly Summary'!L$134*'Equipment List &amp; Usage'!$AE15)+('Weekly Summary'!L$135*'Equipment List &amp; Usage'!$AF15))))-SUM($I13:Q13),
IF($F13="yes",MMULT(--('Equipment List &amp; Usage'!$J15:$N15&gt;0),--('Weekly Summary'!L$112:L$116))*'Equipment List &amp; Usage'!$C$114,MMULT(--('Equipment List &amp; Usage'!$J15:$N15),--('Weekly Summary'!L$112:L$116))*'Equipment List &amp; Usage'!$C$115)+IF('Equipment List &amp; Usage'!$F14="yes",'Equipment List &amp; Usage'!$C$114,'Equipment List &amp; Usage'!$C$115)*(('Weekly Summary'!L$66*'Equipment List &amp; Usage'!$Q15)+('Weekly Summary'!L$64*'Equipment List &amp; Usage'!$O15)+('Weekly Summary'!L$65*'Equipment List &amp; Usage'!$P15))+(IF('Equipment List &amp; Usage'!$F15="Yes",'Equipment List &amp; Usage'!$C$114*((('Weekly Summary'!L$131*SelfQuarantine_Mild)+('Weekly Summary'!L$100*SelfQuarantine_Mild)+('Weekly Summary'!L$101*SelfQuarantine_Moderate))),'Equipment List &amp; Usage'!$C$115)*((('Weekly Summary'!L$131*SelfQuarantine_Mild*'Equipment List &amp; Usage'!$W15)+('Weekly Summary'!L$100*SelfQuarantine_Mild*'Equipment List &amp; Usage'!$X15)+('Weekly Summary'!L$101*SelfQuarantine_Moderate*'Equipment List &amp; Usage'!$X15))))+IF('Equipment List &amp; Usage'!$F15="Yes",'Equipment List &amp; Usage'!$C$114*(IF('Equipment List &amp; Usage'!$AA15&gt;0,'Weekly Summary'!L$128,0)+IF('Equipment List &amp; Usage'!$AB15&gt;0,'Weekly Summary'!L$100+'Weekly Summary'!L$101,0)),'Equipment List &amp; Usage'!$C$115*(('Weekly Summary'!L$128*'Equipment List &amp; Usage'!$AA15)+('Weekly Summary'!L$100*'Equipment List &amp; Usage'!$AB15*SelfQuarantine_Mild)+('Weekly Summary'!L$101*'Equipment List &amp; Usage'!$AB15*SelfQuarantine_Moderate)))+IF('Equipment List &amp; Usage'!$F15="Yes",('Equipment List &amp; Usage'!$C$114*(IF('Equipment List &amp; Usage'!$AE15&gt;0,'Weekly Summary'!L$134,0)+IF('Equipment List &amp; Usage'!$AF15&gt;0,'Weekly Summary'!L$135))),'Equipment List &amp; Usage'!$C$115*(('Weekly Summary'!L$134*'Equipment List &amp; Usage'!$AE15)+('Weekly Summary'!L$135*'Equipment List &amp; Usage'!$AF15)))),0)</f>
        <v>0</v>
      </c>
      <c r="S13" s="1375">
        <f ca="1">MAX(IF($F13="Yes",(
IF($F13="yes",MMULT(--('Equipment List &amp; Usage'!$J15:$N15&gt;0),--('Weekly Summary'!M$112:M$116))*'Equipment List &amp; Usage'!$C$114,MMULT(--('Equipment List &amp; Usage'!$J15:$N15),--('Weekly Summary'!M$112:M$116))*'Equipment List &amp; Usage'!$C$115)+IF('Equipment List &amp; Usage'!$F14="yes",'Equipment List &amp; Usage'!$C$114,'Equipment List &amp; Usage'!$C$115)*(('Weekly Summary'!M$66*'Equipment List &amp; Usage'!$Q15)+('Weekly Summary'!M$64*'Equipment List &amp; Usage'!$O15)+('Weekly Summary'!M$65*'Equipment List &amp; Usage'!$P15)))+(IF('Equipment List &amp; Usage'!$F15="Yes",'Equipment List &amp; Usage'!$C$114*((('Weekly Summary'!M$131*SelfQuarantine_Mild)+('Weekly Summary'!M$100*SelfQuarantine_Mild)+('Weekly Summary'!M$101*SelfQuarantine_Moderate))),'Equipment List &amp; Usage'!$C$115)*((('Weekly Summary'!M$131*SelfQuarantine_Mild*'Equipment List &amp; Usage'!$W15)+('Weekly Summary'!M$100*SelfQuarantine_Mild*'Equipment List &amp; Usage'!$X15)+('Weekly Summary'!M$101*SelfQuarantine_Moderate*'Equipment List &amp; Usage'!$X15)))+IF('Equipment List &amp; Usage'!$F15="Yes",'Equipment List &amp; Usage'!$C$114*(IF('Equipment List &amp; Usage'!$AA15&gt;0,'Weekly Summary'!M$128,0)+IF('Equipment List &amp; Usage'!$AB15&gt;0,'Weekly Summary'!M$100+'Weekly Summary'!M$101,0)),'Equipment List &amp; Usage'!$C$115*(('Weekly Summary'!M$128*'Equipment List &amp; Usage'!$AA15)+('Weekly Summary'!M$100*'Equipment List &amp; Usage'!$AB15*SelfQuarantine_Mild)+('Weekly Summary'!M$101*'Equipment List &amp; Usage'!$AB15*SelfQuarantine_Moderate)))+IF('Equipment List &amp; Usage'!$F15="Yes",('Equipment List &amp; Usage'!$C$114*(IF('Equipment List &amp; Usage'!$AE15&gt;0,'Weekly Summary'!M$134,0)+IF('Equipment List &amp; Usage'!$AF15&gt;0,'Weekly Summary'!M$135))),'Equipment List &amp; Usage'!$C$115*(('Weekly Summary'!M$134*'Equipment List &amp; Usage'!$AE15)+('Weekly Summary'!M$135*'Equipment List &amp; Usage'!$AF15))))-SUM($I13:R13),
IF($F13="yes",MMULT(--('Equipment List &amp; Usage'!$J15:$N15&gt;0),--('Weekly Summary'!M$112:M$116))*'Equipment List &amp; Usage'!$C$114,MMULT(--('Equipment List &amp; Usage'!$J15:$N15),--('Weekly Summary'!M$112:M$116))*'Equipment List &amp; Usage'!$C$115)+IF('Equipment List &amp; Usage'!$F14="yes",'Equipment List &amp; Usage'!$C$114,'Equipment List &amp; Usage'!$C$115)*(('Weekly Summary'!M$66*'Equipment List &amp; Usage'!$Q15)+('Weekly Summary'!M$64*'Equipment List &amp; Usage'!$O15)+('Weekly Summary'!M$65*'Equipment List &amp; Usage'!$P15))+(IF('Equipment List &amp; Usage'!$F15="Yes",'Equipment List &amp; Usage'!$C$114*((('Weekly Summary'!M$131*SelfQuarantine_Mild)+('Weekly Summary'!M$100*SelfQuarantine_Mild)+('Weekly Summary'!M$101*SelfQuarantine_Moderate))),'Equipment List &amp; Usage'!$C$115)*((('Weekly Summary'!M$131*SelfQuarantine_Mild*'Equipment List &amp; Usage'!$W15)+('Weekly Summary'!M$100*SelfQuarantine_Mild*'Equipment List &amp; Usage'!$X15)+('Weekly Summary'!M$101*SelfQuarantine_Moderate*'Equipment List &amp; Usage'!$X15))))+IF('Equipment List &amp; Usage'!$F15="Yes",'Equipment List &amp; Usage'!$C$114*(IF('Equipment List &amp; Usage'!$AA15&gt;0,'Weekly Summary'!M$128,0)+IF('Equipment List &amp; Usage'!$AB15&gt;0,'Weekly Summary'!M$100+'Weekly Summary'!M$101,0)),'Equipment List &amp; Usage'!$C$115*(('Weekly Summary'!M$128*'Equipment List &amp; Usage'!$AA15)+('Weekly Summary'!M$100*'Equipment List &amp; Usage'!$AB15*SelfQuarantine_Mild)+('Weekly Summary'!M$101*'Equipment List &amp; Usage'!$AB15*SelfQuarantine_Moderate)))+IF('Equipment List &amp; Usage'!$F15="Yes",('Equipment List &amp; Usage'!$C$114*(IF('Equipment List &amp; Usage'!$AE15&gt;0,'Weekly Summary'!M$134,0)+IF('Equipment List &amp; Usage'!$AF15&gt;0,'Weekly Summary'!M$135))),'Equipment List &amp; Usage'!$C$115*(('Weekly Summary'!M$134*'Equipment List &amp; Usage'!$AE15)+('Weekly Summary'!M$135*'Equipment List &amp; Usage'!$AF15)))),0)</f>
        <v>0</v>
      </c>
      <c r="T13" s="1375">
        <f ca="1">MAX(IF($F13="Yes",(
IF($F13="yes",MMULT(--('Equipment List &amp; Usage'!$J15:$N15&gt;0),--('Weekly Summary'!N$112:N$116))*'Equipment List &amp; Usage'!$C$114,MMULT(--('Equipment List &amp; Usage'!$J15:$N15),--('Weekly Summary'!N$112:N$116))*'Equipment List &amp; Usage'!$C$115)+IF('Equipment List &amp; Usage'!$F14="yes",'Equipment List &amp; Usage'!$C$114,'Equipment List &amp; Usage'!$C$115)*(('Weekly Summary'!N$66*'Equipment List &amp; Usage'!$Q15)+('Weekly Summary'!N$64*'Equipment List &amp; Usage'!$O15)+('Weekly Summary'!N$65*'Equipment List &amp; Usage'!$P15)))+(IF('Equipment List &amp; Usage'!$F15="Yes",'Equipment List &amp; Usage'!$C$114*((('Weekly Summary'!N$131*SelfQuarantine_Mild)+('Weekly Summary'!N$100*SelfQuarantine_Mild)+('Weekly Summary'!N$101*SelfQuarantine_Moderate))),'Equipment List &amp; Usage'!$C$115)*((('Weekly Summary'!N$131*SelfQuarantine_Mild*'Equipment List &amp; Usage'!$W15)+('Weekly Summary'!N$100*SelfQuarantine_Mild*'Equipment List &amp; Usage'!$X15)+('Weekly Summary'!N$101*SelfQuarantine_Moderate*'Equipment List &amp; Usage'!$X15)))+IF('Equipment List &amp; Usage'!$F15="Yes",'Equipment List &amp; Usage'!$C$114*(IF('Equipment List &amp; Usage'!$AA15&gt;0,'Weekly Summary'!N$128,0)+IF('Equipment List &amp; Usage'!$AB15&gt;0,'Weekly Summary'!N$100+'Weekly Summary'!N$101,0)),'Equipment List &amp; Usage'!$C$115*(('Weekly Summary'!N$128*'Equipment List &amp; Usage'!$AA15)+('Weekly Summary'!N$100*'Equipment List &amp; Usage'!$AB15*SelfQuarantine_Mild)+('Weekly Summary'!N$101*'Equipment List &amp; Usage'!$AB15*SelfQuarantine_Moderate)))+IF('Equipment List &amp; Usage'!$F15="Yes",('Equipment List &amp; Usage'!$C$114*(IF('Equipment List &amp; Usage'!$AE15&gt;0,'Weekly Summary'!N$134,0)+IF('Equipment List &amp; Usage'!$AF15&gt;0,'Weekly Summary'!N$135))),'Equipment List &amp; Usage'!$C$115*(('Weekly Summary'!N$134*'Equipment List &amp; Usage'!$AE15)+('Weekly Summary'!N$135*'Equipment List &amp; Usage'!$AF15))))-SUM($I13:S13),
IF($F13="yes",MMULT(--('Equipment List &amp; Usage'!$J15:$N15&gt;0),--('Weekly Summary'!N$112:N$116))*'Equipment List &amp; Usage'!$C$114,MMULT(--('Equipment List &amp; Usage'!$J15:$N15),--('Weekly Summary'!N$112:N$116))*'Equipment List &amp; Usage'!$C$115)+IF('Equipment List &amp; Usage'!$F14="yes",'Equipment List &amp; Usage'!$C$114,'Equipment List &amp; Usage'!$C$115)*(('Weekly Summary'!N$66*'Equipment List &amp; Usage'!$Q15)+('Weekly Summary'!N$64*'Equipment List &amp; Usage'!$O15)+('Weekly Summary'!N$65*'Equipment List &amp; Usage'!$P15))+(IF('Equipment List &amp; Usage'!$F15="Yes",'Equipment List &amp; Usage'!$C$114*((('Weekly Summary'!N$131*SelfQuarantine_Mild)+('Weekly Summary'!N$100*SelfQuarantine_Mild)+('Weekly Summary'!N$101*SelfQuarantine_Moderate))),'Equipment List &amp; Usage'!$C$115)*((('Weekly Summary'!N$131*SelfQuarantine_Mild*'Equipment List &amp; Usage'!$W15)+('Weekly Summary'!N$100*SelfQuarantine_Mild*'Equipment List &amp; Usage'!$X15)+('Weekly Summary'!N$101*SelfQuarantine_Moderate*'Equipment List &amp; Usage'!$X15))))+IF('Equipment List &amp; Usage'!$F15="Yes",'Equipment List &amp; Usage'!$C$114*(IF('Equipment List &amp; Usage'!$AA15&gt;0,'Weekly Summary'!N$128,0)+IF('Equipment List &amp; Usage'!$AB15&gt;0,'Weekly Summary'!N$100+'Weekly Summary'!N$101,0)),'Equipment List &amp; Usage'!$C$115*(('Weekly Summary'!N$128*'Equipment List &amp; Usage'!$AA15)+('Weekly Summary'!N$100*'Equipment List &amp; Usage'!$AB15*SelfQuarantine_Mild)+('Weekly Summary'!N$101*'Equipment List &amp; Usage'!$AB15*SelfQuarantine_Moderate)))+IF('Equipment List &amp; Usage'!$F15="Yes",('Equipment List &amp; Usage'!$C$114*(IF('Equipment List &amp; Usage'!$AE15&gt;0,'Weekly Summary'!N$134,0)+IF('Equipment List &amp; Usage'!$AF15&gt;0,'Weekly Summary'!N$135))),'Equipment List &amp; Usage'!$C$115*(('Weekly Summary'!N$134*'Equipment List &amp; Usage'!$AE15)+('Weekly Summary'!N$135*'Equipment List &amp; Usage'!$AF15)))),0)</f>
        <v>0</v>
      </c>
      <c r="U13" s="1375">
        <f ca="1">MAX(IF($F13="Yes",(
IF($F13="yes",MMULT(--('Equipment List &amp; Usage'!$J15:$N15&gt;0),--('Weekly Summary'!O$112:O$116))*'Equipment List &amp; Usage'!$C$114,MMULT(--('Equipment List &amp; Usage'!$J15:$N15),--('Weekly Summary'!O$112:O$116))*'Equipment List &amp; Usage'!$C$115)+IF('Equipment List &amp; Usage'!$F14="yes",'Equipment List &amp; Usage'!$C$114,'Equipment List &amp; Usage'!$C$115)*(('Weekly Summary'!O$66*'Equipment List &amp; Usage'!$Q15)+('Weekly Summary'!O$64*'Equipment List &amp; Usage'!$O15)+('Weekly Summary'!O$65*'Equipment List &amp; Usage'!$P15)))+(IF('Equipment List &amp; Usage'!$F15="Yes",'Equipment List &amp; Usage'!$C$114*((('Weekly Summary'!O$131*SelfQuarantine_Mild)+('Weekly Summary'!O$100*SelfQuarantine_Mild)+('Weekly Summary'!O$101*SelfQuarantine_Moderate))),'Equipment List &amp; Usage'!$C$115)*((('Weekly Summary'!O$131*SelfQuarantine_Mild*'Equipment List &amp; Usage'!$W15)+('Weekly Summary'!O$100*SelfQuarantine_Mild*'Equipment List &amp; Usage'!$X15)+('Weekly Summary'!O$101*SelfQuarantine_Moderate*'Equipment List &amp; Usage'!$X15)))+IF('Equipment List &amp; Usage'!$F15="Yes",'Equipment List &amp; Usage'!$C$114*(IF('Equipment List &amp; Usage'!$AA15&gt;0,'Weekly Summary'!O$128,0)+IF('Equipment List &amp; Usage'!$AB15&gt;0,'Weekly Summary'!O$100+'Weekly Summary'!O$101,0)),'Equipment List &amp; Usage'!$C$115*(('Weekly Summary'!O$128*'Equipment List &amp; Usage'!$AA15)+('Weekly Summary'!O$100*'Equipment List &amp; Usage'!$AB15*SelfQuarantine_Mild)+('Weekly Summary'!O$101*'Equipment List &amp; Usage'!$AB15*SelfQuarantine_Moderate)))+IF('Equipment List &amp; Usage'!$F15="Yes",('Equipment List &amp; Usage'!$C$114*(IF('Equipment List &amp; Usage'!$AE15&gt;0,'Weekly Summary'!O$134,0)+IF('Equipment List &amp; Usage'!$AF15&gt;0,'Weekly Summary'!O$135))),'Equipment List &amp; Usage'!$C$115*(('Weekly Summary'!O$134*'Equipment List &amp; Usage'!$AE15)+('Weekly Summary'!O$135*'Equipment List &amp; Usage'!$AF15))))-SUM($I13:T13),
IF($F13="yes",MMULT(--('Equipment List &amp; Usage'!$J15:$N15&gt;0),--('Weekly Summary'!O$112:O$116))*'Equipment List &amp; Usage'!$C$114,MMULT(--('Equipment List &amp; Usage'!$J15:$N15),--('Weekly Summary'!O$112:O$116))*'Equipment List &amp; Usage'!$C$115)+IF('Equipment List &amp; Usage'!$F14="yes",'Equipment List &amp; Usage'!$C$114,'Equipment List &amp; Usage'!$C$115)*(('Weekly Summary'!O$66*'Equipment List &amp; Usage'!$Q15)+('Weekly Summary'!O$64*'Equipment List &amp; Usage'!$O15)+('Weekly Summary'!O$65*'Equipment List &amp; Usage'!$P15))+(IF('Equipment List &amp; Usage'!$F15="Yes",'Equipment List &amp; Usage'!$C$114*((('Weekly Summary'!O$131*SelfQuarantine_Mild)+('Weekly Summary'!O$100*SelfQuarantine_Mild)+('Weekly Summary'!O$101*SelfQuarantine_Moderate))),'Equipment List &amp; Usage'!$C$115)*((('Weekly Summary'!O$131*SelfQuarantine_Mild*'Equipment List &amp; Usage'!$W15)+('Weekly Summary'!O$100*SelfQuarantine_Mild*'Equipment List &amp; Usage'!$X15)+('Weekly Summary'!O$101*SelfQuarantine_Moderate*'Equipment List &amp; Usage'!$X15))))+IF('Equipment List &amp; Usage'!$F15="Yes",'Equipment List &amp; Usage'!$C$114*(IF('Equipment List &amp; Usage'!$AA15&gt;0,'Weekly Summary'!O$128,0)+IF('Equipment List &amp; Usage'!$AB15&gt;0,'Weekly Summary'!O$100+'Weekly Summary'!O$101,0)),'Equipment List &amp; Usage'!$C$115*(('Weekly Summary'!O$128*'Equipment List &amp; Usage'!$AA15)+('Weekly Summary'!O$100*'Equipment List &amp; Usage'!$AB15*SelfQuarantine_Mild)+('Weekly Summary'!O$101*'Equipment List &amp; Usage'!$AB15*SelfQuarantine_Moderate)))+IF('Equipment List &amp; Usage'!$F15="Yes",('Equipment List &amp; Usage'!$C$114*(IF('Equipment List &amp; Usage'!$AE15&gt;0,'Weekly Summary'!O$134,0)+IF('Equipment List &amp; Usage'!$AF15&gt;0,'Weekly Summary'!O$135))),'Equipment List &amp; Usage'!$C$115*(('Weekly Summary'!O$134*'Equipment List &amp; Usage'!$AE15)+('Weekly Summary'!O$135*'Equipment List &amp; Usage'!$AF15)))),0)</f>
        <v>0</v>
      </c>
      <c r="V13" s="1375">
        <f ca="1">MAX(IF($F13="Yes",(
IF($F13="yes",MMULT(--('Equipment List &amp; Usage'!$J15:$N15&gt;0),--('Weekly Summary'!P$112:P$116))*'Equipment List &amp; Usage'!$C$114,MMULT(--('Equipment List &amp; Usage'!$J15:$N15),--('Weekly Summary'!P$112:P$116))*'Equipment List &amp; Usage'!$C$115)+IF('Equipment List &amp; Usage'!$F14="yes",'Equipment List &amp; Usage'!$C$114,'Equipment List &amp; Usage'!$C$115)*(('Weekly Summary'!P$66*'Equipment List &amp; Usage'!$Q15)+('Weekly Summary'!P$64*'Equipment List &amp; Usage'!$O15)+('Weekly Summary'!P$65*'Equipment List &amp; Usage'!$P15)))+(IF('Equipment List &amp; Usage'!$F15="Yes",'Equipment List &amp; Usage'!$C$114*((('Weekly Summary'!P$131*SelfQuarantine_Mild)+('Weekly Summary'!P$100*SelfQuarantine_Mild)+('Weekly Summary'!P$101*SelfQuarantine_Moderate))),'Equipment List &amp; Usage'!$C$115)*((('Weekly Summary'!P$131*SelfQuarantine_Mild*'Equipment List &amp; Usage'!$W15)+('Weekly Summary'!P$100*SelfQuarantine_Mild*'Equipment List &amp; Usage'!$X15)+('Weekly Summary'!P$101*SelfQuarantine_Moderate*'Equipment List &amp; Usage'!$X15)))+IF('Equipment List &amp; Usage'!$F15="Yes",'Equipment List &amp; Usage'!$C$114*(IF('Equipment List &amp; Usage'!$AA15&gt;0,'Weekly Summary'!P$128,0)+IF('Equipment List &amp; Usage'!$AB15&gt;0,'Weekly Summary'!P$100+'Weekly Summary'!P$101,0)),'Equipment List &amp; Usage'!$C$115*(('Weekly Summary'!P$128*'Equipment List &amp; Usage'!$AA15)+('Weekly Summary'!P$100*'Equipment List &amp; Usage'!$AB15*SelfQuarantine_Mild)+('Weekly Summary'!P$101*'Equipment List &amp; Usage'!$AB15*SelfQuarantine_Moderate)))+IF('Equipment List &amp; Usage'!$F15="Yes",('Equipment List &amp; Usage'!$C$114*(IF('Equipment List &amp; Usage'!$AE15&gt;0,'Weekly Summary'!P$134,0)+IF('Equipment List &amp; Usage'!$AF15&gt;0,'Weekly Summary'!P$135))),'Equipment List &amp; Usage'!$C$115*(('Weekly Summary'!P$134*'Equipment List &amp; Usage'!$AE15)+('Weekly Summary'!P$135*'Equipment List &amp; Usage'!$AF15))))-SUM($I13:U13),
IF($F13="yes",MMULT(--('Equipment List &amp; Usage'!$J15:$N15&gt;0),--('Weekly Summary'!P$112:P$116))*'Equipment List &amp; Usage'!$C$114,MMULT(--('Equipment List &amp; Usage'!$J15:$N15),--('Weekly Summary'!P$112:P$116))*'Equipment List &amp; Usage'!$C$115)+IF('Equipment List &amp; Usage'!$F14="yes",'Equipment List &amp; Usage'!$C$114,'Equipment List &amp; Usage'!$C$115)*(('Weekly Summary'!P$66*'Equipment List &amp; Usage'!$Q15)+('Weekly Summary'!P$64*'Equipment List &amp; Usage'!$O15)+('Weekly Summary'!P$65*'Equipment List &amp; Usage'!$P15))+(IF('Equipment List &amp; Usage'!$F15="Yes",'Equipment List &amp; Usage'!$C$114*((('Weekly Summary'!P$131*SelfQuarantine_Mild)+('Weekly Summary'!P$100*SelfQuarantine_Mild)+('Weekly Summary'!P$101*SelfQuarantine_Moderate))),'Equipment List &amp; Usage'!$C$115)*((('Weekly Summary'!P$131*SelfQuarantine_Mild*'Equipment List &amp; Usage'!$W15)+('Weekly Summary'!P$100*SelfQuarantine_Mild*'Equipment List &amp; Usage'!$X15)+('Weekly Summary'!P$101*SelfQuarantine_Moderate*'Equipment List &amp; Usage'!$X15))))+IF('Equipment List &amp; Usage'!$F15="Yes",'Equipment List &amp; Usage'!$C$114*(IF('Equipment List &amp; Usage'!$AA15&gt;0,'Weekly Summary'!P$128,0)+IF('Equipment List &amp; Usage'!$AB15&gt;0,'Weekly Summary'!P$100+'Weekly Summary'!P$101,0)),'Equipment List &amp; Usage'!$C$115*(('Weekly Summary'!P$128*'Equipment List &amp; Usage'!$AA15)+('Weekly Summary'!P$100*'Equipment List &amp; Usage'!$AB15*SelfQuarantine_Mild)+('Weekly Summary'!P$101*'Equipment List &amp; Usage'!$AB15*SelfQuarantine_Moderate)))+IF('Equipment List &amp; Usage'!$F15="Yes",('Equipment List &amp; Usage'!$C$114*(IF('Equipment List &amp; Usage'!$AE15&gt;0,'Weekly Summary'!P$134,0)+IF('Equipment List &amp; Usage'!$AF15&gt;0,'Weekly Summary'!P$135))),'Equipment List &amp; Usage'!$C$115*(('Weekly Summary'!P$134*'Equipment List &amp; Usage'!$AE15)+('Weekly Summary'!P$135*'Equipment List &amp; Usage'!$AF15)))),0)</f>
        <v>0</v>
      </c>
      <c r="W13" s="1375">
        <f ca="1">MAX(IF($F13="Yes",(
IF($F13="yes",MMULT(--('Equipment List &amp; Usage'!$J15:$N15&gt;0),--('Weekly Summary'!Q$112:Q$116))*'Equipment List &amp; Usage'!$C$114,MMULT(--('Equipment List &amp; Usage'!$J15:$N15),--('Weekly Summary'!Q$112:Q$116))*'Equipment List &amp; Usage'!$C$115)+IF('Equipment List &amp; Usage'!$F14="yes",'Equipment List &amp; Usage'!$C$114,'Equipment List &amp; Usage'!$C$115)*(('Weekly Summary'!Q$66*'Equipment List &amp; Usage'!$Q15)+('Weekly Summary'!Q$64*'Equipment List &amp; Usage'!$O15)+('Weekly Summary'!Q$65*'Equipment List &amp; Usage'!$P15)))+(IF('Equipment List &amp; Usage'!$F15="Yes",'Equipment List &amp; Usage'!$C$114*((('Weekly Summary'!Q$131*SelfQuarantine_Mild)+('Weekly Summary'!Q$100*SelfQuarantine_Mild)+('Weekly Summary'!Q$101*SelfQuarantine_Moderate))),'Equipment List &amp; Usage'!$C$115)*((('Weekly Summary'!Q$131*SelfQuarantine_Mild*'Equipment List &amp; Usage'!$W15)+('Weekly Summary'!Q$100*SelfQuarantine_Mild*'Equipment List &amp; Usage'!$X15)+('Weekly Summary'!Q$101*SelfQuarantine_Moderate*'Equipment List &amp; Usage'!$X15)))+IF('Equipment List &amp; Usage'!$F15="Yes",'Equipment List &amp; Usage'!$C$114*(IF('Equipment List &amp; Usage'!$AA15&gt;0,'Weekly Summary'!Q$128,0)+IF('Equipment List &amp; Usage'!$AB15&gt;0,'Weekly Summary'!Q$100+'Weekly Summary'!Q$101,0)),'Equipment List &amp; Usage'!$C$115*(('Weekly Summary'!Q$128*'Equipment List &amp; Usage'!$AA15)+('Weekly Summary'!Q$100*'Equipment List &amp; Usage'!$AB15*SelfQuarantine_Mild)+('Weekly Summary'!Q$101*'Equipment List &amp; Usage'!$AB15*SelfQuarantine_Moderate)))+IF('Equipment List &amp; Usage'!$F15="Yes",('Equipment List &amp; Usage'!$C$114*(IF('Equipment List &amp; Usage'!$AE15&gt;0,'Weekly Summary'!Q$134,0)+IF('Equipment List &amp; Usage'!$AF15&gt;0,'Weekly Summary'!Q$135))),'Equipment List &amp; Usage'!$C$115*(('Weekly Summary'!Q$134*'Equipment List &amp; Usage'!$AE15)+('Weekly Summary'!Q$135*'Equipment List &amp; Usage'!$AF15))))-SUM($I13:V13),
IF($F13="yes",MMULT(--('Equipment List &amp; Usage'!$J15:$N15&gt;0),--('Weekly Summary'!Q$112:Q$116))*'Equipment List &amp; Usage'!$C$114,MMULT(--('Equipment List &amp; Usage'!$J15:$N15),--('Weekly Summary'!Q$112:Q$116))*'Equipment List &amp; Usage'!$C$115)+IF('Equipment List &amp; Usage'!$F14="yes",'Equipment List &amp; Usage'!$C$114,'Equipment List &amp; Usage'!$C$115)*(('Weekly Summary'!Q$66*'Equipment List &amp; Usage'!$Q15)+('Weekly Summary'!Q$64*'Equipment List &amp; Usage'!$O15)+('Weekly Summary'!Q$65*'Equipment List &amp; Usage'!$P15))+(IF('Equipment List &amp; Usage'!$F15="Yes",'Equipment List &amp; Usage'!$C$114*((('Weekly Summary'!Q$131*SelfQuarantine_Mild)+('Weekly Summary'!Q$100*SelfQuarantine_Mild)+('Weekly Summary'!Q$101*SelfQuarantine_Moderate))),'Equipment List &amp; Usage'!$C$115)*((('Weekly Summary'!Q$131*SelfQuarantine_Mild*'Equipment List &amp; Usage'!$W15)+('Weekly Summary'!Q$100*SelfQuarantine_Mild*'Equipment List &amp; Usage'!$X15)+('Weekly Summary'!Q$101*SelfQuarantine_Moderate*'Equipment List &amp; Usage'!$X15))))+IF('Equipment List &amp; Usage'!$F15="Yes",'Equipment List &amp; Usage'!$C$114*(IF('Equipment List &amp; Usage'!$AA15&gt;0,'Weekly Summary'!Q$128,0)+IF('Equipment List &amp; Usage'!$AB15&gt;0,'Weekly Summary'!Q$100+'Weekly Summary'!Q$101,0)),'Equipment List &amp; Usage'!$C$115*(('Weekly Summary'!Q$128*'Equipment List &amp; Usage'!$AA15)+('Weekly Summary'!Q$100*'Equipment List &amp; Usage'!$AB15*SelfQuarantine_Mild)+('Weekly Summary'!Q$101*'Equipment List &amp; Usage'!$AB15*SelfQuarantine_Moderate)))+IF('Equipment List &amp; Usage'!$F15="Yes",('Equipment List &amp; Usage'!$C$114*(IF('Equipment List &amp; Usage'!$AE15&gt;0,'Weekly Summary'!Q$134,0)+IF('Equipment List &amp; Usage'!$AF15&gt;0,'Weekly Summary'!Q$135))),'Equipment List &amp; Usage'!$C$115*(('Weekly Summary'!Q$134*'Equipment List &amp; Usage'!$AE15)+('Weekly Summary'!Q$135*'Equipment List &amp; Usage'!$AF15)))),0)</f>
        <v>0</v>
      </c>
      <c r="X13" s="1375">
        <f ca="1">MAX(IF($F13="Yes",(
IF($F13="yes",MMULT(--('Equipment List &amp; Usage'!$J15:$N15&gt;0),--('Weekly Summary'!R$112:R$116))*'Equipment List &amp; Usage'!$C$114,MMULT(--('Equipment List &amp; Usage'!$J15:$N15),--('Weekly Summary'!R$112:R$116))*'Equipment List &amp; Usage'!$C$115)+IF('Equipment List &amp; Usage'!$F14="yes",'Equipment List &amp; Usage'!$C$114,'Equipment List &amp; Usage'!$C$115)*(('Weekly Summary'!R$66*'Equipment List &amp; Usage'!$Q15)+('Weekly Summary'!R$64*'Equipment List &amp; Usage'!$O15)+('Weekly Summary'!R$65*'Equipment List &amp; Usage'!$P15)))+(IF('Equipment List &amp; Usage'!$F15="Yes",'Equipment List &amp; Usage'!$C$114*((('Weekly Summary'!R$131*SelfQuarantine_Mild)+('Weekly Summary'!R$100*SelfQuarantine_Mild)+('Weekly Summary'!R$101*SelfQuarantine_Moderate))),'Equipment List &amp; Usage'!$C$115)*((('Weekly Summary'!R$131*SelfQuarantine_Mild*'Equipment List &amp; Usage'!$W15)+('Weekly Summary'!R$100*SelfQuarantine_Mild*'Equipment List &amp; Usage'!$X15)+('Weekly Summary'!R$101*SelfQuarantine_Moderate*'Equipment List &amp; Usage'!$X15)))+IF('Equipment List &amp; Usage'!$F15="Yes",'Equipment List &amp; Usage'!$C$114*(IF('Equipment List &amp; Usage'!$AA15&gt;0,'Weekly Summary'!R$128,0)+IF('Equipment List &amp; Usage'!$AB15&gt;0,'Weekly Summary'!R$100+'Weekly Summary'!R$101,0)),'Equipment List &amp; Usage'!$C$115*(('Weekly Summary'!R$128*'Equipment List &amp; Usage'!$AA15)+('Weekly Summary'!R$100*'Equipment List &amp; Usage'!$AB15*SelfQuarantine_Mild)+('Weekly Summary'!R$101*'Equipment List &amp; Usage'!$AB15*SelfQuarantine_Moderate)))+IF('Equipment List &amp; Usage'!$F15="Yes",('Equipment List &amp; Usage'!$C$114*(IF('Equipment List &amp; Usage'!$AE15&gt;0,'Weekly Summary'!R$134,0)+IF('Equipment List &amp; Usage'!$AF15&gt;0,'Weekly Summary'!R$135))),'Equipment List &amp; Usage'!$C$115*(('Weekly Summary'!R$134*'Equipment List &amp; Usage'!$AE15)+('Weekly Summary'!R$135*'Equipment List &amp; Usage'!$AF15))))-SUM($I13:W13),
IF($F13="yes",MMULT(--('Equipment List &amp; Usage'!$J15:$N15&gt;0),--('Weekly Summary'!R$112:R$116))*'Equipment List &amp; Usage'!$C$114,MMULT(--('Equipment List &amp; Usage'!$J15:$N15),--('Weekly Summary'!R$112:R$116))*'Equipment List &amp; Usage'!$C$115)+IF('Equipment List &amp; Usage'!$F14="yes",'Equipment List &amp; Usage'!$C$114,'Equipment List &amp; Usage'!$C$115)*(('Weekly Summary'!R$66*'Equipment List &amp; Usage'!$Q15)+('Weekly Summary'!R$64*'Equipment List &amp; Usage'!$O15)+('Weekly Summary'!R$65*'Equipment List &amp; Usage'!$P15))+(IF('Equipment List &amp; Usage'!$F15="Yes",'Equipment List &amp; Usage'!$C$114*((('Weekly Summary'!R$131*SelfQuarantine_Mild)+('Weekly Summary'!R$100*SelfQuarantine_Mild)+('Weekly Summary'!R$101*SelfQuarantine_Moderate))),'Equipment List &amp; Usage'!$C$115)*((('Weekly Summary'!R$131*SelfQuarantine_Mild*'Equipment List &amp; Usage'!$W15)+('Weekly Summary'!R$100*SelfQuarantine_Mild*'Equipment List &amp; Usage'!$X15)+('Weekly Summary'!R$101*SelfQuarantine_Moderate*'Equipment List &amp; Usage'!$X15))))+IF('Equipment List &amp; Usage'!$F15="Yes",'Equipment List &amp; Usage'!$C$114*(IF('Equipment List &amp; Usage'!$AA15&gt;0,'Weekly Summary'!R$128,0)+IF('Equipment List &amp; Usage'!$AB15&gt;0,'Weekly Summary'!R$100+'Weekly Summary'!R$101,0)),'Equipment List &amp; Usage'!$C$115*(('Weekly Summary'!R$128*'Equipment List &amp; Usage'!$AA15)+('Weekly Summary'!R$100*'Equipment List &amp; Usage'!$AB15*SelfQuarantine_Mild)+('Weekly Summary'!R$101*'Equipment List &amp; Usage'!$AB15*SelfQuarantine_Moderate)))+IF('Equipment List &amp; Usage'!$F15="Yes",('Equipment List &amp; Usage'!$C$114*(IF('Equipment List &amp; Usage'!$AE15&gt;0,'Weekly Summary'!R$134,0)+IF('Equipment List &amp; Usage'!$AF15&gt;0,'Weekly Summary'!R$135))),'Equipment List &amp; Usage'!$C$115*(('Weekly Summary'!R$134*'Equipment List &amp; Usage'!$AE15)+('Weekly Summary'!R$135*'Equipment List &amp; Usage'!$AF15)))),0)</f>
        <v>0</v>
      </c>
      <c r="Y13" s="1375">
        <f ca="1">MAX(IF($F13="Yes",(
IF($F13="yes",MMULT(--('Equipment List &amp; Usage'!$J15:$N15&gt;0),--('Weekly Summary'!S$112:S$116))*'Equipment List &amp; Usage'!$C$114,MMULT(--('Equipment List &amp; Usage'!$J15:$N15),--('Weekly Summary'!S$112:S$116))*'Equipment List &amp; Usage'!$C$115)+IF('Equipment List &amp; Usage'!$F14="yes",'Equipment List &amp; Usage'!$C$114,'Equipment List &amp; Usage'!$C$115)*(('Weekly Summary'!S$66*'Equipment List &amp; Usage'!$Q15)+('Weekly Summary'!S$64*'Equipment List &amp; Usage'!$O15)+('Weekly Summary'!S$65*'Equipment List &amp; Usage'!$P15)))+(IF('Equipment List &amp; Usage'!$F15="Yes",'Equipment List &amp; Usage'!$C$114*((('Weekly Summary'!S$131*SelfQuarantine_Mild)+('Weekly Summary'!S$100*SelfQuarantine_Mild)+('Weekly Summary'!S$101*SelfQuarantine_Moderate))),'Equipment List &amp; Usage'!$C$115)*((('Weekly Summary'!S$131*SelfQuarantine_Mild*'Equipment List &amp; Usage'!$W15)+('Weekly Summary'!S$100*SelfQuarantine_Mild*'Equipment List &amp; Usage'!$X15)+('Weekly Summary'!S$101*SelfQuarantine_Moderate*'Equipment List &amp; Usage'!$X15)))+IF('Equipment List &amp; Usage'!$F15="Yes",'Equipment List &amp; Usage'!$C$114*(IF('Equipment List &amp; Usage'!$AA15&gt;0,'Weekly Summary'!S$128,0)+IF('Equipment List &amp; Usage'!$AB15&gt;0,'Weekly Summary'!S$100+'Weekly Summary'!S$101,0)),'Equipment List &amp; Usage'!$C$115*(('Weekly Summary'!S$128*'Equipment List &amp; Usage'!$AA15)+('Weekly Summary'!S$100*'Equipment List &amp; Usage'!$AB15*SelfQuarantine_Mild)+('Weekly Summary'!S$101*'Equipment List &amp; Usage'!$AB15*SelfQuarantine_Moderate)))+IF('Equipment List &amp; Usage'!$F15="Yes",('Equipment List &amp; Usage'!$C$114*(IF('Equipment List &amp; Usage'!$AE15&gt;0,'Weekly Summary'!S$134,0)+IF('Equipment List &amp; Usage'!$AF15&gt;0,'Weekly Summary'!S$135))),'Equipment List &amp; Usage'!$C$115*(('Weekly Summary'!S$134*'Equipment List &amp; Usage'!$AE15)+('Weekly Summary'!S$135*'Equipment List &amp; Usage'!$AF15))))-SUM($I13:X13),
IF($F13="yes",MMULT(--('Equipment List &amp; Usage'!$J15:$N15&gt;0),--('Weekly Summary'!S$112:S$116))*'Equipment List &amp; Usage'!$C$114,MMULT(--('Equipment List &amp; Usage'!$J15:$N15),--('Weekly Summary'!S$112:S$116))*'Equipment List &amp; Usage'!$C$115)+IF('Equipment List &amp; Usage'!$F14="yes",'Equipment List &amp; Usage'!$C$114,'Equipment List &amp; Usage'!$C$115)*(('Weekly Summary'!S$66*'Equipment List &amp; Usage'!$Q15)+('Weekly Summary'!S$64*'Equipment List &amp; Usage'!$O15)+('Weekly Summary'!S$65*'Equipment List &amp; Usage'!$P15))+(IF('Equipment List &amp; Usage'!$F15="Yes",'Equipment List &amp; Usage'!$C$114*((('Weekly Summary'!S$131*SelfQuarantine_Mild)+('Weekly Summary'!S$100*SelfQuarantine_Mild)+('Weekly Summary'!S$101*SelfQuarantine_Moderate))),'Equipment List &amp; Usage'!$C$115)*((('Weekly Summary'!S$131*SelfQuarantine_Mild*'Equipment List &amp; Usage'!$W15)+('Weekly Summary'!S$100*SelfQuarantine_Mild*'Equipment List &amp; Usage'!$X15)+('Weekly Summary'!S$101*SelfQuarantine_Moderate*'Equipment List &amp; Usage'!$X15))))+IF('Equipment List &amp; Usage'!$F15="Yes",'Equipment List &amp; Usage'!$C$114*(IF('Equipment List &amp; Usage'!$AA15&gt;0,'Weekly Summary'!S$128,0)+IF('Equipment List &amp; Usage'!$AB15&gt;0,'Weekly Summary'!S$100+'Weekly Summary'!S$101,0)),'Equipment List &amp; Usage'!$C$115*(('Weekly Summary'!S$128*'Equipment List &amp; Usage'!$AA15)+('Weekly Summary'!S$100*'Equipment List &amp; Usage'!$AB15*SelfQuarantine_Mild)+('Weekly Summary'!S$101*'Equipment List &amp; Usage'!$AB15*SelfQuarantine_Moderate)))+IF('Equipment List &amp; Usage'!$F15="Yes",('Equipment List &amp; Usage'!$C$114*(IF('Equipment List &amp; Usage'!$AE15&gt;0,'Weekly Summary'!S$134,0)+IF('Equipment List &amp; Usage'!$AF15&gt;0,'Weekly Summary'!S$135))),'Equipment List &amp; Usage'!$C$115*(('Weekly Summary'!S$134*'Equipment List &amp; Usage'!$AE15)+('Weekly Summary'!S$135*'Equipment List &amp; Usage'!$AF15)))),0)</f>
        <v>0</v>
      </c>
      <c r="Z13" s="1375">
        <f ca="1">MAX(IF($F13="Yes",(
IF($F13="yes",MMULT(--('Equipment List &amp; Usage'!$J15:$N15&gt;0),--('Weekly Summary'!T$112:T$116))*'Equipment List &amp; Usage'!$C$114,MMULT(--('Equipment List &amp; Usage'!$J15:$N15),--('Weekly Summary'!T$112:T$116))*'Equipment List &amp; Usage'!$C$115)+IF('Equipment List &amp; Usage'!$F14="yes",'Equipment List &amp; Usage'!$C$114,'Equipment List &amp; Usage'!$C$115)*(('Weekly Summary'!T$66*'Equipment List &amp; Usage'!$Q15)+('Weekly Summary'!T$64*'Equipment List &amp; Usage'!$O15)+('Weekly Summary'!T$65*'Equipment List &amp; Usage'!$P15)))+(IF('Equipment List &amp; Usage'!$F15="Yes",'Equipment List &amp; Usage'!$C$114*((('Weekly Summary'!T$131*SelfQuarantine_Mild)+('Weekly Summary'!T$100*SelfQuarantine_Mild)+('Weekly Summary'!T$101*SelfQuarantine_Moderate))),'Equipment List &amp; Usage'!$C$115)*((('Weekly Summary'!T$131*SelfQuarantine_Mild*'Equipment List &amp; Usage'!$W15)+('Weekly Summary'!T$100*SelfQuarantine_Mild*'Equipment List &amp; Usage'!$X15)+('Weekly Summary'!T$101*SelfQuarantine_Moderate*'Equipment List &amp; Usage'!$X15)))+IF('Equipment List &amp; Usage'!$F15="Yes",'Equipment List &amp; Usage'!$C$114*(IF('Equipment List &amp; Usage'!$AA15&gt;0,'Weekly Summary'!T$128,0)+IF('Equipment List &amp; Usage'!$AB15&gt;0,'Weekly Summary'!T$100+'Weekly Summary'!T$101,0)),'Equipment List &amp; Usage'!$C$115*(('Weekly Summary'!T$128*'Equipment List &amp; Usage'!$AA15)+('Weekly Summary'!T$100*'Equipment List &amp; Usage'!$AB15*SelfQuarantine_Mild)+('Weekly Summary'!T$101*'Equipment List &amp; Usage'!$AB15*SelfQuarantine_Moderate)))+IF('Equipment List &amp; Usage'!$F15="Yes",('Equipment List &amp; Usage'!$C$114*(IF('Equipment List &amp; Usage'!$AE15&gt;0,'Weekly Summary'!T$134,0)+IF('Equipment List &amp; Usage'!$AF15&gt;0,'Weekly Summary'!T$135))),'Equipment List &amp; Usage'!$C$115*(('Weekly Summary'!T$134*'Equipment List &amp; Usage'!$AE15)+('Weekly Summary'!T$135*'Equipment List &amp; Usage'!$AF15))))-SUM($I13:Y13),
IF($F13="yes",MMULT(--('Equipment List &amp; Usage'!$J15:$N15&gt;0),--('Weekly Summary'!T$112:T$116))*'Equipment List &amp; Usage'!$C$114,MMULT(--('Equipment List &amp; Usage'!$J15:$N15),--('Weekly Summary'!T$112:T$116))*'Equipment List &amp; Usage'!$C$115)+IF('Equipment List &amp; Usage'!$F14="yes",'Equipment List &amp; Usage'!$C$114,'Equipment List &amp; Usage'!$C$115)*(('Weekly Summary'!T$66*'Equipment List &amp; Usage'!$Q15)+('Weekly Summary'!T$64*'Equipment List &amp; Usage'!$O15)+('Weekly Summary'!T$65*'Equipment List &amp; Usage'!$P15))+(IF('Equipment List &amp; Usage'!$F15="Yes",'Equipment List &amp; Usage'!$C$114*((('Weekly Summary'!T$131*SelfQuarantine_Mild)+('Weekly Summary'!T$100*SelfQuarantine_Mild)+('Weekly Summary'!T$101*SelfQuarantine_Moderate))),'Equipment List &amp; Usage'!$C$115)*((('Weekly Summary'!T$131*SelfQuarantine_Mild*'Equipment List &amp; Usage'!$W15)+('Weekly Summary'!T$100*SelfQuarantine_Mild*'Equipment List &amp; Usage'!$X15)+('Weekly Summary'!T$101*SelfQuarantine_Moderate*'Equipment List &amp; Usage'!$X15))))+IF('Equipment List &amp; Usage'!$F15="Yes",'Equipment List &amp; Usage'!$C$114*(IF('Equipment List &amp; Usage'!$AA15&gt;0,'Weekly Summary'!T$128,0)+IF('Equipment List &amp; Usage'!$AB15&gt;0,'Weekly Summary'!T$100+'Weekly Summary'!T$101,0)),'Equipment List &amp; Usage'!$C$115*(('Weekly Summary'!T$128*'Equipment List &amp; Usage'!$AA15)+('Weekly Summary'!T$100*'Equipment List &amp; Usage'!$AB15*SelfQuarantine_Mild)+('Weekly Summary'!T$101*'Equipment List &amp; Usage'!$AB15*SelfQuarantine_Moderate)))+IF('Equipment List &amp; Usage'!$F15="Yes",('Equipment List &amp; Usage'!$C$114*(IF('Equipment List &amp; Usage'!$AE15&gt;0,'Weekly Summary'!T$134,0)+IF('Equipment List &amp; Usage'!$AF15&gt;0,'Weekly Summary'!T$135))),'Equipment List &amp; Usage'!$C$115*(('Weekly Summary'!T$134*'Equipment List &amp; Usage'!$AE15)+('Weekly Summary'!T$135*'Equipment List &amp; Usage'!$AF15)))),0)</f>
        <v>0</v>
      </c>
      <c r="AA13" s="1375">
        <f ca="1">MAX(IF($F13="Yes",(
IF($F13="yes",MMULT(--('Equipment List &amp; Usage'!$J15:$N15&gt;0),--('Weekly Summary'!U$112:U$116))*'Equipment List &amp; Usage'!$C$114,MMULT(--('Equipment List &amp; Usage'!$J15:$N15),--('Weekly Summary'!U$112:U$116))*'Equipment List &amp; Usage'!$C$115)+IF('Equipment List &amp; Usage'!$F14="yes",'Equipment List &amp; Usage'!$C$114,'Equipment List &amp; Usage'!$C$115)*(('Weekly Summary'!U$66*'Equipment List &amp; Usage'!$Q15)+('Weekly Summary'!U$64*'Equipment List &amp; Usage'!$O15)+('Weekly Summary'!U$65*'Equipment List &amp; Usage'!$P15)))+(IF('Equipment List &amp; Usage'!$F15="Yes",'Equipment List &amp; Usage'!$C$114*((('Weekly Summary'!U$131*SelfQuarantine_Mild)+('Weekly Summary'!U$100*SelfQuarantine_Mild)+('Weekly Summary'!U$101*SelfQuarantine_Moderate))),'Equipment List &amp; Usage'!$C$115)*((('Weekly Summary'!U$131*SelfQuarantine_Mild*'Equipment List &amp; Usage'!$W15)+('Weekly Summary'!U$100*SelfQuarantine_Mild*'Equipment List &amp; Usage'!$X15)+('Weekly Summary'!U$101*SelfQuarantine_Moderate*'Equipment List &amp; Usage'!$X15)))+IF('Equipment List &amp; Usage'!$F15="Yes",'Equipment List &amp; Usage'!$C$114*(IF('Equipment List &amp; Usage'!$AA15&gt;0,'Weekly Summary'!U$128,0)+IF('Equipment List &amp; Usage'!$AB15&gt;0,'Weekly Summary'!U$100+'Weekly Summary'!U$101,0)),'Equipment List &amp; Usage'!$C$115*(('Weekly Summary'!U$128*'Equipment List &amp; Usage'!$AA15)+('Weekly Summary'!U$100*'Equipment List &amp; Usage'!$AB15*SelfQuarantine_Mild)+('Weekly Summary'!U$101*'Equipment List &amp; Usage'!$AB15*SelfQuarantine_Moderate)))+IF('Equipment List &amp; Usage'!$F15="Yes",('Equipment List &amp; Usage'!$C$114*(IF('Equipment List &amp; Usage'!$AE15&gt;0,'Weekly Summary'!U$134,0)+IF('Equipment List &amp; Usage'!$AF15&gt;0,'Weekly Summary'!U$135))),'Equipment List &amp; Usage'!$C$115*(('Weekly Summary'!U$134*'Equipment List &amp; Usage'!$AE15)+('Weekly Summary'!U$135*'Equipment List &amp; Usage'!$AF15))))-SUM($I13:Z13),
IF($F13="yes",MMULT(--('Equipment List &amp; Usage'!$J15:$N15&gt;0),--('Weekly Summary'!U$112:U$116))*'Equipment List &amp; Usage'!$C$114,MMULT(--('Equipment List &amp; Usage'!$J15:$N15),--('Weekly Summary'!U$112:U$116))*'Equipment List &amp; Usage'!$C$115)+IF('Equipment List &amp; Usage'!$F14="yes",'Equipment List &amp; Usage'!$C$114,'Equipment List &amp; Usage'!$C$115)*(('Weekly Summary'!U$66*'Equipment List &amp; Usage'!$Q15)+('Weekly Summary'!U$64*'Equipment List &amp; Usage'!$O15)+('Weekly Summary'!U$65*'Equipment List &amp; Usage'!$P15))+(IF('Equipment List &amp; Usage'!$F15="Yes",'Equipment List &amp; Usage'!$C$114*((('Weekly Summary'!U$131*SelfQuarantine_Mild)+('Weekly Summary'!U$100*SelfQuarantine_Mild)+('Weekly Summary'!U$101*SelfQuarantine_Moderate))),'Equipment List &amp; Usage'!$C$115)*((('Weekly Summary'!U$131*SelfQuarantine_Mild*'Equipment List &amp; Usage'!$W15)+('Weekly Summary'!U$100*SelfQuarantine_Mild*'Equipment List &amp; Usage'!$X15)+('Weekly Summary'!U$101*SelfQuarantine_Moderate*'Equipment List &amp; Usage'!$X15))))+IF('Equipment List &amp; Usage'!$F15="Yes",'Equipment List &amp; Usage'!$C$114*(IF('Equipment List &amp; Usage'!$AA15&gt;0,'Weekly Summary'!U$128,0)+IF('Equipment List &amp; Usage'!$AB15&gt;0,'Weekly Summary'!U$100+'Weekly Summary'!U$101,0)),'Equipment List &amp; Usage'!$C$115*(('Weekly Summary'!U$128*'Equipment List &amp; Usage'!$AA15)+('Weekly Summary'!U$100*'Equipment List &amp; Usage'!$AB15*SelfQuarantine_Mild)+('Weekly Summary'!U$101*'Equipment List &amp; Usage'!$AB15*SelfQuarantine_Moderate)))+IF('Equipment List &amp; Usage'!$F15="Yes",('Equipment List &amp; Usage'!$C$114*(IF('Equipment List &amp; Usage'!$AE15&gt;0,'Weekly Summary'!U$134,0)+IF('Equipment List &amp; Usage'!$AF15&gt;0,'Weekly Summary'!U$135))),'Equipment List &amp; Usage'!$C$115*(('Weekly Summary'!U$134*'Equipment List &amp; Usage'!$AE15)+('Weekly Summary'!U$135*'Equipment List &amp; Usage'!$AF15)))),0)</f>
        <v>0</v>
      </c>
      <c r="AB13" s="1375">
        <f ca="1">MAX(IF($F13="Yes",(
IF($F13="yes",MMULT(--('Equipment List &amp; Usage'!$J15:$N15&gt;0),--('Weekly Summary'!V$112:V$116))*'Equipment List &amp; Usage'!$C$114,MMULT(--('Equipment List &amp; Usage'!$J15:$N15),--('Weekly Summary'!V$112:V$116))*'Equipment List &amp; Usage'!$C$115)+IF('Equipment List &amp; Usage'!$F14="yes",'Equipment List &amp; Usage'!$C$114,'Equipment List &amp; Usage'!$C$115)*(('Weekly Summary'!V$66*'Equipment List &amp; Usage'!$Q15)+('Weekly Summary'!V$64*'Equipment List &amp; Usage'!$O15)+('Weekly Summary'!V$65*'Equipment List &amp; Usage'!$P15)))+(IF('Equipment List &amp; Usage'!$F15="Yes",'Equipment List &amp; Usage'!$C$114*((('Weekly Summary'!V$131*SelfQuarantine_Mild)+('Weekly Summary'!V$100*SelfQuarantine_Mild)+('Weekly Summary'!V$101*SelfQuarantine_Moderate))),'Equipment List &amp; Usage'!$C$115)*((('Weekly Summary'!V$131*SelfQuarantine_Mild*'Equipment List &amp; Usage'!$W15)+('Weekly Summary'!V$100*SelfQuarantine_Mild*'Equipment List &amp; Usage'!$X15)+('Weekly Summary'!V$101*SelfQuarantine_Moderate*'Equipment List &amp; Usage'!$X15)))+IF('Equipment List &amp; Usage'!$F15="Yes",'Equipment List &amp; Usage'!$C$114*(IF('Equipment List &amp; Usage'!$AA15&gt;0,'Weekly Summary'!V$128,0)+IF('Equipment List &amp; Usage'!$AB15&gt;0,'Weekly Summary'!V$100+'Weekly Summary'!V$101,0)),'Equipment List &amp; Usage'!$C$115*(('Weekly Summary'!V$128*'Equipment List &amp; Usage'!$AA15)+('Weekly Summary'!V$100*'Equipment List &amp; Usage'!$AB15*SelfQuarantine_Mild)+('Weekly Summary'!V$101*'Equipment List &amp; Usage'!$AB15*SelfQuarantine_Moderate)))+IF('Equipment List &amp; Usage'!$F15="Yes",('Equipment List &amp; Usage'!$C$114*(IF('Equipment List &amp; Usage'!$AE15&gt;0,'Weekly Summary'!V$134,0)+IF('Equipment List &amp; Usage'!$AF15&gt;0,'Weekly Summary'!V$135))),'Equipment List &amp; Usage'!$C$115*(('Weekly Summary'!V$134*'Equipment List &amp; Usage'!$AE15)+('Weekly Summary'!V$135*'Equipment List &amp; Usage'!$AF15))))-SUM($I13:AA13),
IF($F13="yes",MMULT(--('Equipment List &amp; Usage'!$J15:$N15&gt;0),--('Weekly Summary'!V$112:V$116))*'Equipment List &amp; Usage'!$C$114,MMULT(--('Equipment List &amp; Usage'!$J15:$N15),--('Weekly Summary'!V$112:V$116))*'Equipment List &amp; Usage'!$C$115)+IF('Equipment List &amp; Usage'!$F14="yes",'Equipment List &amp; Usage'!$C$114,'Equipment List &amp; Usage'!$C$115)*(('Weekly Summary'!V$66*'Equipment List &amp; Usage'!$Q15)+('Weekly Summary'!V$64*'Equipment List &amp; Usage'!$O15)+('Weekly Summary'!V$65*'Equipment List &amp; Usage'!$P15))+(IF('Equipment List &amp; Usage'!$F15="Yes",'Equipment List &amp; Usage'!$C$114*((('Weekly Summary'!V$131*SelfQuarantine_Mild)+('Weekly Summary'!V$100*SelfQuarantine_Mild)+('Weekly Summary'!V$101*SelfQuarantine_Moderate))),'Equipment List &amp; Usage'!$C$115)*((('Weekly Summary'!V$131*SelfQuarantine_Mild*'Equipment List &amp; Usage'!$W15)+('Weekly Summary'!V$100*SelfQuarantine_Mild*'Equipment List &amp; Usage'!$X15)+('Weekly Summary'!V$101*SelfQuarantine_Moderate*'Equipment List &amp; Usage'!$X15))))+IF('Equipment List &amp; Usage'!$F15="Yes",'Equipment List &amp; Usage'!$C$114*(IF('Equipment List &amp; Usage'!$AA15&gt;0,'Weekly Summary'!V$128,0)+IF('Equipment List &amp; Usage'!$AB15&gt;0,'Weekly Summary'!V$100+'Weekly Summary'!V$101,0)),'Equipment List &amp; Usage'!$C$115*(('Weekly Summary'!V$128*'Equipment List &amp; Usage'!$AA15)+('Weekly Summary'!V$100*'Equipment List &amp; Usage'!$AB15*SelfQuarantine_Mild)+('Weekly Summary'!V$101*'Equipment List &amp; Usage'!$AB15*SelfQuarantine_Moderate)))+IF('Equipment List &amp; Usage'!$F15="Yes",('Equipment List &amp; Usage'!$C$114*(IF('Equipment List &amp; Usage'!$AE15&gt;0,'Weekly Summary'!V$134,0)+IF('Equipment List &amp; Usage'!$AF15&gt;0,'Weekly Summary'!V$135))),'Equipment List &amp; Usage'!$C$115*(('Weekly Summary'!V$134*'Equipment List &amp; Usage'!$AE15)+('Weekly Summary'!V$135*'Equipment List &amp; Usage'!$AF15)))),0)</f>
        <v>0</v>
      </c>
      <c r="AC13" s="1375">
        <f ca="1">MAX(IF($F13="Yes",(
IF($F13="yes",MMULT(--('Equipment List &amp; Usage'!$J15:$N15&gt;0),--('Weekly Summary'!W$112:W$116))*'Equipment List &amp; Usage'!$C$114,MMULT(--('Equipment List &amp; Usage'!$J15:$N15),--('Weekly Summary'!W$112:W$116))*'Equipment List &amp; Usage'!$C$115)+IF('Equipment List &amp; Usage'!$F14="yes",'Equipment List &amp; Usage'!$C$114,'Equipment List &amp; Usage'!$C$115)*(('Weekly Summary'!W$66*'Equipment List &amp; Usage'!$Q15)+('Weekly Summary'!W$64*'Equipment List &amp; Usage'!$O15)+('Weekly Summary'!W$65*'Equipment List &amp; Usage'!$P15)))+(IF('Equipment List &amp; Usage'!$F15="Yes",'Equipment List &amp; Usage'!$C$114*((('Weekly Summary'!W$131*SelfQuarantine_Mild)+('Weekly Summary'!W$100*SelfQuarantine_Mild)+('Weekly Summary'!W$101*SelfQuarantine_Moderate))),'Equipment List &amp; Usage'!$C$115)*((('Weekly Summary'!W$131*SelfQuarantine_Mild*'Equipment List &amp; Usage'!$W15)+('Weekly Summary'!W$100*SelfQuarantine_Mild*'Equipment List &amp; Usage'!$X15)+('Weekly Summary'!W$101*SelfQuarantine_Moderate*'Equipment List &amp; Usage'!$X15)))+IF('Equipment List &amp; Usage'!$F15="Yes",'Equipment List &amp; Usage'!$C$114*(IF('Equipment List &amp; Usage'!$AA15&gt;0,'Weekly Summary'!W$128,0)+IF('Equipment List &amp; Usage'!$AB15&gt;0,'Weekly Summary'!W$100+'Weekly Summary'!W$101,0)),'Equipment List &amp; Usage'!$C$115*(('Weekly Summary'!W$128*'Equipment List &amp; Usage'!$AA15)+('Weekly Summary'!W$100*'Equipment List &amp; Usage'!$AB15*SelfQuarantine_Mild)+('Weekly Summary'!W$101*'Equipment List &amp; Usage'!$AB15*SelfQuarantine_Moderate)))+IF('Equipment List &amp; Usage'!$F15="Yes",('Equipment List &amp; Usage'!$C$114*(IF('Equipment List &amp; Usage'!$AE15&gt;0,'Weekly Summary'!W$134,0)+IF('Equipment List &amp; Usage'!$AF15&gt;0,'Weekly Summary'!W$135))),'Equipment List &amp; Usage'!$C$115*(('Weekly Summary'!W$134*'Equipment List &amp; Usage'!$AE15)+('Weekly Summary'!W$135*'Equipment List &amp; Usage'!$AF15))))-SUM($I13:AB13),
IF($F13="yes",MMULT(--('Equipment List &amp; Usage'!$J15:$N15&gt;0),--('Weekly Summary'!W$112:W$116))*'Equipment List &amp; Usage'!$C$114,MMULT(--('Equipment List &amp; Usage'!$J15:$N15),--('Weekly Summary'!W$112:W$116))*'Equipment List &amp; Usage'!$C$115)+IF('Equipment List &amp; Usage'!$F14="yes",'Equipment List &amp; Usage'!$C$114,'Equipment List &amp; Usage'!$C$115)*(('Weekly Summary'!W$66*'Equipment List &amp; Usage'!$Q15)+('Weekly Summary'!W$64*'Equipment List &amp; Usage'!$O15)+('Weekly Summary'!W$65*'Equipment List &amp; Usage'!$P15))+(IF('Equipment List &amp; Usage'!$F15="Yes",'Equipment List &amp; Usage'!$C$114*((('Weekly Summary'!W$131*SelfQuarantine_Mild)+('Weekly Summary'!W$100*SelfQuarantine_Mild)+('Weekly Summary'!W$101*SelfQuarantine_Moderate))),'Equipment List &amp; Usage'!$C$115)*((('Weekly Summary'!W$131*SelfQuarantine_Mild*'Equipment List &amp; Usage'!$W15)+('Weekly Summary'!W$100*SelfQuarantine_Mild*'Equipment List &amp; Usage'!$X15)+('Weekly Summary'!W$101*SelfQuarantine_Moderate*'Equipment List &amp; Usage'!$X15))))+IF('Equipment List &amp; Usage'!$F15="Yes",'Equipment List &amp; Usage'!$C$114*(IF('Equipment List &amp; Usage'!$AA15&gt;0,'Weekly Summary'!W$128,0)+IF('Equipment List &amp; Usage'!$AB15&gt;0,'Weekly Summary'!W$100+'Weekly Summary'!W$101,0)),'Equipment List &amp; Usage'!$C$115*(('Weekly Summary'!W$128*'Equipment List &amp; Usage'!$AA15)+('Weekly Summary'!W$100*'Equipment List &amp; Usage'!$AB15*SelfQuarantine_Mild)+('Weekly Summary'!W$101*'Equipment List &amp; Usage'!$AB15*SelfQuarantine_Moderate)))+IF('Equipment List &amp; Usage'!$F15="Yes",('Equipment List &amp; Usage'!$C$114*(IF('Equipment List &amp; Usage'!$AE15&gt;0,'Weekly Summary'!W$134,0)+IF('Equipment List &amp; Usage'!$AF15&gt;0,'Weekly Summary'!W$135))),'Equipment List &amp; Usage'!$C$115*(('Weekly Summary'!W$134*'Equipment List &amp; Usage'!$AE15)+('Weekly Summary'!W$135*'Equipment List &amp; Usage'!$AF15)))),0)</f>
        <v>0</v>
      </c>
      <c r="AD13" s="1375">
        <f ca="1">MAX(IF($F13="Yes",(
IF($F13="yes",MMULT(--('Equipment List &amp; Usage'!$J15:$N15&gt;0),--('Weekly Summary'!X$112:X$116))*'Equipment List &amp; Usage'!$C$114,MMULT(--('Equipment List &amp; Usage'!$J15:$N15),--('Weekly Summary'!X$112:X$116))*'Equipment List &amp; Usage'!$C$115)+IF('Equipment List &amp; Usage'!$F14="yes",'Equipment List &amp; Usage'!$C$114,'Equipment List &amp; Usage'!$C$115)*(('Weekly Summary'!X$66*'Equipment List &amp; Usage'!$Q15)+('Weekly Summary'!X$64*'Equipment List &amp; Usage'!$O15)+('Weekly Summary'!X$65*'Equipment List &amp; Usage'!$P15)))+(IF('Equipment List &amp; Usage'!$F15="Yes",'Equipment List &amp; Usage'!$C$114*((('Weekly Summary'!X$131*SelfQuarantine_Mild)+('Weekly Summary'!X$100*SelfQuarantine_Mild)+('Weekly Summary'!X$101*SelfQuarantine_Moderate))),'Equipment List &amp; Usage'!$C$115)*((('Weekly Summary'!X$131*SelfQuarantine_Mild*'Equipment List &amp; Usage'!$W15)+('Weekly Summary'!X$100*SelfQuarantine_Mild*'Equipment List &amp; Usage'!$X15)+('Weekly Summary'!X$101*SelfQuarantine_Moderate*'Equipment List &amp; Usage'!$X15)))+IF('Equipment List &amp; Usage'!$F15="Yes",'Equipment List &amp; Usage'!$C$114*(IF('Equipment List &amp; Usage'!$AA15&gt;0,'Weekly Summary'!X$128,0)+IF('Equipment List &amp; Usage'!$AB15&gt;0,'Weekly Summary'!X$100+'Weekly Summary'!X$101,0)),'Equipment List &amp; Usage'!$C$115*(('Weekly Summary'!X$128*'Equipment List &amp; Usage'!$AA15)+('Weekly Summary'!X$100*'Equipment List &amp; Usage'!$AB15*SelfQuarantine_Mild)+('Weekly Summary'!X$101*'Equipment List &amp; Usage'!$AB15*SelfQuarantine_Moderate)))+IF('Equipment List &amp; Usage'!$F15="Yes",('Equipment List &amp; Usage'!$C$114*(IF('Equipment List &amp; Usage'!$AE15&gt;0,'Weekly Summary'!X$134,0)+IF('Equipment List &amp; Usage'!$AF15&gt;0,'Weekly Summary'!X$135))),'Equipment List &amp; Usage'!$C$115*(('Weekly Summary'!X$134*'Equipment List &amp; Usage'!$AE15)+('Weekly Summary'!X$135*'Equipment List &amp; Usage'!$AF15))))-SUM($I13:AC13),
IF($F13="yes",MMULT(--('Equipment List &amp; Usage'!$J15:$N15&gt;0),--('Weekly Summary'!X$112:X$116))*'Equipment List &amp; Usage'!$C$114,MMULT(--('Equipment List &amp; Usage'!$J15:$N15),--('Weekly Summary'!X$112:X$116))*'Equipment List &amp; Usage'!$C$115)+IF('Equipment List &amp; Usage'!$F14="yes",'Equipment List &amp; Usage'!$C$114,'Equipment List &amp; Usage'!$C$115)*(('Weekly Summary'!X$66*'Equipment List &amp; Usage'!$Q15)+('Weekly Summary'!X$64*'Equipment List &amp; Usage'!$O15)+('Weekly Summary'!X$65*'Equipment List &amp; Usage'!$P15))+(IF('Equipment List &amp; Usage'!$F15="Yes",'Equipment List &amp; Usage'!$C$114*((('Weekly Summary'!X$131*SelfQuarantine_Mild)+('Weekly Summary'!X$100*SelfQuarantine_Mild)+('Weekly Summary'!X$101*SelfQuarantine_Moderate))),'Equipment List &amp; Usage'!$C$115)*((('Weekly Summary'!X$131*SelfQuarantine_Mild*'Equipment List &amp; Usage'!$W15)+('Weekly Summary'!X$100*SelfQuarantine_Mild*'Equipment List &amp; Usage'!$X15)+('Weekly Summary'!X$101*SelfQuarantine_Moderate*'Equipment List &amp; Usage'!$X15))))+IF('Equipment List &amp; Usage'!$F15="Yes",'Equipment List &amp; Usage'!$C$114*(IF('Equipment List &amp; Usage'!$AA15&gt;0,'Weekly Summary'!X$128,0)+IF('Equipment List &amp; Usage'!$AB15&gt;0,'Weekly Summary'!X$100+'Weekly Summary'!X$101,0)),'Equipment List &amp; Usage'!$C$115*(('Weekly Summary'!X$128*'Equipment List &amp; Usage'!$AA15)+('Weekly Summary'!X$100*'Equipment List &amp; Usage'!$AB15*SelfQuarantine_Mild)+('Weekly Summary'!X$101*'Equipment List &amp; Usage'!$AB15*SelfQuarantine_Moderate)))+IF('Equipment List &amp; Usage'!$F15="Yes",('Equipment List &amp; Usage'!$C$114*(IF('Equipment List &amp; Usage'!$AE15&gt;0,'Weekly Summary'!X$134,0)+IF('Equipment List &amp; Usage'!$AF15&gt;0,'Weekly Summary'!X$135))),'Equipment List &amp; Usage'!$C$115*(('Weekly Summary'!X$134*'Equipment List &amp; Usage'!$AE15)+('Weekly Summary'!X$135*'Equipment List &amp; Usage'!$AF15)))),0)</f>
        <v>0</v>
      </c>
      <c r="AE13" s="1375">
        <f ca="1">MAX(IF($F13="Yes",(
IF($F13="yes",MMULT(--('Equipment List &amp; Usage'!$J15:$N15&gt;0),--('Weekly Summary'!Y$112:Y$116))*'Equipment List &amp; Usage'!$C$114,MMULT(--('Equipment List &amp; Usage'!$J15:$N15),--('Weekly Summary'!Y$112:Y$116))*'Equipment List &amp; Usage'!$C$115)+IF('Equipment List &amp; Usage'!$F14="yes",'Equipment List &amp; Usage'!$C$114,'Equipment List &amp; Usage'!$C$115)*(('Weekly Summary'!Y$66*'Equipment List &amp; Usage'!$Q15)+('Weekly Summary'!Y$64*'Equipment List &amp; Usage'!$O15)+('Weekly Summary'!Y$65*'Equipment List &amp; Usage'!$P15)))+(IF('Equipment List &amp; Usage'!$F15="Yes",'Equipment List &amp; Usage'!$C$114*((('Weekly Summary'!Y$131*SelfQuarantine_Mild)+('Weekly Summary'!Y$100*SelfQuarantine_Mild)+('Weekly Summary'!Y$101*SelfQuarantine_Moderate))),'Equipment List &amp; Usage'!$C$115)*((('Weekly Summary'!Y$131*SelfQuarantine_Mild*'Equipment List &amp; Usage'!$W15)+('Weekly Summary'!Y$100*SelfQuarantine_Mild*'Equipment List &amp; Usage'!$X15)+('Weekly Summary'!Y$101*SelfQuarantine_Moderate*'Equipment List &amp; Usage'!$X15)))+IF('Equipment List &amp; Usage'!$F15="Yes",'Equipment List &amp; Usage'!$C$114*(IF('Equipment List &amp; Usage'!$AA15&gt;0,'Weekly Summary'!Y$128,0)+IF('Equipment List &amp; Usage'!$AB15&gt;0,'Weekly Summary'!Y$100+'Weekly Summary'!Y$101,0)),'Equipment List &amp; Usage'!$C$115*(('Weekly Summary'!Y$128*'Equipment List &amp; Usage'!$AA15)+('Weekly Summary'!Y$100*'Equipment List &amp; Usage'!$AB15*SelfQuarantine_Mild)+('Weekly Summary'!Y$101*'Equipment List &amp; Usage'!$AB15*SelfQuarantine_Moderate)))+IF('Equipment List &amp; Usage'!$F15="Yes",('Equipment List &amp; Usage'!$C$114*(IF('Equipment List &amp; Usage'!$AE15&gt;0,'Weekly Summary'!Y$134,0)+IF('Equipment List &amp; Usage'!$AF15&gt;0,'Weekly Summary'!Y$135))),'Equipment List &amp; Usage'!$C$115*(('Weekly Summary'!Y$134*'Equipment List &amp; Usage'!$AE15)+('Weekly Summary'!Y$135*'Equipment List &amp; Usage'!$AF15))))-SUM($I13:AD13),
IF($F13="yes",MMULT(--('Equipment List &amp; Usage'!$J15:$N15&gt;0),--('Weekly Summary'!Y$112:Y$116))*'Equipment List &amp; Usage'!$C$114,MMULT(--('Equipment List &amp; Usage'!$J15:$N15),--('Weekly Summary'!Y$112:Y$116))*'Equipment List &amp; Usage'!$C$115)+IF('Equipment List &amp; Usage'!$F14="yes",'Equipment List &amp; Usage'!$C$114,'Equipment List &amp; Usage'!$C$115)*(('Weekly Summary'!Y$66*'Equipment List &amp; Usage'!$Q15)+('Weekly Summary'!Y$64*'Equipment List &amp; Usage'!$O15)+('Weekly Summary'!Y$65*'Equipment List &amp; Usage'!$P15))+(IF('Equipment List &amp; Usage'!$F15="Yes",'Equipment List &amp; Usage'!$C$114*((('Weekly Summary'!Y$131*SelfQuarantine_Mild)+('Weekly Summary'!Y$100*SelfQuarantine_Mild)+('Weekly Summary'!Y$101*SelfQuarantine_Moderate))),'Equipment List &amp; Usage'!$C$115)*((('Weekly Summary'!Y$131*SelfQuarantine_Mild*'Equipment List &amp; Usage'!$W15)+('Weekly Summary'!Y$100*SelfQuarantine_Mild*'Equipment List &amp; Usage'!$X15)+('Weekly Summary'!Y$101*SelfQuarantine_Moderate*'Equipment List &amp; Usage'!$X15))))+IF('Equipment List &amp; Usage'!$F15="Yes",'Equipment List &amp; Usage'!$C$114*(IF('Equipment List &amp; Usage'!$AA15&gt;0,'Weekly Summary'!Y$128,0)+IF('Equipment List &amp; Usage'!$AB15&gt;0,'Weekly Summary'!Y$100+'Weekly Summary'!Y$101,0)),'Equipment List &amp; Usage'!$C$115*(('Weekly Summary'!Y$128*'Equipment List &amp; Usage'!$AA15)+('Weekly Summary'!Y$100*'Equipment List &amp; Usage'!$AB15*SelfQuarantine_Mild)+('Weekly Summary'!Y$101*'Equipment List &amp; Usage'!$AB15*SelfQuarantine_Moderate)))+IF('Equipment List &amp; Usage'!$F15="Yes",('Equipment List &amp; Usage'!$C$114*(IF('Equipment List &amp; Usage'!$AE15&gt;0,'Weekly Summary'!Y$134,0)+IF('Equipment List &amp; Usage'!$AF15&gt;0,'Weekly Summary'!Y$135))),'Equipment List &amp; Usage'!$C$115*(('Weekly Summary'!Y$134*'Equipment List &amp; Usage'!$AE15)+('Weekly Summary'!Y$135*'Equipment List &amp; Usage'!$AF15)))),0)</f>
        <v>0</v>
      </c>
      <c r="AF13" s="1375">
        <f ca="1">MAX(IF($F13="Yes",(
IF($F13="yes",MMULT(--('Equipment List &amp; Usage'!$J15:$N15&gt;0),--('Weekly Summary'!Z$112:Z$116))*'Equipment List &amp; Usage'!$C$114,MMULT(--('Equipment List &amp; Usage'!$J15:$N15),--('Weekly Summary'!Z$112:Z$116))*'Equipment List &amp; Usage'!$C$115)+IF('Equipment List &amp; Usage'!$F14="yes",'Equipment List &amp; Usage'!$C$114,'Equipment List &amp; Usage'!$C$115)*(('Weekly Summary'!Z$66*'Equipment List &amp; Usage'!$Q15)+('Weekly Summary'!Z$64*'Equipment List &amp; Usage'!$O15)+('Weekly Summary'!Z$65*'Equipment List &amp; Usage'!$P15)))+(IF('Equipment List &amp; Usage'!$F15="Yes",'Equipment List &amp; Usage'!$C$114*((('Weekly Summary'!Z$131*SelfQuarantine_Mild)+('Weekly Summary'!Z$100*SelfQuarantine_Mild)+('Weekly Summary'!Z$101*SelfQuarantine_Moderate))),'Equipment List &amp; Usage'!$C$115)*((('Weekly Summary'!Z$131*SelfQuarantine_Mild*'Equipment List &amp; Usage'!$W15)+('Weekly Summary'!Z$100*SelfQuarantine_Mild*'Equipment List &amp; Usage'!$X15)+('Weekly Summary'!Z$101*SelfQuarantine_Moderate*'Equipment List &amp; Usage'!$X15)))+IF('Equipment List &amp; Usage'!$F15="Yes",'Equipment List &amp; Usage'!$C$114*(IF('Equipment List &amp; Usage'!$AA15&gt;0,'Weekly Summary'!Z$128,0)+IF('Equipment List &amp; Usage'!$AB15&gt;0,'Weekly Summary'!Z$100+'Weekly Summary'!Z$101,0)),'Equipment List &amp; Usage'!$C$115*(('Weekly Summary'!Z$128*'Equipment List &amp; Usage'!$AA15)+('Weekly Summary'!Z$100*'Equipment List &amp; Usage'!$AB15*SelfQuarantine_Mild)+('Weekly Summary'!Z$101*'Equipment List &amp; Usage'!$AB15*SelfQuarantine_Moderate)))+IF('Equipment List &amp; Usage'!$F15="Yes",('Equipment List &amp; Usage'!$C$114*(IF('Equipment List &amp; Usage'!$AE15&gt;0,'Weekly Summary'!Z$134,0)+IF('Equipment List &amp; Usage'!$AF15&gt;0,'Weekly Summary'!Z$135))),'Equipment List &amp; Usage'!$C$115*(('Weekly Summary'!Z$134*'Equipment List &amp; Usage'!$AE15)+('Weekly Summary'!Z$135*'Equipment List &amp; Usage'!$AF15))))-SUM($I13:AE13),
IF($F13="yes",MMULT(--('Equipment List &amp; Usage'!$J15:$N15&gt;0),--('Weekly Summary'!Z$112:Z$116))*'Equipment List &amp; Usage'!$C$114,MMULT(--('Equipment List &amp; Usage'!$J15:$N15),--('Weekly Summary'!Z$112:Z$116))*'Equipment List &amp; Usage'!$C$115)+IF('Equipment List &amp; Usage'!$F14="yes",'Equipment List &amp; Usage'!$C$114,'Equipment List &amp; Usage'!$C$115)*(('Weekly Summary'!Z$66*'Equipment List &amp; Usage'!$Q15)+('Weekly Summary'!Z$64*'Equipment List &amp; Usage'!$O15)+('Weekly Summary'!Z$65*'Equipment List &amp; Usage'!$P15))+(IF('Equipment List &amp; Usage'!$F15="Yes",'Equipment List &amp; Usage'!$C$114*((('Weekly Summary'!Z$131*SelfQuarantine_Mild)+('Weekly Summary'!Z$100*SelfQuarantine_Mild)+('Weekly Summary'!Z$101*SelfQuarantine_Moderate))),'Equipment List &amp; Usage'!$C$115)*((('Weekly Summary'!Z$131*SelfQuarantine_Mild*'Equipment List &amp; Usage'!$W15)+('Weekly Summary'!Z$100*SelfQuarantine_Mild*'Equipment List &amp; Usage'!$X15)+('Weekly Summary'!Z$101*SelfQuarantine_Moderate*'Equipment List &amp; Usage'!$X15))))+IF('Equipment List &amp; Usage'!$F15="Yes",'Equipment List &amp; Usage'!$C$114*(IF('Equipment List &amp; Usage'!$AA15&gt;0,'Weekly Summary'!Z$128,0)+IF('Equipment List &amp; Usage'!$AB15&gt;0,'Weekly Summary'!Z$100+'Weekly Summary'!Z$101,0)),'Equipment List &amp; Usage'!$C$115*(('Weekly Summary'!Z$128*'Equipment List &amp; Usage'!$AA15)+('Weekly Summary'!Z$100*'Equipment List &amp; Usage'!$AB15*SelfQuarantine_Mild)+('Weekly Summary'!Z$101*'Equipment List &amp; Usage'!$AB15*SelfQuarantine_Moderate)))+IF('Equipment List &amp; Usage'!$F15="Yes",('Equipment List &amp; Usage'!$C$114*(IF('Equipment List &amp; Usage'!$AE15&gt;0,'Weekly Summary'!Z$134,0)+IF('Equipment List &amp; Usage'!$AF15&gt;0,'Weekly Summary'!Z$135))),'Equipment List &amp; Usage'!$C$115*(('Weekly Summary'!Z$134*'Equipment List &amp; Usage'!$AE15)+('Weekly Summary'!Z$135*'Equipment List &amp; Usage'!$AF15)))),0)</f>
        <v>0</v>
      </c>
      <c r="AG13" s="1375">
        <f ca="1">MAX(IF($F13="Yes",(
IF($F13="yes",MMULT(--('Equipment List &amp; Usage'!$J15:$N15&gt;0),--('Weekly Summary'!AA$112:AA$116))*'Equipment List &amp; Usage'!$C$114,MMULT(--('Equipment List &amp; Usage'!$J15:$N15),--('Weekly Summary'!AA$112:AA$116))*'Equipment List &amp; Usage'!$C$115)+IF('Equipment List &amp; Usage'!$F14="yes",'Equipment List &amp; Usage'!$C$114,'Equipment List &amp; Usage'!$C$115)*(('Weekly Summary'!AA$66*'Equipment List &amp; Usage'!$Q15)+('Weekly Summary'!AA$64*'Equipment List &amp; Usage'!$O15)+('Weekly Summary'!AA$65*'Equipment List &amp; Usage'!$P15)))+(IF('Equipment List &amp; Usage'!$F15="Yes",'Equipment List &amp; Usage'!$C$114*((('Weekly Summary'!AA$131*SelfQuarantine_Mild)+('Weekly Summary'!AA$100*SelfQuarantine_Mild)+('Weekly Summary'!AA$101*SelfQuarantine_Moderate))),'Equipment List &amp; Usage'!$C$115)*((('Weekly Summary'!AA$131*SelfQuarantine_Mild*'Equipment List &amp; Usage'!$W15)+('Weekly Summary'!AA$100*SelfQuarantine_Mild*'Equipment List &amp; Usage'!$X15)+('Weekly Summary'!AA$101*SelfQuarantine_Moderate*'Equipment List &amp; Usage'!$X15)))+IF('Equipment List &amp; Usage'!$F15="Yes",'Equipment List &amp; Usage'!$C$114*(IF('Equipment List &amp; Usage'!$AA15&gt;0,'Weekly Summary'!AA$128,0)+IF('Equipment List &amp; Usage'!$AB15&gt;0,'Weekly Summary'!AA$100+'Weekly Summary'!AA$101,0)),'Equipment List &amp; Usage'!$C$115*(('Weekly Summary'!AA$128*'Equipment List &amp; Usage'!$AA15)+('Weekly Summary'!AA$100*'Equipment List &amp; Usage'!$AB15*SelfQuarantine_Mild)+('Weekly Summary'!AA$101*'Equipment List &amp; Usage'!$AB15*SelfQuarantine_Moderate)))+IF('Equipment List &amp; Usage'!$F15="Yes",('Equipment List &amp; Usage'!$C$114*(IF('Equipment List &amp; Usage'!$AE15&gt;0,'Weekly Summary'!AA$134,0)+IF('Equipment List &amp; Usage'!$AF15&gt;0,'Weekly Summary'!AA$135))),'Equipment List &amp; Usage'!$C$115*(('Weekly Summary'!AA$134*'Equipment List &amp; Usage'!$AE15)+('Weekly Summary'!AA$135*'Equipment List &amp; Usage'!$AF15))))-SUM($I13:AF13),
IF($F13="yes",MMULT(--('Equipment List &amp; Usage'!$J15:$N15&gt;0),--('Weekly Summary'!AA$112:AA$116))*'Equipment List &amp; Usage'!$C$114,MMULT(--('Equipment List &amp; Usage'!$J15:$N15),--('Weekly Summary'!AA$112:AA$116))*'Equipment List &amp; Usage'!$C$115)+IF('Equipment List &amp; Usage'!$F14="yes",'Equipment List &amp; Usage'!$C$114,'Equipment List &amp; Usage'!$C$115)*(('Weekly Summary'!AA$66*'Equipment List &amp; Usage'!$Q15)+('Weekly Summary'!AA$64*'Equipment List &amp; Usage'!$O15)+('Weekly Summary'!AA$65*'Equipment List &amp; Usage'!$P15))+(IF('Equipment List &amp; Usage'!$F15="Yes",'Equipment List &amp; Usage'!$C$114*((('Weekly Summary'!AA$131*SelfQuarantine_Mild)+('Weekly Summary'!AA$100*SelfQuarantine_Mild)+('Weekly Summary'!AA$101*SelfQuarantine_Moderate))),'Equipment List &amp; Usage'!$C$115)*((('Weekly Summary'!AA$131*SelfQuarantine_Mild*'Equipment List &amp; Usage'!$W15)+('Weekly Summary'!AA$100*SelfQuarantine_Mild*'Equipment List &amp; Usage'!$X15)+('Weekly Summary'!AA$101*SelfQuarantine_Moderate*'Equipment List &amp; Usage'!$X15))))+IF('Equipment List &amp; Usage'!$F15="Yes",'Equipment List &amp; Usage'!$C$114*(IF('Equipment List &amp; Usage'!$AA15&gt;0,'Weekly Summary'!AA$128,0)+IF('Equipment List &amp; Usage'!$AB15&gt;0,'Weekly Summary'!AA$100+'Weekly Summary'!AA$101,0)),'Equipment List &amp; Usage'!$C$115*(('Weekly Summary'!AA$128*'Equipment List &amp; Usage'!$AA15)+('Weekly Summary'!AA$100*'Equipment List &amp; Usage'!$AB15*SelfQuarantine_Mild)+('Weekly Summary'!AA$101*'Equipment List &amp; Usage'!$AB15*SelfQuarantine_Moderate)))+IF('Equipment List &amp; Usage'!$F15="Yes",('Equipment List &amp; Usage'!$C$114*(IF('Equipment List &amp; Usage'!$AE15&gt;0,'Weekly Summary'!AA$134,0)+IF('Equipment List &amp; Usage'!$AF15&gt;0,'Weekly Summary'!AA$135))),'Equipment List &amp; Usage'!$C$115*(('Weekly Summary'!AA$134*'Equipment List &amp; Usage'!$AE15)+('Weekly Summary'!AA$135*'Equipment List &amp; Usage'!$AF15)))),0)</f>
        <v>0</v>
      </c>
      <c r="AH13" s="1375">
        <f ca="1">MAX(IF($F13="Yes",(
IF($F13="yes",MMULT(--('Equipment List &amp; Usage'!$J15:$N15&gt;0),--('Weekly Summary'!AB$112:AB$116))*'Equipment List &amp; Usage'!$C$114,MMULT(--('Equipment List &amp; Usage'!$J15:$N15),--('Weekly Summary'!AB$112:AB$116))*'Equipment List &amp; Usage'!$C$115)+IF('Equipment List &amp; Usage'!$F14="yes",'Equipment List &amp; Usage'!$C$114,'Equipment List &amp; Usage'!$C$115)*(('Weekly Summary'!AB$66*'Equipment List &amp; Usage'!$Q15)+('Weekly Summary'!AB$64*'Equipment List &amp; Usage'!$O15)+('Weekly Summary'!AB$65*'Equipment List &amp; Usage'!$P15)))+(IF('Equipment List &amp; Usage'!$F15="Yes",'Equipment List &amp; Usage'!$C$114*((('Weekly Summary'!AB$131*SelfQuarantine_Mild)+('Weekly Summary'!AB$100*SelfQuarantine_Mild)+('Weekly Summary'!AB$101*SelfQuarantine_Moderate))),'Equipment List &amp; Usage'!$C$115)*((('Weekly Summary'!AB$131*SelfQuarantine_Mild*'Equipment List &amp; Usage'!$W15)+('Weekly Summary'!AB$100*SelfQuarantine_Mild*'Equipment List &amp; Usage'!$X15)+('Weekly Summary'!AB$101*SelfQuarantine_Moderate*'Equipment List &amp; Usage'!$X15)))+IF('Equipment List &amp; Usage'!$F15="Yes",'Equipment List &amp; Usage'!$C$114*(IF('Equipment List &amp; Usage'!$AA15&gt;0,'Weekly Summary'!AB$128,0)+IF('Equipment List &amp; Usage'!$AB15&gt;0,'Weekly Summary'!AB$100+'Weekly Summary'!AB$101,0)),'Equipment List &amp; Usage'!$C$115*(('Weekly Summary'!AB$128*'Equipment List &amp; Usage'!$AA15)+('Weekly Summary'!AB$100*'Equipment List &amp; Usage'!$AB15*SelfQuarantine_Mild)+('Weekly Summary'!AB$101*'Equipment List &amp; Usage'!$AB15*SelfQuarantine_Moderate)))+IF('Equipment List &amp; Usage'!$F15="Yes",('Equipment List &amp; Usage'!$C$114*(IF('Equipment List &amp; Usage'!$AE15&gt;0,'Weekly Summary'!AB$134,0)+IF('Equipment List &amp; Usage'!$AF15&gt;0,'Weekly Summary'!AB$135))),'Equipment List &amp; Usage'!$C$115*(('Weekly Summary'!AB$134*'Equipment List &amp; Usage'!$AE15)+('Weekly Summary'!AB$135*'Equipment List &amp; Usage'!$AF15))))-SUM($I13:AG13),
IF($F13="yes",MMULT(--('Equipment List &amp; Usage'!$J15:$N15&gt;0),--('Weekly Summary'!AB$112:AB$116))*'Equipment List &amp; Usage'!$C$114,MMULT(--('Equipment List &amp; Usage'!$J15:$N15),--('Weekly Summary'!AB$112:AB$116))*'Equipment List &amp; Usage'!$C$115)+IF('Equipment List &amp; Usage'!$F14="yes",'Equipment List &amp; Usage'!$C$114,'Equipment List &amp; Usage'!$C$115)*(('Weekly Summary'!AB$66*'Equipment List &amp; Usage'!$Q15)+('Weekly Summary'!AB$64*'Equipment List &amp; Usage'!$O15)+('Weekly Summary'!AB$65*'Equipment List &amp; Usage'!$P15))+(IF('Equipment List &amp; Usage'!$F15="Yes",'Equipment List &amp; Usage'!$C$114*((('Weekly Summary'!AB$131*SelfQuarantine_Mild)+('Weekly Summary'!AB$100*SelfQuarantine_Mild)+('Weekly Summary'!AB$101*SelfQuarantine_Moderate))),'Equipment List &amp; Usage'!$C$115)*((('Weekly Summary'!AB$131*SelfQuarantine_Mild*'Equipment List &amp; Usage'!$W15)+('Weekly Summary'!AB$100*SelfQuarantine_Mild*'Equipment List &amp; Usage'!$X15)+('Weekly Summary'!AB$101*SelfQuarantine_Moderate*'Equipment List &amp; Usage'!$X15))))+IF('Equipment List &amp; Usage'!$F15="Yes",'Equipment List &amp; Usage'!$C$114*(IF('Equipment List &amp; Usage'!$AA15&gt;0,'Weekly Summary'!AB$128,0)+IF('Equipment List &amp; Usage'!$AB15&gt;0,'Weekly Summary'!AB$100+'Weekly Summary'!AB$101,0)),'Equipment List &amp; Usage'!$C$115*(('Weekly Summary'!AB$128*'Equipment List &amp; Usage'!$AA15)+('Weekly Summary'!AB$100*'Equipment List &amp; Usage'!$AB15*SelfQuarantine_Mild)+('Weekly Summary'!AB$101*'Equipment List &amp; Usage'!$AB15*SelfQuarantine_Moderate)))+IF('Equipment List &amp; Usage'!$F15="Yes",('Equipment List &amp; Usage'!$C$114*(IF('Equipment List &amp; Usage'!$AE15&gt;0,'Weekly Summary'!AB$134,0)+IF('Equipment List &amp; Usage'!$AF15&gt;0,'Weekly Summary'!AB$135))),'Equipment List &amp; Usage'!$C$115*(('Weekly Summary'!AB$134*'Equipment List &amp; Usage'!$AE15)+('Weekly Summary'!AB$135*'Equipment List &amp; Usage'!$AF15)))),0)</f>
        <v>0</v>
      </c>
      <c r="AI13" s="1375">
        <f ca="1">MAX(IF($F13="Yes",(
IF($F13="yes",MMULT(--('Equipment List &amp; Usage'!$J15:$N15&gt;0),--('Weekly Summary'!AC$112:AC$116))*'Equipment List &amp; Usage'!$C$114,MMULT(--('Equipment List &amp; Usage'!$J15:$N15),--('Weekly Summary'!AC$112:AC$116))*'Equipment List &amp; Usage'!$C$115)+IF('Equipment List &amp; Usage'!$F14="yes",'Equipment List &amp; Usage'!$C$114,'Equipment List &amp; Usage'!$C$115)*(('Weekly Summary'!AC$66*'Equipment List &amp; Usage'!$Q15)+('Weekly Summary'!AC$64*'Equipment List &amp; Usage'!$O15)+('Weekly Summary'!AC$65*'Equipment List &amp; Usage'!$P15)))+(IF('Equipment List &amp; Usage'!$F15="Yes",'Equipment List &amp; Usage'!$C$114*((('Weekly Summary'!AC$131*SelfQuarantine_Mild)+('Weekly Summary'!AC$100*SelfQuarantine_Mild)+('Weekly Summary'!AC$101*SelfQuarantine_Moderate))),'Equipment List &amp; Usage'!$C$115)*((('Weekly Summary'!AC$131*SelfQuarantine_Mild*'Equipment List &amp; Usage'!$W15)+('Weekly Summary'!AC$100*SelfQuarantine_Mild*'Equipment List &amp; Usage'!$X15)+('Weekly Summary'!AC$101*SelfQuarantine_Moderate*'Equipment List &amp; Usage'!$X15)))+IF('Equipment List &amp; Usage'!$F15="Yes",'Equipment List &amp; Usage'!$C$114*(IF('Equipment List &amp; Usage'!$AA15&gt;0,'Weekly Summary'!AC$128,0)+IF('Equipment List &amp; Usage'!$AB15&gt;0,'Weekly Summary'!AC$100+'Weekly Summary'!AC$101,0)),'Equipment List &amp; Usage'!$C$115*(('Weekly Summary'!AC$128*'Equipment List &amp; Usage'!$AA15)+('Weekly Summary'!AC$100*'Equipment List &amp; Usage'!$AB15*SelfQuarantine_Mild)+('Weekly Summary'!AC$101*'Equipment List &amp; Usage'!$AB15*SelfQuarantine_Moderate)))+IF('Equipment List &amp; Usage'!$F15="Yes",('Equipment List &amp; Usage'!$C$114*(IF('Equipment List &amp; Usage'!$AE15&gt;0,'Weekly Summary'!AC$134,0)+IF('Equipment List &amp; Usage'!$AF15&gt;0,'Weekly Summary'!AC$135))),'Equipment List &amp; Usage'!$C$115*(('Weekly Summary'!AC$134*'Equipment List &amp; Usage'!$AE15)+('Weekly Summary'!AC$135*'Equipment List &amp; Usage'!$AF15))))-SUM($I13:AH13),
IF($F13="yes",MMULT(--('Equipment List &amp; Usage'!$J15:$N15&gt;0),--('Weekly Summary'!AC$112:AC$116))*'Equipment List &amp; Usage'!$C$114,MMULT(--('Equipment List &amp; Usage'!$J15:$N15),--('Weekly Summary'!AC$112:AC$116))*'Equipment List &amp; Usage'!$C$115)+IF('Equipment List &amp; Usage'!$F14="yes",'Equipment List &amp; Usage'!$C$114,'Equipment List &amp; Usage'!$C$115)*(('Weekly Summary'!AC$66*'Equipment List &amp; Usage'!$Q15)+('Weekly Summary'!AC$64*'Equipment List &amp; Usage'!$O15)+('Weekly Summary'!AC$65*'Equipment List &amp; Usage'!$P15))+(IF('Equipment List &amp; Usage'!$F15="Yes",'Equipment List &amp; Usage'!$C$114*((('Weekly Summary'!AC$131*SelfQuarantine_Mild)+('Weekly Summary'!AC$100*SelfQuarantine_Mild)+('Weekly Summary'!AC$101*SelfQuarantine_Moderate))),'Equipment List &amp; Usage'!$C$115)*((('Weekly Summary'!AC$131*SelfQuarantine_Mild*'Equipment List &amp; Usage'!$W15)+('Weekly Summary'!AC$100*SelfQuarantine_Mild*'Equipment List &amp; Usage'!$X15)+('Weekly Summary'!AC$101*SelfQuarantine_Moderate*'Equipment List &amp; Usage'!$X15))))+IF('Equipment List &amp; Usage'!$F15="Yes",'Equipment List &amp; Usage'!$C$114*(IF('Equipment List &amp; Usage'!$AA15&gt;0,'Weekly Summary'!AC$128,0)+IF('Equipment List &amp; Usage'!$AB15&gt;0,'Weekly Summary'!AC$100+'Weekly Summary'!AC$101,0)),'Equipment List &amp; Usage'!$C$115*(('Weekly Summary'!AC$128*'Equipment List &amp; Usage'!$AA15)+('Weekly Summary'!AC$100*'Equipment List &amp; Usage'!$AB15*SelfQuarantine_Mild)+('Weekly Summary'!AC$101*'Equipment List &amp; Usage'!$AB15*SelfQuarantine_Moderate)))+IF('Equipment List &amp; Usage'!$F15="Yes",('Equipment List &amp; Usage'!$C$114*(IF('Equipment List &amp; Usage'!$AE15&gt;0,'Weekly Summary'!AC$134,0)+IF('Equipment List &amp; Usage'!$AF15&gt;0,'Weekly Summary'!AC$135))),'Equipment List &amp; Usage'!$C$115*(('Weekly Summary'!AC$134*'Equipment List &amp; Usage'!$AE15)+('Weekly Summary'!AC$135*'Equipment List &amp; Usage'!$AF15)))),0)</f>
        <v>0</v>
      </c>
      <c r="AJ13" s="1375">
        <f ca="1">MAX(IF($F13="Yes",(
IF($F13="yes",MMULT(--('Equipment List &amp; Usage'!$J15:$N15&gt;0),--('Weekly Summary'!AD$112:AD$116))*'Equipment List &amp; Usage'!$C$114,MMULT(--('Equipment List &amp; Usage'!$J15:$N15),--('Weekly Summary'!AD$112:AD$116))*'Equipment List &amp; Usage'!$C$115)+IF('Equipment List &amp; Usage'!$F14="yes",'Equipment List &amp; Usage'!$C$114,'Equipment List &amp; Usage'!$C$115)*(('Weekly Summary'!AD$66*'Equipment List &amp; Usage'!$Q15)+('Weekly Summary'!AD$64*'Equipment List &amp; Usage'!$O15)+('Weekly Summary'!AD$65*'Equipment List &amp; Usage'!$P15)))+(IF('Equipment List &amp; Usage'!$F15="Yes",'Equipment List &amp; Usage'!$C$114*((('Weekly Summary'!AD$131*SelfQuarantine_Mild)+('Weekly Summary'!AD$100*SelfQuarantine_Mild)+('Weekly Summary'!AD$101*SelfQuarantine_Moderate))),'Equipment List &amp; Usage'!$C$115)*((('Weekly Summary'!AD$131*SelfQuarantine_Mild*'Equipment List &amp; Usage'!$W15)+('Weekly Summary'!AD$100*SelfQuarantine_Mild*'Equipment List &amp; Usage'!$X15)+('Weekly Summary'!AD$101*SelfQuarantine_Moderate*'Equipment List &amp; Usage'!$X15)))+IF('Equipment List &amp; Usage'!$F15="Yes",'Equipment List &amp; Usage'!$C$114*(IF('Equipment List &amp; Usage'!$AA15&gt;0,'Weekly Summary'!AD$128,0)+IF('Equipment List &amp; Usage'!$AB15&gt;0,'Weekly Summary'!AD$100+'Weekly Summary'!AD$101,0)),'Equipment List &amp; Usage'!$C$115*(('Weekly Summary'!AD$128*'Equipment List &amp; Usage'!$AA15)+('Weekly Summary'!AD$100*'Equipment List &amp; Usage'!$AB15*SelfQuarantine_Mild)+('Weekly Summary'!AD$101*'Equipment List &amp; Usage'!$AB15*SelfQuarantine_Moderate)))+IF('Equipment List &amp; Usage'!$F15="Yes",('Equipment List &amp; Usage'!$C$114*(IF('Equipment List &amp; Usage'!$AE15&gt;0,'Weekly Summary'!AD$134,0)+IF('Equipment List &amp; Usage'!$AF15&gt;0,'Weekly Summary'!AD$135))),'Equipment List &amp; Usage'!$C$115*(('Weekly Summary'!AD$134*'Equipment List &amp; Usage'!$AE15)+('Weekly Summary'!AD$135*'Equipment List &amp; Usage'!$AF15))))-SUM($I13:AI13),
IF($F13="yes",MMULT(--('Equipment List &amp; Usage'!$J15:$N15&gt;0),--('Weekly Summary'!AD$112:AD$116))*'Equipment List &amp; Usage'!$C$114,MMULT(--('Equipment List &amp; Usage'!$J15:$N15),--('Weekly Summary'!AD$112:AD$116))*'Equipment List &amp; Usage'!$C$115)+IF('Equipment List &amp; Usage'!$F14="yes",'Equipment List &amp; Usage'!$C$114,'Equipment List &amp; Usage'!$C$115)*(('Weekly Summary'!AD$66*'Equipment List &amp; Usage'!$Q15)+('Weekly Summary'!AD$64*'Equipment List &amp; Usage'!$O15)+('Weekly Summary'!AD$65*'Equipment List &amp; Usage'!$P15))+(IF('Equipment List &amp; Usage'!$F15="Yes",'Equipment List &amp; Usage'!$C$114*((('Weekly Summary'!AD$131*SelfQuarantine_Mild)+('Weekly Summary'!AD$100*SelfQuarantine_Mild)+('Weekly Summary'!AD$101*SelfQuarantine_Moderate))),'Equipment List &amp; Usage'!$C$115)*((('Weekly Summary'!AD$131*SelfQuarantine_Mild*'Equipment List &amp; Usage'!$W15)+('Weekly Summary'!AD$100*SelfQuarantine_Mild*'Equipment List &amp; Usage'!$X15)+('Weekly Summary'!AD$101*SelfQuarantine_Moderate*'Equipment List &amp; Usage'!$X15))))+IF('Equipment List &amp; Usage'!$F15="Yes",'Equipment List &amp; Usage'!$C$114*(IF('Equipment List &amp; Usage'!$AA15&gt;0,'Weekly Summary'!AD$128,0)+IF('Equipment List &amp; Usage'!$AB15&gt;0,'Weekly Summary'!AD$100+'Weekly Summary'!AD$101,0)),'Equipment List &amp; Usage'!$C$115*(('Weekly Summary'!AD$128*'Equipment List &amp; Usage'!$AA15)+('Weekly Summary'!AD$100*'Equipment List &amp; Usage'!$AB15*SelfQuarantine_Mild)+('Weekly Summary'!AD$101*'Equipment List &amp; Usage'!$AB15*SelfQuarantine_Moderate)))+IF('Equipment List &amp; Usage'!$F15="Yes",('Equipment List &amp; Usage'!$C$114*(IF('Equipment List &amp; Usage'!$AE15&gt;0,'Weekly Summary'!AD$134,0)+IF('Equipment List &amp; Usage'!$AF15&gt;0,'Weekly Summary'!AD$135))),'Equipment List &amp; Usage'!$C$115*(('Weekly Summary'!AD$134*'Equipment List &amp; Usage'!$AE15)+('Weekly Summary'!AD$135*'Equipment List &amp; Usage'!$AF15)))),0)</f>
        <v>0</v>
      </c>
      <c r="AK13" s="1375">
        <f ca="1">MAX(IF($F13="Yes",(
IF($F13="yes",MMULT(--('Equipment List &amp; Usage'!$J15:$N15&gt;0),--('Weekly Summary'!AE$112:AE$116))*'Equipment List &amp; Usage'!$C$114,MMULT(--('Equipment List &amp; Usage'!$J15:$N15),--('Weekly Summary'!AE$112:AE$116))*'Equipment List &amp; Usage'!$C$115)+IF('Equipment List &amp; Usage'!$F14="yes",'Equipment List &amp; Usage'!$C$114,'Equipment List &amp; Usage'!$C$115)*(('Weekly Summary'!AE$66*'Equipment List &amp; Usage'!$Q15)+('Weekly Summary'!AE$64*'Equipment List &amp; Usage'!$O15)+('Weekly Summary'!AE$65*'Equipment List &amp; Usage'!$P15)))+(IF('Equipment List &amp; Usage'!$F15="Yes",'Equipment List &amp; Usage'!$C$114*((('Weekly Summary'!AE$131*SelfQuarantine_Mild)+('Weekly Summary'!AE$100*SelfQuarantine_Mild)+('Weekly Summary'!AE$101*SelfQuarantine_Moderate))),'Equipment List &amp; Usage'!$C$115)*((('Weekly Summary'!AE$131*SelfQuarantine_Mild*'Equipment List &amp; Usage'!$W15)+('Weekly Summary'!AE$100*SelfQuarantine_Mild*'Equipment List &amp; Usage'!$X15)+('Weekly Summary'!AE$101*SelfQuarantine_Moderate*'Equipment List &amp; Usage'!$X15)))+IF('Equipment List &amp; Usage'!$F15="Yes",'Equipment List &amp; Usage'!$C$114*(IF('Equipment List &amp; Usage'!$AA15&gt;0,'Weekly Summary'!AE$128,0)+IF('Equipment List &amp; Usage'!$AB15&gt;0,'Weekly Summary'!AE$100+'Weekly Summary'!AE$101,0)),'Equipment List &amp; Usage'!$C$115*(('Weekly Summary'!AE$128*'Equipment List &amp; Usage'!$AA15)+('Weekly Summary'!AE$100*'Equipment List &amp; Usage'!$AB15*SelfQuarantine_Mild)+('Weekly Summary'!AE$101*'Equipment List &amp; Usage'!$AB15*SelfQuarantine_Moderate)))+IF('Equipment List &amp; Usage'!$F15="Yes",('Equipment List &amp; Usage'!$C$114*(IF('Equipment List &amp; Usage'!$AE15&gt;0,'Weekly Summary'!AE$134,0)+IF('Equipment List &amp; Usage'!$AF15&gt;0,'Weekly Summary'!AE$135))),'Equipment List &amp; Usage'!$C$115*(('Weekly Summary'!AE$134*'Equipment List &amp; Usage'!$AE15)+('Weekly Summary'!AE$135*'Equipment List &amp; Usage'!$AF15))))-SUM($I13:AJ13),
IF($F13="yes",MMULT(--('Equipment List &amp; Usage'!$J15:$N15&gt;0),--('Weekly Summary'!AE$112:AE$116))*'Equipment List &amp; Usage'!$C$114,MMULT(--('Equipment List &amp; Usage'!$J15:$N15),--('Weekly Summary'!AE$112:AE$116))*'Equipment List &amp; Usage'!$C$115)+IF('Equipment List &amp; Usage'!$F14="yes",'Equipment List &amp; Usage'!$C$114,'Equipment List &amp; Usage'!$C$115)*(('Weekly Summary'!AE$66*'Equipment List &amp; Usage'!$Q15)+('Weekly Summary'!AE$64*'Equipment List &amp; Usage'!$O15)+('Weekly Summary'!AE$65*'Equipment List &amp; Usage'!$P15))+(IF('Equipment List &amp; Usage'!$F15="Yes",'Equipment List &amp; Usage'!$C$114*((('Weekly Summary'!AE$131*SelfQuarantine_Mild)+('Weekly Summary'!AE$100*SelfQuarantine_Mild)+('Weekly Summary'!AE$101*SelfQuarantine_Moderate))),'Equipment List &amp; Usage'!$C$115)*((('Weekly Summary'!AE$131*SelfQuarantine_Mild*'Equipment List &amp; Usage'!$W15)+('Weekly Summary'!AE$100*SelfQuarantine_Mild*'Equipment List &amp; Usage'!$X15)+('Weekly Summary'!AE$101*SelfQuarantine_Moderate*'Equipment List &amp; Usage'!$X15))))+IF('Equipment List &amp; Usage'!$F15="Yes",'Equipment List &amp; Usage'!$C$114*(IF('Equipment List &amp; Usage'!$AA15&gt;0,'Weekly Summary'!AE$128,0)+IF('Equipment List &amp; Usage'!$AB15&gt;0,'Weekly Summary'!AE$100+'Weekly Summary'!AE$101,0)),'Equipment List &amp; Usage'!$C$115*(('Weekly Summary'!AE$128*'Equipment List &amp; Usage'!$AA15)+('Weekly Summary'!AE$100*'Equipment List &amp; Usage'!$AB15*SelfQuarantine_Mild)+('Weekly Summary'!AE$101*'Equipment List &amp; Usage'!$AB15*SelfQuarantine_Moderate)))+IF('Equipment List &amp; Usage'!$F15="Yes",('Equipment List &amp; Usage'!$C$114*(IF('Equipment List &amp; Usage'!$AE15&gt;0,'Weekly Summary'!AE$134,0)+IF('Equipment List &amp; Usage'!$AF15&gt;0,'Weekly Summary'!AE$135))),'Equipment List &amp; Usage'!$C$115*(('Weekly Summary'!AE$134*'Equipment List &amp; Usage'!$AE15)+('Weekly Summary'!AE$135*'Equipment List &amp; Usage'!$AF15)))),0)</f>
        <v>0</v>
      </c>
      <c r="AL13" s="1375">
        <f ca="1">MAX(IF($F13="Yes",(
IF($F13="yes",MMULT(--('Equipment List &amp; Usage'!$J15:$N15&gt;0),--('Weekly Summary'!AF$112:AF$116))*'Equipment List &amp; Usage'!$C$114,MMULT(--('Equipment List &amp; Usage'!$J15:$N15),--('Weekly Summary'!AF$112:AF$116))*'Equipment List &amp; Usage'!$C$115)+IF('Equipment List &amp; Usage'!$F14="yes",'Equipment List &amp; Usage'!$C$114,'Equipment List &amp; Usage'!$C$115)*(('Weekly Summary'!AF$66*'Equipment List &amp; Usage'!$Q15)+('Weekly Summary'!AF$64*'Equipment List &amp; Usage'!$O15)+('Weekly Summary'!AF$65*'Equipment List &amp; Usage'!$P15)))+(IF('Equipment List &amp; Usage'!$F15="Yes",'Equipment List &amp; Usage'!$C$114*((('Weekly Summary'!AF$131*SelfQuarantine_Mild)+('Weekly Summary'!AF$100*SelfQuarantine_Mild)+('Weekly Summary'!AF$101*SelfQuarantine_Moderate))),'Equipment List &amp; Usage'!$C$115)*((('Weekly Summary'!AF$131*SelfQuarantine_Mild*'Equipment List &amp; Usage'!$W15)+('Weekly Summary'!AF$100*SelfQuarantine_Mild*'Equipment List &amp; Usage'!$X15)+('Weekly Summary'!AF$101*SelfQuarantine_Moderate*'Equipment List &amp; Usage'!$X15)))+IF('Equipment List &amp; Usage'!$F15="Yes",'Equipment List &amp; Usage'!$C$114*(IF('Equipment List &amp; Usage'!$AA15&gt;0,'Weekly Summary'!AF$128,0)+IF('Equipment List &amp; Usage'!$AB15&gt;0,'Weekly Summary'!AF$100+'Weekly Summary'!AF$101,0)),'Equipment List &amp; Usage'!$C$115*(('Weekly Summary'!AF$128*'Equipment List &amp; Usage'!$AA15)+('Weekly Summary'!AF$100*'Equipment List &amp; Usage'!$AB15*SelfQuarantine_Mild)+('Weekly Summary'!AF$101*'Equipment List &amp; Usage'!$AB15*SelfQuarantine_Moderate)))+IF('Equipment List &amp; Usage'!$F15="Yes",('Equipment List &amp; Usage'!$C$114*(IF('Equipment List &amp; Usage'!$AE15&gt;0,'Weekly Summary'!AF$134,0)+IF('Equipment List &amp; Usage'!$AF15&gt;0,'Weekly Summary'!AF$135))),'Equipment List &amp; Usage'!$C$115*(('Weekly Summary'!AF$134*'Equipment List &amp; Usage'!$AE15)+('Weekly Summary'!AF$135*'Equipment List &amp; Usage'!$AF15))))-SUM($I13:AK13),
IF($F13="yes",MMULT(--('Equipment List &amp; Usage'!$J15:$N15&gt;0),--('Weekly Summary'!AF$112:AF$116))*'Equipment List &amp; Usage'!$C$114,MMULT(--('Equipment List &amp; Usage'!$J15:$N15),--('Weekly Summary'!AF$112:AF$116))*'Equipment List &amp; Usage'!$C$115)+IF('Equipment List &amp; Usage'!$F14="yes",'Equipment List &amp; Usage'!$C$114,'Equipment List &amp; Usage'!$C$115)*(('Weekly Summary'!AF$66*'Equipment List &amp; Usage'!$Q15)+('Weekly Summary'!AF$64*'Equipment List &amp; Usage'!$O15)+('Weekly Summary'!AF$65*'Equipment List &amp; Usage'!$P15))+(IF('Equipment List &amp; Usage'!$F15="Yes",'Equipment List &amp; Usage'!$C$114*((('Weekly Summary'!AF$131*SelfQuarantine_Mild)+('Weekly Summary'!AF$100*SelfQuarantine_Mild)+('Weekly Summary'!AF$101*SelfQuarantine_Moderate))),'Equipment List &amp; Usage'!$C$115)*((('Weekly Summary'!AF$131*SelfQuarantine_Mild*'Equipment List &amp; Usage'!$W15)+('Weekly Summary'!AF$100*SelfQuarantine_Mild*'Equipment List &amp; Usage'!$X15)+('Weekly Summary'!AF$101*SelfQuarantine_Moderate*'Equipment List &amp; Usage'!$X15))))+IF('Equipment List &amp; Usage'!$F15="Yes",'Equipment List &amp; Usage'!$C$114*(IF('Equipment List &amp; Usage'!$AA15&gt;0,'Weekly Summary'!AF$128,0)+IF('Equipment List &amp; Usage'!$AB15&gt;0,'Weekly Summary'!AF$100+'Weekly Summary'!AF$101,0)),'Equipment List &amp; Usage'!$C$115*(('Weekly Summary'!AF$128*'Equipment List &amp; Usage'!$AA15)+('Weekly Summary'!AF$100*'Equipment List &amp; Usage'!$AB15*SelfQuarantine_Mild)+('Weekly Summary'!AF$101*'Equipment List &amp; Usage'!$AB15*SelfQuarantine_Moderate)))+IF('Equipment List &amp; Usage'!$F15="Yes",('Equipment List &amp; Usage'!$C$114*(IF('Equipment List &amp; Usage'!$AE15&gt;0,'Weekly Summary'!AF$134,0)+IF('Equipment List &amp; Usage'!$AF15&gt;0,'Weekly Summary'!AF$135))),'Equipment List &amp; Usage'!$C$115*(('Weekly Summary'!AF$134*'Equipment List &amp; Usage'!$AE15)+('Weekly Summary'!AF$135*'Equipment List &amp; Usage'!$AF15)))),0)</f>
        <v>0</v>
      </c>
      <c r="AM13" s="1375">
        <f ca="1">MAX(IF($F13="Yes",(
IF($F13="yes",MMULT(--('Equipment List &amp; Usage'!$J15:$N15&gt;0),--('Weekly Summary'!AG$112:AG$116))*'Equipment List &amp; Usage'!$C$114,MMULT(--('Equipment List &amp; Usage'!$J15:$N15),--('Weekly Summary'!AG$112:AG$116))*'Equipment List &amp; Usage'!$C$115)+IF('Equipment List &amp; Usage'!$F14="yes",'Equipment List &amp; Usage'!$C$114,'Equipment List &amp; Usage'!$C$115)*(('Weekly Summary'!AG$66*'Equipment List &amp; Usage'!$Q15)+('Weekly Summary'!AG$64*'Equipment List &amp; Usage'!$O15)+('Weekly Summary'!AG$65*'Equipment List &amp; Usage'!$P15)))+(IF('Equipment List &amp; Usage'!$F15="Yes",'Equipment List &amp; Usage'!$C$114*((('Weekly Summary'!AG$131*SelfQuarantine_Mild)+('Weekly Summary'!AG$100*SelfQuarantine_Mild)+('Weekly Summary'!AG$101*SelfQuarantine_Moderate))),'Equipment List &amp; Usage'!$C$115)*((('Weekly Summary'!AG$131*SelfQuarantine_Mild*'Equipment List &amp; Usage'!$W15)+('Weekly Summary'!AG$100*SelfQuarantine_Mild*'Equipment List &amp; Usage'!$X15)+('Weekly Summary'!AG$101*SelfQuarantine_Moderate*'Equipment List &amp; Usage'!$X15)))+IF('Equipment List &amp; Usage'!$F15="Yes",'Equipment List &amp; Usage'!$C$114*(IF('Equipment List &amp; Usage'!$AA15&gt;0,'Weekly Summary'!AG$128,0)+IF('Equipment List &amp; Usage'!$AB15&gt;0,'Weekly Summary'!AG$100+'Weekly Summary'!AG$101,0)),'Equipment List &amp; Usage'!$C$115*(('Weekly Summary'!AG$128*'Equipment List &amp; Usage'!$AA15)+('Weekly Summary'!AG$100*'Equipment List &amp; Usage'!$AB15*SelfQuarantine_Mild)+('Weekly Summary'!AG$101*'Equipment List &amp; Usage'!$AB15*SelfQuarantine_Moderate)))+IF('Equipment List &amp; Usage'!$F15="Yes",('Equipment List &amp; Usage'!$C$114*(IF('Equipment List &amp; Usage'!$AE15&gt;0,'Weekly Summary'!AG$134,0)+IF('Equipment List &amp; Usage'!$AF15&gt;0,'Weekly Summary'!AG$135))),'Equipment List &amp; Usage'!$C$115*(('Weekly Summary'!AG$134*'Equipment List &amp; Usage'!$AE15)+('Weekly Summary'!AG$135*'Equipment List &amp; Usage'!$AF15))))-SUM($I13:AL13),
IF($F13="yes",MMULT(--('Equipment List &amp; Usage'!$J15:$N15&gt;0),--('Weekly Summary'!AG$112:AG$116))*'Equipment List &amp; Usage'!$C$114,MMULT(--('Equipment List &amp; Usage'!$J15:$N15),--('Weekly Summary'!AG$112:AG$116))*'Equipment List &amp; Usage'!$C$115)+IF('Equipment List &amp; Usage'!$F14="yes",'Equipment List &amp; Usage'!$C$114,'Equipment List &amp; Usage'!$C$115)*(('Weekly Summary'!AG$66*'Equipment List &amp; Usage'!$Q15)+('Weekly Summary'!AG$64*'Equipment List &amp; Usage'!$O15)+('Weekly Summary'!AG$65*'Equipment List &amp; Usage'!$P15))+(IF('Equipment List &amp; Usage'!$F15="Yes",'Equipment List &amp; Usage'!$C$114*((('Weekly Summary'!AG$131*SelfQuarantine_Mild)+('Weekly Summary'!AG$100*SelfQuarantine_Mild)+('Weekly Summary'!AG$101*SelfQuarantine_Moderate))),'Equipment List &amp; Usage'!$C$115)*((('Weekly Summary'!AG$131*SelfQuarantine_Mild*'Equipment List &amp; Usage'!$W15)+('Weekly Summary'!AG$100*SelfQuarantine_Mild*'Equipment List &amp; Usage'!$X15)+('Weekly Summary'!AG$101*SelfQuarantine_Moderate*'Equipment List &amp; Usage'!$X15))))+IF('Equipment List &amp; Usage'!$F15="Yes",'Equipment List &amp; Usage'!$C$114*(IF('Equipment List &amp; Usage'!$AA15&gt;0,'Weekly Summary'!AG$128,0)+IF('Equipment List &amp; Usage'!$AB15&gt;0,'Weekly Summary'!AG$100+'Weekly Summary'!AG$101,0)),'Equipment List &amp; Usage'!$C$115*(('Weekly Summary'!AG$128*'Equipment List &amp; Usage'!$AA15)+('Weekly Summary'!AG$100*'Equipment List &amp; Usage'!$AB15*SelfQuarantine_Mild)+('Weekly Summary'!AG$101*'Equipment List &amp; Usage'!$AB15*SelfQuarantine_Moderate)))+IF('Equipment List &amp; Usage'!$F15="Yes",('Equipment List &amp; Usage'!$C$114*(IF('Equipment List &amp; Usage'!$AE15&gt;0,'Weekly Summary'!AG$134,0)+IF('Equipment List &amp; Usage'!$AF15&gt;0,'Weekly Summary'!AG$135))),'Equipment List &amp; Usage'!$C$115*(('Weekly Summary'!AG$134*'Equipment List &amp; Usage'!$AE15)+('Weekly Summary'!AG$135*'Equipment List &amp; Usage'!$AF15)))),0)</f>
        <v>0</v>
      </c>
      <c r="AN13" s="1375">
        <f ca="1">MAX(IF($F13="Yes",(
IF($F13="yes",MMULT(--('Equipment List &amp; Usage'!$J15:$N15&gt;0),--('Weekly Summary'!AH$112:AH$116))*'Equipment List &amp; Usage'!$C$114,MMULT(--('Equipment List &amp; Usage'!$J15:$N15),--('Weekly Summary'!AH$112:AH$116))*'Equipment List &amp; Usage'!$C$115)+IF('Equipment List &amp; Usage'!$F14="yes",'Equipment List &amp; Usage'!$C$114,'Equipment List &amp; Usage'!$C$115)*(('Weekly Summary'!AH$66*'Equipment List &amp; Usage'!$Q15)+('Weekly Summary'!AH$64*'Equipment List &amp; Usage'!$O15)+('Weekly Summary'!AH$65*'Equipment List &amp; Usage'!$P15)))+(IF('Equipment List &amp; Usage'!$F15="Yes",'Equipment List &amp; Usage'!$C$114*((('Weekly Summary'!AH$131*SelfQuarantine_Mild)+('Weekly Summary'!AH$100*SelfQuarantine_Mild)+('Weekly Summary'!AH$101*SelfQuarantine_Moderate))),'Equipment List &amp; Usage'!$C$115)*((('Weekly Summary'!AH$131*SelfQuarantine_Mild*'Equipment List &amp; Usage'!$W15)+('Weekly Summary'!AH$100*SelfQuarantine_Mild*'Equipment List &amp; Usage'!$X15)+('Weekly Summary'!AH$101*SelfQuarantine_Moderate*'Equipment List &amp; Usage'!$X15)))+IF('Equipment List &amp; Usage'!$F15="Yes",'Equipment List &amp; Usage'!$C$114*(IF('Equipment List &amp; Usage'!$AA15&gt;0,'Weekly Summary'!AH$128,0)+IF('Equipment List &amp; Usage'!$AB15&gt;0,'Weekly Summary'!AH$100+'Weekly Summary'!AH$101,0)),'Equipment List &amp; Usage'!$C$115*(('Weekly Summary'!AH$128*'Equipment List &amp; Usage'!$AA15)+('Weekly Summary'!AH$100*'Equipment List &amp; Usage'!$AB15*SelfQuarantine_Mild)+('Weekly Summary'!AH$101*'Equipment List &amp; Usage'!$AB15*SelfQuarantine_Moderate)))+IF('Equipment List &amp; Usage'!$F15="Yes",('Equipment List &amp; Usage'!$C$114*(IF('Equipment List &amp; Usage'!$AE15&gt;0,'Weekly Summary'!AH$134,0)+IF('Equipment List &amp; Usage'!$AF15&gt;0,'Weekly Summary'!AH$135))),'Equipment List &amp; Usage'!$C$115*(('Weekly Summary'!AH$134*'Equipment List &amp; Usage'!$AE15)+('Weekly Summary'!AH$135*'Equipment List &amp; Usage'!$AF15))))-SUM($I13:AM13),
IF($F13="yes",MMULT(--('Equipment List &amp; Usage'!$J15:$N15&gt;0),--('Weekly Summary'!AH$112:AH$116))*'Equipment List &amp; Usage'!$C$114,MMULT(--('Equipment List &amp; Usage'!$J15:$N15),--('Weekly Summary'!AH$112:AH$116))*'Equipment List &amp; Usage'!$C$115)+IF('Equipment List &amp; Usage'!$F14="yes",'Equipment List &amp; Usage'!$C$114,'Equipment List &amp; Usage'!$C$115)*(('Weekly Summary'!AH$66*'Equipment List &amp; Usage'!$Q15)+('Weekly Summary'!AH$64*'Equipment List &amp; Usage'!$O15)+('Weekly Summary'!AH$65*'Equipment List &amp; Usage'!$P15))+(IF('Equipment List &amp; Usage'!$F15="Yes",'Equipment List &amp; Usage'!$C$114*((('Weekly Summary'!AH$131*SelfQuarantine_Mild)+('Weekly Summary'!AH$100*SelfQuarantine_Mild)+('Weekly Summary'!AH$101*SelfQuarantine_Moderate))),'Equipment List &amp; Usage'!$C$115)*((('Weekly Summary'!AH$131*SelfQuarantine_Mild*'Equipment List &amp; Usage'!$W15)+('Weekly Summary'!AH$100*SelfQuarantine_Mild*'Equipment List &amp; Usage'!$X15)+('Weekly Summary'!AH$101*SelfQuarantine_Moderate*'Equipment List &amp; Usage'!$X15))))+IF('Equipment List &amp; Usage'!$F15="Yes",'Equipment List &amp; Usage'!$C$114*(IF('Equipment List &amp; Usage'!$AA15&gt;0,'Weekly Summary'!AH$128,0)+IF('Equipment List &amp; Usage'!$AB15&gt;0,'Weekly Summary'!AH$100+'Weekly Summary'!AH$101,0)),'Equipment List &amp; Usage'!$C$115*(('Weekly Summary'!AH$128*'Equipment List &amp; Usage'!$AA15)+('Weekly Summary'!AH$100*'Equipment List &amp; Usage'!$AB15*SelfQuarantine_Mild)+('Weekly Summary'!AH$101*'Equipment List &amp; Usage'!$AB15*SelfQuarantine_Moderate)))+IF('Equipment List &amp; Usage'!$F15="Yes",('Equipment List &amp; Usage'!$C$114*(IF('Equipment List &amp; Usage'!$AE15&gt;0,'Weekly Summary'!AH$134,0)+IF('Equipment List &amp; Usage'!$AF15&gt;0,'Weekly Summary'!AH$135))),'Equipment List &amp; Usage'!$C$115*(('Weekly Summary'!AH$134*'Equipment List &amp; Usage'!$AE15)+('Weekly Summary'!AH$135*'Equipment List &amp; Usage'!$AF15)))),0)</f>
        <v>0</v>
      </c>
      <c r="AO13" s="1375">
        <f ca="1">MAX(IF($F13="Yes",(
IF($F13="yes",MMULT(--('Equipment List &amp; Usage'!$J15:$N15&gt;0),--('Weekly Summary'!AI$112:AI$116))*'Equipment List &amp; Usage'!$C$114,MMULT(--('Equipment List &amp; Usage'!$J15:$N15),--('Weekly Summary'!AI$112:AI$116))*'Equipment List &amp; Usage'!$C$115)+IF('Equipment List &amp; Usage'!$F14="yes",'Equipment List &amp; Usage'!$C$114,'Equipment List &amp; Usage'!$C$115)*(('Weekly Summary'!AI$66*'Equipment List &amp; Usage'!$Q15)+('Weekly Summary'!AI$64*'Equipment List &amp; Usage'!$O15)+('Weekly Summary'!AI$65*'Equipment List &amp; Usage'!$P15)))+(IF('Equipment List &amp; Usage'!$F15="Yes",'Equipment List &amp; Usage'!$C$114*((('Weekly Summary'!AI$131*SelfQuarantine_Mild)+('Weekly Summary'!AI$100*SelfQuarantine_Mild)+('Weekly Summary'!AI$101*SelfQuarantine_Moderate))),'Equipment List &amp; Usage'!$C$115)*((('Weekly Summary'!AI$131*SelfQuarantine_Mild*'Equipment List &amp; Usage'!$W15)+('Weekly Summary'!AI$100*SelfQuarantine_Mild*'Equipment List &amp; Usage'!$X15)+('Weekly Summary'!AI$101*SelfQuarantine_Moderate*'Equipment List &amp; Usage'!$X15)))+IF('Equipment List &amp; Usage'!$F15="Yes",'Equipment List &amp; Usage'!$C$114*(IF('Equipment List &amp; Usage'!$AA15&gt;0,'Weekly Summary'!AI$128,0)+IF('Equipment List &amp; Usage'!$AB15&gt;0,'Weekly Summary'!AI$100+'Weekly Summary'!AI$101,0)),'Equipment List &amp; Usage'!$C$115*(('Weekly Summary'!AI$128*'Equipment List &amp; Usage'!$AA15)+('Weekly Summary'!AI$100*'Equipment List &amp; Usage'!$AB15*SelfQuarantine_Mild)+('Weekly Summary'!AI$101*'Equipment List &amp; Usage'!$AB15*SelfQuarantine_Moderate)))+IF('Equipment List &amp; Usage'!$F15="Yes",('Equipment List &amp; Usage'!$C$114*(IF('Equipment List &amp; Usage'!$AE15&gt;0,'Weekly Summary'!AI$134,0)+IF('Equipment List &amp; Usage'!$AF15&gt;0,'Weekly Summary'!AI$135))),'Equipment List &amp; Usage'!$C$115*(('Weekly Summary'!AI$134*'Equipment List &amp; Usage'!$AE15)+('Weekly Summary'!AI$135*'Equipment List &amp; Usage'!$AF15))))-SUM($I13:AN13),
IF($F13="yes",MMULT(--('Equipment List &amp; Usage'!$J15:$N15&gt;0),--('Weekly Summary'!AI$112:AI$116))*'Equipment List &amp; Usage'!$C$114,MMULT(--('Equipment List &amp; Usage'!$J15:$N15),--('Weekly Summary'!AI$112:AI$116))*'Equipment List &amp; Usage'!$C$115)+IF('Equipment List &amp; Usage'!$F14="yes",'Equipment List &amp; Usage'!$C$114,'Equipment List &amp; Usage'!$C$115)*(('Weekly Summary'!AI$66*'Equipment List &amp; Usage'!$Q15)+('Weekly Summary'!AI$64*'Equipment List &amp; Usage'!$O15)+('Weekly Summary'!AI$65*'Equipment List &amp; Usage'!$P15))+(IF('Equipment List &amp; Usage'!$F15="Yes",'Equipment List &amp; Usage'!$C$114*((('Weekly Summary'!AI$131*SelfQuarantine_Mild)+('Weekly Summary'!AI$100*SelfQuarantine_Mild)+('Weekly Summary'!AI$101*SelfQuarantine_Moderate))),'Equipment List &amp; Usage'!$C$115)*((('Weekly Summary'!AI$131*SelfQuarantine_Mild*'Equipment List &amp; Usage'!$W15)+('Weekly Summary'!AI$100*SelfQuarantine_Mild*'Equipment List &amp; Usage'!$X15)+('Weekly Summary'!AI$101*SelfQuarantine_Moderate*'Equipment List &amp; Usage'!$X15))))+IF('Equipment List &amp; Usage'!$F15="Yes",'Equipment List &amp; Usage'!$C$114*(IF('Equipment List &amp; Usage'!$AA15&gt;0,'Weekly Summary'!AI$128,0)+IF('Equipment List &amp; Usage'!$AB15&gt;0,'Weekly Summary'!AI$100+'Weekly Summary'!AI$101,0)),'Equipment List &amp; Usage'!$C$115*(('Weekly Summary'!AI$128*'Equipment List &amp; Usage'!$AA15)+('Weekly Summary'!AI$100*'Equipment List &amp; Usage'!$AB15*SelfQuarantine_Mild)+('Weekly Summary'!AI$101*'Equipment List &amp; Usage'!$AB15*SelfQuarantine_Moderate)))+IF('Equipment List &amp; Usage'!$F15="Yes",('Equipment List &amp; Usage'!$C$114*(IF('Equipment List &amp; Usage'!$AE15&gt;0,'Weekly Summary'!AI$134,0)+IF('Equipment List &amp; Usage'!$AF15&gt;0,'Weekly Summary'!AI$135))),'Equipment List &amp; Usage'!$C$115*(('Weekly Summary'!AI$134*'Equipment List &amp; Usage'!$AE15)+('Weekly Summary'!AI$135*'Equipment List &amp; Usage'!$AF15)))),0)</f>
        <v>0</v>
      </c>
      <c r="AP13" s="1375">
        <f ca="1">MAX(IF($F13="Yes",(
IF($F13="yes",MMULT(--('Equipment List &amp; Usage'!$J15:$N15&gt;0),--('Weekly Summary'!AJ$112:AJ$116))*'Equipment List &amp; Usage'!$C$114,MMULT(--('Equipment List &amp; Usage'!$J15:$N15),--('Weekly Summary'!AJ$112:AJ$116))*'Equipment List &amp; Usage'!$C$115)+IF('Equipment List &amp; Usage'!$F14="yes",'Equipment List &amp; Usage'!$C$114,'Equipment List &amp; Usage'!$C$115)*(('Weekly Summary'!AJ$66*'Equipment List &amp; Usage'!$Q15)+('Weekly Summary'!AJ$64*'Equipment List &amp; Usage'!$O15)+('Weekly Summary'!AJ$65*'Equipment List &amp; Usage'!$P15)))+(IF('Equipment List &amp; Usage'!$F15="Yes",'Equipment List &amp; Usage'!$C$114*((('Weekly Summary'!AJ$131*SelfQuarantine_Mild)+('Weekly Summary'!AJ$100*SelfQuarantine_Mild)+('Weekly Summary'!AJ$101*SelfQuarantine_Moderate))),'Equipment List &amp; Usage'!$C$115)*((('Weekly Summary'!AJ$131*SelfQuarantine_Mild*'Equipment List &amp; Usage'!$W15)+('Weekly Summary'!AJ$100*SelfQuarantine_Mild*'Equipment List &amp; Usage'!$X15)+('Weekly Summary'!AJ$101*SelfQuarantine_Moderate*'Equipment List &amp; Usage'!$X15)))+IF('Equipment List &amp; Usage'!$F15="Yes",'Equipment List &amp; Usage'!$C$114*(IF('Equipment List &amp; Usage'!$AA15&gt;0,'Weekly Summary'!AJ$128,0)+IF('Equipment List &amp; Usage'!$AB15&gt;0,'Weekly Summary'!AJ$100+'Weekly Summary'!AJ$101,0)),'Equipment List &amp; Usage'!$C$115*(('Weekly Summary'!AJ$128*'Equipment List &amp; Usage'!$AA15)+('Weekly Summary'!AJ$100*'Equipment List &amp; Usage'!$AB15*SelfQuarantine_Mild)+('Weekly Summary'!AJ$101*'Equipment List &amp; Usage'!$AB15*SelfQuarantine_Moderate)))+IF('Equipment List &amp; Usage'!$F15="Yes",('Equipment List &amp; Usage'!$C$114*(IF('Equipment List &amp; Usage'!$AE15&gt;0,'Weekly Summary'!AJ$134,0)+IF('Equipment List &amp; Usage'!$AF15&gt;0,'Weekly Summary'!AJ$135))),'Equipment List &amp; Usage'!$C$115*(('Weekly Summary'!AJ$134*'Equipment List &amp; Usage'!$AE15)+('Weekly Summary'!AJ$135*'Equipment List &amp; Usage'!$AF15))))-SUM($I13:AO13),
IF($F13="yes",MMULT(--('Equipment List &amp; Usage'!$J15:$N15&gt;0),--('Weekly Summary'!AJ$112:AJ$116))*'Equipment List &amp; Usage'!$C$114,MMULT(--('Equipment List &amp; Usage'!$J15:$N15),--('Weekly Summary'!AJ$112:AJ$116))*'Equipment List &amp; Usage'!$C$115)+IF('Equipment List &amp; Usage'!$F14="yes",'Equipment List &amp; Usage'!$C$114,'Equipment List &amp; Usage'!$C$115)*(('Weekly Summary'!AJ$66*'Equipment List &amp; Usage'!$Q15)+('Weekly Summary'!AJ$64*'Equipment List &amp; Usage'!$O15)+('Weekly Summary'!AJ$65*'Equipment List &amp; Usage'!$P15))+(IF('Equipment List &amp; Usage'!$F15="Yes",'Equipment List &amp; Usage'!$C$114*((('Weekly Summary'!AJ$131*SelfQuarantine_Mild)+('Weekly Summary'!AJ$100*SelfQuarantine_Mild)+('Weekly Summary'!AJ$101*SelfQuarantine_Moderate))),'Equipment List &amp; Usage'!$C$115)*((('Weekly Summary'!AJ$131*SelfQuarantine_Mild*'Equipment List &amp; Usage'!$W15)+('Weekly Summary'!AJ$100*SelfQuarantine_Mild*'Equipment List &amp; Usage'!$X15)+('Weekly Summary'!AJ$101*SelfQuarantine_Moderate*'Equipment List &amp; Usage'!$X15))))+IF('Equipment List &amp; Usage'!$F15="Yes",'Equipment List &amp; Usage'!$C$114*(IF('Equipment List &amp; Usage'!$AA15&gt;0,'Weekly Summary'!AJ$128,0)+IF('Equipment List &amp; Usage'!$AB15&gt;0,'Weekly Summary'!AJ$100+'Weekly Summary'!AJ$101,0)),'Equipment List &amp; Usage'!$C$115*(('Weekly Summary'!AJ$128*'Equipment List &amp; Usage'!$AA15)+('Weekly Summary'!AJ$100*'Equipment List &amp; Usage'!$AB15*SelfQuarantine_Mild)+('Weekly Summary'!AJ$101*'Equipment List &amp; Usage'!$AB15*SelfQuarantine_Moderate)))+IF('Equipment List &amp; Usage'!$F15="Yes",('Equipment List &amp; Usage'!$C$114*(IF('Equipment List &amp; Usage'!$AE15&gt;0,'Weekly Summary'!AJ$134,0)+IF('Equipment List &amp; Usage'!$AF15&gt;0,'Weekly Summary'!AJ$135))),'Equipment List &amp; Usage'!$C$115*(('Weekly Summary'!AJ$134*'Equipment List &amp; Usage'!$AE15)+('Weekly Summary'!AJ$135*'Equipment List &amp; Usage'!$AF15)))),0)</f>
        <v>0</v>
      </c>
      <c r="AQ13" s="1375">
        <f ca="1">MAX(IF($F13="Yes",(
IF($F13="yes",MMULT(--('Equipment List &amp; Usage'!$J15:$N15&gt;0),--('Weekly Summary'!AK$112:AK$116))*'Equipment List &amp; Usage'!$C$114,MMULT(--('Equipment List &amp; Usage'!$J15:$N15),--('Weekly Summary'!AK$112:AK$116))*'Equipment List &amp; Usage'!$C$115)+IF('Equipment List &amp; Usage'!$F14="yes",'Equipment List &amp; Usage'!$C$114,'Equipment List &amp; Usage'!$C$115)*(('Weekly Summary'!AK$66*'Equipment List &amp; Usage'!$Q15)+('Weekly Summary'!AK$64*'Equipment List &amp; Usage'!$O15)+('Weekly Summary'!AK$65*'Equipment List &amp; Usage'!$P15)))+(IF('Equipment List &amp; Usage'!$F15="Yes",'Equipment List &amp; Usage'!$C$114*((('Weekly Summary'!AK$131*SelfQuarantine_Mild)+('Weekly Summary'!AK$100*SelfQuarantine_Mild)+('Weekly Summary'!AK$101*SelfQuarantine_Moderate))),'Equipment List &amp; Usage'!$C$115)*((('Weekly Summary'!AK$131*SelfQuarantine_Mild*'Equipment List &amp; Usage'!$W15)+('Weekly Summary'!AK$100*SelfQuarantine_Mild*'Equipment List &amp; Usage'!$X15)+('Weekly Summary'!AK$101*SelfQuarantine_Moderate*'Equipment List &amp; Usage'!$X15)))+IF('Equipment List &amp; Usage'!$F15="Yes",'Equipment List &amp; Usage'!$C$114*(IF('Equipment List &amp; Usage'!$AA15&gt;0,'Weekly Summary'!AK$128,0)+IF('Equipment List &amp; Usage'!$AB15&gt;0,'Weekly Summary'!AK$100+'Weekly Summary'!AK$101,0)),'Equipment List &amp; Usage'!$C$115*(('Weekly Summary'!AK$128*'Equipment List &amp; Usage'!$AA15)+('Weekly Summary'!AK$100*'Equipment List &amp; Usage'!$AB15*SelfQuarantine_Mild)+('Weekly Summary'!AK$101*'Equipment List &amp; Usage'!$AB15*SelfQuarantine_Moderate)))+IF('Equipment List &amp; Usage'!$F15="Yes",('Equipment List &amp; Usage'!$C$114*(IF('Equipment List &amp; Usage'!$AE15&gt;0,'Weekly Summary'!AK$134,0)+IF('Equipment List &amp; Usage'!$AF15&gt;0,'Weekly Summary'!AK$135))),'Equipment List &amp; Usage'!$C$115*(('Weekly Summary'!AK$134*'Equipment List &amp; Usage'!$AE15)+('Weekly Summary'!AK$135*'Equipment List &amp; Usage'!$AF15))))-SUM($I13:AP13),
IF($F13="yes",MMULT(--('Equipment List &amp; Usage'!$J15:$N15&gt;0),--('Weekly Summary'!AK$112:AK$116))*'Equipment List &amp; Usage'!$C$114,MMULT(--('Equipment List &amp; Usage'!$J15:$N15),--('Weekly Summary'!AK$112:AK$116))*'Equipment List &amp; Usage'!$C$115)+IF('Equipment List &amp; Usage'!$F14="yes",'Equipment List &amp; Usage'!$C$114,'Equipment List &amp; Usage'!$C$115)*(('Weekly Summary'!AK$66*'Equipment List &amp; Usage'!$Q15)+('Weekly Summary'!AK$64*'Equipment List &amp; Usage'!$O15)+('Weekly Summary'!AK$65*'Equipment List &amp; Usage'!$P15))+(IF('Equipment List &amp; Usage'!$F15="Yes",'Equipment List &amp; Usage'!$C$114*((('Weekly Summary'!AK$131*SelfQuarantine_Mild)+('Weekly Summary'!AK$100*SelfQuarantine_Mild)+('Weekly Summary'!AK$101*SelfQuarantine_Moderate))),'Equipment List &amp; Usage'!$C$115)*((('Weekly Summary'!AK$131*SelfQuarantine_Mild*'Equipment List &amp; Usage'!$W15)+('Weekly Summary'!AK$100*SelfQuarantine_Mild*'Equipment List &amp; Usage'!$X15)+('Weekly Summary'!AK$101*SelfQuarantine_Moderate*'Equipment List &amp; Usage'!$X15))))+IF('Equipment List &amp; Usage'!$F15="Yes",'Equipment List &amp; Usage'!$C$114*(IF('Equipment List &amp; Usage'!$AA15&gt;0,'Weekly Summary'!AK$128,0)+IF('Equipment List &amp; Usage'!$AB15&gt;0,'Weekly Summary'!AK$100+'Weekly Summary'!AK$101,0)),'Equipment List &amp; Usage'!$C$115*(('Weekly Summary'!AK$128*'Equipment List &amp; Usage'!$AA15)+('Weekly Summary'!AK$100*'Equipment List &amp; Usage'!$AB15*SelfQuarantine_Mild)+('Weekly Summary'!AK$101*'Equipment List &amp; Usage'!$AB15*SelfQuarantine_Moderate)))+IF('Equipment List &amp; Usage'!$F15="Yes",('Equipment List &amp; Usage'!$C$114*(IF('Equipment List &amp; Usage'!$AE15&gt;0,'Weekly Summary'!AK$134,0)+IF('Equipment List &amp; Usage'!$AF15&gt;0,'Weekly Summary'!AK$135))),'Equipment List &amp; Usage'!$C$115*(('Weekly Summary'!AK$134*'Equipment List &amp; Usage'!$AE15)+('Weekly Summary'!AK$135*'Equipment List &amp; Usage'!$AF15)))),0)</f>
        <v>0</v>
      </c>
      <c r="AR13" s="1375">
        <f ca="1">MAX(IF($F13="Yes",(
IF($F13="yes",MMULT(--('Equipment List &amp; Usage'!$J15:$N15&gt;0),--('Weekly Summary'!AL$112:AL$116))*'Equipment List &amp; Usage'!$C$114,MMULT(--('Equipment List &amp; Usage'!$J15:$N15),--('Weekly Summary'!AL$112:AL$116))*'Equipment List &amp; Usage'!$C$115)+IF('Equipment List &amp; Usage'!$F14="yes",'Equipment List &amp; Usage'!$C$114,'Equipment List &amp; Usage'!$C$115)*(('Weekly Summary'!AL$66*'Equipment List &amp; Usage'!$Q15)+('Weekly Summary'!AL$64*'Equipment List &amp; Usage'!$O15)+('Weekly Summary'!AL$65*'Equipment List &amp; Usage'!$P15)))+(IF('Equipment List &amp; Usage'!$F15="Yes",'Equipment List &amp; Usage'!$C$114*((('Weekly Summary'!AL$131*SelfQuarantine_Mild)+('Weekly Summary'!AL$100*SelfQuarantine_Mild)+('Weekly Summary'!AL$101*SelfQuarantine_Moderate))),'Equipment List &amp; Usage'!$C$115)*((('Weekly Summary'!AL$131*SelfQuarantine_Mild*'Equipment List &amp; Usage'!$W15)+('Weekly Summary'!AL$100*SelfQuarantine_Mild*'Equipment List &amp; Usage'!$X15)+('Weekly Summary'!AL$101*SelfQuarantine_Moderate*'Equipment List &amp; Usage'!$X15)))+IF('Equipment List &amp; Usage'!$F15="Yes",'Equipment List &amp; Usage'!$C$114*(IF('Equipment List &amp; Usage'!$AA15&gt;0,'Weekly Summary'!AL$128,0)+IF('Equipment List &amp; Usage'!$AB15&gt;0,'Weekly Summary'!AL$100+'Weekly Summary'!AL$101,0)),'Equipment List &amp; Usage'!$C$115*(('Weekly Summary'!AL$128*'Equipment List &amp; Usage'!$AA15)+('Weekly Summary'!AL$100*'Equipment List &amp; Usage'!$AB15*SelfQuarantine_Mild)+('Weekly Summary'!AL$101*'Equipment List &amp; Usage'!$AB15*SelfQuarantine_Moderate)))+IF('Equipment List &amp; Usage'!$F15="Yes",('Equipment List &amp; Usage'!$C$114*(IF('Equipment List &amp; Usage'!$AE15&gt;0,'Weekly Summary'!AL$134,0)+IF('Equipment List &amp; Usage'!$AF15&gt;0,'Weekly Summary'!AL$135))),'Equipment List &amp; Usage'!$C$115*(('Weekly Summary'!AL$134*'Equipment List &amp; Usage'!$AE15)+('Weekly Summary'!AL$135*'Equipment List &amp; Usage'!$AF15))))-SUM($I13:AQ13),
IF($F13="yes",MMULT(--('Equipment List &amp; Usage'!$J15:$N15&gt;0),--('Weekly Summary'!AL$112:AL$116))*'Equipment List &amp; Usage'!$C$114,MMULT(--('Equipment List &amp; Usage'!$J15:$N15),--('Weekly Summary'!AL$112:AL$116))*'Equipment List &amp; Usage'!$C$115)+IF('Equipment List &amp; Usage'!$F14="yes",'Equipment List &amp; Usage'!$C$114,'Equipment List &amp; Usage'!$C$115)*(('Weekly Summary'!AL$66*'Equipment List &amp; Usage'!$Q15)+('Weekly Summary'!AL$64*'Equipment List &amp; Usage'!$O15)+('Weekly Summary'!AL$65*'Equipment List &amp; Usage'!$P15))+(IF('Equipment List &amp; Usage'!$F15="Yes",'Equipment List &amp; Usage'!$C$114*((('Weekly Summary'!AL$131*SelfQuarantine_Mild)+('Weekly Summary'!AL$100*SelfQuarantine_Mild)+('Weekly Summary'!AL$101*SelfQuarantine_Moderate))),'Equipment List &amp; Usage'!$C$115)*((('Weekly Summary'!AL$131*SelfQuarantine_Mild*'Equipment List &amp; Usage'!$W15)+('Weekly Summary'!AL$100*SelfQuarantine_Mild*'Equipment List &amp; Usage'!$X15)+('Weekly Summary'!AL$101*SelfQuarantine_Moderate*'Equipment List &amp; Usage'!$X15))))+IF('Equipment List &amp; Usage'!$F15="Yes",'Equipment List &amp; Usage'!$C$114*(IF('Equipment List &amp; Usage'!$AA15&gt;0,'Weekly Summary'!AL$128,0)+IF('Equipment List &amp; Usage'!$AB15&gt;0,'Weekly Summary'!AL$100+'Weekly Summary'!AL$101,0)),'Equipment List &amp; Usage'!$C$115*(('Weekly Summary'!AL$128*'Equipment List &amp; Usage'!$AA15)+('Weekly Summary'!AL$100*'Equipment List &amp; Usage'!$AB15*SelfQuarantine_Mild)+('Weekly Summary'!AL$101*'Equipment List &amp; Usage'!$AB15*SelfQuarantine_Moderate)))+IF('Equipment List &amp; Usage'!$F15="Yes",('Equipment List &amp; Usage'!$C$114*(IF('Equipment List &amp; Usage'!$AE15&gt;0,'Weekly Summary'!AL$134,0)+IF('Equipment List &amp; Usage'!$AF15&gt;0,'Weekly Summary'!AL$135))),'Equipment List &amp; Usage'!$C$115*(('Weekly Summary'!AL$134*'Equipment List &amp; Usage'!$AE15)+('Weekly Summary'!AL$135*'Equipment List &amp; Usage'!$AF15)))),0)</f>
        <v>0</v>
      </c>
      <c r="AS13" s="1375">
        <f ca="1">MAX(IF($F13="Yes",(
IF($F13="yes",MMULT(--('Equipment List &amp; Usage'!$J15:$N15&gt;0),--('Weekly Summary'!AM$112:AM$116))*'Equipment List &amp; Usage'!$C$114,MMULT(--('Equipment List &amp; Usage'!$J15:$N15),--('Weekly Summary'!AM$112:AM$116))*'Equipment List &amp; Usage'!$C$115)+IF('Equipment List &amp; Usage'!$F14="yes",'Equipment List &amp; Usage'!$C$114,'Equipment List &amp; Usage'!$C$115)*(('Weekly Summary'!AM$66*'Equipment List &amp; Usage'!$Q15)+('Weekly Summary'!AM$64*'Equipment List &amp; Usage'!$O15)+('Weekly Summary'!AM$65*'Equipment List &amp; Usage'!$P15)))+(IF('Equipment List &amp; Usage'!$F15="Yes",'Equipment List &amp; Usage'!$C$114*((('Weekly Summary'!AM$131*SelfQuarantine_Mild)+('Weekly Summary'!AM$100*SelfQuarantine_Mild)+('Weekly Summary'!AM$101*SelfQuarantine_Moderate))),'Equipment List &amp; Usage'!$C$115)*((('Weekly Summary'!AM$131*SelfQuarantine_Mild*'Equipment List &amp; Usage'!$W15)+('Weekly Summary'!AM$100*SelfQuarantine_Mild*'Equipment List &amp; Usage'!$X15)+('Weekly Summary'!AM$101*SelfQuarantine_Moderate*'Equipment List &amp; Usage'!$X15)))+IF('Equipment List &amp; Usage'!$F15="Yes",'Equipment List &amp; Usage'!$C$114*(IF('Equipment List &amp; Usage'!$AA15&gt;0,'Weekly Summary'!AM$128,0)+IF('Equipment List &amp; Usage'!$AB15&gt;0,'Weekly Summary'!AM$100+'Weekly Summary'!AM$101,0)),'Equipment List &amp; Usage'!$C$115*(('Weekly Summary'!AM$128*'Equipment List &amp; Usage'!$AA15)+('Weekly Summary'!AM$100*'Equipment List &amp; Usage'!$AB15*SelfQuarantine_Mild)+('Weekly Summary'!AM$101*'Equipment List &amp; Usage'!$AB15*SelfQuarantine_Moderate)))+IF('Equipment List &amp; Usage'!$F15="Yes",('Equipment List &amp; Usage'!$C$114*(IF('Equipment List &amp; Usage'!$AE15&gt;0,'Weekly Summary'!AM$134,0)+IF('Equipment List &amp; Usage'!$AF15&gt;0,'Weekly Summary'!AM$135))),'Equipment List &amp; Usage'!$C$115*(('Weekly Summary'!AM$134*'Equipment List &amp; Usage'!$AE15)+('Weekly Summary'!AM$135*'Equipment List &amp; Usage'!$AF15))))-SUM($I13:AR13),
IF($F13="yes",MMULT(--('Equipment List &amp; Usage'!$J15:$N15&gt;0),--('Weekly Summary'!AM$112:AM$116))*'Equipment List &amp; Usage'!$C$114,MMULT(--('Equipment List &amp; Usage'!$J15:$N15),--('Weekly Summary'!AM$112:AM$116))*'Equipment List &amp; Usage'!$C$115)+IF('Equipment List &amp; Usage'!$F14="yes",'Equipment List &amp; Usage'!$C$114,'Equipment List &amp; Usage'!$C$115)*(('Weekly Summary'!AM$66*'Equipment List &amp; Usage'!$Q15)+('Weekly Summary'!AM$64*'Equipment List &amp; Usage'!$O15)+('Weekly Summary'!AM$65*'Equipment List &amp; Usage'!$P15))+(IF('Equipment List &amp; Usage'!$F15="Yes",'Equipment List &amp; Usage'!$C$114*((('Weekly Summary'!AM$131*SelfQuarantine_Mild)+('Weekly Summary'!AM$100*SelfQuarantine_Mild)+('Weekly Summary'!AM$101*SelfQuarantine_Moderate))),'Equipment List &amp; Usage'!$C$115)*((('Weekly Summary'!AM$131*SelfQuarantine_Mild*'Equipment List &amp; Usage'!$W15)+('Weekly Summary'!AM$100*SelfQuarantine_Mild*'Equipment List &amp; Usage'!$X15)+('Weekly Summary'!AM$101*SelfQuarantine_Moderate*'Equipment List &amp; Usage'!$X15))))+IF('Equipment List &amp; Usage'!$F15="Yes",'Equipment List &amp; Usage'!$C$114*(IF('Equipment List &amp; Usage'!$AA15&gt;0,'Weekly Summary'!AM$128,0)+IF('Equipment List &amp; Usage'!$AB15&gt;0,'Weekly Summary'!AM$100+'Weekly Summary'!AM$101,0)),'Equipment List &amp; Usage'!$C$115*(('Weekly Summary'!AM$128*'Equipment List &amp; Usage'!$AA15)+('Weekly Summary'!AM$100*'Equipment List &amp; Usage'!$AB15*SelfQuarantine_Mild)+('Weekly Summary'!AM$101*'Equipment List &amp; Usage'!$AB15*SelfQuarantine_Moderate)))+IF('Equipment List &amp; Usage'!$F15="Yes",('Equipment List &amp; Usage'!$C$114*(IF('Equipment List &amp; Usage'!$AE15&gt;0,'Weekly Summary'!AM$134,0)+IF('Equipment List &amp; Usage'!$AF15&gt;0,'Weekly Summary'!AM$135))),'Equipment List &amp; Usage'!$C$115*(('Weekly Summary'!AM$134*'Equipment List &amp; Usage'!$AE15)+('Weekly Summary'!AM$135*'Equipment List &amp; Usage'!$AF15)))),0)</f>
        <v>0</v>
      </c>
      <c r="AT13" s="1375">
        <f ca="1">MAX(IF($F13="Yes",(
IF($F13="yes",MMULT(--('Equipment List &amp; Usage'!$J15:$N15&gt;0),--('Weekly Summary'!AN$112:AN$116))*'Equipment List &amp; Usage'!$C$114,MMULT(--('Equipment List &amp; Usage'!$J15:$N15),--('Weekly Summary'!AN$112:AN$116))*'Equipment List &amp; Usage'!$C$115)+IF('Equipment List &amp; Usage'!$F14="yes",'Equipment List &amp; Usage'!$C$114,'Equipment List &amp; Usage'!$C$115)*(('Weekly Summary'!AN$66*'Equipment List &amp; Usage'!$Q15)+('Weekly Summary'!AN$64*'Equipment List &amp; Usage'!$O15)+('Weekly Summary'!AN$65*'Equipment List &amp; Usage'!$P15)))+(IF('Equipment List &amp; Usage'!$F15="Yes",'Equipment List &amp; Usage'!$C$114*((('Weekly Summary'!AN$131*SelfQuarantine_Mild)+('Weekly Summary'!AN$100*SelfQuarantine_Mild)+('Weekly Summary'!AN$101*SelfQuarantine_Moderate))),'Equipment List &amp; Usage'!$C$115)*((('Weekly Summary'!AN$131*SelfQuarantine_Mild*'Equipment List &amp; Usage'!$W15)+('Weekly Summary'!AN$100*SelfQuarantine_Mild*'Equipment List &amp; Usage'!$X15)+('Weekly Summary'!AN$101*SelfQuarantine_Moderate*'Equipment List &amp; Usage'!$X15)))+IF('Equipment List &amp; Usage'!$F15="Yes",'Equipment List &amp; Usage'!$C$114*(IF('Equipment List &amp; Usage'!$AA15&gt;0,'Weekly Summary'!AN$128,0)+IF('Equipment List &amp; Usage'!$AB15&gt;0,'Weekly Summary'!AN$100+'Weekly Summary'!AN$101,0)),'Equipment List &amp; Usage'!$C$115*(('Weekly Summary'!AN$128*'Equipment List &amp; Usage'!$AA15)+('Weekly Summary'!AN$100*'Equipment List &amp; Usage'!$AB15*SelfQuarantine_Mild)+('Weekly Summary'!AN$101*'Equipment List &amp; Usage'!$AB15*SelfQuarantine_Moderate)))+IF('Equipment List &amp; Usage'!$F15="Yes",('Equipment List &amp; Usage'!$C$114*(IF('Equipment List &amp; Usage'!$AE15&gt;0,'Weekly Summary'!AN$134,0)+IF('Equipment List &amp; Usage'!$AF15&gt;0,'Weekly Summary'!AN$135))),'Equipment List &amp; Usage'!$C$115*(('Weekly Summary'!AN$134*'Equipment List &amp; Usage'!$AE15)+('Weekly Summary'!AN$135*'Equipment List &amp; Usage'!$AF15))))-SUM($I13:AS13),
IF($F13="yes",MMULT(--('Equipment List &amp; Usage'!$J15:$N15&gt;0),--('Weekly Summary'!AN$112:AN$116))*'Equipment List &amp; Usage'!$C$114,MMULT(--('Equipment List &amp; Usage'!$J15:$N15),--('Weekly Summary'!AN$112:AN$116))*'Equipment List &amp; Usage'!$C$115)+IF('Equipment List &amp; Usage'!$F14="yes",'Equipment List &amp; Usage'!$C$114,'Equipment List &amp; Usage'!$C$115)*(('Weekly Summary'!AN$66*'Equipment List &amp; Usage'!$Q15)+('Weekly Summary'!AN$64*'Equipment List &amp; Usage'!$O15)+('Weekly Summary'!AN$65*'Equipment List &amp; Usage'!$P15))+(IF('Equipment List &amp; Usage'!$F15="Yes",'Equipment List &amp; Usage'!$C$114*((('Weekly Summary'!AN$131*SelfQuarantine_Mild)+('Weekly Summary'!AN$100*SelfQuarantine_Mild)+('Weekly Summary'!AN$101*SelfQuarantine_Moderate))),'Equipment List &amp; Usage'!$C$115)*((('Weekly Summary'!AN$131*SelfQuarantine_Mild*'Equipment List &amp; Usage'!$W15)+('Weekly Summary'!AN$100*SelfQuarantine_Mild*'Equipment List &amp; Usage'!$X15)+('Weekly Summary'!AN$101*SelfQuarantine_Moderate*'Equipment List &amp; Usage'!$X15))))+IF('Equipment List &amp; Usage'!$F15="Yes",'Equipment List &amp; Usage'!$C$114*(IF('Equipment List &amp; Usage'!$AA15&gt;0,'Weekly Summary'!AN$128,0)+IF('Equipment List &amp; Usage'!$AB15&gt;0,'Weekly Summary'!AN$100+'Weekly Summary'!AN$101,0)),'Equipment List &amp; Usage'!$C$115*(('Weekly Summary'!AN$128*'Equipment List &amp; Usage'!$AA15)+('Weekly Summary'!AN$100*'Equipment List &amp; Usage'!$AB15*SelfQuarantine_Mild)+('Weekly Summary'!AN$101*'Equipment List &amp; Usage'!$AB15*SelfQuarantine_Moderate)))+IF('Equipment List &amp; Usage'!$F15="Yes",('Equipment List &amp; Usage'!$C$114*(IF('Equipment List &amp; Usage'!$AE15&gt;0,'Weekly Summary'!AN$134,0)+IF('Equipment List &amp; Usage'!$AF15&gt;0,'Weekly Summary'!AN$135))),'Equipment List &amp; Usage'!$C$115*(('Weekly Summary'!AN$134*'Equipment List &amp; Usage'!$AE15)+('Weekly Summary'!AN$135*'Equipment List &amp; Usage'!$AF15)))),0)</f>
        <v>0</v>
      </c>
      <c r="AU13" s="1375">
        <f ca="1">MAX(IF($F13="Yes",(
IF($F13="yes",MMULT(--('Equipment List &amp; Usage'!$J15:$N15&gt;0),--('Weekly Summary'!AO$112:AO$116))*'Equipment List &amp; Usage'!$C$114,MMULT(--('Equipment List &amp; Usage'!$J15:$N15),--('Weekly Summary'!AO$112:AO$116))*'Equipment List &amp; Usage'!$C$115)+IF('Equipment List &amp; Usage'!$F14="yes",'Equipment List &amp; Usage'!$C$114,'Equipment List &amp; Usage'!$C$115)*(('Weekly Summary'!AO$66*'Equipment List &amp; Usage'!$Q15)+('Weekly Summary'!AO$64*'Equipment List &amp; Usage'!$O15)+('Weekly Summary'!AO$65*'Equipment List &amp; Usage'!$P15)))+(IF('Equipment List &amp; Usage'!$F15="Yes",'Equipment List &amp; Usage'!$C$114*((('Weekly Summary'!AO$131*SelfQuarantine_Mild)+('Weekly Summary'!AO$100*SelfQuarantine_Mild)+('Weekly Summary'!AO$101*SelfQuarantine_Moderate))),'Equipment List &amp; Usage'!$C$115)*((('Weekly Summary'!AO$131*SelfQuarantine_Mild*'Equipment List &amp; Usage'!$W15)+('Weekly Summary'!AO$100*SelfQuarantine_Mild*'Equipment List &amp; Usage'!$X15)+('Weekly Summary'!AO$101*SelfQuarantine_Moderate*'Equipment List &amp; Usage'!$X15)))+IF('Equipment List &amp; Usage'!$F15="Yes",'Equipment List &amp; Usage'!$C$114*(IF('Equipment List &amp; Usage'!$AA15&gt;0,'Weekly Summary'!AO$128,0)+IF('Equipment List &amp; Usage'!$AB15&gt;0,'Weekly Summary'!AO$100+'Weekly Summary'!AO$101,0)),'Equipment List &amp; Usage'!$C$115*(('Weekly Summary'!AO$128*'Equipment List &amp; Usage'!$AA15)+('Weekly Summary'!AO$100*'Equipment List &amp; Usage'!$AB15*SelfQuarantine_Mild)+('Weekly Summary'!AO$101*'Equipment List &amp; Usage'!$AB15*SelfQuarantine_Moderate)))+IF('Equipment List &amp; Usage'!$F15="Yes",('Equipment List &amp; Usage'!$C$114*(IF('Equipment List &amp; Usage'!$AE15&gt;0,'Weekly Summary'!AO$134,0)+IF('Equipment List &amp; Usage'!$AF15&gt;0,'Weekly Summary'!AO$135))),'Equipment List &amp; Usage'!$C$115*(('Weekly Summary'!AO$134*'Equipment List &amp; Usage'!$AE15)+('Weekly Summary'!AO$135*'Equipment List &amp; Usage'!$AF15))))-SUM($I13:AT13),
IF($F13="yes",MMULT(--('Equipment List &amp; Usage'!$J15:$N15&gt;0),--('Weekly Summary'!AO$112:AO$116))*'Equipment List &amp; Usage'!$C$114,MMULT(--('Equipment List &amp; Usage'!$J15:$N15),--('Weekly Summary'!AO$112:AO$116))*'Equipment List &amp; Usage'!$C$115)+IF('Equipment List &amp; Usage'!$F14="yes",'Equipment List &amp; Usage'!$C$114,'Equipment List &amp; Usage'!$C$115)*(('Weekly Summary'!AO$66*'Equipment List &amp; Usage'!$Q15)+('Weekly Summary'!AO$64*'Equipment List &amp; Usage'!$O15)+('Weekly Summary'!AO$65*'Equipment List &amp; Usage'!$P15))+(IF('Equipment List &amp; Usage'!$F15="Yes",'Equipment List &amp; Usage'!$C$114*((('Weekly Summary'!AO$131*SelfQuarantine_Mild)+('Weekly Summary'!AO$100*SelfQuarantine_Mild)+('Weekly Summary'!AO$101*SelfQuarantine_Moderate))),'Equipment List &amp; Usage'!$C$115)*((('Weekly Summary'!AO$131*SelfQuarantine_Mild*'Equipment List &amp; Usage'!$W15)+('Weekly Summary'!AO$100*SelfQuarantine_Mild*'Equipment List &amp; Usage'!$X15)+('Weekly Summary'!AO$101*SelfQuarantine_Moderate*'Equipment List &amp; Usage'!$X15))))+IF('Equipment List &amp; Usage'!$F15="Yes",'Equipment List &amp; Usage'!$C$114*(IF('Equipment List &amp; Usage'!$AA15&gt;0,'Weekly Summary'!AO$128,0)+IF('Equipment List &amp; Usage'!$AB15&gt;0,'Weekly Summary'!AO$100+'Weekly Summary'!AO$101,0)),'Equipment List &amp; Usage'!$C$115*(('Weekly Summary'!AO$128*'Equipment List &amp; Usage'!$AA15)+('Weekly Summary'!AO$100*'Equipment List &amp; Usage'!$AB15*SelfQuarantine_Mild)+('Weekly Summary'!AO$101*'Equipment List &amp; Usage'!$AB15*SelfQuarantine_Moderate)))+IF('Equipment List &amp; Usage'!$F15="Yes",('Equipment List &amp; Usage'!$C$114*(IF('Equipment List &amp; Usage'!$AE15&gt;0,'Weekly Summary'!AO$134,0)+IF('Equipment List &amp; Usage'!$AF15&gt;0,'Weekly Summary'!AO$135))),'Equipment List &amp; Usage'!$C$115*(('Weekly Summary'!AO$134*'Equipment List &amp; Usage'!$AE15)+('Weekly Summary'!AO$135*'Equipment List &amp; Usage'!$AF15)))),0)</f>
        <v>0</v>
      </c>
      <c r="AV13" s="1375">
        <f ca="1">MAX(IF($F13="Yes",(
IF($F13="yes",MMULT(--('Equipment List &amp; Usage'!$J15:$N15&gt;0),--('Weekly Summary'!AP$112:AP$116))*'Equipment List &amp; Usage'!$C$114,MMULT(--('Equipment List &amp; Usage'!$J15:$N15),--('Weekly Summary'!AP$112:AP$116))*'Equipment List &amp; Usage'!$C$115)+IF('Equipment List &amp; Usage'!$F14="yes",'Equipment List &amp; Usage'!$C$114,'Equipment List &amp; Usage'!$C$115)*(('Weekly Summary'!AP$66*'Equipment List &amp; Usage'!$Q15)+('Weekly Summary'!AP$64*'Equipment List &amp; Usage'!$O15)+('Weekly Summary'!AP$65*'Equipment List &amp; Usage'!$P15)))+(IF('Equipment List &amp; Usage'!$F15="Yes",'Equipment List &amp; Usage'!$C$114*((('Weekly Summary'!AP$131*SelfQuarantine_Mild)+('Weekly Summary'!AP$100*SelfQuarantine_Mild)+('Weekly Summary'!AP$101*SelfQuarantine_Moderate))),'Equipment List &amp; Usage'!$C$115)*((('Weekly Summary'!AP$131*SelfQuarantine_Mild*'Equipment List &amp; Usage'!$W15)+('Weekly Summary'!AP$100*SelfQuarantine_Mild*'Equipment List &amp; Usage'!$X15)+('Weekly Summary'!AP$101*SelfQuarantine_Moderate*'Equipment List &amp; Usage'!$X15)))+IF('Equipment List &amp; Usage'!$F15="Yes",'Equipment List &amp; Usage'!$C$114*(IF('Equipment List &amp; Usage'!$AA15&gt;0,'Weekly Summary'!AP$128,0)+IF('Equipment List &amp; Usage'!$AB15&gt;0,'Weekly Summary'!AP$100+'Weekly Summary'!AP$101,0)),'Equipment List &amp; Usage'!$C$115*(('Weekly Summary'!AP$128*'Equipment List &amp; Usage'!$AA15)+('Weekly Summary'!AP$100*'Equipment List &amp; Usage'!$AB15*SelfQuarantine_Mild)+('Weekly Summary'!AP$101*'Equipment List &amp; Usage'!$AB15*SelfQuarantine_Moderate)))+IF('Equipment List &amp; Usage'!$F15="Yes",('Equipment List &amp; Usage'!$C$114*(IF('Equipment List &amp; Usage'!$AE15&gt;0,'Weekly Summary'!AP$134,0)+IF('Equipment List &amp; Usage'!$AF15&gt;0,'Weekly Summary'!AP$135))),'Equipment List &amp; Usage'!$C$115*(('Weekly Summary'!AP$134*'Equipment List &amp; Usage'!$AE15)+('Weekly Summary'!AP$135*'Equipment List &amp; Usage'!$AF15))))-SUM($I13:AU13),
IF($F13="yes",MMULT(--('Equipment List &amp; Usage'!$J15:$N15&gt;0),--('Weekly Summary'!AP$112:AP$116))*'Equipment List &amp; Usage'!$C$114,MMULT(--('Equipment List &amp; Usage'!$J15:$N15),--('Weekly Summary'!AP$112:AP$116))*'Equipment List &amp; Usage'!$C$115)+IF('Equipment List &amp; Usage'!$F14="yes",'Equipment List &amp; Usage'!$C$114,'Equipment List &amp; Usage'!$C$115)*(('Weekly Summary'!AP$66*'Equipment List &amp; Usage'!$Q15)+('Weekly Summary'!AP$64*'Equipment List &amp; Usage'!$O15)+('Weekly Summary'!AP$65*'Equipment List &amp; Usage'!$P15))+(IF('Equipment List &amp; Usage'!$F15="Yes",'Equipment List &amp; Usage'!$C$114*((('Weekly Summary'!AP$131*SelfQuarantine_Mild)+('Weekly Summary'!AP$100*SelfQuarantine_Mild)+('Weekly Summary'!AP$101*SelfQuarantine_Moderate))),'Equipment List &amp; Usage'!$C$115)*((('Weekly Summary'!AP$131*SelfQuarantine_Mild*'Equipment List &amp; Usage'!$W15)+('Weekly Summary'!AP$100*SelfQuarantine_Mild*'Equipment List &amp; Usage'!$X15)+('Weekly Summary'!AP$101*SelfQuarantine_Moderate*'Equipment List &amp; Usage'!$X15))))+IF('Equipment List &amp; Usage'!$F15="Yes",'Equipment List &amp; Usage'!$C$114*(IF('Equipment List &amp; Usage'!$AA15&gt;0,'Weekly Summary'!AP$128,0)+IF('Equipment List &amp; Usage'!$AB15&gt;0,'Weekly Summary'!AP$100+'Weekly Summary'!AP$101,0)),'Equipment List &amp; Usage'!$C$115*(('Weekly Summary'!AP$128*'Equipment List &amp; Usage'!$AA15)+('Weekly Summary'!AP$100*'Equipment List &amp; Usage'!$AB15*SelfQuarantine_Mild)+('Weekly Summary'!AP$101*'Equipment List &amp; Usage'!$AB15*SelfQuarantine_Moderate)))+IF('Equipment List &amp; Usage'!$F15="Yes",('Equipment List &amp; Usage'!$C$114*(IF('Equipment List &amp; Usage'!$AE15&gt;0,'Weekly Summary'!AP$134,0)+IF('Equipment List &amp; Usage'!$AF15&gt;0,'Weekly Summary'!AP$135))),'Equipment List &amp; Usage'!$C$115*(('Weekly Summary'!AP$134*'Equipment List &amp; Usage'!$AE15)+('Weekly Summary'!AP$135*'Equipment List &amp; Usage'!$AF15)))),0)</f>
        <v>0</v>
      </c>
      <c r="AW13" s="1375">
        <f ca="1">MAX(IF($F13="Yes",(
IF($F13="yes",MMULT(--('Equipment List &amp; Usage'!$J15:$N15&gt;0),--('Weekly Summary'!AQ$112:AQ$116))*'Equipment List &amp; Usage'!$C$114,MMULT(--('Equipment List &amp; Usage'!$J15:$N15),--('Weekly Summary'!AQ$112:AQ$116))*'Equipment List &amp; Usage'!$C$115)+IF('Equipment List &amp; Usage'!$F14="yes",'Equipment List &amp; Usage'!$C$114,'Equipment List &amp; Usage'!$C$115)*(('Weekly Summary'!AQ$66*'Equipment List &amp; Usage'!$Q15)+('Weekly Summary'!AQ$64*'Equipment List &amp; Usage'!$O15)+('Weekly Summary'!AQ$65*'Equipment List &amp; Usage'!$P15)))+(IF('Equipment List &amp; Usage'!$F15="Yes",'Equipment List &amp; Usage'!$C$114*((('Weekly Summary'!AQ$131*SelfQuarantine_Mild)+('Weekly Summary'!AQ$100*SelfQuarantine_Mild)+('Weekly Summary'!AQ$101*SelfQuarantine_Moderate))),'Equipment List &amp; Usage'!$C$115)*((('Weekly Summary'!AQ$131*SelfQuarantine_Mild*'Equipment List &amp; Usage'!$W15)+('Weekly Summary'!AQ$100*SelfQuarantine_Mild*'Equipment List &amp; Usage'!$X15)+('Weekly Summary'!AQ$101*SelfQuarantine_Moderate*'Equipment List &amp; Usage'!$X15)))+IF('Equipment List &amp; Usage'!$F15="Yes",'Equipment List &amp; Usage'!$C$114*(IF('Equipment List &amp; Usage'!$AA15&gt;0,'Weekly Summary'!AQ$128,0)+IF('Equipment List &amp; Usage'!$AB15&gt;0,'Weekly Summary'!AQ$100+'Weekly Summary'!AQ$101,0)),'Equipment List &amp; Usage'!$C$115*(('Weekly Summary'!AQ$128*'Equipment List &amp; Usage'!$AA15)+('Weekly Summary'!AQ$100*'Equipment List &amp; Usage'!$AB15*SelfQuarantine_Mild)+('Weekly Summary'!AQ$101*'Equipment List &amp; Usage'!$AB15*SelfQuarantine_Moderate)))+IF('Equipment List &amp; Usage'!$F15="Yes",('Equipment List &amp; Usage'!$C$114*(IF('Equipment List &amp; Usage'!$AE15&gt;0,'Weekly Summary'!AQ$134,0)+IF('Equipment List &amp; Usage'!$AF15&gt;0,'Weekly Summary'!AQ$135))),'Equipment List &amp; Usage'!$C$115*(('Weekly Summary'!AQ$134*'Equipment List &amp; Usage'!$AE15)+('Weekly Summary'!AQ$135*'Equipment List &amp; Usage'!$AF15))))-SUM($I13:AV13),
IF($F13="yes",MMULT(--('Equipment List &amp; Usage'!$J15:$N15&gt;0),--('Weekly Summary'!AQ$112:AQ$116))*'Equipment List &amp; Usage'!$C$114,MMULT(--('Equipment List &amp; Usage'!$J15:$N15),--('Weekly Summary'!AQ$112:AQ$116))*'Equipment List &amp; Usage'!$C$115)+IF('Equipment List &amp; Usage'!$F14="yes",'Equipment List &amp; Usage'!$C$114,'Equipment List &amp; Usage'!$C$115)*(('Weekly Summary'!AQ$66*'Equipment List &amp; Usage'!$Q15)+('Weekly Summary'!AQ$64*'Equipment List &amp; Usage'!$O15)+('Weekly Summary'!AQ$65*'Equipment List &amp; Usage'!$P15))+(IF('Equipment List &amp; Usage'!$F15="Yes",'Equipment List &amp; Usage'!$C$114*((('Weekly Summary'!AQ$131*SelfQuarantine_Mild)+('Weekly Summary'!AQ$100*SelfQuarantine_Mild)+('Weekly Summary'!AQ$101*SelfQuarantine_Moderate))),'Equipment List &amp; Usage'!$C$115)*((('Weekly Summary'!AQ$131*SelfQuarantine_Mild*'Equipment List &amp; Usage'!$W15)+('Weekly Summary'!AQ$100*SelfQuarantine_Mild*'Equipment List &amp; Usage'!$X15)+('Weekly Summary'!AQ$101*SelfQuarantine_Moderate*'Equipment List &amp; Usage'!$X15))))+IF('Equipment List &amp; Usage'!$F15="Yes",'Equipment List &amp; Usage'!$C$114*(IF('Equipment List &amp; Usage'!$AA15&gt;0,'Weekly Summary'!AQ$128,0)+IF('Equipment List &amp; Usage'!$AB15&gt;0,'Weekly Summary'!AQ$100+'Weekly Summary'!AQ$101,0)),'Equipment List &amp; Usage'!$C$115*(('Weekly Summary'!AQ$128*'Equipment List &amp; Usage'!$AA15)+('Weekly Summary'!AQ$100*'Equipment List &amp; Usage'!$AB15*SelfQuarantine_Mild)+('Weekly Summary'!AQ$101*'Equipment List &amp; Usage'!$AB15*SelfQuarantine_Moderate)))+IF('Equipment List &amp; Usage'!$F15="Yes",('Equipment List &amp; Usage'!$C$114*(IF('Equipment List &amp; Usage'!$AE15&gt;0,'Weekly Summary'!AQ$134,0)+IF('Equipment List &amp; Usage'!$AF15&gt;0,'Weekly Summary'!AQ$135))),'Equipment List &amp; Usage'!$C$115*(('Weekly Summary'!AQ$134*'Equipment List &amp; Usage'!$AE15)+('Weekly Summary'!AQ$135*'Equipment List &amp; Usage'!$AF15)))),0)</f>
        <v>0</v>
      </c>
      <c r="AX13" s="1375">
        <f ca="1">MAX(IF($F13="Yes",(
IF($F13="yes",MMULT(--('Equipment List &amp; Usage'!$J15:$N15&gt;0),--('Weekly Summary'!AR$112:AR$116))*'Equipment List &amp; Usage'!$C$114,MMULT(--('Equipment List &amp; Usage'!$J15:$N15),--('Weekly Summary'!AR$112:AR$116))*'Equipment List &amp; Usage'!$C$115)+IF('Equipment List &amp; Usage'!$F14="yes",'Equipment List &amp; Usage'!$C$114,'Equipment List &amp; Usage'!$C$115)*(('Weekly Summary'!AR$66*'Equipment List &amp; Usage'!$Q15)+('Weekly Summary'!AR$64*'Equipment List &amp; Usage'!$O15)+('Weekly Summary'!AR$65*'Equipment List &amp; Usage'!$P15)))+(IF('Equipment List &amp; Usage'!$F15="Yes",'Equipment List &amp; Usage'!$C$114*((('Weekly Summary'!AR$131*SelfQuarantine_Mild)+('Weekly Summary'!AR$100*SelfQuarantine_Mild)+('Weekly Summary'!AR$101*SelfQuarantine_Moderate))),'Equipment List &amp; Usage'!$C$115)*((('Weekly Summary'!AR$131*SelfQuarantine_Mild*'Equipment List &amp; Usage'!$W15)+('Weekly Summary'!AR$100*SelfQuarantine_Mild*'Equipment List &amp; Usage'!$X15)+('Weekly Summary'!AR$101*SelfQuarantine_Moderate*'Equipment List &amp; Usage'!$X15)))+IF('Equipment List &amp; Usage'!$F15="Yes",'Equipment List &amp; Usage'!$C$114*(IF('Equipment List &amp; Usage'!$AA15&gt;0,'Weekly Summary'!AR$128,0)+IF('Equipment List &amp; Usage'!$AB15&gt;0,'Weekly Summary'!AR$100+'Weekly Summary'!AR$101,0)),'Equipment List &amp; Usage'!$C$115*(('Weekly Summary'!AR$128*'Equipment List &amp; Usage'!$AA15)+('Weekly Summary'!AR$100*'Equipment List &amp; Usage'!$AB15*SelfQuarantine_Mild)+('Weekly Summary'!AR$101*'Equipment List &amp; Usage'!$AB15*SelfQuarantine_Moderate)))+IF('Equipment List &amp; Usage'!$F15="Yes",('Equipment List &amp; Usage'!$C$114*(IF('Equipment List &amp; Usage'!$AE15&gt;0,'Weekly Summary'!AR$134,0)+IF('Equipment List &amp; Usage'!$AF15&gt;0,'Weekly Summary'!AR$135))),'Equipment List &amp; Usage'!$C$115*(('Weekly Summary'!AR$134*'Equipment List &amp; Usage'!$AE15)+('Weekly Summary'!AR$135*'Equipment List &amp; Usage'!$AF15))))-SUM($I13:AW13),
IF($F13="yes",MMULT(--('Equipment List &amp; Usage'!$J15:$N15&gt;0),--('Weekly Summary'!AR$112:AR$116))*'Equipment List &amp; Usage'!$C$114,MMULT(--('Equipment List &amp; Usage'!$J15:$N15),--('Weekly Summary'!AR$112:AR$116))*'Equipment List &amp; Usage'!$C$115)+IF('Equipment List &amp; Usage'!$F14="yes",'Equipment List &amp; Usage'!$C$114,'Equipment List &amp; Usage'!$C$115)*(('Weekly Summary'!AR$66*'Equipment List &amp; Usage'!$Q15)+('Weekly Summary'!AR$64*'Equipment List &amp; Usage'!$O15)+('Weekly Summary'!AR$65*'Equipment List &amp; Usage'!$P15))+(IF('Equipment List &amp; Usage'!$F15="Yes",'Equipment List &amp; Usage'!$C$114*((('Weekly Summary'!AR$131*SelfQuarantine_Mild)+('Weekly Summary'!AR$100*SelfQuarantine_Mild)+('Weekly Summary'!AR$101*SelfQuarantine_Moderate))),'Equipment List &amp; Usage'!$C$115)*((('Weekly Summary'!AR$131*SelfQuarantine_Mild*'Equipment List &amp; Usage'!$W15)+('Weekly Summary'!AR$100*SelfQuarantine_Mild*'Equipment List &amp; Usage'!$X15)+('Weekly Summary'!AR$101*SelfQuarantine_Moderate*'Equipment List &amp; Usage'!$X15))))+IF('Equipment List &amp; Usage'!$F15="Yes",'Equipment List &amp; Usage'!$C$114*(IF('Equipment List &amp; Usage'!$AA15&gt;0,'Weekly Summary'!AR$128,0)+IF('Equipment List &amp; Usage'!$AB15&gt;0,'Weekly Summary'!AR$100+'Weekly Summary'!AR$101,0)),'Equipment List &amp; Usage'!$C$115*(('Weekly Summary'!AR$128*'Equipment List &amp; Usage'!$AA15)+('Weekly Summary'!AR$100*'Equipment List &amp; Usage'!$AB15*SelfQuarantine_Mild)+('Weekly Summary'!AR$101*'Equipment List &amp; Usage'!$AB15*SelfQuarantine_Moderate)))+IF('Equipment List &amp; Usage'!$F15="Yes",('Equipment List &amp; Usage'!$C$114*(IF('Equipment List &amp; Usage'!$AE15&gt;0,'Weekly Summary'!AR$134,0)+IF('Equipment List &amp; Usage'!$AF15&gt;0,'Weekly Summary'!AR$135))),'Equipment List &amp; Usage'!$C$115*(('Weekly Summary'!AR$134*'Equipment List &amp; Usage'!$AE15)+('Weekly Summary'!AR$135*'Equipment List &amp; Usage'!$AF15)))),0)</f>
        <v>0</v>
      </c>
      <c r="AY13" s="1375">
        <f ca="1">MAX(IF($F13="Yes",(
IF($F13="yes",MMULT(--('Equipment List &amp; Usage'!$J15:$N15&gt;0),--('Weekly Summary'!AS$112:AS$116))*'Equipment List &amp; Usage'!$C$114,MMULT(--('Equipment List &amp; Usage'!$J15:$N15),--('Weekly Summary'!AS$112:AS$116))*'Equipment List &amp; Usage'!$C$115)+IF('Equipment List &amp; Usage'!$F14="yes",'Equipment List &amp; Usage'!$C$114,'Equipment List &amp; Usage'!$C$115)*(('Weekly Summary'!AS$66*'Equipment List &amp; Usage'!$Q15)+('Weekly Summary'!AS$64*'Equipment List &amp; Usage'!$O15)+('Weekly Summary'!AS$65*'Equipment List &amp; Usage'!$P15)))+(IF('Equipment List &amp; Usage'!$F15="Yes",'Equipment List &amp; Usage'!$C$114*((('Weekly Summary'!AS$131*SelfQuarantine_Mild)+('Weekly Summary'!AS$100*SelfQuarantine_Mild)+('Weekly Summary'!AS$101*SelfQuarantine_Moderate))),'Equipment List &amp; Usage'!$C$115)*((('Weekly Summary'!AS$131*SelfQuarantine_Mild*'Equipment List &amp; Usage'!$W15)+('Weekly Summary'!AS$100*SelfQuarantine_Mild*'Equipment List &amp; Usage'!$X15)+('Weekly Summary'!AS$101*SelfQuarantine_Moderate*'Equipment List &amp; Usage'!$X15)))+IF('Equipment List &amp; Usage'!$F15="Yes",'Equipment List &amp; Usage'!$C$114*(IF('Equipment List &amp; Usage'!$AA15&gt;0,'Weekly Summary'!AS$128,0)+IF('Equipment List &amp; Usage'!$AB15&gt;0,'Weekly Summary'!AS$100+'Weekly Summary'!AS$101,0)),'Equipment List &amp; Usage'!$C$115*(('Weekly Summary'!AS$128*'Equipment List &amp; Usage'!$AA15)+('Weekly Summary'!AS$100*'Equipment List &amp; Usage'!$AB15*SelfQuarantine_Mild)+('Weekly Summary'!AS$101*'Equipment List &amp; Usage'!$AB15*SelfQuarantine_Moderate)))+IF('Equipment List &amp; Usage'!$F15="Yes",('Equipment List &amp; Usage'!$C$114*(IF('Equipment List &amp; Usage'!$AE15&gt;0,'Weekly Summary'!AS$134,0)+IF('Equipment List &amp; Usage'!$AF15&gt;0,'Weekly Summary'!AS$135))),'Equipment List &amp; Usage'!$C$115*(('Weekly Summary'!AS$134*'Equipment List &amp; Usage'!$AE15)+('Weekly Summary'!AS$135*'Equipment List &amp; Usage'!$AF15))))-SUM($I13:AX13),
IF($F13="yes",MMULT(--('Equipment List &amp; Usage'!$J15:$N15&gt;0),--('Weekly Summary'!AS$112:AS$116))*'Equipment List &amp; Usage'!$C$114,MMULT(--('Equipment List &amp; Usage'!$J15:$N15),--('Weekly Summary'!AS$112:AS$116))*'Equipment List &amp; Usage'!$C$115)+IF('Equipment List &amp; Usage'!$F14="yes",'Equipment List &amp; Usage'!$C$114,'Equipment List &amp; Usage'!$C$115)*(('Weekly Summary'!AS$66*'Equipment List &amp; Usage'!$Q15)+('Weekly Summary'!AS$64*'Equipment List &amp; Usage'!$O15)+('Weekly Summary'!AS$65*'Equipment List &amp; Usage'!$P15))+(IF('Equipment List &amp; Usage'!$F15="Yes",'Equipment List &amp; Usage'!$C$114*((('Weekly Summary'!AS$131*SelfQuarantine_Mild)+('Weekly Summary'!AS$100*SelfQuarantine_Mild)+('Weekly Summary'!AS$101*SelfQuarantine_Moderate))),'Equipment List &amp; Usage'!$C$115)*((('Weekly Summary'!AS$131*SelfQuarantine_Mild*'Equipment List &amp; Usage'!$W15)+('Weekly Summary'!AS$100*SelfQuarantine_Mild*'Equipment List &amp; Usage'!$X15)+('Weekly Summary'!AS$101*SelfQuarantine_Moderate*'Equipment List &amp; Usage'!$X15))))+IF('Equipment List &amp; Usage'!$F15="Yes",'Equipment List &amp; Usage'!$C$114*(IF('Equipment List &amp; Usage'!$AA15&gt;0,'Weekly Summary'!AS$128,0)+IF('Equipment List &amp; Usage'!$AB15&gt;0,'Weekly Summary'!AS$100+'Weekly Summary'!AS$101,0)),'Equipment List &amp; Usage'!$C$115*(('Weekly Summary'!AS$128*'Equipment List &amp; Usage'!$AA15)+('Weekly Summary'!AS$100*'Equipment List &amp; Usage'!$AB15*SelfQuarantine_Mild)+('Weekly Summary'!AS$101*'Equipment List &amp; Usage'!$AB15*SelfQuarantine_Moderate)))+IF('Equipment List &amp; Usage'!$F15="Yes",('Equipment List &amp; Usage'!$C$114*(IF('Equipment List &amp; Usage'!$AE15&gt;0,'Weekly Summary'!AS$134,0)+IF('Equipment List &amp; Usage'!$AF15&gt;0,'Weekly Summary'!AS$135))),'Equipment List &amp; Usage'!$C$115*(('Weekly Summary'!AS$134*'Equipment List &amp; Usage'!$AE15)+('Weekly Summary'!AS$135*'Equipment List &amp; Usage'!$AF15)))),0)</f>
        <v>0</v>
      </c>
      <c r="AZ13" s="1375">
        <f ca="1">MAX(IF($F13="Yes",(
IF($F13="yes",MMULT(--('Equipment List &amp; Usage'!$J15:$N15&gt;0),--('Weekly Summary'!AT$112:AT$116))*'Equipment List &amp; Usage'!$C$114,MMULT(--('Equipment List &amp; Usage'!$J15:$N15),--('Weekly Summary'!AT$112:AT$116))*'Equipment List &amp; Usage'!$C$115)+IF('Equipment List &amp; Usage'!$F14="yes",'Equipment List &amp; Usage'!$C$114,'Equipment List &amp; Usage'!$C$115)*(('Weekly Summary'!AT$66*'Equipment List &amp; Usage'!$Q15)+('Weekly Summary'!AT$64*'Equipment List &amp; Usage'!$O15)+('Weekly Summary'!AT$65*'Equipment List &amp; Usage'!$P15)))+(IF('Equipment List &amp; Usage'!$F15="Yes",'Equipment List &amp; Usage'!$C$114*((('Weekly Summary'!AT$131*SelfQuarantine_Mild)+('Weekly Summary'!AT$100*SelfQuarantine_Mild)+('Weekly Summary'!AT$101*SelfQuarantine_Moderate))),'Equipment List &amp; Usage'!$C$115)*((('Weekly Summary'!AT$131*SelfQuarantine_Mild*'Equipment List &amp; Usage'!$W15)+('Weekly Summary'!AT$100*SelfQuarantine_Mild*'Equipment List &amp; Usage'!$X15)+('Weekly Summary'!AT$101*SelfQuarantine_Moderate*'Equipment List &amp; Usage'!$X15)))+IF('Equipment List &amp; Usage'!$F15="Yes",'Equipment List &amp; Usage'!$C$114*(IF('Equipment List &amp; Usage'!$AA15&gt;0,'Weekly Summary'!AT$128,0)+IF('Equipment List &amp; Usage'!$AB15&gt;0,'Weekly Summary'!AT$100+'Weekly Summary'!AT$101,0)),'Equipment List &amp; Usage'!$C$115*(('Weekly Summary'!AT$128*'Equipment List &amp; Usage'!$AA15)+('Weekly Summary'!AT$100*'Equipment List &amp; Usage'!$AB15*SelfQuarantine_Mild)+('Weekly Summary'!AT$101*'Equipment List &amp; Usage'!$AB15*SelfQuarantine_Moderate)))+IF('Equipment List &amp; Usage'!$F15="Yes",('Equipment List &amp; Usage'!$C$114*(IF('Equipment List &amp; Usage'!$AE15&gt;0,'Weekly Summary'!AT$134,0)+IF('Equipment List &amp; Usage'!$AF15&gt;0,'Weekly Summary'!AT$135))),'Equipment List &amp; Usage'!$C$115*(('Weekly Summary'!AT$134*'Equipment List &amp; Usage'!$AE15)+('Weekly Summary'!AT$135*'Equipment List &amp; Usage'!$AF15))))-SUM($I13:AY13),
IF($F13="yes",MMULT(--('Equipment List &amp; Usage'!$J15:$N15&gt;0),--('Weekly Summary'!AT$112:AT$116))*'Equipment List &amp; Usage'!$C$114,MMULT(--('Equipment List &amp; Usage'!$J15:$N15),--('Weekly Summary'!AT$112:AT$116))*'Equipment List &amp; Usage'!$C$115)+IF('Equipment List &amp; Usage'!$F14="yes",'Equipment List &amp; Usage'!$C$114,'Equipment List &amp; Usage'!$C$115)*(('Weekly Summary'!AT$66*'Equipment List &amp; Usage'!$Q15)+('Weekly Summary'!AT$64*'Equipment List &amp; Usage'!$O15)+('Weekly Summary'!AT$65*'Equipment List &amp; Usage'!$P15))+(IF('Equipment List &amp; Usage'!$F15="Yes",'Equipment List &amp; Usage'!$C$114*((('Weekly Summary'!AT$131*SelfQuarantine_Mild)+('Weekly Summary'!AT$100*SelfQuarantine_Mild)+('Weekly Summary'!AT$101*SelfQuarantine_Moderate))),'Equipment List &amp; Usage'!$C$115)*((('Weekly Summary'!AT$131*SelfQuarantine_Mild*'Equipment List &amp; Usage'!$W15)+('Weekly Summary'!AT$100*SelfQuarantine_Mild*'Equipment List &amp; Usage'!$X15)+('Weekly Summary'!AT$101*SelfQuarantine_Moderate*'Equipment List &amp; Usage'!$X15))))+IF('Equipment List &amp; Usage'!$F15="Yes",'Equipment List &amp; Usage'!$C$114*(IF('Equipment List &amp; Usage'!$AA15&gt;0,'Weekly Summary'!AT$128,0)+IF('Equipment List &amp; Usage'!$AB15&gt;0,'Weekly Summary'!AT$100+'Weekly Summary'!AT$101,0)),'Equipment List &amp; Usage'!$C$115*(('Weekly Summary'!AT$128*'Equipment List &amp; Usage'!$AA15)+('Weekly Summary'!AT$100*'Equipment List &amp; Usage'!$AB15*SelfQuarantine_Mild)+('Weekly Summary'!AT$101*'Equipment List &amp; Usage'!$AB15*SelfQuarantine_Moderate)))+IF('Equipment List &amp; Usage'!$F15="Yes",('Equipment List &amp; Usage'!$C$114*(IF('Equipment List &amp; Usage'!$AE15&gt;0,'Weekly Summary'!AT$134,0)+IF('Equipment List &amp; Usage'!$AF15&gt;0,'Weekly Summary'!AT$135))),'Equipment List &amp; Usage'!$C$115*(('Weekly Summary'!AT$134*'Equipment List &amp; Usage'!$AE15)+('Weekly Summary'!AT$135*'Equipment List &amp; Usage'!$AF15)))),0)</f>
        <v>0</v>
      </c>
      <c r="BA13" s="1375">
        <f ca="1">MAX(IF($F13="Yes",(
IF($F13="yes",MMULT(--('Equipment List &amp; Usage'!$J15:$N15&gt;0),--('Weekly Summary'!AU$112:AU$116))*'Equipment List &amp; Usage'!$C$114,MMULT(--('Equipment List &amp; Usage'!$J15:$N15),--('Weekly Summary'!AU$112:AU$116))*'Equipment List &amp; Usage'!$C$115)+IF('Equipment List &amp; Usage'!$F14="yes",'Equipment List &amp; Usage'!$C$114,'Equipment List &amp; Usage'!$C$115)*(('Weekly Summary'!AU$66*'Equipment List &amp; Usage'!$Q15)+('Weekly Summary'!AU$64*'Equipment List &amp; Usage'!$O15)+('Weekly Summary'!AU$65*'Equipment List &amp; Usage'!$P15)))+(IF('Equipment List &amp; Usage'!$F15="Yes",'Equipment List &amp; Usage'!$C$114*((('Weekly Summary'!AU$131*SelfQuarantine_Mild)+('Weekly Summary'!AU$100*SelfQuarantine_Mild)+('Weekly Summary'!AU$101*SelfQuarantine_Moderate))),'Equipment List &amp; Usage'!$C$115)*((('Weekly Summary'!AU$131*SelfQuarantine_Mild*'Equipment List &amp; Usage'!$W15)+('Weekly Summary'!AU$100*SelfQuarantine_Mild*'Equipment List &amp; Usage'!$X15)+('Weekly Summary'!AU$101*SelfQuarantine_Moderate*'Equipment List &amp; Usage'!$X15)))+IF('Equipment List &amp; Usage'!$F15="Yes",'Equipment List &amp; Usage'!$C$114*(IF('Equipment List &amp; Usage'!$AA15&gt;0,'Weekly Summary'!AU$128,0)+IF('Equipment List &amp; Usage'!$AB15&gt;0,'Weekly Summary'!AU$100+'Weekly Summary'!AU$101,0)),'Equipment List &amp; Usage'!$C$115*(('Weekly Summary'!AU$128*'Equipment List &amp; Usage'!$AA15)+('Weekly Summary'!AU$100*'Equipment List &amp; Usage'!$AB15*SelfQuarantine_Mild)+('Weekly Summary'!AU$101*'Equipment List &amp; Usage'!$AB15*SelfQuarantine_Moderate)))+IF('Equipment List &amp; Usage'!$F15="Yes",('Equipment List &amp; Usage'!$C$114*(IF('Equipment List &amp; Usage'!$AE15&gt;0,'Weekly Summary'!AU$134,0)+IF('Equipment List &amp; Usage'!$AF15&gt;0,'Weekly Summary'!AU$135))),'Equipment List &amp; Usage'!$C$115*(('Weekly Summary'!AU$134*'Equipment List &amp; Usage'!$AE15)+('Weekly Summary'!AU$135*'Equipment List &amp; Usage'!$AF15))))-SUM($I13:AZ13),
IF($F13="yes",MMULT(--('Equipment List &amp; Usage'!$J15:$N15&gt;0),--('Weekly Summary'!AU$112:AU$116))*'Equipment List &amp; Usage'!$C$114,MMULT(--('Equipment List &amp; Usage'!$J15:$N15),--('Weekly Summary'!AU$112:AU$116))*'Equipment List &amp; Usage'!$C$115)+IF('Equipment List &amp; Usage'!$F14="yes",'Equipment List &amp; Usage'!$C$114,'Equipment List &amp; Usage'!$C$115)*(('Weekly Summary'!AU$66*'Equipment List &amp; Usage'!$Q15)+('Weekly Summary'!AU$64*'Equipment List &amp; Usage'!$O15)+('Weekly Summary'!AU$65*'Equipment List &amp; Usage'!$P15))+(IF('Equipment List &amp; Usage'!$F15="Yes",'Equipment List &amp; Usage'!$C$114*((('Weekly Summary'!AU$131*SelfQuarantine_Mild)+('Weekly Summary'!AU$100*SelfQuarantine_Mild)+('Weekly Summary'!AU$101*SelfQuarantine_Moderate))),'Equipment List &amp; Usage'!$C$115)*((('Weekly Summary'!AU$131*SelfQuarantine_Mild*'Equipment List &amp; Usage'!$W15)+('Weekly Summary'!AU$100*SelfQuarantine_Mild*'Equipment List &amp; Usage'!$X15)+('Weekly Summary'!AU$101*SelfQuarantine_Moderate*'Equipment List &amp; Usage'!$X15))))+IF('Equipment List &amp; Usage'!$F15="Yes",'Equipment List &amp; Usage'!$C$114*(IF('Equipment List &amp; Usage'!$AA15&gt;0,'Weekly Summary'!AU$128,0)+IF('Equipment List &amp; Usage'!$AB15&gt;0,'Weekly Summary'!AU$100+'Weekly Summary'!AU$101,0)),'Equipment List &amp; Usage'!$C$115*(('Weekly Summary'!AU$128*'Equipment List &amp; Usage'!$AA15)+('Weekly Summary'!AU$100*'Equipment List &amp; Usage'!$AB15*SelfQuarantine_Mild)+('Weekly Summary'!AU$101*'Equipment List &amp; Usage'!$AB15*SelfQuarantine_Moderate)))+IF('Equipment List &amp; Usage'!$F15="Yes",('Equipment List &amp; Usage'!$C$114*(IF('Equipment List &amp; Usage'!$AE15&gt;0,'Weekly Summary'!AU$134,0)+IF('Equipment List &amp; Usage'!$AF15&gt;0,'Weekly Summary'!AU$135))),'Equipment List &amp; Usage'!$C$115*(('Weekly Summary'!AU$134*'Equipment List &amp; Usage'!$AE15)+('Weekly Summary'!AU$135*'Equipment List &amp; Usage'!$AF15)))),0)</f>
        <v>0</v>
      </c>
      <c r="BB13" s="1375">
        <f ca="1">MAX(IF($F13="Yes",(
IF($F13="yes",MMULT(--('Equipment List &amp; Usage'!$J15:$N15&gt;0),--('Weekly Summary'!AV$112:AV$116))*'Equipment List &amp; Usage'!$C$114,MMULT(--('Equipment List &amp; Usage'!$J15:$N15),--('Weekly Summary'!AV$112:AV$116))*'Equipment List &amp; Usage'!$C$115)+IF('Equipment List &amp; Usage'!$F14="yes",'Equipment List &amp; Usage'!$C$114,'Equipment List &amp; Usage'!$C$115)*(('Weekly Summary'!AV$66*'Equipment List &amp; Usage'!$Q15)+('Weekly Summary'!AV$64*'Equipment List &amp; Usage'!$O15)+('Weekly Summary'!AV$65*'Equipment List &amp; Usage'!$P15)))+(IF('Equipment List &amp; Usage'!$F15="Yes",'Equipment List &amp; Usage'!$C$114*((('Weekly Summary'!AV$131*SelfQuarantine_Mild)+('Weekly Summary'!AV$100*SelfQuarantine_Mild)+('Weekly Summary'!AV$101*SelfQuarantine_Moderate))),'Equipment List &amp; Usage'!$C$115)*((('Weekly Summary'!AV$131*SelfQuarantine_Mild*'Equipment List &amp; Usage'!$W15)+('Weekly Summary'!AV$100*SelfQuarantine_Mild*'Equipment List &amp; Usage'!$X15)+('Weekly Summary'!AV$101*SelfQuarantine_Moderate*'Equipment List &amp; Usage'!$X15)))+IF('Equipment List &amp; Usage'!$F15="Yes",'Equipment List &amp; Usage'!$C$114*(IF('Equipment List &amp; Usage'!$AA15&gt;0,'Weekly Summary'!AV$128,0)+IF('Equipment List &amp; Usage'!$AB15&gt;0,'Weekly Summary'!AV$100+'Weekly Summary'!AV$101,0)),'Equipment List &amp; Usage'!$C$115*(('Weekly Summary'!AV$128*'Equipment List &amp; Usage'!$AA15)+('Weekly Summary'!AV$100*'Equipment List &amp; Usage'!$AB15*SelfQuarantine_Mild)+('Weekly Summary'!AV$101*'Equipment List &amp; Usage'!$AB15*SelfQuarantine_Moderate)))+IF('Equipment List &amp; Usage'!$F15="Yes",('Equipment List &amp; Usage'!$C$114*(IF('Equipment List &amp; Usage'!$AE15&gt;0,'Weekly Summary'!AV$134,0)+IF('Equipment List &amp; Usage'!$AF15&gt;0,'Weekly Summary'!AV$135))),'Equipment List &amp; Usage'!$C$115*(('Weekly Summary'!AV$134*'Equipment List &amp; Usage'!$AE15)+('Weekly Summary'!AV$135*'Equipment List &amp; Usage'!$AF15))))-SUM($I13:BA13),
IF($F13="yes",MMULT(--('Equipment List &amp; Usage'!$J15:$N15&gt;0),--('Weekly Summary'!AV$112:AV$116))*'Equipment List &amp; Usage'!$C$114,MMULT(--('Equipment List &amp; Usage'!$J15:$N15),--('Weekly Summary'!AV$112:AV$116))*'Equipment List &amp; Usage'!$C$115)+IF('Equipment List &amp; Usage'!$F14="yes",'Equipment List &amp; Usage'!$C$114,'Equipment List &amp; Usage'!$C$115)*(('Weekly Summary'!AV$66*'Equipment List &amp; Usage'!$Q15)+('Weekly Summary'!AV$64*'Equipment List &amp; Usage'!$O15)+('Weekly Summary'!AV$65*'Equipment List &amp; Usage'!$P15))+(IF('Equipment List &amp; Usage'!$F15="Yes",'Equipment List &amp; Usage'!$C$114*((('Weekly Summary'!AV$131*SelfQuarantine_Mild)+('Weekly Summary'!AV$100*SelfQuarantine_Mild)+('Weekly Summary'!AV$101*SelfQuarantine_Moderate))),'Equipment List &amp; Usage'!$C$115)*((('Weekly Summary'!AV$131*SelfQuarantine_Mild*'Equipment List &amp; Usage'!$W15)+('Weekly Summary'!AV$100*SelfQuarantine_Mild*'Equipment List &amp; Usage'!$X15)+('Weekly Summary'!AV$101*SelfQuarantine_Moderate*'Equipment List &amp; Usage'!$X15))))+IF('Equipment List &amp; Usage'!$F15="Yes",'Equipment List &amp; Usage'!$C$114*(IF('Equipment List &amp; Usage'!$AA15&gt;0,'Weekly Summary'!AV$128,0)+IF('Equipment List &amp; Usage'!$AB15&gt;0,'Weekly Summary'!AV$100+'Weekly Summary'!AV$101,0)),'Equipment List &amp; Usage'!$C$115*(('Weekly Summary'!AV$128*'Equipment List &amp; Usage'!$AA15)+('Weekly Summary'!AV$100*'Equipment List &amp; Usage'!$AB15*SelfQuarantine_Mild)+('Weekly Summary'!AV$101*'Equipment List &amp; Usage'!$AB15*SelfQuarantine_Moderate)))+IF('Equipment List &amp; Usage'!$F15="Yes",('Equipment List &amp; Usage'!$C$114*(IF('Equipment List &amp; Usage'!$AE15&gt;0,'Weekly Summary'!AV$134,0)+IF('Equipment List &amp; Usage'!$AF15&gt;0,'Weekly Summary'!AV$135))),'Equipment List &amp; Usage'!$C$115*(('Weekly Summary'!AV$134*'Equipment List &amp; Usage'!$AE15)+('Weekly Summary'!AV$135*'Equipment List &amp; Usage'!$AF15)))),0)</f>
        <v>0</v>
      </c>
      <c r="BC13" s="1375">
        <f ca="1">MAX(IF($F13="Yes",(
IF($F13="yes",MMULT(--('Equipment List &amp; Usage'!$J15:$N15&gt;0),--('Weekly Summary'!AW$112:AW$116))*'Equipment List &amp; Usage'!$C$114,MMULT(--('Equipment List &amp; Usage'!$J15:$N15),--('Weekly Summary'!AW$112:AW$116))*'Equipment List &amp; Usage'!$C$115)+IF('Equipment List &amp; Usage'!$F14="yes",'Equipment List &amp; Usage'!$C$114,'Equipment List &amp; Usage'!$C$115)*(('Weekly Summary'!AW$66*'Equipment List &amp; Usage'!$Q15)+('Weekly Summary'!AW$64*'Equipment List &amp; Usage'!$O15)+('Weekly Summary'!AW$65*'Equipment List &amp; Usage'!$P15)))+(IF('Equipment List &amp; Usage'!$F15="Yes",'Equipment List &amp; Usage'!$C$114*((('Weekly Summary'!AW$131*SelfQuarantine_Mild)+('Weekly Summary'!AW$100*SelfQuarantine_Mild)+('Weekly Summary'!AW$101*SelfQuarantine_Moderate))),'Equipment List &amp; Usage'!$C$115)*((('Weekly Summary'!AW$131*SelfQuarantine_Mild*'Equipment List &amp; Usage'!$W15)+('Weekly Summary'!AW$100*SelfQuarantine_Mild*'Equipment List &amp; Usage'!$X15)+('Weekly Summary'!AW$101*SelfQuarantine_Moderate*'Equipment List &amp; Usage'!$X15)))+IF('Equipment List &amp; Usage'!$F15="Yes",'Equipment List &amp; Usage'!$C$114*(IF('Equipment List &amp; Usage'!$AA15&gt;0,'Weekly Summary'!AW$128,0)+IF('Equipment List &amp; Usage'!$AB15&gt;0,'Weekly Summary'!AW$100+'Weekly Summary'!AW$101,0)),'Equipment List &amp; Usage'!$C$115*(('Weekly Summary'!AW$128*'Equipment List &amp; Usage'!$AA15)+('Weekly Summary'!AW$100*'Equipment List &amp; Usage'!$AB15*SelfQuarantine_Mild)+('Weekly Summary'!AW$101*'Equipment List &amp; Usage'!$AB15*SelfQuarantine_Moderate)))+IF('Equipment List &amp; Usage'!$F15="Yes",('Equipment List &amp; Usage'!$C$114*(IF('Equipment List &amp; Usage'!$AE15&gt;0,'Weekly Summary'!AW$134,0)+IF('Equipment List &amp; Usage'!$AF15&gt;0,'Weekly Summary'!AW$135))),'Equipment List &amp; Usage'!$C$115*(('Weekly Summary'!AW$134*'Equipment List &amp; Usage'!$AE15)+('Weekly Summary'!AW$135*'Equipment List &amp; Usage'!$AF15))))-SUM($I13:BB13),
IF($F13="yes",MMULT(--('Equipment List &amp; Usage'!$J15:$N15&gt;0),--('Weekly Summary'!AW$112:AW$116))*'Equipment List &amp; Usage'!$C$114,MMULT(--('Equipment List &amp; Usage'!$J15:$N15),--('Weekly Summary'!AW$112:AW$116))*'Equipment List &amp; Usage'!$C$115)+IF('Equipment List &amp; Usage'!$F14="yes",'Equipment List &amp; Usage'!$C$114,'Equipment List &amp; Usage'!$C$115)*(('Weekly Summary'!AW$66*'Equipment List &amp; Usage'!$Q15)+('Weekly Summary'!AW$64*'Equipment List &amp; Usage'!$O15)+('Weekly Summary'!AW$65*'Equipment List &amp; Usage'!$P15))+(IF('Equipment List &amp; Usage'!$F15="Yes",'Equipment List &amp; Usage'!$C$114*((('Weekly Summary'!AW$131*SelfQuarantine_Mild)+('Weekly Summary'!AW$100*SelfQuarantine_Mild)+('Weekly Summary'!AW$101*SelfQuarantine_Moderate))),'Equipment List &amp; Usage'!$C$115)*((('Weekly Summary'!AW$131*SelfQuarantine_Mild*'Equipment List &amp; Usage'!$W15)+('Weekly Summary'!AW$100*SelfQuarantine_Mild*'Equipment List &amp; Usage'!$X15)+('Weekly Summary'!AW$101*SelfQuarantine_Moderate*'Equipment List &amp; Usage'!$X15))))+IF('Equipment List &amp; Usage'!$F15="Yes",'Equipment List &amp; Usage'!$C$114*(IF('Equipment List &amp; Usage'!$AA15&gt;0,'Weekly Summary'!AW$128,0)+IF('Equipment List &amp; Usage'!$AB15&gt;0,'Weekly Summary'!AW$100+'Weekly Summary'!AW$101,0)),'Equipment List &amp; Usage'!$C$115*(('Weekly Summary'!AW$128*'Equipment List &amp; Usage'!$AA15)+('Weekly Summary'!AW$100*'Equipment List &amp; Usage'!$AB15*SelfQuarantine_Mild)+('Weekly Summary'!AW$101*'Equipment List &amp; Usage'!$AB15*SelfQuarantine_Moderate)))+IF('Equipment List &amp; Usage'!$F15="Yes",('Equipment List &amp; Usage'!$C$114*(IF('Equipment List &amp; Usage'!$AE15&gt;0,'Weekly Summary'!AW$134,0)+IF('Equipment List &amp; Usage'!$AF15&gt;0,'Weekly Summary'!AW$135))),'Equipment List &amp; Usage'!$C$115*(('Weekly Summary'!AW$134*'Equipment List &amp; Usage'!$AE15)+('Weekly Summary'!AW$135*'Equipment List &amp; Usage'!$AF15)))),0)</f>
        <v>0</v>
      </c>
      <c r="BD13" s="1375">
        <f ca="1">MAX(IF($F13="Yes",(
IF($F13="yes",MMULT(--('Equipment List &amp; Usage'!$J15:$N15&gt;0),--('Weekly Summary'!AX$112:AX$116))*'Equipment List &amp; Usage'!$C$114,MMULT(--('Equipment List &amp; Usage'!$J15:$N15),--('Weekly Summary'!AX$112:AX$116))*'Equipment List &amp; Usage'!$C$115)+IF('Equipment List &amp; Usage'!$F14="yes",'Equipment List &amp; Usage'!$C$114,'Equipment List &amp; Usage'!$C$115)*(('Weekly Summary'!AX$66*'Equipment List &amp; Usage'!$Q15)+('Weekly Summary'!AX$64*'Equipment List &amp; Usage'!$O15)+('Weekly Summary'!AX$65*'Equipment List &amp; Usage'!$P15)))+(IF('Equipment List &amp; Usage'!$F15="Yes",'Equipment List &amp; Usage'!$C$114*((('Weekly Summary'!AX$131*SelfQuarantine_Mild)+('Weekly Summary'!AX$100*SelfQuarantine_Mild)+('Weekly Summary'!AX$101*SelfQuarantine_Moderate))),'Equipment List &amp; Usage'!$C$115)*((('Weekly Summary'!AX$131*SelfQuarantine_Mild*'Equipment List &amp; Usage'!$W15)+('Weekly Summary'!AX$100*SelfQuarantine_Mild*'Equipment List &amp; Usage'!$X15)+('Weekly Summary'!AX$101*SelfQuarantine_Moderate*'Equipment List &amp; Usage'!$X15)))+IF('Equipment List &amp; Usage'!$F15="Yes",'Equipment List &amp; Usage'!$C$114*(IF('Equipment List &amp; Usage'!$AA15&gt;0,'Weekly Summary'!AX$128,0)+IF('Equipment List &amp; Usage'!$AB15&gt;0,'Weekly Summary'!AX$100+'Weekly Summary'!AX$101,0)),'Equipment List &amp; Usage'!$C$115*(('Weekly Summary'!AX$128*'Equipment List &amp; Usage'!$AA15)+('Weekly Summary'!AX$100*'Equipment List &amp; Usage'!$AB15*SelfQuarantine_Mild)+('Weekly Summary'!AX$101*'Equipment List &amp; Usage'!$AB15*SelfQuarantine_Moderate)))+IF('Equipment List &amp; Usage'!$F15="Yes",('Equipment List &amp; Usage'!$C$114*(IF('Equipment List &amp; Usage'!$AE15&gt;0,'Weekly Summary'!AX$134,0)+IF('Equipment List &amp; Usage'!$AF15&gt;0,'Weekly Summary'!AX$135))),'Equipment List &amp; Usage'!$C$115*(('Weekly Summary'!AX$134*'Equipment List &amp; Usage'!$AE15)+('Weekly Summary'!AX$135*'Equipment List &amp; Usage'!$AF15))))-SUM($I13:BC13),
IF($F13="yes",MMULT(--('Equipment List &amp; Usage'!$J15:$N15&gt;0),--('Weekly Summary'!AX$112:AX$116))*'Equipment List &amp; Usage'!$C$114,MMULT(--('Equipment List &amp; Usage'!$J15:$N15),--('Weekly Summary'!AX$112:AX$116))*'Equipment List &amp; Usage'!$C$115)+IF('Equipment List &amp; Usage'!$F14="yes",'Equipment List &amp; Usage'!$C$114,'Equipment List &amp; Usage'!$C$115)*(('Weekly Summary'!AX$66*'Equipment List &amp; Usage'!$Q15)+('Weekly Summary'!AX$64*'Equipment List &amp; Usage'!$O15)+('Weekly Summary'!AX$65*'Equipment List &amp; Usage'!$P15))+(IF('Equipment List &amp; Usage'!$F15="Yes",'Equipment List &amp; Usage'!$C$114*((('Weekly Summary'!AX$131*SelfQuarantine_Mild)+('Weekly Summary'!AX$100*SelfQuarantine_Mild)+('Weekly Summary'!AX$101*SelfQuarantine_Moderate))),'Equipment List &amp; Usage'!$C$115)*((('Weekly Summary'!AX$131*SelfQuarantine_Mild*'Equipment List &amp; Usage'!$W15)+('Weekly Summary'!AX$100*SelfQuarantine_Mild*'Equipment List &amp; Usage'!$X15)+('Weekly Summary'!AX$101*SelfQuarantine_Moderate*'Equipment List &amp; Usage'!$X15))))+IF('Equipment List &amp; Usage'!$F15="Yes",'Equipment List &amp; Usage'!$C$114*(IF('Equipment List &amp; Usage'!$AA15&gt;0,'Weekly Summary'!AX$128,0)+IF('Equipment List &amp; Usage'!$AB15&gt;0,'Weekly Summary'!AX$100+'Weekly Summary'!AX$101,0)),'Equipment List &amp; Usage'!$C$115*(('Weekly Summary'!AX$128*'Equipment List &amp; Usage'!$AA15)+('Weekly Summary'!AX$100*'Equipment List &amp; Usage'!$AB15*SelfQuarantine_Mild)+('Weekly Summary'!AX$101*'Equipment List &amp; Usage'!$AB15*SelfQuarantine_Moderate)))+IF('Equipment List &amp; Usage'!$F15="Yes",('Equipment List &amp; Usage'!$C$114*(IF('Equipment List &amp; Usage'!$AE15&gt;0,'Weekly Summary'!AX$134,0)+IF('Equipment List &amp; Usage'!$AF15&gt;0,'Weekly Summary'!AX$135))),'Equipment List &amp; Usage'!$C$115*(('Weekly Summary'!AX$134*'Equipment List &amp; Usage'!$AE15)+('Weekly Summary'!AX$135*'Equipment List &amp; Usage'!$AF15)))),0)</f>
        <v>0</v>
      </c>
      <c r="BE13" s="1375">
        <f ca="1">MAX(IF($F13="Yes",(
IF($F13="yes",MMULT(--('Equipment List &amp; Usage'!$J15:$N15&gt;0),--('Weekly Summary'!AY$112:AY$116))*'Equipment List &amp; Usage'!$C$114,MMULT(--('Equipment List &amp; Usage'!$J15:$N15),--('Weekly Summary'!AY$112:AY$116))*'Equipment List &amp; Usage'!$C$115)+IF('Equipment List &amp; Usage'!$F14="yes",'Equipment List &amp; Usage'!$C$114,'Equipment List &amp; Usage'!$C$115)*(('Weekly Summary'!AY$66*'Equipment List &amp; Usage'!$Q15)+('Weekly Summary'!AY$64*'Equipment List &amp; Usage'!$O15)+('Weekly Summary'!AY$65*'Equipment List &amp; Usage'!$P15)))+(IF('Equipment List &amp; Usage'!$F15="Yes",'Equipment List &amp; Usage'!$C$114*((('Weekly Summary'!AY$131*SelfQuarantine_Mild)+('Weekly Summary'!AY$100*SelfQuarantine_Mild)+('Weekly Summary'!AY$101*SelfQuarantine_Moderate))),'Equipment List &amp; Usage'!$C$115)*((('Weekly Summary'!AY$131*SelfQuarantine_Mild*'Equipment List &amp; Usage'!$W15)+('Weekly Summary'!AY$100*SelfQuarantine_Mild*'Equipment List &amp; Usage'!$X15)+('Weekly Summary'!AY$101*SelfQuarantine_Moderate*'Equipment List &amp; Usage'!$X15)))+IF('Equipment List &amp; Usage'!$F15="Yes",'Equipment List &amp; Usage'!$C$114*(IF('Equipment List &amp; Usage'!$AA15&gt;0,'Weekly Summary'!AY$128,0)+IF('Equipment List &amp; Usage'!$AB15&gt;0,'Weekly Summary'!AY$100+'Weekly Summary'!AY$101,0)),'Equipment List &amp; Usage'!$C$115*(('Weekly Summary'!AY$128*'Equipment List &amp; Usage'!$AA15)+('Weekly Summary'!AY$100*'Equipment List &amp; Usage'!$AB15*SelfQuarantine_Mild)+('Weekly Summary'!AY$101*'Equipment List &amp; Usage'!$AB15*SelfQuarantine_Moderate)))+IF('Equipment List &amp; Usage'!$F15="Yes",('Equipment List &amp; Usage'!$C$114*(IF('Equipment List &amp; Usage'!$AE15&gt;0,'Weekly Summary'!AY$134,0)+IF('Equipment List &amp; Usage'!$AF15&gt;0,'Weekly Summary'!AY$135))),'Equipment List &amp; Usage'!$C$115*(('Weekly Summary'!AY$134*'Equipment List &amp; Usage'!$AE15)+('Weekly Summary'!AY$135*'Equipment List &amp; Usage'!$AF15))))-SUM($I13:BD13),
IF($F13="yes",MMULT(--('Equipment List &amp; Usage'!$J15:$N15&gt;0),--('Weekly Summary'!AY$112:AY$116))*'Equipment List &amp; Usage'!$C$114,MMULT(--('Equipment List &amp; Usage'!$J15:$N15),--('Weekly Summary'!AY$112:AY$116))*'Equipment List &amp; Usage'!$C$115)+IF('Equipment List &amp; Usage'!$F14="yes",'Equipment List &amp; Usage'!$C$114,'Equipment List &amp; Usage'!$C$115)*(('Weekly Summary'!AY$66*'Equipment List &amp; Usage'!$Q15)+('Weekly Summary'!AY$64*'Equipment List &amp; Usage'!$O15)+('Weekly Summary'!AY$65*'Equipment List &amp; Usage'!$P15))+(IF('Equipment List &amp; Usage'!$F15="Yes",'Equipment List &amp; Usage'!$C$114*((('Weekly Summary'!AY$131*SelfQuarantine_Mild)+('Weekly Summary'!AY$100*SelfQuarantine_Mild)+('Weekly Summary'!AY$101*SelfQuarantine_Moderate))),'Equipment List &amp; Usage'!$C$115)*((('Weekly Summary'!AY$131*SelfQuarantine_Mild*'Equipment List &amp; Usage'!$W15)+('Weekly Summary'!AY$100*SelfQuarantine_Mild*'Equipment List &amp; Usage'!$X15)+('Weekly Summary'!AY$101*SelfQuarantine_Moderate*'Equipment List &amp; Usage'!$X15))))+IF('Equipment List &amp; Usage'!$F15="Yes",'Equipment List &amp; Usage'!$C$114*(IF('Equipment List &amp; Usage'!$AA15&gt;0,'Weekly Summary'!AY$128,0)+IF('Equipment List &amp; Usage'!$AB15&gt;0,'Weekly Summary'!AY$100+'Weekly Summary'!AY$101,0)),'Equipment List &amp; Usage'!$C$115*(('Weekly Summary'!AY$128*'Equipment List &amp; Usage'!$AA15)+('Weekly Summary'!AY$100*'Equipment List &amp; Usage'!$AB15*SelfQuarantine_Mild)+('Weekly Summary'!AY$101*'Equipment List &amp; Usage'!$AB15*SelfQuarantine_Moderate)))+IF('Equipment List &amp; Usage'!$F15="Yes",('Equipment List &amp; Usage'!$C$114*(IF('Equipment List &amp; Usage'!$AE15&gt;0,'Weekly Summary'!AY$134,0)+IF('Equipment List &amp; Usage'!$AF15&gt;0,'Weekly Summary'!AY$135))),'Equipment List &amp; Usage'!$C$115*(('Weekly Summary'!AY$134*'Equipment List &amp; Usage'!$AE15)+('Weekly Summary'!AY$135*'Equipment List &amp; Usage'!$AF15)))),0)</f>
        <v>0</v>
      </c>
      <c r="BF13" s="1375">
        <f ca="1">MAX(IF($F13="Yes",(
IF($F13="yes",MMULT(--('Equipment List &amp; Usage'!$J15:$N15&gt;0),--('Weekly Summary'!AZ$112:AZ$116))*'Equipment List &amp; Usage'!$C$114,MMULT(--('Equipment List &amp; Usage'!$J15:$N15),--('Weekly Summary'!AZ$112:AZ$116))*'Equipment List &amp; Usage'!$C$115)+IF('Equipment List &amp; Usage'!$F14="yes",'Equipment List &amp; Usage'!$C$114,'Equipment List &amp; Usage'!$C$115)*(('Weekly Summary'!AZ$66*'Equipment List &amp; Usage'!$Q15)+('Weekly Summary'!AZ$64*'Equipment List &amp; Usage'!$O15)+('Weekly Summary'!AZ$65*'Equipment List &amp; Usage'!$P15)))+(IF('Equipment List &amp; Usage'!$F15="Yes",'Equipment List &amp; Usage'!$C$114*((('Weekly Summary'!AZ$131*SelfQuarantine_Mild)+('Weekly Summary'!AZ$100*SelfQuarantine_Mild)+('Weekly Summary'!AZ$101*SelfQuarantine_Moderate))),'Equipment List &amp; Usage'!$C$115)*((('Weekly Summary'!AZ$131*SelfQuarantine_Mild*'Equipment List &amp; Usage'!$W15)+('Weekly Summary'!AZ$100*SelfQuarantine_Mild*'Equipment List &amp; Usage'!$X15)+('Weekly Summary'!AZ$101*SelfQuarantine_Moderate*'Equipment List &amp; Usage'!$X15)))+IF('Equipment List &amp; Usage'!$F15="Yes",'Equipment List &amp; Usage'!$C$114*(IF('Equipment List &amp; Usage'!$AA15&gt;0,'Weekly Summary'!AZ$128,0)+IF('Equipment List &amp; Usage'!$AB15&gt;0,'Weekly Summary'!AZ$100+'Weekly Summary'!AZ$101,0)),'Equipment List &amp; Usage'!$C$115*(('Weekly Summary'!AZ$128*'Equipment List &amp; Usage'!$AA15)+('Weekly Summary'!AZ$100*'Equipment List &amp; Usage'!$AB15*SelfQuarantine_Mild)+('Weekly Summary'!AZ$101*'Equipment List &amp; Usage'!$AB15*SelfQuarantine_Moderate)))+IF('Equipment List &amp; Usage'!$F15="Yes",('Equipment List &amp; Usage'!$C$114*(IF('Equipment List &amp; Usage'!$AE15&gt;0,'Weekly Summary'!AZ$134,0)+IF('Equipment List &amp; Usage'!$AF15&gt;0,'Weekly Summary'!AZ$135))),'Equipment List &amp; Usage'!$C$115*(('Weekly Summary'!AZ$134*'Equipment List &amp; Usage'!$AE15)+('Weekly Summary'!AZ$135*'Equipment List &amp; Usage'!$AF15))))-SUM($I13:BE13),
IF($F13="yes",MMULT(--('Equipment List &amp; Usage'!$J15:$N15&gt;0),--('Weekly Summary'!AZ$112:AZ$116))*'Equipment List &amp; Usage'!$C$114,MMULT(--('Equipment List &amp; Usage'!$J15:$N15),--('Weekly Summary'!AZ$112:AZ$116))*'Equipment List &amp; Usage'!$C$115)+IF('Equipment List &amp; Usage'!$F14="yes",'Equipment List &amp; Usage'!$C$114,'Equipment List &amp; Usage'!$C$115)*(('Weekly Summary'!AZ$66*'Equipment List &amp; Usage'!$Q15)+('Weekly Summary'!AZ$64*'Equipment List &amp; Usage'!$O15)+('Weekly Summary'!AZ$65*'Equipment List &amp; Usage'!$P15))+(IF('Equipment List &amp; Usage'!$F15="Yes",'Equipment List &amp; Usage'!$C$114*((('Weekly Summary'!AZ$131*SelfQuarantine_Mild)+('Weekly Summary'!AZ$100*SelfQuarantine_Mild)+('Weekly Summary'!AZ$101*SelfQuarantine_Moderate))),'Equipment List &amp; Usage'!$C$115)*((('Weekly Summary'!AZ$131*SelfQuarantine_Mild*'Equipment List &amp; Usage'!$W15)+('Weekly Summary'!AZ$100*SelfQuarantine_Mild*'Equipment List &amp; Usage'!$X15)+('Weekly Summary'!AZ$101*SelfQuarantine_Moderate*'Equipment List &amp; Usage'!$X15))))+IF('Equipment List &amp; Usage'!$F15="Yes",'Equipment List &amp; Usage'!$C$114*(IF('Equipment List &amp; Usage'!$AA15&gt;0,'Weekly Summary'!AZ$128,0)+IF('Equipment List &amp; Usage'!$AB15&gt;0,'Weekly Summary'!AZ$100+'Weekly Summary'!AZ$101,0)),'Equipment List &amp; Usage'!$C$115*(('Weekly Summary'!AZ$128*'Equipment List &amp; Usage'!$AA15)+('Weekly Summary'!AZ$100*'Equipment List &amp; Usage'!$AB15*SelfQuarantine_Mild)+('Weekly Summary'!AZ$101*'Equipment List &amp; Usage'!$AB15*SelfQuarantine_Moderate)))+IF('Equipment List &amp; Usage'!$F15="Yes",('Equipment List &amp; Usage'!$C$114*(IF('Equipment List &amp; Usage'!$AE15&gt;0,'Weekly Summary'!AZ$134,0)+IF('Equipment List &amp; Usage'!$AF15&gt;0,'Weekly Summary'!AZ$135))),'Equipment List &amp; Usage'!$C$115*(('Weekly Summary'!AZ$134*'Equipment List &amp; Usage'!$AE15)+('Weekly Summary'!AZ$135*'Equipment List &amp; Usage'!$AF15)))),0)</f>
        <v>0</v>
      </c>
      <c r="BG13" s="1375">
        <f ca="1">MAX(IF($F13="Yes",(
IF($F13="yes",MMULT(--('Equipment List &amp; Usage'!$J15:$N15&gt;0),--('Weekly Summary'!BA$112:BA$116))*'Equipment List &amp; Usage'!$C$114,MMULT(--('Equipment List &amp; Usage'!$J15:$N15),--('Weekly Summary'!BA$112:BA$116))*'Equipment List &amp; Usage'!$C$115)+IF('Equipment List &amp; Usage'!$F14="yes",'Equipment List &amp; Usage'!$C$114,'Equipment List &amp; Usage'!$C$115)*(('Weekly Summary'!BA$66*'Equipment List &amp; Usage'!$Q15)+('Weekly Summary'!BA$64*'Equipment List &amp; Usage'!$O15)+('Weekly Summary'!BA$65*'Equipment List &amp; Usage'!$P15)))+(IF('Equipment List &amp; Usage'!$F15="Yes",'Equipment List &amp; Usage'!$C$114*((('Weekly Summary'!BA$131*SelfQuarantine_Mild)+('Weekly Summary'!BA$100*SelfQuarantine_Mild)+('Weekly Summary'!BA$101*SelfQuarantine_Moderate))),'Equipment List &amp; Usage'!$C$115)*((('Weekly Summary'!BA$131*SelfQuarantine_Mild*'Equipment List &amp; Usage'!$W15)+('Weekly Summary'!BA$100*SelfQuarantine_Mild*'Equipment List &amp; Usage'!$X15)+('Weekly Summary'!BA$101*SelfQuarantine_Moderate*'Equipment List &amp; Usage'!$X15)))+IF('Equipment List &amp; Usage'!$F15="Yes",'Equipment List &amp; Usage'!$C$114*(IF('Equipment List &amp; Usage'!$AA15&gt;0,'Weekly Summary'!BA$128,0)+IF('Equipment List &amp; Usage'!$AB15&gt;0,'Weekly Summary'!BA$100+'Weekly Summary'!BA$101,0)),'Equipment List &amp; Usage'!$C$115*(('Weekly Summary'!BA$128*'Equipment List &amp; Usage'!$AA15)+('Weekly Summary'!BA$100*'Equipment List &amp; Usage'!$AB15*SelfQuarantine_Mild)+('Weekly Summary'!BA$101*'Equipment List &amp; Usage'!$AB15*SelfQuarantine_Moderate)))+IF('Equipment List &amp; Usage'!$F15="Yes",('Equipment List &amp; Usage'!$C$114*(IF('Equipment List &amp; Usage'!$AE15&gt;0,'Weekly Summary'!BA$134,0)+IF('Equipment List &amp; Usage'!$AF15&gt;0,'Weekly Summary'!BA$135))),'Equipment List &amp; Usage'!$C$115*(('Weekly Summary'!BA$134*'Equipment List &amp; Usage'!$AE15)+('Weekly Summary'!BA$135*'Equipment List &amp; Usage'!$AF15))))-SUM($I13:BF13),
IF($F13="yes",MMULT(--('Equipment List &amp; Usage'!$J15:$N15&gt;0),--('Weekly Summary'!BA$112:BA$116))*'Equipment List &amp; Usage'!$C$114,MMULT(--('Equipment List &amp; Usage'!$J15:$N15),--('Weekly Summary'!BA$112:BA$116))*'Equipment List &amp; Usage'!$C$115)+IF('Equipment List &amp; Usage'!$F14="yes",'Equipment List &amp; Usage'!$C$114,'Equipment List &amp; Usage'!$C$115)*(('Weekly Summary'!BA$66*'Equipment List &amp; Usage'!$Q15)+('Weekly Summary'!BA$64*'Equipment List &amp; Usage'!$O15)+('Weekly Summary'!BA$65*'Equipment List &amp; Usage'!$P15))+(IF('Equipment List &amp; Usage'!$F15="Yes",'Equipment List &amp; Usage'!$C$114*((('Weekly Summary'!BA$131*SelfQuarantine_Mild)+('Weekly Summary'!BA$100*SelfQuarantine_Mild)+('Weekly Summary'!BA$101*SelfQuarantine_Moderate))),'Equipment List &amp; Usage'!$C$115)*((('Weekly Summary'!BA$131*SelfQuarantine_Mild*'Equipment List &amp; Usage'!$W15)+('Weekly Summary'!BA$100*SelfQuarantine_Mild*'Equipment List &amp; Usage'!$X15)+('Weekly Summary'!BA$101*SelfQuarantine_Moderate*'Equipment List &amp; Usage'!$X15))))+IF('Equipment List &amp; Usage'!$F15="Yes",'Equipment List &amp; Usage'!$C$114*(IF('Equipment List &amp; Usage'!$AA15&gt;0,'Weekly Summary'!BA$128,0)+IF('Equipment List &amp; Usage'!$AB15&gt;0,'Weekly Summary'!BA$100+'Weekly Summary'!BA$101,0)),'Equipment List &amp; Usage'!$C$115*(('Weekly Summary'!BA$128*'Equipment List &amp; Usage'!$AA15)+('Weekly Summary'!BA$100*'Equipment List &amp; Usage'!$AB15*SelfQuarantine_Mild)+('Weekly Summary'!BA$101*'Equipment List &amp; Usage'!$AB15*SelfQuarantine_Moderate)))+IF('Equipment List &amp; Usage'!$F15="Yes",('Equipment List &amp; Usage'!$C$114*(IF('Equipment List &amp; Usage'!$AE15&gt;0,'Weekly Summary'!BA$134,0)+IF('Equipment List &amp; Usage'!$AF15&gt;0,'Weekly Summary'!BA$135))),'Equipment List &amp; Usage'!$C$115*(('Weekly Summary'!BA$134*'Equipment List &amp; Usage'!$AE15)+('Weekly Summary'!BA$135*'Equipment List &amp; Usage'!$AF15)))),0)</f>
        <v>0</v>
      </c>
      <c r="BH13" s="1375">
        <f ca="1">MAX(IF($F13="Yes",(
IF($F13="yes",MMULT(--('Equipment List &amp; Usage'!$J15:$N15&gt;0),--('Weekly Summary'!BB$112:BB$116))*'Equipment List &amp; Usage'!$C$114,MMULT(--('Equipment List &amp; Usage'!$J15:$N15),--('Weekly Summary'!BB$112:BB$116))*'Equipment List &amp; Usage'!$C$115)+IF('Equipment List &amp; Usage'!$F14="yes",'Equipment List &amp; Usage'!$C$114,'Equipment List &amp; Usage'!$C$115)*(('Weekly Summary'!BB$66*'Equipment List &amp; Usage'!$Q15)+('Weekly Summary'!BB$64*'Equipment List &amp; Usage'!$O15)+('Weekly Summary'!BB$65*'Equipment List &amp; Usage'!$P15)))+(IF('Equipment List &amp; Usage'!$F15="Yes",'Equipment List &amp; Usage'!$C$114*((('Weekly Summary'!BB$131*SelfQuarantine_Mild)+('Weekly Summary'!BB$100*SelfQuarantine_Mild)+('Weekly Summary'!BB$101*SelfQuarantine_Moderate))),'Equipment List &amp; Usage'!$C$115)*((('Weekly Summary'!BB$131*SelfQuarantine_Mild*'Equipment List &amp; Usage'!$W15)+('Weekly Summary'!BB$100*SelfQuarantine_Mild*'Equipment List &amp; Usage'!$X15)+('Weekly Summary'!BB$101*SelfQuarantine_Moderate*'Equipment List &amp; Usage'!$X15)))+IF('Equipment List &amp; Usage'!$F15="Yes",'Equipment List &amp; Usage'!$C$114*(IF('Equipment List &amp; Usage'!$AA15&gt;0,'Weekly Summary'!BB$128,0)+IF('Equipment List &amp; Usage'!$AB15&gt;0,'Weekly Summary'!BB$100+'Weekly Summary'!BB$101,0)),'Equipment List &amp; Usage'!$C$115*(('Weekly Summary'!BB$128*'Equipment List &amp; Usage'!$AA15)+('Weekly Summary'!BB$100*'Equipment List &amp; Usage'!$AB15*SelfQuarantine_Mild)+('Weekly Summary'!BB$101*'Equipment List &amp; Usage'!$AB15*SelfQuarantine_Moderate)))+IF('Equipment List &amp; Usage'!$F15="Yes",('Equipment List &amp; Usage'!$C$114*(IF('Equipment List &amp; Usage'!$AE15&gt;0,'Weekly Summary'!BB$134,0)+IF('Equipment List &amp; Usage'!$AF15&gt;0,'Weekly Summary'!BB$135))),'Equipment List &amp; Usage'!$C$115*(('Weekly Summary'!BB$134*'Equipment List &amp; Usage'!$AE15)+('Weekly Summary'!BB$135*'Equipment List &amp; Usage'!$AF15))))-SUM($I13:BG13),
IF($F13="yes",MMULT(--('Equipment List &amp; Usage'!$J15:$N15&gt;0),--('Weekly Summary'!BB$112:BB$116))*'Equipment List &amp; Usage'!$C$114,MMULT(--('Equipment List &amp; Usage'!$J15:$N15),--('Weekly Summary'!BB$112:BB$116))*'Equipment List &amp; Usage'!$C$115)+IF('Equipment List &amp; Usage'!$F14="yes",'Equipment List &amp; Usage'!$C$114,'Equipment List &amp; Usage'!$C$115)*(('Weekly Summary'!BB$66*'Equipment List &amp; Usage'!$Q15)+('Weekly Summary'!BB$64*'Equipment List &amp; Usage'!$O15)+('Weekly Summary'!BB$65*'Equipment List &amp; Usage'!$P15))+(IF('Equipment List &amp; Usage'!$F15="Yes",'Equipment List &amp; Usage'!$C$114*((('Weekly Summary'!BB$131*SelfQuarantine_Mild)+('Weekly Summary'!BB$100*SelfQuarantine_Mild)+('Weekly Summary'!BB$101*SelfQuarantine_Moderate))),'Equipment List &amp; Usage'!$C$115)*((('Weekly Summary'!BB$131*SelfQuarantine_Mild*'Equipment List &amp; Usage'!$W15)+('Weekly Summary'!BB$100*SelfQuarantine_Mild*'Equipment List &amp; Usage'!$X15)+('Weekly Summary'!BB$101*SelfQuarantine_Moderate*'Equipment List &amp; Usage'!$X15))))+IF('Equipment List &amp; Usage'!$F15="Yes",'Equipment List &amp; Usage'!$C$114*(IF('Equipment List &amp; Usage'!$AA15&gt;0,'Weekly Summary'!BB$128,0)+IF('Equipment List &amp; Usage'!$AB15&gt;0,'Weekly Summary'!BB$100+'Weekly Summary'!BB$101,0)),'Equipment List &amp; Usage'!$C$115*(('Weekly Summary'!BB$128*'Equipment List &amp; Usage'!$AA15)+('Weekly Summary'!BB$100*'Equipment List &amp; Usage'!$AB15*SelfQuarantine_Mild)+('Weekly Summary'!BB$101*'Equipment List &amp; Usage'!$AB15*SelfQuarantine_Moderate)))+IF('Equipment List &amp; Usage'!$F15="Yes",('Equipment List &amp; Usage'!$C$114*(IF('Equipment List &amp; Usage'!$AE15&gt;0,'Weekly Summary'!BB$134,0)+IF('Equipment List &amp; Usage'!$AF15&gt;0,'Weekly Summary'!BB$135))),'Equipment List &amp; Usage'!$C$115*(('Weekly Summary'!BB$134*'Equipment List &amp; Usage'!$AE15)+('Weekly Summary'!BB$135*'Equipment List &amp; Usage'!$AF15)))),0)</f>
        <v>0</v>
      </c>
      <c r="BI13" s="1375">
        <f ca="1">MAX(IF($F13="Yes",(
IF($F13="yes",MMULT(--('Equipment List &amp; Usage'!$J15:$N15&gt;0),--('Weekly Summary'!BC$112:BC$116))*'Equipment List &amp; Usage'!$C$114,MMULT(--('Equipment List &amp; Usage'!$J15:$N15),--('Weekly Summary'!BC$112:BC$116))*'Equipment List &amp; Usage'!$C$115)+IF('Equipment List &amp; Usage'!$F14="yes",'Equipment List &amp; Usage'!$C$114,'Equipment List &amp; Usage'!$C$115)*(('Weekly Summary'!BC$66*'Equipment List &amp; Usage'!$Q15)+('Weekly Summary'!BC$64*'Equipment List &amp; Usage'!$O15)+('Weekly Summary'!BC$65*'Equipment List &amp; Usage'!$P15)))+(IF('Equipment List &amp; Usage'!$F15="Yes",'Equipment List &amp; Usage'!$C$114*((('Weekly Summary'!BC$131*SelfQuarantine_Mild)+('Weekly Summary'!BC$100*SelfQuarantine_Mild)+('Weekly Summary'!BC$101*SelfQuarantine_Moderate))),'Equipment List &amp; Usage'!$C$115)*((('Weekly Summary'!BC$131*SelfQuarantine_Mild*'Equipment List &amp; Usage'!$W15)+('Weekly Summary'!BC$100*SelfQuarantine_Mild*'Equipment List &amp; Usage'!$X15)+('Weekly Summary'!BC$101*SelfQuarantine_Moderate*'Equipment List &amp; Usage'!$X15)))+IF('Equipment List &amp; Usage'!$F15="Yes",'Equipment List &amp; Usage'!$C$114*(IF('Equipment List &amp; Usage'!$AA15&gt;0,'Weekly Summary'!BC$128,0)+IF('Equipment List &amp; Usage'!$AB15&gt;0,'Weekly Summary'!BC$100+'Weekly Summary'!BC$101,0)),'Equipment List &amp; Usage'!$C$115*(('Weekly Summary'!BC$128*'Equipment List &amp; Usage'!$AA15)+('Weekly Summary'!BC$100*'Equipment List &amp; Usage'!$AB15*SelfQuarantine_Mild)+('Weekly Summary'!BC$101*'Equipment List &amp; Usage'!$AB15*SelfQuarantine_Moderate)))+IF('Equipment List &amp; Usage'!$F15="Yes",('Equipment List &amp; Usage'!$C$114*(IF('Equipment List &amp; Usage'!$AE15&gt;0,'Weekly Summary'!BC$134,0)+IF('Equipment List &amp; Usage'!$AF15&gt;0,'Weekly Summary'!BC$135))),'Equipment List &amp; Usage'!$C$115*(('Weekly Summary'!BC$134*'Equipment List &amp; Usage'!$AE15)+('Weekly Summary'!BC$135*'Equipment List &amp; Usage'!$AF15))))-SUM($I13:BH13),
IF($F13="yes",MMULT(--('Equipment List &amp; Usage'!$J15:$N15&gt;0),--('Weekly Summary'!BC$112:BC$116))*'Equipment List &amp; Usage'!$C$114,MMULT(--('Equipment List &amp; Usage'!$J15:$N15),--('Weekly Summary'!BC$112:BC$116))*'Equipment List &amp; Usage'!$C$115)+IF('Equipment List &amp; Usage'!$F14="yes",'Equipment List &amp; Usage'!$C$114,'Equipment List &amp; Usage'!$C$115)*(('Weekly Summary'!BC$66*'Equipment List &amp; Usage'!$Q15)+('Weekly Summary'!BC$64*'Equipment List &amp; Usage'!$O15)+('Weekly Summary'!BC$65*'Equipment List &amp; Usage'!$P15))+(IF('Equipment List &amp; Usage'!$F15="Yes",'Equipment List &amp; Usage'!$C$114*((('Weekly Summary'!BC$131*SelfQuarantine_Mild)+('Weekly Summary'!BC$100*SelfQuarantine_Mild)+('Weekly Summary'!BC$101*SelfQuarantine_Moderate))),'Equipment List &amp; Usage'!$C$115)*((('Weekly Summary'!BC$131*SelfQuarantine_Mild*'Equipment List &amp; Usage'!$W15)+('Weekly Summary'!BC$100*SelfQuarantine_Mild*'Equipment List &amp; Usage'!$X15)+('Weekly Summary'!BC$101*SelfQuarantine_Moderate*'Equipment List &amp; Usage'!$X15))))+IF('Equipment List &amp; Usage'!$F15="Yes",'Equipment List &amp; Usage'!$C$114*(IF('Equipment List &amp; Usage'!$AA15&gt;0,'Weekly Summary'!BC$128,0)+IF('Equipment List &amp; Usage'!$AB15&gt;0,'Weekly Summary'!BC$100+'Weekly Summary'!BC$101,0)),'Equipment List &amp; Usage'!$C$115*(('Weekly Summary'!BC$128*'Equipment List &amp; Usage'!$AA15)+('Weekly Summary'!BC$100*'Equipment List &amp; Usage'!$AB15*SelfQuarantine_Mild)+('Weekly Summary'!BC$101*'Equipment List &amp; Usage'!$AB15*SelfQuarantine_Moderate)))+IF('Equipment List &amp; Usage'!$F15="Yes",('Equipment List &amp; Usage'!$C$114*(IF('Equipment List &amp; Usage'!$AE15&gt;0,'Weekly Summary'!BC$134,0)+IF('Equipment List &amp; Usage'!$AF15&gt;0,'Weekly Summary'!BC$135))),'Equipment List &amp; Usage'!$C$115*(('Weekly Summary'!BC$134*'Equipment List &amp; Usage'!$AE15)+('Weekly Summary'!BC$135*'Equipment List &amp; Usage'!$AF15)))),0)</f>
        <v>0</v>
      </c>
      <c r="BJ13" s="1376">
        <f ca="1">MAX(IF($F13="Yes",(
IF($F13="yes",MMULT(--('Equipment List &amp; Usage'!$J15:$N15&gt;0),--('Weekly Summary'!BD$112:BD$116))*'Equipment List &amp; Usage'!$C$114,MMULT(--('Equipment List &amp; Usage'!$J15:$N15),--('Weekly Summary'!BD$112:BD$116))*'Equipment List &amp; Usage'!$C$115)+IF('Equipment List &amp; Usage'!$F14="yes",'Equipment List &amp; Usage'!$C$114,'Equipment List &amp; Usage'!$C$115)*(('Weekly Summary'!BD$66*'Equipment List &amp; Usage'!$Q15)+('Weekly Summary'!BD$64*'Equipment List &amp; Usage'!$O15)+('Weekly Summary'!BD$65*'Equipment List &amp; Usage'!$P15)))+(IF('Equipment List &amp; Usage'!$F15="Yes",'Equipment List &amp; Usage'!$C$114*((('Weekly Summary'!BD$131*SelfQuarantine_Mild)+('Weekly Summary'!BD$100*SelfQuarantine_Mild)+('Weekly Summary'!BD$101*SelfQuarantine_Moderate))),'Equipment List &amp; Usage'!$C$115)*((('Weekly Summary'!BD$131*SelfQuarantine_Mild*'Equipment List &amp; Usage'!$W15)+('Weekly Summary'!BD$100*SelfQuarantine_Mild*'Equipment List &amp; Usage'!$X15)+('Weekly Summary'!BD$101*SelfQuarantine_Moderate*'Equipment List &amp; Usage'!$X15)))+IF('Equipment List &amp; Usage'!$F15="Yes",'Equipment List &amp; Usage'!$C$114*(IF('Equipment List &amp; Usage'!$AA15&gt;0,'Weekly Summary'!BD$128,0)+IF('Equipment List &amp; Usage'!$AB15&gt;0,'Weekly Summary'!BD$100+'Weekly Summary'!BD$101,0)),'Equipment List &amp; Usage'!$C$115*(('Weekly Summary'!BD$128*'Equipment List &amp; Usage'!$AA15)+('Weekly Summary'!BD$100*'Equipment List &amp; Usage'!$AB15*SelfQuarantine_Mild)+('Weekly Summary'!BD$101*'Equipment List &amp; Usage'!$AB15*SelfQuarantine_Moderate)))+IF('Equipment List &amp; Usage'!$F15="Yes",('Equipment List &amp; Usage'!$C$114*(IF('Equipment List &amp; Usage'!$AE15&gt;0,'Weekly Summary'!BD$134,0)+IF('Equipment List &amp; Usage'!$AF15&gt;0,'Weekly Summary'!BD$135))),'Equipment List &amp; Usage'!$C$115*(('Weekly Summary'!BD$134*'Equipment List &amp; Usage'!$AE15)+('Weekly Summary'!BD$135*'Equipment List &amp; Usage'!$AF15))))-SUM($I13:BI13),
IF($F13="yes",MMULT(--('Equipment List &amp; Usage'!$J15:$N15&gt;0),--('Weekly Summary'!BD$112:BD$116))*'Equipment List &amp; Usage'!$C$114,MMULT(--('Equipment List &amp; Usage'!$J15:$N15),--('Weekly Summary'!BD$112:BD$116))*'Equipment List &amp; Usage'!$C$115)+IF('Equipment List &amp; Usage'!$F14="yes",'Equipment List &amp; Usage'!$C$114,'Equipment List &amp; Usage'!$C$115)*(('Weekly Summary'!BD$66*'Equipment List &amp; Usage'!$Q15)+('Weekly Summary'!BD$64*'Equipment List &amp; Usage'!$O15)+('Weekly Summary'!BD$65*'Equipment List &amp; Usage'!$P15))+(IF('Equipment List &amp; Usage'!$F15="Yes",'Equipment List &amp; Usage'!$C$114*((('Weekly Summary'!BD$131*SelfQuarantine_Mild)+('Weekly Summary'!BD$100*SelfQuarantine_Mild)+('Weekly Summary'!BD$101*SelfQuarantine_Moderate))),'Equipment List &amp; Usage'!$C$115)*((('Weekly Summary'!BD$131*SelfQuarantine_Mild*'Equipment List &amp; Usage'!$W15)+('Weekly Summary'!BD$100*SelfQuarantine_Mild*'Equipment List &amp; Usage'!$X15)+('Weekly Summary'!BD$101*SelfQuarantine_Moderate*'Equipment List &amp; Usage'!$X15))))+IF('Equipment List &amp; Usage'!$F15="Yes",'Equipment List &amp; Usage'!$C$114*(IF('Equipment List &amp; Usage'!$AA15&gt;0,'Weekly Summary'!BD$128,0)+IF('Equipment List &amp; Usage'!$AB15&gt;0,'Weekly Summary'!BD$100+'Weekly Summary'!BD$101,0)),'Equipment List &amp; Usage'!$C$115*(('Weekly Summary'!BD$128*'Equipment List &amp; Usage'!$AA15)+('Weekly Summary'!BD$100*'Equipment List &amp; Usage'!$AB15*SelfQuarantine_Mild)+('Weekly Summary'!BD$101*'Equipment List &amp; Usage'!$AB15*SelfQuarantine_Moderate)))+IF('Equipment List &amp; Usage'!$F15="Yes",('Equipment List &amp; Usage'!$C$114*(IF('Equipment List &amp; Usage'!$AE15&gt;0,'Weekly Summary'!BD$134,0)+IF('Equipment List &amp; Usage'!$AF15&gt;0,'Weekly Summary'!BD$135))),'Equipment List &amp; Usage'!$C$115*(('Weekly Summary'!BD$134*'Equipment List &amp; Usage'!$AE15)+('Weekly Summary'!BD$135*'Equipment List &amp; Usage'!$AF15)))),0)</f>
        <v>0</v>
      </c>
    </row>
    <row r="14" spans="1:62" x14ac:dyDescent="0.35">
      <c r="B14" s="949" t="str">
        <f>'Equipment List &amp; Usage'!B16</f>
        <v>IPC</v>
      </c>
      <c r="C14" s="948" t="str">
        <f>'Equipment List &amp; Usage'!C16</f>
        <v>Hygiene</v>
      </c>
      <c r="D14" s="948" t="str">
        <f>'Equipment List &amp; Usage'!D16</f>
        <v>Alcohol-based hand rub</v>
      </c>
      <c r="E14" s="948" t="str">
        <f>'Equipment List &amp; Usage'!E16</f>
        <v>Lt</v>
      </c>
      <c r="F14" s="948" t="str">
        <f>'Equipment List &amp; Usage'!F16</f>
        <v>No</v>
      </c>
      <c r="G14" s="948" t="str">
        <f>'Equipment List &amp; Usage'!G16</f>
        <v>N/A</v>
      </c>
      <c r="H14" s="1365">
        <f t="shared" ref="H14:H46" ca="1" si="2">SUM(K14:BJ14)</f>
        <v>1024.0724805495404</v>
      </c>
      <c r="J14" s="1357"/>
      <c r="K14" s="1374">
        <f ca="1">IF('User Dashboard'!$H$13=1,0,IF($F14="Yes",(
IF($F14="yes",MMULT(--('Equipment List &amp; Usage'!$J16:$N16&gt;0),--('Weekly Summary'!E$112:E$116))*'Equipment List &amp; Usage'!$C$114,MMULT(--('Equipment List &amp; Usage'!$J16:$N16),--('Weekly Summary'!E$112:E$116))*'Equipment List &amp; Usage'!$C$115)+IF('Equipment List &amp; Usage'!$F15="yes",'Equipment List &amp; Usage'!$C$114,'Equipment List &amp; Usage'!$C$115)*(('Weekly Summary'!E$66*'Equipment List &amp; Usage'!$Q16)+('Weekly Summary'!E$64*'Equipment List &amp; Usage'!$O16)+('Weekly Summary'!E$65*'Equipment List &amp; Usage'!$P16)))+(IF('Equipment List &amp; Usage'!$F16="Yes",'Equipment List &amp; Usage'!$C$114*((('Weekly Summary'!E$131*SelfQuarantine_Mild)+('Weekly Summary'!E$100*SelfQuarantine_Mild)+('Weekly Summary'!E$101*SelfQuarantine_Moderate))),'Equipment List &amp; Usage'!$C$115)*((('Weekly Summary'!E$131*SelfQuarantine_Mild*'Equipment List &amp; Usage'!$W16)+('Weekly Summary'!E$100*SelfQuarantine_Mild*'Equipment List &amp; Usage'!$X16)+('Weekly Summary'!E$101*SelfQuarantine_Moderate*'Equipment List &amp; Usage'!$X16)))+IF('Equipment List &amp; Usage'!$F16="Yes",'Equipment List &amp; Usage'!$C$114*(IF('Equipment List &amp; Usage'!$AA16&gt;0,'Weekly Summary'!E$128,0)+IF('Equipment List &amp; Usage'!$AB16&gt;0,'Weekly Summary'!E$100+'Weekly Summary'!E$101,0)),'Equipment List &amp; Usage'!$C$115*(('Weekly Summary'!E$128*'Equipment List &amp; Usage'!$AA16)+('Weekly Summary'!E$100*'Equipment List &amp; Usage'!$AB16*SelfQuarantine_Mild)+('Weekly Summary'!E$101*'Equipment List &amp; Usage'!$AB16*SelfQuarantine_Moderate)))+IF('Equipment List &amp; Usage'!$F16="Yes",('Equipment List &amp; Usage'!$C$114*(IF('Equipment List &amp; Usage'!$AE16&gt;0,'Weekly Summary'!E$134,0)+IF('Equipment List &amp; Usage'!$AF16&gt;0,'Weekly Summary'!E$135))),'Equipment List &amp; Usage'!$C$115*(('Weekly Summary'!E$134*'Equipment List &amp; Usage'!$AE16)+('Weekly Summary'!E$135*'Equipment List &amp; Usage'!$AF16)))),
IF($F14="yes",MMULT(--('Equipment List &amp; Usage'!$J16:$N16&gt;0),--('Weekly Summary'!E$112:E$116))*'Equipment List &amp; Usage'!$C$114,MMULT(--('Equipment List &amp; Usage'!$J16:$N16),--('Weekly Summary'!E$112:E$116))*'Equipment List &amp; Usage'!$C$115)+IF('Equipment List &amp; Usage'!$F15="yes",'Equipment List &amp; Usage'!$C$114,'Equipment List &amp; Usage'!$C$115)*(('Weekly Summary'!E$66*'Equipment List &amp; Usage'!$Q16)+('Weekly Summary'!E$64*'Equipment List &amp; Usage'!$O16)+('Weekly Summary'!E$65*'Equipment List &amp; Usage'!$P16))+(IF('Equipment List &amp; Usage'!$F16="Yes",'Equipment List &amp; Usage'!$C$114*((('Weekly Summary'!E$131*SelfQuarantine_Mild)+('Weekly Summary'!E$100*SelfQuarantine_Mild)+('Weekly Summary'!E$101*SelfQuarantine_Moderate))),'Equipment List &amp; Usage'!$C$115)*((('Weekly Summary'!E$131*SelfQuarantine_Mild*'Equipment List &amp; Usage'!$W16)+('Weekly Summary'!E$100*SelfQuarantine_Mild*'Equipment List &amp; Usage'!$X16)+('Weekly Summary'!E$101*SelfQuarantine_Moderate*'Equipment List &amp; Usage'!$X16))))+IF('Equipment List &amp; Usage'!$F16="Yes",'Equipment List &amp; Usage'!$C$114*(IF('Equipment List &amp; Usage'!$AA16&gt;0,'Weekly Summary'!E$128,0)+IF('Equipment List &amp; Usage'!$AB16&gt;0,'Weekly Summary'!E$100+'Weekly Summary'!E$101,0)),'Equipment List &amp; Usage'!$C$115*(('Weekly Summary'!E$128*'Equipment List &amp; Usage'!$AA16)+('Weekly Summary'!E$100*'Equipment List &amp; Usage'!$AB16*SelfQuarantine_Mild)+('Weekly Summary'!E$101*'Equipment List &amp; Usage'!$AB16*SelfQuarantine_Moderate)))+IF('Equipment List &amp; Usage'!$F16="Yes",('Equipment List &amp; Usage'!$C$114*(IF('Equipment List &amp; Usage'!$AE16&gt;0,'Weekly Summary'!E$134,0)+IF('Equipment List &amp; Usage'!$AF16&gt;0,'Weekly Summary'!E$135))),'Equipment List &amp; Usage'!$C$115*(('Weekly Summary'!E$134*'Equipment List &amp; Usage'!$AE16)+('Weekly Summary'!E$135*'Equipment List &amp; Usage'!$AF16)))))</f>
        <v>89.553915803736416</v>
      </c>
      <c r="L14" s="1374">
        <f ca="1">MAX(IF($F14="Yes",(
IF($F14="yes",MMULT(--('Equipment List &amp; Usage'!$J16:$N16&gt;0),--('Weekly Summary'!F$112:F$116))*'Equipment List &amp; Usage'!$C$114,MMULT(--('Equipment List &amp; Usage'!$J16:$N16),--('Weekly Summary'!F$112:F$116))*'Equipment List &amp; Usage'!$C$115)+IF('Equipment List &amp; Usage'!$F15="yes",'Equipment List &amp; Usage'!$C$114,'Equipment List &amp; Usage'!$C$115)*(('Weekly Summary'!F$66*'Equipment List &amp; Usage'!$Q16)+('Weekly Summary'!F$64*'Equipment List &amp; Usage'!$O16)+('Weekly Summary'!F$65*'Equipment List &amp; Usage'!$P16)))+(IF('Equipment List &amp; Usage'!$F16="Yes",'Equipment List &amp; Usage'!$C$114*((('Weekly Summary'!F$131*SelfQuarantine_Mild)+('Weekly Summary'!F$100*SelfQuarantine_Mild)+('Weekly Summary'!F$101*SelfQuarantine_Moderate))),'Equipment List &amp; Usage'!$C$115)*((('Weekly Summary'!F$131*SelfQuarantine_Mild*'Equipment List &amp; Usage'!$W16)+('Weekly Summary'!F$100*SelfQuarantine_Mild*'Equipment List &amp; Usage'!$X16)+('Weekly Summary'!F$101*SelfQuarantine_Moderate*'Equipment List &amp; Usage'!$X16)))+IF('Equipment List &amp; Usage'!$F16="Yes",'Equipment List &amp; Usage'!$C$114*(IF('Equipment List &amp; Usage'!$AA16&gt;0,'Weekly Summary'!F$128,0)+IF('Equipment List &amp; Usage'!$AB16&gt;0,'Weekly Summary'!F$100+'Weekly Summary'!F$101,0)),'Equipment List &amp; Usage'!$C$115*(('Weekly Summary'!F$128*'Equipment List &amp; Usage'!$AA16)+('Weekly Summary'!F$100*'Equipment List &amp; Usage'!$AB16*SelfQuarantine_Mild)+('Weekly Summary'!F$101*'Equipment List &amp; Usage'!$AB16*SelfQuarantine_Moderate)))+IF('Equipment List &amp; Usage'!$F16="Yes",('Equipment List &amp; Usage'!$C$114*(IF('Equipment List &amp; Usage'!$AE16&gt;0,'Weekly Summary'!F$134,0)+IF('Equipment List &amp; Usage'!$AF16&gt;0,'Weekly Summary'!F$135))),'Equipment List &amp; Usage'!$C$115*(('Weekly Summary'!F$134*'Equipment List &amp; Usage'!$AE16)+('Weekly Summary'!F$135*'Equipment List &amp; Usage'!$AF16))))-SUM($I14:K14),
IF($F14="yes",MMULT(--('Equipment List &amp; Usage'!$J16:$N16&gt;0),--('Weekly Summary'!F$112:F$116))*'Equipment List &amp; Usage'!$C$114,MMULT(--('Equipment List &amp; Usage'!$J16:$N16),--('Weekly Summary'!F$112:F$116))*'Equipment List &amp; Usage'!$C$115)+IF('Equipment List &amp; Usage'!$F15="yes",'Equipment List &amp; Usage'!$C$114,'Equipment List &amp; Usage'!$C$115)*(('Weekly Summary'!F$66*'Equipment List &amp; Usage'!$Q16)+('Weekly Summary'!F$64*'Equipment List &amp; Usage'!$O16)+('Weekly Summary'!F$65*'Equipment List &amp; Usage'!$P16))+(IF('Equipment List &amp; Usage'!$F16="Yes",'Equipment List &amp; Usage'!$C$114*((('Weekly Summary'!F$131*SelfQuarantine_Mild)+('Weekly Summary'!F$100*SelfQuarantine_Mild)+('Weekly Summary'!F$101*SelfQuarantine_Moderate))),'Equipment List &amp; Usage'!$C$115)*((('Weekly Summary'!F$131*SelfQuarantine_Mild*'Equipment List &amp; Usage'!$W16)+('Weekly Summary'!F$100*SelfQuarantine_Mild*'Equipment List &amp; Usage'!$X16)+('Weekly Summary'!F$101*SelfQuarantine_Moderate*'Equipment List &amp; Usage'!$X16))))+IF('Equipment List &amp; Usage'!$F16="Yes",'Equipment List &amp; Usage'!$C$114*(IF('Equipment List &amp; Usage'!$AA16&gt;0,'Weekly Summary'!F$128,0)+IF('Equipment List &amp; Usage'!$AB16&gt;0,'Weekly Summary'!F$100+'Weekly Summary'!F$101,0)),'Equipment List &amp; Usage'!$C$115*(('Weekly Summary'!F$128*'Equipment List &amp; Usage'!$AA16)+('Weekly Summary'!F$100*'Equipment List &amp; Usage'!$AB16*SelfQuarantine_Mild)+('Weekly Summary'!F$101*'Equipment List &amp; Usage'!$AB16*SelfQuarantine_Moderate)))+IF('Equipment List &amp; Usage'!$F16="Yes",('Equipment List &amp; Usage'!$C$114*(IF('Equipment List &amp; Usage'!$AE16&gt;0,'Weekly Summary'!F$134,0)+IF('Equipment List &amp; Usage'!$AF16&gt;0,'Weekly Summary'!F$135))),'Equipment List &amp; Usage'!$C$115*(('Weekly Summary'!F$134*'Equipment List &amp; Usage'!$AE16)+('Weekly Summary'!F$135*'Equipment List &amp; Usage'!$AF16)))),0)</f>
        <v>91.298473144599839</v>
      </c>
      <c r="M14" s="1374">
        <f ca="1">MAX(IF($F14="Yes",(
IF($F14="yes",MMULT(--('Equipment List &amp; Usage'!$J16:$N16&gt;0),--('Weekly Summary'!G$112:G$116))*'Equipment List &amp; Usage'!$C$114,MMULT(--('Equipment List &amp; Usage'!$J16:$N16),--('Weekly Summary'!G$112:G$116))*'Equipment List &amp; Usage'!$C$115)+IF('Equipment List &amp; Usage'!$F15="yes",'Equipment List &amp; Usage'!$C$114,'Equipment List &amp; Usage'!$C$115)*(('Weekly Summary'!G$66*'Equipment List &amp; Usage'!$Q16)+('Weekly Summary'!G$64*'Equipment List &amp; Usage'!$O16)+('Weekly Summary'!G$65*'Equipment List &amp; Usage'!$P16)))+(IF('Equipment List &amp; Usage'!$F16="Yes",'Equipment List &amp; Usage'!$C$114*((('Weekly Summary'!G$131*SelfQuarantine_Mild)+('Weekly Summary'!G$100*SelfQuarantine_Mild)+('Weekly Summary'!G$101*SelfQuarantine_Moderate))),'Equipment List &amp; Usage'!$C$115)*((('Weekly Summary'!G$131*SelfQuarantine_Mild*'Equipment List &amp; Usage'!$W16)+('Weekly Summary'!G$100*SelfQuarantine_Mild*'Equipment List &amp; Usage'!$X16)+('Weekly Summary'!G$101*SelfQuarantine_Moderate*'Equipment List &amp; Usage'!$X16)))+IF('Equipment List &amp; Usage'!$F16="Yes",'Equipment List &amp; Usage'!$C$114*(IF('Equipment List &amp; Usage'!$AA16&gt;0,'Weekly Summary'!G$128,0)+IF('Equipment List &amp; Usage'!$AB16&gt;0,'Weekly Summary'!G$100+'Weekly Summary'!G$101,0)),'Equipment List &amp; Usage'!$C$115*(('Weekly Summary'!G$128*'Equipment List &amp; Usage'!$AA16)+('Weekly Summary'!G$100*'Equipment List &amp; Usage'!$AB16*SelfQuarantine_Mild)+('Weekly Summary'!G$101*'Equipment List &amp; Usage'!$AB16*SelfQuarantine_Moderate)))+IF('Equipment List &amp; Usage'!$F16="Yes",('Equipment List &amp; Usage'!$C$114*(IF('Equipment List &amp; Usage'!$AE16&gt;0,'Weekly Summary'!G$134,0)+IF('Equipment List &amp; Usage'!$AF16&gt;0,'Weekly Summary'!G$135))),'Equipment List &amp; Usage'!$C$115*(('Weekly Summary'!G$134*'Equipment List &amp; Usage'!$AE16)+('Weekly Summary'!G$135*'Equipment List &amp; Usage'!$AF16))))-SUM($I14:L14),
IF($F14="yes",MMULT(--('Equipment List &amp; Usage'!$J16:$N16&gt;0),--('Weekly Summary'!G$112:G$116))*'Equipment List &amp; Usage'!$C$114,MMULT(--('Equipment List &amp; Usage'!$J16:$N16),--('Weekly Summary'!G$112:G$116))*'Equipment List &amp; Usage'!$C$115)+IF('Equipment List &amp; Usage'!$F15="yes",'Equipment List &amp; Usage'!$C$114,'Equipment List &amp; Usage'!$C$115)*(('Weekly Summary'!G$66*'Equipment List &amp; Usage'!$Q16)+('Weekly Summary'!G$64*'Equipment List &amp; Usage'!$O16)+('Weekly Summary'!G$65*'Equipment List &amp; Usage'!$P16))+(IF('Equipment List &amp; Usage'!$F16="Yes",'Equipment List &amp; Usage'!$C$114*((('Weekly Summary'!G$131*SelfQuarantine_Mild)+('Weekly Summary'!G$100*SelfQuarantine_Mild)+('Weekly Summary'!G$101*SelfQuarantine_Moderate))),'Equipment List &amp; Usage'!$C$115)*((('Weekly Summary'!G$131*SelfQuarantine_Mild*'Equipment List &amp; Usage'!$W16)+('Weekly Summary'!G$100*SelfQuarantine_Mild*'Equipment List &amp; Usage'!$X16)+('Weekly Summary'!G$101*SelfQuarantine_Moderate*'Equipment List &amp; Usage'!$X16))))+IF('Equipment List &amp; Usage'!$F16="Yes",'Equipment List &amp; Usage'!$C$114*(IF('Equipment List &amp; Usage'!$AA16&gt;0,'Weekly Summary'!G$128,0)+IF('Equipment List &amp; Usage'!$AB16&gt;0,'Weekly Summary'!G$100+'Weekly Summary'!G$101,0)),'Equipment List &amp; Usage'!$C$115*(('Weekly Summary'!G$128*'Equipment List &amp; Usage'!$AA16)+('Weekly Summary'!G$100*'Equipment List &amp; Usage'!$AB16*SelfQuarantine_Mild)+('Weekly Summary'!G$101*'Equipment List &amp; Usage'!$AB16*SelfQuarantine_Moderate)))+IF('Equipment List &amp; Usage'!$F16="Yes",('Equipment List &amp; Usage'!$C$114*(IF('Equipment List &amp; Usage'!$AE16&gt;0,'Weekly Summary'!G$134,0)+IF('Equipment List &amp; Usage'!$AF16&gt;0,'Weekly Summary'!G$135))),'Equipment List &amp; Usage'!$C$115*(('Weekly Summary'!G$134*'Equipment List &amp; Usage'!$AE16)+('Weekly Summary'!G$135*'Equipment List &amp; Usage'!$AF16)))),0)</f>
        <v>97.312850169044864</v>
      </c>
      <c r="N14" s="1374">
        <f ca="1">MAX(IF($F14="Yes",(
IF($F14="yes",MMULT(--('Equipment List &amp; Usage'!$J16:$N16&gt;0),--('Weekly Summary'!H$112:H$116))*'Equipment List &amp; Usage'!$C$114,MMULT(--('Equipment List &amp; Usage'!$J16:$N16),--('Weekly Summary'!H$112:H$116))*'Equipment List &amp; Usage'!$C$115)+IF('Equipment List &amp; Usage'!$F15="yes",'Equipment List &amp; Usage'!$C$114,'Equipment List &amp; Usage'!$C$115)*(('Weekly Summary'!H$66*'Equipment List &amp; Usage'!$Q16)+('Weekly Summary'!H$64*'Equipment List &amp; Usage'!$O16)+('Weekly Summary'!H$65*'Equipment List &amp; Usage'!$P16)))+(IF('Equipment List &amp; Usage'!$F16="Yes",'Equipment List &amp; Usage'!$C$114*((('Weekly Summary'!H$131*SelfQuarantine_Mild)+('Weekly Summary'!H$100*SelfQuarantine_Mild)+('Weekly Summary'!H$101*SelfQuarantine_Moderate))),'Equipment List &amp; Usage'!$C$115)*((('Weekly Summary'!H$131*SelfQuarantine_Mild*'Equipment List &amp; Usage'!$W16)+('Weekly Summary'!H$100*SelfQuarantine_Mild*'Equipment List &amp; Usage'!$X16)+('Weekly Summary'!H$101*SelfQuarantine_Moderate*'Equipment List &amp; Usage'!$X16)))+IF('Equipment List &amp; Usage'!$F16="Yes",'Equipment List &amp; Usage'!$C$114*(IF('Equipment List &amp; Usage'!$AA16&gt;0,'Weekly Summary'!H$128,0)+IF('Equipment List &amp; Usage'!$AB16&gt;0,'Weekly Summary'!H$100+'Weekly Summary'!H$101,0)),'Equipment List &amp; Usage'!$C$115*(('Weekly Summary'!H$128*'Equipment List &amp; Usage'!$AA16)+('Weekly Summary'!H$100*'Equipment List &amp; Usage'!$AB16*SelfQuarantine_Mild)+('Weekly Summary'!H$101*'Equipment List &amp; Usage'!$AB16*SelfQuarantine_Moderate)))+IF('Equipment List &amp; Usage'!$F16="Yes",('Equipment List &amp; Usage'!$C$114*(IF('Equipment List &amp; Usage'!$AE16&gt;0,'Weekly Summary'!H$134,0)+IF('Equipment List &amp; Usage'!$AF16&gt;0,'Weekly Summary'!H$135))),'Equipment List &amp; Usage'!$C$115*(('Weekly Summary'!H$134*'Equipment List &amp; Usage'!$AE16)+('Weekly Summary'!H$135*'Equipment List &amp; Usage'!$AF16))))-SUM($I14:M14),
IF($F14="yes",MMULT(--('Equipment List &amp; Usage'!$J16:$N16&gt;0),--('Weekly Summary'!H$112:H$116))*'Equipment List &amp; Usage'!$C$114,MMULT(--('Equipment List &amp; Usage'!$J16:$N16),--('Weekly Summary'!H$112:H$116))*'Equipment List &amp; Usage'!$C$115)+IF('Equipment List &amp; Usage'!$F15="yes",'Equipment List &amp; Usage'!$C$114,'Equipment List &amp; Usage'!$C$115)*(('Weekly Summary'!H$66*'Equipment List &amp; Usage'!$Q16)+('Weekly Summary'!H$64*'Equipment List &amp; Usage'!$O16)+('Weekly Summary'!H$65*'Equipment List &amp; Usage'!$P16))+(IF('Equipment List &amp; Usage'!$F16="Yes",'Equipment List &amp; Usage'!$C$114*((('Weekly Summary'!H$131*SelfQuarantine_Mild)+('Weekly Summary'!H$100*SelfQuarantine_Mild)+('Weekly Summary'!H$101*SelfQuarantine_Moderate))),'Equipment List &amp; Usage'!$C$115)*((('Weekly Summary'!H$131*SelfQuarantine_Mild*'Equipment List &amp; Usage'!$W16)+('Weekly Summary'!H$100*SelfQuarantine_Mild*'Equipment List &amp; Usage'!$X16)+('Weekly Summary'!H$101*SelfQuarantine_Moderate*'Equipment List &amp; Usage'!$X16))))+IF('Equipment List &amp; Usage'!$F16="Yes",'Equipment List &amp; Usage'!$C$114*(IF('Equipment List &amp; Usage'!$AA16&gt;0,'Weekly Summary'!H$128,0)+IF('Equipment List &amp; Usage'!$AB16&gt;0,'Weekly Summary'!H$100+'Weekly Summary'!H$101,0)),'Equipment List &amp; Usage'!$C$115*(('Weekly Summary'!H$128*'Equipment List &amp; Usage'!$AA16)+('Weekly Summary'!H$100*'Equipment List &amp; Usage'!$AB16*SelfQuarantine_Mild)+('Weekly Summary'!H$101*'Equipment List &amp; Usage'!$AB16*SelfQuarantine_Moderate)))+IF('Equipment List &amp; Usage'!$F16="Yes",('Equipment List &amp; Usage'!$C$114*(IF('Equipment List &amp; Usage'!$AE16&gt;0,'Weekly Summary'!H$134,0)+IF('Equipment List &amp; Usage'!$AF16&gt;0,'Weekly Summary'!H$135))),'Equipment List &amp; Usage'!$C$115*(('Weekly Summary'!H$134*'Equipment List &amp; Usage'!$AE16)+('Weekly Summary'!H$135*'Equipment List &amp; Usage'!$AF16)))),0)</f>
        <v>118.19018220235955</v>
      </c>
      <c r="O14" s="1374">
        <f ca="1">MAX(IF($F14="Yes",(
IF($F14="yes",MMULT(--('Equipment List &amp; Usage'!$J16:$N16&gt;0),--('Weekly Summary'!I$112:I$116))*'Equipment List &amp; Usage'!$C$114,MMULT(--('Equipment List &amp; Usage'!$J16:$N16),--('Weekly Summary'!I$112:I$116))*'Equipment List &amp; Usage'!$C$115)+IF('Equipment List &amp; Usage'!$F15="yes",'Equipment List &amp; Usage'!$C$114,'Equipment List &amp; Usage'!$C$115)*(('Weekly Summary'!I$66*'Equipment List &amp; Usage'!$Q16)+('Weekly Summary'!I$64*'Equipment List &amp; Usage'!$O16)+('Weekly Summary'!I$65*'Equipment List &amp; Usage'!$P16)))+(IF('Equipment List &amp; Usage'!$F16="Yes",'Equipment List &amp; Usage'!$C$114*((('Weekly Summary'!I$131*SelfQuarantine_Mild)+('Weekly Summary'!I$100*SelfQuarantine_Mild)+('Weekly Summary'!I$101*SelfQuarantine_Moderate))),'Equipment List &amp; Usage'!$C$115)*((('Weekly Summary'!I$131*SelfQuarantine_Mild*'Equipment List &amp; Usage'!$W16)+('Weekly Summary'!I$100*SelfQuarantine_Mild*'Equipment List &amp; Usage'!$X16)+('Weekly Summary'!I$101*SelfQuarantine_Moderate*'Equipment List &amp; Usage'!$X16)))+IF('Equipment List &amp; Usage'!$F16="Yes",'Equipment List &amp; Usage'!$C$114*(IF('Equipment List &amp; Usage'!$AA16&gt;0,'Weekly Summary'!I$128,0)+IF('Equipment List &amp; Usage'!$AB16&gt;0,'Weekly Summary'!I$100+'Weekly Summary'!I$101,0)),'Equipment List &amp; Usage'!$C$115*(('Weekly Summary'!I$128*'Equipment List &amp; Usage'!$AA16)+('Weekly Summary'!I$100*'Equipment List &amp; Usage'!$AB16*SelfQuarantine_Mild)+('Weekly Summary'!I$101*'Equipment List &amp; Usage'!$AB16*SelfQuarantine_Moderate)))+IF('Equipment List &amp; Usage'!$F16="Yes",('Equipment List &amp; Usage'!$C$114*(IF('Equipment List &amp; Usage'!$AE16&gt;0,'Weekly Summary'!I$134,0)+IF('Equipment List &amp; Usage'!$AF16&gt;0,'Weekly Summary'!I$135))),'Equipment List &amp; Usage'!$C$115*(('Weekly Summary'!I$134*'Equipment List &amp; Usage'!$AE16)+('Weekly Summary'!I$135*'Equipment List &amp; Usage'!$AF16))))-SUM($I14:N14),
IF($F14="yes",MMULT(--('Equipment List &amp; Usage'!$J16:$N16&gt;0),--('Weekly Summary'!I$112:I$116))*'Equipment List &amp; Usage'!$C$114,MMULT(--('Equipment List &amp; Usage'!$J16:$N16),--('Weekly Summary'!I$112:I$116))*'Equipment List &amp; Usage'!$C$115)+IF('Equipment List &amp; Usage'!$F15="yes",'Equipment List &amp; Usage'!$C$114,'Equipment List &amp; Usage'!$C$115)*(('Weekly Summary'!I$66*'Equipment List &amp; Usage'!$Q16)+('Weekly Summary'!I$64*'Equipment List &amp; Usage'!$O16)+('Weekly Summary'!I$65*'Equipment List &amp; Usage'!$P16))+(IF('Equipment List &amp; Usage'!$F16="Yes",'Equipment List &amp; Usage'!$C$114*((('Weekly Summary'!I$131*SelfQuarantine_Mild)+('Weekly Summary'!I$100*SelfQuarantine_Mild)+('Weekly Summary'!I$101*SelfQuarantine_Moderate))),'Equipment List &amp; Usage'!$C$115)*((('Weekly Summary'!I$131*SelfQuarantine_Mild*'Equipment List &amp; Usage'!$W16)+('Weekly Summary'!I$100*SelfQuarantine_Mild*'Equipment List &amp; Usage'!$X16)+('Weekly Summary'!I$101*SelfQuarantine_Moderate*'Equipment List &amp; Usage'!$X16))))+IF('Equipment List &amp; Usage'!$F16="Yes",'Equipment List &amp; Usage'!$C$114*(IF('Equipment List &amp; Usage'!$AA16&gt;0,'Weekly Summary'!I$128,0)+IF('Equipment List &amp; Usage'!$AB16&gt;0,'Weekly Summary'!I$100+'Weekly Summary'!I$101,0)),'Equipment List &amp; Usage'!$C$115*(('Weekly Summary'!I$128*'Equipment List &amp; Usage'!$AA16)+('Weekly Summary'!I$100*'Equipment List &amp; Usage'!$AB16*SelfQuarantine_Mild)+('Weekly Summary'!I$101*'Equipment List &amp; Usage'!$AB16*SelfQuarantine_Moderate)))+IF('Equipment List &amp; Usage'!$F16="Yes",('Equipment List &amp; Usage'!$C$114*(IF('Equipment List &amp; Usage'!$AE16&gt;0,'Weekly Summary'!I$134,0)+IF('Equipment List &amp; Usage'!$AF16&gt;0,'Weekly Summary'!I$135))),'Equipment List &amp; Usage'!$C$115*(('Weekly Summary'!I$134*'Equipment List &amp; Usage'!$AE16)+('Weekly Summary'!I$135*'Equipment List &amp; Usage'!$AF16)))),0)</f>
        <v>190.24968402622301</v>
      </c>
      <c r="P14" s="1374">
        <f ca="1">MAX(IF($F14="Yes",(
IF($F14="yes",MMULT(--('Equipment List &amp; Usage'!$J16:$N16&gt;0),--('Weekly Summary'!J$112:J$116))*'Equipment List &amp; Usage'!$C$114,MMULT(--('Equipment List &amp; Usage'!$J16:$N16),--('Weekly Summary'!J$112:J$116))*'Equipment List &amp; Usage'!$C$115)+IF('Equipment List &amp; Usage'!$F15="yes",'Equipment List &amp; Usage'!$C$114,'Equipment List &amp; Usage'!$C$115)*(('Weekly Summary'!J$66*'Equipment List &amp; Usage'!$Q16)+('Weekly Summary'!J$64*'Equipment List &amp; Usage'!$O16)+('Weekly Summary'!J$65*'Equipment List &amp; Usage'!$P16)))+(IF('Equipment List &amp; Usage'!$F16="Yes",'Equipment List &amp; Usage'!$C$114*((('Weekly Summary'!J$131*SelfQuarantine_Mild)+('Weekly Summary'!J$100*SelfQuarantine_Mild)+('Weekly Summary'!J$101*SelfQuarantine_Moderate))),'Equipment List &amp; Usage'!$C$115)*((('Weekly Summary'!J$131*SelfQuarantine_Mild*'Equipment List &amp; Usage'!$W16)+('Weekly Summary'!J$100*SelfQuarantine_Mild*'Equipment List &amp; Usage'!$X16)+('Weekly Summary'!J$101*SelfQuarantine_Moderate*'Equipment List &amp; Usage'!$X16)))+IF('Equipment List &amp; Usage'!$F16="Yes",'Equipment List &amp; Usage'!$C$114*(IF('Equipment List &amp; Usage'!$AA16&gt;0,'Weekly Summary'!J$128,0)+IF('Equipment List &amp; Usage'!$AB16&gt;0,'Weekly Summary'!J$100+'Weekly Summary'!J$101,0)),'Equipment List &amp; Usage'!$C$115*(('Weekly Summary'!J$128*'Equipment List &amp; Usage'!$AA16)+('Weekly Summary'!J$100*'Equipment List &amp; Usage'!$AB16*SelfQuarantine_Mild)+('Weekly Summary'!J$101*'Equipment List &amp; Usage'!$AB16*SelfQuarantine_Moderate)))+IF('Equipment List &amp; Usage'!$F16="Yes",('Equipment List &amp; Usage'!$C$114*(IF('Equipment List &amp; Usage'!$AE16&gt;0,'Weekly Summary'!J$134,0)+IF('Equipment List &amp; Usage'!$AF16&gt;0,'Weekly Summary'!J$135))),'Equipment List &amp; Usage'!$C$115*(('Weekly Summary'!J$134*'Equipment List &amp; Usage'!$AE16)+('Weekly Summary'!J$135*'Equipment List &amp; Usage'!$AF16))))-SUM($I14:O14),
IF($F14="yes",MMULT(--('Equipment List &amp; Usage'!$J16:$N16&gt;0),--('Weekly Summary'!J$112:J$116))*'Equipment List &amp; Usage'!$C$114,MMULT(--('Equipment List &amp; Usage'!$J16:$N16),--('Weekly Summary'!J$112:J$116))*'Equipment List &amp; Usage'!$C$115)+IF('Equipment List &amp; Usage'!$F15="yes",'Equipment List &amp; Usage'!$C$114,'Equipment List &amp; Usage'!$C$115)*(('Weekly Summary'!J$66*'Equipment List &amp; Usage'!$Q16)+('Weekly Summary'!J$64*'Equipment List &amp; Usage'!$O16)+('Weekly Summary'!J$65*'Equipment List &amp; Usage'!$P16))+(IF('Equipment List &amp; Usage'!$F16="Yes",'Equipment List &amp; Usage'!$C$114*((('Weekly Summary'!J$131*SelfQuarantine_Mild)+('Weekly Summary'!J$100*SelfQuarantine_Mild)+('Weekly Summary'!J$101*SelfQuarantine_Moderate))),'Equipment List &amp; Usage'!$C$115)*((('Weekly Summary'!J$131*SelfQuarantine_Mild*'Equipment List &amp; Usage'!$W16)+('Weekly Summary'!J$100*SelfQuarantine_Mild*'Equipment List &amp; Usage'!$X16)+('Weekly Summary'!J$101*SelfQuarantine_Moderate*'Equipment List &amp; Usage'!$X16))))+IF('Equipment List &amp; Usage'!$F16="Yes",'Equipment List &amp; Usage'!$C$114*(IF('Equipment List &amp; Usage'!$AA16&gt;0,'Weekly Summary'!J$128,0)+IF('Equipment List &amp; Usage'!$AB16&gt;0,'Weekly Summary'!J$100+'Weekly Summary'!J$101,0)),'Equipment List &amp; Usage'!$C$115*(('Weekly Summary'!J$128*'Equipment List &amp; Usage'!$AA16)+('Weekly Summary'!J$100*'Equipment List &amp; Usage'!$AB16*SelfQuarantine_Mild)+('Weekly Summary'!J$101*'Equipment List &amp; Usage'!$AB16*SelfQuarantine_Moderate)))+IF('Equipment List &amp; Usage'!$F16="Yes",('Equipment List &amp; Usage'!$C$114*(IF('Equipment List &amp; Usage'!$AE16&gt;0,'Weekly Summary'!J$134,0)+IF('Equipment List &amp; Usage'!$AF16&gt;0,'Weekly Summary'!J$135))),'Equipment List &amp; Usage'!$C$115*(('Weekly Summary'!J$134*'Equipment List &amp; Usage'!$AE16)+('Weekly Summary'!J$135*'Equipment List &amp; Usage'!$AF16)))),0)</f>
        <v>437.46737520357669</v>
      </c>
      <c r="Q14" s="1374">
        <f ca="1">MAX(IF($F14="Yes",(
IF($F14="yes",MMULT(--('Equipment List &amp; Usage'!$J16:$N16&gt;0),--('Weekly Summary'!K$112:K$116))*'Equipment List &amp; Usage'!$C$114,MMULT(--('Equipment List &amp; Usage'!$J16:$N16),--('Weekly Summary'!K$112:K$116))*'Equipment List &amp; Usage'!$C$115)+IF('Equipment List &amp; Usage'!$F15="yes",'Equipment List &amp; Usage'!$C$114,'Equipment List &amp; Usage'!$C$115)*(('Weekly Summary'!K$66*'Equipment List &amp; Usage'!$Q16)+('Weekly Summary'!K$64*'Equipment List &amp; Usage'!$O16)+('Weekly Summary'!K$65*'Equipment List &amp; Usage'!$P16)))+(IF('Equipment List &amp; Usage'!$F16="Yes",'Equipment List &amp; Usage'!$C$114*((('Weekly Summary'!K$131*SelfQuarantine_Mild)+('Weekly Summary'!K$100*SelfQuarantine_Mild)+('Weekly Summary'!K$101*SelfQuarantine_Moderate))),'Equipment List &amp; Usage'!$C$115)*((('Weekly Summary'!K$131*SelfQuarantine_Mild*'Equipment List &amp; Usage'!$W16)+('Weekly Summary'!K$100*SelfQuarantine_Mild*'Equipment List &amp; Usage'!$X16)+('Weekly Summary'!K$101*SelfQuarantine_Moderate*'Equipment List &amp; Usage'!$X16)))+IF('Equipment List &amp; Usage'!$F16="Yes",'Equipment List &amp; Usage'!$C$114*(IF('Equipment List &amp; Usage'!$AA16&gt;0,'Weekly Summary'!K$128,0)+IF('Equipment List &amp; Usage'!$AB16&gt;0,'Weekly Summary'!K$100+'Weekly Summary'!K$101,0)),'Equipment List &amp; Usage'!$C$115*(('Weekly Summary'!K$128*'Equipment List &amp; Usage'!$AA16)+('Weekly Summary'!K$100*'Equipment List &amp; Usage'!$AB16*SelfQuarantine_Mild)+('Weekly Summary'!K$101*'Equipment List &amp; Usage'!$AB16*SelfQuarantine_Moderate)))+IF('Equipment List &amp; Usage'!$F16="Yes",('Equipment List &amp; Usage'!$C$114*(IF('Equipment List &amp; Usage'!$AE16&gt;0,'Weekly Summary'!K$134,0)+IF('Equipment List &amp; Usage'!$AF16&gt;0,'Weekly Summary'!K$135))),'Equipment List &amp; Usage'!$C$115*(('Weekly Summary'!K$134*'Equipment List &amp; Usage'!$AE16)+('Weekly Summary'!K$135*'Equipment List &amp; Usage'!$AF16))))-SUM($I14:P14),
IF($F14="yes",MMULT(--('Equipment List &amp; Usage'!$J16:$N16&gt;0),--('Weekly Summary'!K$112:K$116))*'Equipment List &amp; Usage'!$C$114,MMULT(--('Equipment List &amp; Usage'!$J16:$N16),--('Weekly Summary'!K$112:K$116))*'Equipment List &amp; Usage'!$C$115)+IF('Equipment List &amp; Usage'!$F15="yes",'Equipment List &amp; Usage'!$C$114,'Equipment List &amp; Usage'!$C$115)*(('Weekly Summary'!K$66*'Equipment List &amp; Usage'!$Q16)+('Weekly Summary'!K$64*'Equipment List &amp; Usage'!$O16)+('Weekly Summary'!K$65*'Equipment List &amp; Usage'!$P16))+(IF('Equipment List &amp; Usage'!$F16="Yes",'Equipment List &amp; Usage'!$C$114*((('Weekly Summary'!K$131*SelfQuarantine_Mild)+('Weekly Summary'!K$100*SelfQuarantine_Mild)+('Weekly Summary'!K$101*SelfQuarantine_Moderate))),'Equipment List &amp; Usage'!$C$115)*((('Weekly Summary'!K$131*SelfQuarantine_Mild*'Equipment List &amp; Usage'!$W16)+('Weekly Summary'!K$100*SelfQuarantine_Mild*'Equipment List &amp; Usage'!$X16)+('Weekly Summary'!K$101*SelfQuarantine_Moderate*'Equipment List &amp; Usage'!$X16))))+IF('Equipment List &amp; Usage'!$F16="Yes",'Equipment List &amp; Usage'!$C$114*(IF('Equipment List &amp; Usage'!$AA16&gt;0,'Weekly Summary'!K$128,0)+IF('Equipment List &amp; Usage'!$AB16&gt;0,'Weekly Summary'!K$100+'Weekly Summary'!K$101,0)),'Equipment List &amp; Usage'!$C$115*(('Weekly Summary'!K$128*'Equipment List &amp; Usage'!$AA16)+('Weekly Summary'!K$100*'Equipment List &amp; Usage'!$AB16*SelfQuarantine_Mild)+('Weekly Summary'!K$101*'Equipment List &amp; Usage'!$AB16*SelfQuarantine_Moderate)))+IF('Equipment List &amp; Usage'!$F16="Yes",('Equipment List &amp; Usage'!$C$114*(IF('Equipment List &amp; Usage'!$AE16&gt;0,'Weekly Summary'!K$134,0)+IF('Equipment List &amp; Usage'!$AF16&gt;0,'Weekly Summary'!K$135))),'Equipment List &amp; Usage'!$C$115*(('Weekly Summary'!K$134*'Equipment List &amp; Usage'!$AE16)+('Weekly Summary'!K$135*'Equipment List &amp; Usage'!$AF16)))),0)</f>
        <v>0</v>
      </c>
      <c r="R14" s="1374">
        <f ca="1">MAX(IF($F14="Yes",(
IF($F14="yes",MMULT(--('Equipment List &amp; Usage'!$J16:$N16&gt;0),--('Weekly Summary'!L$112:L$116))*'Equipment List &amp; Usage'!$C$114,MMULT(--('Equipment List &amp; Usage'!$J16:$N16),--('Weekly Summary'!L$112:L$116))*'Equipment List &amp; Usage'!$C$115)+IF('Equipment List &amp; Usage'!$F15="yes",'Equipment List &amp; Usage'!$C$114,'Equipment List &amp; Usage'!$C$115)*(('Weekly Summary'!L$66*'Equipment List &amp; Usage'!$Q16)+('Weekly Summary'!L$64*'Equipment List &amp; Usage'!$O16)+('Weekly Summary'!L$65*'Equipment List &amp; Usage'!$P16)))+(IF('Equipment List &amp; Usage'!$F16="Yes",'Equipment List &amp; Usage'!$C$114*((('Weekly Summary'!L$131*SelfQuarantine_Mild)+('Weekly Summary'!L$100*SelfQuarantine_Mild)+('Weekly Summary'!L$101*SelfQuarantine_Moderate))),'Equipment List &amp; Usage'!$C$115)*((('Weekly Summary'!L$131*SelfQuarantine_Mild*'Equipment List &amp; Usage'!$W16)+('Weekly Summary'!L$100*SelfQuarantine_Mild*'Equipment List &amp; Usage'!$X16)+('Weekly Summary'!L$101*SelfQuarantine_Moderate*'Equipment List &amp; Usage'!$X16)))+IF('Equipment List &amp; Usage'!$F16="Yes",'Equipment List &amp; Usage'!$C$114*(IF('Equipment List &amp; Usage'!$AA16&gt;0,'Weekly Summary'!L$128,0)+IF('Equipment List &amp; Usage'!$AB16&gt;0,'Weekly Summary'!L$100+'Weekly Summary'!L$101,0)),'Equipment List &amp; Usage'!$C$115*(('Weekly Summary'!L$128*'Equipment List &amp; Usage'!$AA16)+('Weekly Summary'!L$100*'Equipment List &amp; Usage'!$AB16*SelfQuarantine_Mild)+('Weekly Summary'!L$101*'Equipment List &amp; Usage'!$AB16*SelfQuarantine_Moderate)))+IF('Equipment List &amp; Usage'!$F16="Yes",('Equipment List &amp; Usage'!$C$114*(IF('Equipment List &amp; Usage'!$AE16&gt;0,'Weekly Summary'!L$134,0)+IF('Equipment List &amp; Usage'!$AF16&gt;0,'Weekly Summary'!L$135))),'Equipment List &amp; Usage'!$C$115*(('Weekly Summary'!L$134*'Equipment List &amp; Usage'!$AE16)+('Weekly Summary'!L$135*'Equipment List &amp; Usage'!$AF16))))-SUM($I14:Q14),
IF($F14="yes",MMULT(--('Equipment List &amp; Usage'!$J16:$N16&gt;0),--('Weekly Summary'!L$112:L$116))*'Equipment List &amp; Usage'!$C$114,MMULT(--('Equipment List &amp; Usage'!$J16:$N16),--('Weekly Summary'!L$112:L$116))*'Equipment List &amp; Usage'!$C$115)+IF('Equipment List &amp; Usage'!$F15="yes",'Equipment List &amp; Usage'!$C$114,'Equipment List &amp; Usage'!$C$115)*(('Weekly Summary'!L$66*'Equipment List &amp; Usage'!$Q16)+('Weekly Summary'!L$64*'Equipment List &amp; Usage'!$O16)+('Weekly Summary'!L$65*'Equipment List &amp; Usage'!$P16))+(IF('Equipment List &amp; Usage'!$F16="Yes",'Equipment List &amp; Usage'!$C$114*((('Weekly Summary'!L$131*SelfQuarantine_Mild)+('Weekly Summary'!L$100*SelfQuarantine_Mild)+('Weekly Summary'!L$101*SelfQuarantine_Moderate))),'Equipment List &amp; Usage'!$C$115)*((('Weekly Summary'!L$131*SelfQuarantine_Mild*'Equipment List &amp; Usage'!$W16)+('Weekly Summary'!L$100*SelfQuarantine_Mild*'Equipment List &amp; Usage'!$X16)+('Weekly Summary'!L$101*SelfQuarantine_Moderate*'Equipment List &amp; Usage'!$X16))))+IF('Equipment List &amp; Usage'!$F16="Yes",'Equipment List &amp; Usage'!$C$114*(IF('Equipment List &amp; Usage'!$AA16&gt;0,'Weekly Summary'!L$128,0)+IF('Equipment List &amp; Usage'!$AB16&gt;0,'Weekly Summary'!L$100+'Weekly Summary'!L$101,0)),'Equipment List &amp; Usage'!$C$115*(('Weekly Summary'!L$128*'Equipment List &amp; Usage'!$AA16)+('Weekly Summary'!L$100*'Equipment List &amp; Usage'!$AB16*SelfQuarantine_Mild)+('Weekly Summary'!L$101*'Equipment List &amp; Usage'!$AB16*SelfQuarantine_Moderate)))+IF('Equipment List &amp; Usage'!$F16="Yes",('Equipment List &amp; Usage'!$C$114*(IF('Equipment List &amp; Usage'!$AE16&gt;0,'Weekly Summary'!L$134,0)+IF('Equipment List &amp; Usage'!$AF16&gt;0,'Weekly Summary'!L$135))),'Equipment List &amp; Usage'!$C$115*(('Weekly Summary'!L$134*'Equipment List &amp; Usage'!$AE16)+('Weekly Summary'!L$135*'Equipment List &amp; Usage'!$AF16)))),0)</f>
        <v>0</v>
      </c>
      <c r="S14" s="1374">
        <f ca="1">MAX(IF($F14="Yes",(
IF($F14="yes",MMULT(--('Equipment List &amp; Usage'!$J16:$N16&gt;0),--('Weekly Summary'!M$112:M$116))*'Equipment List &amp; Usage'!$C$114,MMULT(--('Equipment List &amp; Usage'!$J16:$N16),--('Weekly Summary'!M$112:M$116))*'Equipment List &amp; Usage'!$C$115)+IF('Equipment List &amp; Usage'!$F15="yes",'Equipment List &amp; Usage'!$C$114,'Equipment List &amp; Usage'!$C$115)*(('Weekly Summary'!M$66*'Equipment List &amp; Usage'!$Q16)+('Weekly Summary'!M$64*'Equipment List &amp; Usage'!$O16)+('Weekly Summary'!M$65*'Equipment List &amp; Usage'!$P16)))+(IF('Equipment List &amp; Usage'!$F16="Yes",'Equipment List &amp; Usage'!$C$114*((('Weekly Summary'!M$131*SelfQuarantine_Mild)+('Weekly Summary'!M$100*SelfQuarantine_Mild)+('Weekly Summary'!M$101*SelfQuarantine_Moderate))),'Equipment List &amp; Usage'!$C$115)*((('Weekly Summary'!M$131*SelfQuarantine_Mild*'Equipment List &amp; Usage'!$W16)+('Weekly Summary'!M$100*SelfQuarantine_Mild*'Equipment List &amp; Usage'!$X16)+('Weekly Summary'!M$101*SelfQuarantine_Moderate*'Equipment List &amp; Usage'!$X16)))+IF('Equipment List &amp; Usage'!$F16="Yes",'Equipment List &amp; Usage'!$C$114*(IF('Equipment List &amp; Usage'!$AA16&gt;0,'Weekly Summary'!M$128,0)+IF('Equipment List &amp; Usage'!$AB16&gt;0,'Weekly Summary'!M$100+'Weekly Summary'!M$101,0)),'Equipment List &amp; Usage'!$C$115*(('Weekly Summary'!M$128*'Equipment List &amp; Usage'!$AA16)+('Weekly Summary'!M$100*'Equipment List &amp; Usage'!$AB16*SelfQuarantine_Mild)+('Weekly Summary'!M$101*'Equipment List &amp; Usage'!$AB16*SelfQuarantine_Moderate)))+IF('Equipment List &amp; Usage'!$F16="Yes",('Equipment List &amp; Usage'!$C$114*(IF('Equipment List &amp; Usage'!$AE16&gt;0,'Weekly Summary'!M$134,0)+IF('Equipment List &amp; Usage'!$AF16&gt;0,'Weekly Summary'!M$135))),'Equipment List &amp; Usage'!$C$115*(('Weekly Summary'!M$134*'Equipment List &amp; Usage'!$AE16)+('Weekly Summary'!M$135*'Equipment List &amp; Usage'!$AF16))))-SUM($I14:R14),
IF($F14="yes",MMULT(--('Equipment List &amp; Usage'!$J16:$N16&gt;0),--('Weekly Summary'!M$112:M$116))*'Equipment List &amp; Usage'!$C$114,MMULT(--('Equipment List &amp; Usage'!$J16:$N16),--('Weekly Summary'!M$112:M$116))*'Equipment List &amp; Usage'!$C$115)+IF('Equipment List &amp; Usage'!$F15="yes",'Equipment List &amp; Usage'!$C$114,'Equipment List &amp; Usage'!$C$115)*(('Weekly Summary'!M$66*'Equipment List &amp; Usage'!$Q16)+('Weekly Summary'!M$64*'Equipment List &amp; Usage'!$O16)+('Weekly Summary'!M$65*'Equipment List &amp; Usage'!$P16))+(IF('Equipment List &amp; Usage'!$F16="Yes",'Equipment List &amp; Usage'!$C$114*((('Weekly Summary'!M$131*SelfQuarantine_Mild)+('Weekly Summary'!M$100*SelfQuarantine_Mild)+('Weekly Summary'!M$101*SelfQuarantine_Moderate))),'Equipment List &amp; Usage'!$C$115)*((('Weekly Summary'!M$131*SelfQuarantine_Mild*'Equipment List &amp; Usage'!$W16)+('Weekly Summary'!M$100*SelfQuarantine_Mild*'Equipment List &amp; Usage'!$X16)+('Weekly Summary'!M$101*SelfQuarantine_Moderate*'Equipment List &amp; Usage'!$X16))))+IF('Equipment List &amp; Usage'!$F16="Yes",'Equipment List &amp; Usage'!$C$114*(IF('Equipment List &amp; Usage'!$AA16&gt;0,'Weekly Summary'!M$128,0)+IF('Equipment List &amp; Usage'!$AB16&gt;0,'Weekly Summary'!M$100+'Weekly Summary'!M$101,0)),'Equipment List &amp; Usage'!$C$115*(('Weekly Summary'!M$128*'Equipment List &amp; Usage'!$AA16)+('Weekly Summary'!M$100*'Equipment List &amp; Usage'!$AB16*SelfQuarantine_Mild)+('Weekly Summary'!M$101*'Equipment List &amp; Usage'!$AB16*SelfQuarantine_Moderate)))+IF('Equipment List &amp; Usage'!$F16="Yes",('Equipment List &amp; Usage'!$C$114*(IF('Equipment List &amp; Usage'!$AE16&gt;0,'Weekly Summary'!M$134,0)+IF('Equipment List &amp; Usage'!$AF16&gt;0,'Weekly Summary'!M$135))),'Equipment List &amp; Usage'!$C$115*(('Weekly Summary'!M$134*'Equipment List &amp; Usage'!$AE16)+('Weekly Summary'!M$135*'Equipment List &amp; Usage'!$AF16)))),0)</f>
        <v>0</v>
      </c>
      <c r="T14" s="1374">
        <f ca="1">MAX(IF($F14="Yes",(
IF($F14="yes",MMULT(--('Equipment List &amp; Usage'!$J16:$N16&gt;0),--('Weekly Summary'!N$112:N$116))*'Equipment List &amp; Usage'!$C$114,MMULT(--('Equipment List &amp; Usage'!$J16:$N16),--('Weekly Summary'!N$112:N$116))*'Equipment List &amp; Usage'!$C$115)+IF('Equipment List &amp; Usage'!$F15="yes",'Equipment List &amp; Usage'!$C$114,'Equipment List &amp; Usage'!$C$115)*(('Weekly Summary'!N$66*'Equipment List &amp; Usage'!$Q16)+('Weekly Summary'!N$64*'Equipment List &amp; Usage'!$O16)+('Weekly Summary'!N$65*'Equipment List &amp; Usage'!$P16)))+(IF('Equipment List &amp; Usage'!$F16="Yes",'Equipment List &amp; Usage'!$C$114*((('Weekly Summary'!N$131*SelfQuarantine_Mild)+('Weekly Summary'!N$100*SelfQuarantine_Mild)+('Weekly Summary'!N$101*SelfQuarantine_Moderate))),'Equipment List &amp; Usage'!$C$115)*((('Weekly Summary'!N$131*SelfQuarantine_Mild*'Equipment List &amp; Usage'!$W16)+('Weekly Summary'!N$100*SelfQuarantine_Mild*'Equipment List &amp; Usage'!$X16)+('Weekly Summary'!N$101*SelfQuarantine_Moderate*'Equipment List &amp; Usage'!$X16)))+IF('Equipment List &amp; Usage'!$F16="Yes",'Equipment List &amp; Usage'!$C$114*(IF('Equipment List &amp; Usage'!$AA16&gt;0,'Weekly Summary'!N$128,0)+IF('Equipment List &amp; Usage'!$AB16&gt;0,'Weekly Summary'!N$100+'Weekly Summary'!N$101,0)),'Equipment List &amp; Usage'!$C$115*(('Weekly Summary'!N$128*'Equipment List &amp; Usage'!$AA16)+('Weekly Summary'!N$100*'Equipment List &amp; Usage'!$AB16*SelfQuarantine_Mild)+('Weekly Summary'!N$101*'Equipment List &amp; Usage'!$AB16*SelfQuarantine_Moderate)))+IF('Equipment List &amp; Usage'!$F16="Yes",('Equipment List &amp; Usage'!$C$114*(IF('Equipment List &amp; Usage'!$AE16&gt;0,'Weekly Summary'!N$134,0)+IF('Equipment List &amp; Usage'!$AF16&gt;0,'Weekly Summary'!N$135))),'Equipment List &amp; Usage'!$C$115*(('Weekly Summary'!N$134*'Equipment List &amp; Usage'!$AE16)+('Weekly Summary'!N$135*'Equipment List &amp; Usage'!$AF16))))-SUM($I14:S14),
IF($F14="yes",MMULT(--('Equipment List &amp; Usage'!$J16:$N16&gt;0),--('Weekly Summary'!N$112:N$116))*'Equipment List &amp; Usage'!$C$114,MMULT(--('Equipment List &amp; Usage'!$J16:$N16),--('Weekly Summary'!N$112:N$116))*'Equipment List &amp; Usage'!$C$115)+IF('Equipment List &amp; Usage'!$F15="yes",'Equipment List &amp; Usage'!$C$114,'Equipment List &amp; Usage'!$C$115)*(('Weekly Summary'!N$66*'Equipment List &amp; Usage'!$Q16)+('Weekly Summary'!N$64*'Equipment List &amp; Usage'!$O16)+('Weekly Summary'!N$65*'Equipment List &amp; Usage'!$P16))+(IF('Equipment List &amp; Usage'!$F16="Yes",'Equipment List &amp; Usage'!$C$114*((('Weekly Summary'!N$131*SelfQuarantine_Mild)+('Weekly Summary'!N$100*SelfQuarantine_Mild)+('Weekly Summary'!N$101*SelfQuarantine_Moderate))),'Equipment List &amp; Usage'!$C$115)*((('Weekly Summary'!N$131*SelfQuarantine_Mild*'Equipment List &amp; Usage'!$W16)+('Weekly Summary'!N$100*SelfQuarantine_Mild*'Equipment List &amp; Usage'!$X16)+('Weekly Summary'!N$101*SelfQuarantine_Moderate*'Equipment List &amp; Usage'!$X16))))+IF('Equipment List &amp; Usage'!$F16="Yes",'Equipment List &amp; Usage'!$C$114*(IF('Equipment List &amp; Usage'!$AA16&gt;0,'Weekly Summary'!N$128,0)+IF('Equipment List &amp; Usage'!$AB16&gt;0,'Weekly Summary'!N$100+'Weekly Summary'!N$101,0)),'Equipment List &amp; Usage'!$C$115*(('Weekly Summary'!N$128*'Equipment List &amp; Usage'!$AA16)+('Weekly Summary'!N$100*'Equipment List &amp; Usage'!$AB16*SelfQuarantine_Mild)+('Weekly Summary'!N$101*'Equipment List &amp; Usage'!$AB16*SelfQuarantine_Moderate)))+IF('Equipment List &amp; Usage'!$F16="Yes",('Equipment List &amp; Usage'!$C$114*(IF('Equipment List &amp; Usage'!$AE16&gt;0,'Weekly Summary'!N$134,0)+IF('Equipment List &amp; Usage'!$AF16&gt;0,'Weekly Summary'!N$135))),'Equipment List &amp; Usage'!$C$115*(('Weekly Summary'!N$134*'Equipment List &amp; Usage'!$AE16)+('Weekly Summary'!N$135*'Equipment List &amp; Usage'!$AF16)))),0)</f>
        <v>0</v>
      </c>
      <c r="U14" s="1374">
        <f ca="1">MAX(IF($F14="Yes",(
IF($F14="yes",MMULT(--('Equipment List &amp; Usage'!$J16:$N16&gt;0),--('Weekly Summary'!O$112:O$116))*'Equipment List &amp; Usage'!$C$114,MMULT(--('Equipment List &amp; Usage'!$J16:$N16),--('Weekly Summary'!O$112:O$116))*'Equipment List &amp; Usage'!$C$115)+IF('Equipment List &amp; Usage'!$F15="yes",'Equipment List &amp; Usage'!$C$114,'Equipment List &amp; Usage'!$C$115)*(('Weekly Summary'!O$66*'Equipment List &amp; Usage'!$Q16)+('Weekly Summary'!O$64*'Equipment List &amp; Usage'!$O16)+('Weekly Summary'!O$65*'Equipment List &amp; Usage'!$P16)))+(IF('Equipment List &amp; Usage'!$F16="Yes",'Equipment List &amp; Usage'!$C$114*((('Weekly Summary'!O$131*SelfQuarantine_Mild)+('Weekly Summary'!O$100*SelfQuarantine_Mild)+('Weekly Summary'!O$101*SelfQuarantine_Moderate))),'Equipment List &amp; Usage'!$C$115)*((('Weekly Summary'!O$131*SelfQuarantine_Mild*'Equipment List &amp; Usage'!$W16)+('Weekly Summary'!O$100*SelfQuarantine_Mild*'Equipment List &amp; Usage'!$X16)+('Weekly Summary'!O$101*SelfQuarantine_Moderate*'Equipment List &amp; Usage'!$X16)))+IF('Equipment List &amp; Usage'!$F16="Yes",'Equipment List &amp; Usage'!$C$114*(IF('Equipment List &amp; Usage'!$AA16&gt;0,'Weekly Summary'!O$128,0)+IF('Equipment List &amp; Usage'!$AB16&gt;0,'Weekly Summary'!O$100+'Weekly Summary'!O$101,0)),'Equipment List &amp; Usage'!$C$115*(('Weekly Summary'!O$128*'Equipment List &amp; Usage'!$AA16)+('Weekly Summary'!O$100*'Equipment List &amp; Usage'!$AB16*SelfQuarantine_Mild)+('Weekly Summary'!O$101*'Equipment List &amp; Usage'!$AB16*SelfQuarantine_Moderate)))+IF('Equipment List &amp; Usage'!$F16="Yes",('Equipment List &amp; Usage'!$C$114*(IF('Equipment List &amp; Usage'!$AE16&gt;0,'Weekly Summary'!O$134,0)+IF('Equipment List &amp; Usage'!$AF16&gt;0,'Weekly Summary'!O$135))),'Equipment List &amp; Usage'!$C$115*(('Weekly Summary'!O$134*'Equipment List &amp; Usage'!$AE16)+('Weekly Summary'!O$135*'Equipment List &amp; Usage'!$AF16))))-SUM($I14:T14),
IF($F14="yes",MMULT(--('Equipment List &amp; Usage'!$J16:$N16&gt;0),--('Weekly Summary'!O$112:O$116))*'Equipment List &amp; Usage'!$C$114,MMULT(--('Equipment List &amp; Usage'!$J16:$N16),--('Weekly Summary'!O$112:O$116))*'Equipment List &amp; Usage'!$C$115)+IF('Equipment List &amp; Usage'!$F15="yes",'Equipment List &amp; Usage'!$C$114,'Equipment List &amp; Usage'!$C$115)*(('Weekly Summary'!O$66*'Equipment List &amp; Usage'!$Q16)+('Weekly Summary'!O$64*'Equipment List &amp; Usage'!$O16)+('Weekly Summary'!O$65*'Equipment List &amp; Usage'!$P16))+(IF('Equipment List &amp; Usage'!$F16="Yes",'Equipment List &amp; Usage'!$C$114*((('Weekly Summary'!O$131*SelfQuarantine_Mild)+('Weekly Summary'!O$100*SelfQuarantine_Mild)+('Weekly Summary'!O$101*SelfQuarantine_Moderate))),'Equipment List &amp; Usage'!$C$115)*((('Weekly Summary'!O$131*SelfQuarantine_Mild*'Equipment List &amp; Usage'!$W16)+('Weekly Summary'!O$100*SelfQuarantine_Mild*'Equipment List &amp; Usage'!$X16)+('Weekly Summary'!O$101*SelfQuarantine_Moderate*'Equipment List &amp; Usage'!$X16))))+IF('Equipment List &amp; Usage'!$F16="Yes",'Equipment List &amp; Usage'!$C$114*(IF('Equipment List &amp; Usage'!$AA16&gt;0,'Weekly Summary'!O$128,0)+IF('Equipment List &amp; Usage'!$AB16&gt;0,'Weekly Summary'!O$100+'Weekly Summary'!O$101,0)),'Equipment List &amp; Usage'!$C$115*(('Weekly Summary'!O$128*'Equipment List &amp; Usage'!$AA16)+('Weekly Summary'!O$100*'Equipment List &amp; Usage'!$AB16*SelfQuarantine_Mild)+('Weekly Summary'!O$101*'Equipment List &amp; Usage'!$AB16*SelfQuarantine_Moderate)))+IF('Equipment List &amp; Usage'!$F16="Yes",('Equipment List &amp; Usage'!$C$114*(IF('Equipment List &amp; Usage'!$AE16&gt;0,'Weekly Summary'!O$134,0)+IF('Equipment List &amp; Usage'!$AF16&gt;0,'Weekly Summary'!O$135))),'Equipment List &amp; Usage'!$C$115*(('Weekly Summary'!O$134*'Equipment List &amp; Usage'!$AE16)+('Weekly Summary'!O$135*'Equipment List &amp; Usage'!$AF16)))),0)</f>
        <v>0</v>
      </c>
      <c r="V14" s="1374">
        <f ca="1">MAX(IF($F14="Yes",(
IF($F14="yes",MMULT(--('Equipment List &amp; Usage'!$J16:$N16&gt;0),--('Weekly Summary'!P$112:P$116))*'Equipment List &amp; Usage'!$C$114,MMULT(--('Equipment List &amp; Usage'!$J16:$N16),--('Weekly Summary'!P$112:P$116))*'Equipment List &amp; Usage'!$C$115)+IF('Equipment List &amp; Usage'!$F15="yes",'Equipment List &amp; Usage'!$C$114,'Equipment List &amp; Usage'!$C$115)*(('Weekly Summary'!P$66*'Equipment List &amp; Usage'!$Q16)+('Weekly Summary'!P$64*'Equipment List &amp; Usage'!$O16)+('Weekly Summary'!P$65*'Equipment List &amp; Usage'!$P16)))+(IF('Equipment List &amp; Usage'!$F16="Yes",'Equipment List &amp; Usage'!$C$114*((('Weekly Summary'!P$131*SelfQuarantine_Mild)+('Weekly Summary'!P$100*SelfQuarantine_Mild)+('Weekly Summary'!P$101*SelfQuarantine_Moderate))),'Equipment List &amp; Usage'!$C$115)*((('Weekly Summary'!P$131*SelfQuarantine_Mild*'Equipment List &amp; Usage'!$W16)+('Weekly Summary'!P$100*SelfQuarantine_Mild*'Equipment List &amp; Usage'!$X16)+('Weekly Summary'!P$101*SelfQuarantine_Moderate*'Equipment List &amp; Usage'!$X16)))+IF('Equipment List &amp; Usage'!$F16="Yes",'Equipment List &amp; Usage'!$C$114*(IF('Equipment List &amp; Usage'!$AA16&gt;0,'Weekly Summary'!P$128,0)+IF('Equipment List &amp; Usage'!$AB16&gt;0,'Weekly Summary'!P$100+'Weekly Summary'!P$101,0)),'Equipment List &amp; Usage'!$C$115*(('Weekly Summary'!P$128*'Equipment List &amp; Usage'!$AA16)+('Weekly Summary'!P$100*'Equipment List &amp; Usage'!$AB16*SelfQuarantine_Mild)+('Weekly Summary'!P$101*'Equipment List &amp; Usage'!$AB16*SelfQuarantine_Moderate)))+IF('Equipment List &amp; Usage'!$F16="Yes",('Equipment List &amp; Usage'!$C$114*(IF('Equipment List &amp; Usage'!$AE16&gt;0,'Weekly Summary'!P$134,0)+IF('Equipment List &amp; Usage'!$AF16&gt;0,'Weekly Summary'!P$135))),'Equipment List &amp; Usage'!$C$115*(('Weekly Summary'!P$134*'Equipment List &amp; Usage'!$AE16)+('Weekly Summary'!P$135*'Equipment List &amp; Usage'!$AF16))))-SUM($I14:U14),
IF($F14="yes",MMULT(--('Equipment List &amp; Usage'!$J16:$N16&gt;0),--('Weekly Summary'!P$112:P$116))*'Equipment List &amp; Usage'!$C$114,MMULT(--('Equipment List &amp; Usage'!$J16:$N16),--('Weekly Summary'!P$112:P$116))*'Equipment List &amp; Usage'!$C$115)+IF('Equipment List &amp; Usage'!$F15="yes",'Equipment List &amp; Usage'!$C$114,'Equipment List &amp; Usage'!$C$115)*(('Weekly Summary'!P$66*'Equipment List &amp; Usage'!$Q16)+('Weekly Summary'!P$64*'Equipment List &amp; Usage'!$O16)+('Weekly Summary'!P$65*'Equipment List &amp; Usage'!$P16))+(IF('Equipment List &amp; Usage'!$F16="Yes",'Equipment List &amp; Usage'!$C$114*((('Weekly Summary'!P$131*SelfQuarantine_Mild)+('Weekly Summary'!P$100*SelfQuarantine_Mild)+('Weekly Summary'!P$101*SelfQuarantine_Moderate))),'Equipment List &amp; Usage'!$C$115)*((('Weekly Summary'!P$131*SelfQuarantine_Mild*'Equipment List &amp; Usage'!$W16)+('Weekly Summary'!P$100*SelfQuarantine_Mild*'Equipment List &amp; Usage'!$X16)+('Weekly Summary'!P$101*SelfQuarantine_Moderate*'Equipment List &amp; Usage'!$X16))))+IF('Equipment List &amp; Usage'!$F16="Yes",'Equipment List &amp; Usage'!$C$114*(IF('Equipment List &amp; Usage'!$AA16&gt;0,'Weekly Summary'!P$128,0)+IF('Equipment List &amp; Usage'!$AB16&gt;0,'Weekly Summary'!P$100+'Weekly Summary'!P$101,0)),'Equipment List &amp; Usage'!$C$115*(('Weekly Summary'!P$128*'Equipment List &amp; Usage'!$AA16)+('Weekly Summary'!P$100*'Equipment List &amp; Usage'!$AB16*SelfQuarantine_Mild)+('Weekly Summary'!P$101*'Equipment List &amp; Usage'!$AB16*SelfQuarantine_Moderate)))+IF('Equipment List &amp; Usage'!$F16="Yes",('Equipment List &amp; Usage'!$C$114*(IF('Equipment List &amp; Usage'!$AE16&gt;0,'Weekly Summary'!P$134,0)+IF('Equipment List &amp; Usage'!$AF16&gt;0,'Weekly Summary'!P$135))),'Equipment List &amp; Usage'!$C$115*(('Weekly Summary'!P$134*'Equipment List &amp; Usage'!$AE16)+('Weekly Summary'!P$135*'Equipment List &amp; Usage'!$AF16)))),0)</f>
        <v>0</v>
      </c>
      <c r="W14" s="1374">
        <f ca="1">MAX(IF($F14="Yes",(
IF($F14="yes",MMULT(--('Equipment List &amp; Usage'!$J16:$N16&gt;0),--('Weekly Summary'!Q$112:Q$116))*'Equipment List &amp; Usage'!$C$114,MMULT(--('Equipment List &amp; Usage'!$J16:$N16),--('Weekly Summary'!Q$112:Q$116))*'Equipment List &amp; Usage'!$C$115)+IF('Equipment List &amp; Usage'!$F15="yes",'Equipment List &amp; Usage'!$C$114,'Equipment List &amp; Usage'!$C$115)*(('Weekly Summary'!Q$66*'Equipment List &amp; Usage'!$Q16)+('Weekly Summary'!Q$64*'Equipment List &amp; Usage'!$O16)+('Weekly Summary'!Q$65*'Equipment List &amp; Usage'!$P16)))+(IF('Equipment List &amp; Usage'!$F16="Yes",'Equipment List &amp; Usage'!$C$114*((('Weekly Summary'!Q$131*SelfQuarantine_Mild)+('Weekly Summary'!Q$100*SelfQuarantine_Mild)+('Weekly Summary'!Q$101*SelfQuarantine_Moderate))),'Equipment List &amp; Usage'!$C$115)*((('Weekly Summary'!Q$131*SelfQuarantine_Mild*'Equipment List &amp; Usage'!$W16)+('Weekly Summary'!Q$100*SelfQuarantine_Mild*'Equipment List &amp; Usage'!$X16)+('Weekly Summary'!Q$101*SelfQuarantine_Moderate*'Equipment List &amp; Usage'!$X16)))+IF('Equipment List &amp; Usage'!$F16="Yes",'Equipment List &amp; Usage'!$C$114*(IF('Equipment List &amp; Usage'!$AA16&gt;0,'Weekly Summary'!Q$128,0)+IF('Equipment List &amp; Usage'!$AB16&gt;0,'Weekly Summary'!Q$100+'Weekly Summary'!Q$101,0)),'Equipment List &amp; Usage'!$C$115*(('Weekly Summary'!Q$128*'Equipment List &amp; Usage'!$AA16)+('Weekly Summary'!Q$100*'Equipment List &amp; Usage'!$AB16*SelfQuarantine_Mild)+('Weekly Summary'!Q$101*'Equipment List &amp; Usage'!$AB16*SelfQuarantine_Moderate)))+IF('Equipment List &amp; Usage'!$F16="Yes",('Equipment List &amp; Usage'!$C$114*(IF('Equipment List &amp; Usage'!$AE16&gt;0,'Weekly Summary'!Q$134,0)+IF('Equipment List &amp; Usage'!$AF16&gt;0,'Weekly Summary'!Q$135))),'Equipment List &amp; Usage'!$C$115*(('Weekly Summary'!Q$134*'Equipment List &amp; Usage'!$AE16)+('Weekly Summary'!Q$135*'Equipment List &amp; Usage'!$AF16))))-SUM($I14:V14),
IF($F14="yes",MMULT(--('Equipment List &amp; Usage'!$J16:$N16&gt;0),--('Weekly Summary'!Q$112:Q$116))*'Equipment List &amp; Usage'!$C$114,MMULT(--('Equipment List &amp; Usage'!$J16:$N16),--('Weekly Summary'!Q$112:Q$116))*'Equipment List &amp; Usage'!$C$115)+IF('Equipment List &amp; Usage'!$F15="yes",'Equipment List &amp; Usage'!$C$114,'Equipment List &amp; Usage'!$C$115)*(('Weekly Summary'!Q$66*'Equipment List &amp; Usage'!$Q16)+('Weekly Summary'!Q$64*'Equipment List &amp; Usage'!$O16)+('Weekly Summary'!Q$65*'Equipment List &amp; Usage'!$P16))+(IF('Equipment List &amp; Usage'!$F16="Yes",'Equipment List &amp; Usage'!$C$114*((('Weekly Summary'!Q$131*SelfQuarantine_Mild)+('Weekly Summary'!Q$100*SelfQuarantine_Mild)+('Weekly Summary'!Q$101*SelfQuarantine_Moderate))),'Equipment List &amp; Usage'!$C$115)*((('Weekly Summary'!Q$131*SelfQuarantine_Mild*'Equipment List &amp; Usage'!$W16)+('Weekly Summary'!Q$100*SelfQuarantine_Mild*'Equipment List &amp; Usage'!$X16)+('Weekly Summary'!Q$101*SelfQuarantine_Moderate*'Equipment List &amp; Usage'!$X16))))+IF('Equipment List &amp; Usage'!$F16="Yes",'Equipment List &amp; Usage'!$C$114*(IF('Equipment List &amp; Usage'!$AA16&gt;0,'Weekly Summary'!Q$128,0)+IF('Equipment List &amp; Usage'!$AB16&gt;0,'Weekly Summary'!Q$100+'Weekly Summary'!Q$101,0)),'Equipment List &amp; Usage'!$C$115*(('Weekly Summary'!Q$128*'Equipment List &amp; Usage'!$AA16)+('Weekly Summary'!Q$100*'Equipment List &amp; Usage'!$AB16*SelfQuarantine_Mild)+('Weekly Summary'!Q$101*'Equipment List &amp; Usage'!$AB16*SelfQuarantine_Moderate)))+IF('Equipment List &amp; Usage'!$F16="Yes",('Equipment List &amp; Usage'!$C$114*(IF('Equipment List &amp; Usage'!$AE16&gt;0,'Weekly Summary'!Q$134,0)+IF('Equipment List &amp; Usage'!$AF16&gt;0,'Weekly Summary'!Q$135))),'Equipment List &amp; Usage'!$C$115*(('Weekly Summary'!Q$134*'Equipment List &amp; Usage'!$AE16)+('Weekly Summary'!Q$135*'Equipment List &amp; Usage'!$AF16)))),0)</f>
        <v>0</v>
      </c>
      <c r="X14" s="1374">
        <f ca="1">MAX(IF($F14="Yes",(
IF($F14="yes",MMULT(--('Equipment List &amp; Usage'!$J16:$N16&gt;0),--('Weekly Summary'!R$112:R$116))*'Equipment List &amp; Usage'!$C$114,MMULT(--('Equipment List &amp; Usage'!$J16:$N16),--('Weekly Summary'!R$112:R$116))*'Equipment List &amp; Usage'!$C$115)+IF('Equipment List &amp; Usage'!$F15="yes",'Equipment List &amp; Usage'!$C$114,'Equipment List &amp; Usage'!$C$115)*(('Weekly Summary'!R$66*'Equipment List &amp; Usage'!$Q16)+('Weekly Summary'!R$64*'Equipment List &amp; Usage'!$O16)+('Weekly Summary'!R$65*'Equipment List &amp; Usage'!$P16)))+(IF('Equipment List &amp; Usage'!$F16="Yes",'Equipment List &amp; Usage'!$C$114*((('Weekly Summary'!R$131*SelfQuarantine_Mild)+('Weekly Summary'!R$100*SelfQuarantine_Mild)+('Weekly Summary'!R$101*SelfQuarantine_Moderate))),'Equipment List &amp; Usage'!$C$115)*((('Weekly Summary'!R$131*SelfQuarantine_Mild*'Equipment List &amp; Usage'!$W16)+('Weekly Summary'!R$100*SelfQuarantine_Mild*'Equipment List &amp; Usage'!$X16)+('Weekly Summary'!R$101*SelfQuarantine_Moderate*'Equipment List &amp; Usage'!$X16)))+IF('Equipment List &amp; Usage'!$F16="Yes",'Equipment List &amp; Usage'!$C$114*(IF('Equipment List &amp; Usage'!$AA16&gt;0,'Weekly Summary'!R$128,0)+IF('Equipment List &amp; Usage'!$AB16&gt;0,'Weekly Summary'!R$100+'Weekly Summary'!R$101,0)),'Equipment List &amp; Usage'!$C$115*(('Weekly Summary'!R$128*'Equipment List &amp; Usage'!$AA16)+('Weekly Summary'!R$100*'Equipment List &amp; Usage'!$AB16*SelfQuarantine_Mild)+('Weekly Summary'!R$101*'Equipment List &amp; Usage'!$AB16*SelfQuarantine_Moderate)))+IF('Equipment List &amp; Usage'!$F16="Yes",('Equipment List &amp; Usage'!$C$114*(IF('Equipment List &amp; Usage'!$AE16&gt;0,'Weekly Summary'!R$134,0)+IF('Equipment List &amp; Usage'!$AF16&gt;0,'Weekly Summary'!R$135))),'Equipment List &amp; Usage'!$C$115*(('Weekly Summary'!R$134*'Equipment List &amp; Usage'!$AE16)+('Weekly Summary'!R$135*'Equipment List &amp; Usage'!$AF16))))-SUM($I14:W14),
IF($F14="yes",MMULT(--('Equipment List &amp; Usage'!$J16:$N16&gt;0),--('Weekly Summary'!R$112:R$116))*'Equipment List &amp; Usage'!$C$114,MMULT(--('Equipment List &amp; Usage'!$J16:$N16),--('Weekly Summary'!R$112:R$116))*'Equipment List &amp; Usage'!$C$115)+IF('Equipment List &amp; Usage'!$F15="yes",'Equipment List &amp; Usage'!$C$114,'Equipment List &amp; Usage'!$C$115)*(('Weekly Summary'!R$66*'Equipment List &amp; Usage'!$Q16)+('Weekly Summary'!R$64*'Equipment List &amp; Usage'!$O16)+('Weekly Summary'!R$65*'Equipment List &amp; Usage'!$P16))+(IF('Equipment List &amp; Usage'!$F16="Yes",'Equipment List &amp; Usage'!$C$114*((('Weekly Summary'!R$131*SelfQuarantine_Mild)+('Weekly Summary'!R$100*SelfQuarantine_Mild)+('Weekly Summary'!R$101*SelfQuarantine_Moderate))),'Equipment List &amp; Usage'!$C$115)*((('Weekly Summary'!R$131*SelfQuarantine_Mild*'Equipment List &amp; Usage'!$W16)+('Weekly Summary'!R$100*SelfQuarantine_Mild*'Equipment List &amp; Usage'!$X16)+('Weekly Summary'!R$101*SelfQuarantine_Moderate*'Equipment List &amp; Usage'!$X16))))+IF('Equipment List &amp; Usage'!$F16="Yes",'Equipment List &amp; Usage'!$C$114*(IF('Equipment List &amp; Usage'!$AA16&gt;0,'Weekly Summary'!R$128,0)+IF('Equipment List &amp; Usage'!$AB16&gt;0,'Weekly Summary'!R$100+'Weekly Summary'!R$101,0)),'Equipment List &amp; Usage'!$C$115*(('Weekly Summary'!R$128*'Equipment List &amp; Usage'!$AA16)+('Weekly Summary'!R$100*'Equipment List &amp; Usage'!$AB16*SelfQuarantine_Mild)+('Weekly Summary'!R$101*'Equipment List &amp; Usage'!$AB16*SelfQuarantine_Moderate)))+IF('Equipment List &amp; Usage'!$F16="Yes",('Equipment List &amp; Usage'!$C$114*(IF('Equipment List &amp; Usage'!$AE16&gt;0,'Weekly Summary'!R$134,0)+IF('Equipment List &amp; Usage'!$AF16&gt;0,'Weekly Summary'!R$135))),'Equipment List &amp; Usage'!$C$115*(('Weekly Summary'!R$134*'Equipment List &amp; Usage'!$AE16)+('Weekly Summary'!R$135*'Equipment List &amp; Usage'!$AF16)))),0)</f>
        <v>0</v>
      </c>
      <c r="Y14" s="1374">
        <f ca="1">MAX(IF($F14="Yes",(
IF($F14="yes",MMULT(--('Equipment List &amp; Usage'!$J16:$N16&gt;0),--('Weekly Summary'!S$112:S$116))*'Equipment List &amp; Usage'!$C$114,MMULT(--('Equipment List &amp; Usage'!$J16:$N16),--('Weekly Summary'!S$112:S$116))*'Equipment List &amp; Usage'!$C$115)+IF('Equipment List &amp; Usage'!$F15="yes",'Equipment List &amp; Usage'!$C$114,'Equipment List &amp; Usage'!$C$115)*(('Weekly Summary'!S$66*'Equipment List &amp; Usage'!$Q16)+('Weekly Summary'!S$64*'Equipment List &amp; Usage'!$O16)+('Weekly Summary'!S$65*'Equipment List &amp; Usage'!$P16)))+(IF('Equipment List &amp; Usage'!$F16="Yes",'Equipment List &amp; Usage'!$C$114*((('Weekly Summary'!S$131*SelfQuarantine_Mild)+('Weekly Summary'!S$100*SelfQuarantine_Mild)+('Weekly Summary'!S$101*SelfQuarantine_Moderate))),'Equipment List &amp; Usage'!$C$115)*((('Weekly Summary'!S$131*SelfQuarantine_Mild*'Equipment List &amp; Usage'!$W16)+('Weekly Summary'!S$100*SelfQuarantine_Mild*'Equipment List &amp; Usage'!$X16)+('Weekly Summary'!S$101*SelfQuarantine_Moderate*'Equipment List &amp; Usage'!$X16)))+IF('Equipment List &amp; Usage'!$F16="Yes",'Equipment List &amp; Usage'!$C$114*(IF('Equipment List &amp; Usage'!$AA16&gt;0,'Weekly Summary'!S$128,0)+IF('Equipment List &amp; Usage'!$AB16&gt;0,'Weekly Summary'!S$100+'Weekly Summary'!S$101,0)),'Equipment List &amp; Usage'!$C$115*(('Weekly Summary'!S$128*'Equipment List &amp; Usage'!$AA16)+('Weekly Summary'!S$100*'Equipment List &amp; Usage'!$AB16*SelfQuarantine_Mild)+('Weekly Summary'!S$101*'Equipment List &amp; Usage'!$AB16*SelfQuarantine_Moderate)))+IF('Equipment List &amp; Usage'!$F16="Yes",('Equipment List &amp; Usage'!$C$114*(IF('Equipment List &amp; Usage'!$AE16&gt;0,'Weekly Summary'!S$134,0)+IF('Equipment List &amp; Usage'!$AF16&gt;0,'Weekly Summary'!S$135))),'Equipment List &amp; Usage'!$C$115*(('Weekly Summary'!S$134*'Equipment List &amp; Usage'!$AE16)+('Weekly Summary'!S$135*'Equipment List &amp; Usage'!$AF16))))-SUM($I14:X14),
IF($F14="yes",MMULT(--('Equipment List &amp; Usage'!$J16:$N16&gt;0),--('Weekly Summary'!S$112:S$116))*'Equipment List &amp; Usage'!$C$114,MMULT(--('Equipment List &amp; Usage'!$J16:$N16),--('Weekly Summary'!S$112:S$116))*'Equipment List &amp; Usage'!$C$115)+IF('Equipment List &amp; Usage'!$F15="yes",'Equipment List &amp; Usage'!$C$114,'Equipment List &amp; Usage'!$C$115)*(('Weekly Summary'!S$66*'Equipment List &amp; Usage'!$Q16)+('Weekly Summary'!S$64*'Equipment List &amp; Usage'!$O16)+('Weekly Summary'!S$65*'Equipment List &amp; Usage'!$P16))+(IF('Equipment List &amp; Usage'!$F16="Yes",'Equipment List &amp; Usage'!$C$114*((('Weekly Summary'!S$131*SelfQuarantine_Mild)+('Weekly Summary'!S$100*SelfQuarantine_Mild)+('Weekly Summary'!S$101*SelfQuarantine_Moderate))),'Equipment List &amp; Usage'!$C$115)*((('Weekly Summary'!S$131*SelfQuarantine_Mild*'Equipment List &amp; Usage'!$W16)+('Weekly Summary'!S$100*SelfQuarantine_Mild*'Equipment List &amp; Usage'!$X16)+('Weekly Summary'!S$101*SelfQuarantine_Moderate*'Equipment List &amp; Usage'!$X16))))+IF('Equipment List &amp; Usage'!$F16="Yes",'Equipment List &amp; Usage'!$C$114*(IF('Equipment List &amp; Usage'!$AA16&gt;0,'Weekly Summary'!S$128,0)+IF('Equipment List &amp; Usage'!$AB16&gt;0,'Weekly Summary'!S$100+'Weekly Summary'!S$101,0)),'Equipment List &amp; Usage'!$C$115*(('Weekly Summary'!S$128*'Equipment List &amp; Usage'!$AA16)+('Weekly Summary'!S$100*'Equipment List &amp; Usage'!$AB16*SelfQuarantine_Mild)+('Weekly Summary'!S$101*'Equipment List &amp; Usage'!$AB16*SelfQuarantine_Moderate)))+IF('Equipment List &amp; Usage'!$F16="Yes",('Equipment List &amp; Usage'!$C$114*(IF('Equipment List &amp; Usage'!$AE16&gt;0,'Weekly Summary'!S$134,0)+IF('Equipment List &amp; Usage'!$AF16&gt;0,'Weekly Summary'!S$135))),'Equipment List &amp; Usage'!$C$115*(('Weekly Summary'!S$134*'Equipment List &amp; Usage'!$AE16)+('Weekly Summary'!S$135*'Equipment List &amp; Usage'!$AF16)))),0)</f>
        <v>0</v>
      </c>
      <c r="Z14" s="1374">
        <f ca="1">MAX(IF($F14="Yes",(
IF($F14="yes",MMULT(--('Equipment List &amp; Usage'!$J16:$N16&gt;0),--('Weekly Summary'!T$112:T$116))*'Equipment List &amp; Usage'!$C$114,MMULT(--('Equipment List &amp; Usage'!$J16:$N16),--('Weekly Summary'!T$112:T$116))*'Equipment List &amp; Usage'!$C$115)+IF('Equipment List &amp; Usage'!$F15="yes",'Equipment List &amp; Usage'!$C$114,'Equipment List &amp; Usage'!$C$115)*(('Weekly Summary'!T$66*'Equipment List &amp; Usage'!$Q16)+('Weekly Summary'!T$64*'Equipment List &amp; Usage'!$O16)+('Weekly Summary'!T$65*'Equipment List &amp; Usage'!$P16)))+(IF('Equipment List &amp; Usage'!$F16="Yes",'Equipment List &amp; Usage'!$C$114*((('Weekly Summary'!T$131*SelfQuarantine_Mild)+('Weekly Summary'!T$100*SelfQuarantine_Mild)+('Weekly Summary'!T$101*SelfQuarantine_Moderate))),'Equipment List &amp; Usage'!$C$115)*((('Weekly Summary'!T$131*SelfQuarantine_Mild*'Equipment List &amp; Usage'!$W16)+('Weekly Summary'!T$100*SelfQuarantine_Mild*'Equipment List &amp; Usage'!$X16)+('Weekly Summary'!T$101*SelfQuarantine_Moderate*'Equipment List &amp; Usage'!$X16)))+IF('Equipment List &amp; Usage'!$F16="Yes",'Equipment List &amp; Usage'!$C$114*(IF('Equipment List &amp; Usage'!$AA16&gt;0,'Weekly Summary'!T$128,0)+IF('Equipment List &amp; Usage'!$AB16&gt;0,'Weekly Summary'!T$100+'Weekly Summary'!T$101,0)),'Equipment List &amp; Usage'!$C$115*(('Weekly Summary'!T$128*'Equipment List &amp; Usage'!$AA16)+('Weekly Summary'!T$100*'Equipment List &amp; Usage'!$AB16*SelfQuarantine_Mild)+('Weekly Summary'!T$101*'Equipment List &amp; Usage'!$AB16*SelfQuarantine_Moderate)))+IF('Equipment List &amp; Usage'!$F16="Yes",('Equipment List &amp; Usage'!$C$114*(IF('Equipment List &amp; Usage'!$AE16&gt;0,'Weekly Summary'!T$134,0)+IF('Equipment List &amp; Usage'!$AF16&gt;0,'Weekly Summary'!T$135))),'Equipment List &amp; Usage'!$C$115*(('Weekly Summary'!T$134*'Equipment List &amp; Usage'!$AE16)+('Weekly Summary'!T$135*'Equipment List &amp; Usage'!$AF16))))-SUM($I14:Y14),
IF($F14="yes",MMULT(--('Equipment List &amp; Usage'!$J16:$N16&gt;0),--('Weekly Summary'!T$112:T$116))*'Equipment List &amp; Usage'!$C$114,MMULT(--('Equipment List &amp; Usage'!$J16:$N16),--('Weekly Summary'!T$112:T$116))*'Equipment List &amp; Usage'!$C$115)+IF('Equipment List &amp; Usage'!$F15="yes",'Equipment List &amp; Usage'!$C$114,'Equipment List &amp; Usage'!$C$115)*(('Weekly Summary'!T$66*'Equipment List &amp; Usage'!$Q16)+('Weekly Summary'!T$64*'Equipment List &amp; Usage'!$O16)+('Weekly Summary'!T$65*'Equipment List &amp; Usage'!$P16))+(IF('Equipment List &amp; Usage'!$F16="Yes",'Equipment List &amp; Usage'!$C$114*((('Weekly Summary'!T$131*SelfQuarantine_Mild)+('Weekly Summary'!T$100*SelfQuarantine_Mild)+('Weekly Summary'!T$101*SelfQuarantine_Moderate))),'Equipment List &amp; Usage'!$C$115)*((('Weekly Summary'!T$131*SelfQuarantine_Mild*'Equipment List &amp; Usage'!$W16)+('Weekly Summary'!T$100*SelfQuarantine_Mild*'Equipment List &amp; Usage'!$X16)+('Weekly Summary'!T$101*SelfQuarantine_Moderate*'Equipment List &amp; Usage'!$X16))))+IF('Equipment List &amp; Usage'!$F16="Yes",'Equipment List &amp; Usage'!$C$114*(IF('Equipment List &amp; Usage'!$AA16&gt;0,'Weekly Summary'!T$128,0)+IF('Equipment List &amp; Usage'!$AB16&gt;0,'Weekly Summary'!T$100+'Weekly Summary'!T$101,0)),'Equipment List &amp; Usage'!$C$115*(('Weekly Summary'!T$128*'Equipment List &amp; Usage'!$AA16)+('Weekly Summary'!T$100*'Equipment List &amp; Usage'!$AB16*SelfQuarantine_Mild)+('Weekly Summary'!T$101*'Equipment List &amp; Usage'!$AB16*SelfQuarantine_Moderate)))+IF('Equipment List &amp; Usage'!$F16="Yes",('Equipment List &amp; Usage'!$C$114*(IF('Equipment List &amp; Usage'!$AE16&gt;0,'Weekly Summary'!T$134,0)+IF('Equipment List &amp; Usage'!$AF16&gt;0,'Weekly Summary'!T$135))),'Equipment List &amp; Usage'!$C$115*(('Weekly Summary'!T$134*'Equipment List &amp; Usage'!$AE16)+('Weekly Summary'!T$135*'Equipment List &amp; Usage'!$AF16)))),0)</f>
        <v>0</v>
      </c>
      <c r="AA14" s="1374">
        <f ca="1">MAX(IF($F14="Yes",(
IF($F14="yes",MMULT(--('Equipment List &amp; Usage'!$J16:$N16&gt;0),--('Weekly Summary'!U$112:U$116))*'Equipment List &amp; Usage'!$C$114,MMULT(--('Equipment List &amp; Usage'!$J16:$N16),--('Weekly Summary'!U$112:U$116))*'Equipment List &amp; Usage'!$C$115)+IF('Equipment List &amp; Usage'!$F15="yes",'Equipment List &amp; Usage'!$C$114,'Equipment List &amp; Usage'!$C$115)*(('Weekly Summary'!U$66*'Equipment List &amp; Usage'!$Q16)+('Weekly Summary'!U$64*'Equipment List &amp; Usage'!$O16)+('Weekly Summary'!U$65*'Equipment List &amp; Usage'!$P16)))+(IF('Equipment List &amp; Usage'!$F16="Yes",'Equipment List &amp; Usage'!$C$114*((('Weekly Summary'!U$131*SelfQuarantine_Mild)+('Weekly Summary'!U$100*SelfQuarantine_Mild)+('Weekly Summary'!U$101*SelfQuarantine_Moderate))),'Equipment List &amp; Usage'!$C$115)*((('Weekly Summary'!U$131*SelfQuarantine_Mild*'Equipment List &amp; Usage'!$W16)+('Weekly Summary'!U$100*SelfQuarantine_Mild*'Equipment List &amp; Usage'!$X16)+('Weekly Summary'!U$101*SelfQuarantine_Moderate*'Equipment List &amp; Usage'!$X16)))+IF('Equipment List &amp; Usage'!$F16="Yes",'Equipment List &amp; Usage'!$C$114*(IF('Equipment List &amp; Usage'!$AA16&gt;0,'Weekly Summary'!U$128,0)+IF('Equipment List &amp; Usage'!$AB16&gt;0,'Weekly Summary'!U$100+'Weekly Summary'!U$101,0)),'Equipment List &amp; Usage'!$C$115*(('Weekly Summary'!U$128*'Equipment List &amp; Usage'!$AA16)+('Weekly Summary'!U$100*'Equipment List &amp; Usage'!$AB16*SelfQuarantine_Mild)+('Weekly Summary'!U$101*'Equipment List &amp; Usage'!$AB16*SelfQuarantine_Moderate)))+IF('Equipment List &amp; Usage'!$F16="Yes",('Equipment List &amp; Usage'!$C$114*(IF('Equipment List &amp; Usage'!$AE16&gt;0,'Weekly Summary'!U$134,0)+IF('Equipment List &amp; Usage'!$AF16&gt;0,'Weekly Summary'!U$135))),'Equipment List &amp; Usage'!$C$115*(('Weekly Summary'!U$134*'Equipment List &amp; Usage'!$AE16)+('Weekly Summary'!U$135*'Equipment List &amp; Usage'!$AF16))))-SUM($I14:Z14),
IF($F14="yes",MMULT(--('Equipment List &amp; Usage'!$J16:$N16&gt;0),--('Weekly Summary'!U$112:U$116))*'Equipment List &amp; Usage'!$C$114,MMULT(--('Equipment List &amp; Usage'!$J16:$N16),--('Weekly Summary'!U$112:U$116))*'Equipment List &amp; Usage'!$C$115)+IF('Equipment List &amp; Usage'!$F15="yes",'Equipment List &amp; Usage'!$C$114,'Equipment List &amp; Usage'!$C$115)*(('Weekly Summary'!U$66*'Equipment List &amp; Usage'!$Q16)+('Weekly Summary'!U$64*'Equipment List &amp; Usage'!$O16)+('Weekly Summary'!U$65*'Equipment List &amp; Usage'!$P16))+(IF('Equipment List &amp; Usage'!$F16="Yes",'Equipment List &amp; Usage'!$C$114*((('Weekly Summary'!U$131*SelfQuarantine_Mild)+('Weekly Summary'!U$100*SelfQuarantine_Mild)+('Weekly Summary'!U$101*SelfQuarantine_Moderate))),'Equipment List &amp; Usage'!$C$115)*((('Weekly Summary'!U$131*SelfQuarantine_Mild*'Equipment List &amp; Usage'!$W16)+('Weekly Summary'!U$100*SelfQuarantine_Mild*'Equipment List &amp; Usage'!$X16)+('Weekly Summary'!U$101*SelfQuarantine_Moderate*'Equipment List &amp; Usage'!$X16))))+IF('Equipment List &amp; Usage'!$F16="Yes",'Equipment List &amp; Usage'!$C$114*(IF('Equipment List &amp; Usage'!$AA16&gt;0,'Weekly Summary'!U$128,0)+IF('Equipment List &amp; Usage'!$AB16&gt;0,'Weekly Summary'!U$100+'Weekly Summary'!U$101,0)),'Equipment List &amp; Usage'!$C$115*(('Weekly Summary'!U$128*'Equipment List &amp; Usage'!$AA16)+('Weekly Summary'!U$100*'Equipment List &amp; Usage'!$AB16*SelfQuarantine_Mild)+('Weekly Summary'!U$101*'Equipment List &amp; Usage'!$AB16*SelfQuarantine_Moderate)))+IF('Equipment List &amp; Usage'!$F16="Yes",('Equipment List &amp; Usage'!$C$114*(IF('Equipment List &amp; Usage'!$AE16&gt;0,'Weekly Summary'!U$134,0)+IF('Equipment List &amp; Usage'!$AF16&gt;0,'Weekly Summary'!U$135))),'Equipment List &amp; Usage'!$C$115*(('Weekly Summary'!U$134*'Equipment List &amp; Usage'!$AE16)+('Weekly Summary'!U$135*'Equipment List &amp; Usage'!$AF16)))),0)</f>
        <v>0</v>
      </c>
      <c r="AB14" s="1374">
        <f ca="1">MAX(IF($F14="Yes",(
IF($F14="yes",MMULT(--('Equipment List &amp; Usage'!$J16:$N16&gt;0),--('Weekly Summary'!V$112:V$116))*'Equipment List &amp; Usage'!$C$114,MMULT(--('Equipment List &amp; Usage'!$J16:$N16),--('Weekly Summary'!V$112:V$116))*'Equipment List &amp; Usage'!$C$115)+IF('Equipment List &amp; Usage'!$F15="yes",'Equipment List &amp; Usage'!$C$114,'Equipment List &amp; Usage'!$C$115)*(('Weekly Summary'!V$66*'Equipment List &amp; Usage'!$Q16)+('Weekly Summary'!V$64*'Equipment List &amp; Usage'!$O16)+('Weekly Summary'!V$65*'Equipment List &amp; Usage'!$P16)))+(IF('Equipment List &amp; Usage'!$F16="Yes",'Equipment List &amp; Usage'!$C$114*((('Weekly Summary'!V$131*SelfQuarantine_Mild)+('Weekly Summary'!V$100*SelfQuarantine_Mild)+('Weekly Summary'!V$101*SelfQuarantine_Moderate))),'Equipment List &amp; Usage'!$C$115)*((('Weekly Summary'!V$131*SelfQuarantine_Mild*'Equipment List &amp; Usage'!$W16)+('Weekly Summary'!V$100*SelfQuarantine_Mild*'Equipment List &amp; Usage'!$X16)+('Weekly Summary'!V$101*SelfQuarantine_Moderate*'Equipment List &amp; Usage'!$X16)))+IF('Equipment List &amp; Usage'!$F16="Yes",'Equipment List &amp; Usage'!$C$114*(IF('Equipment List &amp; Usage'!$AA16&gt;0,'Weekly Summary'!V$128,0)+IF('Equipment List &amp; Usage'!$AB16&gt;0,'Weekly Summary'!V$100+'Weekly Summary'!V$101,0)),'Equipment List &amp; Usage'!$C$115*(('Weekly Summary'!V$128*'Equipment List &amp; Usage'!$AA16)+('Weekly Summary'!V$100*'Equipment List &amp; Usage'!$AB16*SelfQuarantine_Mild)+('Weekly Summary'!V$101*'Equipment List &amp; Usage'!$AB16*SelfQuarantine_Moderate)))+IF('Equipment List &amp; Usage'!$F16="Yes",('Equipment List &amp; Usage'!$C$114*(IF('Equipment List &amp; Usage'!$AE16&gt;0,'Weekly Summary'!V$134,0)+IF('Equipment List &amp; Usage'!$AF16&gt;0,'Weekly Summary'!V$135))),'Equipment List &amp; Usage'!$C$115*(('Weekly Summary'!V$134*'Equipment List &amp; Usage'!$AE16)+('Weekly Summary'!V$135*'Equipment List &amp; Usage'!$AF16))))-SUM($I14:AA14),
IF($F14="yes",MMULT(--('Equipment List &amp; Usage'!$J16:$N16&gt;0),--('Weekly Summary'!V$112:V$116))*'Equipment List &amp; Usage'!$C$114,MMULT(--('Equipment List &amp; Usage'!$J16:$N16),--('Weekly Summary'!V$112:V$116))*'Equipment List &amp; Usage'!$C$115)+IF('Equipment List &amp; Usage'!$F15="yes",'Equipment List &amp; Usage'!$C$114,'Equipment List &amp; Usage'!$C$115)*(('Weekly Summary'!V$66*'Equipment List &amp; Usage'!$Q16)+('Weekly Summary'!V$64*'Equipment List &amp; Usage'!$O16)+('Weekly Summary'!V$65*'Equipment List &amp; Usage'!$P16))+(IF('Equipment List &amp; Usage'!$F16="Yes",'Equipment List &amp; Usage'!$C$114*((('Weekly Summary'!V$131*SelfQuarantine_Mild)+('Weekly Summary'!V$100*SelfQuarantine_Mild)+('Weekly Summary'!V$101*SelfQuarantine_Moderate))),'Equipment List &amp; Usage'!$C$115)*((('Weekly Summary'!V$131*SelfQuarantine_Mild*'Equipment List &amp; Usage'!$W16)+('Weekly Summary'!V$100*SelfQuarantine_Mild*'Equipment List &amp; Usage'!$X16)+('Weekly Summary'!V$101*SelfQuarantine_Moderate*'Equipment List &amp; Usage'!$X16))))+IF('Equipment List &amp; Usage'!$F16="Yes",'Equipment List &amp; Usage'!$C$114*(IF('Equipment List &amp; Usage'!$AA16&gt;0,'Weekly Summary'!V$128,0)+IF('Equipment List &amp; Usage'!$AB16&gt;0,'Weekly Summary'!V$100+'Weekly Summary'!V$101,0)),'Equipment List &amp; Usage'!$C$115*(('Weekly Summary'!V$128*'Equipment List &amp; Usage'!$AA16)+('Weekly Summary'!V$100*'Equipment List &amp; Usage'!$AB16*SelfQuarantine_Mild)+('Weekly Summary'!V$101*'Equipment List &amp; Usage'!$AB16*SelfQuarantine_Moderate)))+IF('Equipment List &amp; Usage'!$F16="Yes",('Equipment List &amp; Usage'!$C$114*(IF('Equipment List &amp; Usage'!$AE16&gt;0,'Weekly Summary'!V$134,0)+IF('Equipment List &amp; Usage'!$AF16&gt;0,'Weekly Summary'!V$135))),'Equipment List &amp; Usage'!$C$115*(('Weekly Summary'!V$134*'Equipment List &amp; Usage'!$AE16)+('Weekly Summary'!V$135*'Equipment List &amp; Usage'!$AF16)))),0)</f>
        <v>0</v>
      </c>
      <c r="AC14" s="1374">
        <f ca="1">MAX(IF($F14="Yes",(
IF($F14="yes",MMULT(--('Equipment List &amp; Usage'!$J16:$N16&gt;0),--('Weekly Summary'!W$112:W$116))*'Equipment List &amp; Usage'!$C$114,MMULT(--('Equipment List &amp; Usage'!$J16:$N16),--('Weekly Summary'!W$112:W$116))*'Equipment List &amp; Usage'!$C$115)+IF('Equipment List &amp; Usage'!$F15="yes",'Equipment List &amp; Usage'!$C$114,'Equipment List &amp; Usage'!$C$115)*(('Weekly Summary'!W$66*'Equipment List &amp; Usage'!$Q16)+('Weekly Summary'!W$64*'Equipment List &amp; Usage'!$O16)+('Weekly Summary'!W$65*'Equipment List &amp; Usage'!$P16)))+(IF('Equipment List &amp; Usage'!$F16="Yes",'Equipment List &amp; Usage'!$C$114*((('Weekly Summary'!W$131*SelfQuarantine_Mild)+('Weekly Summary'!W$100*SelfQuarantine_Mild)+('Weekly Summary'!W$101*SelfQuarantine_Moderate))),'Equipment List &amp; Usage'!$C$115)*((('Weekly Summary'!W$131*SelfQuarantine_Mild*'Equipment List &amp; Usage'!$W16)+('Weekly Summary'!W$100*SelfQuarantine_Mild*'Equipment List &amp; Usage'!$X16)+('Weekly Summary'!W$101*SelfQuarantine_Moderate*'Equipment List &amp; Usage'!$X16)))+IF('Equipment List &amp; Usage'!$F16="Yes",'Equipment List &amp; Usage'!$C$114*(IF('Equipment List &amp; Usage'!$AA16&gt;0,'Weekly Summary'!W$128,0)+IF('Equipment List &amp; Usage'!$AB16&gt;0,'Weekly Summary'!W$100+'Weekly Summary'!W$101,0)),'Equipment List &amp; Usage'!$C$115*(('Weekly Summary'!W$128*'Equipment List &amp; Usage'!$AA16)+('Weekly Summary'!W$100*'Equipment List &amp; Usage'!$AB16*SelfQuarantine_Mild)+('Weekly Summary'!W$101*'Equipment List &amp; Usage'!$AB16*SelfQuarantine_Moderate)))+IF('Equipment List &amp; Usage'!$F16="Yes",('Equipment List &amp; Usage'!$C$114*(IF('Equipment List &amp; Usage'!$AE16&gt;0,'Weekly Summary'!W$134,0)+IF('Equipment List &amp; Usage'!$AF16&gt;0,'Weekly Summary'!W$135))),'Equipment List &amp; Usage'!$C$115*(('Weekly Summary'!W$134*'Equipment List &amp; Usage'!$AE16)+('Weekly Summary'!W$135*'Equipment List &amp; Usage'!$AF16))))-SUM($I14:AB14),
IF($F14="yes",MMULT(--('Equipment List &amp; Usage'!$J16:$N16&gt;0),--('Weekly Summary'!W$112:W$116))*'Equipment List &amp; Usage'!$C$114,MMULT(--('Equipment List &amp; Usage'!$J16:$N16),--('Weekly Summary'!W$112:W$116))*'Equipment List &amp; Usage'!$C$115)+IF('Equipment List &amp; Usage'!$F15="yes",'Equipment List &amp; Usage'!$C$114,'Equipment List &amp; Usage'!$C$115)*(('Weekly Summary'!W$66*'Equipment List &amp; Usage'!$Q16)+('Weekly Summary'!W$64*'Equipment List &amp; Usage'!$O16)+('Weekly Summary'!W$65*'Equipment List &amp; Usage'!$P16))+(IF('Equipment List &amp; Usage'!$F16="Yes",'Equipment List &amp; Usage'!$C$114*((('Weekly Summary'!W$131*SelfQuarantine_Mild)+('Weekly Summary'!W$100*SelfQuarantine_Mild)+('Weekly Summary'!W$101*SelfQuarantine_Moderate))),'Equipment List &amp; Usage'!$C$115)*((('Weekly Summary'!W$131*SelfQuarantine_Mild*'Equipment List &amp; Usage'!$W16)+('Weekly Summary'!W$100*SelfQuarantine_Mild*'Equipment List &amp; Usage'!$X16)+('Weekly Summary'!W$101*SelfQuarantine_Moderate*'Equipment List &amp; Usage'!$X16))))+IF('Equipment List &amp; Usage'!$F16="Yes",'Equipment List &amp; Usage'!$C$114*(IF('Equipment List &amp; Usage'!$AA16&gt;0,'Weekly Summary'!W$128,0)+IF('Equipment List &amp; Usage'!$AB16&gt;0,'Weekly Summary'!W$100+'Weekly Summary'!W$101,0)),'Equipment List &amp; Usage'!$C$115*(('Weekly Summary'!W$128*'Equipment List &amp; Usage'!$AA16)+('Weekly Summary'!W$100*'Equipment List &amp; Usage'!$AB16*SelfQuarantine_Mild)+('Weekly Summary'!W$101*'Equipment List &amp; Usage'!$AB16*SelfQuarantine_Moderate)))+IF('Equipment List &amp; Usage'!$F16="Yes",('Equipment List &amp; Usage'!$C$114*(IF('Equipment List &amp; Usage'!$AE16&gt;0,'Weekly Summary'!W$134,0)+IF('Equipment List &amp; Usage'!$AF16&gt;0,'Weekly Summary'!W$135))),'Equipment List &amp; Usage'!$C$115*(('Weekly Summary'!W$134*'Equipment List &amp; Usage'!$AE16)+('Weekly Summary'!W$135*'Equipment List &amp; Usage'!$AF16)))),0)</f>
        <v>0</v>
      </c>
      <c r="AD14" s="1374">
        <f ca="1">MAX(IF($F14="Yes",(
IF($F14="yes",MMULT(--('Equipment List &amp; Usage'!$J16:$N16&gt;0),--('Weekly Summary'!X$112:X$116))*'Equipment List &amp; Usage'!$C$114,MMULT(--('Equipment List &amp; Usage'!$J16:$N16),--('Weekly Summary'!X$112:X$116))*'Equipment List &amp; Usage'!$C$115)+IF('Equipment List &amp; Usage'!$F15="yes",'Equipment List &amp; Usage'!$C$114,'Equipment List &amp; Usage'!$C$115)*(('Weekly Summary'!X$66*'Equipment List &amp; Usage'!$Q16)+('Weekly Summary'!X$64*'Equipment List &amp; Usage'!$O16)+('Weekly Summary'!X$65*'Equipment List &amp; Usage'!$P16)))+(IF('Equipment List &amp; Usage'!$F16="Yes",'Equipment List &amp; Usage'!$C$114*((('Weekly Summary'!X$131*SelfQuarantine_Mild)+('Weekly Summary'!X$100*SelfQuarantine_Mild)+('Weekly Summary'!X$101*SelfQuarantine_Moderate))),'Equipment List &amp; Usage'!$C$115)*((('Weekly Summary'!X$131*SelfQuarantine_Mild*'Equipment List &amp; Usage'!$W16)+('Weekly Summary'!X$100*SelfQuarantine_Mild*'Equipment List &amp; Usage'!$X16)+('Weekly Summary'!X$101*SelfQuarantine_Moderate*'Equipment List &amp; Usage'!$X16)))+IF('Equipment List &amp; Usage'!$F16="Yes",'Equipment List &amp; Usage'!$C$114*(IF('Equipment List &amp; Usage'!$AA16&gt;0,'Weekly Summary'!X$128,0)+IF('Equipment List &amp; Usage'!$AB16&gt;0,'Weekly Summary'!X$100+'Weekly Summary'!X$101,0)),'Equipment List &amp; Usage'!$C$115*(('Weekly Summary'!X$128*'Equipment List &amp; Usage'!$AA16)+('Weekly Summary'!X$100*'Equipment List &amp; Usage'!$AB16*SelfQuarantine_Mild)+('Weekly Summary'!X$101*'Equipment List &amp; Usage'!$AB16*SelfQuarantine_Moderate)))+IF('Equipment List &amp; Usage'!$F16="Yes",('Equipment List &amp; Usage'!$C$114*(IF('Equipment List &amp; Usage'!$AE16&gt;0,'Weekly Summary'!X$134,0)+IF('Equipment List &amp; Usage'!$AF16&gt;0,'Weekly Summary'!X$135))),'Equipment List &amp; Usage'!$C$115*(('Weekly Summary'!X$134*'Equipment List &amp; Usage'!$AE16)+('Weekly Summary'!X$135*'Equipment List &amp; Usage'!$AF16))))-SUM($I14:AC14),
IF($F14="yes",MMULT(--('Equipment List &amp; Usage'!$J16:$N16&gt;0),--('Weekly Summary'!X$112:X$116))*'Equipment List &amp; Usage'!$C$114,MMULT(--('Equipment List &amp; Usage'!$J16:$N16),--('Weekly Summary'!X$112:X$116))*'Equipment List &amp; Usage'!$C$115)+IF('Equipment List &amp; Usage'!$F15="yes",'Equipment List &amp; Usage'!$C$114,'Equipment List &amp; Usage'!$C$115)*(('Weekly Summary'!X$66*'Equipment List &amp; Usage'!$Q16)+('Weekly Summary'!X$64*'Equipment List &amp; Usage'!$O16)+('Weekly Summary'!X$65*'Equipment List &amp; Usage'!$P16))+(IF('Equipment List &amp; Usage'!$F16="Yes",'Equipment List &amp; Usage'!$C$114*((('Weekly Summary'!X$131*SelfQuarantine_Mild)+('Weekly Summary'!X$100*SelfQuarantine_Mild)+('Weekly Summary'!X$101*SelfQuarantine_Moderate))),'Equipment List &amp; Usage'!$C$115)*((('Weekly Summary'!X$131*SelfQuarantine_Mild*'Equipment List &amp; Usage'!$W16)+('Weekly Summary'!X$100*SelfQuarantine_Mild*'Equipment List &amp; Usage'!$X16)+('Weekly Summary'!X$101*SelfQuarantine_Moderate*'Equipment List &amp; Usage'!$X16))))+IF('Equipment List &amp; Usage'!$F16="Yes",'Equipment List &amp; Usage'!$C$114*(IF('Equipment List &amp; Usage'!$AA16&gt;0,'Weekly Summary'!X$128,0)+IF('Equipment List &amp; Usage'!$AB16&gt;0,'Weekly Summary'!X$100+'Weekly Summary'!X$101,0)),'Equipment List &amp; Usage'!$C$115*(('Weekly Summary'!X$128*'Equipment List &amp; Usage'!$AA16)+('Weekly Summary'!X$100*'Equipment List &amp; Usage'!$AB16*SelfQuarantine_Mild)+('Weekly Summary'!X$101*'Equipment List &amp; Usage'!$AB16*SelfQuarantine_Moderate)))+IF('Equipment List &amp; Usage'!$F16="Yes",('Equipment List &amp; Usage'!$C$114*(IF('Equipment List &amp; Usage'!$AE16&gt;0,'Weekly Summary'!X$134,0)+IF('Equipment List &amp; Usage'!$AF16&gt;0,'Weekly Summary'!X$135))),'Equipment List &amp; Usage'!$C$115*(('Weekly Summary'!X$134*'Equipment List &amp; Usage'!$AE16)+('Weekly Summary'!X$135*'Equipment List &amp; Usage'!$AF16)))),0)</f>
        <v>0</v>
      </c>
      <c r="AE14" s="1374">
        <f ca="1">MAX(IF($F14="Yes",(
IF($F14="yes",MMULT(--('Equipment List &amp; Usage'!$J16:$N16&gt;0),--('Weekly Summary'!Y$112:Y$116))*'Equipment List &amp; Usage'!$C$114,MMULT(--('Equipment List &amp; Usage'!$J16:$N16),--('Weekly Summary'!Y$112:Y$116))*'Equipment List &amp; Usage'!$C$115)+IF('Equipment List &amp; Usage'!$F15="yes",'Equipment List &amp; Usage'!$C$114,'Equipment List &amp; Usage'!$C$115)*(('Weekly Summary'!Y$66*'Equipment List &amp; Usage'!$Q16)+('Weekly Summary'!Y$64*'Equipment List &amp; Usage'!$O16)+('Weekly Summary'!Y$65*'Equipment List &amp; Usage'!$P16)))+(IF('Equipment List &amp; Usage'!$F16="Yes",'Equipment List &amp; Usage'!$C$114*((('Weekly Summary'!Y$131*SelfQuarantine_Mild)+('Weekly Summary'!Y$100*SelfQuarantine_Mild)+('Weekly Summary'!Y$101*SelfQuarantine_Moderate))),'Equipment List &amp; Usage'!$C$115)*((('Weekly Summary'!Y$131*SelfQuarantine_Mild*'Equipment List &amp; Usage'!$W16)+('Weekly Summary'!Y$100*SelfQuarantine_Mild*'Equipment List &amp; Usage'!$X16)+('Weekly Summary'!Y$101*SelfQuarantine_Moderate*'Equipment List &amp; Usage'!$X16)))+IF('Equipment List &amp; Usage'!$F16="Yes",'Equipment List &amp; Usage'!$C$114*(IF('Equipment List &amp; Usage'!$AA16&gt;0,'Weekly Summary'!Y$128,0)+IF('Equipment List &amp; Usage'!$AB16&gt;0,'Weekly Summary'!Y$100+'Weekly Summary'!Y$101,0)),'Equipment List &amp; Usage'!$C$115*(('Weekly Summary'!Y$128*'Equipment List &amp; Usage'!$AA16)+('Weekly Summary'!Y$100*'Equipment List &amp; Usage'!$AB16*SelfQuarantine_Mild)+('Weekly Summary'!Y$101*'Equipment List &amp; Usage'!$AB16*SelfQuarantine_Moderate)))+IF('Equipment List &amp; Usage'!$F16="Yes",('Equipment List &amp; Usage'!$C$114*(IF('Equipment List &amp; Usage'!$AE16&gt;0,'Weekly Summary'!Y$134,0)+IF('Equipment List &amp; Usage'!$AF16&gt;0,'Weekly Summary'!Y$135))),'Equipment List &amp; Usage'!$C$115*(('Weekly Summary'!Y$134*'Equipment List &amp; Usage'!$AE16)+('Weekly Summary'!Y$135*'Equipment List &amp; Usage'!$AF16))))-SUM($I14:AD14),
IF($F14="yes",MMULT(--('Equipment List &amp; Usage'!$J16:$N16&gt;0),--('Weekly Summary'!Y$112:Y$116))*'Equipment List &amp; Usage'!$C$114,MMULT(--('Equipment List &amp; Usage'!$J16:$N16),--('Weekly Summary'!Y$112:Y$116))*'Equipment List &amp; Usage'!$C$115)+IF('Equipment List &amp; Usage'!$F15="yes",'Equipment List &amp; Usage'!$C$114,'Equipment List &amp; Usage'!$C$115)*(('Weekly Summary'!Y$66*'Equipment List &amp; Usage'!$Q16)+('Weekly Summary'!Y$64*'Equipment List &amp; Usage'!$O16)+('Weekly Summary'!Y$65*'Equipment List &amp; Usage'!$P16))+(IF('Equipment List &amp; Usage'!$F16="Yes",'Equipment List &amp; Usage'!$C$114*((('Weekly Summary'!Y$131*SelfQuarantine_Mild)+('Weekly Summary'!Y$100*SelfQuarantine_Mild)+('Weekly Summary'!Y$101*SelfQuarantine_Moderate))),'Equipment List &amp; Usage'!$C$115)*((('Weekly Summary'!Y$131*SelfQuarantine_Mild*'Equipment List &amp; Usage'!$W16)+('Weekly Summary'!Y$100*SelfQuarantine_Mild*'Equipment List &amp; Usage'!$X16)+('Weekly Summary'!Y$101*SelfQuarantine_Moderate*'Equipment List &amp; Usage'!$X16))))+IF('Equipment List &amp; Usage'!$F16="Yes",'Equipment List &amp; Usage'!$C$114*(IF('Equipment List &amp; Usage'!$AA16&gt;0,'Weekly Summary'!Y$128,0)+IF('Equipment List &amp; Usage'!$AB16&gt;0,'Weekly Summary'!Y$100+'Weekly Summary'!Y$101,0)),'Equipment List &amp; Usage'!$C$115*(('Weekly Summary'!Y$128*'Equipment List &amp; Usage'!$AA16)+('Weekly Summary'!Y$100*'Equipment List &amp; Usage'!$AB16*SelfQuarantine_Mild)+('Weekly Summary'!Y$101*'Equipment List &amp; Usage'!$AB16*SelfQuarantine_Moderate)))+IF('Equipment List &amp; Usage'!$F16="Yes",('Equipment List &amp; Usage'!$C$114*(IF('Equipment List &amp; Usage'!$AE16&gt;0,'Weekly Summary'!Y$134,0)+IF('Equipment List &amp; Usage'!$AF16&gt;0,'Weekly Summary'!Y$135))),'Equipment List &amp; Usage'!$C$115*(('Weekly Summary'!Y$134*'Equipment List &amp; Usage'!$AE16)+('Weekly Summary'!Y$135*'Equipment List &amp; Usage'!$AF16)))),0)</f>
        <v>0</v>
      </c>
      <c r="AF14" s="1374">
        <f ca="1">MAX(IF($F14="Yes",(
IF($F14="yes",MMULT(--('Equipment List &amp; Usage'!$J16:$N16&gt;0),--('Weekly Summary'!Z$112:Z$116))*'Equipment List &amp; Usage'!$C$114,MMULT(--('Equipment List &amp; Usage'!$J16:$N16),--('Weekly Summary'!Z$112:Z$116))*'Equipment List &amp; Usage'!$C$115)+IF('Equipment List &amp; Usage'!$F15="yes",'Equipment List &amp; Usage'!$C$114,'Equipment List &amp; Usage'!$C$115)*(('Weekly Summary'!Z$66*'Equipment List &amp; Usage'!$Q16)+('Weekly Summary'!Z$64*'Equipment List &amp; Usage'!$O16)+('Weekly Summary'!Z$65*'Equipment List &amp; Usage'!$P16)))+(IF('Equipment List &amp; Usage'!$F16="Yes",'Equipment List &amp; Usage'!$C$114*((('Weekly Summary'!Z$131*SelfQuarantine_Mild)+('Weekly Summary'!Z$100*SelfQuarantine_Mild)+('Weekly Summary'!Z$101*SelfQuarantine_Moderate))),'Equipment List &amp; Usage'!$C$115)*((('Weekly Summary'!Z$131*SelfQuarantine_Mild*'Equipment List &amp; Usage'!$W16)+('Weekly Summary'!Z$100*SelfQuarantine_Mild*'Equipment List &amp; Usage'!$X16)+('Weekly Summary'!Z$101*SelfQuarantine_Moderate*'Equipment List &amp; Usage'!$X16)))+IF('Equipment List &amp; Usage'!$F16="Yes",'Equipment List &amp; Usage'!$C$114*(IF('Equipment List &amp; Usage'!$AA16&gt;0,'Weekly Summary'!Z$128,0)+IF('Equipment List &amp; Usage'!$AB16&gt;0,'Weekly Summary'!Z$100+'Weekly Summary'!Z$101,0)),'Equipment List &amp; Usage'!$C$115*(('Weekly Summary'!Z$128*'Equipment List &amp; Usage'!$AA16)+('Weekly Summary'!Z$100*'Equipment List &amp; Usage'!$AB16*SelfQuarantine_Mild)+('Weekly Summary'!Z$101*'Equipment List &amp; Usage'!$AB16*SelfQuarantine_Moderate)))+IF('Equipment List &amp; Usage'!$F16="Yes",('Equipment List &amp; Usage'!$C$114*(IF('Equipment List &amp; Usage'!$AE16&gt;0,'Weekly Summary'!Z$134,0)+IF('Equipment List &amp; Usage'!$AF16&gt;0,'Weekly Summary'!Z$135))),'Equipment List &amp; Usage'!$C$115*(('Weekly Summary'!Z$134*'Equipment List &amp; Usage'!$AE16)+('Weekly Summary'!Z$135*'Equipment List &amp; Usage'!$AF16))))-SUM($I14:AE14),
IF($F14="yes",MMULT(--('Equipment List &amp; Usage'!$J16:$N16&gt;0),--('Weekly Summary'!Z$112:Z$116))*'Equipment List &amp; Usage'!$C$114,MMULT(--('Equipment List &amp; Usage'!$J16:$N16),--('Weekly Summary'!Z$112:Z$116))*'Equipment List &amp; Usage'!$C$115)+IF('Equipment List &amp; Usage'!$F15="yes",'Equipment List &amp; Usage'!$C$114,'Equipment List &amp; Usage'!$C$115)*(('Weekly Summary'!Z$66*'Equipment List &amp; Usage'!$Q16)+('Weekly Summary'!Z$64*'Equipment List &amp; Usage'!$O16)+('Weekly Summary'!Z$65*'Equipment List &amp; Usage'!$P16))+(IF('Equipment List &amp; Usage'!$F16="Yes",'Equipment List &amp; Usage'!$C$114*((('Weekly Summary'!Z$131*SelfQuarantine_Mild)+('Weekly Summary'!Z$100*SelfQuarantine_Mild)+('Weekly Summary'!Z$101*SelfQuarantine_Moderate))),'Equipment List &amp; Usage'!$C$115)*((('Weekly Summary'!Z$131*SelfQuarantine_Mild*'Equipment List &amp; Usage'!$W16)+('Weekly Summary'!Z$100*SelfQuarantine_Mild*'Equipment List &amp; Usage'!$X16)+('Weekly Summary'!Z$101*SelfQuarantine_Moderate*'Equipment List &amp; Usage'!$X16))))+IF('Equipment List &amp; Usage'!$F16="Yes",'Equipment List &amp; Usage'!$C$114*(IF('Equipment List &amp; Usage'!$AA16&gt;0,'Weekly Summary'!Z$128,0)+IF('Equipment List &amp; Usage'!$AB16&gt;0,'Weekly Summary'!Z$100+'Weekly Summary'!Z$101,0)),'Equipment List &amp; Usage'!$C$115*(('Weekly Summary'!Z$128*'Equipment List &amp; Usage'!$AA16)+('Weekly Summary'!Z$100*'Equipment List &amp; Usage'!$AB16*SelfQuarantine_Mild)+('Weekly Summary'!Z$101*'Equipment List &amp; Usage'!$AB16*SelfQuarantine_Moderate)))+IF('Equipment List &amp; Usage'!$F16="Yes",('Equipment List &amp; Usage'!$C$114*(IF('Equipment List &amp; Usage'!$AE16&gt;0,'Weekly Summary'!Z$134,0)+IF('Equipment List &amp; Usage'!$AF16&gt;0,'Weekly Summary'!Z$135))),'Equipment List &amp; Usage'!$C$115*(('Weekly Summary'!Z$134*'Equipment List &amp; Usage'!$AE16)+('Weekly Summary'!Z$135*'Equipment List &amp; Usage'!$AF16)))),0)</f>
        <v>0</v>
      </c>
      <c r="AG14" s="1374">
        <f ca="1">MAX(IF($F14="Yes",(
IF($F14="yes",MMULT(--('Equipment List &amp; Usage'!$J16:$N16&gt;0),--('Weekly Summary'!AA$112:AA$116))*'Equipment List &amp; Usage'!$C$114,MMULT(--('Equipment List &amp; Usage'!$J16:$N16),--('Weekly Summary'!AA$112:AA$116))*'Equipment List &amp; Usage'!$C$115)+IF('Equipment List &amp; Usage'!$F15="yes",'Equipment List &amp; Usage'!$C$114,'Equipment List &amp; Usage'!$C$115)*(('Weekly Summary'!AA$66*'Equipment List &amp; Usage'!$Q16)+('Weekly Summary'!AA$64*'Equipment List &amp; Usage'!$O16)+('Weekly Summary'!AA$65*'Equipment List &amp; Usage'!$P16)))+(IF('Equipment List &amp; Usage'!$F16="Yes",'Equipment List &amp; Usage'!$C$114*((('Weekly Summary'!AA$131*SelfQuarantine_Mild)+('Weekly Summary'!AA$100*SelfQuarantine_Mild)+('Weekly Summary'!AA$101*SelfQuarantine_Moderate))),'Equipment List &amp; Usage'!$C$115)*((('Weekly Summary'!AA$131*SelfQuarantine_Mild*'Equipment List &amp; Usage'!$W16)+('Weekly Summary'!AA$100*SelfQuarantine_Mild*'Equipment List &amp; Usage'!$X16)+('Weekly Summary'!AA$101*SelfQuarantine_Moderate*'Equipment List &amp; Usage'!$X16)))+IF('Equipment List &amp; Usage'!$F16="Yes",'Equipment List &amp; Usage'!$C$114*(IF('Equipment List &amp; Usage'!$AA16&gt;0,'Weekly Summary'!AA$128,0)+IF('Equipment List &amp; Usage'!$AB16&gt;0,'Weekly Summary'!AA$100+'Weekly Summary'!AA$101,0)),'Equipment List &amp; Usage'!$C$115*(('Weekly Summary'!AA$128*'Equipment List &amp; Usage'!$AA16)+('Weekly Summary'!AA$100*'Equipment List &amp; Usage'!$AB16*SelfQuarantine_Mild)+('Weekly Summary'!AA$101*'Equipment List &amp; Usage'!$AB16*SelfQuarantine_Moderate)))+IF('Equipment List &amp; Usage'!$F16="Yes",('Equipment List &amp; Usage'!$C$114*(IF('Equipment List &amp; Usage'!$AE16&gt;0,'Weekly Summary'!AA$134,0)+IF('Equipment List &amp; Usage'!$AF16&gt;0,'Weekly Summary'!AA$135))),'Equipment List &amp; Usage'!$C$115*(('Weekly Summary'!AA$134*'Equipment List &amp; Usage'!$AE16)+('Weekly Summary'!AA$135*'Equipment List &amp; Usage'!$AF16))))-SUM($I14:AF14),
IF($F14="yes",MMULT(--('Equipment List &amp; Usage'!$J16:$N16&gt;0),--('Weekly Summary'!AA$112:AA$116))*'Equipment List &amp; Usage'!$C$114,MMULT(--('Equipment List &amp; Usage'!$J16:$N16),--('Weekly Summary'!AA$112:AA$116))*'Equipment List &amp; Usage'!$C$115)+IF('Equipment List &amp; Usage'!$F15="yes",'Equipment List &amp; Usage'!$C$114,'Equipment List &amp; Usage'!$C$115)*(('Weekly Summary'!AA$66*'Equipment List &amp; Usage'!$Q16)+('Weekly Summary'!AA$64*'Equipment List &amp; Usage'!$O16)+('Weekly Summary'!AA$65*'Equipment List &amp; Usage'!$P16))+(IF('Equipment List &amp; Usage'!$F16="Yes",'Equipment List &amp; Usage'!$C$114*((('Weekly Summary'!AA$131*SelfQuarantine_Mild)+('Weekly Summary'!AA$100*SelfQuarantine_Mild)+('Weekly Summary'!AA$101*SelfQuarantine_Moderate))),'Equipment List &amp; Usage'!$C$115)*((('Weekly Summary'!AA$131*SelfQuarantine_Mild*'Equipment List &amp; Usage'!$W16)+('Weekly Summary'!AA$100*SelfQuarantine_Mild*'Equipment List &amp; Usage'!$X16)+('Weekly Summary'!AA$101*SelfQuarantine_Moderate*'Equipment List &amp; Usage'!$X16))))+IF('Equipment List &amp; Usage'!$F16="Yes",'Equipment List &amp; Usage'!$C$114*(IF('Equipment List &amp; Usage'!$AA16&gt;0,'Weekly Summary'!AA$128,0)+IF('Equipment List &amp; Usage'!$AB16&gt;0,'Weekly Summary'!AA$100+'Weekly Summary'!AA$101,0)),'Equipment List &amp; Usage'!$C$115*(('Weekly Summary'!AA$128*'Equipment List &amp; Usage'!$AA16)+('Weekly Summary'!AA$100*'Equipment List &amp; Usage'!$AB16*SelfQuarantine_Mild)+('Weekly Summary'!AA$101*'Equipment List &amp; Usage'!$AB16*SelfQuarantine_Moderate)))+IF('Equipment List &amp; Usage'!$F16="Yes",('Equipment List &amp; Usage'!$C$114*(IF('Equipment List &amp; Usage'!$AE16&gt;0,'Weekly Summary'!AA$134,0)+IF('Equipment List &amp; Usage'!$AF16&gt;0,'Weekly Summary'!AA$135))),'Equipment List &amp; Usage'!$C$115*(('Weekly Summary'!AA$134*'Equipment List &amp; Usage'!$AE16)+('Weekly Summary'!AA$135*'Equipment List &amp; Usage'!$AF16)))),0)</f>
        <v>0</v>
      </c>
      <c r="AH14" s="1374">
        <f ca="1">MAX(IF($F14="Yes",(
IF($F14="yes",MMULT(--('Equipment List &amp; Usage'!$J16:$N16&gt;0),--('Weekly Summary'!AB$112:AB$116))*'Equipment List &amp; Usage'!$C$114,MMULT(--('Equipment List &amp; Usage'!$J16:$N16),--('Weekly Summary'!AB$112:AB$116))*'Equipment List &amp; Usage'!$C$115)+IF('Equipment List &amp; Usage'!$F15="yes",'Equipment List &amp; Usage'!$C$114,'Equipment List &amp; Usage'!$C$115)*(('Weekly Summary'!AB$66*'Equipment List &amp; Usage'!$Q16)+('Weekly Summary'!AB$64*'Equipment List &amp; Usage'!$O16)+('Weekly Summary'!AB$65*'Equipment List &amp; Usage'!$P16)))+(IF('Equipment List &amp; Usage'!$F16="Yes",'Equipment List &amp; Usage'!$C$114*((('Weekly Summary'!AB$131*SelfQuarantine_Mild)+('Weekly Summary'!AB$100*SelfQuarantine_Mild)+('Weekly Summary'!AB$101*SelfQuarantine_Moderate))),'Equipment List &amp; Usage'!$C$115)*((('Weekly Summary'!AB$131*SelfQuarantine_Mild*'Equipment List &amp; Usage'!$W16)+('Weekly Summary'!AB$100*SelfQuarantine_Mild*'Equipment List &amp; Usage'!$X16)+('Weekly Summary'!AB$101*SelfQuarantine_Moderate*'Equipment List &amp; Usage'!$X16)))+IF('Equipment List &amp; Usage'!$F16="Yes",'Equipment List &amp; Usage'!$C$114*(IF('Equipment List &amp; Usage'!$AA16&gt;0,'Weekly Summary'!AB$128,0)+IF('Equipment List &amp; Usage'!$AB16&gt;0,'Weekly Summary'!AB$100+'Weekly Summary'!AB$101,0)),'Equipment List &amp; Usage'!$C$115*(('Weekly Summary'!AB$128*'Equipment List &amp; Usage'!$AA16)+('Weekly Summary'!AB$100*'Equipment List &amp; Usage'!$AB16*SelfQuarantine_Mild)+('Weekly Summary'!AB$101*'Equipment List &amp; Usage'!$AB16*SelfQuarantine_Moderate)))+IF('Equipment List &amp; Usage'!$F16="Yes",('Equipment List &amp; Usage'!$C$114*(IF('Equipment List &amp; Usage'!$AE16&gt;0,'Weekly Summary'!AB$134,0)+IF('Equipment List &amp; Usage'!$AF16&gt;0,'Weekly Summary'!AB$135))),'Equipment List &amp; Usage'!$C$115*(('Weekly Summary'!AB$134*'Equipment List &amp; Usage'!$AE16)+('Weekly Summary'!AB$135*'Equipment List &amp; Usage'!$AF16))))-SUM($I14:AG14),
IF($F14="yes",MMULT(--('Equipment List &amp; Usage'!$J16:$N16&gt;0),--('Weekly Summary'!AB$112:AB$116))*'Equipment List &amp; Usage'!$C$114,MMULT(--('Equipment List &amp; Usage'!$J16:$N16),--('Weekly Summary'!AB$112:AB$116))*'Equipment List &amp; Usage'!$C$115)+IF('Equipment List &amp; Usage'!$F15="yes",'Equipment List &amp; Usage'!$C$114,'Equipment List &amp; Usage'!$C$115)*(('Weekly Summary'!AB$66*'Equipment List &amp; Usage'!$Q16)+('Weekly Summary'!AB$64*'Equipment List &amp; Usage'!$O16)+('Weekly Summary'!AB$65*'Equipment List &amp; Usage'!$P16))+(IF('Equipment List &amp; Usage'!$F16="Yes",'Equipment List &amp; Usage'!$C$114*((('Weekly Summary'!AB$131*SelfQuarantine_Mild)+('Weekly Summary'!AB$100*SelfQuarantine_Mild)+('Weekly Summary'!AB$101*SelfQuarantine_Moderate))),'Equipment List &amp; Usage'!$C$115)*((('Weekly Summary'!AB$131*SelfQuarantine_Mild*'Equipment List &amp; Usage'!$W16)+('Weekly Summary'!AB$100*SelfQuarantine_Mild*'Equipment List &amp; Usage'!$X16)+('Weekly Summary'!AB$101*SelfQuarantine_Moderate*'Equipment List &amp; Usage'!$X16))))+IF('Equipment List &amp; Usage'!$F16="Yes",'Equipment List &amp; Usage'!$C$114*(IF('Equipment List &amp; Usage'!$AA16&gt;0,'Weekly Summary'!AB$128,0)+IF('Equipment List &amp; Usage'!$AB16&gt;0,'Weekly Summary'!AB$100+'Weekly Summary'!AB$101,0)),'Equipment List &amp; Usage'!$C$115*(('Weekly Summary'!AB$128*'Equipment List &amp; Usage'!$AA16)+('Weekly Summary'!AB$100*'Equipment List &amp; Usage'!$AB16*SelfQuarantine_Mild)+('Weekly Summary'!AB$101*'Equipment List &amp; Usage'!$AB16*SelfQuarantine_Moderate)))+IF('Equipment List &amp; Usage'!$F16="Yes",('Equipment List &amp; Usage'!$C$114*(IF('Equipment List &amp; Usage'!$AE16&gt;0,'Weekly Summary'!AB$134,0)+IF('Equipment List &amp; Usage'!$AF16&gt;0,'Weekly Summary'!AB$135))),'Equipment List &amp; Usage'!$C$115*(('Weekly Summary'!AB$134*'Equipment List &amp; Usage'!$AE16)+('Weekly Summary'!AB$135*'Equipment List &amp; Usage'!$AF16)))),0)</f>
        <v>0</v>
      </c>
      <c r="AI14" s="1374">
        <f ca="1">MAX(IF($F14="Yes",(
IF($F14="yes",MMULT(--('Equipment List &amp; Usage'!$J16:$N16&gt;0),--('Weekly Summary'!AC$112:AC$116))*'Equipment List &amp; Usage'!$C$114,MMULT(--('Equipment List &amp; Usage'!$J16:$N16),--('Weekly Summary'!AC$112:AC$116))*'Equipment List &amp; Usage'!$C$115)+IF('Equipment List &amp; Usage'!$F15="yes",'Equipment List &amp; Usage'!$C$114,'Equipment List &amp; Usage'!$C$115)*(('Weekly Summary'!AC$66*'Equipment List &amp; Usage'!$Q16)+('Weekly Summary'!AC$64*'Equipment List &amp; Usage'!$O16)+('Weekly Summary'!AC$65*'Equipment List &amp; Usage'!$P16)))+(IF('Equipment List &amp; Usage'!$F16="Yes",'Equipment List &amp; Usage'!$C$114*((('Weekly Summary'!AC$131*SelfQuarantine_Mild)+('Weekly Summary'!AC$100*SelfQuarantine_Mild)+('Weekly Summary'!AC$101*SelfQuarantine_Moderate))),'Equipment List &amp; Usage'!$C$115)*((('Weekly Summary'!AC$131*SelfQuarantine_Mild*'Equipment List &amp; Usage'!$W16)+('Weekly Summary'!AC$100*SelfQuarantine_Mild*'Equipment List &amp; Usage'!$X16)+('Weekly Summary'!AC$101*SelfQuarantine_Moderate*'Equipment List &amp; Usage'!$X16)))+IF('Equipment List &amp; Usage'!$F16="Yes",'Equipment List &amp; Usage'!$C$114*(IF('Equipment List &amp; Usage'!$AA16&gt;0,'Weekly Summary'!AC$128,0)+IF('Equipment List &amp; Usage'!$AB16&gt;0,'Weekly Summary'!AC$100+'Weekly Summary'!AC$101,0)),'Equipment List &amp; Usage'!$C$115*(('Weekly Summary'!AC$128*'Equipment List &amp; Usage'!$AA16)+('Weekly Summary'!AC$100*'Equipment List &amp; Usage'!$AB16*SelfQuarantine_Mild)+('Weekly Summary'!AC$101*'Equipment List &amp; Usage'!$AB16*SelfQuarantine_Moderate)))+IF('Equipment List &amp; Usage'!$F16="Yes",('Equipment List &amp; Usage'!$C$114*(IF('Equipment List &amp; Usage'!$AE16&gt;0,'Weekly Summary'!AC$134,0)+IF('Equipment List &amp; Usage'!$AF16&gt;0,'Weekly Summary'!AC$135))),'Equipment List &amp; Usage'!$C$115*(('Weekly Summary'!AC$134*'Equipment List &amp; Usage'!$AE16)+('Weekly Summary'!AC$135*'Equipment List &amp; Usage'!$AF16))))-SUM($I14:AH14),
IF($F14="yes",MMULT(--('Equipment List &amp; Usage'!$J16:$N16&gt;0),--('Weekly Summary'!AC$112:AC$116))*'Equipment List &amp; Usage'!$C$114,MMULT(--('Equipment List &amp; Usage'!$J16:$N16),--('Weekly Summary'!AC$112:AC$116))*'Equipment List &amp; Usage'!$C$115)+IF('Equipment List &amp; Usage'!$F15="yes",'Equipment List &amp; Usage'!$C$114,'Equipment List &amp; Usage'!$C$115)*(('Weekly Summary'!AC$66*'Equipment List &amp; Usage'!$Q16)+('Weekly Summary'!AC$64*'Equipment List &amp; Usage'!$O16)+('Weekly Summary'!AC$65*'Equipment List &amp; Usage'!$P16))+(IF('Equipment List &amp; Usage'!$F16="Yes",'Equipment List &amp; Usage'!$C$114*((('Weekly Summary'!AC$131*SelfQuarantine_Mild)+('Weekly Summary'!AC$100*SelfQuarantine_Mild)+('Weekly Summary'!AC$101*SelfQuarantine_Moderate))),'Equipment List &amp; Usage'!$C$115)*((('Weekly Summary'!AC$131*SelfQuarantine_Mild*'Equipment List &amp; Usage'!$W16)+('Weekly Summary'!AC$100*SelfQuarantine_Mild*'Equipment List &amp; Usage'!$X16)+('Weekly Summary'!AC$101*SelfQuarantine_Moderate*'Equipment List &amp; Usage'!$X16))))+IF('Equipment List &amp; Usage'!$F16="Yes",'Equipment List &amp; Usage'!$C$114*(IF('Equipment List &amp; Usage'!$AA16&gt;0,'Weekly Summary'!AC$128,0)+IF('Equipment List &amp; Usage'!$AB16&gt;0,'Weekly Summary'!AC$100+'Weekly Summary'!AC$101,0)),'Equipment List &amp; Usage'!$C$115*(('Weekly Summary'!AC$128*'Equipment List &amp; Usage'!$AA16)+('Weekly Summary'!AC$100*'Equipment List &amp; Usage'!$AB16*SelfQuarantine_Mild)+('Weekly Summary'!AC$101*'Equipment List &amp; Usage'!$AB16*SelfQuarantine_Moderate)))+IF('Equipment List &amp; Usage'!$F16="Yes",('Equipment List &amp; Usage'!$C$114*(IF('Equipment List &amp; Usage'!$AE16&gt;0,'Weekly Summary'!AC$134,0)+IF('Equipment List &amp; Usage'!$AF16&gt;0,'Weekly Summary'!AC$135))),'Equipment List &amp; Usage'!$C$115*(('Weekly Summary'!AC$134*'Equipment List &amp; Usage'!$AE16)+('Weekly Summary'!AC$135*'Equipment List &amp; Usage'!$AF16)))),0)</f>
        <v>0</v>
      </c>
      <c r="AJ14" s="1374">
        <f ca="1">MAX(IF($F14="Yes",(
IF($F14="yes",MMULT(--('Equipment List &amp; Usage'!$J16:$N16&gt;0),--('Weekly Summary'!AD$112:AD$116))*'Equipment List &amp; Usage'!$C$114,MMULT(--('Equipment List &amp; Usage'!$J16:$N16),--('Weekly Summary'!AD$112:AD$116))*'Equipment List &amp; Usage'!$C$115)+IF('Equipment List &amp; Usage'!$F15="yes",'Equipment List &amp; Usage'!$C$114,'Equipment List &amp; Usage'!$C$115)*(('Weekly Summary'!AD$66*'Equipment List &amp; Usage'!$Q16)+('Weekly Summary'!AD$64*'Equipment List &amp; Usage'!$O16)+('Weekly Summary'!AD$65*'Equipment List &amp; Usage'!$P16)))+(IF('Equipment List &amp; Usage'!$F16="Yes",'Equipment List &amp; Usage'!$C$114*((('Weekly Summary'!AD$131*SelfQuarantine_Mild)+('Weekly Summary'!AD$100*SelfQuarantine_Mild)+('Weekly Summary'!AD$101*SelfQuarantine_Moderate))),'Equipment List &amp; Usage'!$C$115)*((('Weekly Summary'!AD$131*SelfQuarantine_Mild*'Equipment List &amp; Usage'!$W16)+('Weekly Summary'!AD$100*SelfQuarantine_Mild*'Equipment List &amp; Usage'!$X16)+('Weekly Summary'!AD$101*SelfQuarantine_Moderate*'Equipment List &amp; Usage'!$X16)))+IF('Equipment List &amp; Usage'!$F16="Yes",'Equipment List &amp; Usage'!$C$114*(IF('Equipment List &amp; Usage'!$AA16&gt;0,'Weekly Summary'!AD$128,0)+IF('Equipment List &amp; Usage'!$AB16&gt;0,'Weekly Summary'!AD$100+'Weekly Summary'!AD$101,0)),'Equipment List &amp; Usage'!$C$115*(('Weekly Summary'!AD$128*'Equipment List &amp; Usage'!$AA16)+('Weekly Summary'!AD$100*'Equipment List &amp; Usage'!$AB16*SelfQuarantine_Mild)+('Weekly Summary'!AD$101*'Equipment List &amp; Usage'!$AB16*SelfQuarantine_Moderate)))+IF('Equipment List &amp; Usage'!$F16="Yes",('Equipment List &amp; Usage'!$C$114*(IF('Equipment List &amp; Usage'!$AE16&gt;0,'Weekly Summary'!AD$134,0)+IF('Equipment List &amp; Usage'!$AF16&gt;0,'Weekly Summary'!AD$135))),'Equipment List &amp; Usage'!$C$115*(('Weekly Summary'!AD$134*'Equipment List &amp; Usage'!$AE16)+('Weekly Summary'!AD$135*'Equipment List &amp; Usage'!$AF16))))-SUM($I14:AI14),
IF($F14="yes",MMULT(--('Equipment List &amp; Usage'!$J16:$N16&gt;0),--('Weekly Summary'!AD$112:AD$116))*'Equipment List &amp; Usage'!$C$114,MMULT(--('Equipment List &amp; Usage'!$J16:$N16),--('Weekly Summary'!AD$112:AD$116))*'Equipment List &amp; Usage'!$C$115)+IF('Equipment List &amp; Usage'!$F15="yes",'Equipment List &amp; Usage'!$C$114,'Equipment List &amp; Usage'!$C$115)*(('Weekly Summary'!AD$66*'Equipment List &amp; Usage'!$Q16)+('Weekly Summary'!AD$64*'Equipment List &amp; Usage'!$O16)+('Weekly Summary'!AD$65*'Equipment List &amp; Usage'!$P16))+(IF('Equipment List &amp; Usage'!$F16="Yes",'Equipment List &amp; Usage'!$C$114*((('Weekly Summary'!AD$131*SelfQuarantine_Mild)+('Weekly Summary'!AD$100*SelfQuarantine_Mild)+('Weekly Summary'!AD$101*SelfQuarantine_Moderate))),'Equipment List &amp; Usage'!$C$115)*((('Weekly Summary'!AD$131*SelfQuarantine_Mild*'Equipment List &amp; Usage'!$W16)+('Weekly Summary'!AD$100*SelfQuarantine_Mild*'Equipment List &amp; Usage'!$X16)+('Weekly Summary'!AD$101*SelfQuarantine_Moderate*'Equipment List &amp; Usage'!$X16))))+IF('Equipment List &amp; Usage'!$F16="Yes",'Equipment List &amp; Usage'!$C$114*(IF('Equipment List &amp; Usage'!$AA16&gt;0,'Weekly Summary'!AD$128,0)+IF('Equipment List &amp; Usage'!$AB16&gt;0,'Weekly Summary'!AD$100+'Weekly Summary'!AD$101,0)),'Equipment List &amp; Usage'!$C$115*(('Weekly Summary'!AD$128*'Equipment List &amp; Usage'!$AA16)+('Weekly Summary'!AD$100*'Equipment List &amp; Usage'!$AB16*SelfQuarantine_Mild)+('Weekly Summary'!AD$101*'Equipment List &amp; Usage'!$AB16*SelfQuarantine_Moderate)))+IF('Equipment List &amp; Usage'!$F16="Yes",('Equipment List &amp; Usage'!$C$114*(IF('Equipment List &amp; Usage'!$AE16&gt;0,'Weekly Summary'!AD$134,0)+IF('Equipment List &amp; Usage'!$AF16&gt;0,'Weekly Summary'!AD$135))),'Equipment List &amp; Usage'!$C$115*(('Weekly Summary'!AD$134*'Equipment List &amp; Usage'!$AE16)+('Weekly Summary'!AD$135*'Equipment List &amp; Usage'!$AF16)))),0)</f>
        <v>0</v>
      </c>
      <c r="AK14" s="1374">
        <f ca="1">MAX(IF($F14="Yes",(
IF($F14="yes",MMULT(--('Equipment List &amp; Usage'!$J16:$N16&gt;0),--('Weekly Summary'!AE$112:AE$116))*'Equipment List &amp; Usage'!$C$114,MMULT(--('Equipment List &amp; Usage'!$J16:$N16),--('Weekly Summary'!AE$112:AE$116))*'Equipment List &amp; Usage'!$C$115)+IF('Equipment List &amp; Usage'!$F15="yes",'Equipment List &amp; Usage'!$C$114,'Equipment List &amp; Usage'!$C$115)*(('Weekly Summary'!AE$66*'Equipment List &amp; Usage'!$Q16)+('Weekly Summary'!AE$64*'Equipment List &amp; Usage'!$O16)+('Weekly Summary'!AE$65*'Equipment List &amp; Usage'!$P16)))+(IF('Equipment List &amp; Usage'!$F16="Yes",'Equipment List &amp; Usage'!$C$114*((('Weekly Summary'!AE$131*SelfQuarantine_Mild)+('Weekly Summary'!AE$100*SelfQuarantine_Mild)+('Weekly Summary'!AE$101*SelfQuarantine_Moderate))),'Equipment List &amp; Usage'!$C$115)*((('Weekly Summary'!AE$131*SelfQuarantine_Mild*'Equipment List &amp; Usage'!$W16)+('Weekly Summary'!AE$100*SelfQuarantine_Mild*'Equipment List &amp; Usage'!$X16)+('Weekly Summary'!AE$101*SelfQuarantine_Moderate*'Equipment List &amp; Usage'!$X16)))+IF('Equipment List &amp; Usage'!$F16="Yes",'Equipment List &amp; Usage'!$C$114*(IF('Equipment List &amp; Usage'!$AA16&gt;0,'Weekly Summary'!AE$128,0)+IF('Equipment List &amp; Usage'!$AB16&gt;0,'Weekly Summary'!AE$100+'Weekly Summary'!AE$101,0)),'Equipment List &amp; Usage'!$C$115*(('Weekly Summary'!AE$128*'Equipment List &amp; Usage'!$AA16)+('Weekly Summary'!AE$100*'Equipment List &amp; Usage'!$AB16*SelfQuarantine_Mild)+('Weekly Summary'!AE$101*'Equipment List &amp; Usage'!$AB16*SelfQuarantine_Moderate)))+IF('Equipment List &amp; Usage'!$F16="Yes",('Equipment List &amp; Usage'!$C$114*(IF('Equipment List &amp; Usage'!$AE16&gt;0,'Weekly Summary'!AE$134,0)+IF('Equipment List &amp; Usage'!$AF16&gt;0,'Weekly Summary'!AE$135))),'Equipment List &amp; Usage'!$C$115*(('Weekly Summary'!AE$134*'Equipment List &amp; Usage'!$AE16)+('Weekly Summary'!AE$135*'Equipment List &amp; Usage'!$AF16))))-SUM($I14:AJ14),
IF($F14="yes",MMULT(--('Equipment List &amp; Usage'!$J16:$N16&gt;0),--('Weekly Summary'!AE$112:AE$116))*'Equipment List &amp; Usage'!$C$114,MMULT(--('Equipment List &amp; Usage'!$J16:$N16),--('Weekly Summary'!AE$112:AE$116))*'Equipment List &amp; Usage'!$C$115)+IF('Equipment List &amp; Usage'!$F15="yes",'Equipment List &amp; Usage'!$C$114,'Equipment List &amp; Usage'!$C$115)*(('Weekly Summary'!AE$66*'Equipment List &amp; Usage'!$Q16)+('Weekly Summary'!AE$64*'Equipment List &amp; Usage'!$O16)+('Weekly Summary'!AE$65*'Equipment List &amp; Usage'!$P16))+(IF('Equipment List &amp; Usage'!$F16="Yes",'Equipment List &amp; Usage'!$C$114*((('Weekly Summary'!AE$131*SelfQuarantine_Mild)+('Weekly Summary'!AE$100*SelfQuarantine_Mild)+('Weekly Summary'!AE$101*SelfQuarantine_Moderate))),'Equipment List &amp; Usage'!$C$115)*((('Weekly Summary'!AE$131*SelfQuarantine_Mild*'Equipment List &amp; Usage'!$W16)+('Weekly Summary'!AE$100*SelfQuarantine_Mild*'Equipment List &amp; Usage'!$X16)+('Weekly Summary'!AE$101*SelfQuarantine_Moderate*'Equipment List &amp; Usage'!$X16))))+IF('Equipment List &amp; Usage'!$F16="Yes",'Equipment List &amp; Usage'!$C$114*(IF('Equipment List &amp; Usage'!$AA16&gt;0,'Weekly Summary'!AE$128,0)+IF('Equipment List &amp; Usage'!$AB16&gt;0,'Weekly Summary'!AE$100+'Weekly Summary'!AE$101,0)),'Equipment List &amp; Usage'!$C$115*(('Weekly Summary'!AE$128*'Equipment List &amp; Usage'!$AA16)+('Weekly Summary'!AE$100*'Equipment List &amp; Usage'!$AB16*SelfQuarantine_Mild)+('Weekly Summary'!AE$101*'Equipment List &amp; Usage'!$AB16*SelfQuarantine_Moderate)))+IF('Equipment List &amp; Usage'!$F16="Yes",('Equipment List &amp; Usage'!$C$114*(IF('Equipment List &amp; Usage'!$AE16&gt;0,'Weekly Summary'!AE$134,0)+IF('Equipment List &amp; Usage'!$AF16&gt;0,'Weekly Summary'!AE$135))),'Equipment List &amp; Usage'!$C$115*(('Weekly Summary'!AE$134*'Equipment List &amp; Usage'!$AE16)+('Weekly Summary'!AE$135*'Equipment List &amp; Usage'!$AF16)))),0)</f>
        <v>0</v>
      </c>
      <c r="AL14" s="1374">
        <f ca="1">MAX(IF($F14="Yes",(
IF($F14="yes",MMULT(--('Equipment List &amp; Usage'!$J16:$N16&gt;0),--('Weekly Summary'!AF$112:AF$116))*'Equipment List &amp; Usage'!$C$114,MMULT(--('Equipment List &amp; Usage'!$J16:$N16),--('Weekly Summary'!AF$112:AF$116))*'Equipment List &amp; Usage'!$C$115)+IF('Equipment List &amp; Usage'!$F15="yes",'Equipment List &amp; Usage'!$C$114,'Equipment List &amp; Usage'!$C$115)*(('Weekly Summary'!AF$66*'Equipment List &amp; Usage'!$Q16)+('Weekly Summary'!AF$64*'Equipment List &amp; Usage'!$O16)+('Weekly Summary'!AF$65*'Equipment List &amp; Usage'!$P16)))+(IF('Equipment List &amp; Usage'!$F16="Yes",'Equipment List &amp; Usage'!$C$114*((('Weekly Summary'!AF$131*SelfQuarantine_Mild)+('Weekly Summary'!AF$100*SelfQuarantine_Mild)+('Weekly Summary'!AF$101*SelfQuarantine_Moderate))),'Equipment List &amp; Usage'!$C$115)*((('Weekly Summary'!AF$131*SelfQuarantine_Mild*'Equipment List &amp; Usage'!$W16)+('Weekly Summary'!AF$100*SelfQuarantine_Mild*'Equipment List &amp; Usage'!$X16)+('Weekly Summary'!AF$101*SelfQuarantine_Moderate*'Equipment List &amp; Usage'!$X16)))+IF('Equipment List &amp; Usage'!$F16="Yes",'Equipment List &amp; Usage'!$C$114*(IF('Equipment List &amp; Usage'!$AA16&gt;0,'Weekly Summary'!AF$128,0)+IF('Equipment List &amp; Usage'!$AB16&gt;0,'Weekly Summary'!AF$100+'Weekly Summary'!AF$101,0)),'Equipment List &amp; Usage'!$C$115*(('Weekly Summary'!AF$128*'Equipment List &amp; Usage'!$AA16)+('Weekly Summary'!AF$100*'Equipment List &amp; Usage'!$AB16*SelfQuarantine_Mild)+('Weekly Summary'!AF$101*'Equipment List &amp; Usage'!$AB16*SelfQuarantine_Moderate)))+IF('Equipment List &amp; Usage'!$F16="Yes",('Equipment List &amp; Usage'!$C$114*(IF('Equipment List &amp; Usage'!$AE16&gt;0,'Weekly Summary'!AF$134,0)+IF('Equipment List &amp; Usage'!$AF16&gt;0,'Weekly Summary'!AF$135))),'Equipment List &amp; Usage'!$C$115*(('Weekly Summary'!AF$134*'Equipment List &amp; Usage'!$AE16)+('Weekly Summary'!AF$135*'Equipment List &amp; Usage'!$AF16))))-SUM($I14:AK14),
IF($F14="yes",MMULT(--('Equipment List &amp; Usage'!$J16:$N16&gt;0),--('Weekly Summary'!AF$112:AF$116))*'Equipment List &amp; Usage'!$C$114,MMULT(--('Equipment List &amp; Usage'!$J16:$N16),--('Weekly Summary'!AF$112:AF$116))*'Equipment List &amp; Usage'!$C$115)+IF('Equipment List &amp; Usage'!$F15="yes",'Equipment List &amp; Usage'!$C$114,'Equipment List &amp; Usage'!$C$115)*(('Weekly Summary'!AF$66*'Equipment List &amp; Usage'!$Q16)+('Weekly Summary'!AF$64*'Equipment List &amp; Usage'!$O16)+('Weekly Summary'!AF$65*'Equipment List &amp; Usage'!$P16))+(IF('Equipment List &amp; Usage'!$F16="Yes",'Equipment List &amp; Usage'!$C$114*((('Weekly Summary'!AF$131*SelfQuarantine_Mild)+('Weekly Summary'!AF$100*SelfQuarantine_Mild)+('Weekly Summary'!AF$101*SelfQuarantine_Moderate))),'Equipment List &amp; Usage'!$C$115)*((('Weekly Summary'!AF$131*SelfQuarantine_Mild*'Equipment List &amp; Usage'!$W16)+('Weekly Summary'!AF$100*SelfQuarantine_Mild*'Equipment List &amp; Usage'!$X16)+('Weekly Summary'!AF$101*SelfQuarantine_Moderate*'Equipment List &amp; Usage'!$X16))))+IF('Equipment List &amp; Usage'!$F16="Yes",'Equipment List &amp; Usage'!$C$114*(IF('Equipment List &amp; Usage'!$AA16&gt;0,'Weekly Summary'!AF$128,0)+IF('Equipment List &amp; Usage'!$AB16&gt;0,'Weekly Summary'!AF$100+'Weekly Summary'!AF$101,0)),'Equipment List &amp; Usage'!$C$115*(('Weekly Summary'!AF$128*'Equipment List &amp; Usage'!$AA16)+('Weekly Summary'!AF$100*'Equipment List &amp; Usage'!$AB16*SelfQuarantine_Mild)+('Weekly Summary'!AF$101*'Equipment List &amp; Usage'!$AB16*SelfQuarantine_Moderate)))+IF('Equipment List &amp; Usage'!$F16="Yes",('Equipment List &amp; Usage'!$C$114*(IF('Equipment List &amp; Usage'!$AE16&gt;0,'Weekly Summary'!AF$134,0)+IF('Equipment List &amp; Usage'!$AF16&gt;0,'Weekly Summary'!AF$135))),'Equipment List &amp; Usage'!$C$115*(('Weekly Summary'!AF$134*'Equipment List &amp; Usage'!$AE16)+('Weekly Summary'!AF$135*'Equipment List &amp; Usage'!$AF16)))),0)</f>
        <v>0</v>
      </c>
      <c r="AM14" s="1374">
        <f ca="1">MAX(IF($F14="Yes",(
IF($F14="yes",MMULT(--('Equipment List &amp; Usage'!$J16:$N16&gt;0),--('Weekly Summary'!AG$112:AG$116))*'Equipment List &amp; Usage'!$C$114,MMULT(--('Equipment List &amp; Usage'!$J16:$N16),--('Weekly Summary'!AG$112:AG$116))*'Equipment List &amp; Usage'!$C$115)+IF('Equipment List &amp; Usage'!$F15="yes",'Equipment List &amp; Usage'!$C$114,'Equipment List &amp; Usage'!$C$115)*(('Weekly Summary'!AG$66*'Equipment List &amp; Usage'!$Q16)+('Weekly Summary'!AG$64*'Equipment List &amp; Usage'!$O16)+('Weekly Summary'!AG$65*'Equipment List &amp; Usage'!$P16)))+(IF('Equipment List &amp; Usage'!$F16="Yes",'Equipment List &amp; Usage'!$C$114*((('Weekly Summary'!AG$131*SelfQuarantine_Mild)+('Weekly Summary'!AG$100*SelfQuarantine_Mild)+('Weekly Summary'!AG$101*SelfQuarantine_Moderate))),'Equipment List &amp; Usage'!$C$115)*((('Weekly Summary'!AG$131*SelfQuarantine_Mild*'Equipment List &amp; Usage'!$W16)+('Weekly Summary'!AG$100*SelfQuarantine_Mild*'Equipment List &amp; Usage'!$X16)+('Weekly Summary'!AG$101*SelfQuarantine_Moderate*'Equipment List &amp; Usage'!$X16)))+IF('Equipment List &amp; Usage'!$F16="Yes",'Equipment List &amp; Usage'!$C$114*(IF('Equipment List &amp; Usage'!$AA16&gt;0,'Weekly Summary'!AG$128,0)+IF('Equipment List &amp; Usage'!$AB16&gt;0,'Weekly Summary'!AG$100+'Weekly Summary'!AG$101,0)),'Equipment List &amp; Usage'!$C$115*(('Weekly Summary'!AG$128*'Equipment List &amp; Usage'!$AA16)+('Weekly Summary'!AG$100*'Equipment List &amp; Usage'!$AB16*SelfQuarantine_Mild)+('Weekly Summary'!AG$101*'Equipment List &amp; Usage'!$AB16*SelfQuarantine_Moderate)))+IF('Equipment List &amp; Usage'!$F16="Yes",('Equipment List &amp; Usage'!$C$114*(IF('Equipment List &amp; Usage'!$AE16&gt;0,'Weekly Summary'!AG$134,0)+IF('Equipment List &amp; Usage'!$AF16&gt;0,'Weekly Summary'!AG$135))),'Equipment List &amp; Usage'!$C$115*(('Weekly Summary'!AG$134*'Equipment List &amp; Usage'!$AE16)+('Weekly Summary'!AG$135*'Equipment List &amp; Usage'!$AF16))))-SUM($I14:AL14),
IF($F14="yes",MMULT(--('Equipment List &amp; Usage'!$J16:$N16&gt;0),--('Weekly Summary'!AG$112:AG$116))*'Equipment List &amp; Usage'!$C$114,MMULT(--('Equipment List &amp; Usage'!$J16:$N16),--('Weekly Summary'!AG$112:AG$116))*'Equipment List &amp; Usage'!$C$115)+IF('Equipment List &amp; Usage'!$F15="yes",'Equipment List &amp; Usage'!$C$114,'Equipment List &amp; Usage'!$C$115)*(('Weekly Summary'!AG$66*'Equipment List &amp; Usage'!$Q16)+('Weekly Summary'!AG$64*'Equipment List &amp; Usage'!$O16)+('Weekly Summary'!AG$65*'Equipment List &amp; Usage'!$P16))+(IF('Equipment List &amp; Usage'!$F16="Yes",'Equipment List &amp; Usage'!$C$114*((('Weekly Summary'!AG$131*SelfQuarantine_Mild)+('Weekly Summary'!AG$100*SelfQuarantine_Mild)+('Weekly Summary'!AG$101*SelfQuarantine_Moderate))),'Equipment List &amp; Usage'!$C$115)*((('Weekly Summary'!AG$131*SelfQuarantine_Mild*'Equipment List &amp; Usage'!$W16)+('Weekly Summary'!AG$100*SelfQuarantine_Mild*'Equipment List &amp; Usage'!$X16)+('Weekly Summary'!AG$101*SelfQuarantine_Moderate*'Equipment List &amp; Usage'!$X16))))+IF('Equipment List &amp; Usage'!$F16="Yes",'Equipment List &amp; Usage'!$C$114*(IF('Equipment List &amp; Usage'!$AA16&gt;0,'Weekly Summary'!AG$128,0)+IF('Equipment List &amp; Usage'!$AB16&gt;0,'Weekly Summary'!AG$100+'Weekly Summary'!AG$101,0)),'Equipment List &amp; Usage'!$C$115*(('Weekly Summary'!AG$128*'Equipment List &amp; Usage'!$AA16)+('Weekly Summary'!AG$100*'Equipment List &amp; Usage'!$AB16*SelfQuarantine_Mild)+('Weekly Summary'!AG$101*'Equipment List &amp; Usage'!$AB16*SelfQuarantine_Moderate)))+IF('Equipment List &amp; Usage'!$F16="Yes",('Equipment List &amp; Usage'!$C$114*(IF('Equipment List &amp; Usage'!$AE16&gt;0,'Weekly Summary'!AG$134,0)+IF('Equipment List &amp; Usage'!$AF16&gt;0,'Weekly Summary'!AG$135))),'Equipment List &amp; Usage'!$C$115*(('Weekly Summary'!AG$134*'Equipment List &amp; Usage'!$AE16)+('Weekly Summary'!AG$135*'Equipment List &amp; Usage'!$AF16)))),0)</f>
        <v>0</v>
      </c>
      <c r="AN14" s="1374">
        <f ca="1">MAX(IF($F14="Yes",(
IF($F14="yes",MMULT(--('Equipment List &amp; Usage'!$J16:$N16&gt;0),--('Weekly Summary'!AH$112:AH$116))*'Equipment List &amp; Usage'!$C$114,MMULT(--('Equipment List &amp; Usage'!$J16:$N16),--('Weekly Summary'!AH$112:AH$116))*'Equipment List &amp; Usage'!$C$115)+IF('Equipment List &amp; Usage'!$F15="yes",'Equipment List &amp; Usage'!$C$114,'Equipment List &amp; Usage'!$C$115)*(('Weekly Summary'!AH$66*'Equipment List &amp; Usage'!$Q16)+('Weekly Summary'!AH$64*'Equipment List &amp; Usage'!$O16)+('Weekly Summary'!AH$65*'Equipment List &amp; Usage'!$P16)))+(IF('Equipment List &amp; Usage'!$F16="Yes",'Equipment List &amp; Usage'!$C$114*((('Weekly Summary'!AH$131*SelfQuarantine_Mild)+('Weekly Summary'!AH$100*SelfQuarantine_Mild)+('Weekly Summary'!AH$101*SelfQuarantine_Moderate))),'Equipment List &amp; Usage'!$C$115)*((('Weekly Summary'!AH$131*SelfQuarantine_Mild*'Equipment List &amp; Usage'!$W16)+('Weekly Summary'!AH$100*SelfQuarantine_Mild*'Equipment List &amp; Usage'!$X16)+('Weekly Summary'!AH$101*SelfQuarantine_Moderate*'Equipment List &amp; Usage'!$X16)))+IF('Equipment List &amp; Usage'!$F16="Yes",'Equipment List &amp; Usage'!$C$114*(IF('Equipment List &amp; Usage'!$AA16&gt;0,'Weekly Summary'!AH$128,0)+IF('Equipment List &amp; Usage'!$AB16&gt;0,'Weekly Summary'!AH$100+'Weekly Summary'!AH$101,0)),'Equipment List &amp; Usage'!$C$115*(('Weekly Summary'!AH$128*'Equipment List &amp; Usage'!$AA16)+('Weekly Summary'!AH$100*'Equipment List &amp; Usage'!$AB16*SelfQuarantine_Mild)+('Weekly Summary'!AH$101*'Equipment List &amp; Usage'!$AB16*SelfQuarantine_Moderate)))+IF('Equipment List &amp; Usage'!$F16="Yes",('Equipment List &amp; Usage'!$C$114*(IF('Equipment List &amp; Usage'!$AE16&gt;0,'Weekly Summary'!AH$134,0)+IF('Equipment List &amp; Usage'!$AF16&gt;0,'Weekly Summary'!AH$135))),'Equipment List &amp; Usage'!$C$115*(('Weekly Summary'!AH$134*'Equipment List &amp; Usage'!$AE16)+('Weekly Summary'!AH$135*'Equipment List &amp; Usage'!$AF16))))-SUM($I14:AM14),
IF($F14="yes",MMULT(--('Equipment List &amp; Usage'!$J16:$N16&gt;0),--('Weekly Summary'!AH$112:AH$116))*'Equipment List &amp; Usage'!$C$114,MMULT(--('Equipment List &amp; Usage'!$J16:$N16),--('Weekly Summary'!AH$112:AH$116))*'Equipment List &amp; Usage'!$C$115)+IF('Equipment List &amp; Usage'!$F15="yes",'Equipment List &amp; Usage'!$C$114,'Equipment List &amp; Usage'!$C$115)*(('Weekly Summary'!AH$66*'Equipment List &amp; Usage'!$Q16)+('Weekly Summary'!AH$64*'Equipment List &amp; Usage'!$O16)+('Weekly Summary'!AH$65*'Equipment List &amp; Usage'!$P16))+(IF('Equipment List &amp; Usage'!$F16="Yes",'Equipment List &amp; Usage'!$C$114*((('Weekly Summary'!AH$131*SelfQuarantine_Mild)+('Weekly Summary'!AH$100*SelfQuarantine_Mild)+('Weekly Summary'!AH$101*SelfQuarantine_Moderate))),'Equipment List &amp; Usage'!$C$115)*((('Weekly Summary'!AH$131*SelfQuarantine_Mild*'Equipment List &amp; Usage'!$W16)+('Weekly Summary'!AH$100*SelfQuarantine_Mild*'Equipment List &amp; Usage'!$X16)+('Weekly Summary'!AH$101*SelfQuarantine_Moderate*'Equipment List &amp; Usage'!$X16))))+IF('Equipment List &amp; Usage'!$F16="Yes",'Equipment List &amp; Usage'!$C$114*(IF('Equipment List &amp; Usage'!$AA16&gt;0,'Weekly Summary'!AH$128,0)+IF('Equipment List &amp; Usage'!$AB16&gt;0,'Weekly Summary'!AH$100+'Weekly Summary'!AH$101,0)),'Equipment List &amp; Usage'!$C$115*(('Weekly Summary'!AH$128*'Equipment List &amp; Usage'!$AA16)+('Weekly Summary'!AH$100*'Equipment List &amp; Usage'!$AB16*SelfQuarantine_Mild)+('Weekly Summary'!AH$101*'Equipment List &amp; Usage'!$AB16*SelfQuarantine_Moderate)))+IF('Equipment List &amp; Usage'!$F16="Yes",('Equipment List &amp; Usage'!$C$114*(IF('Equipment List &amp; Usage'!$AE16&gt;0,'Weekly Summary'!AH$134,0)+IF('Equipment List &amp; Usage'!$AF16&gt;0,'Weekly Summary'!AH$135))),'Equipment List &amp; Usage'!$C$115*(('Weekly Summary'!AH$134*'Equipment List &amp; Usage'!$AE16)+('Weekly Summary'!AH$135*'Equipment List &amp; Usage'!$AF16)))),0)</f>
        <v>0</v>
      </c>
      <c r="AO14" s="1374">
        <f ca="1">MAX(IF($F14="Yes",(
IF($F14="yes",MMULT(--('Equipment List &amp; Usage'!$J16:$N16&gt;0),--('Weekly Summary'!AI$112:AI$116))*'Equipment List &amp; Usage'!$C$114,MMULT(--('Equipment List &amp; Usage'!$J16:$N16),--('Weekly Summary'!AI$112:AI$116))*'Equipment List &amp; Usage'!$C$115)+IF('Equipment List &amp; Usage'!$F15="yes",'Equipment List &amp; Usage'!$C$114,'Equipment List &amp; Usage'!$C$115)*(('Weekly Summary'!AI$66*'Equipment List &amp; Usage'!$Q16)+('Weekly Summary'!AI$64*'Equipment List &amp; Usage'!$O16)+('Weekly Summary'!AI$65*'Equipment List &amp; Usage'!$P16)))+(IF('Equipment List &amp; Usage'!$F16="Yes",'Equipment List &amp; Usage'!$C$114*((('Weekly Summary'!AI$131*SelfQuarantine_Mild)+('Weekly Summary'!AI$100*SelfQuarantine_Mild)+('Weekly Summary'!AI$101*SelfQuarantine_Moderate))),'Equipment List &amp; Usage'!$C$115)*((('Weekly Summary'!AI$131*SelfQuarantine_Mild*'Equipment List &amp; Usage'!$W16)+('Weekly Summary'!AI$100*SelfQuarantine_Mild*'Equipment List &amp; Usage'!$X16)+('Weekly Summary'!AI$101*SelfQuarantine_Moderate*'Equipment List &amp; Usage'!$X16)))+IF('Equipment List &amp; Usage'!$F16="Yes",'Equipment List &amp; Usage'!$C$114*(IF('Equipment List &amp; Usage'!$AA16&gt;0,'Weekly Summary'!AI$128,0)+IF('Equipment List &amp; Usage'!$AB16&gt;0,'Weekly Summary'!AI$100+'Weekly Summary'!AI$101,0)),'Equipment List &amp; Usage'!$C$115*(('Weekly Summary'!AI$128*'Equipment List &amp; Usage'!$AA16)+('Weekly Summary'!AI$100*'Equipment List &amp; Usage'!$AB16*SelfQuarantine_Mild)+('Weekly Summary'!AI$101*'Equipment List &amp; Usage'!$AB16*SelfQuarantine_Moderate)))+IF('Equipment List &amp; Usage'!$F16="Yes",('Equipment List &amp; Usage'!$C$114*(IF('Equipment List &amp; Usage'!$AE16&gt;0,'Weekly Summary'!AI$134,0)+IF('Equipment List &amp; Usage'!$AF16&gt;0,'Weekly Summary'!AI$135))),'Equipment List &amp; Usage'!$C$115*(('Weekly Summary'!AI$134*'Equipment List &amp; Usage'!$AE16)+('Weekly Summary'!AI$135*'Equipment List &amp; Usage'!$AF16))))-SUM($I14:AN14),
IF($F14="yes",MMULT(--('Equipment List &amp; Usage'!$J16:$N16&gt;0),--('Weekly Summary'!AI$112:AI$116))*'Equipment List &amp; Usage'!$C$114,MMULT(--('Equipment List &amp; Usage'!$J16:$N16),--('Weekly Summary'!AI$112:AI$116))*'Equipment List &amp; Usage'!$C$115)+IF('Equipment List &amp; Usage'!$F15="yes",'Equipment List &amp; Usage'!$C$114,'Equipment List &amp; Usage'!$C$115)*(('Weekly Summary'!AI$66*'Equipment List &amp; Usage'!$Q16)+('Weekly Summary'!AI$64*'Equipment List &amp; Usage'!$O16)+('Weekly Summary'!AI$65*'Equipment List &amp; Usage'!$P16))+(IF('Equipment List &amp; Usage'!$F16="Yes",'Equipment List &amp; Usage'!$C$114*((('Weekly Summary'!AI$131*SelfQuarantine_Mild)+('Weekly Summary'!AI$100*SelfQuarantine_Mild)+('Weekly Summary'!AI$101*SelfQuarantine_Moderate))),'Equipment List &amp; Usage'!$C$115)*((('Weekly Summary'!AI$131*SelfQuarantine_Mild*'Equipment List &amp; Usage'!$W16)+('Weekly Summary'!AI$100*SelfQuarantine_Mild*'Equipment List &amp; Usage'!$X16)+('Weekly Summary'!AI$101*SelfQuarantine_Moderate*'Equipment List &amp; Usage'!$X16))))+IF('Equipment List &amp; Usage'!$F16="Yes",'Equipment List &amp; Usage'!$C$114*(IF('Equipment List &amp; Usage'!$AA16&gt;0,'Weekly Summary'!AI$128,0)+IF('Equipment List &amp; Usage'!$AB16&gt;0,'Weekly Summary'!AI$100+'Weekly Summary'!AI$101,0)),'Equipment List &amp; Usage'!$C$115*(('Weekly Summary'!AI$128*'Equipment List &amp; Usage'!$AA16)+('Weekly Summary'!AI$100*'Equipment List &amp; Usage'!$AB16*SelfQuarantine_Mild)+('Weekly Summary'!AI$101*'Equipment List &amp; Usage'!$AB16*SelfQuarantine_Moderate)))+IF('Equipment List &amp; Usage'!$F16="Yes",('Equipment List &amp; Usage'!$C$114*(IF('Equipment List &amp; Usage'!$AE16&gt;0,'Weekly Summary'!AI$134,0)+IF('Equipment List &amp; Usage'!$AF16&gt;0,'Weekly Summary'!AI$135))),'Equipment List &amp; Usage'!$C$115*(('Weekly Summary'!AI$134*'Equipment List &amp; Usage'!$AE16)+('Weekly Summary'!AI$135*'Equipment List &amp; Usage'!$AF16)))),0)</f>
        <v>0</v>
      </c>
      <c r="AP14" s="1374">
        <f ca="1">MAX(IF($F14="Yes",(
IF($F14="yes",MMULT(--('Equipment List &amp; Usage'!$J16:$N16&gt;0),--('Weekly Summary'!AJ$112:AJ$116))*'Equipment List &amp; Usage'!$C$114,MMULT(--('Equipment List &amp; Usage'!$J16:$N16),--('Weekly Summary'!AJ$112:AJ$116))*'Equipment List &amp; Usage'!$C$115)+IF('Equipment List &amp; Usage'!$F15="yes",'Equipment List &amp; Usage'!$C$114,'Equipment List &amp; Usage'!$C$115)*(('Weekly Summary'!AJ$66*'Equipment List &amp; Usage'!$Q16)+('Weekly Summary'!AJ$64*'Equipment List &amp; Usage'!$O16)+('Weekly Summary'!AJ$65*'Equipment List &amp; Usage'!$P16)))+(IF('Equipment List &amp; Usage'!$F16="Yes",'Equipment List &amp; Usage'!$C$114*((('Weekly Summary'!AJ$131*SelfQuarantine_Mild)+('Weekly Summary'!AJ$100*SelfQuarantine_Mild)+('Weekly Summary'!AJ$101*SelfQuarantine_Moderate))),'Equipment List &amp; Usage'!$C$115)*((('Weekly Summary'!AJ$131*SelfQuarantine_Mild*'Equipment List &amp; Usage'!$W16)+('Weekly Summary'!AJ$100*SelfQuarantine_Mild*'Equipment List &amp; Usage'!$X16)+('Weekly Summary'!AJ$101*SelfQuarantine_Moderate*'Equipment List &amp; Usage'!$X16)))+IF('Equipment List &amp; Usage'!$F16="Yes",'Equipment List &amp; Usage'!$C$114*(IF('Equipment List &amp; Usage'!$AA16&gt;0,'Weekly Summary'!AJ$128,0)+IF('Equipment List &amp; Usage'!$AB16&gt;0,'Weekly Summary'!AJ$100+'Weekly Summary'!AJ$101,0)),'Equipment List &amp; Usage'!$C$115*(('Weekly Summary'!AJ$128*'Equipment List &amp; Usage'!$AA16)+('Weekly Summary'!AJ$100*'Equipment List &amp; Usage'!$AB16*SelfQuarantine_Mild)+('Weekly Summary'!AJ$101*'Equipment List &amp; Usage'!$AB16*SelfQuarantine_Moderate)))+IF('Equipment List &amp; Usage'!$F16="Yes",('Equipment List &amp; Usage'!$C$114*(IF('Equipment List &amp; Usage'!$AE16&gt;0,'Weekly Summary'!AJ$134,0)+IF('Equipment List &amp; Usage'!$AF16&gt;0,'Weekly Summary'!AJ$135))),'Equipment List &amp; Usage'!$C$115*(('Weekly Summary'!AJ$134*'Equipment List &amp; Usage'!$AE16)+('Weekly Summary'!AJ$135*'Equipment List &amp; Usage'!$AF16))))-SUM($I14:AO14),
IF($F14="yes",MMULT(--('Equipment List &amp; Usage'!$J16:$N16&gt;0),--('Weekly Summary'!AJ$112:AJ$116))*'Equipment List &amp; Usage'!$C$114,MMULT(--('Equipment List &amp; Usage'!$J16:$N16),--('Weekly Summary'!AJ$112:AJ$116))*'Equipment List &amp; Usage'!$C$115)+IF('Equipment List &amp; Usage'!$F15="yes",'Equipment List &amp; Usage'!$C$114,'Equipment List &amp; Usage'!$C$115)*(('Weekly Summary'!AJ$66*'Equipment List &amp; Usage'!$Q16)+('Weekly Summary'!AJ$64*'Equipment List &amp; Usage'!$O16)+('Weekly Summary'!AJ$65*'Equipment List &amp; Usage'!$P16))+(IF('Equipment List &amp; Usage'!$F16="Yes",'Equipment List &amp; Usage'!$C$114*((('Weekly Summary'!AJ$131*SelfQuarantine_Mild)+('Weekly Summary'!AJ$100*SelfQuarantine_Mild)+('Weekly Summary'!AJ$101*SelfQuarantine_Moderate))),'Equipment List &amp; Usage'!$C$115)*((('Weekly Summary'!AJ$131*SelfQuarantine_Mild*'Equipment List &amp; Usage'!$W16)+('Weekly Summary'!AJ$100*SelfQuarantine_Mild*'Equipment List &amp; Usage'!$X16)+('Weekly Summary'!AJ$101*SelfQuarantine_Moderate*'Equipment List &amp; Usage'!$X16))))+IF('Equipment List &amp; Usage'!$F16="Yes",'Equipment List &amp; Usage'!$C$114*(IF('Equipment List &amp; Usage'!$AA16&gt;0,'Weekly Summary'!AJ$128,0)+IF('Equipment List &amp; Usage'!$AB16&gt;0,'Weekly Summary'!AJ$100+'Weekly Summary'!AJ$101,0)),'Equipment List &amp; Usage'!$C$115*(('Weekly Summary'!AJ$128*'Equipment List &amp; Usage'!$AA16)+('Weekly Summary'!AJ$100*'Equipment List &amp; Usage'!$AB16*SelfQuarantine_Mild)+('Weekly Summary'!AJ$101*'Equipment List &amp; Usage'!$AB16*SelfQuarantine_Moderate)))+IF('Equipment List &amp; Usage'!$F16="Yes",('Equipment List &amp; Usage'!$C$114*(IF('Equipment List &amp; Usage'!$AE16&gt;0,'Weekly Summary'!AJ$134,0)+IF('Equipment List &amp; Usage'!$AF16&gt;0,'Weekly Summary'!AJ$135))),'Equipment List &amp; Usage'!$C$115*(('Weekly Summary'!AJ$134*'Equipment List &amp; Usage'!$AE16)+('Weekly Summary'!AJ$135*'Equipment List &amp; Usage'!$AF16)))),0)</f>
        <v>0</v>
      </c>
      <c r="AQ14" s="1374">
        <f ca="1">MAX(IF($F14="Yes",(
IF($F14="yes",MMULT(--('Equipment List &amp; Usage'!$J16:$N16&gt;0),--('Weekly Summary'!AK$112:AK$116))*'Equipment List &amp; Usage'!$C$114,MMULT(--('Equipment List &amp; Usage'!$J16:$N16),--('Weekly Summary'!AK$112:AK$116))*'Equipment List &amp; Usage'!$C$115)+IF('Equipment List &amp; Usage'!$F15="yes",'Equipment List &amp; Usage'!$C$114,'Equipment List &amp; Usage'!$C$115)*(('Weekly Summary'!AK$66*'Equipment List &amp; Usage'!$Q16)+('Weekly Summary'!AK$64*'Equipment List &amp; Usage'!$O16)+('Weekly Summary'!AK$65*'Equipment List &amp; Usage'!$P16)))+(IF('Equipment List &amp; Usage'!$F16="Yes",'Equipment List &amp; Usage'!$C$114*((('Weekly Summary'!AK$131*SelfQuarantine_Mild)+('Weekly Summary'!AK$100*SelfQuarantine_Mild)+('Weekly Summary'!AK$101*SelfQuarantine_Moderate))),'Equipment List &amp; Usage'!$C$115)*((('Weekly Summary'!AK$131*SelfQuarantine_Mild*'Equipment List &amp; Usage'!$W16)+('Weekly Summary'!AK$100*SelfQuarantine_Mild*'Equipment List &amp; Usage'!$X16)+('Weekly Summary'!AK$101*SelfQuarantine_Moderate*'Equipment List &amp; Usage'!$X16)))+IF('Equipment List &amp; Usage'!$F16="Yes",'Equipment List &amp; Usage'!$C$114*(IF('Equipment List &amp; Usage'!$AA16&gt;0,'Weekly Summary'!AK$128,0)+IF('Equipment List &amp; Usage'!$AB16&gt;0,'Weekly Summary'!AK$100+'Weekly Summary'!AK$101,0)),'Equipment List &amp; Usage'!$C$115*(('Weekly Summary'!AK$128*'Equipment List &amp; Usage'!$AA16)+('Weekly Summary'!AK$100*'Equipment List &amp; Usage'!$AB16*SelfQuarantine_Mild)+('Weekly Summary'!AK$101*'Equipment List &amp; Usage'!$AB16*SelfQuarantine_Moderate)))+IF('Equipment List &amp; Usage'!$F16="Yes",('Equipment List &amp; Usage'!$C$114*(IF('Equipment List &amp; Usage'!$AE16&gt;0,'Weekly Summary'!AK$134,0)+IF('Equipment List &amp; Usage'!$AF16&gt;0,'Weekly Summary'!AK$135))),'Equipment List &amp; Usage'!$C$115*(('Weekly Summary'!AK$134*'Equipment List &amp; Usage'!$AE16)+('Weekly Summary'!AK$135*'Equipment List &amp; Usage'!$AF16))))-SUM($I14:AP14),
IF($F14="yes",MMULT(--('Equipment List &amp; Usage'!$J16:$N16&gt;0),--('Weekly Summary'!AK$112:AK$116))*'Equipment List &amp; Usage'!$C$114,MMULT(--('Equipment List &amp; Usage'!$J16:$N16),--('Weekly Summary'!AK$112:AK$116))*'Equipment List &amp; Usage'!$C$115)+IF('Equipment List &amp; Usage'!$F15="yes",'Equipment List &amp; Usage'!$C$114,'Equipment List &amp; Usage'!$C$115)*(('Weekly Summary'!AK$66*'Equipment List &amp; Usage'!$Q16)+('Weekly Summary'!AK$64*'Equipment List &amp; Usage'!$O16)+('Weekly Summary'!AK$65*'Equipment List &amp; Usage'!$P16))+(IF('Equipment List &amp; Usage'!$F16="Yes",'Equipment List &amp; Usage'!$C$114*((('Weekly Summary'!AK$131*SelfQuarantine_Mild)+('Weekly Summary'!AK$100*SelfQuarantine_Mild)+('Weekly Summary'!AK$101*SelfQuarantine_Moderate))),'Equipment List &amp; Usage'!$C$115)*((('Weekly Summary'!AK$131*SelfQuarantine_Mild*'Equipment List &amp; Usage'!$W16)+('Weekly Summary'!AK$100*SelfQuarantine_Mild*'Equipment List &amp; Usage'!$X16)+('Weekly Summary'!AK$101*SelfQuarantine_Moderate*'Equipment List &amp; Usage'!$X16))))+IF('Equipment List &amp; Usage'!$F16="Yes",'Equipment List &amp; Usage'!$C$114*(IF('Equipment List &amp; Usage'!$AA16&gt;0,'Weekly Summary'!AK$128,0)+IF('Equipment List &amp; Usage'!$AB16&gt;0,'Weekly Summary'!AK$100+'Weekly Summary'!AK$101,0)),'Equipment List &amp; Usage'!$C$115*(('Weekly Summary'!AK$128*'Equipment List &amp; Usage'!$AA16)+('Weekly Summary'!AK$100*'Equipment List &amp; Usage'!$AB16*SelfQuarantine_Mild)+('Weekly Summary'!AK$101*'Equipment List &amp; Usage'!$AB16*SelfQuarantine_Moderate)))+IF('Equipment List &amp; Usage'!$F16="Yes",('Equipment List &amp; Usage'!$C$114*(IF('Equipment List &amp; Usage'!$AE16&gt;0,'Weekly Summary'!AK$134,0)+IF('Equipment List &amp; Usage'!$AF16&gt;0,'Weekly Summary'!AK$135))),'Equipment List &amp; Usage'!$C$115*(('Weekly Summary'!AK$134*'Equipment List &amp; Usage'!$AE16)+('Weekly Summary'!AK$135*'Equipment List &amp; Usage'!$AF16)))),0)</f>
        <v>0</v>
      </c>
      <c r="AR14" s="1374">
        <f ca="1">MAX(IF($F14="Yes",(
IF($F14="yes",MMULT(--('Equipment List &amp; Usage'!$J16:$N16&gt;0),--('Weekly Summary'!AL$112:AL$116))*'Equipment List &amp; Usage'!$C$114,MMULT(--('Equipment List &amp; Usage'!$J16:$N16),--('Weekly Summary'!AL$112:AL$116))*'Equipment List &amp; Usage'!$C$115)+IF('Equipment List &amp; Usage'!$F15="yes",'Equipment List &amp; Usage'!$C$114,'Equipment List &amp; Usage'!$C$115)*(('Weekly Summary'!AL$66*'Equipment List &amp; Usage'!$Q16)+('Weekly Summary'!AL$64*'Equipment List &amp; Usage'!$O16)+('Weekly Summary'!AL$65*'Equipment List &amp; Usage'!$P16)))+(IF('Equipment List &amp; Usage'!$F16="Yes",'Equipment List &amp; Usage'!$C$114*((('Weekly Summary'!AL$131*SelfQuarantine_Mild)+('Weekly Summary'!AL$100*SelfQuarantine_Mild)+('Weekly Summary'!AL$101*SelfQuarantine_Moderate))),'Equipment List &amp; Usage'!$C$115)*((('Weekly Summary'!AL$131*SelfQuarantine_Mild*'Equipment List &amp; Usage'!$W16)+('Weekly Summary'!AL$100*SelfQuarantine_Mild*'Equipment List &amp; Usage'!$X16)+('Weekly Summary'!AL$101*SelfQuarantine_Moderate*'Equipment List &amp; Usage'!$X16)))+IF('Equipment List &amp; Usage'!$F16="Yes",'Equipment List &amp; Usage'!$C$114*(IF('Equipment List &amp; Usage'!$AA16&gt;0,'Weekly Summary'!AL$128,0)+IF('Equipment List &amp; Usage'!$AB16&gt;0,'Weekly Summary'!AL$100+'Weekly Summary'!AL$101,0)),'Equipment List &amp; Usage'!$C$115*(('Weekly Summary'!AL$128*'Equipment List &amp; Usage'!$AA16)+('Weekly Summary'!AL$100*'Equipment List &amp; Usage'!$AB16*SelfQuarantine_Mild)+('Weekly Summary'!AL$101*'Equipment List &amp; Usage'!$AB16*SelfQuarantine_Moderate)))+IF('Equipment List &amp; Usage'!$F16="Yes",('Equipment List &amp; Usage'!$C$114*(IF('Equipment List &amp; Usage'!$AE16&gt;0,'Weekly Summary'!AL$134,0)+IF('Equipment List &amp; Usage'!$AF16&gt;0,'Weekly Summary'!AL$135))),'Equipment List &amp; Usage'!$C$115*(('Weekly Summary'!AL$134*'Equipment List &amp; Usage'!$AE16)+('Weekly Summary'!AL$135*'Equipment List &amp; Usage'!$AF16))))-SUM($I14:AQ14),
IF($F14="yes",MMULT(--('Equipment List &amp; Usage'!$J16:$N16&gt;0),--('Weekly Summary'!AL$112:AL$116))*'Equipment List &amp; Usage'!$C$114,MMULT(--('Equipment List &amp; Usage'!$J16:$N16),--('Weekly Summary'!AL$112:AL$116))*'Equipment List &amp; Usage'!$C$115)+IF('Equipment List &amp; Usage'!$F15="yes",'Equipment List &amp; Usage'!$C$114,'Equipment List &amp; Usage'!$C$115)*(('Weekly Summary'!AL$66*'Equipment List &amp; Usage'!$Q16)+('Weekly Summary'!AL$64*'Equipment List &amp; Usage'!$O16)+('Weekly Summary'!AL$65*'Equipment List &amp; Usage'!$P16))+(IF('Equipment List &amp; Usage'!$F16="Yes",'Equipment List &amp; Usage'!$C$114*((('Weekly Summary'!AL$131*SelfQuarantine_Mild)+('Weekly Summary'!AL$100*SelfQuarantine_Mild)+('Weekly Summary'!AL$101*SelfQuarantine_Moderate))),'Equipment List &amp; Usage'!$C$115)*((('Weekly Summary'!AL$131*SelfQuarantine_Mild*'Equipment List &amp; Usage'!$W16)+('Weekly Summary'!AL$100*SelfQuarantine_Mild*'Equipment List &amp; Usage'!$X16)+('Weekly Summary'!AL$101*SelfQuarantine_Moderate*'Equipment List &amp; Usage'!$X16))))+IF('Equipment List &amp; Usage'!$F16="Yes",'Equipment List &amp; Usage'!$C$114*(IF('Equipment List &amp; Usage'!$AA16&gt;0,'Weekly Summary'!AL$128,0)+IF('Equipment List &amp; Usage'!$AB16&gt;0,'Weekly Summary'!AL$100+'Weekly Summary'!AL$101,0)),'Equipment List &amp; Usage'!$C$115*(('Weekly Summary'!AL$128*'Equipment List &amp; Usage'!$AA16)+('Weekly Summary'!AL$100*'Equipment List &amp; Usage'!$AB16*SelfQuarantine_Mild)+('Weekly Summary'!AL$101*'Equipment List &amp; Usage'!$AB16*SelfQuarantine_Moderate)))+IF('Equipment List &amp; Usage'!$F16="Yes",('Equipment List &amp; Usage'!$C$114*(IF('Equipment List &amp; Usage'!$AE16&gt;0,'Weekly Summary'!AL$134,0)+IF('Equipment List &amp; Usage'!$AF16&gt;0,'Weekly Summary'!AL$135))),'Equipment List &amp; Usage'!$C$115*(('Weekly Summary'!AL$134*'Equipment List &amp; Usage'!$AE16)+('Weekly Summary'!AL$135*'Equipment List &amp; Usage'!$AF16)))),0)</f>
        <v>0</v>
      </c>
      <c r="AS14" s="1374">
        <f ca="1">MAX(IF($F14="Yes",(
IF($F14="yes",MMULT(--('Equipment List &amp; Usage'!$J16:$N16&gt;0),--('Weekly Summary'!AM$112:AM$116))*'Equipment List &amp; Usage'!$C$114,MMULT(--('Equipment List &amp; Usage'!$J16:$N16),--('Weekly Summary'!AM$112:AM$116))*'Equipment List &amp; Usage'!$C$115)+IF('Equipment List &amp; Usage'!$F15="yes",'Equipment List &amp; Usage'!$C$114,'Equipment List &amp; Usage'!$C$115)*(('Weekly Summary'!AM$66*'Equipment List &amp; Usage'!$Q16)+('Weekly Summary'!AM$64*'Equipment List &amp; Usage'!$O16)+('Weekly Summary'!AM$65*'Equipment List &amp; Usage'!$P16)))+(IF('Equipment List &amp; Usage'!$F16="Yes",'Equipment List &amp; Usage'!$C$114*((('Weekly Summary'!AM$131*SelfQuarantine_Mild)+('Weekly Summary'!AM$100*SelfQuarantine_Mild)+('Weekly Summary'!AM$101*SelfQuarantine_Moderate))),'Equipment List &amp; Usage'!$C$115)*((('Weekly Summary'!AM$131*SelfQuarantine_Mild*'Equipment List &amp; Usage'!$W16)+('Weekly Summary'!AM$100*SelfQuarantine_Mild*'Equipment List &amp; Usage'!$X16)+('Weekly Summary'!AM$101*SelfQuarantine_Moderate*'Equipment List &amp; Usage'!$X16)))+IF('Equipment List &amp; Usage'!$F16="Yes",'Equipment List &amp; Usage'!$C$114*(IF('Equipment List &amp; Usage'!$AA16&gt;0,'Weekly Summary'!AM$128,0)+IF('Equipment List &amp; Usage'!$AB16&gt;0,'Weekly Summary'!AM$100+'Weekly Summary'!AM$101,0)),'Equipment List &amp; Usage'!$C$115*(('Weekly Summary'!AM$128*'Equipment List &amp; Usage'!$AA16)+('Weekly Summary'!AM$100*'Equipment List &amp; Usage'!$AB16*SelfQuarantine_Mild)+('Weekly Summary'!AM$101*'Equipment List &amp; Usage'!$AB16*SelfQuarantine_Moderate)))+IF('Equipment List &amp; Usage'!$F16="Yes",('Equipment List &amp; Usage'!$C$114*(IF('Equipment List &amp; Usage'!$AE16&gt;0,'Weekly Summary'!AM$134,0)+IF('Equipment List &amp; Usage'!$AF16&gt;0,'Weekly Summary'!AM$135))),'Equipment List &amp; Usage'!$C$115*(('Weekly Summary'!AM$134*'Equipment List &amp; Usage'!$AE16)+('Weekly Summary'!AM$135*'Equipment List &amp; Usage'!$AF16))))-SUM($I14:AR14),
IF($F14="yes",MMULT(--('Equipment List &amp; Usage'!$J16:$N16&gt;0),--('Weekly Summary'!AM$112:AM$116))*'Equipment List &amp; Usage'!$C$114,MMULT(--('Equipment List &amp; Usage'!$J16:$N16),--('Weekly Summary'!AM$112:AM$116))*'Equipment List &amp; Usage'!$C$115)+IF('Equipment List &amp; Usage'!$F15="yes",'Equipment List &amp; Usage'!$C$114,'Equipment List &amp; Usage'!$C$115)*(('Weekly Summary'!AM$66*'Equipment List &amp; Usage'!$Q16)+('Weekly Summary'!AM$64*'Equipment List &amp; Usage'!$O16)+('Weekly Summary'!AM$65*'Equipment List &amp; Usage'!$P16))+(IF('Equipment List &amp; Usage'!$F16="Yes",'Equipment List &amp; Usage'!$C$114*((('Weekly Summary'!AM$131*SelfQuarantine_Mild)+('Weekly Summary'!AM$100*SelfQuarantine_Mild)+('Weekly Summary'!AM$101*SelfQuarantine_Moderate))),'Equipment List &amp; Usage'!$C$115)*((('Weekly Summary'!AM$131*SelfQuarantine_Mild*'Equipment List &amp; Usage'!$W16)+('Weekly Summary'!AM$100*SelfQuarantine_Mild*'Equipment List &amp; Usage'!$X16)+('Weekly Summary'!AM$101*SelfQuarantine_Moderate*'Equipment List &amp; Usage'!$X16))))+IF('Equipment List &amp; Usage'!$F16="Yes",'Equipment List &amp; Usage'!$C$114*(IF('Equipment List &amp; Usage'!$AA16&gt;0,'Weekly Summary'!AM$128,0)+IF('Equipment List &amp; Usage'!$AB16&gt;0,'Weekly Summary'!AM$100+'Weekly Summary'!AM$101,0)),'Equipment List &amp; Usage'!$C$115*(('Weekly Summary'!AM$128*'Equipment List &amp; Usage'!$AA16)+('Weekly Summary'!AM$100*'Equipment List &amp; Usage'!$AB16*SelfQuarantine_Mild)+('Weekly Summary'!AM$101*'Equipment List &amp; Usage'!$AB16*SelfQuarantine_Moderate)))+IF('Equipment List &amp; Usage'!$F16="Yes",('Equipment List &amp; Usage'!$C$114*(IF('Equipment List &amp; Usage'!$AE16&gt;0,'Weekly Summary'!AM$134,0)+IF('Equipment List &amp; Usage'!$AF16&gt;0,'Weekly Summary'!AM$135))),'Equipment List &amp; Usage'!$C$115*(('Weekly Summary'!AM$134*'Equipment List &amp; Usage'!$AE16)+('Weekly Summary'!AM$135*'Equipment List &amp; Usage'!$AF16)))),0)</f>
        <v>0</v>
      </c>
      <c r="AT14" s="1374">
        <f ca="1">MAX(IF($F14="Yes",(
IF($F14="yes",MMULT(--('Equipment List &amp; Usage'!$J16:$N16&gt;0),--('Weekly Summary'!AN$112:AN$116))*'Equipment List &amp; Usage'!$C$114,MMULT(--('Equipment List &amp; Usage'!$J16:$N16),--('Weekly Summary'!AN$112:AN$116))*'Equipment List &amp; Usage'!$C$115)+IF('Equipment List &amp; Usage'!$F15="yes",'Equipment List &amp; Usage'!$C$114,'Equipment List &amp; Usage'!$C$115)*(('Weekly Summary'!AN$66*'Equipment List &amp; Usage'!$Q16)+('Weekly Summary'!AN$64*'Equipment List &amp; Usage'!$O16)+('Weekly Summary'!AN$65*'Equipment List &amp; Usage'!$P16)))+(IF('Equipment List &amp; Usage'!$F16="Yes",'Equipment List &amp; Usage'!$C$114*((('Weekly Summary'!AN$131*SelfQuarantine_Mild)+('Weekly Summary'!AN$100*SelfQuarantine_Mild)+('Weekly Summary'!AN$101*SelfQuarantine_Moderate))),'Equipment List &amp; Usage'!$C$115)*((('Weekly Summary'!AN$131*SelfQuarantine_Mild*'Equipment List &amp; Usage'!$W16)+('Weekly Summary'!AN$100*SelfQuarantine_Mild*'Equipment List &amp; Usage'!$X16)+('Weekly Summary'!AN$101*SelfQuarantine_Moderate*'Equipment List &amp; Usage'!$X16)))+IF('Equipment List &amp; Usage'!$F16="Yes",'Equipment List &amp; Usage'!$C$114*(IF('Equipment List &amp; Usage'!$AA16&gt;0,'Weekly Summary'!AN$128,0)+IF('Equipment List &amp; Usage'!$AB16&gt;0,'Weekly Summary'!AN$100+'Weekly Summary'!AN$101,0)),'Equipment List &amp; Usage'!$C$115*(('Weekly Summary'!AN$128*'Equipment List &amp; Usage'!$AA16)+('Weekly Summary'!AN$100*'Equipment List &amp; Usage'!$AB16*SelfQuarantine_Mild)+('Weekly Summary'!AN$101*'Equipment List &amp; Usage'!$AB16*SelfQuarantine_Moderate)))+IF('Equipment List &amp; Usage'!$F16="Yes",('Equipment List &amp; Usage'!$C$114*(IF('Equipment List &amp; Usage'!$AE16&gt;0,'Weekly Summary'!AN$134,0)+IF('Equipment List &amp; Usage'!$AF16&gt;0,'Weekly Summary'!AN$135))),'Equipment List &amp; Usage'!$C$115*(('Weekly Summary'!AN$134*'Equipment List &amp; Usage'!$AE16)+('Weekly Summary'!AN$135*'Equipment List &amp; Usage'!$AF16))))-SUM($I14:AS14),
IF($F14="yes",MMULT(--('Equipment List &amp; Usage'!$J16:$N16&gt;0),--('Weekly Summary'!AN$112:AN$116))*'Equipment List &amp; Usage'!$C$114,MMULT(--('Equipment List &amp; Usage'!$J16:$N16),--('Weekly Summary'!AN$112:AN$116))*'Equipment List &amp; Usage'!$C$115)+IF('Equipment List &amp; Usage'!$F15="yes",'Equipment List &amp; Usage'!$C$114,'Equipment List &amp; Usage'!$C$115)*(('Weekly Summary'!AN$66*'Equipment List &amp; Usage'!$Q16)+('Weekly Summary'!AN$64*'Equipment List &amp; Usage'!$O16)+('Weekly Summary'!AN$65*'Equipment List &amp; Usage'!$P16))+(IF('Equipment List &amp; Usage'!$F16="Yes",'Equipment List &amp; Usage'!$C$114*((('Weekly Summary'!AN$131*SelfQuarantine_Mild)+('Weekly Summary'!AN$100*SelfQuarantine_Mild)+('Weekly Summary'!AN$101*SelfQuarantine_Moderate))),'Equipment List &amp; Usage'!$C$115)*((('Weekly Summary'!AN$131*SelfQuarantine_Mild*'Equipment List &amp; Usage'!$W16)+('Weekly Summary'!AN$100*SelfQuarantine_Mild*'Equipment List &amp; Usage'!$X16)+('Weekly Summary'!AN$101*SelfQuarantine_Moderate*'Equipment List &amp; Usage'!$X16))))+IF('Equipment List &amp; Usage'!$F16="Yes",'Equipment List &amp; Usage'!$C$114*(IF('Equipment List &amp; Usage'!$AA16&gt;0,'Weekly Summary'!AN$128,0)+IF('Equipment List &amp; Usage'!$AB16&gt;0,'Weekly Summary'!AN$100+'Weekly Summary'!AN$101,0)),'Equipment List &amp; Usage'!$C$115*(('Weekly Summary'!AN$128*'Equipment List &amp; Usage'!$AA16)+('Weekly Summary'!AN$100*'Equipment List &amp; Usage'!$AB16*SelfQuarantine_Mild)+('Weekly Summary'!AN$101*'Equipment List &amp; Usage'!$AB16*SelfQuarantine_Moderate)))+IF('Equipment List &amp; Usage'!$F16="Yes",('Equipment List &amp; Usage'!$C$114*(IF('Equipment List &amp; Usage'!$AE16&gt;0,'Weekly Summary'!AN$134,0)+IF('Equipment List &amp; Usage'!$AF16&gt;0,'Weekly Summary'!AN$135))),'Equipment List &amp; Usage'!$C$115*(('Weekly Summary'!AN$134*'Equipment List &amp; Usage'!$AE16)+('Weekly Summary'!AN$135*'Equipment List &amp; Usage'!$AF16)))),0)</f>
        <v>0</v>
      </c>
      <c r="AU14" s="1374">
        <f ca="1">MAX(IF($F14="Yes",(
IF($F14="yes",MMULT(--('Equipment List &amp; Usage'!$J16:$N16&gt;0),--('Weekly Summary'!AO$112:AO$116))*'Equipment List &amp; Usage'!$C$114,MMULT(--('Equipment List &amp; Usage'!$J16:$N16),--('Weekly Summary'!AO$112:AO$116))*'Equipment List &amp; Usage'!$C$115)+IF('Equipment List &amp; Usage'!$F15="yes",'Equipment List &amp; Usage'!$C$114,'Equipment List &amp; Usage'!$C$115)*(('Weekly Summary'!AO$66*'Equipment List &amp; Usage'!$Q16)+('Weekly Summary'!AO$64*'Equipment List &amp; Usage'!$O16)+('Weekly Summary'!AO$65*'Equipment List &amp; Usage'!$P16)))+(IF('Equipment List &amp; Usage'!$F16="Yes",'Equipment List &amp; Usage'!$C$114*((('Weekly Summary'!AO$131*SelfQuarantine_Mild)+('Weekly Summary'!AO$100*SelfQuarantine_Mild)+('Weekly Summary'!AO$101*SelfQuarantine_Moderate))),'Equipment List &amp; Usage'!$C$115)*((('Weekly Summary'!AO$131*SelfQuarantine_Mild*'Equipment List &amp; Usage'!$W16)+('Weekly Summary'!AO$100*SelfQuarantine_Mild*'Equipment List &amp; Usage'!$X16)+('Weekly Summary'!AO$101*SelfQuarantine_Moderate*'Equipment List &amp; Usage'!$X16)))+IF('Equipment List &amp; Usage'!$F16="Yes",'Equipment List &amp; Usage'!$C$114*(IF('Equipment List &amp; Usage'!$AA16&gt;0,'Weekly Summary'!AO$128,0)+IF('Equipment List &amp; Usage'!$AB16&gt;0,'Weekly Summary'!AO$100+'Weekly Summary'!AO$101,0)),'Equipment List &amp; Usage'!$C$115*(('Weekly Summary'!AO$128*'Equipment List &amp; Usage'!$AA16)+('Weekly Summary'!AO$100*'Equipment List &amp; Usage'!$AB16*SelfQuarantine_Mild)+('Weekly Summary'!AO$101*'Equipment List &amp; Usage'!$AB16*SelfQuarantine_Moderate)))+IF('Equipment List &amp; Usage'!$F16="Yes",('Equipment List &amp; Usage'!$C$114*(IF('Equipment List &amp; Usage'!$AE16&gt;0,'Weekly Summary'!AO$134,0)+IF('Equipment List &amp; Usage'!$AF16&gt;0,'Weekly Summary'!AO$135))),'Equipment List &amp; Usage'!$C$115*(('Weekly Summary'!AO$134*'Equipment List &amp; Usage'!$AE16)+('Weekly Summary'!AO$135*'Equipment List &amp; Usage'!$AF16))))-SUM($I14:AT14),
IF($F14="yes",MMULT(--('Equipment List &amp; Usage'!$J16:$N16&gt;0),--('Weekly Summary'!AO$112:AO$116))*'Equipment List &amp; Usage'!$C$114,MMULT(--('Equipment List &amp; Usage'!$J16:$N16),--('Weekly Summary'!AO$112:AO$116))*'Equipment List &amp; Usage'!$C$115)+IF('Equipment List &amp; Usage'!$F15="yes",'Equipment List &amp; Usage'!$C$114,'Equipment List &amp; Usage'!$C$115)*(('Weekly Summary'!AO$66*'Equipment List &amp; Usage'!$Q16)+('Weekly Summary'!AO$64*'Equipment List &amp; Usage'!$O16)+('Weekly Summary'!AO$65*'Equipment List &amp; Usage'!$P16))+(IF('Equipment List &amp; Usage'!$F16="Yes",'Equipment List &amp; Usage'!$C$114*((('Weekly Summary'!AO$131*SelfQuarantine_Mild)+('Weekly Summary'!AO$100*SelfQuarantine_Mild)+('Weekly Summary'!AO$101*SelfQuarantine_Moderate))),'Equipment List &amp; Usage'!$C$115)*((('Weekly Summary'!AO$131*SelfQuarantine_Mild*'Equipment List &amp; Usage'!$W16)+('Weekly Summary'!AO$100*SelfQuarantine_Mild*'Equipment List &amp; Usage'!$X16)+('Weekly Summary'!AO$101*SelfQuarantine_Moderate*'Equipment List &amp; Usage'!$X16))))+IF('Equipment List &amp; Usage'!$F16="Yes",'Equipment List &amp; Usage'!$C$114*(IF('Equipment List &amp; Usage'!$AA16&gt;0,'Weekly Summary'!AO$128,0)+IF('Equipment List &amp; Usage'!$AB16&gt;0,'Weekly Summary'!AO$100+'Weekly Summary'!AO$101,0)),'Equipment List &amp; Usage'!$C$115*(('Weekly Summary'!AO$128*'Equipment List &amp; Usage'!$AA16)+('Weekly Summary'!AO$100*'Equipment List &amp; Usage'!$AB16*SelfQuarantine_Mild)+('Weekly Summary'!AO$101*'Equipment List &amp; Usage'!$AB16*SelfQuarantine_Moderate)))+IF('Equipment List &amp; Usage'!$F16="Yes",('Equipment List &amp; Usage'!$C$114*(IF('Equipment List &amp; Usage'!$AE16&gt;0,'Weekly Summary'!AO$134,0)+IF('Equipment List &amp; Usage'!$AF16&gt;0,'Weekly Summary'!AO$135))),'Equipment List &amp; Usage'!$C$115*(('Weekly Summary'!AO$134*'Equipment List &amp; Usage'!$AE16)+('Weekly Summary'!AO$135*'Equipment List &amp; Usage'!$AF16)))),0)</f>
        <v>0</v>
      </c>
      <c r="AV14" s="1374">
        <f ca="1">MAX(IF($F14="Yes",(
IF($F14="yes",MMULT(--('Equipment List &amp; Usage'!$J16:$N16&gt;0),--('Weekly Summary'!AP$112:AP$116))*'Equipment List &amp; Usage'!$C$114,MMULT(--('Equipment List &amp; Usage'!$J16:$N16),--('Weekly Summary'!AP$112:AP$116))*'Equipment List &amp; Usage'!$C$115)+IF('Equipment List &amp; Usage'!$F15="yes",'Equipment List &amp; Usage'!$C$114,'Equipment List &amp; Usage'!$C$115)*(('Weekly Summary'!AP$66*'Equipment List &amp; Usage'!$Q16)+('Weekly Summary'!AP$64*'Equipment List &amp; Usage'!$O16)+('Weekly Summary'!AP$65*'Equipment List &amp; Usage'!$P16)))+(IF('Equipment List &amp; Usage'!$F16="Yes",'Equipment List &amp; Usage'!$C$114*((('Weekly Summary'!AP$131*SelfQuarantine_Mild)+('Weekly Summary'!AP$100*SelfQuarantine_Mild)+('Weekly Summary'!AP$101*SelfQuarantine_Moderate))),'Equipment List &amp; Usage'!$C$115)*((('Weekly Summary'!AP$131*SelfQuarantine_Mild*'Equipment List &amp; Usage'!$W16)+('Weekly Summary'!AP$100*SelfQuarantine_Mild*'Equipment List &amp; Usage'!$X16)+('Weekly Summary'!AP$101*SelfQuarantine_Moderate*'Equipment List &amp; Usage'!$X16)))+IF('Equipment List &amp; Usage'!$F16="Yes",'Equipment List &amp; Usage'!$C$114*(IF('Equipment List &amp; Usage'!$AA16&gt;0,'Weekly Summary'!AP$128,0)+IF('Equipment List &amp; Usage'!$AB16&gt;0,'Weekly Summary'!AP$100+'Weekly Summary'!AP$101,0)),'Equipment List &amp; Usage'!$C$115*(('Weekly Summary'!AP$128*'Equipment List &amp; Usage'!$AA16)+('Weekly Summary'!AP$100*'Equipment List &amp; Usage'!$AB16*SelfQuarantine_Mild)+('Weekly Summary'!AP$101*'Equipment List &amp; Usage'!$AB16*SelfQuarantine_Moderate)))+IF('Equipment List &amp; Usage'!$F16="Yes",('Equipment List &amp; Usage'!$C$114*(IF('Equipment List &amp; Usage'!$AE16&gt;0,'Weekly Summary'!AP$134,0)+IF('Equipment List &amp; Usage'!$AF16&gt;0,'Weekly Summary'!AP$135))),'Equipment List &amp; Usage'!$C$115*(('Weekly Summary'!AP$134*'Equipment List &amp; Usage'!$AE16)+('Weekly Summary'!AP$135*'Equipment List &amp; Usage'!$AF16))))-SUM($I14:AU14),
IF($F14="yes",MMULT(--('Equipment List &amp; Usage'!$J16:$N16&gt;0),--('Weekly Summary'!AP$112:AP$116))*'Equipment List &amp; Usage'!$C$114,MMULT(--('Equipment List &amp; Usage'!$J16:$N16),--('Weekly Summary'!AP$112:AP$116))*'Equipment List &amp; Usage'!$C$115)+IF('Equipment List &amp; Usage'!$F15="yes",'Equipment List &amp; Usage'!$C$114,'Equipment List &amp; Usage'!$C$115)*(('Weekly Summary'!AP$66*'Equipment List &amp; Usage'!$Q16)+('Weekly Summary'!AP$64*'Equipment List &amp; Usage'!$O16)+('Weekly Summary'!AP$65*'Equipment List &amp; Usage'!$P16))+(IF('Equipment List &amp; Usage'!$F16="Yes",'Equipment List &amp; Usage'!$C$114*((('Weekly Summary'!AP$131*SelfQuarantine_Mild)+('Weekly Summary'!AP$100*SelfQuarantine_Mild)+('Weekly Summary'!AP$101*SelfQuarantine_Moderate))),'Equipment List &amp; Usage'!$C$115)*((('Weekly Summary'!AP$131*SelfQuarantine_Mild*'Equipment List &amp; Usage'!$W16)+('Weekly Summary'!AP$100*SelfQuarantine_Mild*'Equipment List &amp; Usage'!$X16)+('Weekly Summary'!AP$101*SelfQuarantine_Moderate*'Equipment List &amp; Usage'!$X16))))+IF('Equipment List &amp; Usage'!$F16="Yes",'Equipment List &amp; Usage'!$C$114*(IF('Equipment List &amp; Usage'!$AA16&gt;0,'Weekly Summary'!AP$128,0)+IF('Equipment List &amp; Usage'!$AB16&gt;0,'Weekly Summary'!AP$100+'Weekly Summary'!AP$101,0)),'Equipment List &amp; Usage'!$C$115*(('Weekly Summary'!AP$128*'Equipment List &amp; Usage'!$AA16)+('Weekly Summary'!AP$100*'Equipment List &amp; Usage'!$AB16*SelfQuarantine_Mild)+('Weekly Summary'!AP$101*'Equipment List &amp; Usage'!$AB16*SelfQuarantine_Moderate)))+IF('Equipment List &amp; Usage'!$F16="Yes",('Equipment List &amp; Usage'!$C$114*(IF('Equipment List &amp; Usage'!$AE16&gt;0,'Weekly Summary'!AP$134,0)+IF('Equipment List &amp; Usage'!$AF16&gt;0,'Weekly Summary'!AP$135))),'Equipment List &amp; Usage'!$C$115*(('Weekly Summary'!AP$134*'Equipment List &amp; Usage'!$AE16)+('Weekly Summary'!AP$135*'Equipment List &amp; Usage'!$AF16)))),0)</f>
        <v>0</v>
      </c>
      <c r="AW14" s="1374">
        <f ca="1">MAX(IF($F14="Yes",(
IF($F14="yes",MMULT(--('Equipment List &amp; Usage'!$J16:$N16&gt;0),--('Weekly Summary'!AQ$112:AQ$116))*'Equipment List &amp; Usage'!$C$114,MMULT(--('Equipment List &amp; Usage'!$J16:$N16),--('Weekly Summary'!AQ$112:AQ$116))*'Equipment List &amp; Usage'!$C$115)+IF('Equipment List &amp; Usage'!$F15="yes",'Equipment List &amp; Usage'!$C$114,'Equipment List &amp; Usage'!$C$115)*(('Weekly Summary'!AQ$66*'Equipment List &amp; Usage'!$Q16)+('Weekly Summary'!AQ$64*'Equipment List &amp; Usage'!$O16)+('Weekly Summary'!AQ$65*'Equipment List &amp; Usage'!$P16)))+(IF('Equipment List &amp; Usage'!$F16="Yes",'Equipment List &amp; Usage'!$C$114*((('Weekly Summary'!AQ$131*SelfQuarantine_Mild)+('Weekly Summary'!AQ$100*SelfQuarantine_Mild)+('Weekly Summary'!AQ$101*SelfQuarantine_Moderate))),'Equipment List &amp; Usage'!$C$115)*((('Weekly Summary'!AQ$131*SelfQuarantine_Mild*'Equipment List &amp; Usage'!$W16)+('Weekly Summary'!AQ$100*SelfQuarantine_Mild*'Equipment List &amp; Usage'!$X16)+('Weekly Summary'!AQ$101*SelfQuarantine_Moderate*'Equipment List &amp; Usage'!$X16)))+IF('Equipment List &amp; Usage'!$F16="Yes",'Equipment List &amp; Usage'!$C$114*(IF('Equipment List &amp; Usage'!$AA16&gt;0,'Weekly Summary'!AQ$128,0)+IF('Equipment List &amp; Usage'!$AB16&gt;0,'Weekly Summary'!AQ$100+'Weekly Summary'!AQ$101,0)),'Equipment List &amp; Usage'!$C$115*(('Weekly Summary'!AQ$128*'Equipment List &amp; Usage'!$AA16)+('Weekly Summary'!AQ$100*'Equipment List &amp; Usage'!$AB16*SelfQuarantine_Mild)+('Weekly Summary'!AQ$101*'Equipment List &amp; Usage'!$AB16*SelfQuarantine_Moderate)))+IF('Equipment List &amp; Usage'!$F16="Yes",('Equipment List &amp; Usage'!$C$114*(IF('Equipment List &amp; Usage'!$AE16&gt;0,'Weekly Summary'!AQ$134,0)+IF('Equipment List &amp; Usage'!$AF16&gt;0,'Weekly Summary'!AQ$135))),'Equipment List &amp; Usage'!$C$115*(('Weekly Summary'!AQ$134*'Equipment List &amp; Usage'!$AE16)+('Weekly Summary'!AQ$135*'Equipment List &amp; Usage'!$AF16))))-SUM($I14:AV14),
IF($F14="yes",MMULT(--('Equipment List &amp; Usage'!$J16:$N16&gt;0),--('Weekly Summary'!AQ$112:AQ$116))*'Equipment List &amp; Usage'!$C$114,MMULT(--('Equipment List &amp; Usage'!$J16:$N16),--('Weekly Summary'!AQ$112:AQ$116))*'Equipment List &amp; Usage'!$C$115)+IF('Equipment List &amp; Usage'!$F15="yes",'Equipment List &amp; Usage'!$C$114,'Equipment List &amp; Usage'!$C$115)*(('Weekly Summary'!AQ$66*'Equipment List &amp; Usage'!$Q16)+('Weekly Summary'!AQ$64*'Equipment List &amp; Usage'!$O16)+('Weekly Summary'!AQ$65*'Equipment List &amp; Usage'!$P16))+(IF('Equipment List &amp; Usage'!$F16="Yes",'Equipment List &amp; Usage'!$C$114*((('Weekly Summary'!AQ$131*SelfQuarantine_Mild)+('Weekly Summary'!AQ$100*SelfQuarantine_Mild)+('Weekly Summary'!AQ$101*SelfQuarantine_Moderate))),'Equipment List &amp; Usage'!$C$115)*((('Weekly Summary'!AQ$131*SelfQuarantine_Mild*'Equipment List &amp; Usage'!$W16)+('Weekly Summary'!AQ$100*SelfQuarantine_Mild*'Equipment List &amp; Usage'!$X16)+('Weekly Summary'!AQ$101*SelfQuarantine_Moderate*'Equipment List &amp; Usage'!$X16))))+IF('Equipment List &amp; Usage'!$F16="Yes",'Equipment List &amp; Usage'!$C$114*(IF('Equipment List &amp; Usage'!$AA16&gt;0,'Weekly Summary'!AQ$128,0)+IF('Equipment List &amp; Usage'!$AB16&gt;0,'Weekly Summary'!AQ$100+'Weekly Summary'!AQ$101,0)),'Equipment List &amp; Usage'!$C$115*(('Weekly Summary'!AQ$128*'Equipment List &amp; Usage'!$AA16)+('Weekly Summary'!AQ$100*'Equipment List &amp; Usage'!$AB16*SelfQuarantine_Mild)+('Weekly Summary'!AQ$101*'Equipment List &amp; Usage'!$AB16*SelfQuarantine_Moderate)))+IF('Equipment List &amp; Usage'!$F16="Yes",('Equipment List &amp; Usage'!$C$114*(IF('Equipment List &amp; Usage'!$AE16&gt;0,'Weekly Summary'!AQ$134,0)+IF('Equipment List &amp; Usage'!$AF16&gt;0,'Weekly Summary'!AQ$135))),'Equipment List &amp; Usage'!$C$115*(('Weekly Summary'!AQ$134*'Equipment List &amp; Usage'!$AE16)+('Weekly Summary'!AQ$135*'Equipment List &amp; Usage'!$AF16)))),0)</f>
        <v>0</v>
      </c>
      <c r="AX14" s="1374">
        <f ca="1">MAX(IF($F14="Yes",(
IF($F14="yes",MMULT(--('Equipment List &amp; Usage'!$J16:$N16&gt;0),--('Weekly Summary'!AR$112:AR$116))*'Equipment List &amp; Usage'!$C$114,MMULT(--('Equipment List &amp; Usage'!$J16:$N16),--('Weekly Summary'!AR$112:AR$116))*'Equipment List &amp; Usage'!$C$115)+IF('Equipment List &amp; Usage'!$F15="yes",'Equipment List &amp; Usage'!$C$114,'Equipment List &amp; Usage'!$C$115)*(('Weekly Summary'!AR$66*'Equipment List &amp; Usage'!$Q16)+('Weekly Summary'!AR$64*'Equipment List &amp; Usage'!$O16)+('Weekly Summary'!AR$65*'Equipment List &amp; Usage'!$P16)))+(IF('Equipment List &amp; Usage'!$F16="Yes",'Equipment List &amp; Usage'!$C$114*((('Weekly Summary'!AR$131*SelfQuarantine_Mild)+('Weekly Summary'!AR$100*SelfQuarantine_Mild)+('Weekly Summary'!AR$101*SelfQuarantine_Moderate))),'Equipment List &amp; Usage'!$C$115)*((('Weekly Summary'!AR$131*SelfQuarantine_Mild*'Equipment List &amp; Usage'!$W16)+('Weekly Summary'!AR$100*SelfQuarantine_Mild*'Equipment List &amp; Usage'!$X16)+('Weekly Summary'!AR$101*SelfQuarantine_Moderate*'Equipment List &amp; Usage'!$X16)))+IF('Equipment List &amp; Usage'!$F16="Yes",'Equipment List &amp; Usage'!$C$114*(IF('Equipment List &amp; Usage'!$AA16&gt;0,'Weekly Summary'!AR$128,0)+IF('Equipment List &amp; Usage'!$AB16&gt;0,'Weekly Summary'!AR$100+'Weekly Summary'!AR$101,0)),'Equipment List &amp; Usage'!$C$115*(('Weekly Summary'!AR$128*'Equipment List &amp; Usage'!$AA16)+('Weekly Summary'!AR$100*'Equipment List &amp; Usage'!$AB16*SelfQuarantine_Mild)+('Weekly Summary'!AR$101*'Equipment List &amp; Usage'!$AB16*SelfQuarantine_Moderate)))+IF('Equipment List &amp; Usage'!$F16="Yes",('Equipment List &amp; Usage'!$C$114*(IF('Equipment List &amp; Usage'!$AE16&gt;0,'Weekly Summary'!AR$134,0)+IF('Equipment List &amp; Usage'!$AF16&gt;0,'Weekly Summary'!AR$135))),'Equipment List &amp; Usage'!$C$115*(('Weekly Summary'!AR$134*'Equipment List &amp; Usage'!$AE16)+('Weekly Summary'!AR$135*'Equipment List &amp; Usage'!$AF16))))-SUM($I14:AW14),
IF($F14="yes",MMULT(--('Equipment List &amp; Usage'!$J16:$N16&gt;0),--('Weekly Summary'!AR$112:AR$116))*'Equipment List &amp; Usage'!$C$114,MMULT(--('Equipment List &amp; Usage'!$J16:$N16),--('Weekly Summary'!AR$112:AR$116))*'Equipment List &amp; Usage'!$C$115)+IF('Equipment List &amp; Usage'!$F15="yes",'Equipment List &amp; Usage'!$C$114,'Equipment List &amp; Usage'!$C$115)*(('Weekly Summary'!AR$66*'Equipment List &amp; Usage'!$Q16)+('Weekly Summary'!AR$64*'Equipment List &amp; Usage'!$O16)+('Weekly Summary'!AR$65*'Equipment List &amp; Usage'!$P16))+(IF('Equipment List &amp; Usage'!$F16="Yes",'Equipment List &amp; Usage'!$C$114*((('Weekly Summary'!AR$131*SelfQuarantine_Mild)+('Weekly Summary'!AR$100*SelfQuarantine_Mild)+('Weekly Summary'!AR$101*SelfQuarantine_Moderate))),'Equipment List &amp; Usage'!$C$115)*((('Weekly Summary'!AR$131*SelfQuarantine_Mild*'Equipment List &amp; Usage'!$W16)+('Weekly Summary'!AR$100*SelfQuarantine_Mild*'Equipment List &amp; Usage'!$X16)+('Weekly Summary'!AR$101*SelfQuarantine_Moderate*'Equipment List &amp; Usage'!$X16))))+IF('Equipment List &amp; Usage'!$F16="Yes",'Equipment List &amp; Usage'!$C$114*(IF('Equipment List &amp; Usage'!$AA16&gt;0,'Weekly Summary'!AR$128,0)+IF('Equipment List &amp; Usage'!$AB16&gt;0,'Weekly Summary'!AR$100+'Weekly Summary'!AR$101,0)),'Equipment List &amp; Usage'!$C$115*(('Weekly Summary'!AR$128*'Equipment List &amp; Usage'!$AA16)+('Weekly Summary'!AR$100*'Equipment List &amp; Usage'!$AB16*SelfQuarantine_Mild)+('Weekly Summary'!AR$101*'Equipment List &amp; Usage'!$AB16*SelfQuarantine_Moderate)))+IF('Equipment List &amp; Usage'!$F16="Yes",('Equipment List &amp; Usage'!$C$114*(IF('Equipment List &amp; Usage'!$AE16&gt;0,'Weekly Summary'!AR$134,0)+IF('Equipment List &amp; Usage'!$AF16&gt;0,'Weekly Summary'!AR$135))),'Equipment List &amp; Usage'!$C$115*(('Weekly Summary'!AR$134*'Equipment List &amp; Usage'!$AE16)+('Weekly Summary'!AR$135*'Equipment List &amp; Usage'!$AF16)))),0)</f>
        <v>0</v>
      </c>
      <c r="AY14" s="1374">
        <f ca="1">MAX(IF($F14="Yes",(
IF($F14="yes",MMULT(--('Equipment List &amp; Usage'!$J16:$N16&gt;0),--('Weekly Summary'!AS$112:AS$116))*'Equipment List &amp; Usage'!$C$114,MMULT(--('Equipment List &amp; Usage'!$J16:$N16),--('Weekly Summary'!AS$112:AS$116))*'Equipment List &amp; Usage'!$C$115)+IF('Equipment List &amp; Usage'!$F15="yes",'Equipment List &amp; Usage'!$C$114,'Equipment List &amp; Usage'!$C$115)*(('Weekly Summary'!AS$66*'Equipment List &amp; Usage'!$Q16)+('Weekly Summary'!AS$64*'Equipment List &amp; Usage'!$O16)+('Weekly Summary'!AS$65*'Equipment List &amp; Usage'!$P16)))+(IF('Equipment List &amp; Usage'!$F16="Yes",'Equipment List &amp; Usage'!$C$114*((('Weekly Summary'!AS$131*SelfQuarantine_Mild)+('Weekly Summary'!AS$100*SelfQuarantine_Mild)+('Weekly Summary'!AS$101*SelfQuarantine_Moderate))),'Equipment List &amp; Usage'!$C$115)*((('Weekly Summary'!AS$131*SelfQuarantine_Mild*'Equipment List &amp; Usage'!$W16)+('Weekly Summary'!AS$100*SelfQuarantine_Mild*'Equipment List &amp; Usage'!$X16)+('Weekly Summary'!AS$101*SelfQuarantine_Moderate*'Equipment List &amp; Usage'!$X16)))+IF('Equipment List &amp; Usage'!$F16="Yes",'Equipment List &amp; Usage'!$C$114*(IF('Equipment List &amp; Usage'!$AA16&gt;0,'Weekly Summary'!AS$128,0)+IF('Equipment List &amp; Usage'!$AB16&gt;0,'Weekly Summary'!AS$100+'Weekly Summary'!AS$101,0)),'Equipment List &amp; Usage'!$C$115*(('Weekly Summary'!AS$128*'Equipment List &amp; Usage'!$AA16)+('Weekly Summary'!AS$100*'Equipment List &amp; Usage'!$AB16*SelfQuarantine_Mild)+('Weekly Summary'!AS$101*'Equipment List &amp; Usage'!$AB16*SelfQuarantine_Moderate)))+IF('Equipment List &amp; Usage'!$F16="Yes",('Equipment List &amp; Usage'!$C$114*(IF('Equipment List &amp; Usage'!$AE16&gt;0,'Weekly Summary'!AS$134,0)+IF('Equipment List &amp; Usage'!$AF16&gt;0,'Weekly Summary'!AS$135))),'Equipment List &amp; Usage'!$C$115*(('Weekly Summary'!AS$134*'Equipment List &amp; Usage'!$AE16)+('Weekly Summary'!AS$135*'Equipment List &amp; Usage'!$AF16))))-SUM($I14:AX14),
IF($F14="yes",MMULT(--('Equipment List &amp; Usage'!$J16:$N16&gt;0),--('Weekly Summary'!AS$112:AS$116))*'Equipment List &amp; Usage'!$C$114,MMULT(--('Equipment List &amp; Usage'!$J16:$N16),--('Weekly Summary'!AS$112:AS$116))*'Equipment List &amp; Usage'!$C$115)+IF('Equipment List &amp; Usage'!$F15="yes",'Equipment List &amp; Usage'!$C$114,'Equipment List &amp; Usage'!$C$115)*(('Weekly Summary'!AS$66*'Equipment List &amp; Usage'!$Q16)+('Weekly Summary'!AS$64*'Equipment List &amp; Usage'!$O16)+('Weekly Summary'!AS$65*'Equipment List &amp; Usage'!$P16))+(IF('Equipment List &amp; Usage'!$F16="Yes",'Equipment List &amp; Usage'!$C$114*((('Weekly Summary'!AS$131*SelfQuarantine_Mild)+('Weekly Summary'!AS$100*SelfQuarantine_Mild)+('Weekly Summary'!AS$101*SelfQuarantine_Moderate))),'Equipment List &amp; Usage'!$C$115)*((('Weekly Summary'!AS$131*SelfQuarantine_Mild*'Equipment List &amp; Usage'!$W16)+('Weekly Summary'!AS$100*SelfQuarantine_Mild*'Equipment List &amp; Usage'!$X16)+('Weekly Summary'!AS$101*SelfQuarantine_Moderate*'Equipment List &amp; Usage'!$X16))))+IF('Equipment List &amp; Usage'!$F16="Yes",'Equipment List &amp; Usage'!$C$114*(IF('Equipment List &amp; Usage'!$AA16&gt;0,'Weekly Summary'!AS$128,0)+IF('Equipment List &amp; Usage'!$AB16&gt;0,'Weekly Summary'!AS$100+'Weekly Summary'!AS$101,0)),'Equipment List &amp; Usage'!$C$115*(('Weekly Summary'!AS$128*'Equipment List &amp; Usage'!$AA16)+('Weekly Summary'!AS$100*'Equipment List &amp; Usage'!$AB16*SelfQuarantine_Mild)+('Weekly Summary'!AS$101*'Equipment List &amp; Usage'!$AB16*SelfQuarantine_Moderate)))+IF('Equipment List &amp; Usage'!$F16="Yes",('Equipment List &amp; Usage'!$C$114*(IF('Equipment List &amp; Usage'!$AE16&gt;0,'Weekly Summary'!AS$134,0)+IF('Equipment List &amp; Usage'!$AF16&gt;0,'Weekly Summary'!AS$135))),'Equipment List &amp; Usage'!$C$115*(('Weekly Summary'!AS$134*'Equipment List &amp; Usage'!$AE16)+('Weekly Summary'!AS$135*'Equipment List &amp; Usage'!$AF16)))),0)</f>
        <v>0</v>
      </c>
      <c r="AZ14" s="1374">
        <f ca="1">MAX(IF($F14="Yes",(
IF($F14="yes",MMULT(--('Equipment List &amp; Usage'!$J16:$N16&gt;0),--('Weekly Summary'!AT$112:AT$116))*'Equipment List &amp; Usage'!$C$114,MMULT(--('Equipment List &amp; Usage'!$J16:$N16),--('Weekly Summary'!AT$112:AT$116))*'Equipment List &amp; Usage'!$C$115)+IF('Equipment List &amp; Usage'!$F15="yes",'Equipment List &amp; Usage'!$C$114,'Equipment List &amp; Usage'!$C$115)*(('Weekly Summary'!AT$66*'Equipment List &amp; Usage'!$Q16)+('Weekly Summary'!AT$64*'Equipment List &amp; Usage'!$O16)+('Weekly Summary'!AT$65*'Equipment List &amp; Usage'!$P16)))+(IF('Equipment List &amp; Usage'!$F16="Yes",'Equipment List &amp; Usage'!$C$114*((('Weekly Summary'!AT$131*SelfQuarantine_Mild)+('Weekly Summary'!AT$100*SelfQuarantine_Mild)+('Weekly Summary'!AT$101*SelfQuarantine_Moderate))),'Equipment List &amp; Usage'!$C$115)*((('Weekly Summary'!AT$131*SelfQuarantine_Mild*'Equipment List &amp; Usage'!$W16)+('Weekly Summary'!AT$100*SelfQuarantine_Mild*'Equipment List &amp; Usage'!$X16)+('Weekly Summary'!AT$101*SelfQuarantine_Moderate*'Equipment List &amp; Usage'!$X16)))+IF('Equipment List &amp; Usage'!$F16="Yes",'Equipment List &amp; Usage'!$C$114*(IF('Equipment List &amp; Usage'!$AA16&gt;0,'Weekly Summary'!AT$128,0)+IF('Equipment List &amp; Usage'!$AB16&gt;0,'Weekly Summary'!AT$100+'Weekly Summary'!AT$101,0)),'Equipment List &amp; Usage'!$C$115*(('Weekly Summary'!AT$128*'Equipment List &amp; Usage'!$AA16)+('Weekly Summary'!AT$100*'Equipment List &amp; Usage'!$AB16*SelfQuarantine_Mild)+('Weekly Summary'!AT$101*'Equipment List &amp; Usage'!$AB16*SelfQuarantine_Moderate)))+IF('Equipment List &amp; Usage'!$F16="Yes",('Equipment List &amp; Usage'!$C$114*(IF('Equipment List &amp; Usage'!$AE16&gt;0,'Weekly Summary'!AT$134,0)+IF('Equipment List &amp; Usage'!$AF16&gt;0,'Weekly Summary'!AT$135))),'Equipment List &amp; Usage'!$C$115*(('Weekly Summary'!AT$134*'Equipment List &amp; Usage'!$AE16)+('Weekly Summary'!AT$135*'Equipment List &amp; Usage'!$AF16))))-SUM($I14:AY14),
IF($F14="yes",MMULT(--('Equipment List &amp; Usage'!$J16:$N16&gt;0),--('Weekly Summary'!AT$112:AT$116))*'Equipment List &amp; Usage'!$C$114,MMULT(--('Equipment List &amp; Usage'!$J16:$N16),--('Weekly Summary'!AT$112:AT$116))*'Equipment List &amp; Usage'!$C$115)+IF('Equipment List &amp; Usage'!$F15="yes",'Equipment List &amp; Usage'!$C$114,'Equipment List &amp; Usage'!$C$115)*(('Weekly Summary'!AT$66*'Equipment List &amp; Usage'!$Q16)+('Weekly Summary'!AT$64*'Equipment List &amp; Usage'!$O16)+('Weekly Summary'!AT$65*'Equipment List &amp; Usage'!$P16))+(IF('Equipment List &amp; Usage'!$F16="Yes",'Equipment List &amp; Usage'!$C$114*((('Weekly Summary'!AT$131*SelfQuarantine_Mild)+('Weekly Summary'!AT$100*SelfQuarantine_Mild)+('Weekly Summary'!AT$101*SelfQuarantine_Moderate))),'Equipment List &amp; Usage'!$C$115)*((('Weekly Summary'!AT$131*SelfQuarantine_Mild*'Equipment List &amp; Usage'!$W16)+('Weekly Summary'!AT$100*SelfQuarantine_Mild*'Equipment List &amp; Usage'!$X16)+('Weekly Summary'!AT$101*SelfQuarantine_Moderate*'Equipment List &amp; Usage'!$X16))))+IF('Equipment List &amp; Usage'!$F16="Yes",'Equipment List &amp; Usage'!$C$114*(IF('Equipment List &amp; Usage'!$AA16&gt;0,'Weekly Summary'!AT$128,0)+IF('Equipment List &amp; Usage'!$AB16&gt;0,'Weekly Summary'!AT$100+'Weekly Summary'!AT$101,0)),'Equipment List &amp; Usage'!$C$115*(('Weekly Summary'!AT$128*'Equipment List &amp; Usage'!$AA16)+('Weekly Summary'!AT$100*'Equipment List &amp; Usage'!$AB16*SelfQuarantine_Mild)+('Weekly Summary'!AT$101*'Equipment List &amp; Usage'!$AB16*SelfQuarantine_Moderate)))+IF('Equipment List &amp; Usage'!$F16="Yes",('Equipment List &amp; Usage'!$C$114*(IF('Equipment List &amp; Usage'!$AE16&gt;0,'Weekly Summary'!AT$134,0)+IF('Equipment List &amp; Usage'!$AF16&gt;0,'Weekly Summary'!AT$135))),'Equipment List &amp; Usage'!$C$115*(('Weekly Summary'!AT$134*'Equipment List &amp; Usage'!$AE16)+('Weekly Summary'!AT$135*'Equipment List &amp; Usage'!$AF16)))),0)</f>
        <v>0</v>
      </c>
      <c r="BA14" s="1374">
        <f ca="1">MAX(IF($F14="Yes",(
IF($F14="yes",MMULT(--('Equipment List &amp; Usage'!$J16:$N16&gt;0),--('Weekly Summary'!AU$112:AU$116))*'Equipment List &amp; Usage'!$C$114,MMULT(--('Equipment List &amp; Usage'!$J16:$N16),--('Weekly Summary'!AU$112:AU$116))*'Equipment List &amp; Usage'!$C$115)+IF('Equipment List &amp; Usage'!$F15="yes",'Equipment List &amp; Usage'!$C$114,'Equipment List &amp; Usage'!$C$115)*(('Weekly Summary'!AU$66*'Equipment List &amp; Usage'!$Q16)+('Weekly Summary'!AU$64*'Equipment List &amp; Usage'!$O16)+('Weekly Summary'!AU$65*'Equipment List &amp; Usage'!$P16)))+(IF('Equipment List &amp; Usage'!$F16="Yes",'Equipment List &amp; Usage'!$C$114*((('Weekly Summary'!AU$131*SelfQuarantine_Mild)+('Weekly Summary'!AU$100*SelfQuarantine_Mild)+('Weekly Summary'!AU$101*SelfQuarantine_Moderate))),'Equipment List &amp; Usage'!$C$115)*((('Weekly Summary'!AU$131*SelfQuarantine_Mild*'Equipment List &amp; Usage'!$W16)+('Weekly Summary'!AU$100*SelfQuarantine_Mild*'Equipment List &amp; Usage'!$X16)+('Weekly Summary'!AU$101*SelfQuarantine_Moderate*'Equipment List &amp; Usage'!$X16)))+IF('Equipment List &amp; Usage'!$F16="Yes",'Equipment List &amp; Usage'!$C$114*(IF('Equipment List &amp; Usage'!$AA16&gt;0,'Weekly Summary'!AU$128,0)+IF('Equipment List &amp; Usage'!$AB16&gt;0,'Weekly Summary'!AU$100+'Weekly Summary'!AU$101,0)),'Equipment List &amp; Usage'!$C$115*(('Weekly Summary'!AU$128*'Equipment List &amp; Usage'!$AA16)+('Weekly Summary'!AU$100*'Equipment List &amp; Usage'!$AB16*SelfQuarantine_Mild)+('Weekly Summary'!AU$101*'Equipment List &amp; Usage'!$AB16*SelfQuarantine_Moderate)))+IF('Equipment List &amp; Usage'!$F16="Yes",('Equipment List &amp; Usage'!$C$114*(IF('Equipment List &amp; Usage'!$AE16&gt;0,'Weekly Summary'!AU$134,0)+IF('Equipment List &amp; Usage'!$AF16&gt;0,'Weekly Summary'!AU$135))),'Equipment List &amp; Usage'!$C$115*(('Weekly Summary'!AU$134*'Equipment List &amp; Usage'!$AE16)+('Weekly Summary'!AU$135*'Equipment List &amp; Usage'!$AF16))))-SUM($I14:AZ14),
IF($F14="yes",MMULT(--('Equipment List &amp; Usage'!$J16:$N16&gt;0),--('Weekly Summary'!AU$112:AU$116))*'Equipment List &amp; Usage'!$C$114,MMULT(--('Equipment List &amp; Usage'!$J16:$N16),--('Weekly Summary'!AU$112:AU$116))*'Equipment List &amp; Usage'!$C$115)+IF('Equipment List &amp; Usage'!$F15="yes",'Equipment List &amp; Usage'!$C$114,'Equipment List &amp; Usage'!$C$115)*(('Weekly Summary'!AU$66*'Equipment List &amp; Usage'!$Q16)+('Weekly Summary'!AU$64*'Equipment List &amp; Usage'!$O16)+('Weekly Summary'!AU$65*'Equipment List &amp; Usage'!$P16))+(IF('Equipment List &amp; Usage'!$F16="Yes",'Equipment List &amp; Usage'!$C$114*((('Weekly Summary'!AU$131*SelfQuarantine_Mild)+('Weekly Summary'!AU$100*SelfQuarantine_Mild)+('Weekly Summary'!AU$101*SelfQuarantine_Moderate))),'Equipment List &amp; Usage'!$C$115)*((('Weekly Summary'!AU$131*SelfQuarantine_Mild*'Equipment List &amp; Usage'!$W16)+('Weekly Summary'!AU$100*SelfQuarantine_Mild*'Equipment List &amp; Usage'!$X16)+('Weekly Summary'!AU$101*SelfQuarantine_Moderate*'Equipment List &amp; Usage'!$X16))))+IF('Equipment List &amp; Usage'!$F16="Yes",'Equipment List &amp; Usage'!$C$114*(IF('Equipment List &amp; Usage'!$AA16&gt;0,'Weekly Summary'!AU$128,0)+IF('Equipment List &amp; Usage'!$AB16&gt;0,'Weekly Summary'!AU$100+'Weekly Summary'!AU$101,0)),'Equipment List &amp; Usage'!$C$115*(('Weekly Summary'!AU$128*'Equipment List &amp; Usage'!$AA16)+('Weekly Summary'!AU$100*'Equipment List &amp; Usage'!$AB16*SelfQuarantine_Mild)+('Weekly Summary'!AU$101*'Equipment List &amp; Usage'!$AB16*SelfQuarantine_Moderate)))+IF('Equipment List &amp; Usage'!$F16="Yes",('Equipment List &amp; Usage'!$C$114*(IF('Equipment List &amp; Usage'!$AE16&gt;0,'Weekly Summary'!AU$134,0)+IF('Equipment List &amp; Usage'!$AF16&gt;0,'Weekly Summary'!AU$135))),'Equipment List &amp; Usage'!$C$115*(('Weekly Summary'!AU$134*'Equipment List &amp; Usage'!$AE16)+('Weekly Summary'!AU$135*'Equipment List &amp; Usage'!$AF16)))),0)</f>
        <v>0</v>
      </c>
      <c r="BB14" s="1374">
        <f ca="1">MAX(IF($F14="Yes",(
IF($F14="yes",MMULT(--('Equipment List &amp; Usage'!$J16:$N16&gt;0),--('Weekly Summary'!AV$112:AV$116))*'Equipment List &amp; Usage'!$C$114,MMULT(--('Equipment List &amp; Usage'!$J16:$N16),--('Weekly Summary'!AV$112:AV$116))*'Equipment List &amp; Usage'!$C$115)+IF('Equipment List &amp; Usage'!$F15="yes",'Equipment List &amp; Usage'!$C$114,'Equipment List &amp; Usage'!$C$115)*(('Weekly Summary'!AV$66*'Equipment List &amp; Usage'!$Q16)+('Weekly Summary'!AV$64*'Equipment List &amp; Usage'!$O16)+('Weekly Summary'!AV$65*'Equipment List &amp; Usage'!$P16)))+(IF('Equipment List &amp; Usage'!$F16="Yes",'Equipment List &amp; Usage'!$C$114*((('Weekly Summary'!AV$131*SelfQuarantine_Mild)+('Weekly Summary'!AV$100*SelfQuarantine_Mild)+('Weekly Summary'!AV$101*SelfQuarantine_Moderate))),'Equipment List &amp; Usage'!$C$115)*((('Weekly Summary'!AV$131*SelfQuarantine_Mild*'Equipment List &amp; Usage'!$W16)+('Weekly Summary'!AV$100*SelfQuarantine_Mild*'Equipment List &amp; Usage'!$X16)+('Weekly Summary'!AV$101*SelfQuarantine_Moderate*'Equipment List &amp; Usage'!$X16)))+IF('Equipment List &amp; Usage'!$F16="Yes",'Equipment List &amp; Usage'!$C$114*(IF('Equipment List &amp; Usage'!$AA16&gt;0,'Weekly Summary'!AV$128,0)+IF('Equipment List &amp; Usage'!$AB16&gt;0,'Weekly Summary'!AV$100+'Weekly Summary'!AV$101,0)),'Equipment List &amp; Usage'!$C$115*(('Weekly Summary'!AV$128*'Equipment List &amp; Usage'!$AA16)+('Weekly Summary'!AV$100*'Equipment List &amp; Usage'!$AB16*SelfQuarantine_Mild)+('Weekly Summary'!AV$101*'Equipment List &amp; Usage'!$AB16*SelfQuarantine_Moderate)))+IF('Equipment List &amp; Usage'!$F16="Yes",('Equipment List &amp; Usage'!$C$114*(IF('Equipment List &amp; Usage'!$AE16&gt;0,'Weekly Summary'!AV$134,0)+IF('Equipment List &amp; Usage'!$AF16&gt;0,'Weekly Summary'!AV$135))),'Equipment List &amp; Usage'!$C$115*(('Weekly Summary'!AV$134*'Equipment List &amp; Usage'!$AE16)+('Weekly Summary'!AV$135*'Equipment List &amp; Usage'!$AF16))))-SUM($I14:BA14),
IF($F14="yes",MMULT(--('Equipment List &amp; Usage'!$J16:$N16&gt;0),--('Weekly Summary'!AV$112:AV$116))*'Equipment List &amp; Usage'!$C$114,MMULT(--('Equipment List &amp; Usage'!$J16:$N16),--('Weekly Summary'!AV$112:AV$116))*'Equipment List &amp; Usage'!$C$115)+IF('Equipment List &amp; Usage'!$F15="yes",'Equipment List &amp; Usage'!$C$114,'Equipment List &amp; Usage'!$C$115)*(('Weekly Summary'!AV$66*'Equipment List &amp; Usage'!$Q16)+('Weekly Summary'!AV$64*'Equipment List &amp; Usage'!$O16)+('Weekly Summary'!AV$65*'Equipment List &amp; Usage'!$P16))+(IF('Equipment List &amp; Usage'!$F16="Yes",'Equipment List &amp; Usage'!$C$114*((('Weekly Summary'!AV$131*SelfQuarantine_Mild)+('Weekly Summary'!AV$100*SelfQuarantine_Mild)+('Weekly Summary'!AV$101*SelfQuarantine_Moderate))),'Equipment List &amp; Usage'!$C$115)*((('Weekly Summary'!AV$131*SelfQuarantine_Mild*'Equipment List &amp; Usage'!$W16)+('Weekly Summary'!AV$100*SelfQuarantine_Mild*'Equipment List &amp; Usage'!$X16)+('Weekly Summary'!AV$101*SelfQuarantine_Moderate*'Equipment List &amp; Usage'!$X16))))+IF('Equipment List &amp; Usage'!$F16="Yes",'Equipment List &amp; Usage'!$C$114*(IF('Equipment List &amp; Usage'!$AA16&gt;0,'Weekly Summary'!AV$128,0)+IF('Equipment List &amp; Usage'!$AB16&gt;0,'Weekly Summary'!AV$100+'Weekly Summary'!AV$101,0)),'Equipment List &amp; Usage'!$C$115*(('Weekly Summary'!AV$128*'Equipment List &amp; Usage'!$AA16)+('Weekly Summary'!AV$100*'Equipment List &amp; Usage'!$AB16*SelfQuarantine_Mild)+('Weekly Summary'!AV$101*'Equipment List &amp; Usage'!$AB16*SelfQuarantine_Moderate)))+IF('Equipment List &amp; Usage'!$F16="Yes",('Equipment List &amp; Usage'!$C$114*(IF('Equipment List &amp; Usage'!$AE16&gt;0,'Weekly Summary'!AV$134,0)+IF('Equipment List &amp; Usage'!$AF16&gt;0,'Weekly Summary'!AV$135))),'Equipment List &amp; Usage'!$C$115*(('Weekly Summary'!AV$134*'Equipment List &amp; Usage'!$AE16)+('Weekly Summary'!AV$135*'Equipment List &amp; Usage'!$AF16)))),0)</f>
        <v>0</v>
      </c>
      <c r="BC14" s="1374">
        <f ca="1">MAX(IF($F14="Yes",(
IF($F14="yes",MMULT(--('Equipment List &amp; Usage'!$J16:$N16&gt;0),--('Weekly Summary'!AW$112:AW$116))*'Equipment List &amp; Usage'!$C$114,MMULT(--('Equipment List &amp; Usage'!$J16:$N16),--('Weekly Summary'!AW$112:AW$116))*'Equipment List &amp; Usage'!$C$115)+IF('Equipment List &amp; Usage'!$F15="yes",'Equipment List &amp; Usage'!$C$114,'Equipment List &amp; Usage'!$C$115)*(('Weekly Summary'!AW$66*'Equipment List &amp; Usage'!$Q16)+('Weekly Summary'!AW$64*'Equipment List &amp; Usage'!$O16)+('Weekly Summary'!AW$65*'Equipment List &amp; Usage'!$P16)))+(IF('Equipment List &amp; Usage'!$F16="Yes",'Equipment List &amp; Usage'!$C$114*((('Weekly Summary'!AW$131*SelfQuarantine_Mild)+('Weekly Summary'!AW$100*SelfQuarantine_Mild)+('Weekly Summary'!AW$101*SelfQuarantine_Moderate))),'Equipment List &amp; Usage'!$C$115)*((('Weekly Summary'!AW$131*SelfQuarantine_Mild*'Equipment List &amp; Usage'!$W16)+('Weekly Summary'!AW$100*SelfQuarantine_Mild*'Equipment List &amp; Usage'!$X16)+('Weekly Summary'!AW$101*SelfQuarantine_Moderate*'Equipment List &amp; Usage'!$X16)))+IF('Equipment List &amp; Usage'!$F16="Yes",'Equipment List &amp; Usage'!$C$114*(IF('Equipment List &amp; Usage'!$AA16&gt;0,'Weekly Summary'!AW$128,0)+IF('Equipment List &amp; Usage'!$AB16&gt;0,'Weekly Summary'!AW$100+'Weekly Summary'!AW$101,0)),'Equipment List &amp; Usage'!$C$115*(('Weekly Summary'!AW$128*'Equipment List &amp; Usage'!$AA16)+('Weekly Summary'!AW$100*'Equipment List &amp; Usage'!$AB16*SelfQuarantine_Mild)+('Weekly Summary'!AW$101*'Equipment List &amp; Usage'!$AB16*SelfQuarantine_Moderate)))+IF('Equipment List &amp; Usage'!$F16="Yes",('Equipment List &amp; Usage'!$C$114*(IF('Equipment List &amp; Usage'!$AE16&gt;0,'Weekly Summary'!AW$134,0)+IF('Equipment List &amp; Usage'!$AF16&gt;0,'Weekly Summary'!AW$135))),'Equipment List &amp; Usage'!$C$115*(('Weekly Summary'!AW$134*'Equipment List &amp; Usage'!$AE16)+('Weekly Summary'!AW$135*'Equipment List &amp; Usage'!$AF16))))-SUM($I14:BB14),
IF($F14="yes",MMULT(--('Equipment List &amp; Usage'!$J16:$N16&gt;0),--('Weekly Summary'!AW$112:AW$116))*'Equipment List &amp; Usage'!$C$114,MMULT(--('Equipment List &amp; Usage'!$J16:$N16),--('Weekly Summary'!AW$112:AW$116))*'Equipment List &amp; Usage'!$C$115)+IF('Equipment List &amp; Usage'!$F15="yes",'Equipment List &amp; Usage'!$C$114,'Equipment List &amp; Usage'!$C$115)*(('Weekly Summary'!AW$66*'Equipment List &amp; Usage'!$Q16)+('Weekly Summary'!AW$64*'Equipment List &amp; Usage'!$O16)+('Weekly Summary'!AW$65*'Equipment List &amp; Usage'!$P16))+(IF('Equipment List &amp; Usage'!$F16="Yes",'Equipment List &amp; Usage'!$C$114*((('Weekly Summary'!AW$131*SelfQuarantine_Mild)+('Weekly Summary'!AW$100*SelfQuarantine_Mild)+('Weekly Summary'!AW$101*SelfQuarantine_Moderate))),'Equipment List &amp; Usage'!$C$115)*((('Weekly Summary'!AW$131*SelfQuarantine_Mild*'Equipment List &amp; Usage'!$W16)+('Weekly Summary'!AW$100*SelfQuarantine_Mild*'Equipment List &amp; Usage'!$X16)+('Weekly Summary'!AW$101*SelfQuarantine_Moderate*'Equipment List &amp; Usage'!$X16))))+IF('Equipment List &amp; Usage'!$F16="Yes",'Equipment List &amp; Usage'!$C$114*(IF('Equipment List &amp; Usage'!$AA16&gt;0,'Weekly Summary'!AW$128,0)+IF('Equipment List &amp; Usage'!$AB16&gt;0,'Weekly Summary'!AW$100+'Weekly Summary'!AW$101,0)),'Equipment List &amp; Usage'!$C$115*(('Weekly Summary'!AW$128*'Equipment List &amp; Usage'!$AA16)+('Weekly Summary'!AW$100*'Equipment List &amp; Usage'!$AB16*SelfQuarantine_Mild)+('Weekly Summary'!AW$101*'Equipment List &amp; Usage'!$AB16*SelfQuarantine_Moderate)))+IF('Equipment List &amp; Usage'!$F16="Yes",('Equipment List &amp; Usage'!$C$114*(IF('Equipment List &amp; Usage'!$AE16&gt;0,'Weekly Summary'!AW$134,0)+IF('Equipment List &amp; Usage'!$AF16&gt;0,'Weekly Summary'!AW$135))),'Equipment List &amp; Usage'!$C$115*(('Weekly Summary'!AW$134*'Equipment List &amp; Usage'!$AE16)+('Weekly Summary'!AW$135*'Equipment List &amp; Usage'!$AF16)))),0)</f>
        <v>0</v>
      </c>
      <c r="BD14" s="1374">
        <f ca="1">MAX(IF($F14="Yes",(
IF($F14="yes",MMULT(--('Equipment List &amp; Usage'!$J16:$N16&gt;0),--('Weekly Summary'!AX$112:AX$116))*'Equipment List &amp; Usage'!$C$114,MMULT(--('Equipment List &amp; Usage'!$J16:$N16),--('Weekly Summary'!AX$112:AX$116))*'Equipment List &amp; Usage'!$C$115)+IF('Equipment List &amp; Usage'!$F15="yes",'Equipment List &amp; Usage'!$C$114,'Equipment List &amp; Usage'!$C$115)*(('Weekly Summary'!AX$66*'Equipment List &amp; Usage'!$Q16)+('Weekly Summary'!AX$64*'Equipment List &amp; Usage'!$O16)+('Weekly Summary'!AX$65*'Equipment List &amp; Usage'!$P16)))+(IF('Equipment List &amp; Usage'!$F16="Yes",'Equipment List &amp; Usage'!$C$114*((('Weekly Summary'!AX$131*SelfQuarantine_Mild)+('Weekly Summary'!AX$100*SelfQuarantine_Mild)+('Weekly Summary'!AX$101*SelfQuarantine_Moderate))),'Equipment List &amp; Usage'!$C$115)*((('Weekly Summary'!AX$131*SelfQuarantine_Mild*'Equipment List &amp; Usage'!$W16)+('Weekly Summary'!AX$100*SelfQuarantine_Mild*'Equipment List &amp; Usage'!$X16)+('Weekly Summary'!AX$101*SelfQuarantine_Moderate*'Equipment List &amp; Usage'!$X16)))+IF('Equipment List &amp; Usage'!$F16="Yes",'Equipment List &amp; Usage'!$C$114*(IF('Equipment List &amp; Usage'!$AA16&gt;0,'Weekly Summary'!AX$128,0)+IF('Equipment List &amp; Usage'!$AB16&gt;0,'Weekly Summary'!AX$100+'Weekly Summary'!AX$101,0)),'Equipment List &amp; Usage'!$C$115*(('Weekly Summary'!AX$128*'Equipment List &amp; Usage'!$AA16)+('Weekly Summary'!AX$100*'Equipment List &amp; Usage'!$AB16*SelfQuarantine_Mild)+('Weekly Summary'!AX$101*'Equipment List &amp; Usage'!$AB16*SelfQuarantine_Moderate)))+IF('Equipment List &amp; Usage'!$F16="Yes",('Equipment List &amp; Usage'!$C$114*(IF('Equipment List &amp; Usage'!$AE16&gt;0,'Weekly Summary'!AX$134,0)+IF('Equipment List &amp; Usage'!$AF16&gt;0,'Weekly Summary'!AX$135))),'Equipment List &amp; Usage'!$C$115*(('Weekly Summary'!AX$134*'Equipment List &amp; Usage'!$AE16)+('Weekly Summary'!AX$135*'Equipment List &amp; Usage'!$AF16))))-SUM($I14:BC14),
IF($F14="yes",MMULT(--('Equipment List &amp; Usage'!$J16:$N16&gt;0),--('Weekly Summary'!AX$112:AX$116))*'Equipment List &amp; Usage'!$C$114,MMULT(--('Equipment List &amp; Usage'!$J16:$N16),--('Weekly Summary'!AX$112:AX$116))*'Equipment List &amp; Usage'!$C$115)+IF('Equipment List &amp; Usage'!$F15="yes",'Equipment List &amp; Usage'!$C$114,'Equipment List &amp; Usage'!$C$115)*(('Weekly Summary'!AX$66*'Equipment List &amp; Usage'!$Q16)+('Weekly Summary'!AX$64*'Equipment List &amp; Usage'!$O16)+('Weekly Summary'!AX$65*'Equipment List &amp; Usage'!$P16))+(IF('Equipment List &amp; Usage'!$F16="Yes",'Equipment List &amp; Usage'!$C$114*((('Weekly Summary'!AX$131*SelfQuarantine_Mild)+('Weekly Summary'!AX$100*SelfQuarantine_Mild)+('Weekly Summary'!AX$101*SelfQuarantine_Moderate))),'Equipment List &amp; Usage'!$C$115)*((('Weekly Summary'!AX$131*SelfQuarantine_Mild*'Equipment List &amp; Usage'!$W16)+('Weekly Summary'!AX$100*SelfQuarantine_Mild*'Equipment List &amp; Usage'!$X16)+('Weekly Summary'!AX$101*SelfQuarantine_Moderate*'Equipment List &amp; Usage'!$X16))))+IF('Equipment List &amp; Usage'!$F16="Yes",'Equipment List &amp; Usage'!$C$114*(IF('Equipment List &amp; Usage'!$AA16&gt;0,'Weekly Summary'!AX$128,0)+IF('Equipment List &amp; Usage'!$AB16&gt;0,'Weekly Summary'!AX$100+'Weekly Summary'!AX$101,0)),'Equipment List &amp; Usage'!$C$115*(('Weekly Summary'!AX$128*'Equipment List &amp; Usage'!$AA16)+('Weekly Summary'!AX$100*'Equipment List &amp; Usage'!$AB16*SelfQuarantine_Mild)+('Weekly Summary'!AX$101*'Equipment List &amp; Usage'!$AB16*SelfQuarantine_Moderate)))+IF('Equipment List &amp; Usage'!$F16="Yes",('Equipment List &amp; Usage'!$C$114*(IF('Equipment List &amp; Usage'!$AE16&gt;0,'Weekly Summary'!AX$134,0)+IF('Equipment List &amp; Usage'!$AF16&gt;0,'Weekly Summary'!AX$135))),'Equipment List &amp; Usage'!$C$115*(('Weekly Summary'!AX$134*'Equipment List &amp; Usage'!$AE16)+('Weekly Summary'!AX$135*'Equipment List &amp; Usage'!$AF16)))),0)</f>
        <v>0</v>
      </c>
      <c r="BE14" s="1374">
        <f ca="1">MAX(IF($F14="Yes",(
IF($F14="yes",MMULT(--('Equipment List &amp; Usage'!$J16:$N16&gt;0),--('Weekly Summary'!AY$112:AY$116))*'Equipment List &amp; Usage'!$C$114,MMULT(--('Equipment List &amp; Usage'!$J16:$N16),--('Weekly Summary'!AY$112:AY$116))*'Equipment List &amp; Usage'!$C$115)+IF('Equipment List &amp; Usage'!$F15="yes",'Equipment List &amp; Usage'!$C$114,'Equipment List &amp; Usage'!$C$115)*(('Weekly Summary'!AY$66*'Equipment List &amp; Usage'!$Q16)+('Weekly Summary'!AY$64*'Equipment List &amp; Usage'!$O16)+('Weekly Summary'!AY$65*'Equipment List &amp; Usage'!$P16)))+(IF('Equipment List &amp; Usage'!$F16="Yes",'Equipment List &amp; Usage'!$C$114*((('Weekly Summary'!AY$131*SelfQuarantine_Mild)+('Weekly Summary'!AY$100*SelfQuarantine_Mild)+('Weekly Summary'!AY$101*SelfQuarantine_Moderate))),'Equipment List &amp; Usage'!$C$115)*((('Weekly Summary'!AY$131*SelfQuarantine_Mild*'Equipment List &amp; Usage'!$W16)+('Weekly Summary'!AY$100*SelfQuarantine_Mild*'Equipment List &amp; Usage'!$X16)+('Weekly Summary'!AY$101*SelfQuarantine_Moderate*'Equipment List &amp; Usage'!$X16)))+IF('Equipment List &amp; Usage'!$F16="Yes",'Equipment List &amp; Usage'!$C$114*(IF('Equipment List &amp; Usage'!$AA16&gt;0,'Weekly Summary'!AY$128,0)+IF('Equipment List &amp; Usage'!$AB16&gt;0,'Weekly Summary'!AY$100+'Weekly Summary'!AY$101,0)),'Equipment List &amp; Usage'!$C$115*(('Weekly Summary'!AY$128*'Equipment List &amp; Usage'!$AA16)+('Weekly Summary'!AY$100*'Equipment List &amp; Usage'!$AB16*SelfQuarantine_Mild)+('Weekly Summary'!AY$101*'Equipment List &amp; Usage'!$AB16*SelfQuarantine_Moderate)))+IF('Equipment List &amp; Usage'!$F16="Yes",('Equipment List &amp; Usage'!$C$114*(IF('Equipment List &amp; Usage'!$AE16&gt;0,'Weekly Summary'!AY$134,0)+IF('Equipment List &amp; Usage'!$AF16&gt;0,'Weekly Summary'!AY$135))),'Equipment List &amp; Usage'!$C$115*(('Weekly Summary'!AY$134*'Equipment List &amp; Usage'!$AE16)+('Weekly Summary'!AY$135*'Equipment List &amp; Usage'!$AF16))))-SUM($I14:BD14),
IF($F14="yes",MMULT(--('Equipment List &amp; Usage'!$J16:$N16&gt;0),--('Weekly Summary'!AY$112:AY$116))*'Equipment List &amp; Usage'!$C$114,MMULT(--('Equipment List &amp; Usage'!$J16:$N16),--('Weekly Summary'!AY$112:AY$116))*'Equipment List &amp; Usage'!$C$115)+IF('Equipment List &amp; Usage'!$F15="yes",'Equipment List &amp; Usage'!$C$114,'Equipment List &amp; Usage'!$C$115)*(('Weekly Summary'!AY$66*'Equipment List &amp; Usage'!$Q16)+('Weekly Summary'!AY$64*'Equipment List &amp; Usage'!$O16)+('Weekly Summary'!AY$65*'Equipment List &amp; Usage'!$P16))+(IF('Equipment List &amp; Usage'!$F16="Yes",'Equipment List &amp; Usage'!$C$114*((('Weekly Summary'!AY$131*SelfQuarantine_Mild)+('Weekly Summary'!AY$100*SelfQuarantine_Mild)+('Weekly Summary'!AY$101*SelfQuarantine_Moderate))),'Equipment List &amp; Usage'!$C$115)*((('Weekly Summary'!AY$131*SelfQuarantine_Mild*'Equipment List &amp; Usage'!$W16)+('Weekly Summary'!AY$100*SelfQuarantine_Mild*'Equipment List &amp; Usage'!$X16)+('Weekly Summary'!AY$101*SelfQuarantine_Moderate*'Equipment List &amp; Usage'!$X16))))+IF('Equipment List &amp; Usage'!$F16="Yes",'Equipment List &amp; Usage'!$C$114*(IF('Equipment List &amp; Usage'!$AA16&gt;0,'Weekly Summary'!AY$128,0)+IF('Equipment List &amp; Usage'!$AB16&gt;0,'Weekly Summary'!AY$100+'Weekly Summary'!AY$101,0)),'Equipment List &amp; Usage'!$C$115*(('Weekly Summary'!AY$128*'Equipment List &amp; Usage'!$AA16)+('Weekly Summary'!AY$100*'Equipment List &amp; Usage'!$AB16*SelfQuarantine_Mild)+('Weekly Summary'!AY$101*'Equipment List &amp; Usage'!$AB16*SelfQuarantine_Moderate)))+IF('Equipment List &amp; Usage'!$F16="Yes",('Equipment List &amp; Usage'!$C$114*(IF('Equipment List &amp; Usage'!$AE16&gt;0,'Weekly Summary'!AY$134,0)+IF('Equipment List &amp; Usage'!$AF16&gt;0,'Weekly Summary'!AY$135))),'Equipment List &amp; Usage'!$C$115*(('Weekly Summary'!AY$134*'Equipment List &amp; Usage'!$AE16)+('Weekly Summary'!AY$135*'Equipment List &amp; Usage'!$AF16)))),0)</f>
        <v>0</v>
      </c>
      <c r="BF14" s="1374">
        <f ca="1">MAX(IF($F14="Yes",(
IF($F14="yes",MMULT(--('Equipment List &amp; Usage'!$J16:$N16&gt;0),--('Weekly Summary'!AZ$112:AZ$116))*'Equipment List &amp; Usage'!$C$114,MMULT(--('Equipment List &amp; Usage'!$J16:$N16),--('Weekly Summary'!AZ$112:AZ$116))*'Equipment List &amp; Usage'!$C$115)+IF('Equipment List &amp; Usage'!$F15="yes",'Equipment List &amp; Usage'!$C$114,'Equipment List &amp; Usage'!$C$115)*(('Weekly Summary'!AZ$66*'Equipment List &amp; Usage'!$Q16)+('Weekly Summary'!AZ$64*'Equipment List &amp; Usage'!$O16)+('Weekly Summary'!AZ$65*'Equipment List &amp; Usage'!$P16)))+(IF('Equipment List &amp; Usage'!$F16="Yes",'Equipment List &amp; Usage'!$C$114*((('Weekly Summary'!AZ$131*SelfQuarantine_Mild)+('Weekly Summary'!AZ$100*SelfQuarantine_Mild)+('Weekly Summary'!AZ$101*SelfQuarantine_Moderate))),'Equipment List &amp; Usage'!$C$115)*((('Weekly Summary'!AZ$131*SelfQuarantine_Mild*'Equipment List &amp; Usage'!$W16)+('Weekly Summary'!AZ$100*SelfQuarantine_Mild*'Equipment List &amp; Usage'!$X16)+('Weekly Summary'!AZ$101*SelfQuarantine_Moderate*'Equipment List &amp; Usage'!$X16)))+IF('Equipment List &amp; Usage'!$F16="Yes",'Equipment List &amp; Usage'!$C$114*(IF('Equipment List &amp; Usage'!$AA16&gt;0,'Weekly Summary'!AZ$128,0)+IF('Equipment List &amp; Usage'!$AB16&gt;0,'Weekly Summary'!AZ$100+'Weekly Summary'!AZ$101,0)),'Equipment List &amp; Usage'!$C$115*(('Weekly Summary'!AZ$128*'Equipment List &amp; Usage'!$AA16)+('Weekly Summary'!AZ$100*'Equipment List &amp; Usage'!$AB16*SelfQuarantine_Mild)+('Weekly Summary'!AZ$101*'Equipment List &amp; Usage'!$AB16*SelfQuarantine_Moderate)))+IF('Equipment List &amp; Usage'!$F16="Yes",('Equipment List &amp; Usage'!$C$114*(IF('Equipment List &amp; Usage'!$AE16&gt;0,'Weekly Summary'!AZ$134,0)+IF('Equipment List &amp; Usage'!$AF16&gt;0,'Weekly Summary'!AZ$135))),'Equipment List &amp; Usage'!$C$115*(('Weekly Summary'!AZ$134*'Equipment List &amp; Usage'!$AE16)+('Weekly Summary'!AZ$135*'Equipment List &amp; Usage'!$AF16))))-SUM($I14:BE14),
IF($F14="yes",MMULT(--('Equipment List &amp; Usage'!$J16:$N16&gt;0),--('Weekly Summary'!AZ$112:AZ$116))*'Equipment List &amp; Usage'!$C$114,MMULT(--('Equipment List &amp; Usage'!$J16:$N16),--('Weekly Summary'!AZ$112:AZ$116))*'Equipment List &amp; Usage'!$C$115)+IF('Equipment List &amp; Usage'!$F15="yes",'Equipment List &amp; Usage'!$C$114,'Equipment List &amp; Usage'!$C$115)*(('Weekly Summary'!AZ$66*'Equipment List &amp; Usage'!$Q16)+('Weekly Summary'!AZ$64*'Equipment List &amp; Usage'!$O16)+('Weekly Summary'!AZ$65*'Equipment List &amp; Usage'!$P16))+(IF('Equipment List &amp; Usage'!$F16="Yes",'Equipment List &amp; Usage'!$C$114*((('Weekly Summary'!AZ$131*SelfQuarantine_Mild)+('Weekly Summary'!AZ$100*SelfQuarantine_Mild)+('Weekly Summary'!AZ$101*SelfQuarantine_Moderate))),'Equipment List &amp; Usage'!$C$115)*((('Weekly Summary'!AZ$131*SelfQuarantine_Mild*'Equipment List &amp; Usage'!$W16)+('Weekly Summary'!AZ$100*SelfQuarantine_Mild*'Equipment List &amp; Usage'!$X16)+('Weekly Summary'!AZ$101*SelfQuarantine_Moderate*'Equipment List &amp; Usage'!$X16))))+IF('Equipment List &amp; Usage'!$F16="Yes",'Equipment List &amp; Usage'!$C$114*(IF('Equipment List &amp; Usage'!$AA16&gt;0,'Weekly Summary'!AZ$128,0)+IF('Equipment List &amp; Usage'!$AB16&gt;0,'Weekly Summary'!AZ$100+'Weekly Summary'!AZ$101,0)),'Equipment List &amp; Usage'!$C$115*(('Weekly Summary'!AZ$128*'Equipment List &amp; Usage'!$AA16)+('Weekly Summary'!AZ$100*'Equipment List &amp; Usage'!$AB16*SelfQuarantine_Mild)+('Weekly Summary'!AZ$101*'Equipment List &amp; Usage'!$AB16*SelfQuarantine_Moderate)))+IF('Equipment List &amp; Usage'!$F16="Yes",('Equipment List &amp; Usage'!$C$114*(IF('Equipment List &amp; Usage'!$AE16&gt;0,'Weekly Summary'!AZ$134,0)+IF('Equipment List &amp; Usage'!$AF16&gt;0,'Weekly Summary'!AZ$135))),'Equipment List &amp; Usage'!$C$115*(('Weekly Summary'!AZ$134*'Equipment List &amp; Usage'!$AE16)+('Weekly Summary'!AZ$135*'Equipment List &amp; Usage'!$AF16)))),0)</f>
        <v>0</v>
      </c>
      <c r="BG14" s="1374">
        <f ca="1">MAX(IF($F14="Yes",(
IF($F14="yes",MMULT(--('Equipment List &amp; Usage'!$J16:$N16&gt;0),--('Weekly Summary'!BA$112:BA$116))*'Equipment List &amp; Usage'!$C$114,MMULT(--('Equipment List &amp; Usage'!$J16:$N16),--('Weekly Summary'!BA$112:BA$116))*'Equipment List &amp; Usage'!$C$115)+IF('Equipment List &amp; Usage'!$F15="yes",'Equipment List &amp; Usage'!$C$114,'Equipment List &amp; Usage'!$C$115)*(('Weekly Summary'!BA$66*'Equipment List &amp; Usage'!$Q16)+('Weekly Summary'!BA$64*'Equipment List &amp; Usage'!$O16)+('Weekly Summary'!BA$65*'Equipment List &amp; Usage'!$P16)))+(IF('Equipment List &amp; Usage'!$F16="Yes",'Equipment List &amp; Usage'!$C$114*((('Weekly Summary'!BA$131*SelfQuarantine_Mild)+('Weekly Summary'!BA$100*SelfQuarantine_Mild)+('Weekly Summary'!BA$101*SelfQuarantine_Moderate))),'Equipment List &amp; Usage'!$C$115)*((('Weekly Summary'!BA$131*SelfQuarantine_Mild*'Equipment List &amp; Usage'!$W16)+('Weekly Summary'!BA$100*SelfQuarantine_Mild*'Equipment List &amp; Usage'!$X16)+('Weekly Summary'!BA$101*SelfQuarantine_Moderate*'Equipment List &amp; Usage'!$X16)))+IF('Equipment List &amp; Usage'!$F16="Yes",'Equipment List &amp; Usage'!$C$114*(IF('Equipment List &amp; Usage'!$AA16&gt;0,'Weekly Summary'!BA$128,0)+IF('Equipment List &amp; Usage'!$AB16&gt;0,'Weekly Summary'!BA$100+'Weekly Summary'!BA$101,0)),'Equipment List &amp; Usage'!$C$115*(('Weekly Summary'!BA$128*'Equipment List &amp; Usage'!$AA16)+('Weekly Summary'!BA$100*'Equipment List &amp; Usage'!$AB16*SelfQuarantine_Mild)+('Weekly Summary'!BA$101*'Equipment List &amp; Usage'!$AB16*SelfQuarantine_Moderate)))+IF('Equipment List &amp; Usage'!$F16="Yes",('Equipment List &amp; Usage'!$C$114*(IF('Equipment List &amp; Usage'!$AE16&gt;0,'Weekly Summary'!BA$134,0)+IF('Equipment List &amp; Usage'!$AF16&gt;0,'Weekly Summary'!BA$135))),'Equipment List &amp; Usage'!$C$115*(('Weekly Summary'!BA$134*'Equipment List &amp; Usage'!$AE16)+('Weekly Summary'!BA$135*'Equipment List &amp; Usage'!$AF16))))-SUM($I14:BF14),
IF($F14="yes",MMULT(--('Equipment List &amp; Usage'!$J16:$N16&gt;0),--('Weekly Summary'!BA$112:BA$116))*'Equipment List &amp; Usage'!$C$114,MMULT(--('Equipment List &amp; Usage'!$J16:$N16),--('Weekly Summary'!BA$112:BA$116))*'Equipment List &amp; Usage'!$C$115)+IF('Equipment List &amp; Usage'!$F15="yes",'Equipment List &amp; Usage'!$C$114,'Equipment List &amp; Usage'!$C$115)*(('Weekly Summary'!BA$66*'Equipment List &amp; Usage'!$Q16)+('Weekly Summary'!BA$64*'Equipment List &amp; Usage'!$O16)+('Weekly Summary'!BA$65*'Equipment List &amp; Usage'!$P16))+(IF('Equipment List &amp; Usage'!$F16="Yes",'Equipment List &amp; Usage'!$C$114*((('Weekly Summary'!BA$131*SelfQuarantine_Mild)+('Weekly Summary'!BA$100*SelfQuarantine_Mild)+('Weekly Summary'!BA$101*SelfQuarantine_Moderate))),'Equipment List &amp; Usage'!$C$115)*((('Weekly Summary'!BA$131*SelfQuarantine_Mild*'Equipment List &amp; Usage'!$W16)+('Weekly Summary'!BA$100*SelfQuarantine_Mild*'Equipment List &amp; Usage'!$X16)+('Weekly Summary'!BA$101*SelfQuarantine_Moderate*'Equipment List &amp; Usage'!$X16))))+IF('Equipment List &amp; Usage'!$F16="Yes",'Equipment List &amp; Usage'!$C$114*(IF('Equipment List &amp; Usage'!$AA16&gt;0,'Weekly Summary'!BA$128,0)+IF('Equipment List &amp; Usage'!$AB16&gt;0,'Weekly Summary'!BA$100+'Weekly Summary'!BA$101,0)),'Equipment List &amp; Usage'!$C$115*(('Weekly Summary'!BA$128*'Equipment List &amp; Usage'!$AA16)+('Weekly Summary'!BA$100*'Equipment List &amp; Usage'!$AB16*SelfQuarantine_Mild)+('Weekly Summary'!BA$101*'Equipment List &amp; Usage'!$AB16*SelfQuarantine_Moderate)))+IF('Equipment List &amp; Usage'!$F16="Yes",('Equipment List &amp; Usage'!$C$114*(IF('Equipment List &amp; Usage'!$AE16&gt;0,'Weekly Summary'!BA$134,0)+IF('Equipment List &amp; Usage'!$AF16&gt;0,'Weekly Summary'!BA$135))),'Equipment List &amp; Usage'!$C$115*(('Weekly Summary'!BA$134*'Equipment List &amp; Usage'!$AE16)+('Weekly Summary'!BA$135*'Equipment List &amp; Usage'!$AF16)))),0)</f>
        <v>0</v>
      </c>
      <c r="BH14" s="1374">
        <f ca="1">MAX(IF($F14="Yes",(
IF($F14="yes",MMULT(--('Equipment List &amp; Usage'!$J16:$N16&gt;0),--('Weekly Summary'!BB$112:BB$116))*'Equipment List &amp; Usage'!$C$114,MMULT(--('Equipment List &amp; Usage'!$J16:$N16),--('Weekly Summary'!BB$112:BB$116))*'Equipment List &amp; Usage'!$C$115)+IF('Equipment List &amp; Usage'!$F15="yes",'Equipment List &amp; Usage'!$C$114,'Equipment List &amp; Usage'!$C$115)*(('Weekly Summary'!BB$66*'Equipment List &amp; Usage'!$Q16)+('Weekly Summary'!BB$64*'Equipment List &amp; Usage'!$O16)+('Weekly Summary'!BB$65*'Equipment List &amp; Usage'!$P16)))+(IF('Equipment List &amp; Usage'!$F16="Yes",'Equipment List &amp; Usage'!$C$114*((('Weekly Summary'!BB$131*SelfQuarantine_Mild)+('Weekly Summary'!BB$100*SelfQuarantine_Mild)+('Weekly Summary'!BB$101*SelfQuarantine_Moderate))),'Equipment List &amp; Usage'!$C$115)*((('Weekly Summary'!BB$131*SelfQuarantine_Mild*'Equipment List &amp; Usage'!$W16)+('Weekly Summary'!BB$100*SelfQuarantine_Mild*'Equipment List &amp; Usage'!$X16)+('Weekly Summary'!BB$101*SelfQuarantine_Moderate*'Equipment List &amp; Usage'!$X16)))+IF('Equipment List &amp; Usage'!$F16="Yes",'Equipment List &amp; Usage'!$C$114*(IF('Equipment List &amp; Usage'!$AA16&gt;0,'Weekly Summary'!BB$128,0)+IF('Equipment List &amp; Usage'!$AB16&gt;0,'Weekly Summary'!BB$100+'Weekly Summary'!BB$101,0)),'Equipment List &amp; Usage'!$C$115*(('Weekly Summary'!BB$128*'Equipment List &amp; Usage'!$AA16)+('Weekly Summary'!BB$100*'Equipment List &amp; Usage'!$AB16*SelfQuarantine_Mild)+('Weekly Summary'!BB$101*'Equipment List &amp; Usage'!$AB16*SelfQuarantine_Moderate)))+IF('Equipment List &amp; Usage'!$F16="Yes",('Equipment List &amp; Usage'!$C$114*(IF('Equipment List &amp; Usage'!$AE16&gt;0,'Weekly Summary'!BB$134,0)+IF('Equipment List &amp; Usage'!$AF16&gt;0,'Weekly Summary'!BB$135))),'Equipment List &amp; Usage'!$C$115*(('Weekly Summary'!BB$134*'Equipment List &amp; Usage'!$AE16)+('Weekly Summary'!BB$135*'Equipment List &amp; Usage'!$AF16))))-SUM($I14:BG14),
IF($F14="yes",MMULT(--('Equipment List &amp; Usage'!$J16:$N16&gt;0),--('Weekly Summary'!BB$112:BB$116))*'Equipment List &amp; Usage'!$C$114,MMULT(--('Equipment List &amp; Usage'!$J16:$N16),--('Weekly Summary'!BB$112:BB$116))*'Equipment List &amp; Usage'!$C$115)+IF('Equipment List &amp; Usage'!$F15="yes",'Equipment List &amp; Usage'!$C$114,'Equipment List &amp; Usage'!$C$115)*(('Weekly Summary'!BB$66*'Equipment List &amp; Usage'!$Q16)+('Weekly Summary'!BB$64*'Equipment List &amp; Usage'!$O16)+('Weekly Summary'!BB$65*'Equipment List &amp; Usage'!$P16))+(IF('Equipment List &amp; Usage'!$F16="Yes",'Equipment List &amp; Usage'!$C$114*((('Weekly Summary'!BB$131*SelfQuarantine_Mild)+('Weekly Summary'!BB$100*SelfQuarantine_Mild)+('Weekly Summary'!BB$101*SelfQuarantine_Moderate))),'Equipment List &amp; Usage'!$C$115)*((('Weekly Summary'!BB$131*SelfQuarantine_Mild*'Equipment List &amp; Usage'!$W16)+('Weekly Summary'!BB$100*SelfQuarantine_Mild*'Equipment List &amp; Usage'!$X16)+('Weekly Summary'!BB$101*SelfQuarantine_Moderate*'Equipment List &amp; Usage'!$X16))))+IF('Equipment List &amp; Usage'!$F16="Yes",'Equipment List &amp; Usage'!$C$114*(IF('Equipment List &amp; Usage'!$AA16&gt;0,'Weekly Summary'!BB$128,0)+IF('Equipment List &amp; Usage'!$AB16&gt;0,'Weekly Summary'!BB$100+'Weekly Summary'!BB$101,0)),'Equipment List &amp; Usage'!$C$115*(('Weekly Summary'!BB$128*'Equipment List &amp; Usage'!$AA16)+('Weekly Summary'!BB$100*'Equipment List &amp; Usage'!$AB16*SelfQuarantine_Mild)+('Weekly Summary'!BB$101*'Equipment List &amp; Usage'!$AB16*SelfQuarantine_Moderate)))+IF('Equipment List &amp; Usage'!$F16="Yes",('Equipment List &amp; Usage'!$C$114*(IF('Equipment List &amp; Usage'!$AE16&gt;0,'Weekly Summary'!BB$134,0)+IF('Equipment List &amp; Usage'!$AF16&gt;0,'Weekly Summary'!BB$135))),'Equipment List &amp; Usage'!$C$115*(('Weekly Summary'!BB$134*'Equipment List &amp; Usage'!$AE16)+('Weekly Summary'!BB$135*'Equipment List &amp; Usage'!$AF16)))),0)</f>
        <v>0</v>
      </c>
      <c r="BI14" s="1374">
        <f ca="1">MAX(IF($F14="Yes",(
IF($F14="yes",MMULT(--('Equipment List &amp; Usage'!$J16:$N16&gt;0),--('Weekly Summary'!BC$112:BC$116))*'Equipment List &amp; Usage'!$C$114,MMULT(--('Equipment List &amp; Usage'!$J16:$N16),--('Weekly Summary'!BC$112:BC$116))*'Equipment List &amp; Usage'!$C$115)+IF('Equipment List &amp; Usage'!$F15="yes",'Equipment List &amp; Usage'!$C$114,'Equipment List &amp; Usage'!$C$115)*(('Weekly Summary'!BC$66*'Equipment List &amp; Usage'!$Q16)+('Weekly Summary'!BC$64*'Equipment List &amp; Usage'!$O16)+('Weekly Summary'!BC$65*'Equipment List &amp; Usage'!$P16)))+(IF('Equipment List &amp; Usage'!$F16="Yes",'Equipment List &amp; Usage'!$C$114*((('Weekly Summary'!BC$131*SelfQuarantine_Mild)+('Weekly Summary'!BC$100*SelfQuarantine_Mild)+('Weekly Summary'!BC$101*SelfQuarantine_Moderate))),'Equipment List &amp; Usage'!$C$115)*((('Weekly Summary'!BC$131*SelfQuarantine_Mild*'Equipment List &amp; Usage'!$W16)+('Weekly Summary'!BC$100*SelfQuarantine_Mild*'Equipment List &amp; Usage'!$X16)+('Weekly Summary'!BC$101*SelfQuarantine_Moderate*'Equipment List &amp; Usage'!$X16)))+IF('Equipment List &amp; Usage'!$F16="Yes",'Equipment List &amp; Usage'!$C$114*(IF('Equipment List &amp; Usage'!$AA16&gt;0,'Weekly Summary'!BC$128,0)+IF('Equipment List &amp; Usage'!$AB16&gt;0,'Weekly Summary'!BC$100+'Weekly Summary'!BC$101,0)),'Equipment List &amp; Usage'!$C$115*(('Weekly Summary'!BC$128*'Equipment List &amp; Usage'!$AA16)+('Weekly Summary'!BC$100*'Equipment List &amp; Usage'!$AB16*SelfQuarantine_Mild)+('Weekly Summary'!BC$101*'Equipment List &amp; Usage'!$AB16*SelfQuarantine_Moderate)))+IF('Equipment List &amp; Usage'!$F16="Yes",('Equipment List &amp; Usage'!$C$114*(IF('Equipment List &amp; Usage'!$AE16&gt;0,'Weekly Summary'!BC$134,0)+IF('Equipment List &amp; Usage'!$AF16&gt;0,'Weekly Summary'!BC$135))),'Equipment List &amp; Usage'!$C$115*(('Weekly Summary'!BC$134*'Equipment List &amp; Usage'!$AE16)+('Weekly Summary'!BC$135*'Equipment List &amp; Usage'!$AF16))))-SUM($I14:BH14),
IF($F14="yes",MMULT(--('Equipment List &amp; Usage'!$J16:$N16&gt;0),--('Weekly Summary'!BC$112:BC$116))*'Equipment List &amp; Usage'!$C$114,MMULT(--('Equipment List &amp; Usage'!$J16:$N16),--('Weekly Summary'!BC$112:BC$116))*'Equipment List &amp; Usage'!$C$115)+IF('Equipment List &amp; Usage'!$F15="yes",'Equipment List &amp; Usage'!$C$114,'Equipment List &amp; Usage'!$C$115)*(('Weekly Summary'!BC$66*'Equipment List &amp; Usage'!$Q16)+('Weekly Summary'!BC$64*'Equipment List &amp; Usage'!$O16)+('Weekly Summary'!BC$65*'Equipment List &amp; Usage'!$P16))+(IF('Equipment List &amp; Usage'!$F16="Yes",'Equipment List &amp; Usage'!$C$114*((('Weekly Summary'!BC$131*SelfQuarantine_Mild)+('Weekly Summary'!BC$100*SelfQuarantine_Mild)+('Weekly Summary'!BC$101*SelfQuarantine_Moderate))),'Equipment List &amp; Usage'!$C$115)*((('Weekly Summary'!BC$131*SelfQuarantine_Mild*'Equipment List &amp; Usage'!$W16)+('Weekly Summary'!BC$100*SelfQuarantine_Mild*'Equipment List &amp; Usage'!$X16)+('Weekly Summary'!BC$101*SelfQuarantine_Moderate*'Equipment List &amp; Usage'!$X16))))+IF('Equipment List &amp; Usage'!$F16="Yes",'Equipment List &amp; Usage'!$C$114*(IF('Equipment List &amp; Usage'!$AA16&gt;0,'Weekly Summary'!BC$128,0)+IF('Equipment List &amp; Usage'!$AB16&gt;0,'Weekly Summary'!BC$100+'Weekly Summary'!BC$101,0)),'Equipment List &amp; Usage'!$C$115*(('Weekly Summary'!BC$128*'Equipment List &amp; Usage'!$AA16)+('Weekly Summary'!BC$100*'Equipment List &amp; Usage'!$AB16*SelfQuarantine_Mild)+('Weekly Summary'!BC$101*'Equipment List &amp; Usage'!$AB16*SelfQuarantine_Moderate)))+IF('Equipment List &amp; Usage'!$F16="Yes",('Equipment List &amp; Usage'!$C$114*(IF('Equipment List &amp; Usage'!$AE16&gt;0,'Weekly Summary'!BC$134,0)+IF('Equipment List &amp; Usage'!$AF16&gt;0,'Weekly Summary'!BC$135))),'Equipment List &amp; Usage'!$C$115*(('Weekly Summary'!BC$134*'Equipment List &amp; Usage'!$AE16)+('Weekly Summary'!BC$135*'Equipment List &amp; Usage'!$AF16)))),0)</f>
        <v>0</v>
      </c>
      <c r="BJ14" s="1377">
        <f ca="1">MAX(IF($F14="Yes",(
IF($F14="yes",MMULT(--('Equipment List &amp; Usage'!$J16:$N16&gt;0),--('Weekly Summary'!BD$112:BD$116))*'Equipment List &amp; Usage'!$C$114,MMULT(--('Equipment List &amp; Usage'!$J16:$N16),--('Weekly Summary'!BD$112:BD$116))*'Equipment List &amp; Usage'!$C$115)+IF('Equipment List &amp; Usage'!$F15="yes",'Equipment List &amp; Usage'!$C$114,'Equipment List &amp; Usage'!$C$115)*(('Weekly Summary'!BD$66*'Equipment List &amp; Usage'!$Q16)+('Weekly Summary'!BD$64*'Equipment List &amp; Usage'!$O16)+('Weekly Summary'!BD$65*'Equipment List &amp; Usage'!$P16)))+(IF('Equipment List &amp; Usage'!$F16="Yes",'Equipment List &amp; Usage'!$C$114*((('Weekly Summary'!BD$131*SelfQuarantine_Mild)+('Weekly Summary'!BD$100*SelfQuarantine_Mild)+('Weekly Summary'!BD$101*SelfQuarantine_Moderate))),'Equipment List &amp; Usage'!$C$115)*((('Weekly Summary'!BD$131*SelfQuarantine_Mild*'Equipment List &amp; Usage'!$W16)+('Weekly Summary'!BD$100*SelfQuarantine_Mild*'Equipment List &amp; Usage'!$X16)+('Weekly Summary'!BD$101*SelfQuarantine_Moderate*'Equipment List &amp; Usage'!$X16)))+IF('Equipment List &amp; Usage'!$F16="Yes",'Equipment List &amp; Usage'!$C$114*(IF('Equipment List &amp; Usage'!$AA16&gt;0,'Weekly Summary'!BD$128,0)+IF('Equipment List &amp; Usage'!$AB16&gt;0,'Weekly Summary'!BD$100+'Weekly Summary'!BD$101,0)),'Equipment List &amp; Usage'!$C$115*(('Weekly Summary'!BD$128*'Equipment List &amp; Usage'!$AA16)+('Weekly Summary'!BD$100*'Equipment List &amp; Usage'!$AB16*SelfQuarantine_Mild)+('Weekly Summary'!BD$101*'Equipment List &amp; Usage'!$AB16*SelfQuarantine_Moderate)))+IF('Equipment List &amp; Usage'!$F16="Yes",('Equipment List &amp; Usage'!$C$114*(IF('Equipment List &amp; Usage'!$AE16&gt;0,'Weekly Summary'!BD$134,0)+IF('Equipment List &amp; Usage'!$AF16&gt;0,'Weekly Summary'!BD$135))),'Equipment List &amp; Usage'!$C$115*(('Weekly Summary'!BD$134*'Equipment List &amp; Usage'!$AE16)+('Weekly Summary'!BD$135*'Equipment List &amp; Usage'!$AF16))))-SUM($I14:BI14),
IF($F14="yes",MMULT(--('Equipment List &amp; Usage'!$J16:$N16&gt;0),--('Weekly Summary'!BD$112:BD$116))*'Equipment List &amp; Usage'!$C$114,MMULT(--('Equipment List &amp; Usage'!$J16:$N16),--('Weekly Summary'!BD$112:BD$116))*'Equipment List &amp; Usage'!$C$115)+IF('Equipment List &amp; Usage'!$F15="yes",'Equipment List &amp; Usage'!$C$114,'Equipment List &amp; Usage'!$C$115)*(('Weekly Summary'!BD$66*'Equipment List &amp; Usage'!$Q16)+('Weekly Summary'!BD$64*'Equipment List &amp; Usage'!$O16)+('Weekly Summary'!BD$65*'Equipment List &amp; Usage'!$P16))+(IF('Equipment List &amp; Usage'!$F16="Yes",'Equipment List &amp; Usage'!$C$114*((('Weekly Summary'!BD$131*SelfQuarantine_Mild)+('Weekly Summary'!BD$100*SelfQuarantine_Mild)+('Weekly Summary'!BD$101*SelfQuarantine_Moderate))),'Equipment List &amp; Usage'!$C$115)*((('Weekly Summary'!BD$131*SelfQuarantine_Mild*'Equipment List &amp; Usage'!$W16)+('Weekly Summary'!BD$100*SelfQuarantine_Mild*'Equipment List &amp; Usage'!$X16)+('Weekly Summary'!BD$101*SelfQuarantine_Moderate*'Equipment List &amp; Usage'!$X16))))+IF('Equipment List &amp; Usage'!$F16="Yes",'Equipment List &amp; Usage'!$C$114*(IF('Equipment List &amp; Usage'!$AA16&gt;0,'Weekly Summary'!BD$128,0)+IF('Equipment List &amp; Usage'!$AB16&gt;0,'Weekly Summary'!BD$100+'Weekly Summary'!BD$101,0)),'Equipment List &amp; Usage'!$C$115*(('Weekly Summary'!BD$128*'Equipment List &amp; Usage'!$AA16)+('Weekly Summary'!BD$100*'Equipment List &amp; Usage'!$AB16*SelfQuarantine_Mild)+('Weekly Summary'!BD$101*'Equipment List &amp; Usage'!$AB16*SelfQuarantine_Moderate)))+IF('Equipment List &amp; Usage'!$F16="Yes",('Equipment List &amp; Usage'!$C$114*(IF('Equipment List &amp; Usage'!$AE16&gt;0,'Weekly Summary'!BD$134,0)+IF('Equipment List &amp; Usage'!$AF16&gt;0,'Weekly Summary'!BD$135))),'Equipment List &amp; Usage'!$C$115*(('Weekly Summary'!BD$134*'Equipment List &amp; Usage'!$AE16)+('Weekly Summary'!BD$135*'Equipment List &amp; Usage'!$AF16)))),0)</f>
        <v>0</v>
      </c>
    </row>
    <row r="15" spans="1:62" x14ac:dyDescent="0.35">
      <c r="B15" s="949" t="str">
        <f>'Equipment List &amp; Usage'!B17</f>
        <v>IPC</v>
      </c>
      <c r="C15" s="948" t="str">
        <f>'Equipment List &amp; Usage'!C17</f>
        <v>Hygiene</v>
      </c>
      <c r="D15" s="948" t="str">
        <f>'Equipment List &amp; Usage'!D17</f>
        <v>Liquid soap</v>
      </c>
      <c r="E15" s="948" t="str">
        <f>'Equipment List &amp; Usage'!E17</f>
        <v>Lt</v>
      </c>
      <c r="F15" s="948" t="str">
        <f>'Equipment List &amp; Usage'!F17</f>
        <v>No</v>
      </c>
      <c r="G15" s="948" t="str">
        <f>'Equipment List &amp; Usage'!G17</f>
        <v>N/A</v>
      </c>
      <c r="H15" s="1365">
        <f t="shared" ca="1" si="2"/>
        <v>564.31843761737161</v>
      </c>
      <c r="J15" s="1357"/>
      <c r="K15" s="1374">
        <f ca="1">IF('User Dashboard'!$H$13=1,0,IF($F15="Yes",(
IF($F15="yes",MMULT(--('Equipment List &amp; Usage'!$J17:$N17&gt;0),--('Weekly Summary'!E$112:E$116))*'Equipment List &amp; Usage'!$C$114,MMULT(--('Equipment List &amp; Usage'!$J17:$N17),--('Weekly Summary'!E$112:E$116))*'Equipment List &amp; Usage'!$C$115)+IF('Equipment List &amp; Usage'!$F16="yes",'Equipment List &amp; Usage'!$C$114,'Equipment List &amp; Usage'!$C$115)*(('Weekly Summary'!E$66*'Equipment List &amp; Usage'!$Q17)+('Weekly Summary'!E$64*'Equipment List &amp; Usage'!$O17)+('Weekly Summary'!E$65*'Equipment List &amp; Usage'!$P17)))+(IF('Equipment List &amp; Usage'!$F17="Yes",'Equipment List &amp; Usage'!$C$114*((('Weekly Summary'!E$131*SelfQuarantine_Mild)+('Weekly Summary'!E$100*SelfQuarantine_Mild)+('Weekly Summary'!E$101*SelfQuarantine_Moderate))),'Equipment List &amp; Usage'!$C$115)*((('Weekly Summary'!E$131*SelfQuarantine_Mild*'Equipment List &amp; Usage'!$W17)+('Weekly Summary'!E$100*SelfQuarantine_Mild*'Equipment List &amp; Usage'!$X17)+('Weekly Summary'!E$101*SelfQuarantine_Moderate*'Equipment List &amp; Usage'!$X17)))+IF('Equipment List &amp; Usage'!$F17="Yes",'Equipment List &amp; Usage'!$C$114*(IF('Equipment List &amp; Usage'!$AA17&gt;0,'Weekly Summary'!E$128,0)+IF('Equipment List &amp; Usage'!$AB17&gt;0,'Weekly Summary'!E$100+'Weekly Summary'!E$101,0)),'Equipment List &amp; Usage'!$C$115*(('Weekly Summary'!E$128*'Equipment List &amp; Usage'!$AA17)+('Weekly Summary'!E$100*'Equipment List &amp; Usage'!$AB17*SelfQuarantine_Mild)+('Weekly Summary'!E$101*'Equipment List &amp; Usage'!$AB17*SelfQuarantine_Moderate)))+IF('Equipment List &amp; Usage'!$F17="Yes",('Equipment List &amp; Usage'!$C$114*(IF('Equipment List &amp; Usage'!$AE17&gt;0,'Weekly Summary'!E$134,0)+IF('Equipment List &amp; Usage'!$AF17&gt;0,'Weekly Summary'!E$135))),'Equipment List &amp; Usage'!$C$115*(('Weekly Summary'!E$134*'Equipment List &amp; Usage'!$AE17)+('Weekly Summary'!E$135*'Equipment List &amp; Usage'!$AF17)))),
IF($F15="yes",MMULT(--('Equipment List &amp; Usage'!$J17:$N17&gt;0),--('Weekly Summary'!E$112:E$116))*'Equipment List &amp; Usage'!$C$114,MMULT(--('Equipment List &amp; Usage'!$J17:$N17),--('Weekly Summary'!E$112:E$116))*'Equipment List &amp; Usage'!$C$115)+IF('Equipment List &amp; Usage'!$F16="yes",'Equipment List &amp; Usage'!$C$114,'Equipment List &amp; Usage'!$C$115)*(('Weekly Summary'!E$66*'Equipment List &amp; Usage'!$Q17)+('Weekly Summary'!E$64*'Equipment List &amp; Usage'!$O17)+('Weekly Summary'!E$65*'Equipment List &amp; Usage'!$P17))+(IF('Equipment List &amp; Usage'!$F17="Yes",'Equipment List &amp; Usage'!$C$114*((('Weekly Summary'!E$131*SelfQuarantine_Mild)+('Weekly Summary'!E$100*SelfQuarantine_Mild)+('Weekly Summary'!E$101*SelfQuarantine_Moderate))),'Equipment List &amp; Usage'!$C$115)*((('Weekly Summary'!E$131*SelfQuarantine_Mild*'Equipment List &amp; Usage'!$W17)+('Weekly Summary'!E$100*SelfQuarantine_Mild*'Equipment List &amp; Usage'!$X17)+('Weekly Summary'!E$101*SelfQuarantine_Moderate*'Equipment List &amp; Usage'!$X17))))+IF('Equipment List &amp; Usage'!$F17="Yes",'Equipment List &amp; Usage'!$C$114*(IF('Equipment List &amp; Usage'!$AA17&gt;0,'Weekly Summary'!E$128,0)+IF('Equipment List &amp; Usage'!$AB17&gt;0,'Weekly Summary'!E$100+'Weekly Summary'!E$101,0)),'Equipment List &amp; Usage'!$C$115*(('Weekly Summary'!E$128*'Equipment List &amp; Usage'!$AA17)+('Weekly Summary'!E$100*'Equipment List &amp; Usage'!$AB17*SelfQuarantine_Mild)+('Weekly Summary'!E$101*'Equipment List &amp; Usage'!$AB17*SelfQuarantine_Moderate)))+IF('Equipment List &amp; Usage'!$F17="Yes",('Equipment List &amp; Usage'!$C$114*(IF('Equipment List &amp; Usage'!$AE17&gt;0,'Weekly Summary'!E$134,0)+IF('Equipment List &amp; Usage'!$AF17&gt;0,'Weekly Summary'!E$135))),'Equipment List &amp; Usage'!$C$115*(('Weekly Summary'!E$134*'Equipment List &amp; Usage'!$AE17)+('Weekly Summary'!E$135*'Equipment List &amp; Usage'!$AF17)))))</f>
        <v>59.526324002956848</v>
      </c>
      <c r="L15" s="1374">
        <f ca="1">MAX(IF($F15="Yes",(
IF($F15="yes",MMULT(--('Equipment List &amp; Usage'!$J17:$N17&gt;0),--('Weekly Summary'!F$112:F$116))*'Equipment List &amp; Usage'!$C$114,MMULT(--('Equipment List &amp; Usage'!$J17:$N17),--('Weekly Summary'!F$112:F$116))*'Equipment List &amp; Usage'!$C$115)+IF('Equipment List &amp; Usage'!$F16="yes",'Equipment List &amp; Usage'!$C$114,'Equipment List &amp; Usage'!$C$115)*(('Weekly Summary'!F$66*'Equipment List &amp; Usage'!$Q17)+('Weekly Summary'!F$64*'Equipment List &amp; Usage'!$O17)+('Weekly Summary'!F$65*'Equipment List &amp; Usage'!$P17)))+(IF('Equipment List &amp; Usage'!$F17="Yes",'Equipment List &amp; Usage'!$C$114*((('Weekly Summary'!F$131*SelfQuarantine_Mild)+('Weekly Summary'!F$100*SelfQuarantine_Mild)+('Weekly Summary'!F$101*SelfQuarantine_Moderate))),'Equipment List &amp; Usage'!$C$115)*((('Weekly Summary'!F$131*SelfQuarantine_Mild*'Equipment List &amp; Usage'!$W17)+('Weekly Summary'!F$100*SelfQuarantine_Mild*'Equipment List &amp; Usage'!$X17)+('Weekly Summary'!F$101*SelfQuarantine_Moderate*'Equipment List &amp; Usage'!$X17)))+IF('Equipment List &amp; Usage'!$F17="Yes",'Equipment List &amp; Usage'!$C$114*(IF('Equipment List &amp; Usage'!$AA17&gt;0,'Weekly Summary'!F$128,0)+IF('Equipment List &amp; Usage'!$AB17&gt;0,'Weekly Summary'!F$100+'Weekly Summary'!F$101,0)),'Equipment List &amp; Usage'!$C$115*(('Weekly Summary'!F$128*'Equipment List &amp; Usage'!$AA17)+('Weekly Summary'!F$100*'Equipment List &amp; Usage'!$AB17*SelfQuarantine_Mild)+('Weekly Summary'!F$101*'Equipment List &amp; Usage'!$AB17*SelfQuarantine_Moderate)))+IF('Equipment List &amp; Usage'!$F17="Yes",('Equipment List &amp; Usage'!$C$114*(IF('Equipment List &amp; Usage'!$AE17&gt;0,'Weekly Summary'!F$134,0)+IF('Equipment List &amp; Usage'!$AF17&gt;0,'Weekly Summary'!F$135))),'Equipment List &amp; Usage'!$C$115*(('Weekly Summary'!F$134*'Equipment List &amp; Usage'!$AE17)+('Weekly Summary'!F$135*'Equipment List &amp; Usage'!$AF17))))-SUM($I15:K15),
IF($F15="yes",MMULT(--('Equipment List &amp; Usage'!$J17:$N17&gt;0),--('Weekly Summary'!F$112:F$116))*'Equipment List &amp; Usage'!$C$114,MMULT(--('Equipment List &amp; Usage'!$J17:$N17),--('Weekly Summary'!F$112:F$116))*'Equipment List &amp; Usage'!$C$115)+IF('Equipment List &amp; Usage'!$F16="yes",'Equipment List &amp; Usage'!$C$114,'Equipment List &amp; Usage'!$C$115)*(('Weekly Summary'!F$66*'Equipment List &amp; Usage'!$Q17)+('Weekly Summary'!F$64*'Equipment List &amp; Usage'!$O17)+('Weekly Summary'!F$65*'Equipment List &amp; Usage'!$P17))+(IF('Equipment List &amp; Usage'!$F17="Yes",'Equipment List &amp; Usage'!$C$114*((('Weekly Summary'!F$131*SelfQuarantine_Mild)+('Weekly Summary'!F$100*SelfQuarantine_Mild)+('Weekly Summary'!F$101*SelfQuarantine_Moderate))),'Equipment List &amp; Usage'!$C$115)*((('Weekly Summary'!F$131*SelfQuarantine_Mild*'Equipment List &amp; Usage'!$W17)+('Weekly Summary'!F$100*SelfQuarantine_Mild*'Equipment List &amp; Usage'!$X17)+('Weekly Summary'!F$101*SelfQuarantine_Moderate*'Equipment List &amp; Usage'!$X17))))+IF('Equipment List &amp; Usage'!$F17="Yes",'Equipment List &amp; Usage'!$C$114*(IF('Equipment List &amp; Usage'!$AA17&gt;0,'Weekly Summary'!F$128,0)+IF('Equipment List &amp; Usage'!$AB17&gt;0,'Weekly Summary'!F$100+'Weekly Summary'!F$101,0)),'Equipment List &amp; Usage'!$C$115*(('Weekly Summary'!F$128*'Equipment List &amp; Usage'!$AA17)+('Weekly Summary'!F$100*'Equipment List &amp; Usage'!$AB17*SelfQuarantine_Mild)+('Weekly Summary'!F$101*'Equipment List &amp; Usage'!$AB17*SelfQuarantine_Moderate)))+IF('Equipment List &amp; Usage'!$F17="Yes",('Equipment List &amp; Usage'!$C$114*(IF('Equipment List &amp; Usage'!$AE17&gt;0,'Weekly Summary'!F$134,0)+IF('Equipment List &amp; Usage'!$AF17&gt;0,'Weekly Summary'!F$135))),'Equipment List &amp; Usage'!$C$115*(('Weekly Summary'!F$134*'Equipment List &amp; Usage'!$AE17)+('Weekly Summary'!F$135*'Equipment List &amp; Usage'!$AF17)))),0)</f>
        <v>60.263050226466312</v>
      </c>
      <c r="M15" s="1374">
        <f ca="1">MAX(IF($F15="Yes",(
IF($F15="yes",MMULT(--('Equipment List &amp; Usage'!$J17:$N17&gt;0),--('Weekly Summary'!G$112:G$116))*'Equipment List &amp; Usage'!$C$114,MMULT(--('Equipment List &amp; Usage'!$J17:$N17),--('Weekly Summary'!G$112:G$116))*'Equipment List &amp; Usage'!$C$115)+IF('Equipment List &amp; Usage'!$F16="yes",'Equipment List &amp; Usage'!$C$114,'Equipment List &amp; Usage'!$C$115)*(('Weekly Summary'!G$66*'Equipment List &amp; Usage'!$Q17)+('Weekly Summary'!G$64*'Equipment List &amp; Usage'!$O17)+('Weekly Summary'!G$65*'Equipment List &amp; Usage'!$P17)))+(IF('Equipment List &amp; Usage'!$F17="Yes",'Equipment List &amp; Usage'!$C$114*((('Weekly Summary'!G$131*SelfQuarantine_Mild)+('Weekly Summary'!G$100*SelfQuarantine_Mild)+('Weekly Summary'!G$101*SelfQuarantine_Moderate))),'Equipment List &amp; Usage'!$C$115)*((('Weekly Summary'!G$131*SelfQuarantine_Mild*'Equipment List &amp; Usage'!$W17)+('Weekly Summary'!G$100*SelfQuarantine_Mild*'Equipment List &amp; Usage'!$X17)+('Weekly Summary'!G$101*SelfQuarantine_Moderate*'Equipment List &amp; Usage'!$X17)))+IF('Equipment List &amp; Usage'!$F17="Yes",'Equipment List &amp; Usage'!$C$114*(IF('Equipment List &amp; Usage'!$AA17&gt;0,'Weekly Summary'!G$128,0)+IF('Equipment List &amp; Usage'!$AB17&gt;0,'Weekly Summary'!G$100+'Weekly Summary'!G$101,0)),'Equipment List &amp; Usage'!$C$115*(('Weekly Summary'!G$128*'Equipment List &amp; Usage'!$AA17)+('Weekly Summary'!G$100*'Equipment List &amp; Usage'!$AB17*SelfQuarantine_Mild)+('Weekly Summary'!G$101*'Equipment List &amp; Usage'!$AB17*SelfQuarantine_Moderate)))+IF('Equipment List &amp; Usage'!$F17="Yes",('Equipment List &amp; Usage'!$C$114*(IF('Equipment List &amp; Usage'!$AE17&gt;0,'Weekly Summary'!G$134,0)+IF('Equipment List &amp; Usage'!$AF17&gt;0,'Weekly Summary'!G$135))),'Equipment List &amp; Usage'!$C$115*(('Weekly Summary'!G$134*'Equipment List &amp; Usage'!$AE17)+('Weekly Summary'!G$135*'Equipment List &amp; Usage'!$AF17))))-SUM($I15:L15),
IF($F15="yes",MMULT(--('Equipment List &amp; Usage'!$J17:$N17&gt;0),--('Weekly Summary'!G$112:G$116))*'Equipment List &amp; Usage'!$C$114,MMULT(--('Equipment List &amp; Usage'!$J17:$N17),--('Weekly Summary'!G$112:G$116))*'Equipment List &amp; Usage'!$C$115)+IF('Equipment List &amp; Usage'!$F16="yes",'Equipment List &amp; Usage'!$C$114,'Equipment List &amp; Usage'!$C$115)*(('Weekly Summary'!G$66*'Equipment List &amp; Usage'!$Q17)+('Weekly Summary'!G$64*'Equipment List &amp; Usage'!$O17)+('Weekly Summary'!G$65*'Equipment List &amp; Usage'!$P17))+(IF('Equipment List &amp; Usage'!$F17="Yes",'Equipment List &amp; Usage'!$C$114*((('Weekly Summary'!G$131*SelfQuarantine_Mild)+('Weekly Summary'!G$100*SelfQuarantine_Mild)+('Weekly Summary'!G$101*SelfQuarantine_Moderate))),'Equipment List &amp; Usage'!$C$115)*((('Weekly Summary'!G$131*SelfQuarantine_Mild*'Equipment List &amp; Usage'!$W17)+('Weekly Summary'!G$100*SelfQuarantine_Mild*'Equipment List &amp; Usage'!$X17)+('Weekly Summary'!G$101*SelfQuarantine_Moderate*'Equipment List &amp; Usage'!$X17))))+IF('Equipment List &amp; Usage'!$F17="Yes",'Equipment List &amp; Usage'!$C$114*(IF('Equipment List &amp; Usage'!$AA17&gt;0,'Weekly Summary'!G$128,0)+IF('Equipment List &amp; Usage'!$AB17&gt;0,'Weekly Summary'!G$100+'Weekly Summary'!G$101,0)),'Equipment List &amp; Usage'!$C$115*(('Weekly Summary'!G$128*'Equipment List &amp; Usage'!$AA17)+('Weekly Summary'!G$100*'Equipment List &amp; Usage'!$AB17*SelfQuarantine_Mild)+('Weekly Summary'!G$101*'Equipment List &amp; Usage'!$AB17*SelfQuarantine_Moderate)))+IF('Equipment List &amp; Usage'!$F17="Yes",('Equipment List &amp; Usage'!$C$114*(IF('Equipment List &amp; Usage'!$AE17&gt;0,'Weekly Summary'!G$134,0)+IF('Equipment List &amp; Usage'!$AF17&gt;0,'Weekly Summary'!G$135))),'Equipment List &amp; Usage'!$C$115*(('Weekly Summary'!G$134*'Equipment List &amp; Usage'!$AE17)+('Weekly Summary'!G$135*'Equipment List &amp; Usage'!$AF17)))),0)</f>
        <v>62.804418007272041</v>
      </c>
      <c r="N15" s="1374">
        <f ca="1">MAX(IF($F15="Yes",(
IF($F15="yes",MMULT(--('Equipment List &amp; Usage'!$J17:$N17&gt;0),--('Weekly Summary'!H$112:H$116))*'Equipment List &amp; Usage'!$C$114,MMULT(--('Equipment List &amp; Usage'!$J17:$N17),--('Weekly Summary'!H$112:H$116))*'Equipment List &amp; Usage'!$C$115)+IF('Equipment List &amp; Usage'!$F16="yes",'Equipment List &amp; Usage'!$C$114,'Equipment List &amp; Usage'!$C$115)*(('Weekly Summary'!H$66*'Equipment List &amp; Usage'!$Q17)+('Weekly Summary'!H$64*'Equipment List &amp; Usage'!$O17)+('Weekly Summary'!H$65*'Equipment List &amp; Usage'!$P17)))+(IF('Equipment List &amp; Usage'!$F17="Yes",'Equipment List &amp; Usage'!$C$114*((('Weekly Summary'!H$131*SelfQuarantine_Mild)+('Weekly Summary'!H$100*SelfQuarantine_Mild)+('Weekly Summary'!H$101*SelfQuarantine_Moderate))),'Equipment List &amp; Usage'!$C$115)*((('Weekly Summary'!H$131*SelfQuarantine_Mild*'Equipment List &amp; Usage'!$W17)+('Weekly Summary'!H$100*SelfQuarantine_Mild*'Equipment List &amp; Usage'!$X17)+('Weekly Summary'!H$101*SelfQuarantine_Moderate*'Equipment List &amp; Usage'!$X17)))+IF('Equipment List &amp; Usage'!$F17="Yes",'Equipment List &amp; Usage'!$C$114*(IF('Equipment List &amp; Usage'!$AA17&gt;0,'Weekly Summary'!H$128,0)+IF('Equipment List &amp; Usage'!$AB17&gt;0,'Weekly Summary'!H$100+'Weekly Summary'!H$101,0)),'Equipment List &amp; Usage'!$C$115*(('Weekly Summary'!H$128*'Equipment List &amp; Usage'!$AA17)+('Weekly Summary'!H$100*'Equipment List &amp; Usage'!$AB17*SelfQuarantine_Mild)+('Weekly Summary'!H$101*'Equipment List &amp; Usage'!$AB17*SelfQuarantine_Moderate)))+IF('Equipment List &amp; Usage'!$F17="Yes",('Equipment List &amp; Usage'!$C$114*(IF('Equipment List &amp; Usage'!$AE17&gt;0,'Weekly Summary'!H$134,0)+IF('Equipment List &amp; Usage'!$AF17&gt;0,'Weekly Summary'!H$135))),'Equipment List &amp; Usage'!$C$115*(('Weekly Summary'!H$134*'Equipment List &amp; Usage'!$AE17)+('Weekly Summary'!H$135*'Equipment List &amp; Usage'!$AF17))))-SUM($I15:M15),
IF($F15="yes",MMULT(--('Equipment List &amp; Usage'!$J17:$N17&gt;0),--('Weekly Summary'!H$112:H$116))*'Equipment List &amp; Usage'!$C$114,MMULT(--('Equipment List &amp; Usage'!$J17:$N17),--('Weekly Summary'!H$112:H$116))*'Equipment List &amp; Usage'!$C$115)+IF('Equipment List &amp; Usage'!$F16="yes",'Equipment List &amp; Usage'!$C$114,'Equipment List &amp; Usage'!$C$115)*(('Weekly Summary'!H$66*'Equipment List &amp; Usage'!$Q17)+('Weekly Summary'!H$64*'Equipment List &amp; Usage'!$O17)+('Weekly Summary'!H$65*'Equipment List &amp; Usage'!$P17))+(IF('Equipment List &amp; Usage'!$F17="Yes",'Equipment List &amp; Usage'!$C$114*((('Weekly Summary'!H$131*SelfQuarantine_Mild)+('Weekly Summary'!H$100*SelfQuarantine_Mild)+('Weekly Summary'!H$101*SelfQuarantine_Moderate))),'Equipment List &amp; Usage'!$C$115)*((('Weekly Summary'!H$131*SelfQuarantine_Mild*'Equipment List &amp; Usage'!$W17)+('Weekly Summary'!H$100*SelfQuarantine_Mild*'Equipment List &amp; Usage'!$X17)+('Weekly Summary'!H$101*SelfQuarantine_Moderate*'Equipment List &amp; Usage'!$X17))))+IF('Equipment List &amp; Usage'!$F17="Yes",'Equipment List &amp; Usage'!$C$114*(IF('Equipment List &amp; Usage'!$AA17&gt;0,'Weekly Summary'!H$128,0)+IF('Equipment List &amp; Usage'!$AB17&gt;0,'Weekly Summary'!H$100+'Weekly Summary'!H$101,0)),'Equipment List &amp; Usage'!$C$115*(('Weekly Summary'!H$128*'Equipment List &amp; Usage'!$AA17)+('Weekly Summary'!H$100*'Equipment List &amp; Usage'!$AB17*SelfQuarantine_Mild)+('Weekly Summary'!H$101*'Equipment List &amp; Usage'!$AB17*SelfQuarantine_Moderate)))+IF('Equipment List &amp; Usage'!$F17="Yes",('Equipment List &amp; Usage'!$C$114*(IF('Equipment List &amp; Usage'!$AE17&gt;0,'Weekly Summary'!H$134,0)+IF('Equipment List &amp; Usage'!$AF17&gt;0,'Weekly Summary'!H$135))),'Equipment List &amp; Usage'!$C$115*(('Weekly Summary'!H$134*'Equipment List &amp; Usage'!$AE17)+('Weekly Summary'!H$135*'Equipment List &amp; Usage'!$AF17)))),0)</f>
        <v>71.677377813755882</v>
      </c>
      <c r="O15" s="1374">
        <f ca="1">MAX(IF($F15="Yes",(
IF($F15="yes",MMULT(--('Equipment List &amp; Usage'!$J17:$N17&gt;0),--('Weekly Summary'!I$112:I$116))*'Equipment List &amp; Usage'!$C$114,MMULT(--('Equipment List &amp; Usage'!$J17:$N17),--('Weekly Summary'!I$112:I$116))*'Equipment List &amp; Usage'!$C$115)+IF('Equipment List &amp; Usage'!$F16="yes",'Equipment List &amp; Usage'!$C$114,'Equipment List &amp; Usage'!$C$115)*(('Weekly Summary'!I$66*'Equipment List &amp; Usage'!$Q17)+('Weekly Summary'!I$64*'Equipment List &amp; Usage'!$O17)+('Weekly Summary'!I$65*'Equipment List &amp; Usage'!$P17)))+(IF('Equipment List &amp; Usage'!$F17="Yes",'Equipment List &amp; Usage'!$C$114*((('Weekly Summary'!I$131*SelfQuarantine_Mild)+('Weekly Summary'!I$100*SelfQuarantine_Mild)+('Weekly Summary'!I$101*SelfQuarantine_Moderate))),'Equipment List &amp; Usage'!$C$115)*((('Weekly Summary'!I$131*SelfQuarantine_Mild*'Equipment List &amp; Usage'!$W17)+('Weekly Summary'!I$100*SelfQuarantine_Mild*'Equipment List &amp; Usage'!$X17)+('Weekly Summary'!I$101*SelfQuarantine_Moderate*'Equipment List &amp; Usage'!$X17)))+IF('Equipment List &amp; Usage'!$F17="Yes",'Equipment List &amp; Usage'!$C$114*(IF('Equipment List &amp; Usage'!$AA17&gt;0,'Weekly Summary'!I$128,0)+IF('Equipment List &amp; Usage'!$AB17&gt;0,'Weekly Summary'!I$100+'Weekly Summary'!I$101,0)),'Equipment List &amp; Usage'!$C$115*(('Weekly Summary'!I$128*'Equipment List &amp; Usage'!$AA17)+('Weekly Summary'!I$100*'Equipment List &amp; Usage'!$AB17*SelfQuarantine_Mild)+('Weekly Summary'!I$101*'Equipment List &amp; Usage'!$AB17*SelfQuarantine_Moderate)))+IF('Equipment List &amp; Usage'!$F17="Yes",('Equipment List &amp; Usage'!$C$114*(IF('Equipment List &amp; Usage'!$AE17&gt;0,'Weekly Summary'!I$134,0)+IF('Equipment List &amp; Usage'!$AF17&gt;0,'Weekly Summary'!I$135))),'Equipment List &amp; Usage'!$C$115*(('Weekly Summary'!I$134*'Equipment List &amp; Usage'!$AE17)+('Weekly Summary'!I$135*'Equipment List &amp; Usage'!$AF17))))-SUM($I15:N15),
IF($F15="yes",MMULT(--('Equipment List &amp; Usage'!$J17:$N17&gt;0),--('Weekly Summary'!I$112:I$116))*'Equipment List &amp; Usage'!$C$114,MMULT(--('Equipment List &amp; Usage'!$J17:$N17),--('Weekly Summary'!I$112:I$116))*'Equipment List &amp; Usage'!$C$115)+IF('Equipment List &amp; Usage'!$F16="yes",'Equipment List &amp; Usage'!$C$114,'Equipment List &amp; Usage'!$C$115)*(('Weekly Summary'!I$66*'Equipment List &amp; Usage'!$Q17)+('Weekly Summary'!I$64*'Equipment List &amp; Usage'!$O17)+('Weekly Summary'!I$65*'Equipment List &amp; Usage'!$P17))+(IF('Equipment List &amp; Usage'!$F17="Yes",'Equipment List &amp; Usage'!$C$114*((('Weekly Summary'!I$131*SelfQuarantine_Mild)+('Weekly Summary'!I$100*SelfQuarantine_Mild)+('Weekly Summary'!I$101*SelfQuarantine_Moderate))),'Equipment List &amp; Usage'!$C$115)*((('Weekly Summary'!I$131*SelfQuarantine_Mild*'Equipment List &amp; Usage'!$W17)+('Weekly Summary'!I$100*SelfQuarantine_Mild*'Equipment List &amp; Usage'!$X17)+('Weekly Summary'!I$101*SelfQuarantine_Moderate*'Equipment List &amp; Usage'!$X17))))+IF('Equipment List &amp; Usage'!$F17="Yes",'Equipment List &amp; Usage'!$C$114*(IF('Equipment List &amp; Usage'!$AA17&gt;0,'Weekly Summary'!I$128,0)+IF('Equipment List &amp; Usage'!$AB17&gt;0,'Weekly Summary'!I$100+'Weekly Summary'!I$101,0)),'Equipment List &amp; Usage'!$C$115*(('Weekly Summary'!I$128*'Equipment List &amp; Usage'!$AA17)+('Weekly Summary'!I$100*'Equipment List &amp; Usage'!$AB17*SelfQuarantine_Mild)+('Weekly Summary'!I$101*'Equipment List &amp; Usage'!$AB17*SelfQuarantine_Moderate)))+IF('Equipment List &amp; Usage'!$F17="Yes",('Equipment List &amp; Usage'!$C$114*(IF('Equipment List &amp; Usage'!$AE17&gt;0,'Weekly Summary'!I$134,0)+IF('Equipment List &amp; Usage'!$AF17&gt;0,'Weekly Summary'!I$135))),'Equipment List &amp; Usage'!$C$115*(('Weekly Summary'!I$134*'Equipment List &amp; Usage'!$AE17)+('Weekly Summary'!I$135*'Equipment List &amp; Usage'!$AF17)))),0)</f>
        <v>102.38241084170181</v>
      </c>
      <c r="P15" s="1374">
        <f ca="1">MAX(IF($F15="Yes",(
IF($F15="yes",MMULT(--('Equipment List &amp; Usage'!$J17:$N17&gt;0),--('Weekly Summary'!J$112:J$116))*'Equipment List &amp; Usage'!$C$114,MMULT(--('Equipment List &amp; Usage'!$J17:$N17),--('Weekly Summary'!J$112:J$116))*'Equipment List &amp; Usage'!$C$115)+IF('Equipment List &amp; Usage'!$F16="yes",'Equipment List &amp; Usage'!$C$114,'Equipment List &amp; Usage'!$C$115)*(('Weekly Summary'!J$66*'Equipment List &amp; Usage'!$Q17)+('Weekly Summary'!J$64*'Equipment List &amp; Usage'!$O17)+('Weekly Summary'!J$65*'Equipment List &amp; Usage'!$P17)))+(IF('Equipment List &amp; Usage'!$F17="Yes",'Equipment List &amp; Usage'!$C$114*((('Weekly Summary'!J$131*SelfQuarantine_Mild)+('Weekly Summary'!J$100*SelfQuarantine_Mild)+('Weekly Summary'!J$101*SelfQuarantine_Moderate))),'Equipment List &amp; Usage'!$C$115)*((('Weekly Summary'!J$131*SelfQuarantine_Mild*'Equipment List &amp; Usage'!$W17)+('Weekly Summary'!J$100*SelfQuarantine_Mild*'Equipment List &amp; Usage'!$X17)+('Weekly Summary'!J$101*SelfQuarantine_Moderate*'Equipment List &amp; Usage'!$X17)))+IF('Equipment List &amp; Usage'!$F17="Yes",'Equipment List &amp; Usage'!$C$114*(IF('Equipment List &amp; Usage'!$AA17&gt;0,'Weekly Summary'!J$128,0)+IF('Equipment List &amp; Usage'!$AB17&gt;0,'Weekly Summary'!J$100+'Weekly Summary'!J$101,0)),'Equipment List &amp; Usage'!$C$115*(('Weekly Summary'!J$128*'Equipment List &amp; Usage'!$AA17)+('Weekly Summary'!J$100*'Equipment List &amp; Usage'!$AB17*SelfQuarantine_Mild)+('Weekly Summary'!J$101*'Equipment List &amp; Usage'!$AB17*SelfQuarantine_Moderate)))+IF('Equipment List &amp; Usage'!$F17="Yes",('Equipment List &amp; Usage'!$C$114*(IF('Equipment List &amp; Usage'!$AE17&gt;0,'Weekly Summary'!J$134,0)+IF('Equipment List &amp; Usage'!$AF17&gt;0,'Weekly Summary'!J$135))),'Equipment List &amp; Usage'!$C$115*(('Weekly Summary'!J$134*'Equipment List &amp; Usage'!$AE17)+('Weekly Summary'!J$135*'Equipment List &amp; Usage'!$AF17))))-SUM($I15:O15),
IF($F15="yes",MMULT(--('Equipment List &amp; Usage'!$J17:$N17&gt;0),--('Weekly Summary'!J$112:J$116))*'Equipment List &amp; Usage'!$C$114,MMULT(--('Equipment List &amp; Usage'!$J17:$N17),--('Weekly Summary'!J$112:J$116))*'Equipment List &amp; Usage'!$C$115)+IF('Equipment List &amp; Usage'!$F16="yes",'Equipment List &amp; Usage'!$C$114,'Equipment List &amp; Usage'!$C$115)*(('Weekly Summary'!J$66*'Equipment List &amp; Usage'!$Q17)+('Weekly Summary'!J$64*'Equipment List &amp; Usage'!$O17)+('Weekly Summary'!J$65*'Equipment List &amp; Usage'!$P17))+(IF('Equipment List &amp; Usage'!$F17="Yes",'Equipment List &amp; Usage'!$C$114*((('Weekly Summary'!J$131*SelfQuarantine_Mild)+('Weekly Summary'!J$100*SelfQuarantine_Mild)+('Weekly Summary'!J$101*SelfQuarantine_Moderate))),'Equipment List &amp; Usage'!$C$115)*((('Weekly Summary'!J$131*SelfQuarantine_Mild*'Equipment List &amp; Usage'!$W17)+('Weekly Summary'!J$100*SelfQuarantine_Mild*'Equipment List &amp; Usage'!$X17)+('Weekly Summary'!J$101*SelfQuarantine_Moderate*'Equipment List &amp; Usage'!$X17))))+IF('Equipment List &amp; Usage'!$F17="Yes",'Equipment List &amp; Usage'!$C$114*(IF('Equipment List &amp; Usage'!$AA17&gt;0,'Weekly Summary'!J$128,0)+IF('Equipment List &amp; Usage'!$AB17&gt;0,'Weekly Summary'!J$100+'Weekly Summary'!J$101,0)),'Equipment List &amp; Usage'!$C$115*(('Weekly Summary'!J$128*'Equipment List &amp; Usage'!$AA17)+('Weekly Summary'!J$100*'Equipment List &amp; Usage'!$AB17*SelfQuarantine_Mild)+('Weekly Summary'!J$101*'Equipment List &amp; Usage'!$AB17*SelfQuarantine_Moderate)))+IF('Equipment List &amp; Usage'!$F17="Yes",('Equipment List &amp; Usage'!$C$114*(IF('Equipment List &amp; Usage'!$AE17&gt;0,'Weekly Summary'!J$134,0)+IF('Equipment List &amp; Usage'!$AF17&gt;0,'Weekly Summary'!J$135))),'Equipment List &amp; Usage'!$C$115*(('Weekly Summary'!J$134*'Equipment List &amp; Usage'!$AE17)+('Weekly Summary'!J$135*'Equipment List &amp; Usage'!$AF17)))),0)</f>
        <v>207.66485672521875</v>
      </c>
      <c r="Q15" s="1374">
        <f ca="1">MAX(IF($F15="Yes",(
IF($F15="yes",MMULT(--('Equipment List &amp; Usage'!$J17:$N17&gt;0),--('Weekly Summary'!K$112:K$116))*'Equipment List &amp; Usage'!$C$114,MMULT(--('Equipment List &amp; Usage'!$J17:$N17),--('Weekly Summary'!K$112:K$116))*'Equipment List &amp; Usage'!$C$115)+IF('Equipment List &amp; Usage'!$F16="yes",'Equipment List &amp; Usage'!$C$114,'Equipment List &amp; Usage'!$C$115)*(('Weekly Summary'!K$66*'Equipment List &amp; Usage'!$Q17)+('Weekly Summary'!K$64*'Equipment List &amp; Usage'!$O17)+('Weekly Summary'!K$65*'Equipment List &amp; Usage'!$P17)))+(IF('Equipment List &amp; Usage'!$F17="Yes",'Equipment List &amp; Usage'!$C$114*((('Weekly Summary'!K$131*SelfQuarantine_Mild)+('Weekly Summary'!K$100*SelfQuarantine_Mild)+('Weekly Summary'!K$101*SelfQuarantine_Moderate))),'Equipment List &amp; Usage'!$C$115)*((('Weekly Summary'!K$131*SelfQuarantine_Mild*'Equipment List &amp; Usage'!$W17)+('Weekly Summary'!K$100*SelfQuarantine_Mild*'Equipment List &amp; Usage'!$X17)+('Weekly Summary'!K$101*SelfQuarantine_Moderate*'Equipment List &amp; Usage'!$X17)))+IF('Equipment List &amp; Usage'!$F17="Yes",'Equipment List &amp; Usage'!$C$114*(IF('Equipment List &amp; Usage'!$AA17&gt;0,'Weekly Summary'!K$128,0)+IF('Equipment List &amp; Usage'!$AB17&gt;0,'Weekly Summary'!K$100+'Weekly Summary'!K$101,0)),'Equipment List &amp; Usage'!$C$115*(('Weekly Summary'!K$128*'Equipment List &amp; Usage'!$AA17)+('Weekly Summary'!K$100*'Equipment List &amp; Usage'!$AB17*SelfQuarantine_Mild)+('Weekly Summary'!K$101*'Equipment List &amp; Usage'!$AB17*SelfQuarantine_Moderate)))+IF('Equipment List &amp; Usage'!$F17="Yes",('Equipment List &amp; Usage'!$C$114*(IF('Equipment List &amp; Usage'!$AE17&gt;0,'Weekly Summary'!K$134,0)+IF('Equipment List &amp; Usage'!$AF17&gt;0,'Weekly Summary'!K$135))),'Equipment List &amp; Usage'!$C$115*(('Weekly Summary'!K$134*'Equipment List &amp; Usage'!$AE17)+('Weekly Summary'!K$135*'Equipment List &amp; Usage'!$AF17))))-SUM($I15:P15),
IF($F15="yes",MMULT(--('Equipment List &amp; Usage'!$J17:$N17&gt;0),--('Weekly Summary'!K$112:K$116))*'Equipment List &amp; Usage'!$C$114,MMULT(--('Equipment List &amp; Usage'!$J17:$N17),--('Weekly Summary'!K$112:K$116))*'Equipment List &amp; Usage'!$C$115)+IF('Equipment List &amp; Usage'!$F16="yes",'Equipment List &amp; Usage'!$C$114,'Equipment List &amp; Usage'!$C$115)*(('Weekly Summary'!K$66*'Equipment List &amp; Usage'!$Q17)+('Weekly Summary'!K$64*'Equipment List &amp; Usage'!$O17)+('Weekly Summary'!K$65*'Equipment List &amp; Usage'!$P17))+(IF('Equipment List &amp; Usage'!$F17="Yes",'Equipment List &amp; Usage'!$C$114*((('Weekly Summary'!K$131*SelfQuarantine_Mild)+('Weekly Summary'!K$100*SelfQuarantine_Mild)+('Weekly Summary'!K$101*SelfQuarantine_Moderate))),'Equipment List &amp; Usage'!$C$115)*((('Weekly Summary'!K$131*SelfQuarantine_Mild*'Equipment List &amp; Usage'!$W17)+('Weekly Summary'!K$100*SelfQuarantine_Mild*'Equipment List &amp; Usage'!$X17)+('Weekly Summary'!K$101*SelfQuarantine_Moderate*'Equipment List &amp; Usage'!$X17))))+IF('Equipment List &amp; Usage'!$F17="Yes",'Equipment List &amp; Usage'!$C$114*(IF('Equipment List &amp; Usage'!$AA17&gt;0,'Weekly Summary'!K$128,0)+IF('Equipment List &amp; Usage'!$AB17&gt;0,'Weekly Summary'!K$100+'Weekly Summary'!K$101,0)),'Equipment List &amp; Usage'!$C$115*(('Weekly Summary'!K$128*'Equipment List &amp; Usage'!$AA17)+('Weekly Summary'!K$100*'Equipment List &amp; Usage'!$AB17*SelfQuarantine_Mild)+('Weekly Summary'!K$101*'Equipment List &amp; Usage'!$AB17*SelfQuarantine_Moderate)))+IF('Equipment List &amp; Usage'!$F17="Yes",('Equipment List &amp; Usage'!$C$114*(IF('Equipment List &amp; Usage'!$AE17&gt;0,'Weekly Summary'!K$134,0)+IF('Equipment List &amp; Usage'!$AF17&gt;0,'Weekly Summary'!K$135))),'Equipment List &amp; Usage'!$C$115*(('Weekly Summary'!K$134*'Equipment List &amp; Usage'!$AE17)+('Weekly Summary'!K$135*'Equipment List &amp; Usage'!$AF17)))),0)</f>
        <v>0</v>
      </c>
      <c r="R15" s="1374">
        <f ca="1">MAX(IF($F15="Yes",(
IF($F15="yes",MMULT(--('Equipment List &amp; Usage'!$J17:$N17&gt;0),--('Weekly Summary'!L$112:L$116))*'Equipment List &amp; Usage'!$C$114,MMULT(--('Equipment List &amp; Usage'!$J17:$N17),--('Weekly Summary'!L$112:L$116))*'Equipment List &amp; Usage'!$C$115)+IF('Equipment List &amp; Usage'!$F16="yes",'Equipment List &amp; Usage'!$C$114,'Equipment List &amp; Usage'!$C$115)*(('Weekly Summary'!L$66*'Equipment List &amp; Usage'!$Q17)+('Weekly Summary'!L$64*'Equipment List &amp; Usage'!$O17)+('Weekly Summary'!L$65*'Equipment List &amp; Usage'!$P17)))+(IF('Equipment List &amp; Usage'!$F17="Yes",'Equipment List &amp; Usage'!$C$114*((('Weekly Summary'!L$131*SelfQuarantine_Mild)+('Weekly Summary'!L$100*SelfQuarantine_Mild)+('Weekly Summary'!L$101*SelfQuarantine_Moderate))),'Equipment List &amp; Usage'!$C$115)*((('Weekly Summary'!L$131*SelfQuarantine_Mild*'Equipment List &amp; Usage'!$W17)+('Weekly Summary'!L$100*SelfQuarantine_Mild*'Equipment List &amp; Usage'!$X17)+('Weekly Summary'!L$101*SelfQuarantine_Moderate*'Equipment List &amp; Usage'!$X17)))+IF('Equipment List &amp; Usage'!$F17="Yes",'Equipment List &amp; Usage'!$C$114*(IF('Equipment List &amp; Usage'!$AA17&gt;0,'Weekly Summary'!L$128,0)+IF('Equipment List &amp; Usage'!$AB17&gt;0,'Weekly Summary'!L$100+'Weekly Summary'!L$101,0)),'Equipment List &amp; Usage'!$C$115*(('Weekly Summary'!L$128*'Equipment List &amp; Usage'!$AA17)+('Weekly Summary'!L$100*'Equipment List &amp; Usage'!$AB17*SelfQuarantine_Mild)+('Weekly Summary'!L$101*'Equipment List &amp; Usage'!$AB17*SelfQuarantine_Moderate)))+IF('Equipment List &amp; Usage'!$F17="Yes",('Equipment List &amp; Usage'!$C$114*(IF('Equipment List &amp; Usage'!$AE17&gt;0,'Weekly Summary'!L$134,0)+IF('Equipment List &amp; Usage'!$AF17&gt;0,'Weekly Summary'!L$135))),'Equipment List &amp; Usage'!$C$115*(('Weekly Summary'!L$134*'Equipment List &amp; Usage'!$AE17)+('Weekly Summary'!L$135*'Equipment List &amp; Usage'!$AF17))))-SUM($I15:Q15),
IF($F15="yes",MMULT(--('Equipment List &amp; Usage'!$J17:$N17&gt;0),--('Weekly Summary'!L$112:L$116))*'Equipment List &amp; Usage'!$C$114,MMULT(--('Equipment List &amp; Usage'!$J17:$N17),--('Weekly Summary'!L$112:L$116))*'Equipment List &amp; Usage'!$C$115)+IF('Equipment List &amp; Usage'!$F16="yes",'Equipment List &amp; Usage'!$C$114,'Equipment List &amp; Usage'!$C$115)*(('Weekly Summary'!L$66*'Equipment List &amp; Usage'!$Q17)+('Weekly Summary'!L$64*'Equipment List &amp; Usage'!$O17)+('Weekly Summary'!L$65*'Equipment List &amp; Usage'!$P17))+(IF('Equipment List &amp; Usage'!$F17="Yes",'Equipment List &amp; Usage'!$C$114*((('Weekly Summary'!L$131*SelfQuarantine_Mild)+('Weekly Summary'!L$100*SelfQuarantine_Mild)+('Weekly Summary'!L$101*SelfQuarantine_Moderate))),'Equipment List &amp; Usage'!$C$115)*((('Weekly Summary'!L$131*SelfQuarantine_Mild*'Equipment List &amp; Usage'!$W17)+('Weekly Summary'!L$100*SelfQuarantine_Mild*'Equipment List &amp; Usage'!$X17)+('Weekly Summary'!L$101*SelfQuarantine_Moderate*'Equipment List &amp; Usage'!$X17))))+IF('Equipment List &amp; Usage'!$F17="Yes",'Equipment List &amp; Usage'!$C$114*(IF('Equipment List &amp; Usage'!$AA17&gt;0,'Weekly Summary'!L$128,0)+IF('Equipment List &amp; Usage'!$AB17&gt;0,'Weekly Summary'!L$100+'Weekly Summary'!L$101,0)),'Equipment List &amp; Usage'!$C$115*(('Weekly Summary'!L$128*'Equipment List &amp; Usage'!$AA17)+('Weekly Summary'!L$100*'Equipment List &amp; Usage'!$AB17*SelfQuarantine_Mild)+('Weekly Summary'!L$101*'Equipment List &amp; Usage'!$AB17*SelfQuarantine_Moderate)))+IF('Equipment List &amp; Usage'!$F17="Yes",('Equipment List &amp; Usage'!$C$114*(IF('Equipment List &amp; Usage'!$AE17&gt;0,'Weekly Summary'!L$134,0)+IF('Equipment List &amp; Usage'!$AF17&gt;0,'Weekly Summary'!L$135))),'Equipment List &amp; Usage'!$C$115*(('Weekly Summary'!L$134*'Equipment List &amp; Usage'!$AE17)+('Weekly Summary'!L$135*'Equipment List &amp; Usage'!$AF17)))),0)</f>
        <v>0</v>
      </c>
      <c r="S15" s="1374">
        <f ca="1">MAX(IF($F15="Yes",(
IF($F15="yes",MMULT(--('Equipment List &amp; Usage'!$J17:$N17&gt;0),--('Weekly Summary'!M$112:M$116))*'Equipment List &amp; Usage'!$C$114,MMULT(--('Equipment List &amp; Usage'!$J17:$N17),--('Weekly Summary'!M$112:M$116))*'Equipment List &amp; Usage'!$C$115)+IF('Equipment List &amp; Usage'!$F16="yes",'Equipment List &amp; Usage'!$C$114,'Equipment List &amp; Usage'!$C$115)*(('Weekly Summary'!M$66*'Equipment List &amp; Usage'!$Q17)+('Weekly Summary'!M$64*'Equipment List &amp; Usage'!$O17)+('Weekly Summary'!M$65*'Equipment List &amp; Usage'!$P17)))+(IF('Equipment List &amp; Usage'!$F17="Yes",'Equipment List &amp; Usage'!$C$114*((('Weekly Summary'!M$131*SelfQuarantine_Mild)+('Weekly Summary'!M$100*SelfQuarantine_Mild)+('Weekly Summary'!M$101*SelfQuarantine_Moderate))),'Equipment List &amp; Usage'!$C$115)*((('Weekly Summary'!M$131*SelfQuarantine_Mild*'Equipment List &amp; Usage'!$W17)+('Weekly Summary'!M$100*SelfQuarantine_Mild*'Equipment List &amp; Usage'!$X17)+('Weekly Summary'!M$101*SelfQuarantine_Moderate*'Equipment List &amp; Usage'!$X17)))+IF('Equipment List &amp; Usage'!$F17="Yes",'Equipment List &amp; Usage'!$C$114*(IF('Equipment List &amp; Usage'!$AA17&gt;0,'Weekly Summary'!M$128,0)+IF('Equipment List &amp; Usage'!$AB17&gt;0,'Weekly Summary'!M$100+'Weekly Summary'!M$101,0)),'Equipment List &amp; Usage'!$C$115*(('Weekly Summary'!M$128*'Equipment List &amp; Usage'!$AA17)+('Weekly Summary'!M$100*'Equipment List &amp; Usage'!$AB17*SelfQuarantine_Mild)+('Weekly Summary'!M$101*'Equipment List &amp; Usage'!$AB17*SelfQuarantine_Moderate)))+IF('Equipment List &amp; Usage'!$F17="Yes",('Equipment List &amp; Usage'!$C$114*(IF('Equipment List &amp; Usage'!$AE17&gt;0,'Weekly Summary'!M$134,0)+IF('Equipment List &amp; Usage'!$AF17&gt;0,'Weekly Summary'!M$135))),'Equipment List &amp; Usage'!$C$115*(('Weekly Summary'!M$134*'Equipment List &amp; Usage'!$AE17)+('Weekly Summary'!M$135*'Equipment List &amp; Usage'!$AF17))))-SUM($I15:R15),
IF($F15="yes",MMULT(--('Equipment List &amp; Usage'!$J17:$N17&gt;0),--('Weekly Summary'!M$112:M$116))*'Equipment List &amp; Usage'!$C$114,MMULT(--('Equipment List &amp; Usage'!$J17:$N17),--('Weekly Summary'!M$112:M$116))*'Equipment List &amp; Usage'!$C$115)+IF('Equipment List &amp; Usage'!$F16="yes",'Equipment List &amp; Usage'!$C$114,'Equipment List &amp; Usage'!$C$115)*(('Weekly Summary'!M$66*'Equipment List &amp; Usage'!$Q17)+('Weekly Summary'!M$64*'Equipment List &amp; Usage'!$O17)+('Weekly Summary'!M$65*'Equipment List &amp; Usage'!$P17))+(IF('Equipment List &amp; Usage'!$F17="Yes",'Equipment List &amp; Usage'!$C$114*((('Weekly Summary'!M$131*SelfQuarantine_Mild)+('Weekly Summary'!M$100*SelfQuarantine_Mild)+('Weekly Summary'!M$101*SelfQuarantine_Moderate))),'Equipment List &amp; Usage'!$C$115)*((('Weekly Summary'!M$131*SelfQuarantine_Mild*'Equipment List &amp; Usage'!$W17)+('Weekly Summary'!M$100*SelfQuarantine_Mild*'Equipment List &amp; Usage'!$X17)+('Weekly Summary'!M$101*SelfQuarantine_Moderate*'Equipment List &amp; Usage'!$X17))))+IF('Equipment List &amp; Usage'!$F17="Yes",'Equipment List &amp; Usage'!$C$114*(IF('Equipment List &amp; Usage'!$AA17&gt;0,'Weekly Summary'!M$128,0)+IF('Equipment List &amp; Usage'!$AB17&gt;0,'Weekly Summary'!M$100+'Weekly Summary'!M$101,0)),'Equipment List &amp; Usage'!$C$115*(('Weekly Summary'!M$128*'Equipment List &amp; Usage'!$AA17)+('Weekly Summary'!M$100*'Equipment List &amp; Usage'!$AB17*SelfQuarantine_Mild)+('Weekly Summary'!M$101*'Equipment List &amp; Usage'!$AB17*SelfQuarantine_Moderate)))+IF('Equipment List &amp; Usage'!$F17="Yes",('Equipment List &amp; Usage'!$C$114*(IF('Equipment List &amp; Usage'!$AE17&gt;0,'Weekly Summary'!M$134,0)+IF('Equipment List &amp; Usage'!$AF17&gt;0,'Weekly Summary'!M$135))),'Equipment List &amp; Usage'!$C$115*(('Weekly Summary'!M$134*'Equipment List &amp; Usage'!$AE17)+('Weekly Summary'!M$135*'Equipment List &amp; Usage'!$AF17)))),0)</f>
        <v>0</v>
      </c>
      <c r="T15" s="1374">
        <f ca="1">MAX(IF($F15="Yes",(
IF($F15="yes",MMULT(--('Equipment List &amp; Usage'!$J17:$N17&gt;0),--('Weekly Summary'!N$112:N$116))*'Equipment List &amp; Usage'!$C$114,MMULT(--('Equipment List &amp; Usage'!$J17:$N17),--('Weekly Summary'!N$112:N$116))*'Equipment List &amp; Usage'!$C$115)+IF('Equipment List &amp; Usage'!$F16="yes",'Equipment List &amp; Usage'!$C$114,'Equipment List &amp; Usage'!$C$115)*(('Weekly Summary'!N$66*'Equipment List &amp; Usage'!$Q17)+('Weekly Summary'!N$64*'Equipment List &amp; Usage'!$O17)+('Weekly Summary'!N$65*'Equipment List &amp; Usage'!$P17)))+(IF('Equipment List &amp; Usage'!$F17="Yes",'Equipment List &amp; Usage'!$C$114*((('Weekly Summary'!N$131*SelfQuarantine_Mild)+('Weekly Summary'!N$100*SelfQuarantine_Mild)+('Weekly Summary'!N$101*SelfQuarantine_Moderate))),'Equipment List &amp; Usage'!$C$115)*((('Weekly Summary'!N$131*SelfQuarantine_Mild*'Equipment List &amp; Usage'!$W17)+('Weekly Summary'!N$100*SelfQuarantine_Mild*'Equipment List &amp; Usage'!$X17)+('Weekly Summary'!N$101*SelfQuarantine_Moderate*'Equipment List &amp; Usage'!$X17)))+IF('Equipment List &amp; Usage'!$F17="Yes",'Equipment List &amp; Usage'!$C$114*(IF('Equipment List &amp; Usage'!$AA17&gt;0,'Weekly Summary'!N$128,0)+IF('Equipment List &amp; Usage'!$AB17&gt;0,'Weekly Summary'!N$100+'Weekly Summary'!N$101,0)),'Equipment List &amp; Usage'!$C$115*(('Weekly Summary'!N$128*'Equipment List &amp; Usage'!$AA17)+('Weekly Summary'!N$100*'Equipment List &amp; Usage'!$AB17*SelfQuarantine_Mild)+('Weekly Summary'!N$101*'Equipment List &amp; Usage'!$AB17*SelfQuarantine_Moderate)))+IF('Equipment List &amp; Usage'!$F17="Yes",('Equipment List &amp; Usage'!$C$114*(IF('Equipment List &amp; Usage'!$AE17&gt;0,'Weekly Summary'!N$134,0)+IF('Equipment List &amp; Usage'!$AF17&gt;0,'Weekly Summary'!N$135))),'Equipment List &amp; Usage'!$C$115*(('Weekly Summary'!N$134*'Equipment List &amp; Usage'!$AE17)+('Weekly Summary'!N$135*'Equipment List &amp; Usage'!$AF17))))-SUM($I15:S15),
IF($F15="yes",MMULT(--('Equipment List &amp; Usage'!$J17:$N17&gt;0),--('Weekly Summary'!N$112:N$116))*'Equipment List &amp; Usage'!$C$114,MMULT(--('Equipment List &amp; Usage'!$J17:$N17),--('Weekly Summary'!N$112:N$116))*'Equipment List &amp; Usage'!$C$115)+IF('Equipment List &amp; Usage'!$F16="yes",'Equipment List &amp; Usage'!$C$114,'Equipment List &amp; Usage'!$C$115)*(('Weekly Summary'!N$66*'Equipment List &amp; Usage'!$Q17)+('Weekly Summary'!N$64*'Equipment List &amp; Usage'!$O17)+('Weekly Summary'!N$65*'Equipment List &amp; Usage'!$P17))+(IF('Equipment List &amp; Usage'!$F17="Yes",'Equipment List &amp; Usage'!$C$114*((('Weekly Summary'!N$131*SelfQuarantine_Mild)+('Weekly Summary'!N$100*SelfQuarantine_Mild)+('Weekly Summary'!N$101*SelfQuarantine_Moderate))),'Equipment List &amp; Usage'!$C$115)*((('Weekly Summary'!N$131*SelfQuarantine_Mild*'Equipment List &amp; Usage'!$W17)+('Weekly Summary'!N$100*SelfQuarantine_Mild*'Equipment List &amp; Usage'!$X17)+('Weekly Summary'!N$101*SelfQuarantine_Moderate*'Equipment List &amp; Usage'!$X17))))+IF('Equipment List &amp; Usage'!$F17="Yes",'Equipment List &amp; Usage'!$C$114*(IF('Equipment List &amp; Usage'!$AA17&gt;0,'Weekly Summary'!N$128,0)+IF('Equipment List &amp; Usage'!$AB17&gt;0,'Weekly Summary'!N$100+'Weekly Summary'!N$101,0)),'Equipment List &amp; Usage'!$C$115*(('Weekly Summary'!N$128*'Equipment List &amp; Usage'!$AA17)+('Weekly Summary'!N$100*'Equipment List &amp; Usage'!$AB17*SelfQuarantine_Mild)+('Weekly Summary'!N$101*'Equipment List &amp; Usage'!$AB17*SelfQuarantine_Moderate)))+IF('Equipment List &amp; Usage'!$F17="Yes",('Equipment List &amp; Usage'!$C$114*(IF('Equipment List &amp; Usage'!$AE17&gt;0,'Weekly Summary'!N$134,0)+IF('Equipment List &amp; Usage'!$AF17&gt;0,'Weekly Summary'!N$135))),'Equipment List &amp; Usage'!$C$115*(('Weekly Summary'!N$134*'Equipment List &amp; Usage'!$AE17)+('Weekly Summary'!N$135*'Equipment List &amp; Usage'!$AF17)))),0)</f>
        <v>0</v>
      </c>
      <c r="U15" s="1374">
        <f ca="1">MAX(IF($F15="Yes",(
IF($F15="yes",MMULT(--('Equipment List &amp; Usage'!$J17:$N17&gt;0),--('Weekly Summary'!O$112:O$116))*'Equipment List &amp; Usage'!$C$114,MMULT(--('Equipment List &amp; Usage'!$J17:$N17),--('Weekly Summary'!O$112:O$116))*'Equipment List &amp; Usage'!$C$115)+IF('Equipment List &amp; Usage'!$F16="yes",'Equipment List &amp; Usage'!$C$114,'Equipment List &amp; Usage'!$C$115)*(('Weekly Summary'!O$66*'Equipment List &amp; Usage'!$Q17)+('Weekly Summary'!O$64*'Equipment List &amp; Usage'!$O17)+('Weekly Summary'!O$65*'Equipment List &amp; Usage'!$P17)))+(IF('Equipment List &amp; Usage'!$F17="Yes",'Equipment List &amp; Usage'!$C$114*((('Weekly Summary'!O$131*SelfQuarantine_Mild)+('Weekly Summary'!O$100*SelfQuarantine_Mild)+('Weekly Summary'!O$101*SelfQuarantine_Moderate))),'Equipment List &amp; Usage'!$C$115)*((('Weekly Summary'!O$131*SelfQuarantine_Mild*'Equipment List &amp; Usage'!$W17)+('Weekly Summary'!O$100*SelfQuarantine_Mild*'Equipment List &amp; Usage'!$X17)+('Weekly Summary'!O$101*SelfQuarantine_Moderate*'Equipment List &amp; Usage'!$X17)))+IF('Equipment List &amp; Usage'!$F17="Yes",'Equipment List &amp; Usage'!$C$114*(IF('Equipment List &amp; Usage'!$AA17&gt;0,'Weekly Summary'!O$128,0)+IF('Equipment List &amp; Usage'!$AB17&gt;0,'Weekly Summary'!O$100+'Weekly Summary'!O$101,0)),'Equipment List &amp; Usage'!$C$115*(('Weekly Summary'!O$128*'Equipment List &amp; Usage'!$AA17)+('Weekly Summary'!O$100*'Equipment List &amp; Usage'!$AB17*SelfQuarantine_Mild)+('Weekly Summary'!O$101*'Equipment List &amp; Usage'!$AB17*SelfQuarantine_Moderate)))+IF('Equipment List &amp; Usage'!$F17="Yes",('Equipment List &amp; Usage'!$C$114*(IF('Equipment List &amp; Usage'!$AE17&gt;0,'Weekly Summary'!O$134,0)+IF('Equipment List &amp; Usage'!$AF17&gt;0,'Weekly Summary'!O$135))),'Equipment List &amp; Usage'!$C$115*(('Weekly Summary'!O$134*'Equipment List &amp; Usage'!$AE17)+('Weekly Summary'!O$135*'Equipment List &amp; Usage'!$AF17))))-SUM($I15:T15),
IF($F15="yes",MMULT(--('Equipment List &amp; Usage'!$J17:$N17&gt;0),--('Weekly Summary'!O$112:O$116))*'Equipment List &amp; Usage'!$C$114,MMULT(--('Equipment List &amp; Usage'!$J17:$N17),--('Weekly Summary'!O$112:O$116))*'Equipment List &amp; Usage'!$C$115)+IF('Equipment List &amp; Usage'!$F16="yes",'Equipment List &amp; Usage'!$C$114,'Equipment List &amp; Usage'!$C$115)*(('Weekly Summary'!O$66*'Equipment List &amp; Usage'!$Q17)+('Weekly Summary'!O$64*'Equipment List &amp; Usage'!$O17)+('Weekly Summary'!O$65*'Equipment List &amp; Usage'!$P17))+(IF('Equipment List &amp; Usage'!$F17="Yes",'Equipment List &amp; Usage'!$C$114*((('Weekly Summary'!O$131*SelfQuarantine_Mild)+('Weekly Summary'!O$100*SelfQuarantine_Mild)+('Weekly Summary'!O$101*SelfQuarantine_Moderate))),'Equipment List &amp; Usage'!$C$115)*((('Weekly Summary'!O$131*SelfQuarantine_Mild*'Equipment List &amp; Usage'!$W17)+('Weekly Summary'!O$100*SelfQuarantine_Mild*'Equipment List &amp; Usage'!$X17)+('Weekly Summary'!O$101*SelfQuarantine_Moderate*'Equipment List &amp; Usage'!$X17))))+IF('Equipment List &amp; Usage'!$F17="Yes",'Equipment List &amp; Usage'!$C$114*(IF('Equipment List &amp; Usage'!$AA17&gt;0,'Weekly Summary'!O$128,0)+IF('Equipment List &amp; Usage'!$AB17&gt;0,'Weekly Summary'!O$100+'Weekly Summary'!O$101,0)),'Equipment List &amp; Usage'!$C$115*(('Weekly Summary'!O$128*'Equipment List &amp; Usage'!$AA17)+('Weekly Summary'!O$100*'Equipment List &amp; Usage'!$AB17*SelfQuarantine_Mild)+('Weekly Summary'!O$101*'Equipment List &amp; Usage'!$AB17*SelfQuarantine_Moderate)))+IF('Equipment List &amp; Usage'!$F17="Yes",('Equipment List &amp; Usage'!$C$114*(IF('Equipment List &amp; Usage'!$AE17&gt;0,'Weekly Summary'!O$134,0)+IF('Equipment List &amp; Usage'!$AF17&gt;0,'Weekly Summary'!O$135))),'Equipment List &amp; Usage'!$C$115*(('Weekly Summary'!O$134*'Equipment List &amp; Usage'!$AE17)+('Weekly Summary'!O$135*'Equipment List &amp; Usage'!$AF17)))),0)</f>
        <v>0</v>
      </c>
      <c r="V15" s="1374">
        <f ca="1">MAX(IF($F15="Yes",(
IF($F15="yes",MMULT(--('Equipment List &amp; Usage'!$J17:$N17&gt;0),--('Weekly Summary'!P$112:P$116))*'Equipment List &amp; Usage'!$C$114,MMULT(--('Equipment List &amp; Usage'!$J17:$N17),--('Weekly Summary'!P$112:P$116))*'Equipment List &amp; Usage'!$C$115)+IF('Equipment List &amp; Usage'!$F16="yes",'Equipment List &amp; Usage'!$C$114,'Equipment List &amp; Usage'!$C$115)*(('Weekly Summary'!P$66*'Equipment List &amp; Usage'!$Q17)+('Weekly Summary'!P$64*'Equipment List &amp; Usage'!$O17)+('Weekly Summary'!P$65*'Equipment List &amp; Usage'!$P17)))+(IF('Equipment List &amp; Usage'!$F17="Yes",'Equipment List &amp; Usage'!$C$114*((('Weekly Summary'!P$131*SelfQuarantine_Mild)+('Weekly Summary'!P$100*SelfQuarantine_Mild)+('Weekly Summary'!P$101*SelfQuarantine_Moderate))),'Equipment List &amp; Usage'!$C$115)*((('Weekly Summary'!P$131*SelfQuarantine_Mild*'Equipment List &amp; Usage'!$W17)+('Weekly Summary'!P$100*SelfQuarantine_Mild*'Equipment List &amp; Usage'!$X17)+('Weekly Summary'!P$101*SelfQuarantine_Moderate*'Equipment List &amp; Usage'!$X17)))+IF('Equipment List &amp; Usage'!$F17="Yes",'Equipment List &amp; Usage'!$C$114*(IF('Equipment List &amp; Usage'!$AA17&gt;0,'Weekly Summary'!P$128,0)+IF('Equipment List &amp; Usage'!$AB17&gt;0,'Weekly Summary'!P$100+'Weekly Summary'!P$101,0)),'Equipment List &amp; Usage'!$C$115*(('Weekly Summary'!P$128*'Equipment List &amp; Usage'!$AA17)+('Weekly Summary'!P$100*'Equipment List &amp; Usage'!$AB17*SelfQuarantine_Mild)+('Weekly Summary'!P$101*'Equipment List &amp; Usage'!$AB17*SelfQuarantine_Moderate)))+IF('Equipment List &amp; Usage'!$F17="Yes",('Equipment List &amp; Usage'!$C$114*(IF('Equipment List &amp; Usage'!$AE17&gt;0,'Weekly Summary'!P$134,0)+IF('Equipment List &amp; Usage'!$AF17&gt;0,'Weekly Summary'!P$135))),'Equipment List &amp; Usage'!$C$115*(('Weekly Summary'!P$134*'Equipment List &amp; Usage'!$AE17)+('Weekly Summary'!P$135*'Equipment List &amp; Usage'!$AF17))))-SUM($I15:U15),
IF($F15="yes",MMULT(--('Equipment List &amp; Usage'!$J17:$N17&gt;0),--('Weekly Summary'!P$112:P$116))*'Equipment List &amp; Usage'!$C$114,MMULT(--('Equipment List &amp; Usage'!$J17:$N17),--('Weekly Summary'!P$112:P$116))*'Equipment List &amp; Usage'!$C$115)+IF('Equipment List &amp; Usage'!$F16="yes",'Equipment List &amp; Usage'!$C$114,'Equipment List &amp; Usage'!$C$115)*(('Weekly Summary'!P$66*'Equipment List &amp; Usage'!$Q17)+('Weekly Summary'!P$64*'Equipment List &amp; Usage'!$O17)+('Weekly Summary'!P$65*'Equipment List &amp; Usage'!$P17))+(IF('Equipment List &amp; Usage'!$F17="Yes",'Equipment List &amp; Usage'!$C$114*((('Weekly Summary'!P$131*SelfQuarantine_Mild)+('Weekly Summary'!P$100*SelfQuarantine_Mild)+('Weekly Summary'!P$101*SelfQuarantine_Moderate))),'Equipment List &amp; Usage'!$C$115)*((('Weekly Summary'!P$131*SelfQuarantine_Mild*'Equipment List &amp; Usage'!$W17)+('Weekly Summary'!P$100*SelfQuarantine_Mild*'Equipment List &amp; Usage'!$X17)+('Weekly Summary'!P$101*SelfQuarantine_Moderate*'Equipment List &amp; Usage'!$X17))))+IF('Equipment List &amp; Usage'!$F17="Yes",'Equipment List &amp; Usage'!$C$114*(IF('Equipment List &amp; Usage'!$AA17&gt;0,'Weekly Summary'!P$128,0)+IF('Equipment List &amp; Usage'!$AB17&gt;0,'Weekly Summary'!P$100+'Weekly Summary'!P$101,0)),'Equipment List &amp; Usage'!$C$115*(('Weekly Summary'!P$128*'Equipment List &amp; Usage'!$AA17)+('Weekly Summary'!P$100*'Equipment List &amp; Usage'!$AB17*SelfQuarantine_Mild)+('Weekly Summary'!P$101*'Equipment List &amp; Usage'!$AB17*SelfQuarantine_Moderate)))+IF('Equipment List &amp; Usage'!$F17="Yes",('Equipment List &amp; Usage'!$C$114*(IF('Equipment List &amp; Usage'!$AE17&gt;0,'Weekly Summary'!P$134,0)+IF('Equipment List &amp; Usage'!$AF17&gt;0,'Weekly Summary'!P$135))),'Equipment List &amp; Usage'!$C$115*(('Weekly Summary'!P$134*'Equipment List &amp; Usage'!$AE17)+('Weekly Summary'!P$135*'Equipment List &amp; Usage'!$AF17)))),0)</f>
        <v>0</v>
      </c>
      <c r="W15" s="1374">
        <f ca="1">MAX(IF($F15="Yes",(
IF($F15="yes",MMULT(--('Equipment List &amp; Usage'!$J17:$N17&gt;0),--('Weekly Summary'!Q$112:Q$116))*'Equipment List &amp; Usage'!$C$114,MMULT(--('Equipment List &amp; Usage'!$J17:$N17),--('Weekly Summary'!Q$112:Q$116))*'Equipment List &amp; Usage'!$C$115)+IF('Equipment List &amp; Usage'!$F16="yes",'Equipment List &amp; Usage'!$C$114,'Equipment List &amp; Usage'!$C$115)*(('Weekly Summary'!Q$66*'Equipment List &amp; Usage'!$Q17)+('Weekly Summary'!Q$64*'Equipment List &amp; Usage'!$O17)+('Weekly Summary'!Q$65*'Equipment List &amp; Usage'!$P17)))+(IF('Equipment List &amp; Usage'!$F17="Yes",'Equipment List &amp; Usage'!$C$114*((('Weekly Summary'!Q$131*SelfQuarantine_Mild)+('Weekly Summary'!Q$100*SelfQuarantine_Mild)+('Weekly Summary'!Q$101*SelfQuarantine_Moderate))),'Equipment List &amp; Usage'!$C$115)*((('Weekly Summary'!Q$131*SelfQuarantine_Mild*'Equipment List &amp; Usage'!$W17)+('Weekly Summary'!Q$100*SelfQuarantine_Mild*'Equipment List &amp; Usage'!$X17)+('Weekly Summary'!Q$101*SelfQuarantine_Moderate*'Equipment List &amp; Usage'!$X17)))+IF('Equipment List &amp; Usage'!$F17="Yes",'Equipment List &amp; Usage'!$C$114*(IF('Equipment List &amp; Usage'!$AA17&gt;0,'Weekly Summary'!Q$128,0)+IF('Equipment List &amp; Usage'!$AB17&gt;0,'Weekly Summary'!Q$100+'Weekly Summary'!Q$101,0)),'Equipment List &amp; Usage'!$C$115*(('Weekly Summary'!Q$128*'Equipment List &amp; Usage'!$AA17)+('Weekly Summary'!Q$100*'Equipment List &amp; Usage'!$AB17*SelfQuarantine_Mild)+('Weekly Summary'!Q$101*'Equipment List &amp; Usage'!$AB17*SelfQuarantine_Moderate)))+IF('Equipment List &amp; Usage'!$F17="Yes",('Equipment List &amp; Usage'!$C$114*(IF('Equipment List &amp; Usage'!$AE17&gt;0,'Weekly Summary'!Q$134,0)+IF('Equipment List &amp; Usage'!$AF17&gt;0,'Weekly Summary'!Q$135))),'Equipment List &amp; Usage'!$C$115*(('Weekly Summary'!Q$134*'Equipment List &amp; Usage'!$AE17)+('Weekly Summary'!Q$135*'Equipment List &amp; Usage'!$AF17))))-SUM($I15:V15),
IF($F15="yes",MMULT(--('Equipment List &amp; Usage'!$J17:$N17&gt;0),--('Weekly Summary'!Q$112:Q$116))*'Equipment List &amp; Usage'!$C$114,MMULT(--('Equipment List &amp; Usage'!$J17:$N17),--('Weekly Summary'!Q$112:Q$116))*'Equipment List &amp; Usage'!$C$115)+IF('Equipment List &amp; Usage'!$F16="yes",'Equipment List &amp; Usage'!$C$114,'Equipment List &amp; Usage'!$C$115)*(('Weekly Summary'!Q$66*'Equipment List &amp; Usage'!$Q17)+('Weekly Summary'!Q$64*'Equipment List &amp; Usage'!$O17)+('Weekly Summary'!Q$65*'Equipment List &amp; Usage'!$P17))+(IF('Equipment List &amp; Usage'!$F17="Yes",'Equipment List &amp; Usage'!$C$114*((('Weekly Summary'!Q$131*SelfQuarantine_Mild)+('Weekly Summary'!Q$100*SelfQuarantine_Mild)+('Weekly Summary'!Q$101*SelfQuarantine_Moderate))),'Equipment List &amp; Usage'!$C$115)*((('Weekly Summary'!Q$131*SelfQuarantine_Mild*'Equipment List &amp; Usage'!$W17)+('Weekly Summary'!Q$100*SelfQuarantine_Mild*'Equipment List &amp; Usage'!$X17)+('Weekly Summary'!Q$101*SelfQuarantine_Moderate*'Equipment List &amp; Usage'!$X17))))+IF('Equipment List &amp; Usage'!$F17="Yes",'Equipment List &amp; Usage'!$C$114*(IF('Equipment List &amp; Usage'!$AA17&gt;0,'Weekly Summary'!Q$128,0)+IF('Equipment List &amp; Usage'!$AB17&gt;0,'Weekly Summary'!Q$100+'Weekly Summary'!Q$101,0)),'Equipment List &amp; Usage'!$C$115*(('Weekly Summary'!Q$128*'Equipment List &amp; Usage'!$AA17)+('Weekly Summary'!Q$100*'Equipment List &amp; Usage'!$AB17*SelfQuarantine_Mild)+('Weekly Summary'!Q$101*'Equipment List &amp; Usage'!$AB17*SelfQuarantine_Moderate)))+IF('Equipment List &amp; Usage'!$F17="Yes",('Equipment List &amp; Usage'!$C$114*(IF('Equipment List &amp; Usage'!$AE17&gt;0,'Weekly Summary'!Q$134,0)+IF('Equipment List &amp; Usage'!$AF17&gt;0,'Weekly Summary'!Q$135))),'Equipment List &amp; Usage'!$C$115*(('Weekly Summary'!Q$134*'Equipment List &amp; Usage'!$AE17)+('Weekly Summary'!Q$135*'Equipment List &amp; Usage'!$AF17)))),0)</f>
        <v>0</v>
      </c>
      <c r="X15" s="1374">
        <f ca="1">MAX(IF($F15="Yes",(
IF($F15="yes",MMULT(--('Equipment List &amp; Usage'!$J17:$N17&gt;0),--('Weekly Summary'!R$112:R$116))*'Equipment List &amp; Usage'!$C$114,MMULT(--('Equipment List &amp; Usage'!$J17:$N17),--('Weekly Summary'!R$112:R$116))*'Equipment List &amp; Usage'!$C$115)+IF('Equipment List &amp; Usage'!$F16="yes",'Equipment List &amp; Usage'!$C$114,'Equipment List &amp; Usage'!$C$115)*(('Weekly Summary'!R$66*'Equipment List &amp; Usage'!$Q17)+('Weekly Summary'!R$64*'Equipment List &amp; Usage'!$O17)+('Weekly Summary'!R$65*'Equipment List &amp; Usage'!$P17)))+(IF('Equipment List &amp; Usage'!$F17="Yes",'Equipment List &amp; Usage'!$C$114*((('Weekly Summary'!R$131*SelfQuarantine_Mild)+('Weekly Summary'!R$100*SelfQuarantine_Mild)+('Weekly Summary'!R$101*SelfQuarantine_Moderate))),'Equipment List &amp; Usage'!$C$115)*((('Weekly Summary'!R$131*SelfQuarantine_Mild*'Equipment List &amp; Usage'!$W17)+('Weekly Summary'!R$100*SelfQuarantine_Mild*'Equipment List &amp; Usage'!$X17)+('Weekly Summary'!R$101*SelfQuarantine_Moderate*'Equipment List &amp; Usage'!$X17)))+IF('Equipment List &amp; Usage'!$F17="Yes",'Equipment List &amp; Usage'!$C$114*(IF('Equipment List &amp; Usage'!$AA17&gt;0,'Weekly Summary'!R$128,0)+IF('Equipment List &amp; Usage'!$AB17&gt;0,'Weekly Summary'!R$100+'Weekly Summary'!R$101,0)),'Equipment List &amp; Usage'!$C$115*(('Weekly Summary'!R$128*'Equipment List &amp; Usage'!$AA17)+('Weekly Summary'!R$100*'Equipment List &amp; Usage'!$AB17*SelfQuarantine_Mild)+('Weekly Summary'!R$101*'Equipment List &amp; Usage'!$AB17*SelfQuarantine_Moderate)))+IF('Equipment List &amp; Usage'!$F17="Yes",('Equipment List &amp; Usage'!$C$114*(IF('Equipment List &amp; Usage'!$AE17&gt;0,'Weekly Summary'!R$134,0)+IF('Equipment List &amp; Usage'!$AF17&gt;0,'Weekly Summary'!R$135))),'Equipment List &amp; Usage'!$C$115*(('Weekly Summary'!R$134*'Equipment List &amp; Usage'!$AE17)+('Weekly Summary'!R$135*'Equipment List &amp; Usage'!$AF17))))-SUM($I15:W15),
IF($F15="yes",MMULT(--('Equipment List &amp; Usage'!$J17:$N17&gt;0),--('Weekly Summary'!R$112:R$116))*'Equipment List &amp; Usage'!$C$114,MMULT(--('Equipment List &amp; Usage'!$J17:$N17),--('Weekly Summary'!R$112:R$116))*'Equipment List &amp; Usage'!$C$115)+IF('Equipment List &amp; Usage'!$F16="yes",'Equipment List &amp; Usage'!$C$114,'Equipment List &amp; Usage'!$C$115)*(('Weekly Summary'!R$66*'Equipment List &amp; Usage'!$Q17)+('Weekly Summary'!R$64*'Equipment List &amp; Usage'!$O17)+('Weekly Summary'!R$65*'Equipment List &amp; Usage'!$P17))+(IF('Equipment List &amp; Usage'!$F17="Yes",'Equipment List &amp; Usage'!$C$114*((('Weekly Summary'!R$131*SelfQuarantine_Mild)+('Weekly Summary'!R$100*SelfQuarantine_Mild)+('Weekly Summary'!R$101*SelfQuarantine_Moderate))),'Equipment List &amp; Usage'!$C$115)*((('Weekly Summary'!R$131*SelfQuarantine_Mild*'Equipment List &amp; Usage'!$W17)+('Weekly Summary'!R$100*SelfQuarantine_Mild*'Equipment List &amp; Usage'!$X17)+('Weekly Summary'!R$101*SelfQuarantine_Moderate*'Equipment List &amp; Usage'!$X17))))+IF('Equipment List &amp; Usage'!$F17="Yes",'Equipment List &amp; Usage'!$C$114*(IF('Equipment List &amp; Usage'!$AA17&gt;0,'Weekly Summary'!R$128,0)+IF('Equipment List &amp; Usage'!$AB17&gt;0,'Weekly Summary'!R$100+'Weekly Summary'!R$101,0)),'Equipment List &amp; Usage'!$C$115*(('Weekly Summary'!R$128*'Equipment List &amp; Usage'!$AA17)+('Weekly Summary'!R$100*'Equipment List &amp; Usage'!$AB17*SelfQuarantine_Mild)+('Weekly Summary'!R$101*'Equipment List &amp; Usage'!$AB17*SelfQuarantine_Moderate)))+IF('Equipment List &amp; Usage'!$F17="Yes",('Equipment List &amp; Usage'!$C$114*(IF('Equipment List &amp; Usage'!$AE17&gt;0,'Weekly Summary'!R$134,0)+IF('Equipment List &amp; Usage'!$AF17&gt;0,'Weekly Summary'!R$135))),'Equipment List &amp; Usage'!$C$115*(('Weekly Summary'!R$134*'Equipment List &amp; Usage'!$AE17)+('Weekly Summary'!R$135*'Equipment List &amp; Usage'!$AF17)))),0)</f>
        <v>0</v>
      </c>
      <c r="Y15" s="1374">
        <f ca="1">MAX(IF($F15="Yes",(
IF($F15="yes",MMULT(--('Equipment List &amp; Usage'!$J17:$N17&gt;0),--('Weekly Summary'!S$112:S$116))*'Equipment List &amp; Usage'!$C$114,MMULT(--('Equipment List &amp; Usage'!$J17:$N17),--('Weekly Summary'!S$112:S$116))*'Equipment List &amp; Usage'!$C$115)+IF('Equipment List &amp; Usage'!$F16="yes",'Equipment List &amp; Usage'!$C$114,'Equipment List &amp; Usage'!$C$115)*(('Weekly Summary'!S$66*'Equipment List &amp; Usage'!$Q17)+('Weekly Summary'!S$64*'Equipment List &amp; Usage'!$O17)+('Weekly Summary'!S$65*'Equipment List &amp; Usage'!$P17)))+(IF('Equipment List &amp; Usage'!$F17="Yes",'Equipment List &amp; Usage'!$C$114*((('Weekly Summary'!S$131*SelfQuarantine_Mild)+('Weekly Summary'!S$100*SelfQuarantine_Mild)+('Weekly Summary'!S$101*SelfQuarantine_Moderate))),'Equipment List &amp; Usage'!$C$115)*((('Weekly Summary'!S$131*SelfQuarantine_Mild*'Equipment List &amp; Usage'!$W17)+('Weekly Summary'!S$100*SelfQuarantine_Mild*'Equipment List &amp; Usage'!$X17)+('Weekly Summary'!S$101*SelfQuarantine_Moderate*'Equipment List &amp; Usage'!$X17)))+IF('Equipment List &amp; Usage'!$F17="Yes",'Equipment List &amp; Usage'!$C$114*(IF('Equipment List &amp; Usage'!$AA17&gt;0,'Weekly Summary'!S$128,0)+IF('Equipment List &amp; Usage'!$AB17&gt;0,'Weekly Summary'!S$100+'Weekly Summary'!S$101,0)),'Equipment List &amp; Usage'!$C$115*(('Weekly Summary'!S$128*'Equipment List &amp; Usage'!$AA17)+('Weekly Summary'!S$100*'Equipment List &amp; Usage'!$AB17*SelfQuarantine_Mild)+('Weekly Summary'!S$101*'Equipment List &amp; Usage'!$AB17*SelfQuarantine_Moderate)))+IF('Equipment List &amp; Usage'!$F17="Yes",('Equipment List &amp; Usage'!$C$114*(IF('Equipment List &amp; Usage'!$AE17&gt;0,'Weekly Summary'!S$134,0)+IF('Equipment List &amp; Usage'!$AF17&gt;0,'Weekly Summary'!S$135))),'Equipment List &amp; Usage'!$C$115*(('Weekly Summary'!S$134*'Equipment List &amp; Usage'!$AE17)+('Weekly Summary'!S$135*'Equipment List &amp; Usage'!$AF17))))-SUM($I15:X15),
IF($F15="yes",MMULT(--('Equipment List &amp; Usage'!$J17:$N17&gt;0),--('Weekly Summary'!S$112:S$116))*'Equipment List &amp; Usage'!$C$114,MMULT(--('Equipment List &amp; Usage'!$J17:$N17),--('Weekly Summary'!S$112:S$116))*'Equipment List &amp; Usage'!$C$115)+IF('Equipment List &amp; Usage'!$F16="yes",'Equipment List &amp; Usage'!$C$114,'Equipment List &amp; Usage'!$C$115)*(('Weekly Summary'!S$66*'Equipment List &amp; Usage'!$Q17)+('Weekly Summary'!S$64*'Equipment List &amp; Usage'!$O17)+('Weekly Summary'!S$65*'Equipment List &amp; Usage'!$P17))+(IF('Equipment List &amp; Usage'!$F17="Yes",'Equipment List &amp; Usage'!$C$114*((('Weekly Summary'!S$131*SelfQuarantine_Mild)+('Weekly Summary'!S$100*SelfQuarantine_Mild)+('Weekly Summary'!S$101*SelfQuarantine_Moderate))),'Equipment List &amp; Usage'!$C$115)*((('Weekly Summary'!S$131*SelfQuarantine_Mild*'Equipment List &amp; Usage'!$W17)+('Weekly Summary'!S$100*SelfQuarantine_Mild*'Equipment List &amp; Usage'!$X17)+('Weekly Summary'!S$101*SelfQuarantine_Moderate*'Equipment List &amp; Usage'!$X17))))+IF('Equipment List &amp; Usage'!$F17="Yes",'Equipment List &amp; Usage'!$C$114*(IF('Equipment List &amp; Usage'!$AA17&gt;0,'Weekly Summary'!S$128,0)+IF('Equipment List &amp; Usage'!$AB17&gt;0,'Weekly Summary'!S$100+'Weekly Summary'!S$101,0)),'Equipment List &amp; Usage'!$C$115*(('Weekly Summary'!S$128*'Equipment List &amp; Usage'!$AA17)+('Weekly Summary'!S$100*'Equipment List &amp; Usage'!$AB17*SelfQuarantine_Mild)+('Weekly Summary'!S$101*'Equipment List &amp; Usage'!$AB17*SelfQuarantine_Moderate)))+IF('Equipment List &amp; Usage'!$F17="Yes",('Equipment List &amp; Usage'!$C$114*(IF('Equipment List &amp; Usage'!$AE17&gt;0,'Weekly Summary'!S$134,0)+IF('Equipment List &amp; Usage'!$AF17&gt;0,'Weekly Summary'!S$135))),'Equipment List &amp; Usage'!$C$115*(('Weekly Summary'!S$134*'Equipment List &amp; Usage'!$AE17)+('Weekly Summary'!S$135*'Equipment List &amp; Usage'!$AF17)))),0)</f>
        <v>0</v>
      </c>
      <c r="Z15" s="1374">
        <f ca="1">MAX(IF($F15="Yes",(
IF($F15="yes",MMULT(--('Equipment List &amp; Usage'!$J17:$N17&gt;0),--('Weekly Summary'!T$112:T$116))*'Equipment List &amp; Usage'!$C$114,MMULT(--('Equipment List &amp; Usage'!$J17:$N17),--('Weekly Summary'!T$112:T$116))*'Equipment List &amp; Usage'!$C$115)+IF('Equipment List &amp; Usage'!$F16="yes",'Equipment List &amp; Usage'!$C$114,'Equipment List &amp; Usage'!$C$115)*(('Weekly Summary'!T$66*'Equipment List &amp; Usage'!$Q17)+('Weekly Summary'!T$64*'Equipment List &amp; Usage'!$O17)+('Weekly Summary'!T$65*'Equipment List &amp; Usage'!$P17)))+(IF('Equipment List &amp; Usage'!$F17="Yes",'Equipment List &amp; Usage'!$C$114*((('Weekly Summary'!T$131*SelfQuarantine_Mild)+('Weekly Summary'!T$100*SelfQuarantine_Mild)+('Weekly Summary'!T$101*SelfQuarantine_Moderate))),'Equipment List &amp; Usage'!$C$115)*((('Weekly Summary'!T$131*SelfQuarantine_Mild*'Equipment List &amp; Usage'!$W17)+('Weekly Summary'!T$100*SelfQuarantine_Mild*'Equipment List &amp; Usage'!$X17)+('Weekly Summary'!T$101*SelfQuarantine_Moderate*'Equipment List &amp; Usage'!$X17)))+IF('Equipment List &amp; Usage'!$F17="Yes",'Equipment List &amp; Usage'!$C$114*(IF('Equipment List &amp; Usage'!$AA17&gt;0,'Weekly Summary'!T$128,0)+IF('Equipment List &amp; Usage'!$AB17&gt;0,'Weekly Summary'!T$100+'Weekly Summary'!T$101,0)),'Equipment List &amp; Usage'!$C$115*(('Weekly Summary'!T$128*'Equipment List &amp; Usage'!$AA17)+('Weekly Summary'!T$100*'Equipment List &amp; Usage'!$AB17*SelfQuarantine_Mild)+('Weekly Summary'!T$101*'Equipment List &amp; Usage'!$AB17*SelfQuarantine_Moderate)))+IF('Equipment List &amp; Usage'!$F17="Yes",('Equipment List &amp; Usage'!$C$114*(IF('Equipment List &amp; Usage'!$AE17&gt;0,'Weekly Summary'!T$134,0)+IF('Equipment List &amp; Usage'!$AF17&gt;0,'Weekly Summary'!T$135))),'Equipment List &amp; Usage'!$C$115*(('Weekly Summary'!T$134*'Equipment List &amp; Usage'!$AE17)+('Weekly Summary'!T$135*'Equipment List &amp; Usage'!$AF17))))-SUM($I15:Y15),
IF($F15="yes",MMULT(--('Equipment List &amp; Usage'!$J17:$N17&gt;0),--('Weekly Summary'!T$112:T$116))*'Equipment List &amp; Usage'!$C$114,MMULT(--('Equipment List &amp; Usage'!$J17:$N17),--('Weekly Summary'!T$112:T$116))*'Equipment List &amp; Usage'!$C$115)+IF('Equipment List &amp; Usage'!$F16="yes",'Equipment List &amp; Usage'!$C$114,'Equipment List &amp; Usage'!$C$115)*(('Weekly Summary'!T$66*'Equipment List &amp; Usage'!$Q17)+('Weekly Summary'!T$64*'Equipment List &amp; Usage'!$O17)+('Weekly Summary'!T$65*'Equipment List &amp; Usage'!$P17))+(IF('Equipment List &amp; Usage'!$F17="Yes",'Equipment List &amp; Usage'!$C$114*((('Weekly Summary'!T$131*SelfQuarantine_Mild)+('Weekly Summary'!T$100*SelfQuarantine_Mild)+('Weekly Summary'!T$101*SelfQuarantine_Moderate))),'Equipment List &amp; Usage'!$C$115)*((('Weekly Summary'!T$131*SelfQuarantine_Mild*'Equipment List &amp; Usage'!$W17)+('Weekly Summary'!T$100*SelfQuarantine_Mild*'Equipment List &amp; Usage'!$X17)+('Weekly Summary'!T$101*SelfQuarantine_Moderate*'Equipment List &amp; Usage'!$X17))))+IF('Equipment List &amp; Usage'!$F17="Yes",'Equipment List &amp; Usage'!$C$114*(IF('Equipment List &amp; Usage'!$AA17&gt;0,'Weekly Summary'!T$128,0)+IF('Equipment List &amp; Usage'!$AB17&gt;0,'Weekly Summary'!T$100+'Weekly Summary'!T$101,0)),'Equipment List &amp; Usage'!$C$115*(('Weekly Summary'!T$128*'Equipment List &amp; Usage'!$AA17)+('Weekly Summary'!T$100*'Equipment List &amp; Usage'!$AB17*SelfQuarantine_Mild)+('Weekly Summary'!T$101*'Equipment List &amp; Usage'!$AB17*SelfQuarantine_Moderate)))+IF('Equipment List &amp; Usage'!$F17="Yes",('Equipment List &amp; Usage'!$C$114*(IF('Equipment List &amp; Usage'!$AE17&gt;0,'Weekly Summary'!T$134,0)+IF('Equipment List &amp; Usage'!$AF17&gt;0,'Weekly Summary'!T$135))),'Equipment List &amp; Usage'!$C$115*(('Weekly Summary'!T$134*'Equipment List &amp; Usage'!$AE17)+('Weekly Summary'!T$135*'Equipment List &amp; Usage'!$AF17)))),0)</f>
        <v>0</v>
      </c>
      <c r="AA15" s="1374">
        <f ca="1">MAX(IF($F15="Yes",(
IF($F15="yes",MMULT(--('Equipment List &amp; Usage'!$J17:$N17&gt;0),--('Weekly Summary'!U$112:U$116))*'Equipment List &amp; Usage'!$C$114,MMULT(--('Equipment List &amp; Usage'!$J17:$N17),--('Weekly Summary'!U$112:U$116))*'Equipment List &amp; Usage'!$C$115)+IF('Equipment List &amp; Usage'!$F16="yes",'Equipment List &amp; Usage'!$C$114,'Equipment List &amp; Usage'!$C$115)*(('Weekly Summary'!U$66*'Equipment List &amp; Usage'!$Q17)+('Weekly Summary'!U$64*'Equipment List &amp; Usage'!$O17)+('Weekly Summary'!U$65*'Equipment List &amp; Usage'!$P17)))+(IF('Equipment List &amp; Usage'!$F17="Yes",'Equipment List &amp; Usage'!$C$114*((('Weekly Summary'!U$131*SelfQuarantine_Mild)+('Weekly Summary'!U$100*SelfQuarantine_Mild)+('Weekly Summary'!U$101*SelfQuarantine_Moderate))),'Equipment List &amp; Usage'!$C$115)*((('Weekly Summary'!U$131*SelfQuarantine_Mild*'Equipment List &amp; Usage'!$W17)+('Weekly Summary'!U$100*SelfQuarantine_Mild*'Equipment List &amp; Usage'!$X17)+('Weekly Summary'!U$101*SelfQuarantine_Moderate*'Equipment List &amp; Usage'!$X17)))+IF('Equipment List &amp; Usage'!$F17="Yes",'Equipment List &amp; Usage'!$C$114*(IF('Equipment List &amp; Usage'!$AA17&gt;0,'Weekly Summary'!U$128,0)+IF('Equipment List &amp; Usage'!$AB17&gt;0,'Weekly Summary'!U$100+'Weekly Summary'!U$101,0)),'Equipment List &amp; Usage'!$C$115*(('Weekly Summary'!U$128*'Equipment List &amp; Usage'!$AA17)+('Weekly Summary'!U$100*'Equipment List &amp; Usage'!$AB17*SelfQuarantine_Mild)+('Weekly Summary'!U$101*'Equipment List &amp; Usage'!$AB17*SelfQuarantine_Moderate)))+IF('Equipment List &amp; Usage'!$F17="Yes",('Equipment List &amp; Usage'!$C$114*(IF('Equipment List &amp; Usage'!$AE17&gt;0,'Weekly Summary'!U$134,0)+IF('Equipment List &amp; Usage'!$AF17&gt;0,'Weekly Summary'!U$135))),'Equipment List &amp; Usage'!$C$115*(('Weekly Summary'!U$134*'Equipment List &amp; Usage'!$AE17)+('Weekly Summary'!U$135*'Equipment List &amp; Usage'!$AF17))))-SUM($I15:Z15),
IF($F15="yes",MMULT(--('Equipment List &amp; Usage'!$J17:$N17&gt;0),--('Weekly Summary'!U$112:U$116))*'Equipment List &amp; Usage'!$C$114,MMULT(--('Equipment List &amp; Usage'!$J17:$N17),--('Weekly Summary'!U$112:U$116))*'Equipment List &amp; Usage'!$C$115)+IF('Equipment List &amp; Usage'!$F16="yes",'Equipment List &amp; Usage'!$C$114,'Equipment List &amp; Usage'!$C$115)*(('Weekly Summary'!U$66*'Equipment List &amp; Usage'!$Q17)+('Weekly Summary'!U$64*'Equipment List &amp; Usage'!$O17)+('Weekly Summary'!U$65*'Equipment List &amp; Usage'!$P17))+(IF('Equipment List &amp; Usage'!$F17="Yes",'Equipment List &amp; Usage'!$C$114*((('Weekly Summary'!U$131*SelfQuarantine_Mild)+('Weekly Summary'!U$100*SelfQuarantine_Mild)+('Weekly Summary'!U$101*SelfQuarantine_Moderate))),'Equipment List &amp; Usage'!$C$115)*((('Weekly Summary'!U$131*SelfQuarantine_Mild*'Equipment List &amp; Usage'!$W17)+('Weekly Summary'!U$100*SelfQuarantine_Mild*'Equipment List &amp; Usage'!$X17)+('Weekly Summary'!U$101*SelfQuarantine_Moderate*'Equipment List &amp; Usage'!$X17))))+IF('Equipment List &amp; Usage'!$F17="Yes",'Equipment List &amp; Usage'!$C$114*(IF('Equipment List &amp; Usage'!$AA17&gt;0,'Weekly Summary'!U$128,0)+IF('Equipment List &amp; Usage'!$AB17&gt;0,'Weekly Summary'!U$100+'Weekly Summary'!U$101,0)),'Equipment List &amp; Usage'!$C$115*(('Weekly Summary'!U$128*'Equipment List &amp; Usage'!$AA17)+('Weekly Summary'!U$100*'Equipment List &amp; Usage'!$AB17*SelfQuarantine_Mild)+('Weekly Summary'!U$101*'Equipment List &amp; Usage'!$AB17*SelfQuarantine_Moderate)))+IF('Equipment List &amp; Usage'!$F17="Yes",('Equipment List &amp; Usage'!$C$114*(IF('Equipment List &amp; Usage'!$AE17&gt;0,'Weekly Summary'!U$134,0)+IF('Equipment List &amp; Usage'!$AF17&gt;0,'Weekly Summary'!U$135))),'Equipment List &amp; Usage'!$C$115*(('Weekly Summary'!U$134*'Equipment List &amp; Usage'!$AE17)+('Weekly Summary'!U$135*'Equipment List &amp; Usage'!$AF17)))),0)</f>
        <v>0</v>
      </c>
      <c r="AB15" s="1374">
        <f ca="1">MAX(IF($F15="Yes",(
IF($F15="yes",MMULT(--('Equipment List &amp; Usage'!$J17:$N17&gt;0),--('Weekly Summary'!V$112:V$116))*'Equipment List &amp; Usage'!$C$114,MMULT(--('Equipment List &amp; Usage'!$J17:$N17),--('Weekly Summary'!V$112:V$116))*'Equipment List &amp; Usage'!$C$115)+IF('Equipment List &amp; Usage'!$F16="yes",'Equipment List &amp; Usage'!$C$114,'Equipment List &amp; Usage'!$C$115)*(('Weekly Summary'!V$66*'Equipment List &amp; Usage'!$Q17)+('Weekly Summary'!V$64*'Equipment List &amp; Usage'!$O17)+('Weekly Summary'!V$65*'Equipment List &amp; Usage'!$P17)))+(IF('Equipment List &amp; Usage'!$F17="Yes",'Equipment List &amp; Usage'!$C$114*((('Weekly Summary'!V$131*SelfQuarantine_Mild)+('Weekly Summary'!V$100*SelfQuarantine_Mild)+('Weekly Summary'!V$101*SelfQuarantine_Moderate))),'Equipment List &amp; Usage'!$C$115)*((('Weekly Summary'!V$131*SelfQuarantine_Mild*'Equipment List &amp; Usage'!$W17)+('Weekly Summary'!V$100*SelfQuarantine_Mild*'Equipment List &amp; Usage'!$X17)+('Weekly Summary'!V$101*SelfQuarantine_Moderate*'Equipment List &amp; Usage'!$X17)))+IF('Equipment List &amp; Usage'!$F17="Yes",'Equipment List &amp; Usage'!$C$114*(IF('Equipment List &amp; Usage'!$AA17&gt;0,'Weekly Summary'!V$128,0)+IF('Equipment List &amp; Usage'!$AB17&gt;0,'Weekly Summary'!V$100+'Weekly Summary'!V$101,0)),'Equipment List &amp; Usage'!$C$115*(('Weekly Summary'!V$128*'Equipment List &amp; Usage'!$AA17)+('Weekly Summary'!V$100*'Equipment List &amp; Usage'!$AB17*SelfQuarantine_Mild)+('Weekly Summary'!V$101*'Equipment List &amp; Usage'!$AB17*SelfQuarantine_Moderate)))+IF('Equipment List &amp; Usage'!$F17="Yes",('Equipment List &amp; Usage'!$C$114*(IF('Equipment List &amp; Usage'!$AE17&gt;0,'Weekly Summary'!V$134,0)+IF('Equipment List &amp; Usage'!$AF17&gt;0,'Weekly Summary'!V$135))),'Equipment List &amp; Usage'!$C$115*(('Weekly Summary'!V$134*'Equipment List &amp; Usage'!$AE17)+('Weekly Summary'!V$135*'Equipment List &amp; Usage'!$AF17))))-SUM($I15:AA15),
IF($F15="yes",MMULT(--('Equipment List &amp; Usage'!$J17:$N17&gt;0),--('Weekly Summary'!V$112:V$116))*'Equipment List &amp; Usage'!$C$114,MMULT(--('Equipment List &amp; Usage'!$J17:$N17),--('Weekly Summary'!V$112:V$116))*'Equipment List &amp; Usage'!$C$115)+IF('Equipment List &amp; Usage'!$F16="yes",'Equipment List &amp; Usage'!$C$114,'Equipment List &amp; Usage'!$C$115)*(('Weekly Summary'!V$66*'Equipment List &amp; Usage'!$Q17)+('Weekly Summary'!V$64*'Equipment List &amp; Usage'!$O17)+('Weekly Summary'!V$65*'Equipment List &amp; Usage'!$P17))+(IF('Equipment List &amp; Usage'!$F17="Yes",'Equipment List &amp; Usage'!$C$114*((('Weekly Summary'!V$131*SelfQuarantine_Mild)+('Weekly Summary'!V$100*SelfQuarantine_Mild)+('Weekly Summary'!V$101*SelfQuarantine_Moderate))),'Equipment List &amp; Usage'!$C$115)*((('Weekly Summary'!V$131*SelfQuarantine_Mild*'Equipment List &amp; Usage'!$W17)+('Weekly Summary'!V$100*SelfQuarantine_Mild*'Equipment List &amp; Usage'!$X17)+('Weekly Summary'!V$101*SelfQuarantine_Moderate*'Equipment List &amp; Usage'!$X17))))+IF('Equipment List &amp; Usage'!$F17="Yes",'Equipment List &amp; Usage'!$C$114*(IF('Equipment List &amp; Usage'!$AA17&gt;0,'Weekly Summary'!V$128,0)+IF('Equipment List &amp; Usage'!$AB17&gt;0,'Weekly Summary'!V$100+'Weekly Summary'!V$101,0)),'Equipment List &amp; Usage'!$C$115*(('Weekly Summary'!V$128*'Equipment List &amp; Usage'!$AA17)+('Weekly Summary'!V$100*'Equipment List &amp; Usage'!$AB17*SelfQuarantine_Mild)+('Weekly Summary'!V$101*'Equipment List &amp; Usage'!$AB17*SelfQuarantine_Moderate)))+IF('Equipment List &amp; Usage'!$F17="Yes",('Equipment List &amp; Usage'!$C$114*(IF('Equipment List &amp; Usage'!$AE17&gt;0,'Weekly Summary'!V$134,0)+IF('Equipment List &amp; Usage'!$AF17&gt;0,'Weekly Summary'!V$135))),'Equipment List &amp; Usage'!$C$115*(('Weekly Summary'!V$134*'Equipment List &amp; Usage'!$AE17)+('Weekly Summary'!V$135*'Equipment List &amp; Usage'!$AF17)))),0)</f>
        <v>0</v>
      </c>
      <c r="AC15" s="1374">
        <f ca="1">MAX(IF($F15="Yes",(
IF($F15="yes",MMULT(--('Equipment List &amp; Usage'!$J17:$N17&gt;0),--('Weekly Summary'!W$112:W$116))*'Equipment List &amp; Usage'!$C$114,MMULT(--('Equipment List &amp; Usage'!$J17:$N17),--('Weekly Summary'!W$112:W$116))*'Equipment List &amp; Usage'!$C$115)+IF('Equipment List &amp; Usage'!$F16="yes",'Equipment List &amp; Usage'!$C$114,'Equipment List &amp; Usage'!$C$115)*(('Weekly Summary'!W$66*'Equipment List &amp; Usage'!$Q17)+('Weekly Summary'!W$64*'Equipment List &amp; Usage'!$O17)+('Weekly Summary'!W$65*'Equipment List &amp; Usage'!$P17)))+(IF('Equipment List &amp; Usage'!$F17="Yes",'Equipment List &amp; Usage'!$C$114*((('Weekly Summary'!W$131*SelfQuarantine_Mild)+('Weekly Summary'!W$100*SelfQuarantine_Mild)+('Weekly Summary'!W$101*SelfQuarantine_Moderate))),'Equipment List &amp; Usage'!$C$115)*((('Weekly Summary'!W$131*SelfQuarantine_Mild*'Equipment List &amp; Usage'!$W17)+('Weekly Summary'!W$100*SelfQuarantine_Mild*'Equipment List &amp; Usage'!$X17)+('Weekly Summary'!W$101*SelfQuarantine_Moderate*'Equipment List &amp; Usage'!$X17)))+IF('Equipment List &amp; Usage'!$F17="Yes",'Equipment List &amp; Usage'!$C$114*(IF('Equipment List &amp; Usage'!$AA17&gt;0,'Weekly Summary'!W$128,0)+IF('Equipment List &amp; Usage'!$AB17&gt;0,'Weekly Summary'!W$100+'Weekly Summary'!W$101,0)),'Equipment List &amp; Usage'!$C$115*(('Weekly Summary'!W$128*'Equipment List &amp; Usage'!$AA17)+('Weekly Summary'!W$100*'Equipment List &amp; Usage'!$AB17*SelfQuarantine_Mild)+('Weekly Summary'!W$101*'Equipment List &amp; Usage'!$AB17*SelfQuarantine_Moderate)))+IF('Equipment List &amp; Usage'!$F17="Yes",('Equipment List &amp; Usage'!$C$114*(IF('Equipment List &amp; Usage'!$AE17&gt;0,'Weekly Summary'!W$134,0)+IF('Equipment List &amp; Usage'!$AF17&gt;0,'Weekly Summary'!W$135))),'Equipment List &amp; Usage'!$C$115*(('Weekly Summary'!W$134*'Equipment List &amp; Usage'!$AE17)+('Weekly Summary'!W$135*'Equipment List &amp; Usage'!$AF17))))-SUM($I15:AB15),
IF($F15="yes",MMULT(--('Equipment List &amp; Usage'!$J17:$N17&gt;0),--('Weekly Summary'!W$112:W$116))*'Equipment List &amp; Usage'!$C$114,MMULT(--('Equipment List &amp; Usage'!$J17:$N17),--('Weekly Summary'!W$112:W$116))*'Equipment List &amp; Usage'!$C$115)+IF('Equipment List &amp; Usage'!$F16="yes",'Equipment List &amp; Usage'!$C$114,'Equipment List &amp; Usage'!$C$115)*(('Weekly Summary'!W$66*'Equipment List &amp; Usage'!$Q17)+('Weekly Summary'!W$64*'Equipment List &amp; Usage'!$O17)+('Weekly Summary'!W$65*'Equipment List &amp; Usage'!$P17))+(IF('Equipment List &amp; Usage'!$F17="Yes",'Equipment List &amp; Usage'!$C$114*((('Weekly Summary'!W$131*SelfQuarantine_Mild)+('Weekly Summary'!W$100*SelfQuarantine_Mild)+('Weekly Summary'!W$101*SelfQuarantine_Moderate))),'Equipment List &amp; Usage'!$C$115)*((('Weekly Summary'!W$131*SelfQuarantine_Mild*'Equipment List &amp; Usage'!$W17)+('Weekly Summary'!W$100*SelfQuarantine_Mild*'Equipment List &amp; Usage'!$X17)+('Weekly Summary'!W$101*SelfQuarantine_Moderate*'Equipment List &amp; Usage'!$X17))))+IF('Equipment List &amp; Usage'!$F17="Yes",'Equipment List &amp; Usage'!$C$114*(IF('Equipment List &amp; Usage'!$AA17&gt;0,'Weekly Summary'!W$128,0)+IF('Equipment List &amp; Usage'!$AB17&gt;0,'Weekly Summary'!W$100+'Weekly Summary'!W$101,0)),'Equipment List &amp; Usage'!$C$115*(('Weekly Summary'!W$128*'Equipment List &amp; Usage'!$AA17)+('Weekly Summary'!W$100*'Equipment List &amp; Usage'!$AB17*SelfQuarantine_Mild)+('Weekly Summary'!W$101*'Equipment List &amp; Usage'!$AB17*SelfQuarantine_Moderate)))+IF('Equipment List &amp; Usage'!$F17="Yes",('Equipment List &amp; Usage'!$C$114*(IF('Equipment List &amp; Usage'!$AE17&gt;0,'Weekly Summary'!W$134,0)+IF('Equipment List &amp; Usage'!$AF17&gt;0,'Weekly Summary'!W$135))),'Equipment List &amp; Usage'!$C$115*(('Weekly Summary'!W$134*'Equipment List &amp; Usage'!$AE17)+('Weekly Summary'!W$135*'Equipment List &amp; Usage'!$AF17)))),0)</f>
        <v>0</v>
      </c>
      <c r="AD15" s="1374">
        <f ca="1">MAX(IF($F15="Yes",(
IF($F15="yes",MMULT(--('Equipment List &amp; Usage'!$J17:$N17&gt;0),--('Weekly Summary'!X$112:X$116))*'Equipment List &amp; Usage'!$C$114,MMULT(--('Equipment List &amp; Usage'!$J17:$N17),--('Weekly Summary'!X$112:X$116))*'Equipment List &amp; Usage'!$C$115)+IF('Equipment List &amp; Usage'!$F16="yes",'Equipment List &amp; Usage'!$C$114,'Equipment List &amp; Usage'!$C$115)*(('Weekly Summary'!X$66*'Equipment List &amp; Usage'!$Q17)+('Weekly Summary'!X$64*'Equipment List &amp; Usage'!$O17)+('Weekly Summary'!X$65*'Equipment List &amp; Usage'!$P17)))+(IF('Equipment List &amp; Usage'!$F17="Yes",'Equipment List &amp; Usage'!$C$114*((('Weekly Summary'!X$131*SelfQuarantine_Mild)+('Weekly Summary'!X$100*SelfQuarantine_Mild)+('Weekly Summary'!X$101*SelfQuarantine_Moderate))),'Equipment List &amp; Usage'!$C$115)*((('Weekly Summary'!X$131*SelfQuarantine_Mild*'Equipment List &amp; Usage'!$W17)+('Weekly Summary'!X$100*SelfQuarantine_Mild*'Equipment List &amp; Usage'!$X17)+('Weekly Summary'!X$101*SelfQuarantine_Moderate*'Equipment List &amp; Usage'!$X17)))+IF('Equipment List &amp; Usage'!$F17="Yes",'Equipment List &amp; Usage'!$C$114*(IF('Equipment List &amp; Usage'!$AA17&gt;0,'Weekly Summary'!X$128,0)+IF('Equipment List &amp; Usage'!$AB17&gt;0,'Weekly Summary'!X$100+'Weekly Summary'!X$101,0)),'Equipment List &amp; Usage'!$C$115*(('Weekly Summary'!X$128*'Equipment List &amp; Usage'!$AA17)+('Weekly Summary'!X$100*'Equipment List &amp; Usage'!$AB17*SelfQuarantine_Mild)+('Weekly Summary'!X$101*'Equipment List &amp; Usage'!$AB17*SelfQuarantine_Moderate)))+IF('Equipment List &amp; Usage'!$F17="Yes",('Equipment List &amp; Usage'!$C$114*(IF('Equipment List &amp; Usage'!$AE17&gt;0,'Weekly Summary'!X$134,0)+IF('Equipment List &amp; Usage'!$AF17&gt;0,'Weekly Summary'!X$135))),'Equipment List &amp; Usage'!$C$115*(('Weekly Summary'!X$134*'Equipment List &amp; Usage'!$AE17)+('Weekly Summary'!X$135*'Equipment List &amp; Usage'!$AF17))))-SUM($I15:AC15),
IF($F15="yes",MMULT(--('Equipment List &amp; Usage'!$J17:$N17&gt;0),--('Weekly Summary'!X$112:X$116))*'Equipment List &amp; Usage'!$C$114,MMULT(--('Equipment List &amp; Usage'!$J17:$N17),--('Weekly Summary'!X$112:X$116))*'Equipment List &amp; Usage'!$C$115)+IF('Equipment List &amp; Usage'!$F16="yes",'Equipment List &amp; Usage'!$C$114,'Equipment List &amp; Usage'!$C$115)*(('Weekly Summary'!X$66*'Equipment List &amp; Usage'!$Q17)+('Weekly Summary'!X$64*'Equipment List &amp; Usage'!$O17)+('Weekly Summary'!X$65*'Equipment List &amp; Usage'!$P17))+(IF('Equipment List &amp; Usage'!$F17="Yes",'Equipment List &amp; Usage'!$C$114*((('Weekly Summary'!X$131*SelfQuarantine_Mild)+('Weekly Summary'!X$100*SelfQuarantine_Mild)+('Weekly Summary'!X$101*SelfQuarantine_Moderate))),'Equipment List &amp; Usage'!$C$115)*((('Weekly Summary'!X$131*SelfQuarantine_Mild*'Equipment List &amp; Usage'!$W17)+('Weekly Summary'!X$100*SelfQuarantine_Mild*'Equipment List &amp; Usage'!$X17)+('Weekly Summary'!X$101*SelfQuarantine_Moderate*'Equipment List &amp; Usage'!$X17))))+IF('Equipment List &amp; Usage'!$F17="Yes",'Equipment List &amp; Usage'!$C$114*(IF('Equipment List &amp; Usage'!$AA17&gt;0,'Weekly Summary'!X$128,0)+IF('Equipment List &amp; Usage'!$AB17&gt;0,'Weekly Summary'!X$100+'Weekly Summary'!X$101,0)),'Equipment List &amp; Usage'!$C$115*(('Weekly Summary'!X$128*'Equipment List &amp; Usage'!$AA17)+('Weekly Summary'!X$100*'Equipment List &amp; Usage'!$AB17*SelfQuarantine_Mild)+('Weekly Summary'!X$101*'Equipment List &amp; Usage'!$AB17*SelfQuarantine_Moderate)))+IF('Equipment List &amp; Usage'!$F17="Yes",('Equipment List &amp; Usage'!$C$114*(IF('Equipment List &amp; Usage'!$AE17&gt;0,'Weekly Summary'!X$134,0)+IF('Equipment List &amp; Usage'!$AF17&gt;0,'Weekly Summary'!X$135))),'Equipment List &amp; Usage'!$C$115*(('Weekly Summary'!X$134*'Equipment List &amp; Usage'!$AE17)+('Weekly Summary'!X$135*'Equipment List &amp; Usage'!$AF17)))),0)</f>
        <v>0</v>
      </c>
      <c r="AE15" s="1374">
        <f ca="1">MAX(IF($F15="Yes",(
IF($F15="yes",MMULT(--('Equipment List &amp; Usage'!$J17:$N17&gt;0),--('Weekly Summary'!Y$112:Y$116))*'Equipment List &amp; Usage'!$C$114,MMULT(--('Equipment List &amp; Usage'!$J17:$N17),--('Weekly Summary'!Y$112:Y$116))*'Equipment List &amp; Usage'!$C$115)+IF('Equipment List &amp; Usage'!$F16="yes",'Equipment List &amp; Usage'!$C$114,'Equipment List &amp; Usage'!$C$115)*(('Weekly Summary'!Y$66*'Equipment List &amp; Usage'!$Q17)+('Weekly Summary'!Y$64*'Equipment List &amp; Usage'!$O17)+('Weekly Summary'!Y$65*'Equipment List &amp; Usage'!$P17)))+(IF('Equipment List &amp; Usage'!$F17="Yes",'Equipment List &amp; Usage'!$C$114*((('Weekly Summary'!Y$131*SelfQuarantine_Mild)+('Weekly Summary'!Y$100*SelfQuarantine_Mild)+('Weekly Summary'!Y$101*SelfQuarantine_Moderate))),'Equipment List &amp; Usage'!$C$115)*((('Weekly Summary'!Y$131*SelfQuarantine_Mild*'Equipment List &amp; Usage'!$W17)+('Weekly Summary'!Y$100*SelfQuarantine_Mild*'Equipment List &amp; Usage'!$X17)+('Weekly Summary'!Y$101*SelfQuarantine_Moderate*'Equipment List &amp; Usage'!$X17)))+IF('Equipment List &amp; Usage'!$F17="Yes",'Equipment List &amp; Usage'!$C$114*(IF('Equipment List &amp; Usage'!$AA17&gt;0,'Weekly Summary'!Y$128,0)+IF('Equipment List &amp; Usage'!$AB17&gt;0,'Weekly Summary'!Y$100+'Weekly Summary'!Y$101,0)),'Equipment List &amp; Usage'!$C$115*(('Weekly Summary'!Y$128*'Equipment List &amp; Usage'!$AA17)+('Weekly Summary'!Y$100*'Equipment List &amp; Usage'!$AB17*SelfQuarantine_Mild)+('Weekly Summary'!Y$101*'Equipment List &amp; Usage'!$AB17*SelfQuarantine_Moderate)))+IF('Equipment List &amp; Usage'!$F17="Yes",('Equipment List &amp; Usage'!$C$114*(IF('Equipment List &amp; Usage'!$AE17&gt;0,'Weekly Summary'!Y$134,0)+IF('Equipment List &amp; Usage'!$AF17&gt;0,'Weekly Summary'!Y$135))),'Equipment List &amp; Usage'!$C$115*(('Weekly Summary'!Y$134*'Equipment List &amp; Usage'!$AE17)+('Weekly Summary'!Y$135*'Equipment List &amp; Usage'!$AF17))))-SUM($I15:AD15),
IF($F15="yes",MMULT(--('Equipment List &amp; Usage'!$J17:$N17&gt;0),--('Weekly Summary'!Y$112:Y$116))*'Equipment List &amp; Usage'!$C$114,MMULT(--('Equipment List &amp; Usage'!$J17:$N17),--('Weekly Summary'!Y$112:Y$116))*'Equipment List &amp; Usage'!$C$115)+IF('Equipment List &amp; Usage'!$F16="yes",'Equipment List &amp; Usage'!$C$114,'Equipment List &amp; Usage'!$C$115)*(('Weekly Summary'!Y$66*'Equipment List &amp; Usage'!$Q17)+('Weekly Summary'!Y$64*'Equipment List &amp; Usage'!$O17)+('Weekly Summary'!Y$65*'Equipment List &amp; Usage'!$P17))+(IF('Equipment List &amp; Usage'!$F17="Yes",'Equipment List &amp; Usage'!$C$114*((('Weekly Summary'!Y$131*SelfQuarantine_Mild)+('Weekly Summary'!Y$100*SelfQuarantine_Mild)+('Weekly Summary'!Y$101*SelfQuarantine_Moderate))),'Equipment List &amp; Usage'!$C$115)*((('Weekly Summary'!Y$131*SelfQuarantine_Mild*'Equipment List &amp; Usage'!$W17)+('Weekly Summary'!Y$100*SelfQuarantine_Mild*'Equipment List &amp; Usage'!$X17)+('Weekly Summary'!Y$101*SelfQuarantine_Moderate*'Equipment List &amp; Usage'!$X17))))+IF('Equipment List &amp; Usage'!$F17="Yes",'Equipment List &amp; Usage'!$C$114*(IF('Equipment List &amp; Usage'!$AA17&gt;0,'Weekly Summary'!Y$128,0)+IF('Equipment List &amp; Usage'!$AB17&gt;0,'Weekly Summary'!Y$100+'Weekly Summary'!Y$101,0)),'Equipment List &amp; Usage'!$C$115*(('Weekly Summary'!Y$128*'Equipment List &amp; Usage'!$AA17)+('Weekly Summary'!Y$100*'Equipment List &amp; Usage'!$AB17*SelfQuarantine_Mild)+('Weekly Summary'!Y$101*'Equipment List &amp; Usage'!$AB17*SelfQuarantine_Moderate)))+IF('Equipment List &amp; Usage'!$F17="Yes",('Equipment List &amp; Usage'!$C$114*(IF('Equipment List &amp; Usage'!$AE17&gt;0,'Weekly Summary'!Y$134,0)+IF('Equipment List &amp; Usage'!$AF17&gt;0,'Weekly Summary'!Y$135))),'Equipment List &amp; Usage'!$C$115*(('Weekly Summary'!Y$134*'Equipment List &amp; Usage'!$AE17)+('Weekly Summary'!Y$135*'Equipment List &amp; Usage'!$AF17)))),0)</f>
        <v>0</v>
      </c>
      <c r="AF15" s="1374">
        <f ca="1">MAX(IF($F15="Yes",(
IF($F15="yes",MMULT(--('Equipment List &amp; Usage'!$J17:$N17&gt;0),--('Weekly Summary'!Z$112:Z$116))*'Equipment List &amp; Usage'!$C$114,MMULT(--('Equipment List &amp; Usage'!$J17:$N17),--('Weekly Summary'!Z$112:Z$116))*'Equipment List &amp; Usage'!$C$115)+IF('Equipment List &amp; Usage'!$F16="yes",'Equipment List &amp; Usage'!$C$114,'Equipment List &amp; Usage'!$C$115)*(('Weekly Summary'!Z$66*'Equipment List &amp; Usage'!$Q17)+('Weekly Summary'!Z$64*'Equipment List &amp; Usage'!$O17)+('Weekly Summary'!Z$65*'Equipment List &amp; Usage'!$P17)))+(IF('Equipment List &amp; Usage'!$F17="Yes",'Equipment List &amp; Usage'!$C$114*((('Weekly Summary'!Z$131*SelfQuarantine_Mild)+('Weekly Summary'!Z$100*SelfQuarantine_Mild)+('Weekly Summary'!Z$101*SelfQuarantine_Moderate))),'Equipment List &amp; Usage'!$C$115)*((('Weekly Summary'!Z$131*SelfQuarantine_Mild*'Equipment List &amp; Usage'!$W17)+('Weekly Summary'!Z$100*SelfQuarantine_Mild*'Equipment List &amp; Usage'!$X17)+('Weekly Summary'!Z$101*SelfQuarantine_Moderate*'Equipment List &amp; Usage'!$X17)))+IF('Equipment List &amp; Usage'!$F17="Yes",'Equipment List &amp; Usage'!$C$114*(IF('Equipment List &amp; Usage'!$AA17&gt;0,'Weekly Summary'!Z$128,0)+IF('Equipment List &amp; Usage'!$AB17&gt;0,'Weekly Summary'!Z$100+'Weekly Summary'!Z$101,0)),'Equipment List &amp; Usage'!$C$115*(('Weekly Summary'!Z$128*'Equipment List &amp; Usage'!$AA17)+('Weekly Summary'!Z$100*'Equipment List &amp; Usage'!$AB17*SelfQuarantine_Mild)+('Weekly Summary'!Z$101*'Equipment List &amp; Usage'!$AB17*SelfQuarantine_Moderate)))+IF('Equipment List &amp; Usage'!$F17="Yes",('Equipment List &amp; Usage'!$C$114*(IF('Equipment List &amp; Usage'!$AE17&gt;0,'Weekly Summary'!Z$134,0)+IF('Equipment List &amp; Usage'!$AF17&gt;0,'Weekly Summary'!Z$135))),'Equipment List &amp; Usage'!$C$115*(('Weekly Summary'!Z$134*'Equipment List &amp; Usage'!$AE17)+('Weekly Summary'!Z$135*'Equipment List &amp; Usage'!$AF17))))-SUM($I15:AE15),
IF($F15="yes",MMULT(--('Equipment List &amp; Usage'!$J17:$N17&gt;0),--('Weekly Summary'!Z$112:Z$116))*'Equipment List &amp; Usage'!$C$114,MMULT(--('Equipment List &amp; Usage'!$J17:$N17),--('Weekly Summary'!Z$112:Z$116))*'Equipment List &amp; Usage'!$C$115)+IF('Equipment List &amp; Usage'!$F16="yes",'Equipment List &amp; Usage'!$C$114,'Equipment List &amp; Usage'!$C$115)*(('Weekly Summary'!Z$66*'Equipment List &amp; Usage'!$Q17)+('Weekly Summary'!Z$64*'Equipment List &amp; Usage'!$O17)+('Weekly Summary'!Z$65*'Equipment List &amp; Usage'!$P17))+(IF('Equipment List &amp; Usage'!$F17="Yes",'Equipment List &amp; Usage'!$C$114*((('Weekly Summary'!Z$131*SelfQuarantine_Mild)+('Weekly Summary'!Z$100*SelfQuarantine_Mild)+('Weekly Summary'!Z$101*SelfQuarantine_Moderate))),'Equipment List &amp; Usage'!$C$115)*((('Weekly Summary'!Z$131*SelfQuarantine_Mild*'Equipment List &amp; Usage'!$W17)+('Weekly Summary'!Z$100*SelfQuarantine_Mild*'Equipment List &amp; Usage'!$X17)+('Weekly Summary'!Z$101*SelfQuarantine_Moderate*'Equipment List &amp; Usage'!$X17))))+IF('Equipment List &amp; Usage'!$F17="Yes",'Equipment List &amp; Usage'!$C$114*(IF('Equipment List &amp; Usage'!$AA17&gt;0,'Weekly Summary'!Z$128,0)+IF('Equipment List &amp; Usage'!$AB17&gt;0,'Weekly Summary'!Z$100+'Weekly Summary'!Z$101,0)),'Equipment List &amp; Usage'!$C$115*(('Weekly Summary'!Z$128*'Equipment List &amp; Usage'!$AA17)+('Weekly Summary'!Z$100*'Equipment List &amp; Usage'!$AB17*SelfQuarantine_Mild)+('Weekly Summary'!Z$101*'Equipment List &amp; Usage'!$AB17*SelfQuarantine_Moderate)))+IF('Equipment List &amp; Usage'!$F17="Yes",('Equipment List &amp; Usage'!$C$114*(IF('Equipment List &amp; Usage'!$AE17&gt;0,'Weekly Summary'!Z$134,0)+IF('Equipment List &amp; Usage'!$AF17&gt;0,'Weekly Summary'!Z$135))),'Equipment List &amp; Usage'!$C$115*(('Weekly Summary'!Z$134*'Equipment List &amp; Usage'!$AE17)+('Weekly Summary'!Z$135*'Equipment List &amp; Usage'!$AF17)))),0)</f>
        <v>0</v>
      </c>
      <c r="AG15" s="1374">
        <f ca="1">MAX(IF($F15="Yes",(
IF($F15="yes",MMULT(--('Equipment List &amp; Usage'!$J17:$N17&gt;0),--('Weekly Summary'!AA$112:AA$116))*'Equipment List &amp; Usage'!$C$114,MMULT(--('Equipment List &amp; Usage'!$J17:$N17),--('Weekly Summary'!AA$112:AA$116))*'Equipment List &amp; Usage'!$C$115)+IF('Equipment List &amp; Usage'!$F16="yes",'Equipment List &amp; Usage'!$C$114,'Equipment List &amp; Usage'!$C$115)*(('Weekly Summary'!AA$66*'Equipment List &amp; Usage'!$Q17)+('Weekly Summary'!AA$64*'Equipment List &amp; Usage'!$O17)+('Weekly Summary'!AA$65*'Equipment List &amp; Usage'!$P17)))+(IF('Equipment List &amp; Usage'!$F17="Yes",'Equipment List &amp; Usage'!$C$114*((('Weekly Summary'!AA$131*SelfQuarantine_Mild)+('Weekly Summary'!AA$100*SelfQuarantine_Mild)+('Weekly Summary'!AA$101*SelfQuarantine_Moderate))),'Equipment List &amp; Usage'!$C$115)*((('Weekly Summary'!AA$131*SelfQuarantine_Mild*'Equipment List &amp; Usage'!$W17)+('Weekly Summary'!AA$100*SelfQuarantine_Mild*'Equipment List &amp; Usage'!$X17)+('Weekly Summary'!AA$101*SelfQuarantine_Moderate*'Equipment List &amp; Usage'!$X17)))+IF('Equipment List &amp; Usage'!$F17="Yes",'Equipment List &amp; Usage'!$C$114*(IF('Equipment List &amp; Usage'!$AA17&gt;0,'Weekly Summary'!AA$128,0)+IF('Equipment List &amp; Usage'!$AB17&gt;0,'Weekly Summary'!AA$100+'Weekly Summary'!AA$101,0)),'Equipment List &amp; Usage'!$C$115*(('Weekly Summary'!AA$128*'Equipment List &amp; Usage'!$AA17)+('Weekly Summary'!AA$100*'Equipment List &amp; Usage'!$AB17*SelfQuarantine_Mild)+('Weekly Summary'!AA$101*'Equipment List &amp; Usage'!$AB17*SelfQuarantine_Moderate)))+IF('Equipment List &amp; Usage'!$F17="Yes",('Equipment List &amp; Usage'!$C$114*(IF('Equipment List &amp; Usage'!$AE17&gt;0,'Weekly Summary'!AA$134,0)+IF('Equipment List &amp; Usage'!$AF17&gt;0,'Weekly Summary'!AA$135))),'Equipment List &amp; Usage'!$C$115*(('Weekly Summary'!AA$134*'Equipment List &amp; Usage'!$AE17)+('Weekly Summary'!AA$135*'Equipment List &amp; Usage'!$AF17))))-SUM($I15:AF15),
IF($F15="yes",MMULT(--('Equipment List &amp; Usage'!$J17:$N17&gt;0),--('Weekly Summary'!AA$112:AA$116))*'Equipment List &amp; Usage'!$C$114,MMULT(--('Equipment List &amp; Usage'!$J17:$N17),--('Weekly Summary'!AA$112:AA$116))*'Equipment List &amp; Usage'!$C$115)+IF('Equipment List &amp; Usage'!$F16="yes",'Equipment List &amp; Usage'!$C$114,'Equipment List &amp; Usage'!$C$115)*(('Weekly Summary'!AA$66*'Equipment List &amp; Usage'!$Q17)+('Weekly Summary'!AA$64*'Equipment List &amp; Usage'!$O17)+('Weekly Summary'!AA$65*'Equipment List &amp; Usage'!$P17))+(IF('Equipment List &amp; Usage'!$F17="Yes",'Equipment List &amp; Usage'!$C$114*((('Weekly Summary'!AA$131*SelfQuarantine_Mild)+('Weekly Summary'!AA$100*SelfQuarantine_Mild)+('Weekly Summary'!AA$101*SelfQuarantine_Moderate))),'Equipment List &amp; Usage'!$C$115)*((('Weekly Summary'!AA$131*SelfQuarantine_Mild*'Equipment List &amp; Usage'!$W17)+('Weekly Summary'!AA$100*SelfQuarantine_Mild*'Equipment List &amp; Usage'!$X17)+('Weekly Summary'!AA$101*SelfQuarantine_Moderate*'Equipment List &amp; Usage'!$X17))))+IF('Equipment List &amp; Usage'!$F17="Yes",'Equipment List &amp; Usage'!$C$114*(IF('Equipment List &amp; Usage'!$AA17&gt;0,'Weekly Summary'!AA$128,0)+IF('Equipment List &amp; Usage'!$AB17&gt;0,'Weekly Summary'!AA$100+'Weekly Summary'!AA$101,0)),'Equipment List &amp; Usage'!$C$115*(('Weekly Summary'!AA$128*'Equipment List &amp; Usage'!$AA17)+('Weekly Summary'!AA$100*'Equipment List &amp; Usage'!$AB17*SelfQuarantine_Mild)+('Weekly Summary'!AA$101*'Equipment List &amp; Usage'!$AB17*SelfQuarantine_Moderate)))+IF('Equipment List &amp; Usage'!$F17="Yes",('Equipment List &amp; Usage'!$C$114*(IF('Equipment List &amp; Usage'!$AE17&gt;0,'Weekly Summary'!AA$134,0)+IF('Equipment List &amp; Usage'!$AF17&gt;0,'Weekly Summary'!AA$135))),'Equipment List &amp; Usage'!$C$115*(('Weekly Summary'!AA$134*'Equipment List &amp; Usage'!$AE17)+('Weekly Summary'!AA$135*'Equipment List &amp; Usage'!$AF17)))),0)</f>
        <v>0</v>
      </c>
      <c r="AH15" s="1374">
        <f ca="1">MAX(IF($F15="Yes",(
IF($F15="yes",MMULT(--('Equipment List &amp; Usage'!$J17:$N17&gt;0),--('Weekly Summary'!AB$112:AB$116))*'Equipment List &amp; Usage'!$C$114,MMULT(--('Equipment List &amp; Usage'!$J17:$N17),--('Weekly Summary'!AB$112:AB$116))*'Equipment List &amp; Usage'!$C$115)+IF('Equipment List &amp; Usage'!$F16="yes",'Equipment List &amp; Usage'!$C$114,'Equipment List &amp; Usage'!$C$115)*(('Weekly Summary'!AB$66*'Equipment List &amp; Usage'!$Q17)+('Weekly Summary'!AB$64*'Equipment List &amp; Usage'!$O17)+('Weekly Summary'!AB$65*'Equipment List &amp; Usage'!$P17)))+(IF('Equipment List &amp; Usage'!$F17="Yes",'Equipment List &amp; Usage'!$C$114*((('Weekly Summary'!AB$131*SelfQuarantine_Mild)+('Weekly Summary'!AB$100*SelfQuarantine_Mild)+('Weekly Summary'!AB$101*SelfQuarantine_Moderate))),'Equipment List &amp; Usage'!$C$115)*((('Weekly Summary'!AB$131*SelfQuarantine_Mild*'Equipment List &amp; Usage'!$W17)+('Weekly Summary'!AB$100*SelfQuarantine_Mild*'Equipment List &amp; Usage'!$X17)+('Weekly Summary'!AB$101*SelfQuarantine_Moderate*'Equipment List &amp; Usage'!$X17)))+IF('Equipment List &amp; Usage'!$F17="Yes",'Equipment List &amp; Usage'!$C$114*(IF('Equipment List &amp; Usage'!$AA17&gt;0,'Weekly Summary'!AB$128,0)+IF('Equipment List &amp; Usage'!$AB17&gt;0,'Weekly Summary'!AB$100+'Weekly Summary'!AB$101,0)),'Equipment List &amp; Usage'!$C$115*(('Weekly Summary'!AB$128*'Equipment List &amp; Usage'!$AA17)+('Weekly Summary'!AB$100*'Equipment List &amp; Usage'!$AB17*SelfQuarantine_Mild)+('Weekly Summary'!AB$101*'Equipment List &amp; Usage'!$AB17*SelfQuarantine_Moderate)))+IF('Equipment List &amp; Usage'!$F17="Yes",('Equipment List &amp; Usage'!$C$114*(IF('Equipment List &amp; Usage'!$AE17&gt;0,'Weekly Summary'!AB$134,0)+IF('Equipment List &amp; Usage'!$AF17&gt;0,'Weekly Summary'!AB$135))),'Equipment List &amp; Usage'!$C$115*(('Weekly Summary'!AB$134*'Equipment List &amp; Usage'!$AE17)+('Weekly Summary'!AB$135*'Equipment List &amp; Usage'!$AF17))))-SUM($I15:AG15),
IF($F15="yes",MMULT(--('Equipment List &amp; Usage'!$J17:$N17&gt;0),--('Weekly Summary'!AB$112:AB$116))*'Equipment List &amp; Usage'!$C$114,MMULT(--('Equipment List &amp; Usage'!$J17:$N17),--('Weekly Summary'!AB$112:AB$116))*'Equipment List &amp; Usage'!$C$115)+IF('Equipment List &amp; Usage'!$F16="yes",'Equipment List &amp; Usage'!$C$114,'Equipment List &amp; Usage'!$C$115)*(('Weekly Summary'!AB$66*'Equipment List &amp; Usage'!$Q17)+('Weekly Summary'!AB$64*'Equipment List &amp; Usage'!$O17)+('Weekly Summary'!AB$65*'Equipment List &amp; Usage'!$P17))+(IF('Equipment List &amp; Usage'!$F17="Yes",'Equipment List &amp; Usage'!$C$114*((('Weekly Summary'!AB$131*SelfQuarantine_Mild)+('Weekly Summary'!AB$100*SelfQuarantine_Mild)+('Weekly Summary'!AB$101*SelfQuarantine_Moderate))),'Equipment List &amp; Usage'!$C$115)*((('Weekly Summary'!AB$131*SelfQuarantine_Mild*'Equipment List &amp; Usage'!$W17)+('Weekly Summary'!AB$100*SelfQuarantine_Mild*'Equipment List &amp; Usage'!$X17)+('Weekly Summary'!AB$101*SelfQuarantine_Moderate*'Equipment List &amp; Usage'!$X17))))+IF('Equipment List &amp; Usage'!$F17="Yes",'Equipment List &amp; Usage'!$C$114*(IF('Equipment List &amp; Usage'!$AA17&gt;0,'Weekly Summary'!AB$128,0)+IF('Equipment List &amp; Usage'!$AB17&gt;0,'Weekly Summary'!AB$100+'Weekly Summary'!AB$101,0)),'Equipment List &amp; Usage'!$C$115*(('Weekly Summary'!AB$128*'Equipment List &amp; Usage'!$AA17)+('Weekly Summary'!AB$100*'Equipment List &amp; Usage'!$AB17*SelfQuarantine_Mild)+('Weekly Summary'!AB$101*'Equipment List &amp; Usage'!$AB17*SelfQuarantine_Moderate)))+IF('Equipment List &amp; Usage'!$F17="Yes",('Equipment List &amp; Usage'!$C$114*(IF('Equipment List &amp; Usage'!$AE17&gt;0,'Weekly Summary'!AB$134,0)+IF('Equipment List &amp; Usage'!$AF17&gt;0,'Weekly Summary'!AB$135))),'Equipment List &amp; Usage'!$C$115*(('Weekly Summary'!AB$134*'Equipment List &amp; Usage'!$AE17)+('Weekly Summary'!AB$135*'Equipment List &amp; Usage'!$AF17)))),0)</f>
        <v>0</v>
      </c>
      <c r="AI15" s="1374">
        <f ca="1">MAX(IF($F15="Yes",(
IF($F15="yes",MMULT(--('Equipment List &amp; Usage'!$J17:$N17&gt;0),--('Weekly Summary'!AC$112:AC$116))*'Equipment List &amp; Usage'!$C$114,MMULT(--('Equipment List &amp; Usage'!$J17:$N17),--('Weekly Summary'!AC$112:AC$116))*'Equipment List &amp; Usage'!$C$115)+IF('Equipment List &amp; Usage'!$F16="yes",'Equipment List &amp; Usage'!$C$114,'Equipment List &amp; Usage'!$C$115)*(('Weekly Summary'!AC$66*'Equipment List &amp; Usage'!$Q17)+('Weekly Summary'!AC$64*'Equipment List &amp; Usage'!$O17)+('Weekly Summary'!AC$65*'Equipment List &amp; Usage'!$P17)))+(IF('Equipment List &amp; Usage'!$F17="Yes",'Equipment List &amp; Usage'!$C$114*((('Weekly Summary'!AC$131*SelfQuarantine_Mild)+('Weekly Summary'!AC$100*SelfQuarantine_Mild)+('Weekly Summary'!AC$101*SelfQuarantine_Moderate))),'Equipment List &amp; Usage'!$C$115)*((('Weekly Summary'!AC$131*SelfQuarantine_Mild*'Equipment List &amp; Usage'!$W17)+('Weekly Summary'!AC$100*SelfQuarantine_Mild*'Equipment List &amp; Usage'!$X17)+('Weekly Summary'!AC$101*SelfQuarantine_Moderate*'Equipment List &amp; Usage'!$X17)))+IF('Equipment List &amp; Usage'!$F17="Yes",'Equipment List &amp; Usage'!$C$114*(IF('Equipment List &amp; Usage'!$AA17&gt;0,'Weekly Summary'!AC$128,0)+IF('Equipment List &amp; Usage'!$AB17&gt;0,'Weekly Summary'!AC$100+'Weekly Summary'!AC$101,0)),'Equipment List &amp; Usage'!$C$115*(('Weekly Summary'!AC$128*'Equipment List &amp; Usage'!$AA17)+('Weekly Summary'!AC$100*'Equipment List &amp; Usage'!$AB17*SelfQuarantine_Mild)+('Weekly Summary'!AC$101*'Equipment List &amp; Usage'!$AB17*SelfQuarantine_Moderate)))+IF('Equipment List &amp; Usage'!$F17="Yes",('Equipment List &amp; Usage'!$C$114*(IF('Equipment List &amp; Usage'!$AE17&gt;0,'Weekly Summary'!AC$134,0)+IF('Equipment List &amp; Usage'!$AF17&gt;0,'Weekly Summary'!AC$135))),'Equipment List &amp; Usage'!$C$115*(('Weekly Summary'!AC$134*'Equipment List &amp; Usage'!$AE17)+('Weekly Summary'!AC$135*'Equipment List &amp; Usage'!$AF17))))-SUM($I15:AH15),
IF($F15="yes",MMULT(--('Equipment List &amp; Usage'!$J17:$N17&gt;0),--('Weekly Summary'!AC$112:AC$116))*'Equipment List &amp; Usage'!$C$114,MMULT(--('Equipment List &amp; Usage'!$J17:$N17),--('Weekly Summary'!AC$112:AC$116))*'Equipment List &amp; Usage'!$C$115)+IF('Equipment List &amp; Usage'!$F16="yes",'Equipment List &amp; Usage'!$C$114,'Equipment List &amp; Usage'!$C$115)*(('Weekly Summary'!AC$66*'Equipment List &amp; Usage'!$Q17)+('Weekly Summary'!AC$64*'Equipment List &amp; Usage'!$O17)+('Weekly Summary'!AC$65*'Equipment List &amp; Usage'!$P17))+(IF('Equipment List &amp; Usage'!$F17="Yes",'Equipment List &amp; Usage'!$C$114*((('Weekly Summary'!AC$131*SelfQuarantine_Mild)+('Weekly Summary'!AC$100*SelfQuarantine_Mild)+('Weekly Summary'!AC$101*SelfQuarantine_Moderate))),'Equipment List &amp; Usage'!$C$115)*((('Weekly Summary'!AC$131*SelfQuarantine_Mild*'Equipment List &amp; Usage'!$W17)+('Weekly Summary'!AC$100*SelfQuarantine_Mild*'Equipment List &amp; Usage'!$X17)+('Weekly Summary'!AC$101*SelfQuarantine_Moderate*'Equipment List &amp; Usage'!$X17))))+IF('Equipment List &amp; Usage'!$F17="Yes",'Equipment List &amp; Usage'!$C$114*(IF('Equipment List &amp; Usage'!$AA17&gt;0,'Weekly Summary'!AC$128,0)+IF('Equipment List &amp; Usage'!$AB17&gt;0,'Weekly Summary'!AC$100+'Weekly Summary'!AC$101,0)),'Equipment List &amp; Usage'!$C$115*(('Weekly Summary'!AC$128*'Equipment List &amp; Usage'!$AA17)+('Weekly Summary'!AC$100*'Equipment List &amp; Usage'!$AB17*SelfQuarantine_Mild)+('Weekly Summary'!AC$101*'Equipment List &amp; Usage'!$AB17*SelfQuarantine_Moderate)))+IF('Equipment List &amp; Usage'!$F17="Yes",('Equipment List &amp; Usage'!$C$114*(IF('Equipment List &amp; Usage'!$AE17&gt;0,'Weekly Summary'!AC$134,0)+IF('Equipment List &amp; Usage'!$AF17&gt;0,'Weekly Summary'!AC$135))),'Equipment List &amp; Usage'!$C$115*(('Weekly Summary'!AC$134*'Equipment List &amp; Usage'!$AE17)+('Weekly Summary'!AC$135*'Equipment List &amp; Usage'!$AF17)))),0)</f>
        <v>0</v>
      </c>
      <c r="AJ15" s="1374">
        <f ca="1">MAX(IF($F15="Yes",(
IF($F15="yes",MMULT(--('Equipment List &amp; Usage'!$J17:$N17&gt;0),--('Weekly Summary'!AD$112:AD$116))*'Equipment List &amp; Usage'!$C$114,MMULT(--('Equipment List &amp; Usage'!$J17:$N17),--('Weekly Summary'!AD$112:AD$116))*'Equipment List &amp; Usage'!$C$115)+IF('Equipment List &amp; Usage'!$F16="yes",'Equipment List &amp; Usage'!$C$114,'Equipment List &amp; Usage'!$C$115)*(('Weekly Summary'!AD$66*'Equipment List &amp; Usage'!$Q17)+('Weekly Summary'!AD$64*'Equipment List &amp; Usage'!$O17)+('Weekly Summary'!AD$65*'Equipment List &amp; Usage'!$P17)))+(IF('Equipment List &amp; Usage'!$F17="Yes",'Equipment List &amp; Usage'!$C$114*((('Weekly Summary'!AD$131*SelfQuarantine_Mild)+('Weekly Summary'!AD$100*SelfQuarantine_Mild)+('Weekly Summary'!AD$101*SelfQuarantine_Moderate))),'Equipment List &amp; Usage'!$C$115)*((('Weekly Summary'!AD$131*SelfQuarantine_Mild*'Equipment List &amp; Usage'!$W17)+('Weekly Summary'!AD$100*SelfQuarantine_Mild*'Equipment List &amp; Usage'!$X17)+('Weekly Summary'!AD$101*SelfQuarantine_Moderate*'Equipment List &amp; Usage'!$X17)))+IF('Equipment List &amp; Usage'!$F17="Yes",'Equipment List &amp; Usage'!$C$114*(IF('Equipment List &amp; Usage'!$AA17&gt;0,'Weekly Summary'!AD$128,0)+IF('Equipment List &amp; Usage'!$AB17&gt;0,'Weekly Summary'!AD$100+'Weekly Summary'!AD$101,0)),'Equipment List &amp; Usage'!$C$115*(('Weekly Summary'!AD$128*'Equipment List &amp; Usage'!$AA17)+('Weekly Summary'!AD$100*'Equipment List &amp; Usage'!$AB17*SelfQuarantine_Mild)+('Weekly Summary'!AD$101*'Equipment List &amp; Usage'!$AB17*SelfQuarantine_Moderate)))+IF('Equipment List &amp; Usage'!$F17="Yes",('Equipment List &amp; Usage'!$C$114*(IF('Equipment List &amp; Usage'!$AE17&gt;0,'Weekly Summary'!AD$134,0)+IF('Equipment List &amp; Usage'!$AF17&gt;0,'Weekly Summary'!AD$135))),'Equipment List &amp; Usage'!$C$115*(('Weekly Summary'!AD$134*'Equipment List &amp; Usage'!$AE17)+('Weekly Summary'!AD$135*'Equipment List &amp; Usage'!$AF17))))-SUM($I15:AI15),
IF($F15="yes",MMULT(--('Equipment List &amp; Usage'!$J17:$N17&gt;0),--('Weekly Summary'!AD$112:AD$116))*'Equipment List &amp; Usage'!$C$114,MMULT(--('Equipment List &amp; Usage'!$J17:$N17),--('Weekly Summary'!AD$112:AD$116))*'Equipment List &amp; Usage'!$C$115)+IF('Equipment List &amp; Usage'!$F16="yes",'Equipment List &amp; Usage'!$C$114,'Equipment List &amp; Usage'!$C$115)*(('Weekly Summary'!AD$66*'Equipment List &amp; Usage'!$Q17)+('Weekly Summary'!AD$64*'Equipment List &amp; Usage'!$O17)+('Weekly Summary'!AD$65*'Equipment List &amp; Usage'!$P17))+(IF('Equipment List &amp; Usage'!$F17="Yes",'Equipment List &amp; Usage'!$C$114*((('Weekly Summary'!AD$131*SelfQuarantine_Mild)+('Weekly Summary'!AD$100*SelfQuarantine_Mild)+('Weekly Summary'!AD$101*SelfQuarantine_Moderate))),'Equipment List &amp; Usage'!$C$115)*((('Weekly Summary'!AD$131*SelfQuarantine_Mild*'Equipment List &amp; Usage'!$W17)+('Weekly Summary'!AD$100*SelfQuarantine_Mild*'Equipment List &amp; Usage'!$X17)+('Weekly Summary'!AD$101*SelfQuarantine_Moderate*'Equipment List &amp; Usage'!$X17))))+IF('Equipment List &amp; Usage'!$F17="Yes",'Equipment List &amp; Usage'!$C$114*(IF('Equipment List &amp; Usage'!$AA17&gt;0,'Weekly Summary'!AD$128,0)+IF('Equipment List &amp; Usage'!$AB17&gt;0,'Weekly Summary'!AD$100+'Weekly Summary'!AD$101,0)),'Equipment List &amp; Usage'!$C$115*(('Weekly Summary'!AD$128*'Equipment List &amp; Usage'!$AA17)+('Weekly Summary'!AD$100*'Equipment List &amp; Usage'!$AB17*SelfQuarantine_Mild)+('Weekly Summary'!AD$101*'Equipment List &amp; Usage'!$AB17*SelfQuarantine_Moderate)))+IF('Equipment List &amp; Usage'!$F17="Yes",('Equipment List &amp; Usage'!$C$114*(IF('Equipment List &amp; Usage'!$AE17&gt;0,'Weekly Summary'!AD$134,0)+IF('Equipment List &amp; Usage'!$AF17&gt;0,'Weekly Summary'!AD$135))),'Equipment List &amp; Usage'!$C$115*(('Weekly Summary'!AD$134*'Equipment List &amp; Usage'!$AE17)+('Weekly Summary'!AD$135*'Equipment List &amp; Usage'!$AF17)))),0)</f>
        <v>0</v>
      </c>
      <c r="AK15" s="1374">
        <f ca="1">MAX(IF($F15="Yes",(
IF($F15="yes",MMULT(--('Equipment List &amp; Usage'!$J17:$N17&gt;0),--('Weekly Summary'!AE$112:AE$116))*'Equipment List &amp; Usage'!$C$114,MMULT(--('Equipment List &amp; Usage'!$J17:$N17),--('Weekly Summary'!AE$112:AE$116))*'Equipment List &amp; Usage'!$C$115)+IF('Equipment List &amp; Usage'!$F16="yes",'Equipment List &amp; Usage'!$C$114,'Equipment List &amp; Usage'!$C$115)*(('Weekly Summary'!AE$66*'Equipment List &amp; Usage'!$Q17)+('Weekly Summary'!AE$64*'Equipment List &amp; Usage'!$O17)+('Weekly Summary'!AE$65*'Equipment List &amp; Usage'!$P17)))+(IF('Equipment List &amp; Usage'!$F17="Yes",'Equipment List &amp; Usage'!$C$114*((('Weekly Summary'!AE$131*SelfQuarantine_Mild)+('Weekly Summary'!AE$100*SelfQuarantine_Mild)+('Weekly Summary'!AE$101*SelfQuarantine_Moderate))),'Equipment List &amp; Usage'!$C$115)*((('Weekly Summary'!AE$131*SelfQuarantine_Mild*'Equipment List &amp; Usage'!$W17)+('Weekly Summary'!AE$100*SelfQuarantine_Mild*'Equipment List &amp; Usage'!$X17)+('Weekly Summary'!AE$101*SelfQuarantine_Moderate*'Equipment List &amp; Usage'!$X17)))+IF('Equipment List &amp; Usage'!$F17="Yes",'Equipment List &amp; Usage'!$C$114*(IF('Equipment List &amp; Usage'!$AA17&gt;0,'Weekly Summary'!AE$128,0)+IF('Equipment List &amp; Usage'!$AB17&gt;0,'Weekly Summary'!AE$100+'Weekly Summary'!AE$101,0)),'Equipment List &amp; Usage'!$C$115*(('Weekly Summary'!AE$128*'Equipment List &amp; Usage'!$AA17)+('Weekly Summary'!AE$100*'Equipment List &amp; Usage'!$AB17*SelfQuarantine_Mild)+('Weekly Summary'!AE$101*'Equipment List &amp; Usage'!$AB17*SelfQuarantine_Moderate)))+IF('Equipment List &amp; Usage'!$F17="Yes",('Equipment List &amp; Usage'!$C$114*(IF('Equipment List &amp; Usage'!$AE17&gt;0,'Weekly Summary'!AE$134,0)+IF('Equipment List &amp; Usage'!$AF17&gt;0,'Weekly Summary'!AE$135))),'Equipment List &amp; Usage'!$C$115*(('Weekly Summary'!AE$134*'Equipment List &amp; Usage'!$AE17)+('Weekly Summary'!AE$135*'Equipment List &amp; Usage'!$AF17))))-SUM($I15:AJ15),
IF($F15="yes",MMULT(--('Equipment List &amp; Usage'!$J17:$N17&gt;0),--('Weekly Summary'!AE$112:AE$116))*'Equipment List &amp; Usage'!$C$114,MMULT(--('Equipment List &amp; Usage'!$J17:$N17),--('Weekly Summary'!AE$112:AE$116))*'Equipment List &amp; Usage'!$C$115)+IF('Equipment List &amp; Usage'!$F16="yes",'Equipment List &amp; Usage'!$C$114,'Equipment List &amp; Usage'!$C$115)*(('Weekly Summary'!AE$66*'Equipment List &amp; Usage'!$Q17)+('Weekly Summary'!AE$64*'Equipment List &amp; Usage'!$O17)+('Weekly Summary'!AE$65*'Equipment List &amp; Usage'!$P17))+(IF('Equipment List &amp; Usage'!$F17="Yes",'Equipment List &amp; Usage'!$C$114*((('Weekly Summary'!AE$131*SelfQuarantine_Mild)+('Weekly Summary'!AE$100*SelfQuarantine_Mild)+('Weekly Summary'!AE$101*SelfQuarantine_Moderate))),'Equipment List &amp; Usage'!$C$115)*((('Weekly Summary'!AE$131*SelfQuarantine_Mild*'Equipment List &amp; Usage'!$W17)+('Weekly Summary'!AE$100*SelfQuarantine_Mild*'Equipment List &amp; Usage'!$X17)+('Weekly Summary'!AE$101*SelfQuarantine_Moderate*'Equipment List &amp; Usage'!$X17))))+IF('Equipment List &amp; Usage'!$F17="Yes",'Equipment List &amp; Usage'!$C$114*(IF('Equipment List &amp; Usage'!$AA17&gt;0,'Weekly Summary'!AE$128,0)+IF('Equipment List &amp; Usage'!$AB17&gt;0,'Weekly Summary'!AE$100+'Weekly Summary'!AE$101,0)),'Equipment List &amp; Usage'!$C$115*(('Weekly Summary'!AE$128*'Equipment List &amp; Usage'!$AA17)+('Weekly Summary'!AE$100*'Equipment List &amp; Usage'!$AB17*SelfQuarantine_Mild)+('Weekly Summary'!AE$101*'Equipment List &amp; Usage'!$AB17*SelfQuarantine_Moderate)))+IF('Equipment List &amp; Usage'!$F17="Yes",('Equipment List &amp; Usage'!$C$114*(IF('Equipment List &amp; Usage'!$AE17&gt;0,'Weekly Summary'!AE$134,0)+IF('Equipment List &amp; Usage'!$AF17&gt;0,'Weekly Summary'!AE$135))),'Equipment List &amp; Usage'!$C$115*(('Weekly Summary'!AE$134*'Equipment List &amp; Usage'!$AE17)+('Weekly Summary'!AE$135*'Equipment List &amp; Usage'!$AF17)))),0)</f>
        <v>0</v>
      </c>
      <c r="AL15" s="1374">
        <f ca="1">MAX(IF($F15="Yes",(
IF($F15="yes",MMULT(--('Equipment List &amp; Usage'!$J17:$N17&gt;0),--('Weekly Summary'!AF$112:AF$116))*'Equipment List &amp; Usage'!$C$114,MMULT(--('Equipment List &amp; Usage'!$J17:$N17),--('Weekly Summary'!AF$112:AF$116))*'Equipment List &amp; Usage'!$C$115)+IF('Equipment List &amp; Usage'!$F16="yes",'Equipment List &amp; Usage'!$C$114,'Equipment List &amp; Usage'!$C$115)*(('Weekly Summary'!AF$66*'Equipment List &amp; Usage'!$Q17)+('Weekly Summary'!AF$64*'Equipment List &amp; Usage'!$O17)+('Weekly Summary'!AF$65*'Equipment List &amp; Usage'!$P17)))+(IF('Equipment List &amp; Usage'!$F17="Yes",'Equipment List &amp; Usage'!$C$114*((('Weekly Summary'!AF$131*SelfQuarantine_Mild)+('Weekly Summary'!AF$100*SelfQuarantine_Mild)+('Weekly Summary'!AF$101*SelfQuarantine_Moderate))),'Equipment List &amp; Usage'!$C$115)*((('Weekly Summary'!AF$131*SelfQuarantine_Mild*'Equipment List &amp; Usage'!$W17)+('Weekly Summary'!AF$100*SelfQuarantine_Mild*'Equipment List &amp; Usage'!$X17)+('Weekly Summary'!AF$101*SelfQuarantine_Moderate*'Equipment List &amp; Usage'!$X17)))+IF('Equipment List &amp; Usage'!$F17="Yes",'Equipment List &amp; Usage'!$C$114*(IF('Equipment List &amp; Usage'!$AA17&gt;0,'Weekly Summary'!AF$128,0)+IF('Equipment List &amp; Usage'!$AB17&gt;0,'Weekly Summary'!AF$100+'Weekly Summary'!AF$101,0)),'Equipment List &amp; Usage'!$C$115*(('Weekly Summary'!AF$128*'Equipment List &amp; Usage'!$AA17)+('Weekly Summary'!AF$100*'Equipment List &amp; Usage'!$AB17*SelfQuarantine_Mild)+('Weekly Summary'!AF$101*'Equipment List &amp; Usage'!$AB17*SelfQuarantine_Moderate)))+IF('Equipment List &amp; Usage'!$F17="Yes",('Equipment List &amp; Usage'!$C$114*(IF('Equipment List &amp; Usage'!$AE17&gt;0,'Weekly Summary'!AF$134,0)+IF('Equipment List &amp; Usage'!$AF17&gt;0,'Weekly Summary'!AF$135))),'Equipment List &amp; Usage'!$C$115*(('Weekly Summary'!AF$134*'Equipment List &amp; Usage'!$AE17)+('Weekly Summary'!AF$135*'Equipment List &amp; Usage'!$AF17))))-SUM($I15:AK15),
IF($F15="yes",MMULT(--('Equipment List &amp; Usage'!$J17:$N17&gt;0),--('Weekly Summary'!AF$112:AF$116))*'Equipment List &amp; Usage'!$C$114,MMULT(--('Equipment List &amp; Usage'!$J17:$N17),--('Weekly Summary'!AF$112:AF$116))*'Equipment List &amp; Usage'!$C$115)+IF('Equipment List &amp; Usage'!$F16="yes",'Equipment List &amp; Usage'!$C$114,'Equipment List &amp; Usage'!$C$115)*(('Weekly Summary'!AF$66*'Equipment List &amp; Usage'!$Q17)+('Weekly Summary'!AF$64*'Equipment List &amp; Usage'!$O17)+('Weekly Summary'!AF$65*'Equipment List &amp; Usage'!$P17))+(IF('Equipment List &amp; Usage'!$F17="Yes",'Equipment List &amp; Usage'!$C$114*((('Weekly Summary'!AF$131*SelfQuarantine_Mild)+('Weekly Summary'!AF$100*SelfQuarantine_Mild)+('Weekly Summary'!AF$101*SelfQuarantine_Moderate))),'Equipment List &amp; Usage'!$C$115)*((('Weekly Summary'!AF$131*SelfQuarantine_Mild*'Equipment List &amp; Usage'!$W17)+('Weekly Summary'!AF$100*SelfQuarantine_Mild*'Equipment List &amp; Usage'!$X17)+('Weekly Summary'!AF$101*SelfQuarantine_Moderate*'Equipment List &amp; Usage'!$X17))))+IF('Equipment List &amp; Usage'!$F17="Yes",'Equipment List &amp; Usage'!$C$114*(IF('Equipment List &amp; Usage'!$AA17&gt;0,'Weekly Summary'!AF$128,0)+IF('Equipment List &amp; Usage'!$AB17&gt;0,'Weekly Summary'!AF$100+'Weekly Summary'!AF$101,0)),'Equipment List &amp; Usage'!$C$115*(('Weekly Summary'!AF$128*'Equipment List &amp; Usage'!$AA17)+('Weekly Summary'!AF$100*'Equipment List &amp; Usage'!$AB17*SelfQuarantine_Mild)+('Weekly Summary'!AF$101*'Equipment List &amp; Usage'!$AB17*SelfQuarantine_Moderate)))+IF('Equipment List &amp; Usage'!$F17="Yes",('Equipment List &amp; Usage'!$C$114*(IF('Equipment List &amp; Usage'!$AE17&gt;0,'Weekly Summary'!AF$134,0)+IF('Equipment List &amp; Usage'!$AF17&gt;0,'Weekly Summary'!AF$135))),'Equipment List &amp; Usage'!$C$115*(('Weekly Summary'!AF$134*'Equipment List &amp; Usage'!$AE17)+('Weekly Summary'!AF$135*'Equipment List &amp; Usage'!$AF17)))),0)</f>
        <v>0</v>
      </c>
      <c r="AM15" s="1374">
        <f ca="1">MAX(IF($F15="Yes",(
IF($F15="yes",MMULT(--('Equipment List &amp; Usage'!$J17:$N17&gt;0),--('Weekly Summary'!AG$112:AG$116))*'Equipment List &amp; Usage'!$C$114,MMULT(--('Equipment List &amp; Usage'!$J17:$N17),--('Weekly Summary'!AG$112:AG$116))*'Equipment List &amp; Usage'!$C$115)+IF('Equipment List &amp; Usage'!$F16="yes",'Equipment List &amp; Usage'!$C$114,'Equipment List &amp; Usage'!$C$115)*(('Weekly Summary'!AG$66*'Equipment List &amp; Usage'!$Q17)+('Weekly Summary'!AG$64*'Equipment List &amp; Usage'!$O17)+('Weekly Summary'!AG$65*'Equipment List &amp; Usage'!$P17)))+(IF('Equipment List &amp; Usage'!$F17="Yes",'Equipment List &amp; Usage'!$C$114*((('Weekly Summary'!AG$131*SelfQuarantine_Mild)+('Weekly Summary'!AG$100*SelfQuarantine_Mild)+('Weekly Summary'!AG$101*SelfQuarantine_Moderate))),'Equipment List &amp; Usage'!$C$115)*((('Weekly Summary'!AG$131*SelfQuarantine_Mild*'Equipment List &amp; Usage'!$W17)+('Weekly Summary'!AG$100*SelfQuarantine_Mild*'Equipment List &amp; Usage'!$X17)+('Weekly Summary'!AG$101*SelfQuarantine_Moderate*'Equipment List &amp; Usage'!$X17)))+IF('Equipment List &amp; Usage'!$F17="Yes",'Equipment List &amp; Usage'!$C$114*(IF('Equipment List &amp; Usage'!$AA17&gt;0,'Weekly Summary'!AG$128,0)+IF('Equipment List &amp; Usage'!$AB17&gt;0,'Weekly Summary'!AG$100+'Weekly Summary'!AG$101,0)),'Equipment List &amp; Usage'!$C$115*(('Weekly Summary'!AG$128*'Equipment List &amp; Usage'!$AA17)+('Weekly Summary'!AG$100*'Equipment List &amp; Usage'!$AB17*SelfQuarantine_Mild)+('Weekly Summary'!AG$101*'Equipment List &amp; Usage'!$AB17*SelfQuarantine_Moderate)))+IF('Equipment List &amp; Usage'!$F17="Yes",('Equipment List &amp; Usage'!$C$114*(IF('Equipment List &amp; Usage'!$AE17&gt;0,'Weekly Summary'!AG$134,0)+IF('Equipment List &amp; Usage'!$AF17&gt;0,'Weekly Summary'!AG$135))),'Equipment List &amp; Usage'!$C$115*(('Weekly Summary'!AG$134*'Equipment List &amp; Usage'!$AE17)+('Weekly Summary'!AG$135*'Equipment List &amp; Usage'!$AF17))))-SUM($I15:AL15),
IF($F15="yes",MMULT(--('Equipment List &amp; Usage'!$J17:$N17&gt;0),--('Weekly Summary'!AG$112:AG$116))*'Equipment List &amp; Usage'!$C$114,MMULT(--('Equipment List &amp; Usage'!$J17:$N17),--('Weekly Summary'!AG$112:AG$116))*'Equipment List &amp; Usage'!$C$115)+IF('Equipment List &amp; Usage'!$F16="yes",'Equipment List &amp; Usage'!$C$114,'Equipment List &amp; Usage'!$C$115)*(('Weekly Summary'!AG$66*'Equipment List &amp; Usage'!$Q17)+('Weekly Summary'!AG$64*'Equipment List &amp; Usage'!$O17)+('Weekly Summary'!AG$65*'Equipment List &amp; Usage'!$P17))+(IF('Equipment List &amp; Usage'!$F17="Yes",'Equipment List &amp; Usage'!$C$114*((('Weekly Summary'!AG$131*SelfQuarantine_Mild)+('Weekly Summary'!AG$100*SelfQuarantine_Mild)+('Weekly Summary'!AG$101*SelfQuarantine_Moderate))),'Equipment List &amp; Usage'!$C$115)*((('Weekly Summary'!AG$131*SelfQuarantine_Mild*'Equipment List &amp; Usage'!$W17)+('Weekly Summary'!AG$100*SelfQuarantine_Mild*'Equipment List &amp; Usage'!$X17)+('Weekly Summary'!AG$101*SelfQuarantine_Moderate*'Equipment List &amp; Usage'!$X17))))+IF('Equipment List &amp; Usage'!$F17="Yes",'Equipment List &amp; Usage'!$C$114*(IF('Equipment List &amp; Usage'!$AA17&gt;0,'Weekly Summary'!AG$128,0)+IF('Equipment List &amp; Usage'!$AB17&gt;0,'Weekly Summary'!AG$100+'Weekly Summary'!AG$101,0)),'Equipment List &amp; Usage'!$C$115*(('Weekly Summary'!AG$128*'Equipment List &amp; Usage'!$AA17)+('Weekly Summary'!AG$100*'Equipment List &amp; Usage'!$AB17*SelfQuarantine_Mild)+('Weekly Summary'!AG$101*'Equipment List &amp; Usage'!$AB17*SelfQuarantine_Moderate)))+IF('Equipment List &amp; Usage'!$F17="Yes",('Equipment List &amp; Usage'!$C$114*(IF('Equipment List &amp; Usage'!$AE17&gt;0,'Weekly Summary'!AG$134,0)+IF('Equipment List &amp; Usage'!$AF17&gt;0,'Weekly Summary'!AG$135))),'Equipment List &amp; Usage'!$C$115*(('Weekly Summary'!AG$134*'Equipment List &amp; Usage'!$AE17)+('Weekly Summary'!AG$135*'Equipment List &amp; Usage'!$AF17)))),0)</f>
        <v>0</v>
      </c>
      <c r="AN15" s="1374">
        <f ca="1">MAX(IF($F15="Yes",(
IF($F15="yes",MMULT(--('Equipment List &amp; Usage'!$J17:$N17&gt;0),--('Weekly Summary'!AH$112:AH$116))*'Equipment List &amp; Usage'!$C$114,MMULT(--('Equipment List &amp; Usage'!$J17:$N17),--('Weekly Summary'!AH$112:AH$116))*'Equipment List &amp; Usage'!$C$115)+IF('Equipment List &amp; Usage'!$F16="yes",'Equipment List &amp; Usage'!$C$114,'Equipment List &amp; Usage'!$C$115)*(('Weekly Summary'!AH$66*'Equipment List &amp; Usage'!$Q17)+('Weekly Summary'!AH$64*'Equipment List &amp; Usage'!$O17)+('Weekly Summary'!AH$65*'Equipment List &amp; Usage'!$P17)))+(IF('Equipment List &amp; Usage'!$F17="Yes",'Equipment List &amp; Usage'!$C$114*((('Weekly Summary'!AH$131*SelfQuarantine_Mild)+('Weekly Summary'!AH$100*SelfQuarantine_Mild)+('Weekly Summary'!AH$101*SelfQuarantine_Moderate))),'Equipment List &amp; Usage'!$C$115)*((('Weekly Summary'!AH$131*SelfQuarantine_Mild*'Equipment List &amp; Usage'!$W17)+('Weekly Summary'!AH$100*SelfQuarantine_Mild*'Equipment List &amp; Usage'!$X17)+('Weekly Summary'!AH$101*SelfQuarantine_Moderate*'Equipment List &amp; Usage'!$X17)))+IF('Equipment List &amp; Usage'!$F17="Yes",'Equipment List &amp; Usage'!$C$114*(IF('Equipment List &amp; Usage'!$AA17&gt;0,'Weekly Summary'!AH$128,0)+IF('Equipment List &amp; Usage'!$AB17&gt;0,'Weekly Summary'!AH$100+'Weekly Summary'!AH$101,0)),'Equipment List &amp; Usage'!$C$115*(('Weekly Summary'!AH$128*'Equipment List &amp; Usage'!$AA17)+('Weekly Summary'!AH$100*'Equipment List &amp; Usage'!$AB17*SelfQuarantine_Mild)+('Weekly Summary'!AH$101*'Equipment List &amp; Usage'!$AB17*SelfQuarantine_Moderate)))+IF('Equipment List &amp; Usage'!$F17="Yes",('Equipment List &amp; Usage'!$C$114*(IF('Equipment List &amp; Usage'!$AE17&gt;0,'Weekly Summary'!AH$134,0)+IF('Equipment List &amp; Usage'!$AF17&gt;0,'Weekly Summary'!AH$135))),'Equipment List &amp; Usage'!$C$115*(('Weekly Summary'!AH$134*'Equipment List &amp; Usage'!$AE17)+('Weekly Summary'!AH$135*'Equipment List &amp; Usage'!$AF17))))-SUM($I15:AM15),
IF($F15="yes",MMULT(--('Equipment List &amp; Usage'!$J17:$N17&gt;0),--('Weekly Summary'!AH$112:AH$116))*'Equipment List &amp; Usage'!$C$114,MMULT(--('Equipment List &amp; Usage'!$J17:$N17),--('Weekly Summary'!AH$112:AH$116))*'Equipment List &amp; Usage'!$C$115)+IF('Equipment List &amp; Usage'!$F16="yes",'Equipment List &amp; Usage'!$C$114,'Equipment List &amp; Usage'!$C$115)*(('Weekly Summary'!AH$66*'Equipment List &amp; Usage'!$Q17)+('Weekly Summary'!AH$64*'Equipment List &amp; Usage'!$O17)+('Weekly Summary'!AH$65*'Equipment List &amp; Usage'!$P17))+(IF('Equipment List &amp; Usage'!$F17="Yes",'Equipment List &amp; Usage'!$C$114*((('Weekly Summary'!AH$131*SelfQuarantine_Mild)+('Weekly Summary'!AH$100*SelfQuarantine_Mild)+('Weekly Summary'!AH$101*SelfQuarantine_Moderate))),'Equipment List &amp; Usage'!$C$115)*((('Weekly Summary'!AH$131*SelfQuarantine_Mild*'Equipment List &amp; Usage'!$W17)+('Weekly Summary'!AH$100*SelfQuarantine_Mild*'Equipment List &amp; Usage'!$X17)+('Weekly Summary'!AH$101*SelfQuarantine_Moderate*'Equipment List &amp; Usage'!$X17))))+IF('Equipment List &amp; Usage'!$F17="Yes",'Equipment List &amp; Usage'!$C$114*(IF('Equipment List &amp; Usage'!$AA17&gt;0,'Weekly Summary'!AH$128,0)+IF('Equipment List &amp; Usage'!$AB17&gt;0,'Weekly Summary'!AH$100+'Weekly Summary'!AH$101,0)),'Equipment List &amp; Usage'!$C$115*(('Weekly Summary'!AH$128*'Equipment List &amp; Usage'!$AA17)+('Weekly Summary'!AH$100*'Equipment List &amp; Usage'!$AB17*SelfQuarantine_Mild)+('Weekly Summary'!AH$101*'Equipment List &amp; Usage'!$AB17*SelfQuarantine_Moderate)))+IF('Equipment List &amp; Usage'!$F17="Yes",('Equipment List &amp; Usage'!$C$114*(IF('Equipment List &amp; Usage'!$AE17&gt;0,'Weekly Summary'!AH$134,0)+IF('Equipment List &amp; Usage'!$AF17&gt;0,'Weekly Summary'!AH$135))),'Equipment List &amp; Usage'!$C$115*(('Weekly Summary'!AH$134*'Equipment List &amp; Usage'!$AE17)+('Weekly Summary'!AH$135*'Equipment List &amp; Usage'!$AF17)))),0)</f>
        <v>0</v>
      </c>
      <c r="AO15" s="1374">
        <f ca="1">MAX(IF($F15="Yes",(
IF($F15="yes",MMULT(--('Equipment List &amp; Usage'!$J17:$N17&gt;0),--('Weekly Summary'!AI$112:AI$116))*'Equipment List &amp; Usage'!$C$114,MMULT(--('Equipment List &amp; Usage'!$J17:$N17),--('Weekly Summary'!AI$112:AI$116))*'Equipment List &amp; Usage'!$C$115)+IF('Equipment List &amp; Usage'!$F16="yes",'Equipment List &amp; Usage'!$C$114,'Equipment List &amp; Usage'!$C$115)*(('Weekly Summary'!AI$66*'Equipment List &amp; Usage'!$Q17)+('Weekly Summary'!AI$64*'Equipment List &amp; Usage'!$O17)+('Weekly Summary'!AI$65*'Equipment List &amp; Usage'!$P17)))+(IF('Equipment List &amp; Usage'!$F17="Yes",'Equipment List &amp; Usage'!$C$114*((('Weekly Summary'!AI$131*SelfQuarantine_Mild)+('Weekly Summary'!AI$100*SelfQuarantine_Mild)+('Weekly Summary'!AI$101*SelfQuarantine_Moderate))),'Equipment List &amp; Usage'!$C$115)*((('Weekly Summary'!AI$131*SelfQuarantine_Mild*'Equipment List &amp; Usage'!$W17)+('Weekly Summary'!AI$100*SelfQuarantine_Mild*'Equipment List &amp; Usage'!$X17)+('Weekly Summary'!AI$101*SelfQuarantine_Moderate*'Equipment List &amp; Usage'!$X17)))+IF('Equipment List &amp; Usage'!$F17="Yes",'Equipment List &amp; Usage'!$C$114*(IF('Equipment List &amp; Usage'!$AA17&gt;0,'Weekly Summary'!AI$128,0)+IF('Equipment List &amp; Usage'!$AB17&gt;0,'Weekly Summary'!AI$100+'Weekly Summary'!AI$101,0)),'Equipment List &amp; Usage'!$C$115*(('Weekly Summary'!AI$128*'Equipment List &amp; Usage'!$AA17)+('Weekly Summary'!AI$100*'Equipment List &amp; Usage'!$AB17*SelfQuarantine_Mild)+('Weekly Summary'!AI$101*'Equipment List &amp; Usage'!$AB17*SelfQuarantine_Moderate)))+IF('Equipment List &amp; Usage'!$F17="Yes",('Equipment List &amp; Usage'!$C$114*(IF('Equipment List &amp; Usage'!$AE17&gt;0,'Weekly Summary'!AI$134,0)+IF('Equipment List &amp; Usage'!$AF17&gt;0,'Weekly Summary'!AI$135))),'Equipment List &amp; Usage'!$C$115*(('Weekly Summary'!AI$134*'Equipment List &amp; Usage'!$AE17)+('Weekly Summary'!AI$135*'Equipment List &amp; Usage'!$AF17))))-SUM($I15:AN15),
IF($F15="yes",MMULT(--('Equipment List &amp; Usage'!$J17:$N17&gt;0),--('Weekly Summary'!AI$112:AI$116))*'Equipment List &amp; Usage'!$C$114,MMULT(--('Equipment List &amp; Usage'!$J17:$N17),--('Weekly Summary'!AI$112:AI$116))*'Equipment List &amp; Usage'!$C$115)+IF('Equipment List &amp; Usage'!$F16="yes",'Equipment List &amp; Usage'!$C$114,'Equipment List &amp; Usage'!$C$115)*(('Weekly Summary'!AI$66*'Equipment List &amp; Usage'!$Q17)+('Weekly Summary'!AI$64*'Equipment List &amp; Usage'!$O17)+('Weekly Summary'!AI$65*'Equipment List &amp; Usage'!$P17))+(IF('Equipment List &amp; Usage'!$F17="Yes",'Equipment List &amp; Usage'!$C$114*((('Weekly Summary'!AI$131*SelfQuarantine_Mild)+('Weekly Summary'!AI$100*SelfQuarantine_Mild)+('Weekly Summary'!AI$101*SelfQuarantine_Moderate))),'Equipment List &amp; Usage'!$C$115)*((('Weekly Summary'!AI$131*SelfQuarantine_Mild*'Equipment List &amp; Usage'!$W17)+('Weekly Summary'!AI$100*SelfQuarantine_Mild*'Equipment List &amp; Usage'!$X17)+('Weekly Summary'!AI$101*SelfQuarantine_Moderate*'Equipment List &amp; Usage'!$X17))))+IF('Equipment List &amp; Usage'!$F17="Yes",'Equipment List &amp; Usage'!$C$114*(IF('Equipment List &amp; Usage'!$AA17&gt;0,'Weekly Summary'!AI$128,0)+IF('Equipment List &amp; Usage'!$AB17&gt;0,'Weekly Summary'!AI$100+'Weekly Summary'!AI$101,0)),'Equipment List &amp; Usage'!$C$115*(('Weekly Summary'!AI$128*'Equipment List &amp; Usage'!$AA17)+('Weekly Summary'!AI$100*'Equipment List &amp; Usage'!$AB17*SelfQuarantine_Mild)+('Weekly Summary'!AI$101*'Equipment List &amp; Usage'!$AB17*SelfQuarantine_Moderate)))+IF('Equipment List &amp; Usage'!$F17="Yes",('Equipment List &amp; Usage'!$C$114*(IF('Equipment List &amp; Usage'!$AE17&gt;0,'Weekly Summary'!AI$134,0)+IF('Equipment List &amp; Usage'!$AF17&gt;0,'Weekly Summary'!AI$135))),'Equipment List &amp; Usage'!$C$115*(('Weekly Summary'!AI$134*'Equipment List &amp; Usage'!$AE17)+('Weekly Summary'!AI$135*'Equipment List &amp; Usage'!$AF17)))),0)</f>
        <v>0</v>
      </c>
      <c r="AP15" s="1374">
        <f ca="1">MAX(IF($F15="Yes",(
IF($F15="yes",MMULT(--('Equipment List &amp; Usage'!$J17:$N17&gt;0),--('Weekly Summary'!AJ$112:AJ$116))*'Equipment List &amp; Usage'!$C$114,MMULT(--('Equipment List &amp; Usage'!$J17:$N17),--('Weekly Summary'!AJ$112:AJ$116))*'Equipment List &amp; Usage'!$C$115)+IF('Equipment List &amp; Usage'!$F16="yes",'Equipment List &amp; Usage'!$C$114,'Equipment List &amp; Usage'!$C$115)*(('Weekly Summary'!AJ$66*'Equipment List &amp; Usage'!$Q17)+('Weekly Summary'!AJ$64*'Equipment List &amp; Usage'!$O17)+('Weekly Summary'!AJ$65*'Equipment List &amp; Usage'!$P17)))+(IF('Equipment List &amp; Usage'!$F17="Yes",'Equipment List &amp; Usage'!$C$114*((('Weekly Summary'!AJ$131*SelfQuarantine_Mild)+('Weekly Summary'!AJ$100*SelfQuarantine_Mild)+('Weekly Summary'!AJ$101*SelfQuarantine_Moderate))),'Equipment List &amp; Usage'!$C$115)*((('Weekly Summary'!AJ$131*SelfQuarantine_Mild*'Equipment List &amp; Usage'!$W17)+('Weekly Summary'!AJ$100*SelfQuarantine_Mild*'Equipment List &amp; Usage'!$X17)+('Weekly Summary'!AJ$101*SelfQuarantine_Moderate*'Equipment List &amp; Usage'!$X17)))+IF('Equipment List &amp; Usage'!$F17="Yes",'Equipment List &amp; Usage'!$C$114*(IF('Equipment List &amp; Usage'!$AA17&gt;0,'Weekly Summary'!AJ$128,0)+IF('Equipment List &amp; Usage'!$AB17&gt;0,'Weekly Summary'!AJ$100+'Weekly Summary'!AJ$101,0)),'Equipment List &amp; Usage'!$C$115*(('Weekly Summary'!AJ$128*'Equipment List &amp; Usage'!$AA17)+('Weekly Summary'!AJ$100*'Equipment List &amp; Usage'!$AB17*SelfQuarantine_Mild)+('Weekly Summary'!AJ$101*'Equipment List &amp; Usage'!$AB17*SelfQuarantine_Moderate)))+IF('Equipment List &amp; Usage'!$F17="Yes",('Equipment List &amp; Usage'!$C$114*(IF('Equipment List &amp; Usage'!$AE17&gt;0,'Weekly Summary'!AJ$134,0)+IF('Equipment List &amp; Usage'!$AF17&gt;0,'Weekly Summary'!AJ$135))),'Equipment List &amp; Usage'!$C$115*(('Weekly Summary'!AJ$134*'Equipment List &amp; Usage'!$AE17)+('Weekly Summary'!AJ$135*'Equipment List &amp; Usage'!$AF17))))-SUM($I15:AO15),
IF($F15="yes",MMULT(--('Equipment List &amp; Usage'!$J17:$N17&gt;0),--('Weekly Summary'!AJ$112:AJ$116))*'Equipment List &amp; Usage'!$C$114,MMULT(--('Equipment List &amp; Usage'!$J17:$N17),--('Weekly Summary'!AJ$112:AJ$116))*'Equipment List &amp; Usage'!$C$115)+IF('Equipment List &amp; Usage'!$F16="yes",'Equipment List &amp; Usage'!$C$114,'Equipment List &amp; Usage'!$C$115)*(('Weekly Summary'!AJ$66*'Equipment List &amp; Usage'!$Q17)+('Weekly Summary'!AJ$64*'Equipment List &amp; Usage'!$O17)+('Weekly Summary'!AJ$65*'Equipment List &amp; Usage'!$P17))+(IF('Equipment List &amp; Usage'!$F17="Yes",'Equipment List &amp; Usage'!$C$114*((('Weekly Summary'!AJ$131*SelfQuarantine_Mild)+('Weekly Summary'!AJ$100*SelfQuarantine_Mild)+('Weekly Summary'!AJ$101*SelfQuarantine_Moderate))),'Equipment List &amp; Usage'!$C$115)*((('Weekly Summary'!AJ$131*SelfQuarantine_Mild*'Equipment List &amp; Usage'!$W17)+('Weekly Summary'!AJ$100*SelfQuarantine_Mild*'Equipment List &amp; Usage'!$X17)+('Weekly Summary'!AJ$101*SelfQuarantine_Moderate*'Equipment List &amp; Usage'!$X17))))+IF('Equipment List &amp; Usage'!$F17="Yes",'Equipment List &amp; Usage'!$C$114*(IF('Equipment List &amp; Usage'!$AA17&gt;0,'Weekly Summary'!AJ$128,0)+IF('Equipment List &amp; Usage'!$AB17&gt;0,'Weekly Summary'!AJ$100+'Weekly Summary'!AJ$101,0)),'Equipment List &amp; Usage'!$C$115*(('Weekly Summary'!AJ$128*'Equipment List &amp; Usage'!$AA17)+('Weekly Summary'!AJ$100*'Equipment List &amp; Usage'!$AB17*SelfQuarantine_Mild)+('Weekly Summary'!AJ$101*'Equipment List &amp; Usage'!$AB17*SelfQuarantine_Moderate)))+IF('Equipment List &amp; Usage'!$F17="Yes",('Equipment List &amp; Usage'!$C$114*(IF('Equipment List &amp; Usage'!$AE17&gt;0,'Weekly Summary'!AJ$134,0)+IF('Equipment List &amp; Usage'!$AF17&gt;0,'Weekly Summary'!AJ$135))),'Equipment List &amp; Usage'!$C$115*(('Weekly Summary'!AJ$134*'Equipment List &amp; Usage'!$AE17)+('Weekly Summary'!AJ$135*'Equipment List &amp; Usage'!$AF17)))),0)</f>
        <v>0</v>
      </c>
      <c r="AQ15" s="1374">
        <f ca="1">MAX(IF($F15="Yes",(
IF($F15="yes",MMULT(--('Equipment List &amp; Usage'!$J17:$N17&gt;0),--('Weekly Summary'!AK$112:AK$116))*'Equipment List &amp; Usage'!$C$114,MMULT(--('Equipment List &amp; Usage'!$J17:$N17),--('Weekly Summary'!AK$112:AK$116))*'Equipment List &amp; Usage'!$C$115)+IF('Equipment List &amp; Usage'!$F16="yes",'Equipment List &amp; Usage'!$C$114,'Equipment List &amp; Usage'!$C$115)*(('Weekly Summary'!AK$66*'Equipment List &amp; Usage'!$Q17)+('Weekly Summary'!AK$64*'Equipment List &amp; Usage'!$O17)+('Weekly Summary'!AK$65*'Equipment List &amp; Usage'!$P17)))+(IF('Equipment List &amp; Usage'!$F17="Yes",'Equipment List &amp; Usage'!$C$114*((('Weekly Summary'!AK$131*SelfQuarantine_Mild)+('Weekly Summary'!AK$100*SelfQuarantine_Mild)+('Weekly Summary'!AK$101*SelfQuarantine_Moderate))),'Equipment List &amp; Usage'!$C$115)*((('Weekly Summary'!AK$131*SelfQuarantine_Mild*'Equipment List &amp; Usage'!$W17)+('Weekly Summary'!AK$100*SelfQuarantine_Mild*'Equipment List &amp; Usage'!$X17)+('Weekly Summary'!AK$101*SelfQuarantine_Moderate*'Equipment List &amp; Usage'!$X17)))+IF('Equipment List &amp; Usage'!$F17="Yes",'Equipment List &amp; Usage'!$C$114*(IF('Equipment List &amp; Usage'!$AA17&gt;0,'Weekly Summary'!AK$128,0)+IF('Equipment List &amp; Usage'!$AB17&gt;0,'Weekly Summary'!AK$100+'Weekly Summary'!AK$101,0)),'Equipment List &amp; Usage'!$C$115*(('Weekly Summary'!AK$128*'Equipment List &amp; Usage'!$AA17)+('Weekly Summary'!AK$100*'Equipment List &amp; Usage'!$AB17*SelfQuarantine_Mild)+('Weekly Summary'!AK$101*'Equipment List &amp; Usage'!$AB17*SelfQuarantine_Moderate)))+IF('Equipment List &amp; Usage'!$F17="Yes",('Equipment List &amp; Usage'!$C$114*(IF('Equipment List &amp; Usage'!$AE17&gt;0,'Weekly Summary'!AK$134,0)+IF('Equipment List &amp; Usage'!$AF17&gt;0,'Weekly Summary'!AK$135))),'Equipment List &amp; Usage'!$C$115*(('Weekly Summary'!AK$134*'Equipment List &amp; Usage'!$AE17)+('Weekly Summary'!AK$135*'Equipment List &amp; Usage'!$AF17))))-SUM($I15:AP15),
IF($F15="yes",MMULT(--('Equipment List &amp; Usage'!$J17:$N17&gt;0),--('Weekly Summary'!AK$112:AK$116))*'Equipment List &amp; Usage'!$C$114,MMULT(--('Equipment List &amp; Usage'!$J17:$N17),--('Weekly Summary'!AK$112:AK$116))*'Equipment List &amp; Usage'!$C$115)+IF('Equipment List &amp; Usage'!$F16="yes",'Equipment List &amp; Usage'!$C$114,'Equipment List &amp; Usage'!$C$115)*(('Weekly Summary'!AK$66*'Equipment List &amp; Usage'!$Q17)+('Weekly Summary'!AK$64*'Equipment List &amp; Usage'!$O17)+('Weekly Summary'!AK$65*'Equipment List &amp; Usage'!$P17))+(IF('Equipment List &amp; Usage'!$F17="Yes",'Equipment List &amp; Usage'!$C$114*((('Weekly Summary'!AK$131*SelfQuarantine_Mild)+('Weekly Summary'!AK$100*SelfQuarantine_Mild)+('Weekly Summary'!AK$101*SelfQuarantine_Moderate))),'Equipment List &amp; Usage'!$C$115)*((('Weekly Summary'!AK$131*SelfQuarantine_Mild*'Equipment List &amp; Usage'!$W17)+('Weekly Summary'!AK$100*SelfQuarantine_Mild*'Equipment List &amp; Usage'!$X17)+('Weekly Summary'!AK$101*SelfQuarantine_Moderate*'Equipment List &amp; Usage'!$X17))))+IF('Equipment List &amp; Usage'!$F17="Yes",'Equipment List &amp; Usage'!$C$114*(IF('Equipment List &amp; Usage'!$AA17&gt;0,'Weekly Summary'!AK$128,0)+IF('Equipment List &amp; Usage'!$AB17&gt;0,'Weekly Summary'!AK$100+'Weekly Summary'!AK$101,0)),'Equipment List &amp; Usage'!$C$115*(('Weekly Summary'!AK$128*'Equipment List &amp; Usage'!$AA17)+('Weekly Summary'!AK$100*'Equipment List &amp; Usage'!$AB17*SelfQuarantine_Mild)+('Weekly Summary'!AK$101*'Equipment List &amp; Usage'!$AB17*SelfQuarantine_Moderate)))+IF('Equipment List &amp; Usage'!$F17="Yes",('Equipment List &amp; Usage'!$C$114*(IF('Equipment List &amp; Usage'!$AE17&gt;0,'Weekly Summary'!AK$134,0)+IF('Equipment List &amp; Usage'!$AF17&gt;0,'Weekly Summary'!AK$135))),'Equipment List &amp; Usage'!$C$115*(('Weekly Summary'!AK$134*'Equipment List &amp; Usage'!$AE17)+('Weekly Summary'!AK$135*'Equipment List &amp; Usage'!$AF17)))),0)</f>
        <v>0</v>
      </c>
      <c r="AR15" s="1374">
        <f ca="1">MAX(IF($F15="Yes",(
IF($F15="yes",MMULT(--('Equipment List &amp; Usage'!$J17:$N17&gt;0),--('Weekly Summary'!AL$112:AL$116))*'Equipment List &amp; Usage'!$C$114,MMULT(--('Equipment List &amp; Usage'!$J17:$N17),--('Weekly Summary'!AL$112:AL$116))*'Equipment List &amp; Usage'!$C$115)+IF('Equipment List &amp; Usage'!$F16="yes",'Equipment List &amp; Usage'!$C$114,'Equipment List &amp; Usage'!$C$115)*(('Weekly Summary'!AL$66*'Equipment List &amp; Usage'!$Q17)+('Weekly Summary'!AL$64*'Equipment List &amp; Usage'!$O17)+('Weekly Summary'!AL$65*'Equipment List &amp; Usage'!$P17)))+(IF('Equipment List &amp; Usage'!$F17="Yes",'Equipment List &amp; Usage'!$C$114*((('Weekly Summary'!AL$131*SelfQuarantine_Mild)+('Weekly Summary'!AL$100*SelfQuarantine_Mild)+('Weekly Summary'!AL$101*SelfQuarantine_Moderate))),'Equipment List &amp; Usage'!$C$115)*((('Weekly Summary'!AL$131*SelfQuarantine_Mild*'Equipment List &amp; Usage'!$W17)+('Weekly Summary'!AL$100*SelfQuarantine_Mild*'Equipment List &amp; Usage'!$X17)+('Weekly Summary'!AL$101*SelfQuarantine_Moderate*'Equipment List &amp; Usage'!$X17)))+IF('Equipment List &amp; Usage'!$F17="Yes",'Equipment List &amp; Usage'!$C$114*(IF('Equipment List &amp; Usage'!$AA17&gt;0,'Weekly Summary'!AL$128,0)+IF('Equipment List &amp; Usage'!$AB17&gt;0,'Weekly Summary'!AL$100+'Weekly Summary'!AL$101,0)),'Equipment List &amp; Usage'!$C$115*(('Weekly Summary'!AL$128*'Equipment List &amp; Usage'!$AA17)+('Weekly Summary'!AL$100*'Equipment List &amp; Usage'!$AB17*SelfQuarantine_Mild)+('Weekly Summary'!AL$101*'Equipment List &amp; Usage'!$AB17*SelfQuarantine_Moderate)))+IF('Equipment List &amp; Usage'!$F17="Yes",('Equipment List &amp; Usage'!$C$114*(IF('Equipment List &amp; Usage'!$AE17&gt;0,'Weekly Summary'!AL$134,0)+IF('Equipment List &amp; Usage'!$AF17&gt;0,'Weekly Summary'!AL$135))),'Equipment List &amp; Usage'!$C$115*(('Weekly Summary'!AL$134*'Equipment List &amp; Usage'!$AE17)+('Weekly Summary'!AL$135*'Equipment List &amp; Usage'!$AF17))))-SUM($I15:AQ15),
IF($F15="yes",MMULT(--('Equipment List &amp; Usage'!$J17:$N17&gt;0),--('Weekly Summary'!AL$112:AL$116))*'Equipment List &amp; Usage'!$C$114,MMULT(--('Equipment List &amp; Usage'!$J17:$N17),--('Weekly Summary'!AL$112:AL$116))*'Equipment List &amp; Usage'!$C$115)+IF('Equipment List &amp; Usage'!$F16="yes",'Equipment List &amp; Usage'!$C$114,'Equipment List &amp; Usage'!$C$115)*(('Weekly Summary'!AL$66*'Equipment List &amp; Usage'!$Q17)+('Weekly Summary'!AL$64*'Equipment List &amp; Usage'!$O17)+('Weekly Summary'!AL$65*'Equipment List &amp; Usage'!$P17))+(IF('Equipment List &amp; Usage'!$F17="Yes",'Equipment List &amp; Usage'!$C$114*((('Weekly Summary'!AL$131*SelfQuarantine_Mild)+('Weekly Summary'!AL$100*SelfQuarantine_Mild)+('Weekly Summary'!AL$101*SelfQuarantine_Moderate))),'Equipment List &amp; Usage'!$C$115)*((('Weekly Summary'!AL$131*SelfQuarantine_Mild*'Equipment List &amp; Usage'!$W17)+('Weekly Summary'!AL$100*SelfQuarantine_Mild*'Equipment List &amp; Usage'!$X17)+('Weekly Summary'!AL$101*SelfQuarantine_Moderate*'Equipment List &amp; Usage'!$X17))))+IF('Equipment List &amp; Usage'!$F17="Yes",'Equipment List &amp; Usage'!$C$114*(IF('Equipment List &amp; Usage'!$AA17&gt;0,'Weekly Summary'!AL$128,0)+IF('Equipment List &amp; Usage'!$AB17&gt;0,'Weekly Summary'!AL$100+'Weekly Summary'!AL$101,0)),'Equipment List &amp; Usage'!$C$115*(('Weekly Summary'!AL$128*'Equipment List &amp; Usage'!$AA17)+('Weekly Summary'!AL$100*'Equipment List &amp; Usage'!$AB17*SelfQuarantine_Mild)+('Weekly Summary'!AL$101*'Equipment List &amp; Usage'!$AB17*SelfQuarantine_Moderate)))+IF('Equipment List &amp; Usage'!$F17="Yes",('Equipment List &amp; Usage'!$C$114*(IF('Equipment List &amp; Usage'!$AE17&gt;0,'Weekly Summary'!AL$134,0)+IF('Equipment List &amp; Usage'!$AF17&gt;0,'Weekly Summary'!AL$135))),'Equipment List &amp; Usage'!$C$115*(('Weekly Summary'!AL$134*'Equipment List &amp; Usage'!$AE17)+('Weekly Summary'!AL$135*'Equipment List &amp; Usage'!$AF17)))),0)</f>
        <v>0</v>
      </c>
      <c r="AS15" s="1374">
        <f ca="1">MAX(IF($F15="Yes",(
IF($F15="yes",MMULT(--('Equipment List &amp; Usage'!$J17:$N17&gt;0),--('Weekly Summary'!AM$112:AM$116))*'Equipment List &amp; Usage'!$C$114,MMULT(--('Equipment List &amp; Usage'!$J17:$N17),--('Weekly Summary'!AM$112:AM$116))*'Equipment List &amp; Usage'!$C$115)+IF('Equipment List &amp; Usage'!$F16="yes",'Equipment List &amp; Usage'!$C$114,'Equipment List &amp; Usage'!$C$115)*(('Weekly Summary'!AM$66*'Equipment List &amp; Usage'!$Q17)+('Weekly Summary'!AM$64*'Equipment List &amp; Usage'!$O17)+('Weekly Summary'!AM$65*'Equipment List &amp; Usage'!$P17)))+(IF('Equipment List &amp; Usage'!$F17="Yes",'Equipment List &amp; Usage'!$C$114*((('Weekly Summary'!AM$131*SelfQuarantine_Mild)+('Weekly Summary'!AM$100*SelfQuarantine_Mild)+('Weekly Summary'!AM$101*SelfQuarantine_Moderate))),'Equipment List &amp; Usage'!$C$115)*((('Weekly Summary'!AM$131*SelfQuarantine_Mild*'Equipment List &amp; Usage'!$W17)+('Weekly Summary'!AM$100*SelfQuarantine_Mild*'Equipment List &amp; Usage'!$X17)+('Weekly Summary'!AM$101*SelfQuarantine_Moderate*'Equipment List &amp; Usage'!$X17)))+IF('Equipment List &amp; Usage'!$F17="Yes",'Equipment List &amp; Usage'!$C$114*(IF('Equipment List &amp; Usage'!$AA17&gt;0,'Weekly Summary'!AM$128,0)+IF('Equipment List &amp; Usage'!$AB17&gt;0,'Weekly Summary'!AM$100+'Weekly Summary'!AM$101,0)),'Equipment List &amp; Usage'!$C$115*(('Weekly Summary'!AM$128*'Equipment List &amp; Usage'!$AA17)+('Weekly Summary'!AM$100*'Equipment List &amp; Usage'!$AB17*SelfQuarantine_Mild)+('Weekly Summary'!AM$101*'Equipment List &amp; Usage'!$AB17*SelfQuarantine_Moderate)))+IF('Equipment List &amp; Usage'!$F17="Yes",('Equipment List &amp; Usage'!$C$114*(IF('Equipment List &amp; Usage'!$AE17&gt;0,'Weekly Summary'!AM$134,0)+IF('Equipment List &amp; Usage'!$AF17&gt;0,'Weekly Summary'!AM$135))),'Equipment List &amp; Usage'!$C$115*(('Weekly Summary'!AM$134*'Equipment List &amp; Usage'!$AE17)+('Weekly Summary'!AM$135*'Equipment List &amp; Usage'!$AF17))))-SUM($I15:AR15),
IF($F15="yes",MMULT(--('Equipment List &amp; Usage'!$J17:$N17&gt;0),--('Weekly Summary'!AM$112:AM$116))*'Equipment List &amp; Usage'!$C$114,MMULT(--('Equipment List &amp; Usage'!$J17:$N17),--('Weekly Summary'!AM$112:AM$116))*'Equipment List &amp; Usage'!$C$115)+IF('Equipment List &amp; Usage'!$F16="yes",'Equipment List &amp; Usage'!$C$114,'Equipment List &amp; Usage'!$C$115)*(('Weekly Summary'!AM$66*'Equipment List &amp; Usage'!$Q17)+('Weekly Summary'!AM$64*'Equipment List &amp; Usage'!$O17)+('Weekly Summary'!AM$65*'Equipment List &amp; Usage'!$P17))+(IF('Equipment List &amp; Usage'!$F17="Yes",'Equipment List &amp; Usage'!$C$114*((('Weekly Summary'!AM$131*SelfQuarantine_Mild)+('Weekly Summary'!AM$100*SelfQuarantine_Mild)+('Weekly Summary'!AM$101*SelfQuarantine_Moderate))),'Equipment List &amp; Usage'!$C$115)*((('Weekly Summary'!AM$131*SelfQuarantine_Mild*'Equipment List &amp; Usage'!$W17)+('Weekly Summary'!AM$100*SelfQuarantine_Mild*'Equipment List &amp; Usage'!$X17)+('Weekly Summary'!AM$101*SelfQuarantine_Moderate*'Equipment List &amp; Usage'!$X17))))+IF('Equipment List &amp; Usage'!$F17="Yes",'Equipment List &amp; Usage'!$C$114*(IF('Equipment List &amp; Usage'!$AA17&gt;0,'Weekly Summary'!AM$128,0)+IF('Equipment List &amp; Usage'!$AB17&gt;0,'Weekly Summary'!AM$100+'Weekly Summary'!AM$101,0)),'Equipment List &amp; Usage'!$C$115*(('Weekly Summary'!AM$128*'Equipment List &amp; Usage'!$AA17)+('Weekly Summary'!AM$100*'Equipment List &amp; Usage'!$AB17*SelfQuarantine_Mild)+('Weekly Summary'!AM$101*'Equipment List &amp; Usage'!$AB17*SelfQuarantine_Moderate)))+IF('Equipment List &amp; Usage'!$F17="Yes",('Equipment List &amp; Usage'!$C$114*(IF('Equipment List &amp; Usage'!$AE17&gt;0,'Weekly Summary'!AM$134,0)+IF('Equipment List &amp; Usage'!$AF17&gt;0,'Weekly Summary'!AM$135))),'Equipment List &amp; Usage'!$C$115*(('Weekly Summary'!AM$134*'Equipment List &amp; Usage'!$AE17)+('Weekly Summary'!AM$135*'Equipment List &amp; Usage'!$AF17)))),0)</f>
        <v>0</v>
      </c>
      <c r="AT15" s="1374">
        <f ca="1">MAX(IF($F15="Yes",(
IF($F15="yes",MMULT(--('Equipment List &amp; Usage'!$J17:$N17&gt;0),--('Weekly Summary'!AN$112:AN$116))*'Equipment List &amp; Usage'!$C$114,MMULT(--('Equipment List &amp; Usage'!$J17:$N17),--('Weekly Summary'!AN$112:AN$116))*'Equipment List &amp; Usage'!$C$115)+IF('Equipment List &amp; Usage'!$F16="yes",'Equipment List &amp; Usage'!$C$114,'Equipment List &amp; Usage'!$C$115)*(('Weekly Summary'!AN$66*'Equipment List &amp; Usage'!$Q17)+('Weekly Summary'!AN$64*'Equipment List &amp; Usage'!$O17)+('Weekly Summary'!AN$65*'Equipment List &amp; Usage'!$P17)))+(IF('Equipment List &amp; Usage'!$F17="Yes",'Equipment List &amp; Usage'!$C$114*((('Weekly Summary'!AN$131*SelfQuarantine_Mild)+('Weekly Summary'!AN$100*SelfQuarantine_Mild)+('Weekly Summary'!AN$101*SelfQuarantine_Moderate))),'Equipment List &amp; Usage'!$C$115)*((('Weekly Summary'!AN$131*SelfQuarantine_Mild*'Equipment List &amp; Usage'!$W17)+('Weekly Summary'!AN$100*SelfQuarantine_Mild*'Equipment List &amp; Usage'!$X17)+('Weekly Summary'!AN$101*SelfQuarantine_Moderate*'Equipment List &amp; Usage'!$X17)))+IF('Equipment List &amp; Usage'!$F17="Yes",'Equipment List &amp; Usage'!$C$114*(IF('Equipment List &amp; Usage'!$AA17&gt;0,'Weekly Summary'!AN$128,0)+IF('Equipment List &amp; Usage'!$AB17&gt;0,'Weekly Summary'!AN$100+'Weekly Summary'!AN$101,0)),'Equipment List &amp; Usage'!$C$115*(('Weekly Summary'!AN$128*'Equipment List &amp; Usage'!$AA17)+('Weekly Summary'!AN$100*'Equipment List &amp; Usage'!$AB17*SelfQuarantine_Mild)+('Weekly Summary'!AN$101*'Equipment List &amp; Usage'!$AB17*SelfQuarantine_Moderate)))+IF('Equipment List &amp; Usage'!$F17="Yes",('Equipment List &amp; Usage'!$C$114*(IF('Equipment List &amp; Usage'!$AE17&gt;0,'Weekly Summary'!AN$134,0)+IF('Equipment List &amp; Usage'!$AF17&gt;0,'Weekly Summary'!AN$135))),'Equipment List &amp; Usage'!$C$115*(('Weekly Summary'!AN$134*'Equipment List &amp; Usage'!$AE17)+('Weekly Summary'!AN$135*'Equipment List &amp; Usage'!$AF17))))-SUM($I15:AS15),
IF($F15="yes",MMULT(--('Equipment List &amp; Usage'!$J17:$N17&gt;0),--('Weekly Summary'!AN$112:AN$116))*'Equipment List &amp; Usage'!$C$114,MMULT(--('Equipment List &amp; Usage'!$J17:$N17),--('Weekly Summary'!AN$112:AN$116))*'Equipment List &amp; Usage'!$C$115)+IF('Equipment List &amp; Usage'!$F16="yes",'Equipment List &amp; Usage'!$C$114,'Equipment List &amp; Usage'!$C$115)*(('Weekly Summary'!AN$66*'Equipment List &amp; Usage'!$Q17)+('Weekly Summary'!AN$64*'Equipment List &amp; Usage'!$O17)+('Weekly Summary'!AN$65*'Equipment List &amp; Usage'!$P17))+(IF('Equipment List &amp; Usage'!$F17="Yes",'Equipment List &amp; Usage'!$C$114*((('Weekly Summary'!AN$131*SelfQuarantine_Mild)+('Weekly Summary'!AN$100*SelfQuarantine_Mild)+('Weekly Summary'!AN$101*SelfQuarantine_Moderate))),'Equipment List &amp; Usage'!$C$115)*((('Weekly Summary'!AN$131*SelfQuarantine_Mild*'Equipment List &amp; Usage'!$W17)+('Weekly Summary'!AN$100*SelfQuarantine_Mild*'Equipment List &amp; Usage'!$X17)+('Weekly Summary'!AN$101*SelfQuarantine_Moderate*'Equipment List &amp; Usage'!$X17))))+IF('Equipment List &amp; Usage'!$F17="Yes",'Equipment List &amp; Usage'!$C$114*(IF('Equipment List &amp; Usage'!$AA17&gt;0,'Weekly Summary'!AN$128,0)+IF('Equipment List &amp; Usage'!$AB17&gt;0,'Weekly Summary'!AN$100+'Weekly Summary'!AN$101,0)),'Equipment List &amp; Usage'!$C$115*(('Weekly Summary'!AN$128*'Equipment List &amp; Usage'!$AA17)+('Weekly Summary'!AN$100*'Equipment List &amp; Usage'!$AB17*SelfQuarantine_Mild)+('Weekly Summary'!AN$101*'Equipment List &amp; Usage'!$AB17*SelfQuarantine_Moderate)))+IF('Equipment List &amp; Usage'!$F17="Yes",('Equipment List &amp; Usage'!$C$114*(IF('Equipment List &amp; Usage'!$AE17&gt;0,'Weekly Summary'!AN$134,0)+IF('Equipment List &amp; Usage'!$AF17&gt;0,'Weekly Summary'!AN$135))),'Equipment List &amp; Usage'!$C$115*(('Weekly Summary'!AN$134*'Equipment List &amp; Usage'!$AE17)+('Weekly Summary'!AN$135*'Equipment List &amp; Usage'!$AF17)))),0)</f>
        <v>0</v>
      </c>
      <c r="AU15" s="1374">
        <f ca="1">MAX(IF($F15="Yes",(
IF($F15="yes",MMULT(--('Equipment List &amp; Usage'!$J17:$N17&gt;0),--('Weekly Summary'!AO$112:AO$116))*'Equipment List &amp; Usage'!$C$114,MMULT(--('Equipment List &amp; Usage'!$J17:$N17),--('Weekly Summary'!AO$112:AO$116))*'Equipment List &amp; Usage'!$C$115)+IF('Equipment List &amp; Usage'!$F16="yes",'Equipment List &amp; Usage'!$C$114,'Equipment List &amp; Usage'!$C$115)*(('Weekly Summary'!AO$66*'Equipment List &amp; Usage'!$Q17)+('Weekly Summary'!AO$64*'Equipment List &amp; Usage'!$O17)+('Weekly Summary'!AO$65*'Equipment List &amp; Usage'!$P17)))+(IF('Equipment List &amp; Usage'!$F17="Yes",'Equipment List &amp; Usage'!$C$114*((('Weekly Summary'!AO$131*SelfQuarantine_Mild)+('Weekly Summary'!AO$100*SelfQuarantine_Mild)+('Weekly Summary'!AO$101*SelfQuarantine_Moderate))),'Equipment List &amp; Usage'!$C$115)*((('Weekly Summary'!AO$131*SelfQuarantine_Mild*'Equipment List &amp; Usage'!$W17)+('Weekly Summary'!AO$100*SelfQuarantine_Mild*'Equipment List &amp; Usage'!$X17)+('Weekly Summary'!AO$101*SelfQuarantine_Moderate*'Equipment List &amp; Usage'!$X17)))+IF('Equipment List &amp; Usage'!$F17="Yes",'Equipment List &amp; Usage'!$C$114*(IF('Equipment List &amp; Usage'!$AA17&gt;0,'Weekly Summary'!AO$128,0)+IF('Equipment List &amp; Usage'!$AB17&gt;0,'Weekly Summary'!AO$100+'Weekly Summary'!AO$101,0)),'Equipment List &amp; Usage'!$C$115*(('Weekly Summary'!AO$128*'Equipment List &amp; Usage'!$AA17)+('Weekly Summary'!AO$100*'Equipment List &amp; Usage'!$AB17*SelfQuarantine_Mild)+('Weekly Summary'!AO$101*'Equipment List &amp; Usage'!$AB17*SelfQuarantine_Moderate)))+IF('Equipment List &amp; Usage'!$F17="Yes",('Equipment List &amp; Usage'!$C$114*(IF('Equipment List &amp; Usage'!$AE17&gt;0,'Weekly Summary'!AO$134,0)+IF('Equipment List &amp; Usage'!$AF17&gt;0,'Weekly Summary'!AO$135))),'Equipment List &amp; Usage'!$C$115*(('Weekly Summary'!AO$134*'Equipment List &amp; Usage'!$AE17)+('Weekly Summary'!AO$135*'Equipment List &amp; Usage'!$AF17))))-SUM($I15:AT15),
IF($F15="yes",MMULT(--('Equipment List &amp; Usage'!$J17:$N17&gt;0),--('Weekly Summary'!AO$112:AO$116))*'Equipment List &amp; Usage'!$C$114,MMULT(--('Equipment List &amp; Usage'!$J17:$N17),--('Weekly Summary'!AO$112:AO$116))*'Equipment List &amp; Usage'!$C$115)+IF('Equipment List &amp; Usage'!$F16="yes",'Equipment List &amp; Usage'!$C$114,'Equipment List &amp; Usage'!$C$115)*(('Weekly Summary'!AO$66*'Equipment List &amp; Usage'!$Q17)+('Weekly Summary'!AO$64*'Equipment List &amp; Usage'!$O17)+('Weekly Summary'!AO$65*'Equipment List &amp; Usage'!$P17))+(IF('Equipment List &amp; Usage'!$F17="Yes",'Equipment List &amp; Usage'!$C$114*((('Weekly Summary'!AO$131*SelfQuarantine_Mild)+('Weekly Summary'!AO$100*SelfQuarantine_Mild)+('Weekly Summary'!AO$101*SelfQuarantine_Moderate))),'Equipment List &amp; Usage'!$C$115)*((('Weekly Summary'!AO$131*SelfQuarantine_Mild*'Equipment List &amp; Usage'!$W17)+('Weekly Summary'!AO$100*SelfQuarantine_Mild*'Equipment List &amp; Usage'!$X17)+('Weekly Summary'!AO$101*SelfQuarantine_Moderate*'Equipment List &amp; Usage'!$X17))))+IF('Equipment List &amp; Usage'!$F17="Yes",'Equipment List &amp; Usage'!$C$114*(IF('Equipment List &amp; Usage'!$AA17&gt;0,'Weekly Summary'!AO$128,0)+IF('Equipment List &amp; Usage'!$AB17&gt;0,'Weekly Summary'!AO$100+'Weekly Summary'!AO$101,0)),'Equipment List &amp; Usage'!$C$115*(('Weekly Summary'!AO$128*'Equipment List &amp; Usage'!$AA17)+('Weekly Summary'!AO$100*'Equipment List &amp; Usage'!$AB17*SelfQuarantine_Mild)+('Weekly Summary'!AO$101*'Equipment List &amp; Usage'!$AB17*SelfQuarantine_Moderate)))+IF('Equipment List &amp; Usage'!$F17="Yes",('Equipment List &amp; Usage'!$C$114*(IF('Equipment List &amp; Usage'!$AE17&gt;0,'Weekly Summary'!AO$134,0)+IF('Equipment List &amp; Usage'!$AF17&gt;0,'Weekly Summary'!AO$135))),'Equipment List &amp; Usage'!$C$115*(('Weekly Summary'!AO$134*'Equipment List &amp; Usage'!$AE17)+('Weekly Summary'!AO$135*'Equipment List &amp; Usage'!$AF17)))),0)</f>
        <v>0</v>
      </c>
      <c r="AV15" s="1374">
        <f ca="1">MAX(IF($F15="Yes",(
IF($F15="yes",MMULT(--('Equipment List &amp; Usage'!$J17:$N17&gt;0),--('Weekly Summary'!AP$112:AP$116))*'Equipment List &amp; Usage'!$C$114,MMULT(--('Equipment List &amp; Usage'!$J17:$N17),--('Weekly Summary'!AP$112:AP$116))*'Equipment List &amp; Usage'!$C$115)+IF('Equipment List &amp; Usage'!$F16="yes",'Equipment List &amp; Usage'!$C$114,'Equipment List &amp; Usage'!$C$115)*(('Weekly Summary'!AP$66*'Equipment List &amp; Usage'!$Q17)+('Weekly Summary'!AP$64*'Equipment List &amp; Usage'!$O17)+('Weekly Summary'!AP$65*'Equipment List &amp; Usage'!$P17)))+(IF('Equipment List &amp; Usage'!$F17="Yes",'Equipment List &amp; Usage'!$C$114*((('Weekly Summary'!AP$131*SelfQuarantine_Mild)+('Weekly Summary'!AP$100*SelfQuarantine_Mild)+('Weekly Summary'!AP$101*SelfQuarantine_Moderate))),'Equipment List &amp; Usage'!$C$115)*((('Weekly Summary'!AP$131*SelfQuarantine_Mild*'Equipment List &amp; Usage'!$W17)+('Weekly Summary'!AP$100*SelfQuarantine_Mild*'Equipment List &amp; Usage'!$X17)+('Weekly Summary'!AP$101*SelfQuarantine_Moderate*'Equipment List &amp; Usage'!$X17)))+IF('Equipment List &amp; Usage'!$F17="Yes",'Equipment List &amp; Usage'!$C$114*(IF('Equipment List &amp; Usage'!$AA17&gt;0,'Weekly Summary'!AP$128,0)+IF('Equipment List &amp; Usage'!$AB17&gt;0,'Weekly Summary'!AP$100+'Weekly Summary'!AP$101,0)),'Equipment List &amp; Usage'!$C$115*(('Weekly Summary'!AP$128*'Equipment List &amp; Usage'!$AA17)+('Weekly Summary'!AP$100*'Equipment List &amp; Usage'!$AB17*SelfQuarantine_Mild)+('Weekly Summary'!AP$101*'Equipment List &amp; Usage'!$AB17*SelfQuarantine_Moderate)))+IF('Equipment List &amp; Usage'!$F17="Yes",('Equipment List &amp; Usage'!$C$114*(IF('Equipment List &amp; Usage'!$AE17&gt;0,'Weekly Summary'!AP$134,0)+IF('Equipment List &amp; Usage'!$AF17&gt;0,'Weekly Summary'!AP$135))),'Equipment List &amp; Usage'!$C$115*(('Weekly Summary'!AP$134*'Equipment List &amp; Usage'!$AE17)+('Weekly Summary'!AP$135*'Equipment List &amp; Usage'!$AF17))))-SUM($I15:AU15),
IF($F15="yes",MMULT(--('Equipment List &amp; Usage'!$J17:$N17&gt;0),--('Weekly Summary'!AP$112:AP$116))*'Equipment List &amp; Usage'!$C$114,MMULT(--('Equipment List &amp; Usage'!$J17:$N17),--('Weekly Summary'!AP$112:AP$116))*'Equipment List &amp; Usage'!$C$115)+IF('Equipment List &amp; Usage'!$F16="yes",'Equipment List &amp; Usage'!$C$114,'Equipment List &amp; Usage'!$C$115)*(('Weekly Summary'!AP$66*'Equipment List &amp; Usage'!$Q17)+('Weekly Summary'!AP$64*'Equipment List &amp; Usage'!$O17)+('Weekly Summary'!AP$65*'Equipment List &amp; Usage'!$P17))+(IF('Equipment List &amp; Usage'!$F17="Yes",'Equipment List &amp; Usage'!$C$114*((('Weekly Summary'!AP$131*SelfQuarantine_Mild)+('Weekly Summary'!AP$100*SelfQuarantine_Mild)+('Weekly Summary'!AP$101*SelfQuarantine_Moderate))),'Equipment List &amp; Usage'!$C$115)*((('Weekly Summary'!AP$131*SelfQuarantine_Mild*'Equipment List &amp; Usage'!$W17)+('Weekly Summary'!AP$100*SelfQuarantine_Mild*'Equipment List &amp; Usage'!$X17)+('Weekly Summary'!AP$101*SelfQuarantine_Moderate*'Equipment List &amp; Usage'!$X17))))+IF('Equipment List &amp; Usage'!$F17="Yes",'Equipment List &amp; Usage'!$C$114*(IF('Equipment List &amp; Usage'!$AA17&gt;0,'Weekly Summary'!AP$128,0)+IF('Equipment List &amp; Usage'!$AB17&gt;0,'Weekly Summary'!AP$100+'Weekly Summary'!AP$101,0)),'Equipment List &amp; Usage'!$C$115*(('Weekly Summary'!AP$128*'Equipment List &amp; Usage'!$AA17)+('Weekly Summary'!AP$100*'Equipment List &amp; Usage'!$AB17*SelfQuarantine_Mild)+('Weekly Summary'!AP$101*'Equipment List &amp; Usage'!$AB17*SelfQuarantine_Moderate)))+IF('Equipment List &amp; Usage'!$F17="Yes",('Equipment List &amp; Usage'!$C$114*(IF('Equipment List &amp; Usage'!$AE17&gt;0,'Weekly Summary'!AP$134,0)+IF('Equipment List &amp; Usage'!$AF17&gt;0,'Weekly Summary'!AP$135))),'Equipment List &amp; Usage'!$C$115*(('Weekly Summary'!AP$134*'Equipment List &amp; Usage'!$AE17)+('Weekly Summary'!AP$135*'Equipment List &amp; Usage'!$AF17)))),0)</f>
        <v>0</v>
      </c>
      <c r="AW15" s="1374">
        <f ca="1">MAX(IF($F15="Yes",(
IF($F15="yes",MMULT(--('Equipment List &amp; Usage'!$J17:$N17&gt;0),--('Weekly Summary'!AQ$112:AQ$116))*'Equipment List &amp; Usage'!$C$114,MMULT(--('Equipment List &amp; Usage'!$J17:$N17),--('Weekly Summary'!AQ$112:AQ$116))*'Equipment List &amp; Usage'!$C$115)+IF('Equipment List &amp; Usage'!$F16="yes",'Equipment List &amp; Usage'!$C$114,'Equipment List &amp; Usage'!$C$115)*(('Weekly Summary'!AQ$66*'Equipment List &amp; Usage'!$Q17)+('Weekly Summary'!AQ$64*'Equipment List &amp; Usage'!$O17)+('Weekly Summary'!AQ$65*'Equipment List &amp; Usage'!$P17)))+(IF('Equipment List &amp; Usage'!$F17="Yes",'Equipment List &amp; Usage'!$C$114*((('Weekly Summary'!AQ$131*SelfQuarantine_Mild)+('Weekly Summary'!AQ$100*SelfQuarantine_Mild)+('Weekly Summary'!AQ$101*SelfQuarantine_Moderate))),'Equipment List &amp; Usage'!$C$115)*((('Weekly Summary'!AQ$131*SelfQuarantine_Mild*'Equipment List &amp; Usage'!$W17)+('Weekly Summary'!AQ$100*SelfQuarantine_Mild*'Equipment List &amp; Usage'!$X17)+('Weekly Summary'!AQ$101*SelfQuarantine_Moderate*'Equipment List &amp; Usage'!$X17)))+IF('Equipment List &amp; Usage'!$F17="Yes",'Equipment List &amp; Usage'!$C$114*(IF('Equipment List &amp; Usage'!$AA17&gt;0,'Weekly Summary'!AQ$128,0)+IF('Equipment List &amp; Usage'!$AB17&gt;0,'Weekly Summary'!AQ$100+'Weekly Summary'!AQ$101,0)),'Equipment List &amp; Usage'!$C$115*(('Weekly Summary'!AQ$128*'Equipment List &amp; Usage'!$AA17)+('Weekly Summary'!AQ$100*'Equipment List &amp; Usage'!$AB17*SelfQuarantine_Mild)+('Weekly Summary'!AQ$101*'Equipment List &amp; Usage'!$AB17*SelfQuarantine_Moderate)))+IF('Equipment List &amp; Usage'!$F17="Yes",('Equipment List &amp; Usage'!$C$114*(IF('Equipment List &amp; Usage'!$AE17&gt;0,'Weekly Summary'!AQ$134,0)+IF('Equipment List &amp; Usage'!$AF17&gt;0,'Weekly Summary'!AQ$135))),'Equipment List &amp; Usage'!$C$115*(('Weekly Summary'!AQ$134*'Equipment List &amp; Usage'!$AE17)+('Weekly Summary'!AQ$135*'Equipment List &amp; Usage'!$AF17))))-SUM($I15:AV15),
IF($F15="yes",MMULT(--('Equipment List &amp; Usage'!$J17:$N17&gt;0),--('Weekly Summary'!AQ$112:AQ$116))*'Equipment List &amp; Usage'!$C$114,MMULT(--('Equipment List &amp; Usage'!$J17:$N17),--('Weekly Summary'!AQ$112:AQ$116))*'Equipment List &amp; Usage'!$C$115)+IF('Equipment List &amp; Usage'!$F16="yes",'Equipment List &amp; Usage'!$C$114,'Equipment List &amp; Usage'!$C$115)*(('Weekly Summary'!AQ$66*'Equipment List &amp; Usage'!$Q17)+('Weekly Summary'!AQ$64*'Equipment List &amp; Usage'!$O17)+('Weekly Summary'!AQ$65*'Equipment List &amp; Usage'!$P17))+(IF('Equipment List &amp; Usage'!$F17="Yes",'Equipment List &amp; Usage'!$C$114*((('Weekly Summary'!AQ$131*SelfQuarantine_Mild)+('Weekly Summary'!AQ$100*SelfQuarantine_Mild)+('Weekly Summary'!AQ$101*SelfQuarantine_Moderate))),'Equipment List &amp; Usage'!$C$115)*((('Weekly Summary'!AQ$131*SelfQuarantine_Mild*'Equipment List &amp; Usage'!$W17)+('Weekly Summary'!AQ$100*SelfQuarantine_Mild*'Equipment List &amp; Usage'!$X17)+('Weekly Summary'!AQ$101*SelfQuarantine_Moderate*'Equipment List &amp; Usage'!$X17))))+IF('Equipment List &amp; Usage'!$F17="Yes",'Equipment List &amp; Usage'!$C$114*(IF('Equipment List &amp; Usage'!$AA17&gt;0,'Weekly Summary'!AQ$128,0)+IF('Equipment List &amp; Usage'!$AB17&gt;0,'Weekly Summary'!AQ$100+'Weekly Summary'!AQ$101,0)),'Equipment List &amp; Usage'!$C$115*(('Weekly Summary'!AQ$128*'Equipment List &amp; Usage'!$AA17)+('Weekly Summary'!AQ$100*'Equipment List &amp; Usage'!$AB17*SelfQuarantine_Mild)+('Weekly Summary'!AQ$101*'Equipment List &amp; Usage'!$AB17*SelfQuarantine_Moderate)))+IF('Equipment List &amp; Usage'!$F17="Yes",('Equipment List &amp; Usage'!$C$114*(IF('Equipment List &amp; Usage'!$AE17&gt;0,'Weekly Summary'!AQ$134,0)+IF('Equipment List &amp; Usage'!$AF17&gt;0,'Weekly Summary'!AQ$135))),'Equipment List &amp; Usage'!$C$115*(('Weekly Summary'!AQ$134*'Equipment List &amp; Usage'!$AE17)+('Weekly Summary'!AQ$135*'Equipment List &amp; Usage'!$AF17)))),0)</f>
        <v>0</v>
      </c>
      <c r="AX15" s="1374">
        <f ca="1">MAX(IF($F15="Yes",(
IF($F15="yes",MMULT(--('Equipment List &amp; Usage'!$J17:$N17&gt;0),--('Weekly Summary'!AR$112:AR$116))*'Equipment List &amp; Usage'!$C$114,MMULT(--('Equipment List &amp; Usage'!$J17:$N17),--('Weekly Summary'!AR$112:AR$116))*'Equipment List &amp; Usage'!$C$115)+IF('Equipment List &amp; Usage'!$F16="yes",'Equipment List &amp; Usage'!$C$114,'Equipment List &amp; Usage'!$C$115)*(('Weekly Summary'!AR$66*'Equipment List &amp; Usage'!$Q17)+('Weekly Summary'!AR$64*'Equipment List &amp; Usage'!$O17)+('Weekly Summary'!AR$65*'Equipment List &amp; Usage'!$P17)))+(IF('Equipment List &amp; Usage'!$F17="Yes",'Equipment List &amp; Usage'!$C$114*((('Weekly Summary'!AR$131*SelfQuarantine_Mild)+('Weekly Summary'!AR$100*SelfQuarantine_Mild)+('Weekly Summary'!AR$101*SelfQuarantine_Moderate))),'Equipment List &amp; Usage'!$C$115)*((('Weekly Summary'!AR$131*SelfQuarantine_Mild*'Equipment List &amp; Usage'!$W17)+('Weekly Summary'!AR$100*SelfQuarantine_Mild*'Equipment List &amp; Usage'!$X17)+('Weekly Summary'!AR$101*SelfQuarantine_Moderate*'Equipment List &amp; Usage'!$X17)))+IF('Equipment List &amp; Usage'!$F17="Yes",'Equipment List &amp; Usage'!$C$114*(IF('Equipment List &amp; Usage'!$AA17&gt;0,'Weekly Summary'!AR$128,0)+IF('Equipment List &amp; Usage'!$AB17&gt;0,'Weekly Summary'!AR$100+'Weekly Summary'!AR$101,0)),'Equipment List &amp; Usage'!$C$115*(('Weekly Summary'!AR$128*'Equipment List &amp; Usage'!$AA17)+('Weekly Summary'!AR$100*'Equipment List &amp; Usage'!$AB17*SelfQuarantine_Mild)+('Weekly Summary'!AR$101*'Equipment List &amp; Usage'!$AB17*SelfQuarantine_Moderate)))+IF('Equipment List &amp; Usage'!$F17="Yes",('Equipment List &amp; Usage'!$C$114*(IF('Equipment List &amp; Usage'!$AE17&gt;0,'Weekly Summary'!AR$134,0)+IF('Equipment List &amp; Usage'!$AF17&gt;0,'Weekly Summary'!AR$135))),'Equipment List &amp; Usage'!$C$115*(('Weekly Summary'!AR$134*'Equipment List &amp; Usage'!$AE17)+('Weekly Summary'!AR$135*'Equipment List &amp; Usage'!$AF17))))-SUM($I15:AW15),
IF($F15="yes",MMULT(--('Equipment List &amp; Usage'!$J17:$N17&gt;0),--('Weekly Summary'!AR$112:AR$116))*'Equipment List &amp; Usage'!$C$114,MMULT(--('Equipment List &amp; Usage'!$J17:$N17),--('Weekly Summary'!AR$112:AR$116))*'Equipment List &amp; Usage'!$C$115)+IF('Equipment List &amp; Usage'!$F16="yes",'Equipment List &amp; Usage'!$C$114,'Equipment List &amp; Usage'!$C$115)*(('Weekly Summary'!AR$66*'Equipment List &amp; Usage'!$Q17)+('Weekly Summary'!AR$64*'Equipment List &amp; Usage'!$O17)+('Weekly Summary'!AR$65*'Equipment List &amp; Usage'!$P17))+(IF('Equipment List &amp; Usage'!$F17="Yes",'Equipment List &amp; Usage'!$C$114*((('Weekly Summary'!AR$131*SelfQuarantine_Mild)+('Weekly Summary'!AR$100*SelfQuarantine_Mild)+('Weekly Summary'!AR$101*SelfQuarantine_Moderate))),'Equipment List &amp; Usage'!$C$115)*((('Weekly Summary'!AR$131*SelfQuarantine_Mild*'Equipment List &amp; Usage'!$W17)+('Weekly Summary'!AR$100*SelfQuarantine_Mild*'Equipment List &amp; Usage'!$X17)+('Weekly Summary'!AR$101*SelfQuarantine_Moderate*'Equipment List &amp; Usage'!$X17))))+IF('Equipment List &amp; Usage'!$F17="Yes",'Equipment List &amp; Usage'!$C$114*(IF('Equipment List &amp; Usage'!$AA17&gt;0,'Weekly Summary'!AR$128,0)+IF('Equipment List &amp; Usage'!$AB17&gt;0,'Weekly Summary'!AR$100+'Weekly Summary'!AR$101,0)),'Equipment List &amp; Usage'!$C$115*(('Weekly Summary'!AR$128*'Equipment List &amp; Usage'!$AA17)+('Weekly Summary'!AR$100*'Equipment List &amp; Usage'!$AB17*SelfQuarantine_Mild)+('Weekly Summary'!AR$101*'Equipment List &amp; Usage'!$AB17*SelfQuarantine_Moderate)))+IF('Equipment List &amp; Usage'!$F17="Yes",('Equipment List &amp; Usage'!$C$114*(IF('Equipment List &amp; Usage'!$AE17&gt;0,'Weekly Summary'!AR$134,0)+IF('Equipment List &amp; Usage'!$AF17&gt;0,'Weekly Summary'!AR$135))),'Equipment List &amp; Usage'!$C$115*(('Weekly Summary'!AR$134*'Equipment List &amp; Usage'!$AE17)+('Weekly Summary'!AR$135*'Equipment List &amp; Usage'!$AF17)))),0)</f>
        <v>0</v>
      </c>
      <c r="AY15" s="1374">
        <f ca="1">MAX(IF($F15="Yes",(
IF($F15="yes",MMULT(--('Equipment List &amp; Usage'!$J17:$N17&gt;0),--('Weekly Summary'!AS$112:AS$116))*'Equipment List &amp; Usage'!$C$114,MMULT(--('Equipment List &amp; Usage'!$J17:$N17),--('Weekly Summary'!AS$112:AS$116))*'Equipment List &amp; Usage'!$C$115)+IF('Equipment List &amp; Usage'!$F16="yes",'Equipment List &amp; Usage'!$C$114,'Equipment List &amp; Usage'!$C$115)*(('Weekly Summary'!AS$66*'Equipment List &amp; Usage'!$Q17)+('Weekly Summary'!AS$64*'Equipment List &amp; Usage'!$O17)+('Weekly Summary'!AS$65*'Equipment List &amp; Usage'!$P17)))+(IF('Equipment List &amp; Usage'!$F17="Yes",'Equipment List &amp; Usage'!$C$114*((('Weekly Summary'!AS$131*SelfQuarantine_Mild)+('Weekly Summary'!AS$100*SelfQuarantine_Mild)+('Weekly Summary'!AS$101*SelfQuarantine_Moderate))),'Equipment List &amp; Usage'!$C$115)*((('Weekly Summary'!AS$131*SelfQuarantine_Mild*'Equipment List &amp; Usage'!$W17)+('Weekly Summary'!AS$100*SelfQuarantine_Mild*'Equipment List &amp; Usage'!$X17)+('Weekly Summary'!AS$101*SelfQuarantine_Moderate*'Equipment List &amp; Usage'!$X17)))+IF('Equipment List &amp; Usage'!$F17="Yes",'Equipment List &amp; Usage'!$C$114*(IF('Equipment List &amp; Usage'!$AA17&gt;0,'Weekly Summary'!AS$128,0)+IF('Equipment List &amp; Usage'!$AB17&gt;0,'Weekly Summary'!AS$100+'Weekly Summary'!AS$101,0)),'Equipment List &amp; Usage'!$C$115*(('Weekly Summary'!AS$128*'Equipment List &amp; Usage'!$AA17)+('Weekly Summary'!AS$100*'Equipment List &amp; Usage'!$AB17*SelfQuarantine_Mild)+('Weekly Summary'!AS$101*'Equipment List &amp; Usage'!$AB17*SelfQuarantine_Moderate)))+IF('Equipment List &amp; Usage'!$F17="Yes",('Equipment List &amp; Usage'!$C$114*(IF('Equipment List &amp; Usage'!$AE17&gt;0,'Weekly Summary'!AS$134,0)+IF('Equipment List &amp; Usage'!$AF17&gt;0,'Weekly Summary'!AS$135))),'Equipment List &amp; Usage'!$C$115*(('Weekly Summary'!AS$134*'Equipment List &amp; Usage'!$AE17)+('Weekly Summary'!AS$135*'Equipment List &amp; Usage'!$AF17))))-SUM($I15:AX15),
IF($F15="yes",MMULT(--('Equipment List &amp; Usage'!$J17:$N17&gt;0),--('Weekly Summary'!AS$112:AS$116))*'Equipment List &amp; Usage'!$C$114,MMULT(--('Equipment List &amp; Usage'!$J17:$N17),--('Weekly Summary'!AS$112:AS$116))*'Equipment List &amp; Usage'!$C$115)+IF('Equipment List &amp; Usage'!$F16="yes",'Equipment List &amp; Usage'!$C$114,'Equipment List &amp; Usage'!$C$115)*(('Weekly Summary'!AS$66*'Equipment List &amp; Usage'!$Q17)+('Weekly Summary'!AS$64*'Equipment List &amp; Usage'!$O17)+('Weekly Summary'!AS$65*'Equipment List &amp; Usage'!$P17))+(IF('Equipment List &amp; Usage'!$F17="Yes",'Equipment List &amp; Usage'!$C$114*((('Weekly Summary'!AS$131*SelfQuarantine_Mild)+('Weekly Summary'!AS$100*SelfQuarantine_Mild)+('Weekly Summary'!AS$101*SelfQuarantine_Moderate))),'Equipment List &amp; Usage'!$C$115)*((('Weekly Summary'!AS$131*SelfQuarantine_Mild*'Equipment List &amp; Usage'!$W17)+('Weekly Summary'!AS$100*SelfQuarantine_Mild*'Equipment List &amp; Usage'!$X17)+('Weekly Summary'!AS$101*SelfQuarantine_Moderate*'Equipment List &amp; Usage'!$X17))))+IF('Equipment List &amp; Usage'!$F17="Yes",'Equipment List &amp; Usage'!$C$114*(IF('Equipment List &amp; Usage'!$AA17&gt;0,'Weekly Summary'!AS$128,0)+IF('Equipment List &amp; Usage'!$AB17&gt;0,'Weekly Summary'!AS$100+'Weekly Summary'!AS$101,0)),'Equipment List &amp; Usage'!$C$115*(('Weekly Summary'!AS$128*'Equipment List &amp; Usage'!$AA17)+('Weekly Summary'!AS$100*'Equipment List &amp; Usage'!$AB17*SelfQuarantine_Mild)+('Weekly Summary'!AS$101*'Equipment List &amp; Usage'!$AB17*SelfQuarantine_Moderate)))+IF('Equipment List &amp; Usage'!$F17="Yes",('Equipment List &amp; Usage'!$C$114*(IF('Equipment List &amp; Usage'!$AE17&gt;0,'Weekly Summary'!AS$134,0)+IF('Equipment List &amp; Usage'!$AF17&gt;0,'Weekly Summary'!AS$135))),'Equipment List &amp; Usage'!$C$115*(('Weekly Summary'!AS$134*'Equipment List &amp; Usage'!$AE17)+('Weekly Summary'!AS$135*'Equipment List &amp; Usage'!$AF17)))),0)</f>
        <v>0</v>
      </c>
      <c r="AZ15" s="1374">
        <f ca="1">MAX(IF($F15="Yes",(
IF($F15="yes",MMULT(--('Equipment List &amp; Usage'!$J17:$N17&gt;0),--('Weekly Summary'!AT$112:AT$116))*'Equipment List &amp; Usage'!$C$114,MMULT(--('Equipment List &amp; Usage'!$J17:$N17),--('Weekly Summary'!AT$112:AT$116))*'Equipment List &amp; Usage'!$C$115)+IF('Equipment List &amp; Usage'!$F16="yes",'Equipment List &amp; Usage'!$C$114,'Equipment List &amp; Usage'!$C$115)*(('Weekly Summary'!AT$66*'Equipment List &amp; Usage'!$Q17)+('Weekly Summary'!AT$64*'Equipment List &amp; Usage'!$O17)+('Weekly Summary'!AT$65*'Equipment List &amp; Usage'!$P17)))+(IF('Equipment List &amp; Usage'!$F17="Yes",'Equipment List &amp; Usage'!$C$114*((('Weekly Summary'!AT$131*SelfQuarantine_Mild)+('Weekly Summary'!AT$100*SelfQuarantine_Mild)+('Weekly Summary'!AT$101*SelfQuarantine_Moderate))),'Equipment List &amp; Usage'!$C$115)*((('Weekly Summary'!AT$131*SelfQuarantine_Mild*'Equipment List &amp; Usage'!$W17)+('Weekly Summary'!AT$100*SelfQuarantine_Mild*'Equipment List &amp; Usage'!$X17)+('Weekly Summary'!AT$101*SelfQuarantine_Moderate*'Equipment List &amp; Usage'!$X17)))+IF('Equipment List &amp; Usage'!$F17="Yes",'Equipment List &amp; Usage'!$C$114*(IF('Equipment List &amp; Usage'!$AA17&gt;0,'Weekly Summary'!AT$128,0)+IF('Equipment List &amp; Usage'!$AB17&gt;0,'Weekly Summary'!AT$100+'Weekly Summary'!AT$101,0)),'Equipment List &amp; Usage'!$C$115*(('Weekly Summary'!AT$128*'Equipment List &amp; Usage'!$AA17)+('Weekly Summary'!AT$100*'Equipment List &amp; Usage'!$AB17*SelfQuarantine_Mild)+('Weekly Summary'!AT$101*'Equipment List &amp; Usage'!$AB17*SelfQuarantine_Moderate)))+IF('Equipment List &amp; Usage'!$F17="Yes",('Equipment List &amp; Usage'!$C$114*(IF('Equipment List &amp; Usage'!$AE17&gt;0,'Weekly Summary'!AT$134,0)+IF('Equipment List &amp; Usage'!$AF17&gt;0,'Weekly Summary'!AT$135))),'Equipment List &amp; Usage'!$C$115*(('Weekly Summary'!AT$134*'Equipment List &amp; Usage'!$AE17)+('Weekly Summary'!AT$135*'Equipment List &amp; Usage'!$AF17))))-SUM($I15:AY15),
IF($F15="yes",MMULT(--('Equipment List &amp; Usage'!$J17:$N17&gt;0),--('Weekly Summary'!AT$112:AT$116))*'Equipment List &amp; Usage'!$C$114,MMULT(--('Equipment List &amp; Usage'!$J17:$N17),--('Weekly Summary'!AT$112:AT$116))*'Equipment List &amp; Usage'!$C$115)+IF('Equipment List &amp; Usage'!$F16="yes",'Equipment List &amp; Usage'!$C$114,'Equipment List &amp; Usage'!$C$115)*(('Weekly Summary'!AT$66*'Equipment List &amp; Usage'!$Q17)+('Weekly Summary'!AT$64*'Equipment List &amp; Usage'!$O17)+('Weekly Summary'!AT$65*'Equipment List &amp; Usage'!$P17))+(IF('Equipment List &amp; Usage'!$F17="Yes",'Equipment List &amp; Usage'!$C$114*((('Weekly Summary'!AT$131*SelfQuarantine_Mild)+('Weekly Summary'!AT$100*SelfQuarantine_Mild)+('Weekly Summary'!AT$101*SelfQuarantine_Moderate))),'Equipment List &amp; Usage'!$C$115)*((('Weekly Summary'!AT$131*SelfQuarantine_Mild*'Equipment List &amp; Usage'!$W17)+('Weekly Summary'!AT$100*SelfQuarantine_Mild*'Equipment List &amp; Usage'!$X17)+('Weekly Summary'!AT$101*SelfQuarantine_Moderate*'Equipment List &amp; Usage'!$X17))))+IF('Equipment List &amp; Usage'!$F17="Yes",'Equipment List &amp; Usage'!$C$114*(IF('Equipment List &amp; Usage'!$AA17&gt;0,'Weekly Summary'!AT$128,0)+IF('Equipment List &amp; Usage'!$AB17&gt;0,'Weekly Summary'!AT$100+'Weekly Summary'!AT$101,0)),'Equipment List &amp; Usage'!$C$115*(('Weekly Summary'!AT$128*'Equipment List &amp; Usage'!$AA17)+('Weekly Summary'!AT$100*'Equipment List &amp; Usage'!$AB17*SelfQuarantine_Mild)+('Weekly Summary'!AT$101*'Equipment List &amp; Usage'!$AB17*SelfQuarantine_Moderate)))+IF('Equipment List &amp; Usage'!$F17="Yes",('Equipment List &amp; Usage'!$C$114*(IF('Equipment List &amp; Usage'!$AE17&gt;0,'Weekly Summary'!AT$134,0)+IF('Equipment List &amp; Usage'!$AF17&gt;0,'Weekly Summary'!AT$135))),'Equipment List &amp; Usage'!$C$115*(('Weekly Summary'!AT$134*'Equipment List &amp; Usage'!$AE17)+('Weekly Summary'!AT$135*'Equipment List &amp; Usage'!$AF17)))),0)</f>
        <v>0</v>
      </c>
      <c r="BA15" s="1374">
        <f ca="1">MAX(IF($F15="Yes",(
IF($F15="yes",MMULT(--('Equipment List &amp; Usage'!$J17:$N17&gt;0),--('Weekly Summary'!AU$112:AU$116))*'Equipment List &amp; Usage'!$C$114,MMULT(--('Equipment List &amp; Usage'!$J17:$N17),--('Weekly Summary'!AU$112:AU$116))*'Equipment List &amp; Usage'!$C$115)+IF('Equipment List &amp; Usage'!$F16="yes",'Equipment List &amp; Usage'!$C$114,'Equipment List &amp; Usage'!$C$115)*(('Weekly Summary'!AU$66*'Equipment List &amp; Usage'!$Q17)+('Weekly Summary'!AU$64*'Equipment List &amp; Usage'!$O17)+('Weekly Summary'!AU$65*'Equipment List &amp; Usage'!$P17)))+(IF('Equipment List &amp; Usage'!$F17="Yes",'Equipment List &amp; Usage'!$C$114*((('Weekly Summary'!AU$131*SelfQuarantine_Mild)+('Weekly Summary'!AU$100*SelfQuarantine_Mild)+('Weekly Summary'!AU$101*SelfQuarantine_Moderate))),'Equipment List &amp; Usage'!$C$115)*((('Weekly Summary'!AU$131*SelfQuarantine_Mild*'Equipment List &amp; Usage'!$W17)+('Weekly Summary'!AU$100*SelfQuarantine_Mild*'Equipment List &amp; Usage'!$X17)+('Weekly Summary'!AU$101*SelfQuarantine_Moderate*'Equipment List &amp; Usage'!$X17)))+IF('Equipment List &amp; Usage'!$F17="Yes",'Equipment List &amp; Usage'!$C$114*(IF('Equipment List &amp; Usage'!$AA17&gt;0,'Weekly Summary'!AU$128,0)+IF('Equipment List &amp; Usage'!$AB17&gt;0,'Weekly Summary'!AU$100+'Weekly Summary'!AU$101,0)),'Equipment List &amp; Usage'!$C$115*(('Weekly Summary'!AU$128*'Equipment List &amp; Usage'!$AA17)+('Weekly Summary'!AU$100*'Equipment List &amp; Usage'!$AB17*SelfQuarantine_Mild)+('Weekly Summary'!AU$101*'Equipment List &amp; Usage'!$AB17*SelfQuarantine_Moderate)))+IF('Equipment List &amp; Usage'!$F17="Yes",('Equipment List &amp; Usage'!$C$114*(IF('Equipment List &amp; Usage'!$AE17&gt;0,'Weekly Summary'!AU$134,0)+IF('Equipment List &amp; Usage'!$AF17&gt;0,'Weekly Summary'!AU$135))),'Equipment List &amp; Usage'!$C$115*(('Weekly Summary'!AU$134*'Equipment List &amp; Usage'!$AE17)+('Weekly Summary'!AU$135*'Equipment List &amp; Usage'!$AF17))))-SUM($I15:AZ15),
IF($F15="yes",MMULT(--('Equipment List &amp; Usage'!$J17:$N17&gt;0),--('Weekly Summary'!AU$112:AU$116))*'Equipment List &amp; Usage'!$C$114,MMULT(--('Equipment List &amp; Usage'!$J17:$N17),--('Weekly Summary'!AU$112:AU$116))*'Equipment List &amp; Usage'!$C$115)+IF('Equipment List &amp; Usage'!$F16="yes",'Equipment List &amp; Usage'!$C$114,'Equipment List &amp; Usage'!$C$115)*(('Weekly Summary'!AU$66*'Equipment List &amp; Usage'!$Q17)+('Weekly Summary'!AU$64*'Equipment List &amp; Usage'!$O17)+('Weekly Summary'!AU$65*'Equipment List &amp; Usage'!$P17))+(IF('Equipment List &amp; Usage'!$F17="Yes",'Equipment List &amp; Usage'!$C$114*((('Weekly Summary'!AU$131*SelfQuarantine_Mild)+('Weekly Summary'!AU$100*SelfQuarantine_Mild)+('Weekly Summary'!AU$101*SelfQuarantine_Moderate))),'Equipment List &amp; Usage'!$C$115)*((('Weekly Summary'!AU$131*SelfQuarantine_Mild*'Equipment List &amp; Usage'!$W17)+('Weekly Summary'!AU$100*SelfQuarantine_Mild*'Equipment List &amp; Usage'!$X17)+('Weekly Summary'!AU$101*SelfQuarantine_Moderate*'Equipment List &amp; Usage'!$X17))))+IF('Equipment List &amp; Usage'!$F17="Yes",'Equipment List &amp; Usage'!$C$114*(IF('Equipment List &amp; Usage'!$AA17&gt;0,'Weekly Summary'!AU$128,0)+IF('Equipment List &amp; Usage'!$AB17&gt;0,'Weekly Summary'!AU$100+'Weekly Summary'!AU$101,0)),'Equipment List &amp; Usage'!$C$115*(('Weekly Summary'!AU$128*'Equipment List &amp; Usage'!$AA17)+('Weekly Summary'!AU$100*'Equipment List &amp; Usage'!$AB17*SelfQuarantine_Mild)+('Weekly Summary'!AU$101*'Equipment List &amp; Usage'!$AB17*SelfQuarantine_Moderate)))+IF('Equipment List &amp; Usage'!$F17="Yes",('Equipment List &amp; Usage'!$C$114*(IF('Equipment List &amp; Usage'!$AE17&gt;0,'Weekly Summary'!AU$134,0)+IF('Equipment List &amp; Usage'!$AF17&gt;0,'Weekly Summary'!AU$135))),'Equipment List &amp; Usage'!$C$115*(('Weekly Summary'!AU$134*'Equipment List &amp; Usage'!$AE17)+('Weekly Summary'!AU$135*'Equipment List &amp; Usage'!$AF17)))),0)</f>
        <v>0</v>
      </c>
      <c r="BB15" s="1374">
        <f ca="1">MAX(IF($F15="Yes",(
IF($F15="yes",MMULT(--('Equipment List &amp; Usage'!$J17:$N17&gt;0),--('Weekly Summary'!AV$112:AV$116))*'Equipment List &amp; Usage'!$C$114,MMULT(--('Equipment List &amp; Usage'!$J17:$N17),--('Weekly Summary'!AV$112:AV$116))*'Equipment List &amp; Usage'!$C$115)+IF('Equipment List &amp; Usage'!$F16="yes",'Equipment List &amp; Usage'!$C$114,'Equipment List &amp; Usage'!$C$115)*(('Weekly Summary'!AV$66*'Equipment List &amp; Usage'!$Q17)+('Weekly Summary'!AV$64*'Equipment List &amp; Usage'!$O17)+('Weekly Summary'!AV$65*'Equipment List &amp; Usage'!$P17)))+(IF('Equipment List &amp; Usage'!$F17="Yes",'Equipment List &amp; Usage'!$C$114*((('Weekly Summary'!AV$131*SelfQuarantine_Mild)+('Weekly Summary'!AV$100*SelfQuarantine_Mild)+('Weekly Summary'!AV$101*SelfQuarantine_Moderate))),'Equipment List &amp; Usage'!$C$115)*((('Weekly Summary'!AV$131*SelfQuarantine_Mild*'Equipment List &amp; Usage'!$W17)+('Weekly Summary'!AV$100*SelfQuarantine_Mild*'Equipment List &amp; Usage'!$X17)+('Weekly Summary'!AV$101*SelfQuarantine_Moderate*'Equipment List &amp; Usage'!$X17)))+IF('Equipment List &amp; Usage'!$F17="Yes",'Equipment List &amp; Usage'!$C$114*(IF('Equipment List &amp; Usage'!$AA17&gt;0,'Weekly Summary'!AV$128,0)+IF('Equipment List &amp; Usage'!$AB17&gt;0,'Weekly Summary'!AV$100+'Weekly Summary'!AV$101,0)),'Equipment List &amp; Usage'!$C$115*(('Weekly Summary'!AV$128*'Equipment List &amp; Usage'!$AA17)+('Weekly Summary'!AV$100*'Equipment List &amp; Usage'!$AB17*SelfQuarantine_Mild)+('Weekly Summary'!AV$101*'Equipment List &amp; Usage'!$AB17*SelfQuarantine_Moderate)))+IF('Equipment List &amp; Usage'!$F17="Yes",('Equipment List &amp; Usage'!$C$114*(IF('Equipment List &amp; Usage'!$AE17&gt;0,'Weekly Summary'!AV$134,0)+IF('Equipment List &amp; Usage'!$AF17&gt;0,'Weekly Summary'!AV$135))),'Equipment List &amp; Usage'!$C$115*(('Weekly Summary'!AV$134*'Equipment List &amp; Usage'!$AE17)+('Weekly Summary'!AV$135*'Equipment List &amp; Usage'!$AF17))))-SUM($I15:BA15),
IF($F15="yes",MMULT(--('Equipment List &amp; Usage'!$J17:$N17&gt;0),--('Weekly Summary'!AV$112:AV$116))*'Equipment List &amp; Usage'!$C$114,MMULT(--('Equipment List &amp; Usage'!$J17:$N17),--('Weekly Summary'!AV$112:AV$116))*'Equipment List &amp; Usage'!$C$115)+IF('Equipment List &amp; Usage'!$F16="yes",'Equipment List &amp; Usage'!$C$114,'Equipment List &amp; Usage'!$C$115)*(('Weekly Summary'!AV$66*'Equipment List &amp; Usage'!$Q17)+('Weekly Summary'!AV$64*'Equipment List &amp; Usage'!$O17)+('Weekly Summary'!AV$65*'Equipment List &amp; Usage'!$P17))+(IF('Equipment List &amp; Usage'!$F17="Yes",'Equipment List &amp; Usage'!$C$114*((('Weekly Summary'!AV$131*SelfQuarantine_Mild)+('Weekly Summary'!AV$100*SelfQuarantine_Mild)+('Weekly Summary'!AV$101*SelfQuarantine_Moderate))),'Equipment List &amp; Usage'!$C$115)*((('Weekly Summary'!AV$131*SelfQuarantine_Mild*'Equipment List &amp; Usage'!$W17)+('Weekly Summary'!AV$100*SelfQuarantine_Mild*'Equipment List &amp; Usage'!$X17)+('Weekly Summary'!AV$101*SelfQuarantine_Moderate*'Equipment List &amp; Usage'!$X17))))+IF('Equipment List &amp; Usage'!$F17="Yes",'Equipment List &amp; Usage'!$C$114*(IF('Equipment List &amp; Usage'!$AA17&gt;0,'Weekly Summary'!AV$128,0)+IF('Equipment List &amp; Usage'!$AB17&gt;0,'Weekly Summary'!AV$100+'Weekly Summary'!AV$101,0)),'Equipment List &amp; Usage'!$C$115*(('Weekly Summary'!AV$128*'Equipment List &amp; Usage'!$AA17)+('Weekly Summary'!AV$100*'Equipment List &amp; Usage'!$AB17*SelfQuarantine_Mild)+('Weekly Summary'!AV$101*'Equipment List &amp; Usage'!$AB17*SelfQuarantine_Moderate)))+IF('Equipment List &amp; Usage'!$F17="Yes",('Equipment List &amp; Usage'!$C$114*(IF('Equipment List &amp; Usage'!$AE17&gt;0,'Weekly Summary'!AV$134,0)+IF('Equipment List &amp; Usage'!$AF17&gt;0,'Weekly Summary'!AV$135))),'Equipment List &amp; Usage'!$C$115*(('Weekly Summary'!AV$134*'Equipment List &amp; Usage'!$AE17)+('Weekly Summary'!AV$135*'Equipment List &amp; Usage'!$AF17)))),0)</f>
        <v>0</v>
      </c>
      <c r="BC15" s="1374">
        <f ca="1">MAX(IF($F15="Yes",(
IF($F15="yes",MMULT(--('Equipment List &amp; Usage'!$J17:$N17&gt;0),--('Weekly Summary'!AW$112:AW$116))*'Equipment List &amp; Usage'!$C$114,MMULT(--('Equipment List &amp; Usage'!$J17:$N17),--('Weekly Summary'!AW$112:AW$116))*'Equipment List &amp; Usage'!$C$115)+IF('Equipment List &amp; Usage'!$F16="yes",'Equipment List &amp; Usage'!$C$114,'Equipment List &amp; Usage'!$C$115)*(('Weekly Summary'!AW$66*'Equipment List &amp; Usage'!$Q17)+('Weekly Summary'!AW$64*'Equipment List &amp; Usage'!$O17)+('Weekly Summary'!AW$65*'Equipment List &amp; Usage'!$P17)))+(IF('Equipment List &amp; Usage'!$F17="Yes",'Equipment List &amp; Usage'!$C$114*((('Weekly Summary'!AW$131*SelfQuarantine_Mild)+('Weekly Summary'!AW$100*SelfQuarantine_Mild)+('Weekly Summary'!AW$101*SelfQuarantine_Moderate))),'Equipment List &amp; Usage'!$C$115)*((('Weekly Summary'!AW$131*SelfQuarantine_Mild*'Equipment List &amp; Usage'!$W17)+('Weekly Summary'!AW$100*SelfQuarantine_Mild*'Equipment List &amp; Usage'!$X17)+('Weekly Summary'!AW$101*SelfQuarantine_Moderate*'Equipment List &amp; Usage'!$X17)))+IF('Equipment List &amp; Usage'!$F17="Yes",'Equipment List &amp; Usage'!$C$114*(IF('Equipment List &amp; Usage'!$AA17&gt;0,'Weekly Summary'!AW$128,0)+IF('Equipment List &amp; Usage'!$AB17&gt;0,'Weekly Summary'!AW$100+'Weekly Summary'!AW$101,0)),'Equipment List &amp; Usage'!$C$115*(('Weekly Summary'!AW$128*'Equipment List &amp; Usage'!$AA17)+('Weekly Summary'!AW$100*'Equipment List &amp; Usage'!$AB17*SelfQuarantine_Mild)+('Weekly Summary'!AW$101*'Equipment List &amp; Usage'!$AB17*SelfQuarantine_Moderate)))+IF('Equipment List &amp; Usage'!$F17="Yes",('Equipment List &amp; Usage'!$C$114*(IF('Equipment List &amp; Usage'!$AE17&gt;0,'Weekly Summary'!AW$134,0)+IF('Equipment List &amp; Usage'!$AF17&gt;0,'Weekly Summary'!AW$135))),'Equipment List &amp; Usage'!$C$115*(('Weekly Summary'!AW$134*'Equipment List &amp; Usage'!$AE17)+('Weekly Summary'!AW$135*'Equipment List &amp; Usage'!$AF17))))-SUM($I15:BB15),
IF($F15="yes",MMULT(--('Equipment List &amp; Usage'!$J17:$N17&gt;0),--('Weekly Summary'!AW$112:AW$116))*'Equipment List &amp; Usage'!$C$114,MMULT(--('Equipment List &amp; Usage'!$J17:$N17),--('Weekly Summary'!AW$112:AW$116))*'Equipment List &amp; Usage'!$C$115)+IF('Equipment List &amp; Usage'!$F16="yes",'Equipment List &amp; Usage'!$C$114,'Equipment List &amp; Usage'!$C$115)*(('Weekly Summary'!AW$66*'Equipment List &amp; Usage'!$Q17)+('Weekly Summary'!AW$64*'Equipment List &amp; Usage'!$O17)+('Weekly Summary'!AW$65*'Equipment List &amp; Usage'!$P17))+(IF('Equipment List &amp; Usage'!$F17="Yes",'Equipment List &amp; Usage'!$C$114*((('Weekly Summary'!AW$131*SelfQuarantine_Mild)+('Weekly Summary'!AW$100*SelfQuarantine_Mild)+('Weekly Summary'!AW$101*SelfQuarantine_Moderate))),'Equipment List &amp; Usage'!$C$115)*((('Weekly Summary'!AW$131*SelfQuarantine_Mild*'Equipment List &amp; Usage'!$W17)+('Weekly Summary'!AW$100*SelfQuarantine_Mild*'Equipment List &amp; Usage'!$X17)+('Weekly Summary'!AW$101*SelfQuarantine_Moderate*'Equipment List &amp; Usage'!$X17))))+IF('Equipment List &amp; Usage'!$F17="Yes",'Equipment List &amp; Usage'!$C$114*(IF('Equipment List &amp; Usage'!$AA17&gt;0,'Weekly Summary'!AW$128,0)+IF('Equipment List &amp; Usage'!$AB17&gt;0,'Weekly Summary'!AW$100+'Weekly Summary'!AW$101,0)),'Equipment List &amp; Usage'!$C$115*(('Weekly Summary'!AW$128*'Equipment List &amp; Usage'!$AA17)+('Weekly Summary'!AW$100*'Equipment List &amp; Usage'!$AB17*SelfQuarantine_Mild)+('Weekly Summary'!AW$101*'Equipment List &amp; Usage'!$AB17*SelfQuarantine_Moderate)))+IF('Equipment List &amp; Usage'!$F17="Yes",('Equipment List &amp; Usage'!$C$114*(IF('Equipment List &amp; Usage'!$AE17&gt;0,'Weekly Summary'!AW$134,0)+IF('Equipment List &amp; Usage'!$AF17&gt;0,'Weekly Summary'!AW$135))),'Equipment List &amp; Usage'!$C$115*(('Weekly Summary'!AW$134*'Equipment List &amp; Usage'!$AE17)+('Weekly Summary'!AW$135*'Equipment List &amp; Usage'!$AF17)))),0)</f>
        <v>0</v>
      </c>
      <c r="BD15" s="1374">
        <f ca="1">MAX(IF($F15="Yes",(
IF($F15="yes",MMULT(--('Equipment List &amp; Usage'!$J17:$N17&gt;0),--('Weekly Summary'!AX$112:AX$116))*'Equipment List &amp; Usage'!$C$114,MMULT(--('Equipment List &amp; Usage'!$J17:$N17),--('Weekly Summary'!AX$112:AX$116))*'Equipment List &amp; Usage'!$C$115)+IF('Equipment List &amp; Usage'!$F16="yes",'Equipment List &amp; Usage'!$C$114,'Equipment List &amp; Usage'!$C$115)*(('Weekly Summary'!AX$66*'Equipment List &amp; Usage'!$Q17)+('Weekly Summary'!AX$64*'Equipment List &amp; Usage'!$O17)+('Weekly Summary'!AX$65*'Equipment List &amp; Usage'!$P17)))+(IF('Equipment List &amp; Usage'!$F17="Yes",'Equipment List &amp; Usage'!$C$114*((('Weekly Summary'!AX$131*SelfQuarantine_Mild)+('Weekly Summary'!AX$100*SelfQuarantine_Mild)+('Weekly Summary'!AX$101*SelfQuarantine_Moderate))),'Equipment List &amp; Usage'!$C$115)*((('Weekly Summary'!AX$131*SelfQuarantine_Mild*'Equipment List &amp; Usage'!$W17)+('Weekly Summary'!AX$100*SelfQuarantine_Mild*'Equipment List &amp; Usage'!$X17)+('Weekly Summary'!AX$101*SelfQuarantine_Moderate*'Equipment List &amp; Usage'!$X17)))+IF('Equipment List &amp; Usage'!$F17="Yes",'Equipment List &amp; Usage'!$C$114*(IF('Equipment List &amp; Usage'!$AA17&gt;0,'Weekly Summary'!AX$128,0)+IF('Equipment List &amp; Usage'!$AB17&gt;0,'Weekly Summary'!AX$100+'Weekly Summary'!AX$101,0)),'Equipment List &amp; Usage'!$C$115*(('Weekly Summary'!AX$128*'Equipment List &amp; Usage'!$AA17)+('Weekly Summary'!AX$100*'Equipment List &amp; Usage'!$AB17*SelfQuarantine_Mild)+('Weekly Summary'!AX$101*'Equipment List &amp; Usage'!$AB17*SelfQuarantine_Moderate)))+IF('Equipment List &amp; Usage'!$F17="Yes",('Equipment List &amp; Usage'!$C$114*(IF('Equipment List &amp; Usage'!$AE17&gt;0,'Weekly Summary'!AX$134,0)+IF('Equipment List &amp; Usage'!$AF17&gt;0,'Weekly Summary'!AX$135))),'Equipment List &amp; Usage'!$C$115*(('Weekly Summary'!AX$134*'Equipment List &amp; Usage'!$AE17)+('Weekly Summary'!AX$135*'Equipment List &amp; Usage'!$AF17))))-SUM($I15:BC15),
IF($F15="yes",MMULT(--('Equipment List &amp; Usage'!$J17:$N17&gt;0),--('Weekly Summary'!AX$112:AX$116))*'Equipment List &amp; Usage'!$C$114,MMULT(--('Equipment List &amp; Usage'!$J17:$N17),--('Weekly Summary'!AX$112:AX$116))*'Equipment List &amp; Usage'!$C$115)+IF('Equipment List &amp; Usage'!$F16="yes",'Equipment List &amp; Usage'!$C$114,'Equipment List &amp; Usage'!$C$115)*(('Weekly Summary'!AX$66*'Equipment List &amp; Usage'!$Q17)+('Weekly Summary'!AX$64*'Equipment List &amp; Usage'!$O17)+('Weekly Summary'!AX$65*'Equipment List &amp; Usage'!$P17))+(IF('Equipment List &amp; Usage'!$F17="Yes",'Equipment List &amp; Usage'!$C$114*((('Weekly Summary'!AX$131*SelfQuarantine_Mild)+('Weekly Summary'!AX$100*SelfQuarantine_Mild)+('Weekly Summary'!AX$101*SelfQuarantine_Moderate))),'Equipment List &amp; Usage'!$C$115)*((('Weekly Summary'!AX$131*SelfQuarantine_Mild*'Equipment List &amp; Usage'!$W17)+('Weekly Summary'!AX$100*SelfQuarantine_Mild*'Equipment List &amp; Usage'!$X17)+('Weekly Summary'!AX$101*SelfQuarantine_Moderate*'Equipment List &amp; Usage'!$X17))))+IF('Equipment List &amp; Usage'!$F17="Yes",'Equipment List &amp; Usage'!$C$114*(IF('Equipment List &amp; Usage'!$AA17&gt;0,'Weekly Summary'!AX$128,0)+IF('Equipment List &amp; Usage'!$AB17&gt;0,'Weekly Summary'!AX$100+'Weekly Summary'!AX$101,0)),'Equipment List &amp; Usage'!$C$115*(('Weekly Summary'!AX$128*'Equipment List &amp; Usage'!$AA17)+('Weekly Summary'!AX$100*'Equipment List &amp; Usage'!$AB17*SelfQuarantine_Mild)+('Weekly Summary'!AX$101*'Equipment List &amp; Usage'!$AB17*SelfQuarantine_Moderate)))+IF('Equipment List &amp; Usage'!$F17="Yes",('Equipment List &amp; Usage'!$C$114*(IF('Equipment List &amp; Usage'!$AE17&gt;0,'Weekly Summary'!AX$134,0)+IF('Equipment List &amp; Usage'!$AF17&gt;0,'Weekly Summary'!AX$135))),'Equipment List &amp; Usage'!$C$115*(('Weekly Summary'!AX$134*'Equipment List &amp; Usage'!$AE17)+('Weekly Summary'!AX$135*'Equipment List &amp; Usage'!$AF17)))),0)</f>
        <v>0</v>
      </c>
      <c r="BE15" s="1374">
        <f ca="1">MAX(IF($F15="Yes",(
IF($F15="yes",MMULT(--('Equipment List &amp; Usage'!$J17:$N17&gt;0),--('Weekly Summary'!AY$112:AY$116))*'Equipment List &amp; Usage'!$C$114,MMULT(--('Equipment List &amp; Usage'!$J17:$N17),--('Weekly Summary'!AY$112:AY$116))*'Equipment List &amp; Usage'!$C$115)+IF('Equipment List &amp; Usage'!$F16="yes",'Equipment List &amp; Usage'!$C$114,'Equipment List &amp; Usage'!$C$115)*(('Weekly Summary'!AY$66*'Equipment List &amp; Usage'!$Q17)+('Weekly Summary'!AY$64*'Equipment List &amp; Usage'!$O17)+('Weekly Summary'!AY$65*'Equipment List &amp; Usage'!$P17)))+(IF('Equipment List &amp; Usage'!$F17="Yes",'Equipment List &amp; Usage'!$C$114*((('Weekly Summary'!AY$131*SelfQuarantine_Mild)+('Weekly Summary'!AY$100*SelfQuarantine_Mild)+('Weekly Summary'!AY$101*SelfQuarantine_Moderate))),'Equipment List &amp; Usage'!$C$115)*((('Weekly Summary'!AY$131*SelfQuarantine_Mild*'Equipment List &amp; Usage'!$W17)+('Weekly Summary'!AY$100*SelfQuarantine_Mild*'Equipment List &amp; Usage'!$X17)+('Weekly Summary'!AY$101*SelfQuarantine_Moderate*'Equipment List &amp; Usage'!$X17)))+IF('Equipment List &amp; Usage'!$F17="Yes",'Equipment List &amp; Usage'!$C$114*(IF('Equipment List &amp; Usage'!$AA17&gt;0,'Weekly Summary'!AY$128,0)+IF('Equipment List &amp; Usage'!$AB17&gt;0,'Weekly Summary'!AY$100+'Weekly Summary'!AY$101,0)),'Equipment List &amp; Usage'!$C$115*(('Weekly Summary'!AY$128*'Equipment List &amp; Usage'!$AA17)+('Weekly Summary'!AY$100*'Equipment List &amp; Usage'!$AB17*SelfQuarantine_Mild)+('Weekly Summary'!AY$101*'Equipment List &amp; Usage'!$AB17*SelfQuarantine_Moderate)))+IF('Equipment List &amp; Usage'!$F17="Yes",('Equipment List &amp; Usage'!$C$114*(IF('Equipment List &amp; Usage'!$AE17&gt;0,'Weekly Summary'!AY$134,0)+IF('Equipment List &amp; Usage'!$AF17&gt;0,'Weekly Summary'!AY$135))),'Equipment List &amp; Usage'!$C$115*(('Weekly Summary'!AY$134*'Equipment List &amp; Usage'!$AE17)+('Weekly Summary'!AY$135*'Equipment List &amp; Usage'!$AF17))))-SUM($I15:BD15),
IF($F15="yes",MMULT(--('Equipment List &amp; Usage'!$J17:$N17&gt;0),--('Weekly Summary'!AY$112:AY$116))*'Equipment List &amp; Usage'!$C$114,MMULT(--('Equipment List &amp; Usage'!$J17:$N17),--('Weekly Summary'!AY$112:AY$116))*'Equipment List &amp; Usage'!$C$115)+IF('Equipment List &amp; Usage'!$F16="yes",'Equipment List &amp; Usage'!$C$114,'Equipment List &amp; Usage'!$C$115)*(('Weekly Summary'!AY$66*'Equipment List &amp; Usage'!$Q17)+('Weekly Summary'!AY$64*'Equipment List &amp; Usage'!$O17)+('Weekly Summary'!AY$65*'Equipment List &amp; Usage'!$P17))+(IF('Equipment List &amp; Usage'!$F17="Yes",'Equipment List &amp; Usage'!$C$114*((('Weekly Summary'!AY$131*SelfQuarantine_Mild)+('Weekly Summary'!AY$100*SelfQuarantine_Mild)+('Weekly Summary'!AY$101*SelfQuarantine_Moderate))),'Equipment List &amp; Usage'!$C$115)*((('Weekly Summary'!AY$131*SelfQuarantine_Mild*'Equipment List &amp; Usage'!$W17)+('Weekly Summary'!AY$100*SelfQuarantine_Mild*'Equipment List &amp; Usage'!$X17)+('Weekly Summary'!AY$101*SelfQuarantine_Moderate*'Equipment List &amp; Usage'!$X17))))+IF('Equipment List &amp; Usage'!$F17="Yes",'Equipment List &amp; Usage'!$C$114*(IF('Equipment List &amp; Usage'!$AA17&gt;0,'Weekly Summary'!AY$128,0)+IF('Equipment List &amp; Usage'!$AB17&gt;0,'Weekly Summary'!AY$100+'Weekly Summary'!AY$101,0)),'Equipment List &amp; Usage'!$C$115*(('Weekly Summary'!AY$128*'Equipment List &amp; Usage'!$AA17)+('Weekly Summary'!AY$100*'Equipment List &amp; Usage'!$AB17*SelfQuarantine_Mild)+('Weekly Summary'!AY$101*'Equipment List &amp; Usage'!$AB17*SelfQuarantine_Moderate)))+IF('Equipment List &amp; Usage'!$F17="Yes",('Equipment List &amp; Usage'!$C$114*(IF('Equipment List &amp; Usage'!$AE17&gt;0,'Weekly Summary'!AY$134,0)+IF('Equipment List &amp; Usage'!$AF17&gt;0,'Weekly Summary'!AY$135))),'Equipment List &amp; Usage'!$C$115*(('Weekly Summary'!AY$134*'Equipment List &amp; Usage'!$AE17)+('Weekly Summary'!AY$135*'Equipment List &amp; Usage'!$AF17)))),0)</f>
        <v>0</v>
      </c>
      <c r="BF15" s="1374">
        <f ca="1">MAX(IF($F15="Yes",(
IF($F15="yes",MMULT(--('Equipment List &amp; Usage'!$J17:$N17&gt;0),--('Weekly Summary'!AZ$112:AZ$116))*'Equipment List &amp; Usage'!$C$114,MMULT(--('Equipment List &amp; Usage'!$J17:$N17),--('Weekly Summary'!AZ$112:AZ$116))*'Equipment List &amp; Usage'!$C$115)+IF('Equipment List &amp; Usage'!$F16="yes",'Equipment List &amp; Usage'!$C$114,'Equipment List &amp; Usage'!$C$115)*(('Weekly Summary'!AZ$66*'Equipment List &amp; Usage'!$Q17)+('Weekly Summary'!AZ$64*'Equipment List &amp; Usage'!$O17)+('Weekly Summary'!AZ$65*'Equipment List &amp; Usage'!$P17)))+(IF('Equipment List &amp; Usage'!$F17="Yes",'Equipment List &amp; Usage'!$C$114*((('Weekly Summary'!AZ$131*SelfQuarantine_Mild)+('Weekly Summary'!AZ$100*SelfQuarantine_Mild)+('Weekly Summary'!AZ$101*SelfQuarantine_Moderate))),'Equipment List &amp; Usage'!$C$115)*((('Weekly Summary'!AZ$131*SelfQuarantine_Mild*'Equipment List &amp; Usage'!$W17)+('Weekly Summary'!AZ$100*SelfQuarantine_Mild*'Equipment List &amp; Usage'!$X17)+('Weekly Summary'!AZ$101*SelfQuarantine_Moderate*'Equipment List &amp; Usage'!$X17)))+IF('Equipment List &amp; Usage'!$F17="Yes",'Equipment List &amp; Usage'!$C$114*(IF('Equipment List &amp; Usage'!$AA17&gt;0,'Weekly Summary'!AZ$128,0)+IF('Equipment List &amp; Usage'!$AB17&gt;0,'Weekly Summary'!AZ$100+'Weekly Summary'!AZ$101,0)),'Equipment List &amp; Usage'!$C$115*(('Weekly Summary'!AZ$128*'Equipment List &amp; Usage'!$AA17)+('Weekly Summary'!AZ$100*'Equipment List &amp; Usage'!$AB17*SelfQuarantine_Mild)+('Weekly Summary'!AZ$101*'Equipment List &amp; Usage'!$AB17*SelfQuarantine_Moderate)))+IF('Equipment List &amp; Usage'!$F17="Yes",('Equipment List &amp; Usage'!$C$114*(IF('Equipment List &amp; Usage'!$AE17&gt;0,'Weekly Summary'!AZ$134,0)+IF('Equipment List &amp; Usage'!$AF17&gt;0,'Weekly Summary'!AZ$135))),'Equipment List &amp; Usage'!$C$115*(('Weekly Summary'!AZ$134*'Equipment List &amp; Usage'!$AE17)+('Weekly Summary'!AZ$135*'Equipment List &amp; Usage'!$AF17))))-SUM($I15:BE15),
IF($F15="yes",MMULT(--('Equipment List &amp; Usage'!$J17:$N17&gt;0),--('Weekly Summary'!AZ$112:AZ$116))*'Equipment List &amp; Usage'!$C$114,MMULT(--('Equipment List &amp; Usage'!$J17:$N17),--('Weekly Summary'!AZ$112:AZ$116))*'Equipment List &amp; Usage'!$C$115)+IF('Equipment List &amp; Usage'!$F16="yes",'Equipment List &amp; Usage'!$C$114,'Equipment List &amp; Usage'!$C$115)*(('Weekly Summary'!AZ$66*'Equipment List &amp; Usage'!$Q17)+('Weekly Summary'!AZ$64*'Equipment List &amp; Usage'!$O17)+('Weekly Summary'!AZ$65*'Equipment List &amp; Usage'!$P17))+(IF('Equipment List &amp; Usage'!$F17="Yes",'Equipment List &amp; Usage'!$C$114*((('Weekly Summary'!AZ$131*SelfQuarantine_Mild)+('Weekly Summary'!AZ$100*SelfQuarantine_Mild)+('Weekly Summary'!AZ$101*SelfQuarantine_Moderate))),'Equipment List &amp; Usage'!$C$115)*((('Weekly Summary'!AZ$131*SelfQuarantine_Mild*'Equipment List &amp; Usage'!$W17)+('Weekly Summary'!AZ$100*SelfQuarantine_Mild*'Equipment List &amp; Usage'!$X17)+('Weekly Summary'!AZ$101*SelfQuarantine_Moderate*'Equipment List &amp; Usage'!$X17))))+IF('Equipment List &amp; Usage'!$F17="Yes",'Equipment List &amp; Usage'!$C$114*(IF('Equipment List &amp; Usage'!$AA17&gt;0,'Weekly Summary'!AZ$128,0)+IF('Equipment List &amp; Usage'!$AB17&gt;0,'Weekly Summary'!AZ$100+'Weekly Summary'!AZ$101,0)),'Equipment List &amp; Usage'!$C$115*(('Weekly Summary'!AZ$128*'Equipment List &amp; Usage'!$AA17)+('Weekly Summary'!AZ$100*'Equipment List &amp; Usage'!$AB17*SelfQuarantine_Mild)+('Weekly Summary'!AZ$101*'Equipment List &amp; Usage'!$AB17*SelfQuarantine_Moderate)))+IF('Equipment List &amp; Usage'!$F17="Yes",('Equipment List &amp; Usage'!$C$114*(IF('Equipment List &amp; Usage'!$AE17&gt;0,'Weekly Summary'!AZ$134,0)+IF('Equipment List &amp; Usage'!$AF17&gt;0,'Weekly Summary'!AZ$135))),'Equipment List &amp; Usage'!$C$115*(('Weekly Summary'!AZ$134*'Equipment List &amp; Usage'!$AE17)+('Weekly Summary'!AZ$135*'Equipment List &amp; Usage'!$AF17)))),0)</f>
        <v>0</v>
      </c>
      <c r="BG15" s="1374">
        <f ca="1">MAX(IF($F15="Yes",(
IF($F15="yes",MMULT(--('Equipment List &amp; Usage'!$J17:$N17&gt;0),--('Weekly Summary'!BA$112:BA$116))*'Equipment List &amp; Usage'!$C$114,MMULT(--('Equipment List &amp; Usage'!$J17:$N17),--('Weekly Summary'!BA$112:BA$116))*'Equipment List &amp; Usage'!$C$115)+IF('Equipment List &amp; Usage'!$F16="yes",'Equipment List &amp; Usage'!$C$114,'Equipment List &amp; Usage'!$C$115)*(('Weekly Summary'!BA$66*'Equipment List &amp; Usage'!$Q17)+('Weekly Summary'!BA$64*'Equipment List &amp; Usage'!$O17)+('Weekly Summary'!BA$65*'Equipment List &amp; Usage'!$P17)))+(IF('Equipment List &amp; Usage'!$F17="Yes",'Equipment List &amp; Usage'!$C$114*((('Weekly Summary'!BA$131*SelfQuarantine_Mild)+('Weekly Summary'!BA$100*SelfQuarantine_Mild)+('Weekly Summary'!BA$101*SelfQuarantine_Moderate))),'Equipment List &amp; Usage'!$C$115)*((('Weekly Summary'!BA$131*SelfQuarantine_Mild*'Equipment List &amp; Usage'!$W17)+('Weekly Summary'!BA$100*SelfQuarantine_Mild*'Equipment List &amp; Usage'!$X17)+('Weekly Summary'!BA$101*SelfQuarantine_Moderate*'Equipment List &amp; Usage'!$X17)))+IF('Equipment List &amp; Usage'!$F17="Yes",'Equipment List &amp; Usage'!$C$114*(IF('Equipment List &amp; Usage'!$AA17&gt;0,'Weekly Summary'!BA$128,0)+IF('Equipment List &amp; Usage'!$AB17&gt;0,'Weekly Summary'!BA$100+'Weekly Summary'!BA$101,0)),'Equipment List &amp; Usage'!$C$115*(('Weekly Summary'!BA$128*'Equipment List &amp; Usage'!$AA17)+('Weekly Summary'!BA$100*'Equipment List &amp; Usage'!$AB17*SelfQuarantine_Mild)+('Weekly Summary'!BA$101*'Equipment List &amp; Usage'!$AB17*SelfQuarantine_Moderate)))+IF('Equipment List &amp; Usage'!$F17="Yes",('Equipment List &amp; Usage'!$C$114*(IF('Equipment List &amp; Usage'!$AE17&gt;0,'Weekly Summary'!BA$134,0)+IF('Equipment List &amp; Usage'!$AF17&gt;0,'Weekly Summary'!BA$135))),'Equipment List &amp; Usage'!$C$115*(('Weekly Summary'!BA$134*'Equipment List &amp; Usage'!$AE17)+('Weekly Summary'!BA$135*'Equipment List &amp; Usage'!$AF17))))-SUM($I15:BF15),
IF($F15="yes",MMULT(--('Equipment List &amp; Usage'!$J17:$N17&gt;0),--('Weekly Summary'!BA$112:BA$116))*'Equipment List &amp; Usage'!$C$114,MMULT(--('Equipment List &amp; Usage'!$J17:$N17),--('Weekly Summary'!BA$112:BA$116))*'Equipment List &amp; Usage'!$C$115)+IF('Equipment List &amp; Usage'!$F16="yes",'Equipment List &amp; Usage'!$C$114,'Equipment List &amp; Usage'!$C$115)*(('Weekly Summary'!BA$66*'Equipment List &amp; Usage'!$Q17)+('Weekly Summary'!BA$64*'Equipment List &amp; Usage'!$O17)+('Weekly Summary'!BA$65*'Equipment List &amp; Usage'!$P17))+(IF('Equipment List &amp; Usage'!$F17="Yes",'Equipment List &amp; Usage'!$C$114*((('Weekly Summary'!BA$131*SelfQuarantine_Mild)+('Weekly Summary'!BA$100*SelfQuarantine_Mild)+('Weekly Summary'!BA$101*SelfQuarantine_Moderate))),'Equipment List &amp; Usage'!$C$115)*((('Weekly Summary'!BA$131*SelfQuarantine_Mild*'Equipment List &amp; Usage'!$W17)+('Weekly Summary'!BA$100*SelfQuarantine_Mild*'Equipment List &amp; Usage'!$X17)+('Weekly Summary'!BA$101*SelfQuarantine_Moderate*'Equipment List &amp; Usage'!$X17))))+IF('Equipment List &amp; Usage'!$F17="Yes",'Equipment List &amp; Usage'!$C$114*(IF('Equipment List &amp; Usage'!$AA17&gt;0,'Weekly Summary'!BA$128,0)+IF('Equipment List &amp; Usage'!$AB17&gt;0,'Weekly Summary'!BA$100+'Weekly Summary'!BA$101,0)),'Equipment List &amp; Usage'!$C$115*(('Weekly Summary'!BA$128*'Equipment List &amp; Usage'!$AA17)+('Weekly Summary'!BA$100*'Equipment List &amp; Usage'!$AB17*SelfQuarantine_Mild)+('Weekly Summary'!BA$101*'Equipment List &amp; Usage'!$AB17*SelfQuarantine_Moderate)))+IF('Equipment List &amp; Usage'!$F17="Yes",('Equipment List &amp; Usage'!$C$114*(IF('Equipment List &amp; Usage'!$AE17&gt;0,'Weekly Summary'!BA$134,0)+IF('Equipment List &amp; Usage'!$AF17&gt;0,'Weekly Summary'!BA$135))),'Equipment List &amp; Usage'!$C$115*(('Weekly Summary'!BA$134*'Equipment List &amp; Usage'!$AE17)+('Weekly Summary'!BA$135*'Equipment List &amp; Usage'!$AF17)))),0)</f>
        <v>0</v>
      </c>
      <c r="BH15" s="1374">
        <f ca="1">MAX(IF($F15="Yes",(
IF($F15="yes",MMULT(--('Equipment List &amp; Usage'!$J17:$N17&gt;0),--('Weekly Summary'!BB$112:BB$116))*'Equipment List &amp; Usage'!$C$114,MMULT(--('Equipment List &amp; Usage'!$J17:$N17),--('Weekly Summary'!BB$112:BB$116))*'Equipment List &amp; Usage'!$C$115)+IF('Equipment List &amp; Usage'!$F16="yes",'Equipment List &amp; Usage'!$C$114,'Equipment List &amp; Usage'!$C$115)*(('Weekly Summary'!BB$66*'Equipment List &amp; Usage'!$Q17)+('Weekly Summary'!BB$64*'Equipment List &amp; Usage'!$O17)+('Weekly Summary'!BB$65*'Equipment List &amp; Usage'!$P17)))+(IF('Equipment List &amp; Usage'!$F17="Yes",'Equipment List &amp; Usage'!$C$114*((('Weekly Summary'!BB$131*SelfQuarantine_Mild)+('Weekly Summary'!BB$100*SelfQuarantine_Mild)+('Weekly Summary'!BB$101*SelfQuarantine_Moderate))),'Equipment List &amp; Usage'!$C$115)*((('Weekly Summary'!BB$131*SelfQuarantine_Mild*'Equipment List &amp; Usage'!$W17)+('Weekly Summary'!BB$100*SelfQuarantine_Mild*'Equipment List &amp; Usage'!$X17)+('Weekly Summary'!BB$101*SelfQuarantine_Moderate*'Equipment List &amp; Usage'!$X17)))+IF('Equipment List &amp; Usage'!$F17="Yes",'Equipment List &amp; Usage'!$C$114*(IF('Equipment List &amp; Usage'!$AA17&gt;0,'Weekly Summary'!BB$128,0)+IF('Equipment List &amp; Usage'!$AB17&gt;0,'Weekly Summary'!BB$100+'Weekly Summary'!BB$101,0)),'Equipment List &amp; Usage'!$C$115*(('Weekly Summary'!BB$128*'Equipment List &amp; Usage'!$AA17)+('Weekly Summary'!BB$100*'Equipment List &amp; Usage'!$AB17*SelfQuarantine_Mild)+('Weekly Summary'!BB$101*'Equipment List &amp; Usage'!$AB17*SelfQuarantine_Moderate)))+IF('Equipment List &amp; Usage'!$F17="Yes",('Equipment List &amp; Usage'!$C$114*(IF('Equipment List &amp; Usage'!$AE17&gt;0,'Weekly Summary'!BB$134,0)+IF('Equipment List &amp; Usage'!$AF17&gt;0,'Weekly Summary'!BB$135))),'Equipment List &amp; Usage'!$C$115*(('Weekly Summary'!BB$134*'Equipment List &amp; Usage'!$AE17)+('Weekly Summary'!BB$135*'Equipment List &amp; Usage'!$AF17))))-SUM($I15:BG15),
IF($F15="yes",MMULT(--('Equipment List &amp; Usage'!$J17:$N17&gt;0),--('Weekly Summary'!BB$112:BB$116))*'Equipment List &amp; Usage'!$C$114,MMULT(--('Equipment List &amp; Usage'!$J17:$N17),--('Weekly Summary'!BB$112:BB$116))*'Equipment List &amp; Usage'!$C$115)+IF('Equipment List &amp; Usage'!$F16="yes",'Equipment List &amp; Usage'!$C$114,'Equipment List &amp; Usage'!$C$115)*(('Weekly Summary'!BB$66*'Equipment List &amp; Usage'!$Q17)+('Weekly Summary'!BB$64*'Equipment List &amp; Usage'!$O17)+('Weekly Summary'!BB$65*'Equipment List &amp; Usage'!$P17))+(IF('Equipment List &amp; Usage'!$F17="Yes",'Equipment List &amp; Usage'!$C$114*((('Weekly Summary'!BB$131*SelfQuarantine_Mild)+('Weekly Summary'!BB$100*SelfQuarantine_Mild)+('Weekly Summary'!BB$101*SelfQuarantine_Moderate))),'Equipment List &amp; Usage'!$C$115)*((('Weekly Summary'!BB$131*SelfQuarantine_Mild*'Equipment List &amp; Usage'!$W17)+('Weekly Summary'!BB$100*SelfQuarantine_Mild*'Equipment List &amp; Usage'!$X17)+('Weekly Summary'!BB$101*SelfQuarantine_Moderate*'Equipment List &amp; Usage'!$X17))))+IF('Equipment List &amp; Usage'!$F17="Yes",'Equipment List &amp; Usage'!$C$114*(IF('Equipment List &amp; Usage'!$AA17&gt;0,'Weekly Summary'!BB$128,0)+IF('Equipment List &amp; Usage'!$AB17&gt;0,'Weekly Summary'!BB$100+'Weekly Summary'!BB$101,0)),'Equipment List &amp; Usage'!$C$115*(('Weekly Summary'!BB$128*'Equipment List &amp; Usage'!$AA17)+('Weekly Summary'!BB$100*'Equipment List &amp; Usage'!$AB17*SelfQuarantine_Mild)+('Weekly Summary'!BB$101*'Equipment List &amp; Usage'!$AB17*SelfQuarantine_Moderate)))+IF('Equipment List &amp; Usage'!$F17="Yes",('Equipment List &amp; Usage'!$C$114*(IF('Equipment List &amp; Usage'!$AE17&gt;0,'Weekly Summary'!BB$134,0)+IF('Equipment List &amp; Usage'!$AF17&gt;0,'Weekly Summary'!BB$135))),'Equipment List &amp; Usage'!$C$115*(('Weekly Summary'!BB$134*'Equipment List &amp; Usage'!$AE17)+('Weekly Summary'!BB$135*'Equipment List &amp; Usage'!$AF17)))),0)</f>
        <v>0</v>
      </c>
      <c r="BI15" s="1374">
        <f ca="1">MAX(IF($F15="Yes",(
IF($F15="yes",MMULT(--('Equipment List &amp; Usage'!$J17:$N17&gt;0),--('Weekly Summary'!BC$112:BC$116))*'Equipment List &amp; Usage'!$C$114,MMULT(--('Equipment List &amp; Usage'!$J17:$N17),--('Weekly Summary'!BC$112:BC$116))*'Equipment List &amp; Usage'!$C$115)+IF('Equipment List &amp; Usage'!$F16="yes",'Equipment List &amp; Usage'!$C$114,'Equipment List &amp; Usage'!$C$115)*(('Weekly Summary'!BC$66*'Equipment List &amp; Usage'!$Q17)+('Weekly Summary'!BC$64*'Equipment List &amp; Usage'!$O17)+('Weekly Summary'!BC$65*'Equipment List &amp; Usage'!$P17)))+(IF('Equipment List &amp; Usage'!$F17="Yes",'Equipment List &amp; Usage'!$C$114*((('Weekly Summary'!BC$131*SelfQuarantine_Mild)+('Weekly Summary'!BC$100*SelfQuarantine_Mild)+('Weekly Summary'!BC$101*SelfQuarantine_Moderate))),'Equipment List &amp; Usage'!$C$115)*((('Weekly Summary'!BC$131*SelfQuarantine_Mild*'Equipment List &amp; Usage'!$W17)+('Weekly Summary'!BC$100*SelfQuarantine_Mild*'Equipment List &amp; Usage'!$X17)+('Weekly Summary'!BC$101*SelfQuarantine_Moderate*'Equipment List &amp; Usage'!$X17)))+IF('Equipment List &amp; Usage'!$F17="Yes",'Equipment List &amp; Usage'!$C$114*(IF('Equipment List &amp; Usage'!$AA17&gt;0,'Weekly Summary'!BC$128,0)+IF('Equipment List &amp; Usage'!$AB17&gt;0,'Weekly Summary'!BC$100+'Weekly Summary'!BC$101,0)),'Equipment List &amp; Usage'!$C$115*(('Weekly Summary'!BC$128*'Equipment List &amp; Usage'!$AA17)+('Weekly Summary'!BC$100*'Equipment List &amp; Usage'!$AB17*SelfQuarantine_Mild)+('Weekly Summary'!BC$101*'Equipment List &amp; Usage'!$AB17*SelfQuarantine_Moderate)))+IF('Equipment List &amp; Usage'!$F17="Yes",('Equipment List &amp; Usage'!$C$114*(IF('Equipment List &amp; Usage'!$AE17&gt;0,'Weekly Summary'!BC$134,0)+IF('Equipment List &amp; Usage'!$AF17&gt;0,'Weekly Summary'!BC$135))),'Equipment List &amp; Usage'!$C$115*(('Weekly Summary'!BC$134*'Equipment List &amp; Usage'!$AE17)+('Weekly Summary'!BC$135*'Equipment List &amp; Usage'!$AF17))))-SUM($I15:BH15),
IF($F15="yes",MMULT(--('Equipment List &amp; Usage'!$J17:$N17&gt;0),--('Weekly Summary'!BC$112:BC$116))*'Equipment List &amp; Usage'!$C$114,MMULT(--('Equipment List &amp; Usage'!$J17:$N17),--('Weekly Summary'!BC$112:BC$116))*'Equipment List &amp; Usage'!$C$115)+IF('Equipment List &amp; Usage'!$F16="yes",'Equipment List &amp; Usage'!$C$114,'Equipment List &amp; Usage'!$C$115)*(('Weekly Summary'!BC$66*'Equipment List &amp; Usage'!$Q17)+('Weekly Summary'!BC$64*'Equipment List &amp; Usage'!$O17)+('Weekly Summary'!BC$65*'Equipment List &amp; Usage'!$P17))+(IF('Equipment List &amp; Usage'!$F17="Yes",'Equipment List &amp; Usage'!$C$114*((('Weekly Summary'!BC$131*SelfQuarantine_Mild)+('Weekly Summary'!BC$100*SelfQuarantine_Mild)+('Weekly Summary'!BC$101*SelfQuarantine_Moderate))),'Equipment List &amp; Usage'!$C$115)*((('Weekly Summary'!BC$131*SelfQuarantine_Mild*'Equipment List &amp; Usage'!$W17)+('Weekly Summary'!BC$100*SelfQuarantine_Mild*'Equipment List &amp; Usage'!$X17)+('Weekly Summary'!BC$101*SelfQuarantine_Moderate*'Equipment List &amp; Usage'!$X17))))+IF('Equipment List &amp; Usage'!$F17="Yes",'Equipment List &amp; Usage'!$C$114*(IF('Equipment List &amp; Usage'!$AA17&gt;0,'Weekly Summary'!BC$128,0)+IF('Equipment List &amp; Usage'!$AB17&gt;0,'Weekly Summary'!BC$100+'Weekly Summary'!BC$101,0)),'Equipment List &amp; Usage'!$C$115*(('Weekly Summary'!BC$128*'Equipment List &amp; Usage'!$AA17)+('Weekly Summary'!BC$100*'Equipment List &amp; Usage'!$AB17*SelfQuarantine_Mild)+('Weekly Summary'!BC$101*'Equipment List &amp; Usage'!$AB17*SelfQuarantine_Moderate)))+IF('Equipment List &amp; Usage'!$F17="Yes",('Equipment List &amp; Usage'!$C$114*(IF('Equipment List &amp; Usage'!$AE17&gt;0,'Weekly Summary'!BC$134,0)+IF('Equipment List &amp; Usage'!$AF17&gt;0,'Weekly Summary'!BC$135))),'Equipment List &amp; Usage'!$C$115*(('Weekly Summary'!BC$134*'Equipment List &amp; Usage'!$AE17)+('Weekly Summary'!BC$135*'Equipment List &amp; Usage'!$AF17)))),0)</f>
        <v>0</v>
      </c>
      <c r="BJ15" s="1377">
        <f ca="1">MAX(IF($F15="Yes",(
IF($F15="yes",MMULT(--('Equipment List &amp; Usage'!$J17:$N17&gt;0),--('Weekly Summary'!BD$112:BD$116))*'Equipment List &amp; Usage'!$C$114,MMULT(--('Equipment List &amp; Usage'!$J17:$N17),--('Weekly Summary'!BD$112:BD$116))*'Equipment List &amp; Usage'!$C$115)+IF('Equipment List &amp; Usage'!$F16="yes",'Equipment List &amp; Usage'!$C$114,'Equipment List &amp; Usage'!$C$115)*(('Weekly Summary'!BD$66*'Equipment List &amp; Usage'!$Q17)+('Weekly Summary'!BD$64*'Equipment List &amp; Usage'!$O17)+('Weekly Summary'!BD$65*'Equipment List &amp; Usage'!$P17)))+(IF('Equipment List &amp; Usage'!$F17="Yes",'Equipment List &amp; Usage'!$C$114*((('Weekly Summary'!BD$131*SelfQuarantine_Mild)+('Weekly Summary'!BD$100*SelfQuarantine_Mild)+('Weekly Summary'!BD$101*SelfQuarantine_Moderate))),'Equipment List &amp; Usage'!$C$115)*((('Weekly Summary'!BD$131*SelfQuarantine_Mild*'Equipment List &amp; Usage'!$W17)+('Weekly Summary'!BD$100*SelfQuarantine_Mild*'Equipment List &amp; Usage'!$X17)+('Weekly Summary'!BD$101*SelfQuarantine_Moderate*'Equipment List &amp; Usage'!$X17)))+IF('Equipment List &amp; Usage'!$F17="Yes",'Equipment List &amp; Usage'!$C$114*(IF('Equipment List &amp; Usage'!$AA17&gt;0,'Weekly Summary'!BD$128,0)+IF('Equipment List &amp; Usage'!$AB17&gt;0,'Weekly Summary'!BD$100+'Weekly Summary'!BD$101,0)),'Equipment List &amp; Usage'!$C$115*(('Weekly Summary'!BD$128*'Equipment List &amp; Usage'!$AA17)+('Weekly Summary'!BD$100*'Equipment List &amp; Usage'!$AB17*SelfQuarantine_Mild)+('Weekly Summary'!BD$101*'Equipment List &amp; Usage'!$AB17*SelfQuarantine_Moderate)))+IF('Equipment List &amp; Usage'!$F17="Yes",('Equipment List &amp; Usage'!$C$114*(IF('Equipment List &amp; Usage'!$AE17&gt;0,'Weekly Summary'!BD$134,0)+IF('Equipment List &amp; Usage'!$AF17&gt;0,'Weekly Summary'!BD$135))),'Equipment List &amp; Usage'!$C$115*(('Weekly Summary'!BD$134*'Equipment List &amp; Usage'!$AE17)+('Weekly Summary'!BD$135*'Equipment List &amp; Usage'!$AF17))))-SUM($I15:BI15),
IF($F15="yes",MMULT(--('Equipment List &amp; Usage'!$J17:$N17&gt;0),--('Weekly Summary'!BD$112:BD$116))*'Equipment List &amp; Usage'!$C$114,MMULT(--('Equipment List &amp; Usage'!$J17:$N17),--('Weekly Summary'!BD$112:BD$116))*'Equipment List &amp; Usage'!$C$115)+IF('Equipment List &amp; Usage'!$F16="yes",'Equipment List &amp; Usage'!$C$114,'Equipment List &amp; Usage'!$C$115)*(('Weekly Summary'!BD$66*'Equipment List &amp; Usage'!$Q17)+('Weekly Summary'!BD$64*'Equipment List &amp; Usage'!$O17)+('Weekly Summary'!BD$65*'Equipment List &amp; Usage'!$P17))+(IF('Equipment List &amp; Usage'!$F17="Yes",'Equipment List &amp; Usage'!$C$114*((('Weekly Summary'!BD$131*SelfQuarantine_Mild)+('Weekly Summary'!BD$100*SelfQuarantine_Mild)+('Weekly Summary'!BD$101*SelfQuarantine_Moderate))),'Equipment List &amp; Usage'!$C$115)*((('Weekly Summary'!BD$131*SelfQuarantine_Mild*'Equipment List &amp; Usage'!$W17)+('Weekly Summary'!BD$100*SelfQuarantine_Mild*'Equipment List &amp; Usage'!$X17)+('Weekly Summary'!BD$101*SelfQuarantine_Moderate*'Equipment List &amp; Usage'!$X17))))+IF('Equipment List &amp; Usage'!$F17="Yes",'Equipment List &amp; Usage'!$C$114*(IF('Equipment List &amp; Usage'!$AA17&gt;0,'Weekly Summary'!BD$128,0)+IF('Equipment List &amp; Usage'!$AB17&gt;0,'Weekly Summary'!BD$100+'Weekly Summary'!BD$101,0)),'Equipment List &amp; Usage'!$C$115*(('Weekly Summary'!BD$128*'Equipment List &amp; Usage'!$AA17)+('Weekly Summary'!BD$100*'Equipment List &amp; Usage'!$AB17*SelfQuarantine_Mild)+('Weekly Summary'!BD$101*'Equipment List &amp; Usage'!$AB17*SelfQuarantine_Moderate)))+IF('Equipment List &amp; Usage'!$F17="Yes",('Equipment List &amp; Usage'!$C$114*(IF('Equipment List &amp; Usage'!$AE17&gt;0,'Weekly Summary'!BD$134,0)+IF('Equipment List &amp; Usage'!$AF17&gt;0,'Weekly Summary'!BD$135))),'Equipment List &amp; Usage'!$C$115*(('Weekly Summary'!BD$134*'Equipment List &amp; Usage'!$AE17)+('Weekly Summary'!BD$135*'Equipment List &amp; Usage'!$AF17)))),0)</f>
        <v>0</v>
      </c>
    </row>
    <row r="16" spans="1:62" ht="15" thickBot="1" x14ac:dyDescent="0.4">
      <c r="B16" s="954" t="str">
        <f>'Equipment List &amp; Usage'!B18</f>
        <v>IPC</v>
      </c>
      <c r="C16" s="955" t="str">
        <f>'Equipment List &amp; Usage'!C18</f>
        <v>Hygiene</v>
      </c>
      <c r="D16" s="955" t="str">
        <f>'Equipment List &amp; Usage'!D18</f>
        <v>Bio-hazardous bag</v>
      </c>
      <c r="E16" s="955" t="str">
        <f>'Equipment List &amp; Usage'!E18</f>
        <v>Each</v>
      </c>
      <c r="F16" s="955" t="str">
        <f>'Equipment List &amp; Usage'!F18</f>
        <v>No</v>
      </c>
      <c r="G16" s="955" t="str">
        <f>'Equipment List &amp; Usage'!G18</f>
        <v>N/A</v>
      </c>
      <c r="H16" s="1366">
        <f t="shared" ca="1" si="2"/>
        <v>13146.122680687973</v>
      </c>
      <c r="J16" s="1358"/>
      <c r="K16" s="1378">
        <f ca="1">IF('User Dashboard'!$H$13=1,0,IF($F16="Yes",(
IF($F16="yes",MMULT(--('Equipment List &amp; Usage'!$J18:$N18&gt;0),--('Weekly Summary'!E$112:E$116))*'Equipment List &amp; Usage'!$C$114,MMULT(--('Equipment List &amp; Usage'!$J18:$N18),--('Weekly Summary'!E$112:E$116))*'Equipment List &amp; Usage'!$C$115)+IF('Equipment List &amp; Usage'!$F17="yes",'Equipment List &amp; Usage'!$C$114,'Equipment List &amp; Usage'!$C$115)*(('Weekly Summary'!E$66*'Equipment List &amp; Usage'!$Q18)+('Weekly Summary'!E$64*'Equipment List &amp; Usage'!$O18)+('Weekly Summary'!E$65*'Equipment List &amp; Usage'!$P18)))+(IF('Equipment List &amp; Usage'!$F18="Yes",'Equipment List &amp; Usage'!$C$114*((('Weekly Summary'!E$131*SelfQuarantine_Mild)+('Weekly Summary'!E$100*SelfQuarantine_Mild)+('Weekly Summary'!E$101*SelfQuarantine_Moderate))),'Equipment List &amp; Usage'!$C$115)*((('Weekly Summary'!E$131*SelfQuarantine_Mild*'Equipment List &amp; Usage'!$W18)+('Weekly Summary'!E$100*SelfQuarantine_Mild*'Equipment List &amp; Usage'!$X18)+('Weekly Summary'!E$101*SelfQuarantine_Moderate*'Equipment List &amp; Usage'!$X18)))+IF('Equipment List &amp; Usage'!$F18="Yes",'Equipment List &amp; Usage'!$C$114*(IF('Equipment List &amp; Usage'!$AA18&gt;0,'Weekly Summary'!E$128,0)+IF('Equipment List &amp; Usage'!$AB18&gt;0,'Weekly Summary'!E$100+'Weekly Summary'!E$101,0)),'Equipment List &amp; Usage'!$C$115*(('Weekly Summary'!E$128*'Equipment List &amp; Usage'!$AA18)+('Weekly Summary'!E$100*'Equipment List &amp; Usage'!$AB18*SelfQuarantine_Mild)+('Weekly Summary'!E$101*'Equipment List &amp; Usage'!$AB18*SelfQuarantine_Moderate)))+IF('Equipment List &amp; Usage'!$F18="Yes",('Equipment List &amp; Usage'!$C$114*(IF('Equipment List &amp; Usage'!$AE18&gt;0,'Weekly Summary'!E$134,0)+IF('Equipment List &amp; Usage'!$AF18&gt;0,'Weekly Summary'!E$135))),'Equipment List &amp; Usage'!$C$115*(('Weekly Summary'!E$134*'Equipment List &amp; Usage'!$AE18)+('Weekly Summary'!E$135*'Equipment List &amp; Usage'!$AF18)))),
IF($F16="yes",MMULT(--('Equipment List &amp; Usage'!$J18:$N18&gt;0),--('Weekly Summary'!E$112:E$116))*'Equipment List &amp; Usage'!$C$114,MMULT(--('Equipment List &amp; Usage'!$J18:$N18),--('Weekly Summary'!E$112:E$116))*'Equipment List &amp; Usage'!$C$115)+IF('Equipment List &amp; Usage'!$F17="yes",'Equipment List &amp; Usage'!$C$114,'Equipment List &amp; Usage'!$C$115)*(('Weekly Summary'!E$66*'Equipment List &amp; Usage'!$Q18)+('Weekly Summary'!E$64*'Equipment List &amp; Usage'!$O18)+('Weekly Summary'!E$65*'Equipment List &amp; Usage'!$P18))+(IF('Equipment List &amp; Usage'!$F18="Yes",'Equipment List &amp; Usage'!$C$114*((('Weekly Summary'!E$131*SelfQuarantine_Mild)+('Weekly Summary'!E$100*SelfQuarantine_Mild)+('Weekly Summary'!E$101*SelfQuarantine_Moderate))),'Equipment List &amp; Usage'!$C$115)*((('Weekly Summary'!E$131*SelfQuarantine_Mild*'Equipment List &amp; Usage'!$W18)+('Weekly Summary'!E$100*SelfQuarantine_Mild*'Equipment List &amp; Usage'!$X18)+('Weekly Summary'!E$101*SelfQuarantine_Moderate*'Equipment List &amp; Usage'!$X18))))+IF('Equipment List &amp; Usage'!$F18="Yes",'Equipment List &amp; Usage'!$C$114*(IF('Equipment List &amp; Usage'!$AA18&gt;0,'Weekly Summary'!E$128,0)+IF('Equipment List &amp; Usage'!$AB18&gt;0,'Weekly Summary'!E$100+'Weekly Summary'!E$101,0)),'Equipment List &amp; Usage'!$C$115*(('Weekly Summary'!E$128*'Equipment List &amp; Usage'!$AA18)+('Weekly Summary'!E$100*'Equipment List &amp; Usage'!$AB18*SelfQuarantine_Mild)+('Weekly Summary'!E$101*'Equipment List &amp; Usage'!$AB18*SelfQuarantine_Moderate)))+IF('Equipment List &amp; Usage'!$F18="Yes",('Equipment List &amp; Usage'!$C$114*(IF('Equipment List &amp; Usage'!$AE18&gt;0,'Weekly Summary'!E$134,0)+IF('Equipment List &amp; Usage'!$AF18&gt;0,'Weekly Summary'!E$135))),'Equipment List &amp; Usage'!$C$115*(('Weekly Summary'!E$134*'Equipment List &amp; Usage'!$AE18)+('Weekly Summary'!E$135*'Equipment List &amp; Usage'!$AF18)))))</f>
        <v>1270.2883099083003</v>
      </c>
      <c r="L16" s="1378">
        <f ca="1">MAX(IF($F16="Yes",(
IF($F16="yes",MMULT(--('Equipment List &amp; Usage'!$J18:$N18&gt;0),--('Weekly Summary'!F$112:F$116))*'Equipment List &amp; Usage'!$C$114,MMULT(--('Equipment List &amp; Usage'!$J18:$N18),--('Weekly Summary'!F$112:F$116))*'Equipment List &amp; Usage'!$C$115)+IF('Equipment List &amp; Usage'!$F17="yes",'Equipment List &amp; Usage'!$C$114,'Equipment List &amp; Usage'!$C$115)*(('Weekly Summary'!F$66*'Equipment List &amp; Usage'!$Q18)+('Weekly Summary'!F$64*'Equipment List &amp; Usage'!$O18)+('Weekly Summary'!F$65*'Equipment List &amp; Usage'!$P18)))+(IF('Equipment List &amp; Usage'!$F18="Yes",'Equipment List &amp; Usage'!$C$114*((('Weekly Summary'!F$131*SelfQuarantine_Mild)+('Weekly Summary'!F$100*SelfQuarantine_Mild)+('Weekly Summary'!F$101*SelfQuarantine_Moderate))),'Equipment List &amp; Usage'!$C$115)*((('Weekly Summary'!F$131*SelfQuarantine_Mild*'Equipment List &amp; Usage'!$W18)+('Weekly Summary'!F$100*SelfQuarantine_Mild*'Equipment List &amp; Usage'!$X18)+('Weekly Summary'!F$101*SelfQuarantine_Moderate*'Equipment List &amp; Usage'!$X18)))+IF('Equipment List &amp; Usage'!$F18="Yes",'Equipment List &amp; Usage'!$C$114*(IF('Equipment List &amp; Usage'!$AA18&gt;0,'Weekly Summary'!F$128,0)+IF('Equipment List &amp; Usage'!$AB18&gt;0,'Weekly Summary'!F$100+'Weekly Summary'!F$101,0)),'Equipment List &amp; Usage'!$C$115*(('Weekly Summary'!F$128*'Equipment List &amp; Usage'!$AA18)+('Weekly Summary'!F$100*'Equipment List &amp; Usage'!$AB18*SelfQuarantine_Mild)+('Weekly Summary'!F$101*'Equipment List &amp; Usage'!$AB18*SelfQuarantine_Moderate)))+IF('Equipment List &amp; Usage'!$F18="Yes",('Equipment List &amp; Usage'!$C$114*(IF('Equipment List &amp; Usage'!$AE18&gt;0,'Weekly Summary'!F$134,0)+IF('Equipment List &amp; Usage'!$AF18&gt;0,'Weekly Summary'!F$135))),'Equipment List &amp; Usage'!$C$115*(('Weekly Summary'!F$134*'Equipment List &amp; Usage'!$AE18)+('Weekly Summary'!F$135*'Equipment List &amp; Usage'!$AF18))))-SUM($I16:K16),
IF($F16="yes",MMULT(--('Equipment List &amp; Usage'!$J18:$N18&gt;0),--('Weekly Summary'!F$112:F$116))*'Equipment List &amp; Usage'!$C$114,MMULT(--('Equipment List &amp; Usage'!$J18:$N18),--('Weekly Summary'!F$112:F$116))*'Equipment List &amp; Usage'!$C$115)+IF('Equipment List &amp; Usage'!$F17="yes",'Equipment List &amp; Usage'!$C$114,'Equipment List &amp; Usage'!$C$115)*(('Weekly Summary'!F$66*'Equipment List &amp; Usage'!$Q18)+('Weekly Summary'!F$64*'Equipment List &amp; Usage'!$O18)+('Weekly Summary'!F$65*'Equipment List &amp; Usage'!$P18))+(IF('Equipment List &amp; Usage'!$F18="Yes",'Equipment List &amp; Usage'!$C$114*((('Weekly Summary'!F$131*SelfQuarantine_Mild)+('Weekly Summary'!F$100*SelfQuarantine_Mild)+('Weekly Summary'!F$101*SelfQuarantine_Moderate))),'Equipment List &amp; Usage'!$C$115)*((('Weekly Summary'!F$131*SelfQuarantine_Mild*'Equipment List &amp; Usage'!$W18)+('Weekly Summary'!F$100*SelfQuarantine_Mild*'Equipment List &amp; Usage'!$X18)+('Weekly Summary'!F$101*SelfQuarantine_Moderate*'Equipment List &amp; Usage'!$X18))))+IF('Equipment List &amp; Usage'!$F18="Yes",'Equipment List &amp; Usage'!$C$114*(IF('Equipment List &amp; Usage'!$AA18&gt;0,'Weekly Summary'!F$128,0)+IF('Equipment List &amp; Usage'!$AB18&gt;0,'Weekly Summary'!F$100+'Weekly Summary'!F$101,0)),'Equipment List &amp; Usage'!$C$115*(('Weekly Summary'!F$128*'Equipment List &amp; Usage'!$AA18)+('Weekly Summary'!F$100*'Equipment List &amp; Usage'!$AB18*SelfQuarantine_Mild)+('Weekly Summary'!F$101*'Equipment List &amp; Usage'!$AB18*SelfQuarantine_Moderate)))+IF('Equipment List &amp; Usage'!$F18="Yes",('Equipment List &amp; Usage'!$C$114*(IF('Equipment List &amp; Usage'!$AE18&gt;0,'Weekly Summary'!F$134,0)+IF('Equipment List &amp; Usage'!$AF18&gt;0,'Weekly Summary'!F$135))),'Equipment List &amp; Usage'!$C$115*(('Weekly Summary'!F$134*'Equipment List &amp; Usage'!$AE18)+('Weekly Summary'!F$135*'Equipment List &amp; Usage'!$AF18)))),0)</f>
        <v>1289.9501525689839</v>
      </c>
      <c r="M16" s="1378">
        <f ca="1">MAX(IF($F16="Yes",(
IF($F16="yes",MMULT(--('Equipment List &amp; Usage'!$J18:$N18&gt;0),--('Weekly Summary'!G$112:G$116))*'Equipment List &amp; Usage'!$C$114,MMULT(--('Equipment List &amp; Usage'!$J18:$N18),--('Weekly Summary'!G$112:G$116))*'Equipment List &amp; Usage'!$C$115)+IF('Equipment List &amp; Usage'!$F17="yes",'Equipment List &amp; Usage'!$C$114,'Equipment List &amp; Usage'!$C$115)*(('Weekly Summary'!G$66*'Equipment List &amp; Usage'!$Q18)+('Weekly Summary'!G$64*'Equipment List &amp; Usage'!$O18)+('Weekly Summary'!G$65*'Equipment List &amp; Usage'!$P18)))+(IF('Equipment List &amp; Usage'!$F18="Yes",'Equipment List &amp; Usage'!$C$114*((('Weekly Summary'!G$131*SelfQuarantine_Mild)+('Weekly Summary'!G$100*SelfQuarantine_Mild)+('Weekly Summary'!G$101*SelfQuarantine_Moderate))),'Equipment List &amp; Usage'!$C$115)*((('Weekly Summary'!G$131*SelfQuarantine_Mild*'Equipment List &amp; Usage'!$W18)+('Weekly Summary'!G$100*SelfQuarantine_Mild*'Equipment List &amp; Usage'!$X18)+('Weekly Summary'!G$101*SelfQuarantine_Moderate*'Equipment List &amp; Usage'!$X18)))+IF('Equipment List &amp; Usage'!$F18="Yes",'Equipment List &amp; Usage'!$C$114*(IF('Equipment List &amp; Usage'!$AA18&gt;0,'Weekly Summary'!G$128,0)+IF('Equipment List &amp; Usage'!$AB18&gt;0,'Weekly Summary'!G$100+'Weekly Summary'!G$101,0)),'Equipment List &amp; Usage'!$C$115*(('Weekly Summary'!G$128*'Equipment List &amp; Usage'!$AA18)+('Weekly Summary'!G$100*'Equipment List &amp; Usage'!$AB18*SelfQuarantine_Mild)+('Weekly Summary'!G$101*'Equipment List &amp; Usage'!$AB18*SelfQuarantine_Moderate)))+IF('Equipment List &amp; Usage'!$F18="Yes",('Equipment List &amp; Usage'!$C$114*(IF('Equipment List &amp; Usage'!$AE18&gt;0,'Weekly Summary'!G$134,0)+IF('Equipment List &amp; Usage'!$AF18&gt;0,'Weekly Summary'!G$135))),'Equipment List &amp; Usage'!$C$115*(('Weekly Summary'!G$134*'Equipment List &amp; Usage'!$AE18)+('Weekly Summary'!G$135*'Equipment List &amp; Usage'!$AF18))))-SUM($I16:L16),
IF($F16="yes",MMULT(--('Equipment List &amp; Usage'!$J18:$N18&gt;0),--('Weekly Summary'!G$112:G$116))*'Equipment List &amp; Usage'!$C$114,MMULT(--('Equipment List &amp; Usage'!$J18:$N18),--('Weekly Summary'!G$112:G$116))*'Equipment List &amp; Usage'!$C$115)+IF('Equipment List &amp; Usage'!$F17="yes",'Equipment List &amp; Usage'!$C$114,'Equipment List &amp; Usage'!$C$115)*(('Weekly Summary'!G$66*'Equipment List &amp; Usage'!$Q18)+('Weekly Summary'!G$64*'Equipment List &amp; Usage'!$O18)+('Weekly Summary'!G$65*'Equipment List &amp; Usage'!$P18))+(IF('Equipment List &amp; Usage'!$F18="Yes",'Equipment List &amp; Usage'!$C$114*((('Weekly Summary'!G$131*SelfQuarantine_Mild)+('Weekly Summary'!G$100*SelfQuarantine_Mild)+('Weekly Summary'!G$101*SelfQuarantine_Moderate))),'Equipment List &amp; Usage'!$C$115)*((('Weekly Summary'!G$131*SelfQuarantine_Mild*'Equipment List &amp; Usage'!$W18)+('Weekly Summary'!G$100*SelfQuarantine_Mild*'Equipment List &amp; Usage'!$X18)+('Weekly Summary'!G$101*SelfQuarantine_Moderate*'Equipment List &amp; Usage'!$X18))))+IF('Equipment List &amp; Usage'!$F18="Yes",'Equipment List &amp; Usage'!$C$114*(IF('Equipment List &amp; Usage'!$AA18&gt;0,'Weekly Summary'!G$128,0)+IF('Equipment List &amp; Usage'!$AB18&gt;0,'Weekly Summary'!G$100+'Weekly Summary'!G$101,0)),'Equipment List &amp; Usage'!$C$115*(('Weekly Summary'!G$128*'Equipment List &amp; Usage'!$AA18)+('Weekly Summary'!G$100*'Equipment List &amp; Usage'!$AB18*SelfQuarantine_Mild)+('Weekly Summary'!G$101*'Equipment List &amp; Usage'!$AB18*SelfQuarantine_Moderate)))+IF('Equipment List &amp; Usage'!$F18="Yes",('Equipment List &amp; Usage'!$C$114*(IF('Equipment List &amp; Usage'!$AE18&gt;0,'Weekly Summary'!G$134,0)+IF('Equipment List &amp; Usage'!$AF18&gt;0,'Weekly Summary'!G$135))),'Equipment List &amp; Usage'!$C$115*(('Weekly Summary'!G$134*'Equipment List &amp; Usage'!$AE18)+('Weekly Summary'!G$135*'Equipment List &amp; Usage'!$AF18)))),0)</f>
        <v>1357.8064128276537</v>
      </c>
      <c r="N16" s="1378">
        <f ca="1">MAX(IF($F16="Yes",(
IF($F16="yes",MMULT(--('Equipment List &amp; Usage'!$J18:$N18&gt;0),--('Weekly Summary'!H$112:H$116))*'Equipment List &amp; Usage'!$C$114,MMULT(--('Equipment List &amp; Usage'!$J18:$N18),--('Weekly Summary'!H$112:H$116))*'Equipment List &amp; Usage'!$C$115)+IF('Equipment List &amp; Usage'!$F17="yes",'Equipment List &amp; Usage'!$C$114,'Equipment List &amp; Usage'!$C$115)*(('Weekly Summary'!H$66*'Equipment List &amp; Usage'!$Q18)+('Weekly Summary'!H$64*'Equipment List &amp; Usage'!$O18)+('Weekly Summary'!H$65*'Equipment List &amp; Usage'!$P18)))+(IF('Equipment List &amp; Usage'!$F18="Yes",'Equipment List &amp; Usage'!$C$114*((('Weekly Summary'!H$131*SelfQuarantine_Mild)+('Weekly Summary'!H$100*SelfQuarantine_Mild)+('Weekly Summary'!H$101*SelfQuarantine_Moderate))),'Equipment List &amp; Usage'!$C$115)*((('Weekly Summary'!H$131*SelfQuarantine_Mild*'Equipment List &amp; Usage'!$W18)+('Weekly Summary'!H$100*SelfQuarantine_Mild*'Equipment List &amp; Usage'!$X18)+('Weekly Summary'!H$101*SelfQuarantine_Moderate*'Equipment List &amp; Usage'!$X18)))+IF('Equipment List &amp; Usage'!$F18="Yes",'Equipment List &amp; Usage'!$C$114*(IF('Equipment List &amp; Usage'!$AA18&gt;0,'Weekly Summary'!H$128,0)+IF('Equipment List &amp; Usage'!$AB18&gt;0,'Weekly Summary'!H$100+'Weekly Summary'!H$101,0)),'Equipment List &amp; Usage'!$C$115*(('Weekly Summary'!H$128*'Equipment List &amp; Usage'!$AA18)+('Weekly Summary'!H$100*'Equipment List &amp; Usage'!$AB18*SelfQuarantine_Mild)+('Weekly Summary'!H$101*'Equipment List &amp; Usage'!$AB18*SelfQuarantine_Moderate)))+IF('Equipment List &amp; Usage'!$F18="Yes",('Equipment List &amp; Usage'!$C$114*(IF('Equipment List &amp; Usage'!$AE18&gt;0,'Weekly Summary'!H$134,0)+IF('Equipment List &amp; Usage'!$AF18&gt;0,'Weekly Summary'!H$135))),'Equipment List &amp; Usage'!$C$115*(('Weekly Summary'!H$134*'Equipment List &amp; Usage'!$AE18)+('Weekly Summary'!H$135*'Equipment List &amp; Usage'!$AF18))))-SUM($I16:M16),
IF($F16="yes",MMULT(--('Equipment List &amp; Usage'!$J18:$N18&gt;0),--('Weekly Summary'!H$112:H$116))*'Equipment List &amp; Usage'!$C$114,MMULT(--('Equipment List &amp; Usage'!$J18:$N18),--('Weekly Summary'!H$112:H$116))*'Equipment List &amp; Usage'!$C$115)+IF('Equipment List &amp; Usage'!$F17="yes",'Equipment List &amp; Usage'!$C$114,'Equipment List &amp; Usage'!$C$115)*(('Weekly Summary'!H$66*'Equipment List &amp; Usage'!$Q18)+('Weekly Summary'!H$64*'Equipment List &amp; Usage'!$O18)+('Weekly Summary'!H$65*'Equipment List &amp; Usage'!$P18))+(IF('Equipment List &amp; Usage'!$F18="Yes",'Equipment List &amp; Usage'!$C$114*((('Weekly Summary'!H$131*SelfQuarantine_Mild)+('Weekly Summary'!H$100*SelfQuarantine_Mild)+('Weekly Summary'!H$101*SelfQuarantine_Moderate))),'Equipment List &amp; Usage'!$C$115)*((('Weekly Summary'!H$131*SelfQuarantine_Mild*'Equipment List &amp; Usage'!$W18)+('Weekly Summary'!H$100*SelfQuarantine_Mild*'Equipment List &amp; Usage'!$X18)+('Weekly Summary'!H$101*SelfQuarantine_Moderate*'Equipment List &amp; Usage'!$X18))))+IF('Equipment List &amp; Usage'!$F18="Yes",'Equipment List &amp; Usage'!$C$114*(IF('Equipment List &amp; Usage'!$AA18&gt;0,'Weekly Summary'!H$128,0)+IF('Equipment List &amp; Usage'!$AB18&gt;0,'Weekly Summary'!H$100+'Weekly Summary'!H$101,0)),'Equipment List &amp; Usage'!$C$115*(('Weekly Summary'!H$128*'Equipment List &amp; Usage'!$AA18)+('Weekly Summary'!H$100*'Equipment List &amp; Usage'!$AB18*SelfQuarantine_Mild)+('Weekly Summary'!H$101*'Equipment List &amp; Usage'!$AB18*SelfQuarantine_Moderate)))+IF('Equipment List &amp; Usage'!$F18="Yes",('Equipment List &amp; Usage'!$C$114*(IF('Equipment List &amp; Usage'!$AE18&gt;0,'Weekly Summary'!H$134,0)+IF('Equipment List &amp; Usage'!$AF18&gt;0,'Weekly Summary'!H$135))),'Equipment List &amp; Usage'!$C$115*(('Weekly Summary'!H$134*'Equipment List &amp; Usage'!$AE18)+('Weekly Summary'!H$135*'Equipment List &amp; Usage'!$AF18)))),0)</f>
        <v>1594.4824952390463</v>
      </c>
      <c r="O16" s="1378">
        <f ca="1">MAX(IF($F16="Yes",(
IF($F16="yes",MMULT(--('Equipment List &amp; Usage'!$J18:$N18&gt;0),--('Weekly Summary'!I$112:I$116))*'Equipment List &amp; Usage'!$C$114,MMULT(--('Equipment List &amp; Usage'!$J18:$N18),--('Weekly Summary'!I$112:I$116))*'Equipment List &amp; Usage'!$C$115)+IF('Equipment List &amp; Usage'!$F17="yes",'Equipment List &amp; Usage'!$C$114,'Equipment List &amp; Usage'!$C$115)*(('Weekly Summary'!I$66*'Equipment List &amp; Usage'!$Q18)+('Weekly Summary'!I$64*'Equipment List &amp; Usage'!$O18)+('Weekly Summary'!I$65*'Equipment List &amp; Usage'!$P18)))+(IF('Equipment List &amp; Usage'!$F18="Yes",'Equipment List &amp; Usage'!$C$114*((('Weekly Summary'!I$131*SelfQuarantine_Mild)+('Weekly Summary'!I$100*SelfQuarantine_Mild)+('Weekly Summary'!I$101*SelfQuarantine_Moderate))),'Equipment List &amp; Usage'!$C$115)*((('Weekly Summary'!I$131*SelfQuarantine_Mild*'Equipment List &amp; Usage'!$W18)+('Weekly Summary'!I$100*SelfQuarantine_Mild*'Equipment List &amp; Usage'!$X18)+('Weekly Summary'!I$101*SelfQuarantine_Moderate*'Equipment List &amp; Usage'!$X18)))+IF('Equipment List &amp; Usage'!$F18="Yes",'Equipment List &amp; Usage'!$C$114*(IF('Equipment List &amp; Usage'!$AA18&gt;0,'Weekly Summary'!I$128,0)+IF('Equipment List &amp; Usage'!$AB18&gt;0,'Weekly Summary'!I$100+'Weekly Summary'!I$101,0)),'Equipment List &amp; Usage'!$C$115*(('Weekly Summary'!I$128*'Equipment List &amp; Usage'!$AA18)+('Weekly Summary'!I$100*'Equipment List &amp; Usage'!$AB18*SelfQuarantine_Mild)+('Weekly Summary'!I$101*'Equipment List &amp; Usage'!$AB18*SelfQuarantine_Moderate)))+IF('Equipment List &amp; Usage'!$F18="Yes",('Equipment List &amp; Usage'!$C$114*(IF('Equipment List &amp; Usage'!$AE18&gt;0,'Weekly Summary'!I$134,0)+IF('Equipment List &amp; Usage'!$AF18&gt;0,'Weekly Summary'!I$135))),'Equipment List &amp; Usage'!$C$115*(('Weekly Summary'!I$134*'Equipment List &amp; Usage'!$AE18)+('Weekly Summary'!I$135*'Equipment List &amp; Usage'!$AF18))))-SUM($I16:N16),
IF($F16="yes",MMULT(--('Equipment List &amp; Usage'!$J18:$N18&gt;0),--('Weekly Summary'!I$112:I$116))*'Equipment List &amp; Usage'!$C$114,MMULT(--('Equipment List &amp; Usage'!$J18:$N18),--('Weekly Summary'!I$112:I$116))*'Equipment List &amp; Usage'!$C$115)+IF('Equipment List &amp; Usage'!$F17="yes",'Equipment List &amp; Usage'!$C$114,'Equipment List &amp; Usage'!$C$115)*(('Weekly Summary'!I$66*'Equipment List &amp; Usage'!$Q18)+('Weekly Summary'!I$64*'Equipment List &amp; Usage'!$O18)+('Weekly Summary'!I$65*'Equipment List &amp; Usage'!$P18))+(IF('Equipment List &amp; Usage'!$F18="Yes",'Equipment List &amp; Usage'!$C$114*((('Weekly Summary'!I$131*SelfQuarantine_Mild)+('Weekly Summary'!I$100*SelfQuarantine_Mild)+('Weekly Summary'!I$101*SelfQuarantine_Moderate))),'Equipment List &amp; Usage'!$C$115)*((('Weekly Summary'!I$131*SelfQuarantine_Mild*'Equipment List &amp; Usage'!$W18)+('Weekly Summary'!I$100*SelfQuarantine_Mild*'Equipment List &amp; Usage'!$X18)+('Weekly Summary'!I$101*SelfQuarantine_Moderate*'Equipment List &amp; Usage'!$X18))))+IF('Equipment List &amp; Usage'!$F18="Yes",'Equipment List &amp; Usage'!$C$114*(IF('Equipment List &amp; Usage'!$AA18&gt;0,'Weekly Summary'!I$128,0)+IF('Equipment List &amp; Usage'!$AB18&gt;0,'Weekly Summary'!I$100+'Weekly Summary'!I$101,0)),'Equipment List &amp; Usage'!$C$115*(('Weekly Summary'!I$128*'Equipment List &amp; Usage'!$AA18)+('Weekly Summary'!I$100*'Equipment List &amp; Usage'!$AB18*SelfQuarantine_Mild)+('Weekly Summary'!I$101*'Equipment List &amp; Usage'!$AB18*SelfQuarantine_Moderate)))+IF('Equipment List &amp; Usage'!$F18="Yes",('Equipment List &amp; Usage'!$C$114*(IF('Equipment List &amp; Usage'!$AE18&gt;0,'Weekly Summary'!I$134,0)+IF('Equipment List &amp; Usage'!$AF18&gt;0,'Weekly Summary'!I$135))),'Equipment List &amp; Usage'!$C$115*(('Weekly Summary'!I$134*'Equipment List &amp; Usage'!$AE18)+('Weekly Summary'!I$135*'Equipment List &amp; Usage'!$AF18)))),0)</f>
        <v>2413.1385641656793</v>
      </c>
      <c r="P16" s="1378">
        <f ca="1">MAX(IF($F16="Yes",(
IF($F16="yes",MMULT(--('Equipment List &amp; Usage'!$J18:$N18&gt;0),--('Weekly Summary'!J$112:J$116))*'Equipment List &amp; Usage'!$C$114,MMULT(--('Equipment List &amp; Usage'!$J18:$N18),--('Weekly Summary'!J$112:J$116))*'Equipment List &amp; Usage'!$C$115)+IF('Equipment List &amp; Usage'!$F17="yes",'Equipment List &amp; Usage'!$C$114,'Equipment List &amp; Usage'!$C$115)*(('Weekly Summary'!J$66*'Equipment List &amp; Usage'!$Q18)+('Weekly Summary'!J$64*'Equipment List &amp; Usage'!$O18)+('Weekly Summary'!J$65*'Equipment List &amp; Usage'!$P18)))+(IF('Equipment List &amp; Usage'!$F18="Yes",'Equipment List &amp; Usage'!$C$114*((('Weekly Summary'!J$131*SelfQuarantine_Mild)+('Weekly Summary'!J$100*SelfQuarantine_Mild)+('Weekly Summary'!J$101*SelfQuarantine_Moderate))),'Equipment List &amp; Usage'!$C$115)*((('Weekly Summary'!J$131*SelfQuarantine_Mild*'Equipment List &amp; Usage'!$W18)+('Weekly Summary'!J$100*SelfQuarantine_Mild*'Equipment List &amp; Usage'!$X18)+('Weekly Summary'!J$101*SelfQuarantine_Moderate*'Equipment List &amp; Usage'!$X18)))+IF('Equipment List &amp; Usage'!$F18="Yes",'Equipment List &amp; Usage'!$C$114*(IF('Equipment List &amp; Usage'!$AA18&gt;0,'Weekly Summary'!J$128,0)+IF('Equipment List &amp; Usage'!$AB18&gt;0,'Weekly Summary'!J$100+'Weekly Summary'!J$101,0)),'Equipment List &amp; Usage'!$C$115*(('Weekly Summary'!J$128*'Equipment List &amp; Usage'!$AA18)+('Weekly Summary'!J$100*'Equipment List &amp; Usage'!$AB18*SelfQuarantine_Mild)+('Weekly Summary'!J$101*'Equipment List &amp; Usage'!$AB18*SelfQuarantine_Moderate)))+IF('Equipment List &amp; Usage'!$F18="Yes",('Equipment List &amp; Usage'!$C$114*(IF('Equipment List &amp; Usage'!$AE18&gt;0,'Weekly Summary'!J$134,0)+IF('Equipment List &amp; Usage'!$AF18&gt;0,'Weekly Summary'!J$135))),'Equipment List &amp; Usage'!$C$115*(('Weekly Summary'!J$134*'Equipment List &amp; Usage'!$AE18)+('Weekly Summary'!J$135*'Equipment List &amp; Usage'!$AF18))))-SUM($I16:O16),
IF($F16="yes",MMULT(--('Equipment List &amp; Usage'!$J18:$N18&gt;0),--('Weekly Summary'!J$112:J$116))*'Equipment List &amp; Usage'!$C$114,MMULT(--('Equipment List &amp; Usage'!$J18:$N18),--('Weekly Summary'!J$112:J$116))*'Equipment List &amp; Usage'!$C$115)+IF('Equipment List &amp; Usage'!$F17="yes",'Equipment List &amp; Usage'!$C$114,'Equipment List &amp; Usage'!$C$115)*(('Weekly Summary'!J$66*'Equipment List &amp; Usage'!$Q18)+('Weekly Summary'!J$64*'Equipment List &amp; Usage'!$O18)+('Weekly Summary'!J$65*'Equipment List &amp; Usage'!$P18))+(IF('Equipment List &amp; Usage'!$F18="Yes",'Equipment List &amp; Usage'!$C$114*((('Weekly Summary'!J$131*SelfQuarantine_Mild)+('Weekly Summary'!J$100*SelfQuarantine_Mild)+('Weekly Summary'!J$101*SelfQuarantine_Moderate))),'Equipment List &amp; Usage'!$C$115)*((('Weekly Summary'!J$131*SelfQuarantine_Mild*'Equipment List &amp; Usage'!$W18)+('Weekly Summary'!J$100*SelfQuarantine_Mild*'Equipment List &amp; Usage'!$X18)+('Weekly Summary'!J$101*SelfQuarantine_Moderate*'Equipment List &amp; Usage'!$X18))))+IF('Equipment List &amp; Usage'!$F18="Yes",'Equipment List &amp; Usage'!$C$114*(IF('Equipment List &amp; Usage'!$AA18&gt;0,'Weekly Summary'!J$128,0)+IF('Equipment List &amp; Usage'!$AB18&gt;0,'Weekly Summary'!J$100+'Weekly Summary'!J$101,0)),'Equipment List &amp; Usage'!$C$115*(('Weekly Summary'!J$128*'Equipment List &amp; Usage'!$AA18)+('Weekly Summary'!J$100*'Equipment List &amp; Usage'!$AB18*SelfQuarantine_Mild)+('Weekly Summary'!J$101*'Equipment List &amp; Usage'!$AB18*SelfQuarantine_Moderate)))+IF('Equipment List &amp; Usage'!$F18="Yes",('Equipment List &amp; Usage'!$C$114*(IF('Equipment List &amp; Usage'!$AE18&gt;0,'Weekly Summary'!J$134,0)+IF('Equipment List &amp; Usage'!$AF18&gt;0,'Weekly Summary'!J$135))),'Equipment List &amp; Usage'!$C$115*(('Weekly Summary'!J$134*'Equipment List &amp; Usage'!$AE18)+('Weekly Summary'!J$135*'Equipment List &amp; Usage'!$AF18)))),0)</f>
        <v>5220.4567459783102</v>
      </c>
      <c r="Q16" s="1378">
        <f ca="1">MAX(IF($F16="Yes",(
IF($F16="yes",MMULT(--('Equipment List &amp; Usage'!$J18:$N18&gt;0),--('Weekly Summary'!K$112:K$116))*'Equipment List &amp; Usage'!$C$114,MMULT(--('Equipment List &amp; Usage'!$J18:$N18),--('Weekly Summary'!K$112:K$116))*'Equipment List &amp; Usage'!$C$115)+IF('Equipment List &amp; Usage'!$F17="yes",'Equipment List &amp; Usage'!$C$114,'Equipment List &amp; Usage'!$C$115)*(('Weekly Summary'!K$66*'Equipment List &amp; Usage'!$Q18)+('Weekly Summary'!K$64*'Equipment List &amp; Usage'!$O18)+('Weekly Summary'!K$65*'Equipment List &amp; Usage'!$P18)))+(IF('Equipment List &amp; Usage'!$F18="Yes",'Equipment List &amp; Usage'!$C$114*((('Weekly Summary'!K$131*SelfQuarantine_Mild)+('Weekly Summary'!K$100*SelfQuarantine_Mild)+('Weekly Summary'!K$101*SelfQuarantine_Moderate))),'Equipment List &amp; Usage'!$C$115)*((('Weekly Summary'!K$131*SelfQuarantine_Mild*'Equipment List &amp; Usage'!$W18)+('Weekly Summary'!K$100*SelfQuarantine_Mild*'Equipment List &amp; Usage'!$X18)+('Weekly Summary'!K$101*SelfQuarantine_Moderate*'Equipment List &amp; Usage'!$X18)))+IF('Equipment List &amp; Usage'!$F18="Yes",'Equipment List &amp; Usage'!$C$114*(IF('Equipment List &amp; Usage'!$AA18&gt;0,'Weekly Summary'!K$128,0)+IF('Equipment List &amp; Usage'!$AB18&gt;0,'Weekly Summary'!K$100+'Weekly Summary'!K$101,0)),'Equipment List &amp; Usage'!$C$115*(('Weekly Summary'!K$128*'Equipment List &amp; Usage'!$AA18)+('Weekly Summary'!K$100*'Equipment List &amp; Usage'!$AB18*SelfQuarantine_Mild)+('Weekly Summary'!K$101*'Equipment List &amp; Usage'!$AB18*SelfQuarantine_Moderate)))+IF('Equipment List &amp; Usage'!$F18="Yes",('Equipment List &amp; Usage'!$C$114*(IF('Equipment List &amp; Usage'!$AE18&gt;0,'Weekly Summary'!K$134,0)+IF('Equipment List &amp; Usage'!$AF18&gt;0,'Weekly Summary'!K$135))),'Equipment List &amp; Usage'!$C$115*(('Weekly Summary'!K$134*'Equipment List &amp; Usage'!$AE18)+('Weekly Summary'!K$135*'Equipment List &amp; Usage'!$AF18))))-SUM($I16:P16),
IF($F16="yes",MMULT(--('Equipment List &amp; Usage'!$J18:$N18&gt;0),--('Weekly Summary'!K$112:K$116))*'Equipment List &amp; Usage'!$C$114,MMULT(--('Equipment List &amp; Usage'!$J18:$N18),--('Weekly Summary'!K$112:K$116))*'Equipment List &amp; Usage'!$C$115)+IF('Equipment List &amp; Usage'!$F17="yes",'Equipment List &amp; Usage'!$C$114,'Equipment List &amp; Usage'!$C$115)*(('Weekly Summary'!K$66*'Equipment List &amp; Usage'!$Q18)+('Weekly Summary'!K$64*'Equipment List &amp; Usage'!$O18)+('Weekly Summary'!K$65*'Equipment List &amp; Usage'!$P18))+(IF('Equipment List &amp; Usage'!$F18="Yes",'Equipment List &amp; Usage'!$C$114*((('Weekly Summary'!K$131*SelfQuarantine_Mild)+('Weekly Summary'!K$100*SelfQuarantine_Mild)+('Weekly Summary'!K$101*SelfQuarantine_Moderate))),'Equipment List &amp; Usage'!$C$115)*((('Weekly Summary'!K$131*SelfQuarantine_Mild*'Equipment List &amp; Usage'!$W18)+('Weekly Summary'!K$100*SelfQuarantine_Mild*'Equipment List &amp; Usage'!$X18)+('Weekly Summary'!K$101*SelfQuarantine_Moderate*'Equipment List &amp; Usage'!$X18))))+IF('Equipment List &amp; Usage'!$F18="Yes",'Equipment List &amp; Usage'!$C$114*(IF('Equipment List &amp; Usage'!$AA18&gt;0,'Weekly Summary'!K$128,0)+IF('Equipment List &amp; Usage'!$AB18&gt;0,'Weekly Summary'!K$100+'Weekly Summary'!K$101,0)),'Equipment List &amp; Usage'!$C$115*(('Weekly Summary'!K$128*'Equipment List &amp; Usage'!$AA18)+('Weekly Summary'!K$100*'Equipment List &amp; Usage'!$AB18*SelfQuarantine_Mild)+('Weekly Summary'!K$101*'Equipment List &amp; Usage'!$AB18*SelfQuarantine_Moderate)))+IF('Equipment List &amp; Usage'!$F18="Yes",('Equipment List &amp; Usage'!$C$114*(IF('Equipment List &amp; Usage'!$AE18&gt;0,'Weekly Summary'!K$134,0)+IF('Equipment List &amp; Usage'!$AF18&gt;0,'Weekly Summary'!K$135))),'Equipment List &amp; Usage'!$C$115*(('Weekly Summary'!K$134*'Equipment List &amp; Usage'!$AE18)+('Weekly Summary'!K$135*'Equipment List &amp; Usage'!$AF18)))),0)</f>
        <v>0</v>
      </c>
      <c r="R16" s="1378">
        <f ca="1">MAX(IF($F16="Yes",(
IF($F16="yes",MMULT(--('Equipment List &amp; Usage'!$J18:$N18&gt;0),--('Weekly Summary'!L$112:L$116))*'Equipment List &amp; Usage'!$C$114,MMULT(--('Equipment List &amp; Usage'!$J18:$N18),--('Weekly Summary'!L$112:L$116))*'Equipment List &amp; Usage'!$C$115)+IF('Equipment List &amp; Usage'!$F17="yes",'Equipment List &amp; Usage'!$C$114,'Equipment List &amp; Usage'!$C$115)*(('Weekly Summary'!L$66*'Equipment List &amp; Usage'!$Q18)+('Weekly Summary'!L$64*'Equipment List &amp; Usage'!$O18)+('Weekly Summary'!L$65*'Equipment List &amp; Usage'!$P18)))+(IF('Equipment List &amp; Usage'!$F18="Yes",'Equipment List &amp; Usage'!$C$114*((('Weekly Summary'!L$131*SelfQuarantine_Mild)+('Weekly Summary'!L$100*SelfQuarantine_Mild)+('Weekly Summary'!L$101*SelfQuarantine_Moderate))),'Equipment List &amp; Usage'!$C$115)*((('Weekly Summary'!L$131*SelfQuarantine_Mild*'Equipment List &amp; Usage'!$W18)+('Weekly Summary'!L$100*SelfQuarantine_Mild*'Equipment List &amp; Usage'!$X18)+('Weekly Summary'!L$101*SelfQuarantine_Moderate*'Equipment List &amp; Usage'!$X18)))+IF('Equipment List &amp; Usage'!$F18="Yes",'Equipment List &amp; Usage'!$C$114*(IF('Equipment List &amp; Usage'!$AA18&gt;0,'Weekly Summary'!L$128,0)+IF('Equipment List &amp; Usage'!$AB18&gt;0,'Weekly Summary'!L$100+'Weekly Summary'!L$101,0)),'Equipment List &amp; Usage'!$C$115*(('Weekly Summary'!L$128*'Equipment List &amp; Usage'!$AA18)+('Weekly Summary'!L$100*'Equipment List &amp; Usage'!$AB18*SelfQuarantine_Mild)+('Weekly Summary'!L$101*'Equipment List &amp; Usage'!$AB18*SelfQuarantine_Moderate)))+IF('Equipment List &amp; Usage'!$F18="Yes",('Equipment List &amp; Usage'!$C$114*(IF('Equipment List &amp; Usage'!$AE18&gt;0,'Weekly Summary'!L$134,0)+IF('Equipment List &amp; Usage'!$AF18&gt;0,'Weekly Summary'!L$135))),'Equipment List &amp; Usage'!$C$115*(('Weekly Summary'!L$134*'Equipment List &amp; Usage'!$AE18)+('Weekly Summary'!L$135*'Equipment List &amp; Usage'!$AF18))))-SUM($I16:Q16),
IF($F16="yes",MMULT(--('Equipment List &amp; Usage'!$J18:$N18&gt;0),--('Weekly Summary'!L$112:L$116))*'Equipment List &amp; Usage'!$C$114,MMULT(--('Equipment List &amp; Usage'!$J18:$N18),--('Weekly Summary'!L$112:L$116))*'Equipment List &amp; Usage'!$C$115)+IF('Equipment List &amp; Usage'!$F17="yes",'Equipment List &amp; Usage'!$C$114,'Equipment List &amp; Usage'!$C$115)*(('Weekly Summary'!L$66*'Equipment List &amp; Usage'!$Q18)+('Weekly Summary'!L$64*'Equipment List &amp; Usage'!$O18)+('Weekly Summary'!L$65*'Equipment List &amp; Usage'!$P18))+(IF('Equipment List &amp; Usage'!$F18="Yes",'Equipment List &amp; Usage'!$C$114*((('Weekly Summary'!L$131*SelfQuarantine_Mild)+('Weekly Summary'!L$100*SelfQuarantine_Mild)+('Weekly Summary'!L$101*SelfQuarantine_Moderate))),'Equipment List &amp; Usage'!$C$115)*((('Weekly Summary'!L$131*SelfQuarantine_Mild*'Equipment List &amp; Usage'!$W18)+('Weekly Summary'!L$100*SelfQuarantine_Mild*'Equipment List &amp; Usage'!$X18)+('Weekly Summary'!L$101*SelfQuarantine_Moderate*'Equipment List &amp; Usage'!$X18))))+IF('Equipment List &amp; Usage'!$F18="Yes",'Equipment List &amp; Usage'!$C$114*(IF('Equipment List &amp; Usage'!$AA18&gt;0,'Weekly Summary'!L$128,0)+IF('Equipment List &amp; Usage'!$AB18&gt;0,'Weekly Summary'!L$100+'Weekly Summary'!L$101,0)),'Equipment List &amp; Usage'!$C$115*(('Weekly Summary'!L$128*'Equipment List &amp; Usage'!$AA18)+('Weekly Summary'!L$100*'Equipment List &amp; Usage'!$AB18*SelfQuarantine_Mild)+('Weekly Summary'!L$101*'Equipment List &amp; Usage'!$AB18*SelfQuarantine_Moderate)))+IF('Equipment List &amp; Usage'!$F18="Yes",('Equipment List &amp; Usage'!$C$114*(IF('Equipment List &amp; Usage'!$AE18&gt;0,'Weekly Summary'!L$134,0)+IF('Equipment List &amp; Usage'!$AF18&gt;0,'Weekly Summary'!L$135))),'Equipment List &amp; Usage'!$C$115*(('Weekly Summary'!L$134*'Equipment List &amp; Usage'!$AE18)+('Weekly Summary'!L$135*'Equipment List &amp; Usage'!$AF18)))),0)</f>
        <v>0</v>
      </c>
      <c r="S16" s="1378">
        <f ca="1">MAX(IF($F16="Yes",(
IF($F16="yes",MMULT(--('Equipment List &amp; Usage'!$J18:$N18&gt;0),--('Weekly Summary'!M$112:M$116))*'Equipment List &amp; Usage'!$C$114,MMULT(--('Equipment List &amp; Usage'!$J18:$N18),--('Weekly Summary'!M$112:M$116))*'Equipment List &amp; Usage'!$C$115)+IF('Equipment List &amp; Usage'!$F17="yes",'Equipment List &amp; Usage'!$C$114,'Equipment List &amp; Usage'!$C$115)*(('Weekly Summary'!M$66*'Equipment List &amp; Usage'!$Q18)+('Weekly Summary'!M$64*'Equipment List &amp; Usage'!$O18)+('Weekly Summary'!M$65*'Equipment List &amp; Usage'!$P18)))+(IF('Equipment List &amp; Usage'!$F18="Yes",'Equipment List &amp; Usage'!$C$114*((('Weekly Summary'!M$131*SelfQuarantine_Mild)+('Weekly Summary'!M$100*SelfQuarantine_Mild)+('Weekly Summary'!M$101*SelfQuarantine_Moderate))),'Equipment List &amp; Usage'!$C$115)*((('Weekly Summary'!M$131*SelfQuarantine_Mild*'Equipment List &amp; Usage'!$W18)+('Weekly Summary'!M$100*SelfQuarantine_Mild*'Equipment List &amp; Usage'!$X18)+('Weekly Summary'!M$101*SelfQuarantine_Moderate*'Equipment List &amp; Usage'!$X18)))+IF('Equipment List &amp; Usage'!$F18="Yes",'Equipment List &amp; Usage'!$C$114*(IF('Equipment List &amp; Usage'!$AA18&gt;0,'Weekly Summary'!M$128,0)+IF('Equipment List &amp; Usage'!$AB18&gt;0,'Weekly Summary'!M$100+'Weekly Summary'!M$101,0)),'Equipment List &amp; Usage'!$C$115*(('Weekly Summary'!M$128*'Equipment List &amp; Usage'!$AA18)+('Weekly Summary'!M$100*'Equipment List &amp; Usage'!$AB18*SelfQuarantine_Mild)+('Weekly Summary'!M$101*'Equipment List &amp; Usage'!$AB18*SelfQuarantine_Moderate)))+IF('Equipment List &amp; Usage'!$F18="Yes",('Equipment List &amp; Usage'!$C$114*(IF('Equipment List &amp; Usage'!$AE18&gt;0,'Weekly Summary'!M$134,0)+IF('Equipment List &amp; Usage'!$AF18&gt;0,'Weekly Summary'!M$135))),'Equipment List &amp; Usage'!$C$115*(('Weekly Summary'!M$134*'Equipment List &amp; Usage'!$AE18)+('Weekly Summary'!M$135*'Equipment List &amp; Usage'!$AF18))))-SUM($I16:R16),
IF($F16="yes",MMULT(--('Equipment List &amp; Usage'!$J18:$N18&gt;0),--('Weekly Summary'!M$112:M$116))*'Equipment List &amp; Usage'!$C$114,MMULT(--('Equipment List &amp; Usage'!$J18:$N18),--('Weekly Summary'!M$112:M$116))*'Equipment List &amp; Usage'!$C$115)+IF('Equipment List &amp; Usage'!$F17="yes",'Equipment List &amp; Usage'!$C$114,'Equipment List &amp; Usage'!$C$115)*(('Weekly Summary'!M$66*'Equipment List &amp; Usage'!$Q18)+('Weekly Summary'!M$64*'Equipment List &amp; Usage'!$O18)+('Weekly Summary'!M$65*'Equipment List &amp; Usage'!$P18))+(IF('Equipment List &amp; Usage'!$F18="Yes",'Equipment List &amp; Usage'!$C$114*((('Weekly Summary'!M$131*SelfQuarantine_Mild)+('Weekly Summary'!M$100*SelfQuarantine_Mild)+('Weekly Summary'!M$101*SelfQuarantine_Moderate))),'Equipment List &amp; Usage'!$C$115)*((('Weekly Summary'!M$131*SelfQuarantine_Mild*'Equipment List &amp; Usage'!$W18)+('Weekly Summary'!M$100*SelfQuarantine_Mild*'Equipment List &amp; Usage'!$X18)+('Weekly Summary'!M$101*SelfQuarantine_Moderate*'Equipment List &amp; Usage'!$X18))))+IF('Equipment List &amp; Usage'!$F18="Yes",'Equipment List &amp; Usage'!$C$114*(IF('Equipment List &amp; Usage'!$AA18&gt;0,'Weekly Summary'!M$128,0)+IF('Equipment List &amp; Usage'!$AB18&gt;0,'Weekly Summary'!M$100+'Weekly Summary'!M$101,0)),'Equipment List &amp; Usage'!$C$115*(('Weekly Summary'!M$128*'Equipment List &amp; Usage'!$AA18)+('Weekly Summary'!M$100*'Equipment List &amp; Usage'!$AB18*SelfQuarantine_Mild)+('Weekly Summary'!M$101*'Equipment List &amp; Usage'!$AB18*SelfQuarantine_Moderate)))+IF('Equipment List &amp; Usage'!$F18="Yes",('Equipment List &amp; Usage'!$C$114*(IF('Equipment List &amp; Usage'!$AE18&gt;0,'Weekly Summary'!M$134,0)+IF('Equipment List &amp; Usage'!$AF18&gt;0,'Weekly Summary'!M$135))),'Equipment List &amp; Usage'!$C$115*(('Weekly Summary'!M$134*'Equipment List &amp; Usage'!$AE18)+('Weekly Summary'!M$135*'Equipment List &amp; Usage'!$AF18)))),0)</f>
        <v>0</v>
      </c>
      <c r="T16" s="1378">
        <f ca="1">MAX(IF($F16="Yes",(
IF($F16="yes",MMULT(--('Equipment List &amp; Usage'!$J18:$N18&gt;0),--('Weekly Summary'!N$112:N$116))*'Equipment List &amp; Usage'!$C$114,MMULT(--('Equipment List &amp; Usage'!$J18:$N18),--('Weekly Summary'!N$112:N$116))*'Equipment List &amp; Usage'!$C$115)+IF('Equipment List &amp; Usage'!$F17="yes",'Equipment List &amp; Usage'!$C$114,'Equipment List &amp; Usage'!$C$115)*(('Weekly Summary'!N$66*'Equipment List &amp; Usage'!$Q18)+('Weekly Summary'!N$64*'Equipment List &amp; Usage'!$O18)+('Weekly Summary'!N$65*'Equipment List &amp; Usage'!$P18)))+(IF('Equipment List &amp; Usage'!$F18="Yes",'Equipment List &amp; Usage'!$C$114*((('Weekly Summary'!N$131*SelfQuarantine_Mild)+('Weekly Summary'!N$100*SelfQuarantine_Mild)+('Weekly Summary'!N$101*SelfQuarantine_Moderate))),'Equipment List &amp; Usage'!$C$115)*((('Weekly Summary'!N$131*SelfQuarantine_Mild*'Equipment List &amp; Usage'!$W18)+('Weekly Summary'!N$100*SelfQuarantine_Mild*'Equipment List &amp; Usage'!$X18)+('Weekly Summary'!N$101*SelfQuarantine_Moderate*'Equipment List &amp; Usage'!$X18)))+IF('Equipment List &amp; Usage'!$F18="Yes",'Equipment List &amp; Usage'!$C$114*(IF('Equipment List &amp; Usage'!$AA18&gt;0,'Weekly Summary'!N$128,0)+IF('Equipment List &amp; Usage'!$AB18&gt;0,'Weekly Summary'!N$100+'Weekly Summary'!N$101,0)),'Equipment List &amp; Usage'!$C$115*(('Weekly Summary'!N$128*'Equipment List &amp; Usage'!$AA18)+('Weekly Summary'!N$100*'Equipment List &amp; Usage'!$AB18*SelfQuarantine_Mild)+('Weekly Summary'!N$101*'Equipment List &amp; Usage'!$AB18*SelfQuarantine_Moderate)))+IF('Equipment List &amp; Usage'!$F18="Yes",('Equipment List &amp; Usage'!$C$114*(IF('Equipment List &amp; Usage'!$AE18&gt;0,'Weekly Summary'!N$134,0)+IF('Equipment List &amp; Usage'!$AF18&gt;0,'Weekly Summary'!N$135))),'Equipment List &amp; Usage'!$C$115*(('Weekly Summary'!N$134*'Equipment List &amp; Usage'!$AE18)+('Weekly Summary'!N$135*'Equipment List &amp; Usage'!$AF18))))-SUM($I16:S16),
IF($F16="yes",MMULT(--('Equipment List &amp; Usage'!$J18:$N18&gt;0),--('Weekly Summary'!N$112:N$116))*'Equipment List &amp; Usage'!$C$114,MMULT(--('Equipment List &amp; Usage'!$J18:$N18),--('Weekly Summary'!N$112:N$116))*'Equipment List &amp; Usage'!$C$115)+IF('Equipment List &amp; Usage'!$F17="yes",'Equipment List &amp; Usage'!$C$114,'Equipment List &amp; Usage'!$C$115)*(('Weekly Summary'!N$66*'Equipment List &amp; Usage'!$Q18)+('Weekly Summary'!N$64*'Equipment List &amp; Usage'!$O18)+('Weekly Summary'!N$65*'Equipment List &amp; Usage'!$P18))+(IF('Equipment List &amp; Usage'!$F18="Yes",'Equipment List &amp; Usage'!$C$114*((('Weekly Summary'!N$131*SelfQuarantine_Mild)+('Weekly Summary'!N$100*SelfQuarantine_Mild)+('Weekly Summary'!N$101*SelfQuarantine_Moderate))),'Equipment List &amp; Usage'!$C$115)*((('Weekly Summary'!N$131*SelfQuarantine_Mild*'Equipment List &amp; Usage'!$W18)+('Weekly Summary'!N$100*SelfQuarantine_Mild*'Equipment List &amp; Usage'!$X18)+('Weekly Summary'!N$101*SelfQuarantine_Moderate*'Equipment List &amp; Usage'!$X18))))+IF('Equipment List &amp; Usage'!$F18="Yes",'Equipment List &amp; Usage'!$C$114*(IF('Equipment List &amp; Usage'!$AA18&gt;0,'Weekly Summary'!N$128,0)+IF('Equipment List &amp; Usage'!$AB18&gt;0,'Weekly Summary'!N$100+'Weekly Summary'!N$101,0)),'Equipment List &amp; Usage'!$C$115*(('Weekly Summary'!N$128*'Equipment List &amp; Usage'!$AA18)+('Weekly Summary'!N$100*'Equipment List &amp; Usage'!$AB18*SelfQuarantine_Mild)+('Weekly Summary'!N$101*'Equipment List &amp; Usage'!$AB18*SelfQuarantine_Moderate)))+IF('Equipment List &amp; Usage'!$F18="Yes",('Equipment List &amp; Usage'!$C$114*(IF('Equipment List &amp; Usage'!$AE18&gt;0,'Weekly Summary'!N$134,0)+IF('Equipment List &amp; Usage'!$AF18&gt;0,'Weekly Summary'!N$135))),'Equipment List &amp; Usage'!$C$115*(('Weekly Summary'!N$134*'Equipment List &amp; Usage'!$AE18)+('Weekly Summary'!N$135*'Equipment List &amp; Usage'!$AF18)))),0)</f>
        <v>0</v>
      </c>
      <c r="U16" s="1378">
        <f ca="1">MAX(IF($F16="Yes",(
IF($F16="yes",MMULT(--('Equipment List &amp; Usage'!$J18:$N18&gt;0),--('Weekly Summary'!O$112:O$116))*'Equipment List &amp; Usage'!$C$114,MMULT(--('Equipment List &amp; Usage'!$J18:$N18),--('Weekly Summary'!O$112:O$116))*'Equipment List &amp; Usage'!$C$115)+IF('Equipment List &amp; Usage'!$F17="yes",'Equipment List &amp; Usage'!$C$114,'Equipment List &amp; Usage'!$C$115)*(('Weekly Summary'!O$66*'Equipment List &amp; Usage'!$Q18)+('Weekly Summary'!O$64*'Equipment List &amp; Usage'!$O18)+('Weekly Summary'!O$65*'Equipment List &amp; Usage'!$P18)))+(IF('Equipment List &amp; Usage'!$F18="Yes",'Equipment List &amp; Usage'!$C$114*((('Weekly Summary'!O$131*SelfQuarantine_Mild)+('Weekly Summary'!O$100*SelfQuarantine_Mild)+('Weekly Summary'!O$101*SelfQuarantine_Moderate))),'Equipment List &amp; Usage'!$C$115)*((('Weekly Summary'!O$131*SelfQuarantine_Mild*'Equipment List &amp; Usage'!$W18)+('Weekly Summary'!O$100*SelfQuarantine_Mild*'Equipment List &amp; Usage'!$X18)+('Weekly Summary'!O$101*SelfQuarantine_Moderate*'Equipment List &amp; Usage'!$X18)))+IF('Equipment List &amp; Usage'!$F18="Yes",'Equipment List &amp; Usage'!$C$114*(IF('Equipment List &amp; Usage'!$AA18&gt;0,'Weekly Summary'!O$128,0)+IF('Equipment List &amp; Usage'!$AB18&gt;0,'Weekly Summary'!O$100+'Weekly Summary'!O$101,0)),'Equipment List &amp; Usage'!$C$115*(('Weekly Summary'!O$128*'Equipment List &amp; Usage'!$AA18)+('Weekly Summary'!O$100*'Equipment List &amp; Usage'!$AB18*SelfQuarantine_Mild)+('Weekly Summary'!O$101*'Equipment List &amp; Usage'!$AB18*SelfQuarantine_Moderate)))+IF('Equipment List &amp; Usage'!$F18="Yes",('Equipment List &amp; Usage'!$C$114*(IF('Equipment List &amp; Usage'!$AE18&gt;0,'Weekly Summary'!O$134,0)+IF('Equipment List &amp; Usage'!$AF18&gt;0,'Weekly Summary'!O$135))),'Equipment List &amp; Usage'!$C$115*(('Weekly Summary'!O$134*'Equipment List &amp; Usage'!$AE18)+('Weekly Summary'!O$135*'Equipment List &amp; Usage'!$AF18))))-SUM($I16:T16),
IF($F16="yes",MMULT(--('Equipment List &amp; Usage'!$J18:$N18&gt;0),--('Weekly Summary'!O$112:O$116))*'Equipment List &amp; Usage'!$C$114,MMULT(--('Equipment List &amp; Usage'!$J18:$N18),--('Weekly Summary'!O$112:O$116))*'Equipment List &amp; Usage'!$C$115)+IF('Equipment List &amp; Usage'!$F17="yes",'Equipment List &amp; Usage'!$C$114,'Equipment List &amp; Usage'!$C$115)*(('Weekly Summary'!O$66*'Equipment List &amp; Usage'!$Q18)+('Weekly Summary'!O$64*'Equipment List &amp; Usage'!$O18)+('Weekly Summary'!O$65*'Equipment List &amp; Usage'!$P18))+(IF('Equipment List &amp; Usage'!$F18="Yes",'Equipment List &amp; Usage'!$C$114*((('Weekly Summary'!O$131*SelfQuarantine_Mild)+('Weekly Summary'!O$100*SelfQuarantine_Mild)+('Weekly Summary'!O$101*SelfQuarantine_Moderate))),'Equipment List &amp; Usage'!$C$115)*((('Weekly Summary'!O$131*SelfQuarantine_Mild*'Equipment List &amp; Usage'!$W18)+('Weekly Summary'!O$100*SelfQuarantine_Mild*'Equipment List &amp; Usage'!$X18)+('Weekly Summary'!O$101*SelfQuarantine_Moderate*'Equipment List &amp; Usage'!$X18))))+IF('Equipment List &amp; Usage'!$F18="Yes",'Equipment List &amp; Usage'!$C$114*(IF('Equipment List &amp; Usage'!$AA18&gt;0,'Weekly Summary'!O$128,0)+IF('Equipment List &amp; Usage'!$AB18&gt;0,'Weekly Summary'!O$100+'Weekly Summary'!O$101,0)),'Equipment List &amp; Usage'!$C$115*(('Weekly Summary'!O$128*'Equipment List &amp; Usage'!$AA18)+('Weekly Summary'!O$100*'Equipment List &amp; Usage'!$AB18*SelfQuarantine_Mild)+('Weekly Summary'!O$101*'Equipment List &amp; Usage'!$AB18*SelfQuarantine_Moderate)))+IF('Equipment List &amp; Usage'!$F18="Yes",('Equipment List &amp; Usage'!$C$114*(IF('Equipment List &amp; Usage'!$AE18&gt;0,'Weekly Summary'!O$134,0)+IF('Equipment List &amp; Usage'!$AF18&gt;0,'Weekly Summary'!O$135))),'Equipment List &amp; Usage'!$C$115*(('Weekly Summary'!O$134*'Equipment List &amp; Usage'!$AE18)+('Weekly Summary'!O$135*'Equipment List &amp; Usage'!$AF18)))),0)</f>
        <v>0</v>
      </c>
      <c r="V16" s="1378">
        <f ca="1">MAX(IF($F16="Yes",(
IF($F16="yes",MMULT(--('Equipment List &amp; Usage'!$J18:$N18&gt;0),--('Weekly Summary'!P$112:P$116))*'Equipment List &amp; Usage'!$C$114,MMULT(--('Equipment List &amp; Usage'!$J18:$N18),--('Weekly Summary'!P$112:P$116))*'Equipment List &amp; Usage'!$C$115)+IF('Equipment List &amp; Usage'!$F17="yes",'Equipment List &amp; Usage'!$C$114,'Equipment List &amp; Usage'!$C$115)*(('Weekly Summary'!P$66*'Equipment List &amp; Usage'!$Q18)+('Weekly Summary'!P$64*'Equipment List &amp; Usage'!$O18)+('Weekly Summary'!P$65*'Equipment List &amp; Usage'!$P18)))+(IF('Equipment List &amp; Usage'!$F18="Yes",'Equipment List &amp; Usage'!$C$114*((('Weekly Summary'!P$131*SelfQuarantine_Mild)+('Weekly Summary'!P$100*SelfQuarantine_Mild)+('Weekly Summary'!P$101*SelfQuarantine_Moderate))),'Equipment List &amp; Usage'!$C$115)*((('Weekly Summary'!P$131*SelfQuarantine_Mild*'Equipment List &amp; Usage'!$W18)+('Weekly Summary'!P$100*SelfQuarantine_Mild*'Equipment List &amp; Usage'!$X18)+('Weekly Summary'!P$101*SelfQuarantine_Moderate*'Equipment List &amp; Usage'!$X18)))+IF('Equipment List &amp; Usage'!$F18="Yes",'Equipment List &amp; Usage'!$C$114*(IF('Equipment List &amp; Usage'!$AA18&gt;0,'Weekly Summary'!P$128,0)+IF('Equipment List &amp; Usage'!$AB18&gt;0,'Weekly Summary'!P$100+'Weekly Summary'!P$101,0)),'Equipment List &amp; Usage'!$C$115*(('Weekly Summary'!P$128*'Equipment List &amp; Usage'!$AA18)+('Weekly Summary'!P$100*'Equipment List &amp; Usage'!$AB18*SelfQuarantine_Mild)+('Weekly Summary'!P$101*'Equipment List &amp; Usage'!$AB18*SelfQuarantine_Moderate)))+IF('Equipment List &amp; Usage'!$F18="Yes",('Equipment List &amp; Usage'!$C$114*(IF('Equipment List &amp; Usage'!$AE18&gt;0,'Weekly Summary'!P$134,0)+IF('Equipment List &amp; Usage'!$AF18&gt;0,'Weekly Summary'!P$135))),'Equipment List &amp; Usage'!$C$115*(('Weekly Summary'!P$134*'Equipment List &amp; Usage'!$AE18)+('Weekly Summary'!P$135*'Equipment List &amp; Usage'!$AF18))))-SUM($I16:U16),
IF($F16="yes",MMULT(--('Equipment List &amp; Usage'!$J18:$N18&gt;0),--('Weekly Summary'!P$112:P$116))*'Equipment List &amp; Usage'!$C$114,MMULT(--('Equipment List &amp; Usage'!$J18:$N18),--('Weekly Summary'!P$112:P$116))*'Equipment List &amp; Usage'!$C$115)+IF('Equipment List &amp; Usage'!$F17="yes",'Equipment List &amp; Usage'!$C$114,'Equipment List &amp; Usage'!$C$115)*(('Weekly Summary'!P$66*'Equipment List &amp; Usage'!$Q18)+('Weekly Summary'!P$64*'Equipment List &amp; Usage'!$O18)+('Weekly Summary'!P$65*'Equipment List &amp; Usage'!$P18))+(IF('Equipment List &amp; Usage'!$F18="Yes",'Equipment List &amp; Usage'!$C$114*((('Weekly Summary'!P$131*SelfQuarantine_Mild)+('Weekly Summary'!P$100*SelfQuarantine_Mild)+('Weekly Summary'!P$101*SelfQuarantine_Moderate))),'Equipment List &amp; Usage'!$C$115)*((('Weekly Summary'!P$131*SelfQuarantine_Mild*'Equipment List &amp; Usage'!$W18)+('Weekly Summary'!P$100*SelfQuarantine_Mild*'Equipment List &amp; Usage'!$X18)+('Weekly Summary'!P$101*SelfQuarantine_Moderate*'Equipment List &amp; Usage'!$X18))))+IF('Equipment List &amp; Usage'!$F18="Yes",'Equipment List &amp; Usage'!$C$114*(IF('Equipment List &amp; Usage'!$AA18&gt;0,'Weekly Summary'!P$128,0)+IF('Equipment List &amp; Usage'!$AB18&gt;0,'Weekly Summary'!P$100+'Weekly Summary'!P$101,0)),'Equipment List &amp; Usage'!$C$115*(('Weekly Summary'!P$128*'Equipment List &amp; Usage'!$AA18)+('Weekly Summary'!P$100*'Equipment List &amp; Usage'!$AB18*SelfQuarantine_Mild)+('Weekly Summary'!P$101*'Equipment List &amp; Usage'!$AB18*SelfQuarantine_Moderate)))+IF('Equipment List &amp; Usage'!$F18="Yes",('Equipment List &amp; Usage'!$C$114*(IF('Equipment List &amp; Usage'!$AE18&gt;0,'Weekly Summary'!P$134,0)+IF('Equipment List &amp; Usage'!$AF18&gt;0,'Weekly Summary'!P$135))),'Equipment List &amp; Usage'!$C$115*(('Weekly Summary'!P$134*'Equipment List &amp; Usage'!$AE18)+('Weekly Summary'!P$135*'Equipment List &amp; Usage'!$AF18)))),0)</f>
        <v>0</v>
      </c>
      <c r="W16" s="1378">
        <f ca="1">MAX(IF($F16="Yes",(
IF($F16="yes",MMULT(--('Equipment List &amp; Usage'!$J18:$N18&gt;0),--('Weekly Summary'!Q$112:Q$116))*'Equipment List &amp; Usage'!$C$114,MMULT(--('Equipment List &amp; Usage'!$J18:$N18),--('Weekly Summary'!Q$112:Q$116))*'Equipment List &amp; Usage'!$C$115)+IF('Equipment List &amp; Usage'!$F17="yes",'Equipment List &amp; Usage'!$C$114,'Equipment List &amp; Usage'!$C$115)*(('Weekly Summary'!Q$66*'Equipment List &amp; Usage'!$Q18)+('Weekly Summary'!Q$64*'Equipment List &amp; Usage'!$O18)+('Weekly Summary'!Q$65*'Equipment List &amp; Usage'!$P18)))+(IF('Equipment List &amp; Usage'!$F18="Yes",'Equipment List &amp; Usage'!$C$114*((('Weekly Summary'!Q$131*SelfQuarantine_Mild)+('Weekly Summary'!Q$100*SelfQuarantine_Mild)+('Weekly Summary'!Q$101*SelfQuarantine_Moderate))),'Equipment List &amp; Usage'!$C$115)*((('Weekly Summary'!Q$131*SelfQuarantine_Mild*'Equipment List &amp; Usage'!$W18)+('Weekly Summary'!Q$100*SelfQuarantine_Mild*'Equipment List &amp; Usage'!$X18)+('Weekly Summary'!Q$101*SelfQuarantine_Moderate*'Equipment List &amp; Usage'!$X18)))+IF('Equipment List &amp; Usage'!$F18="Yes",'Equipment List &amp; Usage'!$C$114*(IF('Equipment List &amp; Usage'!$AA18&gt;0,'Weekly Summary'!Q$128,0)+IF('Equipment List &amp; Usage'!$AB18&gt;0,'Weekly Summary'!Q$100+'Weekly Summary'!Q$101,0)),'Equipment List &amp; Usage'!$C$115*(('Weekly Summary'!Q$128*'Equipment List &amp; Usage'!$AA18)+('Weekly Summary'!Q$100*'Equipment List &amp; Usage'!$AB18*SelfQuarantine_Mild)+('Weekly Summary'!Q$101*'Equipment List &amp; Usage'!$AB18*SelfQuarantine_Moderate)))+IF('Equipment List &amp; Usage'!$F18="Yes",('Equipment List &amp; Usage'!$C$114*(IF('Equipment List &amp; Usage'!$AE18&gt;0,'Weekly Summary'!Q$134,0)+IF('Equipment List &amp; Usage'!$AF18&gt;0,'Weekly Summary'!Q$135))),'Equipment List &amp; Usage'!$C$115*(('Weekly Summary'!Q$134*'Equipment List &amp; Usage'!$AE18)+('Weekly Summary'!Q$135*'Equipment List &amp; Usage'!$AF18))))-SUM($I16:V16),
IF($F16="yes",MMULT(--('Equipment List &amp; Usage'!$J18:$N18&gt;0),--('Weekly Summary'!Q$112:Q$116))*'Equipment List &amp; Usage'!$C$114,MMULT(--('Equipment List &amp; Usage'!$J18:$N18),--('Weekly Summary'!Q$112:Q$116))*'Equipment List &amp; Usage'!$C$115)+IF('Equipment List &amp; Usage'!$F17="yes",'Equipment List &amp; Usage'!$C$114,'Equipment List &amp; Usage'!$C$115)*(('Weekly Summary'!Q$66*'Equipment List &amp; Usage'!$Q18)+('Weekly Summary'!Q$64*'Equipment List &amp; Usage'!$O18)+('Weekly Summary'!Q$65*'Equipment List &amp; Usage'!$P18))+(IF('Equipment List &amp; Usage'!$F18="Yes",'Equipment List &amp; Usage'!$C$114*((('Weekly Summary'!Q$131*SelfQuarantine_Mild)+('Weekly Summary'!Q$100*SelfQuarantine_Mild)+('Weekly Summary'!Q$101*SelfQuarantine_Moderate))),'Equipment List &amp; Usage'!$C$115)*((('Weekly Summary'!Q$131*SelfQuarantine_Mild*'Equipment List &amp; Usage'!$W18)+('Weekly Summary'!Q$100*SelfQuarantine_Mild*'Equipment List &amp; Usage'!$X18)+('Weekly Summary'!Q$101*SelfQuarantine_Moderate*'Equipment List &amp; Usage'!$X18))))+IF('Equipment List &amp; Usage'!$F18="Yes",'Equipment List &amp; Usage'!$C$114*(IF('Equipment List &amp; Usage'!$AA18&gt;0,'Weekly Summary'!Q$128,0)+IF('Equipment List &amp; Usage'!$AB18&gt;0,'Weekly Summary'!Q$100+'Weekly Summary'!Q$101,0)),'Equipment List &amp; Usage'!$C$115*(('Weekly Summary'!Q$128*'Equipment List &amp; Usage'!$AA18)+('Weekly Summary'!Q$100*'Equipment List &amp; Usage'!$AB18*SelfQuarantine_Mild)+('Weekly Summary'!Q$101*'Equipment List &amp; Usage'!$AB18*SelfQuarantine_Moderate)))+IF('Equipment List &amp; Usage'!$F18="Yes",('Equipment List &amp; Usage'!$C$114*(IF('Equipment List &amp; Usage'!$AE18&gt;0,'Weekly Summary'!Q$134,0)+IF('Equipment List &amp; Usage'!$AF18&gt;0,'Weekly Summary'!Q$135))),'Equipment List &amp; Usage'!$C$115*(('Weekly Summary'!Q$134*'Equipment List &amp; Usage'!$AE18)+('Weekly Summary'!Q$135*'Equipment List &amp; Usage'!$AF18)))),0)</f>
        <v>0</v>
      </c>
      <c r="X16" s="1378">
        <f ca="1">MAX(IF($F16="Yes",(
IF($F16="yes",MMULT(--('Equipment List &amp; Usage'!$J18:$N18&gt;0),--('Weekly Summary'!R$112:R$116))*'Equipment List &amp; Usage'!$C$114,MMULT(--('Equipment List &amp; Usage'!$J18:$N18),--('Weekly Summary'!R$112:R$116))*'Equipment List &amp; Usage'!$C$115)+IF('Equipment List &amp; Usage'!$F17="yes",'Equipment List &amp; Usage'!$C$114,'Equipment List &amp; Usage'!$C$115)*(('Weekly Summary'!R$66*'Equipment List &amp; Usage'!$Q18)+('Weekly Summary'!R$64*'Equipment List &amp; Usage'!$O18)+('Weekly Summary'!R$65*'Equipment List &amp; Usage'!$P18)))+(IF('Equipment List &amp; Usage'!$F18="Yes",'Equipment List &amp; Usage'!$C$114*((('Weekly Summary'!R$131*SelfQuarantine_Mild)+('Weekly Summary'!R$100*SelfQuarantine_Mild)+('Weekly Summary'!R$101*SelfQuarantine_Moderate))),'Equipment List &amp; Usage'!$C$115)*((('Weekly Summary'!R$131*SelfQuarantine_Mild*'Equipment List &amp; Usage'!$W18)+('Weekly Summary'!R$100*SelfQuarantine_Mild*'Equipment List &amp; Usage'!$X18)+('Weekly Summary'!R$101*SelfQuarantine_Moderate*'Equipment List &amp; Usage'!$X18)))+IF('Equipment List &amp; Usage'!$F18="Yes",'Equipment List &amp; Usage'!$C$114*(IF('Equipment List &amp; Usage'!$AA18&gt;0,'Weekly Summary'!R$128,0)+IF('Equipment List &amp; Usage'!$AB18&gt;0,'Weekly Summary'!R$100+'Weekly Summary'!R$101,0)),'Equipment List &amp; Usage'!$C$115*(('Weekly Summary'!R$128*'Equipment List &amp; Usage'!$AA18)+('Weekly Summary'!R$100*'Equipment List &amp; Usage'!$AB18*SelfQuarantine_Mild)+('Weekly Summary'!R$101*'Equipment List &amp; Usage'!$AB18*SelfQuarantine_Moderate)))+IF('Equipment List &amp; Usage'!$F18="Yes",('Equipment List &amp; Usage'!$C$114*(IF('Equipment List &amp; Usage'!$AE18&gt;0,'Weekly Summary'!R$134,0)+IF('Equipment List &amp; Usage'!$AF18&gt;0,'Weekly Summary'!R$135))),'Equipment List &amp; Usage'!$C$115*(('Weekly Summary'!R$134*'Equipment List &amp; Usage'!$AE18)+('Weekly Summary'!R$135*'Equipment List &amp; Usage'!$AF18))))-SUM($I16:W16),
IF($F16="yes",MMULT(--('Equipment List &amp; Usage'!$J18:$N18&gt;0),--('Weekly Summary'!R$112:R$116))*'Equipment List &amp; Usage'!$C$114,MMULT(--('Equipment List &amp; Usage'!$J18:$N18),--('Weekly Summary'!R$112:R$116))*'Equipment List &amp; Usage'!$C$115)+IF('Equipment List &amp; Usage'!$F17="yes",'Equipment List &amp; Usage'!$C$114,'Equipment List &amp; Usage'!$C$115)*(('Weekly Summary'!R$66*'Equipment List &amp; Usage'!$Q18)+('Weekly Summary'!R$64*'Equipment List &amp; Usage'!$O18)+('Weekly Summary'!R$65*'Equipment List &amp; Usage'!$P18))+(IF('Equipment List &amp; Usage'!$F18="Yes",'Equipment List &amp; Usage'!$C$114*((('Weekly Summary'!R$131*SelfQuarantine_Mild)+('Weekly Summary'!R$100*SelfQuarantine_Mild)+('Weekly Summary'!R$101*SelfQuarantine_Moderate))),'Equipment List &amp; Usage'!$C$115)*((('Weekly Summary'!R$131*SelfQuarantine_Mild*'Equipment List &amp; Usage'!$W18)+('Weekly Summary'!R$100*SelfQuarantine_Mild*'Equipment List &amp; Usage'!$X18)+('Weekly Summary'!R$101*SelfQuarantine_Moderate*'Equipment List &amp; Usage'!$X18))))+IF('Equipment List &amp; Usage'!$F18="Yes",'Equipment List &amp; Usage'!$C$114*(IF('Equipment List &amp; Usage'!$AA18&gt;0,'Weekly Summary'!R$128,0)+IF('Equipment List &amp; Usage'!$AB18&gt;0,'Weekly Summary'!R$100+'Weekly Summary'!R$101,0)),'Equipment List &amp; Usage'!$C$115*(('Weekly Summary'!R$128*'Equipment List &amp; Usage'!$AA18)+('Weekly Summary'!R$100*'Equipment List &amp; Usage'!$AB18*SelfQuarantine_Mild)+('Weekly Summary'!R$101*'Equipment List &amp; Usage'!$AB18*SelfQuarantine_Moderate)))+IF('Equipment List &amp; Usage'!$F18="Yes",('Equipment List &amp; Usage'!$C$114*(IF('Equipment List &amp; Usage'!$AE18&gt;0,'Weekly Summary'!R$134,0)+IF('Equipment List &amp; Usage'!$AF18&gt;0,'Weekly Summary'!R$135))),'Equipment List &amp; Usage'!$C$115*(('Weekly Summary'!R$134*'Equipment List &amp; Usage'!$AE18)+('Weekly Summary'!R$135*'Equipment List &amp; Usage'!$AF18)))),0)</f>
        <v>0</v>
      </c>
      <c r="Y16" s="1378">
        <f ca="1">MAX(IF($F16="Yes",(
IF($F16="yes",MMULT(--('Equipment List &amp; Usage'!$J18:$N18&gt;0),--('Weekly Summary'!S$112:S$116))*'Equipment List &amp; Usage'!$C$114,MMULT(--('Equipment List &amp; Usage'!$J18:$N18),--('Weekly Summary'!S$112:S$116))*'Equipment List &amp; Usage'!$C$115)+IF('Equipment List &amp; Usage'!$F17="yes",'Equipment List &amp; Usage'!$C$114,'Equipment List &amp; Usage'!$C$115)*(('Weekly Summary'!S$66*'Equipment List &amp; Usage'!$Q18)+('Weekly Summary'!S$64*'Equipment List &amp; Usage'!$O18)+('Weekly Summary'!S$65*'Equipment List &amp; Usage'!$P18)))+(IF('Equipment List &amp; Usage'!$F18="Yes",'Equipment List &amp; Usage'!$C$114*((('Weekly Summary'!S$131*SelfQuarantine_Mild)+('Weekly Summary'!S$100*SelfQuarantine_Mild)+('Weekly Summary'!S$101*SelfQuarantine_Moderate))),'Equipment List &amp; Usage'!$C$115)*((('Weekly Summary'!S$131*SelfQuarantine_Mild*'Equipment List &amp; Usage'!$W18)+('Weekly Summary'!S$100*SelfQuarantine_Mild*'Equipment List &amp; Usage'!$X18)+('Weekly Summary'!S$101*SelfQuarantine_Moderate*'Equipment List &amp; Usage'!$X18)))+IF('Equipment List &amp; Usage'!$F18="Yes",'Equipment List &amp; Usage'!$C$114*(IF('Equipment List &amp; Usage'!$AA18&gt;0,'Weekly Summary'!S$128,0)+IF('Equipment List &amp; Usage'!$AB18&gt;0,'Weekly Summary'!S$100+'Weekly Summary'!S$101,0)),'Equipment List &amp; Usage'!$C$115*(('Weekly Summary'!S$128*'Equipment List &amp; Usage'!$AA18)+('Weekly Summary'!S$100*'Equipment List &amp; Usage'!$AB18*SelfQuarantine_Mild)+('Weekly Summary'!S$101*'Equipment List &amp; Usage'!$AB18*SelfQuarantine_Moderate)))+IF('Equipment List &amp; Usage'!$F18="Yes",('Equipment List &amp; Usage'!$C$114*(IF('Equipment List &amp; Usage'!$AE18&gt;0,'Weekly Summary'!S$134,0)+IF('Equipment List &amp; Usage'!$AF18&gt;0,'Weekly Summary'!S$135))),'Equipment List &amp; Usage'!$C$115*(('Weekly Summary'!S$134*'Equipment List &amp; Usage'!$AE18)+('Weekly Summary'!S$135*'Equipment List &amp; Usage'!$AF18))))-SUM($I16:X16),
IF($F16="yes",MMULT(--('Equipment List &amp; Usage'!$J18:$N18&gt;0),--('Weekly Summary'!S$112:S$116))*'Equipment List &amp; Usage'!$C$114,MMULT(--('Equipment List &amp; Usage'!$J18:$N18),--('Weekly Summary'!S$112:S$116))*'Equipment List &amp; Usage'!$C$115)+IF('Equipment List &amp; Usage'!$F17="yes",'Equipment List &amp; Usage'!$C$114,'Equipment List &amp; Usage'!$C$115)*(('Weekly Summary'!S$66*'Equipment List &amp; Usage'!$Q18)+('Weekly Summary'!S$64*'Equipment List &amp; Usage'!$O18)+('Weekly Summary'!S$65*'Equipment List &amp; Usage'!$P18))+(IF('Equipment List &amp; Usage'!$F18="Yes",'Equipment List &amp; Usage'!$C$114*((('Weekly Summary'!S$131*SelfQuarantine_Mild)+('Weekly Summary'!S$100*SelfQuarantine_Mild)+('Weekly Summary'!S$101*SelfQuarantine_Moderate))),'Equipment List &amp; Usage'!$C$115)*((('Weekly Summary'!S$131*SelfQuarantine_Mild*'Equipment List &amp; Usage'!$W18)+('Weekly Summary'!S$100*SelfQuarantine_Mild*'Equipment List &amp; Usage'!$X18)+('Weekly Summary'!S$101*SelfQuarantine_Moderate*'Equipment List &amp; Usage'!$X18))))+IF('Equipment List &amp; Usage'!$F18="Yes",'Equipment List &amp; Usage'!$C$114*(IF('Equipment List &amp; Usage'!$AA18&gt;0,'Weekly Summary'!S$128,0)+IF('Equipment List &amp; Usage'!$AB18&gt;0,'Weekly Summary'!S$100+'Weekly Summary'!S$101,0)),'Equipment List &amp; Usage'!$C$115*(('Weekly Summary'!S$128*'Equipment List &amp; Usage'!$AA18)+('Weekly Summary'!S$100*'Equipment List &amp; Usage'!$AB18*SelfQuarantine_Mild)+('Weekly Summary'!S$101*'Equipment List &amp; Usage'!$AB18*SelfQuarantine_Moderate)))+IF('Equipment List &amp; Usage'!$F18="Yes",('Equipment List &amp; Usage'!$C$114*(IF('Equipment List &amp; Usage'!$AE18&gt;0,'Weekly Summary'!S$134,0)+IF('Equipment List &amp; Usage'!$AF18&gt;0,'Weekly Summary'!S$135))),'Equipment List &amp; Usage'!$C$115*(('Weekly Summary'!S$134*'Equipment List &amp; Usage'!$AE18)+('Weekly Summary'!S$135*'Equipment List &amp; Usage'!$AF18)))),0)</f>
        <v>0</v>
      </c>
      <c r="Z16" s="1378">
        <f ca="1">MAX(IF($F16="Yes",(
IF($F16="yes",MMULT(--('Equipment List &amp; Usage'!$J18:$N18&gt;0),--('Weekly Summary'!T$112:T$116))*'Equipment List &amp; Usage'!$C$114,MMULT(--('Equipment List &amp; Usage'!$J18:$N18),--('Weekly Summary'!T$112:T$116))*'Equipment List &amp; Usage'!$C$115)+IF('Equipment List &amp; Usage'!$F17="yes",'Equipment List &amp; Usage'!$C$114,'Equipment List &amp; Usage'!$C$115)*(('Weekly Summary'!T$66*'Equipment List &amp; Usage'!$Q18)+('Weekly Summary'!T$64*'Equipment List &amp; Usage'!$O18)+('Weekly Summary'!T$65*'Equipment List &amp; Usage'!$P18)))+(IF('Equipment List &amp; Usage'!$F18="Yes",'Equipment List &amp; Usage'!$C$114*((('Weekly Summary'!T$131*SelfQuarantine_Mild)+('Weekly Summary'!T$100*SelfQuarantine_Mild)+('Weekly Summary'!T$101*SelfQuarantine_Moderate))),'Equipment List &amp; Usage'!$C$115)*((('Weekly Summary'!T$131*SelfQuarantine_Mild*'Equipment List &amp; Usage'!$W18)+('Weekly Summary'!T$100*SelfQuarantine_Mild*'Equipment List &amp; Usage'!$X18)+('Weekly Summary'!T$101*SelfQuarantine_Moderate*'Equipment List &amp; Usage'!$X18)))+IF('Equipment List &amp; Usage'!$F18="Yes",'Equipment List &amp; Usage'!$C$114*(IF('Equipment List &amp; Usage'!$AA18&gt;0,'Weekly Summary'!T$128,0)+IF('Equipment List &amp; Usage'!$AB18&gt;0,'Weekly Summary'!T$100+'Weekly Summary'!T$101,0)),'Equipment List &amp; Usage'!$C$115*(('Weekly Summary'!T$128*'Equipment List &amp; Usage'!$AA18)+('Weekly Summary'!T$100*'Equipment List &amp; Usage'!$AB18*SelfQuarantine_Mild)+('Weekly Summary'!T$101*'Equipment List &amp; Usage'!$AB18*SelfQuarantine_Moderate)))+IF('Equipment List &amp; Usage'!$F18="Yes",('Equipment List &amp; Usage'!$C$114*(IF('Equipment List &amp; Usage'!$AE18&gt;0,'Weekly Summary'!T$134,0)+IF('Equipment List &amp; Usage'!$AF18&gt;0,'Weekly Summary'!T$135))),'Equipment List &amp; Usage'!$C$115*(('Weekly Summary'!T$134*'Equipment List &amp; Usage'!$AE18)+('Weekly Summary'!T$135*'Equipment List &amp; Usage'!$AF18))))-SUM($I16:Y16),
IF($F16="yes",MMULT(--('Equipment List &amp; Usage'!$J18:$N18&gt;0),--('Weekly Summary'!T$112:T$116))*'Equipment List &amp; Usage'!$C$114,MMULT(--('Equipment List &amp; Usage'!$J18:$N18),--('Weekly Summary'!T$112:T$116))*'Equipment List &amp; Usage'!$C$115)+IF('Equipment List &amp; Usage'!$F17="yes",'Equipment List &amp; Usage'!$C$114,'Equipment List &amp; Usage'!$C$115)*(('Weekly Summary'!T$66*'Equipment List &amp; Usage'!$Q18)+('Weekly Summary'!T$64*'Equipment List &amp; Usage'!$O18)+('Weekly Summary'!T$65*'Equipment List &amp; Usage'!$P18))+(IF('Equipment List &amp; Usage'!$F18="Yes",'Equipment List &amp; Usage'!$C$114*((('Weekly Summary'!T$131*SelfQuarantine_Mild)+('Weekly Summary'!T$100*SelfQuarantine_Mild)+('Weekly Summary'!T$101*SelfQuarantine_Moderate))),'Equipment List &amp; Usage'!$C$115)*((('Weekly Summary'!T$131*SelfQuarantine_Mild*'Equipment List &amp; Usage'!$W18)+('Weekly Summary'!T$100*SelfQuarantine_Mild*'Equipment List &amp; Usage'!$X18)+('Weekly Summary'!T$101*SelfQuarantine_Moderate*'Equipment List &amp; Usage'!$X18))))+IF('Equipment List &amp; Usage'!$F18="Yes",'Equipment List &amp; Usage'!$C$114*(IF('Equipment List &amp; Usage'!$AA18&gt;0,'Weekly Summary'!T$128,0)+IF('Equipment List &amp; Usage'!$AB18&gt;0,'Weekly Summary'!T$100+'Weekly Summary'!T$101,0)),'Equipment List &amp; Usage'!$C$115*(('Weekly Summary'!T$128*'Equipment List &amp; Usage'!$AA18)+('Weekly Summary'!T$100*'Equipment List &amp; Usage'!$AB18*SelfQuarantine_Mild)+('Weekly Summary'!T$101*'Equipment List &amp; Usage'!$AB18*SelfQuarantine_Moderate)))+IF('Equipment List &amp; Usage'!$F18="Yes",('Equipment List &amp; Usage'!$C$114*(IF('Equipment List &amp; Usage'!$AE18&gt;0,'Weekly Summary'!T$134,0)+IF('Equipment List &amp; Usage'!$AF18&gt;0,'Weekly Summary'!T$135))),'Equipment List &amp; Usage'!$C$115*(('Weekly Summary'!T$134*'Equipment List &amp; Usage'!$AE18)+('Weekly Summary'!T$135*'Equipment List &amp; Usage'!$AF18)))),0)</f>
        <v>0</v>
      </c>
      <c r="AA16" s="1378">
        <f ca="1">MAX(IF($F16="Yes",(
IF($F16="yes",MMULT(--('Equipment List &amp; Usage'!$J18:$N18&gt;0),--('Weekly Summary'!U$112:U$116))*'Equipment List &amp; Usage'!$C$114,MMULT(--('Equipment List &amp; Usage'!$J18:$N18),--('Weekly Summary'!U$112:U$116))*'Equipment List &amp; Usage'!$C$115)+IF('Equipment List &amp; Usage'!$F17="yes",'Equipment List &amp; Usage'!$C$114,'Equipment List &amp; Usage'!$C$115)*(('Weekly Summary'!U$66*'Equipment List &amp; Usage'!$Q18)+('Weekly Summary'!U$64*'Equipment List &amp; Usage'!$O18)+('Weekly Summary'!U$65*'Equipment List &amp; Usage'!$P18)))+(IF('Equipment List &amp; Usage'!$F18="Yes",'Equipment List &amp; Usage'!$C$114*((('Weekly Summary'!U$131*SelfQuarantine_Mild)+('Weekly Summary'!U$100*SelfQuarantine_Mild)+('Weekly Summary'!U$101*SelfQuarantine_Moderate))),'Equipment List &amp; Usage'!$C$115)*((('Weekly Summary'!U$131*SelfQuarantine_Mild*'Equipment List &amp; Usage'!$W18)+('Weekly Summary'!U$100*SelfQuarantine_Mild*'Equipment List &amp; Usage'!$X18)+('Weekly Summary'!U$101*SelfQuarantine_Moderate*'Equipment List &amp; Usage'!$X18)))+IF('Equipment List &amp; Usage'!$F18="Yes",'Equipment List &amp; Usage'!$C$114*(IF('Equipment List &amp; Usage'!$AA18&gt;0,'Weekly Summary'!U$128,0)+IF('Equipment List &amp; Usage'!$AB18&gt;0,'Weekly Summary'!U$100+'Weekly Summary'!U$101,0)),'Equipment List &amp; Usage'!$C$115*(('Weekly Summary'!U$128*'Equipment List &amp; Usage'!$AA18)+('Weekly Summary'!U$100*'Equipment List &amp; Usage'!$AB18*SelfQuarantine_Mild)+('Weekly Summary'!U$101*'Equipment List &amp; Usage'!$AB18*SelfQuarantine_Moderate)))+IF('Equipment List &amp; Usage'!$F18="Yes",('Equipment List &amp; Usage'!$C$114*(IF('Equipment List &amp; Usage'!$AE18&gt;0,'Weekly Summary'!U$134,0)+IF('Equipment List &amp; Usage'!$AF18&gt;0,'Weekly Summary'!U$135))),'Equipment List &amp; Usage'!$C$115*(('Weekly Summary'!U$134*'Equipment List &amp; Usage'!$AE18)+('Weekly Summary'!U$135*'Equipment List &amp; Usage'!$AF18))))-SUM($I16:Z16),
IF($F16="yes",MMULT(--('Equipment List &amp; Usage'!$J18:$N18&gt;0),--('Weekly Summary'!U$112:U$116))*'Equipment List &amp; Usage'!$C$114,MMULT(--('Equipment List &amp; Usage'!$J18:$N18),--('Weekly Summary'!U$112:U$116))*'Equipment List &amp; Usage'!$C$115)+IF('Equipment List &amp; Usage'!$F17="yes",'Equipment List &amp; Usage'!$C$114,'Equipment List &amp; Usage'!$C$115)*(('Weekly Summary'!U$66*'Equipment List &amp; Usage'!$Q18)+('Weekly Summary'!U$64*'Equipment List &amp; Usage'!$O18)+('Weekly Summary'!U$65*'Equipment List &amp; Usage'!$P18))+(IF('Equipment List &amp; Usage'!$F18="Yes",'Equipment List &amp; Usage'!$C$114*((('Weekly Summary'!U$131*SelfQuarantine_Mild)+('Weekly Summary'!U$100*SelfQuarantine_Mild)+('Weekly Summary'!U$101*SelfQuarantine_Moderate))),'Equipment List &amp; Usage'!$C$115)*((('Weekly Summary'!U$131*SelfQuarantine_Mild*'Equipment List &amp; Usage'!$W18)+('Weekly Summary'!U$100*SelfQuarantine_Mild*'Equipment List &amp; Usage'!$X18)+('Weekly Summary'!U$101*SelfQuarantine_Moderate*'Equipment List &amp; Usage'!$X18))))+IF('Equipment List &amp; Usage'!$F18="Yes",'Equipment List &amp; Usage'!$C$114*(IF('Equipment List &amp; Usage'!$AA18&gt;0,'Weekly Summary'!U$128,0)+IF('Equipment List &amp; Usage'!$AB18&gt;0,'Weekly Summary'!U$100+'Weekly Summary'!U$101,0)),'Equipment List &amp; Usage'!$C$115*(('Weekly Summary'!U$128*'Equipment List &amp; Usage'!$AA18)+('Weekly Summary'!U$100*'Equipment List &amp; Usage'!$AB18*SelfQuarantine_Mild)+('Weekly Summary'!U$101*'Equipment List &amp; Usage'!$AB18*SelfQuarantine_Moderate)))+IF('Equipment List &amp; Usage'!$F18="Yes",('Equipment List &amp; Usage'!$C$114*(IF('Equipment List &amp; Usage'!$AE18&gt;0,'Weekly Summary'!U$134,0)+IF('Equipment List &amp; Usage'!$AF18&gt;0,'Weekly Summary'!U$135))),'Equipment List &amp; Usage'!$C$115*(('Weekly Summary'!U$134*'Equipment List &amp; Usage'!$AE18)+('Weekly Summary'!U$135*'Equipment List &amp; Usage'!$AF18)))),0)</f>
        <v>0</v>
      </c>
      <c r="AB16" s="1378">
        <f ca="1">MAX(IF($F16="Yes",(
IF($F16="yes",MMULT(--('Equipment List &amp; Usage'!$J18:$N18&gt;0),--('Weekly Summary'!V$112:V$116))*'Equipment List &amp; Usage'!$C$114,MMULT(--('Equipment List &amp; Usage'!$J18:$N18),--('Weekly Summary'!V$112:V$116))*'Equipment List &amp; Usage'!$C$115)+IF('Equipment List &amp; Usage'!$F17="yes",'Equipment List &amp; Usage'!$C$114,'Equipment List &amp; Usage'!$C$115)*(('Weekly Summary'!V$66*'Equipment List &amp; Usage'!$Q18)+('Weekly Summary'!V$64*'Equipment List &amp; Usage'!$O18)+('Weekly Summary'!V$65*'Equipment List &amp; Usage'!$P18)))+(IF('Equipment List &amp; Usage'!$F18="Yes",'Equipment List &amp; Usage'!$C$114*((('Weekly Summary'!V$131*SelfQuarantine_Mild)+('Weekly Summary'!V$100*SelfQuarantine_Mild)+('Weekly Summary'!V$101*SelfQuarantine_Moderate))),'Equipment List &amp; Usage'!$C$115)*((('Weekly Summary'!V$131*SelfQuarantine_Mild*'Equipment List &amp; Usage'!$W18)+('Weekly Summary'!V$100*SelfQuarantine_Mild*'Equipment List &amp; Usage'!$X18)+('Weekly Summary'!V$101*SelfQuarantine_Moderate*'Equipment List &amp; Usage'!$X18)))+IF('Equipment List &amp; Usage'!$F18="Yes",'Equipment List &amp; Usage'!$C$114*(IF('Equipment List &amp; Usage'!$AA18&gt;0,'Weekly Summary'!V$128,0)+IF('Equipment List &amp; Usage'!$AB18&gt;0,'Weekly Summary'!V$100+'Weekly Summary'!V$101,0)),'Equipment List &amp; Usage'!$C$115*(('Weekly Summary'!V$128*'Equipment List &amp; Usage'!$AA18)+('Weekly Summary'!V$100*'Equipment List &amp; Usage'!$AB18*SelfQuarantine_Mild)+('Weekly Summary'!V$101*'Equipment List &amp; Usage'!$AB18*SelfQuarantine_Moderate)))+IF('Equipment List &amp; Usage'!$F18="Yes",('Equipment List &amp; Usage'!$C$114*(IF('Equipment List &amp; Usage'!$AE18&gt;0,'Weekly Summary'!V$134,0)+IF('Equipment List &amp; Usage'!$AF18&gt;0,'Weekly Summary'!V$135))),'Equipment List &amp; Usage'!$C$115*(('Weekly Summary'!V$134*'Equipment List &amp; Usage'!$AE18)+('Weekly Summary'!V$135*'Equipment List &amp; Usage'!$AF18))))-SUM($I16:AA16),
IF($F16="yes",MMULT(--('Equipment List &amp; Usage'!$J18:$N18&gt;0),--('Weekly Summary'!V$112:V$116))*'Equipment List &amp; Usage'!$C$114,MMULT(--('Equipment List &amp; Usage'!$J18:$N18),--('Weekly Summary'!V$112:V$116))*'Equipment List &amp; Usage'!$C$115)+IF('Equipment List &amp; Usage'!$F17="yes",'Equipment List &amp; Usage'!$C$114,'Equipment List &amp; Usage'!$C$115)*(('Weekly Summary'!V$66*'Equipment List &amp; Usage'!$Q18)+('Weekly Summary'!V$64*'Equipment List &amp; Usage'!$O18)+('Weekly Summary'!V$65*'Equipment List &amp; Usage'!$P18))+(IF('Equipment List &amp; Usage'!$F18="Yes",'Equipment List &amp; Usage'!$C$114*((('Weekly Summary'!V$131*SelfQuarantine_Mild)+('Weekly Summary'!V$100*SelfQuarantine_Mild)+('Weekly Summary'!V$101*SelfQuarantine_Moderate))),'Equipment List &amp; Usage'!$C$115)*((('Weekly Summary'!V$131*SelfQuarantine_Mild*'Equipment List &amp; Usage'!$W18)+('Weekly Summary'!V$100*SelfQuarantine_Mild*'Equipment List &amp; Usage'!$X18)+('Weekly Summary'!V$101*SelfQuarantine_Moderate*'Equipment List &amp; Usage'!$X18))))+IF('Equipment List &amp; Usage'!$F18="Yes",'Equipment List &amp; Usage'!$C$114*(IF('Equipment List &amp; Usage'!$AA18&gt;0,'Weekly Summary'!V$128,0)+IF('Equipment List &amp; Usage'!$AB18&gt;0,'Weekly Summary'!V$100+'Weekly Summary'!V$101,0)),'Equipment List &amp; Usage'!$C$115*(('Weekly Summary'!V$128*'Equipment List &amp; Usage'!$AA18)+('Weekly Summary'!V$100*'Equipment List &amp; Usage'!$AB18*SelfQuarantine_Mild)+('Weekly Summary'!V$101*'Equipment List &amp; Usage'!$AB18*SelfQuarantine_Moderate)))+IF('Equipment List &amp; Usage'!$F18="Yes",('Equipment List &amp; Usage'!$C$114*(IF('Equipment List &amp; Usage'!$AE18&gt;0,'Weekly Summary'!V$134,0)+IF('Equipment List &amp; Usage'!$AF18&gt;0,'Weekly Summary'!V$135))),'Equipment List &amp; Usage'!$C$115*(('Weekly Summary'!V$134*'Equipment List &amp; Usage'!$AE18)+('Weekly Summary'!V$135*'Equipment List &amp; Usage'!$AF18)))),0)</f>
        <v>0</v>
      </c>
      <c r="AC16" s="1378">
        <f ca="1">MAX(IF($F16="Yes",(
IF($F16="yes",MMULT(--('Equipment List &amp; Usage'!$J18:$N18&gt;0),--('Weekly Summary'!W$112:W$116))*'Equipment List &amp; Usage'!$C$114,MMULT(--('Equipment List &amp; Usage'!$J18:$N18),--('Weekly Summary'!W$112:W$116))*'Equipment List &amp; Usage'!$C$115)+IF('Equipment List &amp; Usage'!$F17="yes",'Equipment List &amp; Usage'!$C$114,'Equipment List &amp; Usage'!$C$115)*(('Weekly Summary'!W$66*'Equipment List &amp; Usage'!$Q18)+('Weekly Summary'!W$64*'Equipment List &amp; Usage'!$O18)+('Weekly Summary'!W$65*'Equipment List &amp; Usage'!$P18)))+(IF('Equipment List &amp; Usage'!$F18="Yes",'Equipment List &amp; Usage'!$C$114*((('Weekly Summary'!W$131*SelfQuarantine_Mild)+('Weekly Summary'!W$100*SelfQuarantine_Mild)+('Weekly Summary'!W$101*SelfQuarantine_Moderate))),'Equipment List &amp; Usage'!$C$115)*((('Weekly Summary'!W$131*SelfQuarantine_Mild*'Equipment List &amp; Usage'!$W18)+('Weekly Summary'!W$100*SelfQuarantine_Mild*'Equipment List &amp; Usage'!$X18)+('Weekly Summary'!W$101*SelfQuarantine_Moderate*'Equipment List &amp; Usage'!$X18)))+IF('Equipment List &amp; Usage'!$F18="Yes",'Equipment List &amp; Usage'!$C$114*(IF('Equipment List &amp; Usage'!$AA18&gt;0,'Weekly Summary'!W$128,0)+IF('Equipment List &amp; Usage'!$AB18&gt;0,'Weekly Summary'!W$100+'Weekly Summary'!W$101,0)),'Equipment List &amp; Usage'!$C$115*(('Weekly Summary'!W$128*'Equipment List &amp; Usage'!$AA18)+('Weekly Summary'!W$100*'Equipment List &amp; Usage'!$AB18*SelfQuarantine_Mild)+('Weekly Summary'!W$101*'Equipment List &amp; Usage'!$AB18*SelfQuarantine_Moderate)))+IF('Equipment List &amp; Usage'!$F18="Yes",('Equipment List &amp; Usage'!$C$114*(IF('Equipment List &amp; Usage'!$AE18&gt;0,'Weekly Summary'!W$134,0)+IF('Equipment List &amp; Usage'!$AF18&gt;0,'Weekly Summary'!W$135))),'Equipment List &amp; Usage'!$C$115*(('Weekly Summary'!W$134*'Equipment List &amp; Usage'!$AE18)+('Weekly Summary'!W$135*'Equipment List &amp; Usage'!$AF18))))-SUM($I16:AB16),
IF($F16="yes",MMULT(--('Equipment List &amp; Usage'!$J18:$N18&gt;0),--('Weekly Summary'!W$112:W$116))*'Equipment List &amp; Usage'!$C$114,MMULT(--('Equipment List &amp; Usage'!$J18:$N18),--('Weekly Summary'!W$112:W$116))*'Equipment List &amp; Usage'!$C$115)+IF('Equipment List &amp; Usage'!$F17="yes",'Equipment List &amp; Usage'!$C$114,'Equipment List &amp; Usage'!$C$115)*(('Weekly Summary'!W$66*'Equipment List &amp; Usage'!$Q18)+('Weekly Summary'!W$64*'Equipment List &amp; Usage'!$O18)+('Weekly Summary'!W$65*'Equipment List &amp; Usage'!$P18))+(IF('Equipment List &amp; Usage'!$F18="Yes",'Equipment List &amp; Usage'!$C$114*((('Weekly Summary'!W$131*SelfQuarantine_Mild)+('Weekly Summary'!W$100*SelfQuarantine_Mild)+('Weekly Summary'!W$101*SelfQuarantine_Moderate))),'Equipment List &amp; Usage'!$C$115)*((('Weekly Summary'!W$131*SelfQuarantine_Mild*'Equipment List &amp; Usage'!$W18)+('Weekly Summary'!W$100*SelfQuarantine_Mild*'Equipment List &amp; Usage'!$X18)+('Weekly Summary'!W$101*SelfQuarantine_Moderate*'Equipment List &amp; Usage'!$X18))))+IF('Equipment List &amp; Usage'!$F18="Yes",'Equipment List &amp; Usage'!$C$114*(IF('Equipment List &amp; Usage'!$AA18&gt;0,'Weekly Summary'!W$128,0)+IF('Equipment List &amp; Usage'!$AB18&gt;0,'Weekly Summary'!W$100+'Weekly Summary'!W$101,0)),'Equipment List &amp; Usage'!$C$115*(('Weekly Summary'!W$128*'Equipment List &amp; Usage'!$AA18)+('Weekly Summary'!W$100*'Equipment List &amp; Usage'!$AB18*SelfQuarantine_Mild)+('Weekly Summary'!W$101*'Equipment List &amp; Usage'!$AB18*SelfQuarantine_Moderate)))+IF('Equipment List &amp; Usage'!$F18="Yes",('Equipment List &amp; Usage'!$C$114*(IF('Equipment List &amp; Usage'!$AE18&gt;0,'Weekly Summary'!W$134,0)+IF('Equipment List &amp; Usage'!$AF18&gt;0,'Weekly Summary'!W$135))),'Equipment List &amp; Usage'!$C$115*(('Weekly Summary'!W$134*'Equipment List &amp; Usage'!$AE18)+('Weekly Summary'!W$135*'Equipment List &amp; Usage'!$AF18)))),0)</f>
        <v>0</v>
      </c>
      <c r="AD16" s="1378">
        <f ca="1">MAX(IF($F16="Yes",(
IF($F16="yes",MMULT(--('Equipment List &amp; Usage'!$J18:$N18&gt;0),--('Weekly Summary'!X$112:X$116))*'Equipment List &amp; Usage'!$C$114,MMULT(--('Equipment List &amp; Usage'!$J18:$N18),--('Weekly Summary'!X$112:X$116))*'Equipment List &amp; Usage'!$C$115)+IF('Equipment List &amp; Usage'!$F17="yes",'Equipment List &amp; Usage'!$C$114,'Equipment List &amp; Usage'!$C$115)*(('Weekly Summary'!X$66*'Equipment List &amp; Usage'!$Q18)+('Weekly Summary'!X$64*'Equipment List &amp; Usage'!$O18)+('Weekly Summary'!X$65*'Equipment List &amp; Usage'!$P18)))+(IF('Equipment List &amp; Usage'!$F18="Yes",'Equipment List &amp; Usage'!$C$114*((('Weekly Summary'!X$131*SelfQuarantine_Mild)+('Weekly Summary'!X$100*SelfQuarantine_Mild)+('Weekly Summary'!X$101*SelfQuarantine_Moderate))),'Equipment List &amp; Usage'!$C$115)*((('Weekly Summary'!X$131*SelfQuarantine_Mild*'Equipment List &amp; Usage'!$W18)+('Weekly Summary'!X$100*SelfQuarantine_Mild*'Equipment List &amp; Usage'!$X18)+('Weekly Summary'!X$101*SelfQuarantine_Moderate*'Equipment List &amp; Usage'!$X18)))+IF('Equipment List &amp; Usage'!$F18="Yes",'Equipment List &amp; Usage'!$C$114*(IF('Equipment List &amp; Usage'!$AA18&gt;0,'Weekly Summary'!X$128,0)+IF('Equipment List &amp; Usage'!$AB18&gt;0,'Weekly Summary'!X$100+'Weekly Summary'!X$101,0)),'Equipment List &amp; Usage'!$C$115*(('Weekly Summary'!X$128*'Equipment List &amp; Usage'!$AA18)+('Weekly Summary'!X$100*'Equipment List &amp; Usage'!$AB18*SelfQuarantine_Mild)+('Weekly Summary'!X$101*'Equipment List &amp; Usage'!$AB18*SelfQuarantine_Moderate)))+IF('Equipment List &amp; Usage'!$F18="Yes",('Equipment List &amp; Usage'!$C$114*(IF('Equipment List &amp; Usage'!$AE18&gt;0,'Weekly Summary'!X$134,0)+IF('Equipment List &amp; Usage'!$AF18&gt;0,'Weekly Summary'!X$135))),'Equipment List &amp; Usage'!$C$115*(('Weekly Summary'!X$134*'Equipment List &amp; Usage'!$AE18)+('Weekly Summary'!X$135*'Equipment List &amp; Usage'!$AF18))))-SUM($I16:AC16),
IF($F16="yes",MMULT(--('Equipment List &amp; Usage'!$J18:$N18&gt;0),--('Weekly Summary'!X$112:X$116))*'Equipment List &amp; Usage'!$C$114,MMULT(--('Equipment List &amp; Usage'!$J18:$N18),--('Weekly Summary'!X$112:X$116))*'Equipment List &amp; Usage'!$C$115)+IF('Equipment List &amp; Usage'!$F17="yes",'Equipment List &amp; Usage'!$C$114,'Equipment List &amp; Usage'!$C$115)*(('Weekly Summary'!X$66*'Equipment List &amp; Usage'!$Q18)+('Weekly Summary'!X$64*'Equipment List &amp; Usage'!$O18)+('Weekly Summary'!X$65*'Equipment List &amp; Usage'!$P18))+(IF('Equipment List &amp; Usage'!$F18="Yes",'Equipment List &amp; Usage'!$C$114*((('Weekly Summary'!X$131*SelfQuarantine_Mild)+('Weekly Summary'!X$100*SelfQuarantine_Mild)+('Weekly Summary'!X$101*SelfQuarantine_Moderate))),'Equipment List &amp; Usage'!$C$115)*((('Weekly Summary'!X$131*SelfQuarantine_Mild*'Equipment List &amp; Usage'!$W18)+('Weekly Summary'!X$100*SelfQuarantine_Mild*'Equipment List &amp; Usage'!$X18)+('Weekly Summary'!X$101*SelfQuarantine_Moderate*'Equipment List &amp; Usage'!$X18))))+IF('Equipment List &amp; Usage'!$F18="Yes",'Equipment List &amp; Usage'!$C$114*(IF('Equipment List &amp; Usage'!$AA18&gt;0,'Weekly Summary'!X$128,0)+IF('Equipment List &amp; Usage'!$AB18&gt;0,'Weekly Summary'!X$100+'Weekly Summary'!X$101,0)),'Equipment List &amp; Usage'!$C$115*(('Weekly Summary'!X$128*'Equipment List &amp; Usage'!$AA18)+('Weekly Summary'!X$100*'Equipment List &amp; Usage'!$AB18*SelfQuarantine_Mild)+('Weekly Summary'!X$101*'Equipment List &amp; Usage'!$AB18*SelfQuarantine_Moderate)))+IF('Equipment List &amp; Usage'!$F18="Yes",('Equipment List &amp; Usage'!$C$114*(IF('Equipment List &amp; Usage'!$AE18&gt;0,'Weekly Summary'!X$134,0)+IF('Equipment List &amp; Usage'!$AF18&gt;0,'Weekly Summary'!X$135))),'Equipment List &amp; Usage'!$C$115*(('Weekly Summary'!X$134*'Equipment List &amp; Usage'!$AE18)+('Weekly Summary'!X$135*'Equipment List &amp; Usage'!$AF18)))),0)</f>
        <v>0</v>
      </c>
      <c r="AE16" s="1378">
        <f ca="1">MAX(IF($F16="Yes",(
IF($F16="yes",MMULT(--('Equipment List &amp; Usage'!$J18:$N18&gt;0),--('Weekly Summary'!Y$112:Y$116))*'Equipment List &amp; Usage'!$C$114,MMULT(--('Equipment List &amp; Usage'!$J18:$N18),--('Weekly Summary'!Y$112:Y$116))*'Equipment List &amp; Usage'!$C$115)+IF('Equipment List &amp; Usage'!$F17="yes",'Equipment List &amp; Usage'!$C$114,'Equipment List &amp; Usage'!$C$115)*(('Weekly Summary'!Y$66*'Equipment List &amp; Usage'!$Q18)+('Weekly Summary'!Y$64*'Equipment List &amp; Usage'!$O18)+('Weekly Summary'!Y$65*'Equipment List &amp; Usage'!$P18)))+(IF('Equipment List &amp; Usage'!$F18="Yes",'Equipment List &amp; Usage'!$C$114*((('Weekly Summary'!Y$131*SelfQuarantine_Mild)+('Weekly Summary'!Y$100*SelfQuarantine_Mild)+('Weekly Summary'!Y$101*SelfQuarantine_Moderate))),'Equipment List &amp; Usage'!$C$115)*((('Weekly Summary'!Y$131*SelfQuarantine_Mild*'Equipment List &amp; Usage'!$W18)+('Weekly Summary'!Y$100*SelfQuarantine_Mild*'Equipment List &amp; Usage'!$X18)+('Weekly Summary'!Y$101*SelfQuarantine_Moderate*'Equipment List &amp; Usage'!$X18)))+IF('Equipment List &amp; Usage'!$F18="Yes",'Equipment List &amp; Usage'!$C$114*(IF('Equipment List &amp; Usage'!$AA18&gt;0,'Weekly Summary'!Y$128,0)+IF('Equipment List &amp; Usage'!$AB18&gt;0,'Weekly Summary'!Y$100+'Weekly Summary'!Y$101,0)),'Equipment List &amp; Usage'!$C$115*(('Weekly Summary'!Y$128*'Equipment List &amp; Usage'!$AA18)+('Weekly Summary'!Y$100*'Equipment List &amp; Usage'!$AB18*SelfQuarantine_Mild)+('Weekly Summary'!Y$101*'Equipment List &amp; Usage'!$AB18*SelfQuarantine_Moderate)))+IF('Equipment List &amp; Usage'!$F18="Yes",('Equipment List &amp; Usage'!$C$114*(IF('Equipment List &amp; Usage'!$AE18&gt;0,'Weekly Summary'!Y$134,0)+IF('Equipment List &amp; Usage'!$AF18&gt;0,'Weekly Summary'!Y$135))),'Equipment List &amp; Usage'!$C$115*(('Weekly Summary'!Y$134*'Equipment List &amp; Usage'!$AE18)+('Weekly Summary'!Y$135*'Equipment List &amp; Usage'!$AF18))))-SUM($I16:AD16),
IF($F16="yes",MMULT(--('Equipment List &amp; Usage'!$J18:$N18&gt;0),--('Weekly Summary'!Y$112:Y$116))*'Equipment List &amp; Usage'!$C$114,MMULT(--('Equipment List &amp; Usage'!$J18:$N18),--('Weekly Summary'!Y$112:Y$116))*'Equipment List &amp; Usage'!$C$115)+IF('Equipment List &amp; Usage'!$F17="yes",'Equipment List &amp; Usage'!$C$114,'Equipment List &amp; Usage'!$C$115)*(('Weekly Summary'!Y$66*'Equipment List &amp; Usage'!$Q18)+('Weekly Summary'!Y$64*'Equipment List &amp; Usage'!$O18)+('Weekly Summary'!Y$65*'Equipment List &amp; Usage'!$P18))+(IF('Equipment List &amp; Usage'!$F18="Yes",'Equipment List &amp; Usage'!$C$114*((('Weekly Summary'!Y$131*SelfQuarantine_Mild)+('Weekly Summary'!Y$100*SelfQuarantine_Mild)+('Weekly Summary'!Y$101*SelfQuarantine_Moderate))),'Equipment List &amp; Usage'!$C$115)*((('Weekly Summary'!Y$131*SelfQuarantine_Mild*'Equipment List &amp; Usage'!$W18)+('Weekly Summary'!Y$100*SelfQuarantine_Mild*'Equipment List &amp; Usage'!$X18)+('Weekly Summary'!Y$101*SelfQuarantine_Moderate*'Equipment List &amp; Usage'!$X18))))+IF('Equipment List &amp; Usage'!$F18="Yes",'Equipment List &amp; Usage'!$C$114*(IF('Equipment List &amp; Usage'!$AA18&gt;0,'Weekly Summary'!Y$128,0)+IF('Equipment List &amp; Usage'!$AB18&gt;0,'Weekly Summary'!Y$100+'Weekly Summary'!Y$101,0)),'Equipment List &amp; Usage'!$C$115*(('Weekly Summary'!Y$128*'Equipment List &amp; Usage'!$AA18)+('Weekly Summary'!Y$100*'Equipment List &amp; Usage'!$AB18*SelfQuarantine_Mild)+('Weekly Summary'!Y$101*'Equipment List &amp; Usage'!$AB18*SelfQuarantine_Moderate)))+IF('Equipment List &amp; Usage'!$F18="Yes",('Equipment List &amp; Usage'!$C$114*(IF('Equipment List &amp; Usage'!$AE18&gt;0,'Weekly Summary'!Y$134,0)+IF('Equipment List &amp; Usage'!$AF18&gt;0,'Weekly Summary'!Y$135))),'Equipment List &amp; Usage'!$C$115*(('Weekly Summary'!Y$134*'Equipment List &amp; Usage'!$AE18)+('Weekly Summary'!Y$135*'Equipment List &amp; Usage'!$AF18)))),0)</f>
        <v>0</v>
      </c>
      <c r="AF16" s="1378">
        <f ca="1">MAX(IF($F16="Yes",(
IF($F16="yes",MMULT(--('Equipment List &amp; Usage'!$J18:$N18&gt;0),--('Weekly Summary'!Z$112:Z$116))*'Equipment List &amp; Usage'!$C$114,MMULT(--('Equipment List &amp; Usage'!$J18:$N18),--('Weekly Summary'!Z$112:Z$116))*'Equipment List &amp; Usage'!$C$115)+IF('Equipment List &amp; Usage'!$F17="yes",'Equipment List &amp; Usage'!$C$114,'Equipment List &amp; Usage'!$C$115)*(('Weekly Summary'!Z$66*'Equipment List &amp; Usage'!$Q18)+('Weekly Summary'!Z$64*'Equipment List &amp; Usage'!$O18)+('Weekly Summary'!Z$65*'Equipment List &amp; Usage'!$P18)))+(IF('Equipment List &amp; Usage'!$F18="Yes",'Equipment List &amp; Usage'!$C$114*((('Weekly Summary'!Z$131*SelfQuarantine_Mild)+('Weekly Summary'!Z$100*SelfQuarantine_Mild)+('Weekly Summary'!Z$101*SelfQuarantine_Moderate))),'Equipment List &amp; Usage'!$C$115)*((('Weekly Summary'!Z$131*SelfQuarantine_Mild*'Equipment List &amp; Usage'!$W18)+('Weekly Summary'!Z$100*SelfQuarantine_Mild*'Equipment List &amp; Usage'!$X18)+('Weekly Summary'!Z$101*SelfQuarantine_Moderate*'Equipment List &amp; Usage'!$X18)))+IF('Equipment List &amp; Usage'!$F18="Yes",'Equipment List &amp; Usage'!$C$114*(IF('Equipment List &amp; Usage'!$AA18&gt;0,'Weekly Summary'!Z$128,0)+IF('Equipment List &amp; Usage'!$AB18&gt;0,'Weekly Summary'!Z$100+'Weekly Summary'!Z$101,0)),'Equipment List &amp; Usage'!$C$115*(('Weekly Summary'!Z$128*'Equipment List &amp; Usage'!$AA18)+('Weekly Summary'!Z$100*'Equipment List &amp; Usage'!$AB18*SelfQuarantine_Mild)+('Weekly Summary'!Z$101*'Equipment List &amp; Usage'!$AB18*SelfQuarantine_Moderate)))+IF('Equipment List &amp; Usage'!$F18="Yes",('Equipment List &amp; Usage'!$C$114*(IF('Equipment List &amp; Usage'!$AE18&gt;0,'Weekly Summary'!Z$134,0)+IF('Equipment List &amp; Usage'!$AF18&gt;0,'Weekly Summary'!Z$135))),'Equipment List &amp; Usage'!$C$115*(('Weekly Summary'!Z$134*'Equipment List &amp; Usage'!$AE18)+('Weekly Summary'!Z$135*'Equipment List &amp; Usage'!$AF18))))-SUM($I16:AE16),
IF($F16="yes",MMULT(--('Equipment List &amp; Usage'!$J18:$N18&gt;0),--('Weekly Summary'!Z$112:Z$116))*'Equipment List &amp; Usage'!$C$114,MMULT(--('Equipment List &amp; Usage'!$J18:$N18),--('Weekly Summary'!Z$112:Z$116))*'Equipment List &amp; Usage'!$C$115)+IF('Equipment List &amp; Usage'!$F17="yes",'Equipment List &amp; Usage'!$C$114,'Equipment List &amp; Usage'!$C$115)*(('Weekly Summary'!Z$66*'Equipment List &amp; Usage'!$Q18)+('Weekly Summary'!Z$64*'Equipment List &amp; Usage'!$O18)+('Weekly Summary'!Z$65*'Equipment List &amp; Usage'!$P18))+(IF('Equipment List &amp; Usage'!$F18="Yes",'Equipment List &amp; Usage'!$C$114*((('Weekly Summary'!Z$131*SelfQuarantine_Mild)+('Weekly Summary'!Z$100*SelfQuarantine_Mild)+('Weekly Summary'!Z$101*SelfQuarantine_Moderate))),'Equipment List &amp; Usage'!$C$115)*((('Weekly Summary'!Z$131*SelfQuarantine_Mild*'Equipment List &amp; Usage'!$W18)+('Weekly Summary'!Z$100*SelfQuarantine_Mild*'Equipment List &amp; Usage'!$X18)+('Weekly Summary'!Z$101*SelfQuarantine_Moderate*'Equipment List &amp; Usage'!$X18))))+IF('Equipment List &amp; Usage'!$F18="Yes",'Equipment List &amp; Usage'!$C$114*(IF('Equipment List &amp; Usage'!$AA18&gt;0,'Weekly Summary'!Z$128,0)+IF('Equipment List &amp; Usage'!$AB18&gt;0,'Weekly Summary'!Z$100+'Weekly Summary'!Z$101,0)),'Equipment List &amp; Usage'!$C$115*(('Weekly Summary'!Z$128*'Equipment List &amp; Usage'!$AA18)+('Weekly Summary'!Z$100*'Equipment List &amp; Usage'!$AB18*SelfQuarantine_Mild)+('Weekly Summary'!Z$101*'Equipment List &amp; Usage'!$AB18*SelfQuarantine_Moderate)))+IF('Equipment List &amp; Usage'!$F18="Yes",('Equipment List &amp; Usage'!$C$114*(IF('Equipment List &amp; Usage'!$AE18&gt;0,'Weekly Summary'!Z$134,0)+IF('Equipment List &amp; Usage'!$AF18&gt;0,'Weekly Summary'!Z$135))),'Equipment List &amp; Usage'!$C$115*(('Weekly Summary'!Z$134*'Equipment List &amp; Usage'!$AE18)+('Weekly Summary'!Z$135*'Equipment List &amp; Usage'!$AF18)))),0)</f>
        <v>0</v>
      </c>
      <c r="AG16" s="1378">
        <f ca="1">MAX(IF($F16="Yes",(
IF($F16="yes",MMULT(--('Equipment List &amp; Usage'!$J18:$N18&gt;0),--('Weekly Summary'!AA$112:AA$116))*'Equipment List &amp; Usage'!$C$114,MMULT(--('Equipment List &amp; Usage'!$J18:$N18),--('Weekly Summary'!AA$112:AA$116))*'Equipment List &amp; Usage'!$C$115)+IF('Equipment List &amp; Usage'!$F17="yes",'Equipment List &amp; Usage'!$C$114,'Equipment List &amp; Usage'!$C$115)*(('Weekly Summary'!AA$66*'Equipment List &amp; Usage'!$Q18)+('Weekly Summary'!AA$64*'Equipment List &amp; Usage'!$O18)+('Weekly Summary'!AA$65*'Equipment List &amp; Usage'!$P18)))+(IF('Equipment List &amp; Usage'!$F18="Yes",'Equipment List &amp; Usage'!$C$114*((('Weekly Summary'!AA$131*SelfQuarantine_Mild)+('Weekly Summary'!AA$100*SelfQuarantine_Mild)+('Weekly Summary'!AA$101*SelfQuarantine_Moderate))),'Equipment List &amp; Usage'!$C$115)*((('Weekly Summary'!AA$131*SelfQuarantine_Mild*'Equipment List &amp; Usage'!$W18)+('Weekly Summary'!AA$100*SelfQuarantine_Mild*'Equipment List &amp; Usage'!$X18)+('Weekly Summary'!AA$101*SelfQuarantine_Moderate*'Equipment List &amp; Usage'!$X18)))+IF('Equipment List &amp; Usage'!$F18="Yes",'Equipment List &amp; Usage'!$C$114*(IF('Equipment List &amp; Usage'!$AA18&gt;0,'Weekly Summary'!AA$128,0)+IF('Equipment List &amp; Usage'!$AB18&gt;0,'Weekly Summary'!AA$100+'Weekly Summary'!AA$101,0)),'Equipment List &amp; Usage'!$C$115*(('Weekly Summary'!AA$128*'Equipment List &amp; Usage'!$AA18)+('Weekly Summary'!AA$100*'Equipment List &amp; Usage'!$AB18*SelfQuarantine_Mild)+('Weekly Summary'!AA$101*'Equipment List &amp; Usage'!$AB18*SelfQuarantine_Moderate)))+IF('Equipment List &amp; Usage'!$F18="Yes",('Equipment List &amp; Usage'!$C$114*(IF('Equipment List &amp; Usage'!$AE18&gt;0,'Weekly Summary'!AA$134,0)+IF('Equipment List &amp; Usage'!$AF18&gt;0,'Weekly Summary'!AA$135))),'Equipment List &amp; Usage'!$C$115*(('Weekly Summary'!AA$134*'Equipment List &amp; Usage'!$AE18)+('Weekly Summary'!AA$135*'Equipment List &amp; Usage'!$AF18))))-SUM($I16:AF16),
IF($F16="yes",MMULT(--('Equipment List &amp; Usage'!$J18:$N18&gt;0),--('Weekly Summary'!AA$112:AA$116))*'Equipment List &amp; Usage'!$C$114,MMULT(--('Equipment List &amp; Usage'!$J18:$N18),--('Weekly Summary'!AA$112:AA$116))*'Equipment List &amp; Usage'!$C$115)+IF('Equipment List &amp; Usage'!$F17="yes",'Equipment List &amp; Usage'!$C$114,'Equipment List &amp; Usage'!$C$115)*(('Weekly Summary'!AA$66*'Equipment List &amp; Usage'!$Q18)+('Weekly Summary'!AA$64*'Equipment List &amp; Usage'!$O18)+('Weekly Summary'!AA$65*'Equipment List &amp; Usage'!$P18))+(IF('Equipment List &amp; Usage'!$F18="Yes",'Equipment List &amp; Usage'!$C$114*((('Weekly Summary'!AA$131*SelfQuarantine_Mild)+('Weekly Summary'!AA$100*SelfQuarantine_Mild)+('Weekly Summary'!AA$101*SelfQuarantine_Moderate))),'Equipment List &amp; Usage'!$C$115)*((('Weekly Summary'!AA$131*SelfQuarantine_Mild*'Equipment List &amp; Usage'!$W18)+('Weekly Summary'!AA$100*SelfQuarantine_Mild*'Equipment List &amp; Usage'!$X18)+('Weekly Summary'!AA$101*SelfQuarantine_Moderate*'Equipment List &amp; Usage'!$X18))))+IF('Equipment List &amp; Usage'!$F18="Yes",'Equipment List &amp; Usage'!$C$114*(IF('Equipment List &amp; Usage'!$AA18&gt;0,'Weekly Summary'!AA$128,0)+IF('Equipment List &amp; Usage'!$AB18&gt;0,'Weekly Summary'!AA$100+'Weekly Summary'!AA$101,0)),'Equipment List &amp; Usage'!$C$115*(('Weekly Summary'!AA$128*'Equipment List &amp; Usage'!$AA18)+('Weekly Summary'!AA$100*'Equipment List &amp; Usage'!$AB18*SelfQuarantine_Mild)+('Weekly Summary'!AA$101*'Equipment List &amp; Usage'!$AB18*SelfQuarantine_Moderate)))+IF('Equipment List &amp; Usage'!$F18="Yes",('Equipment List &amp; Usage'!$C$114*(IF('Equipment List &amp; Usage'!$AE18&gt;0,'Weekly Summary'!AA$134,0)+IF('Equipment List &amp; Usage'!$AF18&gt;0,'Weekly Summary'!AA$135))),'Equipment List &amp; Usage'!$C$115*(('Weekly Summary'!AA$134*'Equipment List &amp; Usage'!$AE18)+('Weekly Summary'!AA$135*'Equipment List &amp; Usage'!$AF18)))),0)</f>
        <v>0</v>
      </c>
      <c r="AH16" s="1378">
        <f ca="1">MAX(IF($F16="Yes",(
IF($F16="yes",MMULT(--('Equipment List &amp; Usage'!$J18:$N18&gt;0),--('Weekly Summary'!AB$112:AB$116))*'Equipment List &amp; Usage'!$C$114,MMULT(--('Equipment List &amp; Usage'!$J18:$N18),--('Weekly Summary'!AB$112:AB$116))*'Equipment List &amp; Usage'!$C$115)+IF('Equipment List &amp; Usage'!$F17="yes",'Equipment List &amp; Usage'!$C$114,'Equipment List &amp; Usage'!$C$115)*(('Weekly Summary'!AB$66*'Equipment List &amp; Usage'!$Q18)+('Weekly Summary'!AB$64*'Equipment List &amp; Usage'!$O18)+('Weekly Summary'!AB$65*'Equipment List &amp; Usage'!$P18)))+(IF('Equipment List &amp; Usage'!$F18="Yes",'Equipment List &amp; Usage'!$C$114*((('Weekly Summary'!AB$131*SelfQuarantine_Mild)+('Weekly Summary'!AB$100*SelfQuarantine_Mild)+('Weekly Summary'!AB$101*SelfQuarantine_Moderate))),'Equipment List &amp; Usage'!$C$115)*((('Weekly Summary'!AB$131*SelfQuarantine_Mild*'Equipment List &amp; Usage'!$W18)+('Weekly Summary'!AB$100*SelfQuarantine_Mild*'Equipment List &amp; Usage'!$X18)+('Weekly Summary'!AB$101*SelfQuarantine_Moderate*'Equipment List &amp; Usage'!$X18)))+IF('Equipment List &amp; Usage'!$F18="Yes",'Equipment List &amp; Usage'!$C$114*(IF('Equipment List &amp; Usage'!$AA18&gt;0,'Weekly Summary'!AB$128,0)+IF('Equipment List &amp; Usage'!$AB18&gt;0,'Weekly Summary'!AB$100+'Weekly Summary'!AB$101,0)),'Equipment List &amp; Usage'!$C$115*(('Weekly Summary'!AB$128*'Equipment List &amp; Usage'!$AA18)+('Weekly Summary'!AB$100*'Equipment List &amp; Usage'!$AB18*SelfQuarantine_Mild)+('Weekly Summary'!AB$101*'Equipment List &amp; Usage'!$AB18*SelfQuarantine_Moderate)))+IF('Equipment List &amp; Usage'!$F18="Yes",('Equipment List &amp; Usage'!$C$114*(IF('Equipment List &amp; Usage'!$AE18&gt;0,'Weekly Summary'!AB$134,0)+IF('Equipment List &amp; Usage'!$AF18&gt;0,'Weekly Summary'!AB$135))),'Equipment List &amp; Usage'!$C$115*(('Weekly Summary'!AB$134*'Equipment List &amp; Usage'!$AE18)+('Weekly Summary'!AB$135*'Equipment List &amp; Usage'!$AF18))))-SUM($I16:AG16),
IF($F16="yes",MMULT(--('Equipment List &amp; Usage'!$J18:$N18&gt;0),--('Weekly Summary'!AB$112:AB$116))*'Equipment List &amp; Usage'!$C$114,MMULT(--('Equipment List &amp; Usage'!$J18:$N18),--('Weekly Summary'!AB$112:AB$116))*'Equipment List &amp; Usage'!$C$115)+IF('Equipment List &amp; Usage'!$F17="yes",'Equipment List &amp; Usage'!$C$114,'Equipment List &amp; Usage'!$C$115)*(('Weekly Summary'!AB$66*'Equipment List &amp; Usage'!$Q18)+('Weekly Summary'!AB$64*'Equipment List &amp; Usage'!$O18)+('Weekly Summary'!AB$65*'Equipment List &amp; Usage'!$P18))+(IF('Equipment List &amp; Usage'!$F18="Yes",'Equipment List &amp; Usage'!$C$114*((('Weekly Summary'!AB$131*SelfQuarantine_Mild)+('Weekly Summary'!AB$100*SelfQuarantine_Mild)+('Weekly Summary'!AB$101*SelfQuarantine_Moderate))),'Equipment List &amp; Usage'!$C$115)*((('Weekly Summary'!AB$131*SelfQuarantine_Mild*'Equipment List &amp; Usage'!$W18)+('Weekly Summary'!AB$100*SelfQuarantine_Mild*'Equipment List &amp; Usage'!$X18)+('Weekly Summary'!AB$101*SelfQuarantine_Moderate*'Equipment List &amp; Usage'!$X18))))+IF('Equipment List &amp; Usage'!$F18="Yes",'Equipment List &amp; Usage'!$C$114*(IF('Equipment List &amp; Usage'!$AA18&gt;0,'Weekly Summary'!AB$128,0)+IF('Equipment List &amp; Usage'!$AB18&gt;0,'Weekly Summary'!AB$100+'Weekly Summary'!AB$101,0)),'Equipment List &amp; Usage'!$C$115*(('Weekly Summary'!AB$128*'Equipment List &amp; Usage'!$AA18)+('Weekly Summary'!AB$100*'Equipment List &amp; Usage'!$AB18*SelfQuarantine_Mild)+('Weekly Summary'!AB$101*'Equipment List &amp; Usage'!$AB18*SelfQuarantine_Moderate)))+IF('Equipment List &amp; Usage'!$F18="Yes",('Equipment List &amp; Usage'!$C$114*(IF('Equipment List &amp; Usage'!$AE18&gt;0,'Weekly Summary'!AB$134,0)+IF('Equipment List &amp; Usage'!$AF18&gt;0,'Weekly Summary'!AB$135))),'Equipment List &amp; Usage'!$C$115*(('Weekly Summary'!AB$134*'Equipment List &amp; Usage'!$AE18)+('Weekly Summary'!AB$135*'Equipment List &amp; Usage'!$AF18)))),0)</f>
        <v>0</v>
      </c>
      <c r="AI16" s="1378">
        <f ca="1">MAX(IF($F16="Yes",(
IF($F16="yes",MMULT(--('Equipment List &amp; Usage'!$J18:$N18&gt;0),--('Weekly Summary'!AC$112:AC$116))*'Equipment List &amp; Usage'!$C$114,MMULT(--('Equipment List &amp; Usage'!$J18:$N18),--('Weekly Summary'!AC$112:AC$116))*'Equipment List &amp; Usage'!$C$115)+IF('Equipment List &amp; Usage'!$F17="yes",'Equipment List &amp; Usage'!$C$114,'Equipment List &amp; Usage'!$C$115)*(('Weekly Summary'!AC$66*'Equipment List &amp; Usage'!$Q18)+('Weekly Summary'!AC$64*'Equipment List &amp; Usage'!$O18)+('Weekly Summary'!AC$65*'Equipment List &amp; Usage'!$P18)))+(IF('Equipment List &amp; Usage'!$F18="Yes",'Equipment List &amp; Usage'!$C$114*((('Weekly Summary'!AC$131*SelfQuarantine_Mild)+('Weekly Summary'!AC$100*SelfQuarantine_Mild)+('Weekly Summary'!AC$101*SelfQuarantine_Moderate))),'Equipment List &amp; Usage'!$C$115)*((('Weekly Summary'!AC$131*SelfQuarantine_Mild*'Equipment List &amp; Usage'!$W18)+('Weekly Summary'!AC$100*SelfQuarantine_Mild*'Equipment List &amp; Usage'!$X18)+('Weekly Summary'!AC$101*SelfQuarantine_Moderate*'Equipment List &amp; Usage'!$X18)))+IF('Equipment List &amp; Usage'!$F18="Yes",'Equipment List &amp; Usage'!$C$114*(IF('Equipment List &amp; Usage'!$AA18&gt;0,'Weekly Summary'!AC$128,0)+IF('Equipment List &amp; Usage'!$AB18&gt;0,'Weekly Summary'!AC$100+'Weekly Summary'!AC$101,0)),'Equipment List &amp; Usage'!$C$115*(('Weekly Summary'!AC$128*'Equipment List &amp; Usage'!$AA18)+('Weekly Summary'!AC$100*'Equipment List &amp; Usage'!$AB18*SelfQuarantine_Mild)+('Weekly Summary'!AC$101*'Equipment List &amp; Usage'!$AB18*SelfQuarantine_Moderate)))+IF('Equipment List &amp; Usage'!$F18="Yes",('Equipment List &amp; Usage'!$C$114*(IF('Equipment List &amp; Usage'!$AE18&gt;0,'Weekly Summary'!AC$134,0)+IF('Equipment List &amp; Usage'!$AF18&gt;0,'Weekly Summary'!AC$135))),'Equipment List &amp; Usage'!$C$115*(('Weekly Summary'!AC$134*'Equipment List &amp; Usage'!$AE18)+('Weekly Summary'!AC$135*'Equipment List &amp; Usage'!$AF18))))-SUM($I16:AH16),
IF($F16="yes",MMULT(--('Equipment List &amp; Usage'!$J18:$N18&gt;0),--('Weekly Summary'!AC$112:AC$116))*'Equipment List &amp; Usage'!$C$114,MMULT(--('Equipment List &amp; Usage'!$J18:$N18),--('Weekly Summary'!AC$112:AC$116))*'Equipment List &amp; Usage'!$C$115)+IF('Equipment List &amp; Usage'!$F17="yes",'Equipment List &amp; Usage'!$C$114,'Equipment List &amp; Usage'!$C$115)*(('Weekly Summary'!AC$66*'Equipment List &amp; Usage'!$Q18)+('Weekly Summary'!AC$64*'Equipment List &amp; Usage'!$O18)+('Weekly Summary'!AC$65*'Equipment List &amp; Usage'!$P18))+(IF('Equipment List &amp; Usage'!$F18="Yes",'Equipment List &amp; Usage'!$C$114*((('Weekly Summary'!AC$131*SelfQuarantine_Mild)+('Weekly Summary'!AC$100*SelfQuarantine_Mild)+('Weekly Summary'!AC$101*SelfQuarantine_Moderate))),'Equipment List &amp; Usage'!$C$115)*((('Weekly Summary'!AC$131*SelfQuarantine_Mild*'Equipment List &amp; Usage'!$W18)+('Weekly Summary'!AC$100*SelfQuarantine_Mild*'Equipment List &amp; Usage'!$X18)+('Weekly Summary'!AC$101*SelfQuarantine_Moderate*'Equipment List &amp; Usage'!$X18))))+IF('Equipment List &amp; Usage'!$F18="Yes",'Equipment List &amp; Usage'!$C$114*(IF('Equipment List &amp; Usage'!$AA18&gt;0,'Weekly Summary'!AC$128,0)+IF('Equipment List &amp; Usage'!$AB18&gt;0,'Weekly Summary'!AC$100+'Weekly Summary'!AC$101,0)),'Equipment List &amp; Usage'!$C$115*(('Weekly Summary'!AC$128*'Equipment List &amp; Usage'!$AA18)+('Weekly Summary'!AC$100*'Equipment List &amp; Usage'!$AB18*SelfQuarantine_Mild)+('Weekly Summary'!AC$101*'Equipment List &amp; Usage'!$AB18*SelfQuarantine_Moderate)))+IF('Equipment List &amp; Usage'!$F18="Yes",('Equipment List &amp; Usage'!$C$114*(IF('Equipment List &amp; Usage'!$AE18&gt;0,'Weekly Summary'!AC$134,0)+IF('Equipment List &amp; Usage'!$AF18&gt;0,'Weekly Summary'!AC$135))),'Equipment List &amp; Usage'!$C$115*(('Weekly Summary'!AC$134*'Equipment List &amp; Usage'!$AE18)+('Weekly Summary'!AC$135*'Equipment List &amp; Usage'!$AF18)))),0)</f>
        <v>0</v>
      </c>
      <c r="AJ16" s="1378">
        <f ca="1">MAX(IF($F16="Yes",(
IF($F16="yes",MMULT(--('Equipment List &amp; Usage'!$J18:$N18&gt;0),--('Weekly Summary'!AD$112:AD$116))*'Equipment List &amp; Usage'!$C$114,MMULT(--('Equipment List &amp; Usage'!$J18:$N18),--('Weekly Summary'!AD$112:AD$116))*'Equipment List &amp; Usage'!$C$115)+IF('Equipment List &amp; Usage'!$F17="yes",'Equipment List &amp; Usage'!$C$114,'Equipment List &amp; Usage'!$C$115)*(('Weekly Summary'!AD$66*'Equipment List &amp; Usage'!$Q18)+('Weekly Summary'!AD$64*'Equipment List &amp; Usage'!$O18)+('Weekly Summary'!AD$65*'Equipment List &amp; Usage'!$P18)))+(IF('Equipment List &amp; Usage'!$F18="Yes",'Equipment List &amp; Usage'!$C$114*((('Weekly Summary'!AD$131*SelfQuarantine_Mild)+('Weekly Summary'!AD$100*SelfQuarantine_Mild)+('Weekly Summary'!AD$101*SelfQuarantine_Moderate))),'Equipment List &amp; Usage'!$C$115)*((('Weekly Summary'!AD$131*SelfQuarantine_Mild*'Equipment List &amp; Usage'!$W18)+('Weekly Summary'!AD$100*SelfQuarantine_Mild*'Equipment List &amp; Usage'!$X18)+('Weekly Summary'!AD$101*SelfQuarantine_Moderate*'Equipment List &amp; Usage'!$X18)))+IF('Equipment List &amp; Usage'!$F18="Yes",'Equipment List &amp; Usage'!$C$114*(IF('Equipment List &amp; Usage'!$AA18&gt;0,'Weekly Summary'!AD$128,0)+IF('Equipment List &amp; Usage'!$AB18&gt;0,'Weekly Summary'!AD$100+'Weekly Summary'!AD$101,0)),'Equipment List &amp; Usage'!$C$115*(('Weekly Summary'!AD$128*'Equipment List &amp; Usage'!$AA18)+('Weekly Summary'!AD$100*'Equipment List &amp; Usage'!$AB18*SelfQuarantine_Mild)+('Weekly Summary'!AD$101*'Equipment List &amp; Usage'!$AB18*SelfQuarantine_Moderate)))+IF('Equipment List &amp; Usage'!$F18="Yes",('Equipment List &amp; Usage'!$C$114*(IF('Equipment List &amp; Usage'!$AE18&gt;0,'Weekly Summary'!AD$134,0)+IF('Equipment List &amp; Usage'!$AF18&gt;0,'Weekly Summary'!AD$135))),'Equipment List &amp; Usage'!$C$115*(('Weekly Summary'!AD$134*'Equipment List &amp; Usage'!$AE18)+('Weekly Summary'!AD$135*'Equipment List &amp; Usage'!$AF18))))-SUM($I16:AI16),
IF($F16="yes",MMULT(--('Equipment List &amp; Usage'!$J18:$N18&gt;0),--('Weekly Summary'!AD$112:AD$116))*'Equipment List &amp; Usage'!$C$114,MMULT(--('Equipment List &amp; Usage'!$J18:$N18),--('Weekly Summary'!AD$112:AD$116))*'Equipment List &amp; Usage'!$C$115)+IF('Equipment List &amp; Usage'!$F17="yes",'Equipment List &amp; Usage'!$C$114,'Equipment List &amp; Usage'!$C$115)*(('Weekly Summary'!AD$66*'Equipment List &amp; Usage'!$Q18)+('Weekly Summary'!AD$64*'Equipment List &amp; Usage'!$O18)+('Weekly Summary'!AD$65*'Equipment List &amp; Usage'!$P18))+(IF('Equipment List &amp; Usage'!$F18="Yes",'Equipment List &amp; Usage'!$C$114*((('Weekly Summary'!AD$131*SelfQuarantine_Mild)+('Weekly Summary'!AD$100*SelfQuarantine_Mild)+('Weekly Summary'!AD$101*SelfQuarantine_Moderate))),'Equipment List &amp; Usage'!$C$115)*((('Weekly Summary'!AD$131*SelfQuarantine_Mild*'Equipment List &amp; Usage'!$W18)+('Weekly Summary'!AD$100*SelfQuarantine_Mild*'Equipment List &amp; Usage'!$X18)+('Weekly Summary'!AD$101*SelfQuarantine_Moderate*'Equipment List &amp; Usage'!$X18))))+IF('Equipment List &amp; Usage'!$F18="Yes",'Equipment List &amp; Usage'!$C$114*(IF('Equipment List &amp; Usage'!$AA18&gt;0,'Weekly Summary'!AD$128,0)+IF('Equipment List &amp; Usage'!$AB18&gt;0,'Weekly Summary'!AD$100+'Weekly Summary'!AD$101,0)),'Equipment List &amp; Usage'!$C$115*(('Weekly Summary'!AD$128*'Equipment List &amp; Usage'!$AA18)+('Weekly Summary'!AD$100*'Equipment List &amp; Usage'!$AB18*SelfQuarantine_Mild)+('Weekly Summary'!AD$101*'Equipment List &amp; Usage'!$AB18*SelfQuarantine_Moderate)))+IF('Equipment List &amp; Usage'!$F18="Yes",('Equipment List &amp; Usage'!$C$114*(IF('Equipment List &amp; Usage'!$AE18&gt;0,'Weekly Summary'!AD$134,0)+IF('Equipment List &amp; Usage'!$AF18&gt;0,'Weekly Summary'!AD$135))),'Equipment List &amp; Usage'!$C$115*(('Weekly Summary'!AD$134*'Equipment List &amp; Usage'!$AE18)+('Weekly Summary'!AD$135*'Equipment List &amp; Usage'!$AF18)))),0)</f>
        <v>0</v>
      </c>
      <c r="AK16" s="1378">
        <f ca="1">MAX(IF($F16="Yes",(
IF($F16="yes",MMULT(--('Equipment List &amp; Usage'!$J18:$N18&gt;0),--('Weekly Summary'!AE$112:AE$116))*'Equipment List &amp; Usage'!$C$114,MMULT(--('Equipment List &amp; Usage'!$J18:$N18),--('Weekly Summary'!AE$112:AE$116))*'Equipment List &amp; Usage'!$C$115)+IF('Equipment List &amp; Usage'!$F17="yes",'Equipment List &amp; Usage'!$C$114,'Equipment List &amp; Usage'!$C$115)*(('Weekly Summary'!AE$66*'Equipment List &amp; Usage'!$Q18)+('Weekly Summary'!AE$64*'Equipment List &amp; Usage'!$O18)+('Weekly Summary'!AE$65*'Equipment List &amp; Usage'!$P18)))+(IF('Equipment List &amp; Usage'!$F18="Yes",'Equipment List &amp; Usage'!$C$114*((('Weekly Summary'!AE$131*SelfQuarantine_Mild)+('Weekly Summary'!AE$100*SelfQuarantine_Mild)+('Weekly Summary'!AE$101*SelfQuarantine_Moderate))),'Equipment List &amp; Usage'!$C$115)*((('Weekly Summary'!AE$131*SelfQuarantine_Mild*'Equipment List &amp; Usage'!$W18)+('Weekly Summary'!AE$100*SelfQuarantine_Mild*'Equipment List &amp; Usage'!$X18)+('Weekly Summary'!AE$101*SelfQuarantine_Moderate*'Equipment List &amp; Usage'!$X18)))+IF('Equipment List &amp; Usage'!$F18="Yes",'Equipment List &amp; Usage'!$C$114*(IF('Equipment List &amp; Usage'!$AA18&gt;0,'Weekly Summary'!AE$128,0)+IF('Equipment List &amp; Usage'!$AB18&gt;0,'Weekly Summary'!AE$100+'Weekly Summary'!AE$101,0)),'Equipment List &amp; Usage'!$C$115*(('Weekly Summary'!AE$128*'Equipment List &amp; Usage'!$AA18)+('Weekly Summary'!AE$100*'Equipment List &amp; Usage'!$AB18*SelfQuarantine_Mild)+('Weekly Summary'!AE$101*'Equipment List &amp; Usage'!$AB18*SelfQuarantine_Moderate)))+IF('Equipment List &amp; Usage'!$F18="Yes",('Equipment List &amp; Usage'!$C$114*(IF('Equipment List &amp; Usage'!$AE18&gt;0,'Weekly Summary'!AE$134,0)+IF('Equipment List &amp; Usage'!$AF18&gt;0,'Weekly Summary'!AE$135))),'Equipment List &amp; Usage'!$C$115*(('Weekly Summary'!AE$134*'Equipment List &amp; Usage'!$AE18)+('Weekly Summary'!AE$135*'Equipment List &amp; Usage'!$AF18))))-SUM($I16:AJ16),
IF($F16="yes",MMULT(--('Equipment List &amp; Usage'!$J18:$N18&gt;0),--('Weekly Summary'!AE$112:AE$116))*'Equipment List &amp; Usage'!$C$114,MMULT(--('Equipment List &amp; Usage'!$J18:$N18),--('Weekly Summary'!AE$112:AE$116))*'Equipment List &amp; Usage'!$C$115)+IF('Equipment List &amp; Usage'!$F17="yes",'Equipment List &amp; Usage'!$C$114,'Equipment List &amp; Usage'!$C$115)*(('Weekly Summary'!AE$66*'Equipment List &amp; Usage'!$Q18)+('Weekly Summary'!AE$64*'Equipment List &amp; Usage'!$O18)+('Weekly Summary'!AE$65*'Equipment List &amp; Usage'!$P18))+(IF('Equipment List &amp; Usage'!$F18="Yes",'Equipment List &amp; Usage'!$C$114*((('Weekly Summary'!AE$131*SelfQuarantine_Mild)+('Weekly Summary'!AE$100*SelfQuarantine_Mild)+('Weekly Summary'!AE$101*SelfQuarantine_Moderate))),'Equipment List &amp; Usage'!$C$115)*((('Weekly Summary'!AE$131*SelfQuarantine_Mild*'Equipment List &amp; Usage'!$W18)+('Weekly Summary'!AE$100*SelfQuarantine_Mild*'Equipment List &amp; Usage'!$X18)+('Weekly Summary'!AE$101*SelfQuarantine_Moderate*'Equipment List &amp; Usage'!$X18))))+IF('Equipment List &amp; Usage'!$F18="Yes",'Equipment List &amp; Usage'!$C$114*(IF('Equipment List &amp; Usage'!$AA18&gt;0,'Weekly Summary'!AE$128,0)+IF('Equipment List &amp; Usage'!$AB18&gt;0,'Weekly Summary'!AE$100+'Weekly Summary'!AE$101,0)),'Equipment List &amp; Usage'!$C$115*(('Weekly Summary'!AE$128*'Equipment List &amp; Usage'!$AA18)+('Weekly Summary'!AE$100*'Equipment List &amp; Usage'!$AB18*SelfQuarantine_Mild)+('Weekly Summary'!AE$101*'Equipment List &amp; Usage'!$AB18*SelfQuarantine_Moderate)))+IF('Equipment List &amp; Usage'!$F18="Yes",('Equipment List &amp; Usage'!$C$114*(IF('Equipment List &amp; Usage'!$AE18&gt;0,'Weekly Summary'!AE$134,0)+IF('Equipment List &amp; Usage'!$AF18&gt;0,'Weekly Summary'!AE$135))),'Equipment List &amp; Usage'!$C$115*(('Weekly Summary'!AE$134*'Equipment List &amp; Usage'!$AE18)+('Weekly Summary'!AE$135*'Equipment List &amp; Usage'!$AF18)))),0)</f>
        <v>0</v>
      </c>
      <c r="AL16" s="1378">
        <f ca="1">MAX(IF($F16="Yes",(
IF($F16="yes",MMULT(--('Equipment List &amp; Usage'!$J18:$N18&gt;0),--('Weekly Summary'!AF$112:AF$116))*'Equipment List &amp; Usage'!$C$114,MMULT(--('Equipment List &amp; Usage'!$J18:$N18),--('Weekly Summary'!AF$112:AF$116))*'Equipment List &amp; Usage'!$C$115)+IF('Equipment List &amp; Usage'!$F17="yes",'Equipment List &amp; Usage'!$C$114,'Equipment List &amp; Usage'!$C$115)*(('Weekly Summary'!AF$66*'Equipment List &amp; Usage'!$Q18)+('Weekly Summary'!AF$64*'Equipment List &amp; Usage'!$O18)+('Weekly Summary'!AF$65*'Equipment List &amp; Usage'!$P18)))+(IF('Equipment List &amp; Usage'!$F18="Yes",'Equipment List &amp; Usage'!$C$114*((('Weekly Summary'!AF$131*SelfQuarantine_Mild)+('Weekly Summary'!AF$100*SelfQuarantine_Mild)+('Weekly Summary'!AF$101*SelfQuarantine_Moderate))),'Equipment List &amp; Usage'!$C$115)*((('Weekly Summary'!AF$131*SelfQuarantine_Mild*'Equipment List &amp; Usage'!$W18)+('Weekly Summary'!AF$100*SelfQuarantine_Mild*'Equipment List &amp; Usage'!$X18)+('Weekly Summary'!AF$101*SelfQuarantine_Moderate*'Equipment List &amp; Usage'!$X18)))+IF('Equipment List &amp; Usage'!$F18="Yes",'Equipment List &amp; Usage'!$C$114*(IF('Equipment List &amp; Usage'!$AA18&gt;0,'Weekly Summary'!AF$128,0)+IF('Equipment List &amp; Usage'!$AB18&gt;0,'Weekly Summary'!AF$100+'Weekly Summary'!AF$101,0)),'Equipment List &amp; Usage'!$C$115*(('Weekly Summary'!AF$128*'Equipment List &amp; Usage'!$AA18)+('Weekly Summary'!AF$100*'Equipment List &amp; Usage'!$AB18*SelfQuarantine_Mild)+('Weekly Summary'!AF$101*'Equipment List &amp; Usage'!$AB18*SelfQuarantine_Moderate)))+IF('Equipment List &amp; Usage'!$F18="Yes",('Equipment List &amp; Usage'!$C$114*(IF('Equipment List &amp; Usage'!$AE18&gt;0,'Weekly Summary'!AF$134,0)+IF('Equipment List &amp; Usage'!$AF18&gt;0,'Weekly Summary'!AF$135))),'Equipment List &amp; Usage'!$C$115*(('Weekly Summary'!AF$134*'Equipment List &amp; Usage'!$AE18)+('Weekly Summary'!AF$135*'Equipment List &amp; Usage'!$AF18))))-SUM($I16:AK16),
IF($F16="yes",MMULT(--('Equipment List &amp; Usage'!$J18:$N18&gt;0),--('Weekly Summary'!AF$112:AF$116))*'Equipment List &amp; Usage'!$C$114,MMULT(--('Equipment List &amp; Usage'!$J18:$N18),--('Weekly Summary'!AF$112:AF$116))*'Equipment List &amp; Usage'!$C$115)+IF('Equipment List &amp; Usage'!$F17="yes",'Equipment List &amp; Usage'!$C$114,'Equipment List &amp; Usage'!$C$115)*(('Weekly Summary'!AF$66*'Equipment List &amp; Usage'!$Q18)+('Weekly Summary'!AF$64*'Equipment List &amp; Usage'!$O18)+('Weekly Summary'!AF$65*'Equipment List &amp; Usage'!$P18))+(IF('Equipment List &amp; Usage'!$F18="Yes",'Equipment List &amp; Usage'!$C$114*((('Weekly Summary'!AF$131*SelfQuarantine_Mild)+('Weekly Summary'!AF$100*SelfQuarantine_Mild)+('Weekly Summary'!AF$101*SelfQuarantine_Moderate))),'Equipment List &amp; Usage'!$C$115)*((('Weekly Summary'!AF$131*SelfQuarantine_Mild*'Equipment List &amp; Usage'!$W18)+('Weekly Summary'!AF$100*SelfQuarantine_Mild*'Equipment List &amp; Usage'!$X18)+('Weekly Summary'!AF$101*SelfQuarantine_Moderate*'Equipment List &amp; Usage'!$X18))))+IF('Equipment List &amp; Usage'!$F18="Yes",'Equipment List &amp; Usage'!$C$114*(IF('Equipment List &amp; Usage'!$AA18&gt;0,'Weekly Summary'!AF$128,0)+IF('Equipment List &amp; Usage'!$AB18&gt;0,'Weekly Summary'!AF$100+'Weekly Summary'!AF$101,0)),'Equipment List &amp; Usage'!$C$115*(('Weekly Summary'!AF$128*'Equipment List &amp; Usage'!$AA18)+('Weekly Summary'!AF$100*'Equipment List &amp; Usage'!$AB18*SelfQuarantine_Mild)+('Weekly Summary'!AF$101*'Equipment List &amp; Usage'!$AB18*SelfQuarantine_Moderate)))+IF('Equipment List &amp; Usage'!$F18="Yes",('Equipment List &amp; Usage'!$C$114*(IF('Equipment List &amp; Usage'!$AE18&gt;0,'Weekly Summary'!AF$134,0)+IF('Equipment List &amp; Usage'!$AF18&gt;0,'Weekly Summary'!AF$135))),'Equipment List &amp; Usage'!$C$115*(('Weekly Summary'!AF$134*'Equipment List &amp; Usage'!$AE18)+('Weekly Summary'!AF$135*'Equipment List &amp; Usage'!$AF18)))),0)</f>
        <v>0</v>
      </c>
      <c r="AM16" s="1378">
        <f ca="1">MAX(IF($F16="Yes",(
IF($F16="yes",MMULT(--('Equipment List &amp; Usage'!$J18:$N18&gt;0),--('Weekly Summary'!AG$112:AG$116))*'Equipment List &amp; Usage'!$C$114,MMULT(--('Equipment List &amp; Usage'!$J18:$N18),--('Weekly Summary'!AG$112:AG$116))*'Equipment List &amp; Usage'!$C$115)+IF('Equipment List &amp; Usage'!$F17="yes",'Equipment List &amp; Usage'!$C$114,'Equipment List &amp; Usage'!$C$115)*(('Weekly Summary'!AG$66*'Equipment List &amp; Usage'!$Q18)+('Weekly Summary'!AG$64*'Equipment List &amp; Usage'!$O18)+('Weekly Summary'!AG$65*'Equipment List &amp; Usage'!$P18)))+(IF('Equipment List &amp; Usage'!$F18="Yes",'Equipment List &amp; Usage'!$C$114*((('Weekly Summary'!AG$131*SelfQuarantine_Mild)+('Weekly Summary'!AG$100*SelfQuarantine_Mild)+('Weekly Summary'!AG$101*SelfQuarantine_Moderate))),'Equipment List &amp; Usage'!$C$115)*((('Weekly Summary'!AG$131*SelfQuarantine_Mild*'Equipment List &amp; Usage'!$W18)+('Weekly Summary'!AG$100*SelfQuarantine_Mild*'Equipment List &amp; Usage'!$X18)+('Weekly Summary'!AG$101*SelfQuarantine_Moderate*'Equipment List &amp; Usage'!$X18)))+IF('Equipment List &amp; Usage'!$F18="Yes",'Equipment List &amp; Usage'!$C$114*(IF('Equipment List &amp; Usage'!$AA18&gt;0,'Weekly Summary'!AG$128,0)+IF('Equipment List &amp; Usage'!$AB18&gt;0,'Weekly Summary'!AG$100+'Weekly Summary'!AG$101,0)),'Equipment List &amp; Usage'!$C$115*(('Weekly Summary'!AG$128*'Equipment List &amp; Usage'!$AA18)+('Weekly Summary'!AG$100*'Equipment List &amp; Usage'!$AB18*SelfQuarantine_Mild)+('Weekly Summary'!AG$101*'Equipment List &amp; Usage'!$AB18*SelfQuarantine_Moderate)))+IF('Equipment List &amp; Usage'!$F18="Yes",('Equipment List &amp; Usage'!$C$114*(IF('Equipment List &amp; Usage'!$AE18&gt;0,'Weekly Summary'!AG$134,0)+IF('Equipment List &amp; Usage'!$AF18&gt;0,'Weekly Summary'!AG$135))),'Equipment List &amp; Usage'!$C$115*(('Weekly Summary'!AG$134*'Equipment List &amp; Usage'!$AE18)+('Weekly Summary'!AG$135*'Equipment List &amp; Usage'!$AF18))))-SUM($I16:AL16),
IF($F16="yes",MMULT(--('Equipment List &amp; Usage'!$J18:$N18&gt;0),--('Weekly Summary'!AG$112:AG$116))*'Equipment List &amp; Usage'!$C$114,MMULT(--('Equipment List &amp; Usage'!$J18:$N18),--('Weekly Summary'!AG$112:AG$116))*'Equipment List &amp; Usage'!$C$115)+IF('Equipment List &amp; Usage'!$F17="yes",'Equipment List &amp; Usage'!$C$114,'Equipment List &amp; Usage'!$C$115)*(('Weekly Summary'!AG$66*'Equipment List &amp; Usage'!$Q18)+('Weekly Summary'!AG$64*'Equipment List &amp; Usage'!$O18)+('Weekly Summary'!AG$65*'Equipment List &amp; Usage'!$P18))+(IF('Equipment List &amp; Usage'!$F18="Yes",'Equipment List &amp; Usage'!$C$114*((('Weekly Summary'!AG$131*SelfQuarantine_Mild)+('Weekly Summary'!AG$100*SelfQuarantine_Mild)+('Weekly Summary'!AG$101*SelfQuarantine_Moderate))),'Equipment List &amp; Usage'!$C$115)*((('Weekly Summary'!AG$131*SelfQuarantine_Mild*'Equipment List &amp; Usage'!$W18)+('Weekly Summary'!AG$100*SelfQuarantine_Mild*'Equipment List &amp; Usage'!$X18)+('Weekly Summary'!AG$101*SelfQuarantine_Moderate*'Equipment List &amp; Usage'!$X18))))+IF('Equipment List &amp; Usage'!$F18="Yes",'Equipment List &amp; Usage'!$C$114*(IF('Equipment List &amp; Usage'!$AA18&gt;0,'Weekly Summary'!AG$128,0)+IF('Equipment List &amp; Usage'!$AB18&gt;0,'Weekly Summary'!AG$100+'Weekly Summary'!AG$101,0)),'Equipment List &amp; Usage'!$C$115*(('Weekly Summary'!AG$128*'Equipment List &amp; Usage'!$AA18)+('Weekly Summary'!AG$100*'Equipment List &amp; Usage'!$AB18*SelfQuarantine_Mild)+('Weekly Summary'!AG$101*'Equipment List &amp; Usage'!$AB18*SelfQuarantine_Moderate)))+IF('Equipment List &amp; Usage'!$F18="Yes",('Equipment List &amp; Usage'!$C$114*(IF('Equipment List &amp; Usage'!$AE18&gt;0,'Weekly Summary'!AG$134,0)+IF('Equipment List &amp; Usage'!$AF18&gt;0,'Weekly Summary'!AG$135))),'Equipment List &amp; Usage'!$C$115*(('Weekly Summary'!AG$134*'Equipment List &amp; Usage'!$AE18)+('Weekly Summary'!AG$135*'Equipment List &amp; Usage'!$AF18)))),0)</f>
        <v>0</v>
      </c>
      <c r="AN16" s="1378">
        <f ca="1">MAX(IF($F16="Yes",(
IF($F16="yes",MMULT(--('Equipment List &amp; Usage'!$J18:$N18&gt;0),--('Weekly Summary'!AH$112:AH$116))*'Equipment List &amp; Usage'!$C$114,MMULT(--('Equipment List &amp; Usage'!$J18:$N18),--('Weekly Summary'!AH$112:AH$116))*'Equipment List &amp; Usage'!$C$115)+IF('Equipment List &amp; Usage'!$F17="yes",'Equipment List &amp; Usage'!$C$114,'Equipment List &amp; Usage'!$C$115)*(('Weekly Summary'!AH$66*'Equipment List &amp; Usage'!$Q18)+('Weekly Summary'!AH$64*'Equipment List &amp; Usage'!$O18)+('Weekly Summary'!AH$65*'Equipment List &amp; Usage'!$P18)))+(IF('Equipment List &amp; Usage'!$F18="Yes",'Equipment List &amp; Usage'!$C$114*((('Weekly Summary'!AH$131*SelfQuarantine_Mild)+('Weekly Summary'!AH$100*SelfQuarantine_Mild)+('Weekly Summary'!AH$101*SelfQuarantine_Moderate))),'Equipment List &amp; Usage'!$C$115)*((('Weekly Summary'!AH$131*SelfQuarantine_Mild*'Equipment List &amp; Usage'!$W18)+('Weekly Summary'!AH$100*SelfQuarantine_Mild*'Equipment List &amp; Usage'!$X18)+('Weekly Summary'!AH$101*SelfQuarantine_Moderate*'Equipment List &amp; Usage'!$X18)))+IF('Equipment List &amp; Usage'!$F18="Yes",'Equipment List &amp; Usage'!$C$114*(IF('Equipment List &amp; Usage'!$AA18&gt;0,'Weekly Summary'!AH$128,0)+IF('Equipment List &amp; Usage'!$AB18&gt;0,'Weekly Summary'!AH$100+'Weekly Summary'!AH$101,0)),'Equipment List &amp; Usage'!$C$115*(('Weekly Summary'!AH$128*'Equipment List &amp; Usage'!$AA18)+('Weekly Summary'!AH$100*'Equipment List &amp; Usage'!$AB18*SelfQuarantine_Mild)+('Weekly Summary'!AH$101*'Equipment List &amp; Usage'!$AB18*SelfQuarantine_Moderate)))+IF('Equipment List &amp; Usage'!$F18="Yes",('Equipment List &amp; Usage'!$C$114*(IF('Equipment List &amp; Usage'!$AE18&gt;0,'Weekly Summary'!AH$134,0)+IF('Equipment List &amp; Usage'!$AF18&gt;0,'Weekly Summary'!AH$135))),'Equipment List &amp; Usage'!$C$115*(('Weekly Summary'!AH$134*'Equipment List &amp; Usage'!$AE18)+('Weekly Summary'!AH$135*'Equipment List &amp; Usage'!$AF18))))-SUM($I16:AM16),
IF($F16="yes",MMULT(--('Equipment List &amp; Usage'!$J18:$N18&gt;0),--('Weekly Summary'!AH$112:AH$116))*'Equipment List &amp; Usage'!$C$114,MMULT(--('Equipment List &amp; Usage'!$J18:$N18),--('Weekly Summary'!AH$112:AH$116))*'Equipment List &amp; Usage'!$C$115)+IF('Equipment List &amp; Usage'!$F17="yes",'Equipment List &amp; Usage'!$C$114,'Equipment List &amp; Usage'!$C$115)*(('Weekly Summary'!AH$66*'Equipment List &amp; Usage'!$Q18)+('Weekly Summary'!AH$64*'Equipment List &amp; Usage'!$O18)+('Weekly Summary'!AH$65*'Equipment List &amp; Usage'!$P18))+(IF('Equipment List &amp; Usage'!$F18="Yes",'Equipment List &amp; Usage'!$C$114*((('Weekly Summary'!AH$131*SelfQuarantine_Mild)+('Weekly Summary'!AH$100*SelfQuarantine_Mild)+('Weekly Summary'!AH$101*SelfQuarantine_Moderate))),'Equipment List &amp; Usage'!$C$115)*((('Weekly Summary'!AH$131*SelfQuarantine_Mild*'Equipment List &amp; Usage'!$W18)+('Weekly Summary'!AH$100*SelfQuarantine_Mild*'Equipment List &amp; Usage'!$X18)+('Weekly Summary'!AH$101*SelfQuarantine_Moderate*'Equipment List &amp; Usage'!$X18))))+IF('Equipment List &amp; Usage'!$F18="Yes",'Equipment List &amp; Usage'!$C$114*(IF('Equipment List &amp; Usage'!$AA18&gt;0,'Weekly Summary'!AH$128,0)+IF('Equipment List &amp; Usage'!$AB18&gt;0,'Weekly Summary'!AH$100+'Weekly Summary'!AH$101,0)),'Equipment List &amp; Usage'!$C$115*(('Weekly Summary'!AH$128*'Equipment List &amp; Usage'!$AA18)+('Weekly Summary'!AH$100*'Equipment List &amp; Usage'!$AB18*SelfQuarantine_Mild)+('Weekly Summary'!AH$101*'Equipment List &amp; Usage'!$AB18*SelfQuarantine_Moderate)))+IF('Equipment List &amp; Usage'!$F18="Yes",('Equipment List &amp; Usage'!$C$114*(IF('Equipment List &amp; Usage'!$AE18&gt;0,'Weekly Summary'!AH$134,0)+IF('Equipment List &amp; Usage'!$AF18&gt;0,'Weekly Summary'!AH$135))),'Equipment List &amp; Usage'!$C$115*(('Weekly Summary'!AH$134*'Equipment List &amp; Usage'!$AE18)+('Weekly Summary'!AH$135*'Equipment List &amp; Usage'!$AF18)))),0)</f>
        <v>0</v>
      </c>
      <c r="AO16" s="1378">
        <f ca="1">MAX(IF($F16="Yes",(
IF($F16="yes",MMULT(--('Equipment List &amp; Usage'!$J18:$N18&gt;0),--('Weekly Summary'!AI$112:AI$116))*'Equipment List &amp; Usage'!$C$114,MMULT(--('Equipment List &amp; Usage'!$J18:$N18),--('Weekly Summary'!AI$112:AI$116))*'Equipment List &amp; Usage'!$C$115)+IF('Equipment List &amp; Usage'!$F17="yes",'Equipment List &amp; Usage'!$C$114,'Equipment List &amp; Usage'!$C$115)*(('Weekly Summary'!AI$66*'Equipment List &amp; Usage'!$Q18)+('Weekly Summary'!AI$64*'Equipment List &amp; Usage'!$O18)+('Weekly Summary'!AI$65*'Equipment List &amp; Usage'!$P18)))+(IF('Equipment List &amp; Usage'!$F18="Yes",'Equipment List &amp; Usage'!$C$114*((('Weekly Summary'!AI$131*SelfQuarantine_Mild)+('Weekly Summary'!AI$100*SelfQuarantine_Mild)+('Weekly Summary'!AI$101*SelfQuarantine_Moderate))),'Equipment List &amp; Usage'!$C$115)*((('Weekly Summary'!AI$131*SelfQuarantine_Mild*'Equipment List &amp; Usage'!$W18)+('Weekly Summary'!AI$100*SelfQuarantine_Mild*'Equipment List &amp; Usage'!$X18)+('Weekly Summary'!AI$101*SelfQuarantine_Moderate*'Equipment List &amp; Usage'!$X18)))+IF('Equipment List &amp; Usage'!$F18="Yes",'Equipment List &amp; Usage'!$C$114*(IF('Equipment List &amp; Usage'!$AA18&gt;0,'Weekly Summary'!AI$128,0)+IF('Equipment List &amp; Usage'!$AB18&gt;0,'Weekly Summary'!AI$100+'Weekly Summary'!AI$101,0)),'Equipment List &amp; Usage'!$C$115*(('Weekly Summary'!AI$128*'Equipment List &amp; Usage'!$AA18)+('Weekly Summary'!AI$100*'Equipment List &amp; Usage'!$AB18*SelfQuarantine_Mild)+('Weekly Summary'!AI$101*'Equipment List &amp; Usage'!$AB18*SelfQuarantine_Moderate)))+IF('Equipment List &amp; Usage'!$F18="Yes",('Equipment List &amp; Usage'!$C$114*(IF('Equipment List &amp; Usage'!$AE18&gt;0,'Weekly Summary'!AI$134,0)+IF('Equipment List &amp; Usage'!$AF18&gt;0,'Weekly Summary'!AI$135))),'Equipment List &amp; Usage'!$C$115*(('Weekly Summary'!AI$134*'Equipment List &amp; Usage'!$AE18)+('Weekly Summary'!AI$135*'Equipment List &amp; Usage'!$AF18))))-SUM($I16:AN16),
IF($F16="yes",MMULT(--('Equipment List &amp; Usage'!$J18:$N18&gt;0),--('Weekly Summary'!AI$112:AI$116))*'Equipment List &amp; Usage'!$C$114,MMULT(--('Equipment List &amp; Usage'!$J18:$N18),--('Weekly Summary'!AI$112:AI$116))*'Equipment List &amp; Usage'!$C$115)+IF('Equipment List &amp; Usage'!$F17="yes",'Equipment List &amp; Usage'!$C$114,'Equipment List &amp; Usage'!$C$115)*(('Weekly Summary'!AI$66*'Equipment List &amp; Usage'!$Q18)+('Weekly Summary'!AI$64*'Equipment List &amp; Usage'!$O18)+('Weekly Summary'!AI$65*'Equipment List &amp; Usage'!$P18))+(IF('Equipment List &amp; Usage'!$F18="Yes",'Equipment List &amp; Usage'!$C$114*((('Weekly Summary'!AI$131*SelfQuarantine_Mild)+('Weekly Summary'!AI$100*SelfQuarantine_Mild)+('Weekly Summary'!AI$101*SelfQuarantine_Moderate))),'Equipment List &amp; Usage'!$C$115)*((('Weekly Summary'!AI$131*SelfQuarantine_Mild*'Equipment List &amp; Usage'!$W18)+('Weekly Summary'!AI$100*SelfQuarantine_Mild*'Equipment List &amp; Usage'!$X18)+('Weekly Summary'!AI$101*SelfQuarantine_Moderate*'Equipment List &amp; Usage'!$X18))))+IF('Equipment List &amp; Usage'!$F18="Yes",'Equipment List &amp; Usage'!$C$114*(IF('Equipment List &amp; Usage'!$AA18&gt;0,'Weekly Summary'!AI$128,0)+IF('Equipment List &amp; Usage'!$AB18&gt;0,'Weekly Summary'!AI$100+'Weekly Summary'!AI$101,0)),'Equipment List &amp; Usage'!$C$115*(('Weekly Summary'!AI$128*'Equipment List &amp; Usage'!$AA18)+('Weekly Summary'!AI$100*'Equipment List &amp; Usage'!$AB18*SelfQuarantine_Mild)+('Weekly Summary'!AI$101*'Equipment List &amp; Usage'!$AB18*SelfQuarantine_Moderate)))+IF('Equipment List &amp; Usage'!$F18="Yes",('Equipment List &amp; Usage'!$C$114*(IF('Equipment List &amp; Usage'!$AE18&gt;0,'Weekly Summary'!AI$134,0)+IF('Equipment List &amp; Usage'!$AF18&gt;0,'Weekly Summary'!AI$135))),'Equipment List &amp; Usage'!$C$115*(('Weekly Summary'!AI$134*'Equipment List &amp; Usage'!$AE18)+('Weekly Summary'!AI$135*'Equipment List &amp; Usage'!$AF18)))),0)</f>
        <v>0</v>
      </c>
      <c r="AP16" s="1378">
        <f ca="1">MAX(IF($F16="Yes",(
IF($F16="yes",MMULT(--('Equipment List &amp; Usage'!$J18:$N18&gt;0),--('Weekly Summary'!AJ$112:AJ$116))*'Equipment List &amp; Usage'!$C$114,MMULT(--('Equipment List &amp; Usage'!$J18:$N18),--('Weekly Summary'!AJ$112:AJ$116))*'Equipment List &amp; Usage'!$C$115)+IF('Equipment List &amp; Usage'!$F17="yes",'Equipment List &amp; Usage'!$C$114,'Equipment List &amp; Usage'!$C$115)*(('Weekly Summary'!AJ$66*'Equipment List &amp; Usage'!$Q18)+('Weekly Summary'!AJ$64*'Equipment List &amp; Usage'!$O18)+('Weekly Summary'!AJ$65*'Equipment List &amp; Usage'!$P18)))+(IF('Equipment List &amp; Usage'!$F18="Yes",'Equipment List &amp; Usage'!$C$114*((('Weekly Summary'!AJ$131*SelfQuarantine_Mild)+('Weekly Summary'!AJ$100*SelfQuarantine_Mild)+('Weekly Summary'!AJ$101*SelfQuarantine_Moderate))),'Equipment List &amp; Usage'!$C$115)*((('Weekly Summary'!AJ$131*SelfQuarantine_Mild*'Equipment List &amp; Usage'!$W18)+('Weekly Summary'!AJ$100*SelfQuarantine_Mild*'Equipment List &amp; Usage'!$X18)+('Weekly Summary'!AJ$101*SelfQuarantine_Moderate*'Equipment List &amp; Usage'!$X18)))+IF('Equipment List &amp; Usage'!$F18="Yes",'Equipment List &amp; Usage'!$C$114*(IF('Equipment List &amp; Usage'!$AA18&gt;0,'Weekly Summary'!AJ$128,0)+IF('Equipment List &amp; Usage'!$AB18&gt;0,'Weekly Summary'!AJ$100+'Weekly Summary'!AJ$101,0)),'Equipment List &amp; Usage'!$C$115*(('Weekly Summary'!AJ$128*'Equipment List &amp; Usage'!$AA18)+('Weekly Summary'!AJ$100*'Equipment List &amp; Usage'!$AB18*SelfQuarantine_Mild)+('Weekly Summary'!AJ$101*'Equipment List &amp; Usage'!$AB18*SelfQuarantine_Moderate)))+IF('Equipment List &amp; Usage'!$F18="Yes",('Equipment List &amp; Usage'!$C$114*(IF('Equipment List &amp; Usage'!$AE18&gt;0,'Weekly Summary'!AJ$134,0)+IF('Equipment List &amp; Usage'!$AF18&gt;0,'Weekly Summary'!AJ$135))),'Equipment List &amp; Usage'!$C$115*(('Weekly Summary'!AJ$134*'Equipment List &amp; Usage'!$AE18)+('Weekly Summary'!AJ$135*'Equipment List &amp; Usage'!$AF18))))-SUM($I16:AO16),
IF($F16="yes",MMULT(--('Equipment List &amp; Usage'!$J18:$N18&gt;0),--('Weekly Summary'!AJ$112:AJ$116))*'Equipment List &amp; Usage'!$C$114,MMULT(--('Equipment List &amp; Usage'!$J18:$N18),--('Weekly Summary'!AJ$112:AJ$116))*'Equipment List &amp; Usage'!$C$115)+IF('Equipment List &amp; Usage'!$F17="yes",'Equipment List &amp; Usage'!$C$114,'Equipment List &amp; Usage'!$C$115)*(('Weekly Summary'!AJ$66*'Equipment List &amp; Usage'!$Q18)+('Weekly Summary'!AJ$64*'Equipment List &amp; Usage'!$O18)+('Weekly Summary'!AJ$65*'Equipment List &amp; Usage'!$P18))+(IF('Equipment List &amp; Usage'!$F18="Yes",'Equipment List &amp; Usage'!$C$114*((('Weekly Summary'!AJ$131*SelfQuarantine_Mild)+('Weekly Summary'!AJ$100*SelfQuarantine_Mild)+('Weekly Summary'!AJ$101*SelfQuarantine_Moderate))),'Equipment List &amp; Usage'!$C$115)*((('Weekly Summary'!AJ$131*SelfQuarantine_Mild*'Equipment List &amp; Usage'!$W18)+('Weekly Summary'!AJ$100*SelfQuarantine_Mild*'Equipment List &amp; Usage'!$X18)+('Weekly Summary'!AJ$101*SelfQuarantine_Moderate*'Equipment List &amp; Usage'!$X18))))+IF('Equipment List &amp; Usage'!$F18="Yes",'Equipment List &amp; Usage'!$C$114*(IF('Equipment List &amp; Usage'!$AA18&gt;0,'Weekly Summary'!AJ$128,0)+IF('Equipment List &amp; Usage'!$AB18&gt;0,'Weekly Summary'!AJ$100+'Weekly Summary'!AJ$101,0)),'Equipment List &amp; Usage'!$C$115*(('Weekly Summary'!AJ$128*'Equipment List &amp; Usage'!$AA18)+('Weekly Summary'!AJ$100*'Equipment List &amp; Usage'!$AB18*SelfQuarantine_Mild)+('Weekly Summary'!AJ$101*'Equipment List &amp; Usage'!$AB18*SelfQuarantine_Moderate)))+IF('Equipment List &amp; Usage'!$F18="Yes",('Equipment List &amp; Usage'!$C$114*(IF('Equipment List &amp; Usage'!$AE18&gt;0,'Weekly Summary'!AJ$134,0)+IF('Equipment List &amp; Usage'!$AF18&gt;0,'Weekly Summary'!AJ$135))),'Equipment List &amp; Usage'!$C$115*(('Weekly Summary'!AJ$134*'Equipment List &amp; Usage'!$AE18)+('Weekly Summary'!AJ$135*'Equipment List &amp; Usage'!$AF18)))),0)</f>
        <v>0</v>
      </c>
      <c r="AQ16" s="1378">
        <f ca="1">MAX(IF($F16="Yes",(
IF($F16="yes",MMULT(--('Equipment List &amp; Usage'!$J18:$N18&gt;0),--('Weekly Summary'!AK$112:AK$116))*'Equipment List &amp; Usage'!$C$114,MMULT(--('Equipment List &amp; Usage'!$J18:$N18),--('Weekly Summary'!AK$112:AK$116))*'Equipment List &amp; Usage'!$C$115)+IF('Equipment List &amp; Usage'!$F17="yes",'Equipment List &amp; Usage'!$C$114,'Equipment List &amp; Usage'!$C$115)*(('Weekly Summary'!AK$66*'Equipment List &amp; Usage'!$Q18)+('Weekly Summary'!AK$64*'Equipment List &amp; Usage'!$O18)+('Weekly Summary'!AK$65*'Equipment List &amp; Usage'!$P18)))+(IF('Equipment List &amp; Usage'!$F18="Yes",'Equipment List &amp; Usage'!$C$114*((('Weekly Summary'!AK$131*SelfQuarantine_Mild)+('Weekly Summary'!AK$100*SelfQuarantine_Mild)+('Weekly Summary'!AK$101*SelfQuarantine_Moderate))),'Equipment List &amp; Usage'!$C$115)*((('Weekly Summary'!AK$131*SelfQuarantine_Mild*'Equipment List &amp; Usage'!$W18)+('Weekly Summary'!AK$100*SelfQuarantine_Mild*'Equipment List &amp; Usage'!$X18)+('Weekly Summary'!AK$101*SelfQuarantine_Moderate*'Equipment List &amp; Usage'!$X18)))+IF('Equipment List &amp; Usage'!$F18="Yes",'Equipment List &amp; Usage'!$C$114*(IF('Equipment List &amp; Usage'!$AA18&gt;0,'Weekly Summary'!AK$128,0)+IF('Equipment List &amp; Usage'!$AB18&gt;0,'Weekly Summary'!AK$100+'Weekly Summary'!AK$101,0)),'Equipment List &amp; Usage'!$C$115*(('Weekly Summary'!AK$128*'Equipment List &amp; Usage'!$AA18)+('Weekly Summary'!AK$100*'Equipment List &amp; Usage'!$AB18*SelfQuarantine_Mild)+('Weekly Summary'!AK$101*'Equipment List &amp; Usage'!$AB18*SelfQuarantine_Moderate)))+IF('Equipment List &amp; Usage'!$F18="Yes",('Equipment List &amp; Usage'!$C$114*(IF('Equipment List &amp; Usage'!$AE18&gt;0,'Weekly Summary'!AK$134,0)+IF('Equipment List &amp; Usage'!$AF18&gt;0,'Weekly Summary'!AK$135))),'Equipment List &amp; Usage'!$C$115*(('Weekly Summary'!AK$134*'Equipment List &amp; Usage'!$AE18)+('Weekly Summary'!AK$135*'Equipment List &amp; Usage'!$AF18))))-SUM($I16:AP16),
IF($F16="yes",MMULT(--('Equipment List &amp; Usage'!$J18:$N18&gt;0),--('Weekly Summary'!AK$112:AK$116))*'Equipment List &amp; Usage'!$C$114,MMULT(--('Equipment List &amp; Usage'!$J18:$N18),--('Weekly Summary'!AK$112:AK$116))*'Equipment List &amp; Usage'!$C$115)+IF('Equipment List &amp; Usage'!$F17="yes",'Equipment List &amp; Usage'!$C$114,'Equipment List &amp; Usage'!$C$115)*(('Weekly Summary'!AK$66*'Equipment List &amp; Usage'!$Q18)+('Weekly Summary'!AK$64*'Equipment List &amp; Usage'!$O18)+('Weekly Summary'!AK$65*'Equipment List &amp; Usage'!$P18))+(IF('Equipment List &amp; Usage'!$F18="Yes",'Equipment List &amp; Usage'!$C$114*((('Weekly Summary'!AK$131*SelfQuarantine_Mild)+('Weekly Summary'!AK$100*SelfQuarantine_Mild)+('Weekly Summary'!AK$101*SelfQuarantine_Moderate))),'Equipment List &amp; Usage'!$C$115)*((('Weekly Summary'!AK$131*SelfQuarantine_Mild*'Equipment List &amp; Usage'!$W18)+('Weekly Summary'!AK$100*SelfQuarantine_Mild*'Equipment List &amp; Usage'!$X18)+('Weekly Summary'!AK$101*SelfQuarantine_Moderate*'Equipment List &amp; Usage'!$X18))))+IF('Equipment List &amp; Usage'!$F18="Yes",'Equipment List &amp; Usage'!$C$114*(IF('Equipment List &amp; Usage'!$AA18&gt;0,'Weekly Summary'!AK$128,0)+IF('Equipment List &amp; Usage'!$AB18&gt;0,'Weekly Summary'!AK$100+'Weekly Summary'!AK$101,0)),'Equipment List &amp; Usage'!$C$115*(('Weekly Summary'!AK$128*'Equipment List &amp; Usage'!$AA18)+('Weekly Summary'!AK$100*'Equipment List &amp; Usage'!$AB18*SelfQuarantine_Mild)+('Weekly Summary'!AK$101*'Equipment List &amp; Usage'!$AB18*SelfQuarantine_Moderate)))+IF('Equipment List &amp; Usage'!$F18="Yes",('Equipment List &amp; Usage'!$C$114*(IF('Equipment List &amp; Usage'!$AE18&gt;0,'Weekly Summary'!AK$134,0)+IF('Equipment List &amp; Usage'!$AF18&gt;0,'Weekly Summary'!AK$135))),'Equipment List &amp; Usage'!$C$115*(('Weekly Summary'!AK$134*'Equipment List &amp; Usage'!$AE18)+('Weekly Summary'!AK$135*'Equipment List &amp; Usage'!$AF18)))),0)</f>
        <v>0</v>
      </c>
      <c r="AR16" s="1378">
        <f ca="1">MAX(IF($F16="Yes",(
IF($F16="yes",MMULT(--('Equipment List &amp; Usage'!$J18:$N18&gt;0),--('Weekly Summary'!AL$112:AL$116))*'Equipment List &amp; Usage'!$C$114,MMULT(--('Equipment List &amp; Usage'!$J18:$N18),--('Weekly Summary'!AL$112:AL$116))*'Equipment List &amp; Usage'!$C$115)+IF('Equipment List &amp; Usage'!$F17="yes",'Equipment List &amp; Usage'!$C$114,'Equipment List &amp; Usage'!$C$115)*(('Weekly Summary'!AL$66*'Equipment List &amp; Usage'!$Q18)+('Weekly Summary'!AL$64*'Equipment List &amp; Usage'!$O18)+('Weekly Summary'!AL$65*'Equipment List &amp; Usage'!$P18)))+(IF('Equipment List &amp; Usage'!$F18="Yes",'Equipment List &amp; Usage'!$C$114*((('Weekly Summary'!AL$131*SelfQuarantine_Mild)+('Weekly Summary'!AL$100*SelfQuarantine_Mild)+('Weekly Summary'!AL$101*SelfQuarantine_Moderate))),'Equipment List &amp; Usage'!$C$115)*((('Weekly Summary'!AL$131*SelfQuarantine_Mild*'Equipment List &amp; Usage'!$W18)+('Weekly Summary'!AL$100*SelfQuarantine_Mild*'Equipment List &amp; Usage'!$X18)+('Weekly Summary'!AL$101*SelfQuarantine_Moderate*'Equipment List &amp; Usage'!$X18)))+IF('Equipment List &amp; Usage'!$F18="Yes",'Equipment List &amp; Usage'!$C$114*(IF('Equipment List &amp; Usage'!$AA18&gt;0,'Weekly Summary'!AL$128,0)+IF('Equipment List &amp; Usage'!$AB18&gt;0,'Weekly Summary'!AL$100+'Weekly Summary'!AL$101,0)),'Equipment List &amp; Usage'!$C$115*(('Weekly Summary'!AL$128*'Equipment List &amp; Usage'!$AA18)+('Weekly Summary'!AL$100*'Equipment List &amp; Usage'!$AB18*SelfQuarantine_Mild)+('Weekly Summary'!AL$101*'Equipment List &amp; Usage'!$AB18*SelfQuarantine_Moderate)))+IF('Equipment List &amp; Usage'!$F18="Yes",('Equipment List &amp; Usage'!$C$114*(IF('Equipment List &amp; Usage'!$AE18&gt;0,'Weekly Summary'!AL$134,0)+IF('Equipment List &amp; Usage'!$AF18&gt;0,'Weekly Summary'!AL$135))),'Equipment List &amp; Usage'!$C$115*(('Weekly Summary'!AL$134*'Equipment List &amp; Usage'!$AE18)+('Weekly Summary'!AL$135*'Equipment List &amp; Usage'!$AF18))))-SUM($I16:AQ16),
IF($F16="yes",MMULT(--('Equipment List &amp; Usage'!$J18:$N18&gt;0),--('Weekly Summary'!AL$112:AL$116))*'Equipment List &amp; Usage'!$C$114,MMULT(--('Equipment List &amp; Usage'!$J18:$N18),--('Weekly Summary'!AL$112:AL$116))*'Equipment List &amp; Usage'!$C$115)+IF('Equipment List &amp; Usage'!$F17="yes",'Equipment List &amp; Usage'!$C$114,'Equipment List &amp; Usage'!$C$115)*(('Weekly Summary'!AL$66*'Equipment List &amp; Usage'!$Q18)+('Weekly Summary'!AL$64*'Equipment List &amp; Usage'!$O18)+('Weekly Summary'!AL$65*'Equipment List &amp; Usage'!$P18))+(IF('Equipment List &amp; Usage'!$F18="Yes",'Equipment List &amp; Usage'!$C$114*((('Weekly Summary'!AL$131*SelfQuarantine_Mild)+('Weekly Summary'!AL$100*SelfQuarantine_Mild)+('Weekly Summary'!AL$101*SelfQuarantine_Moderate))),'Equipment List &amp; Usage'!$C$115)*((('Weekly Summary'!AL$131*SelfQuarantine_Mild*'Equipment List &amp; Usage'!$W18)+('Weekly Summary'!AL$100*SelfQuarantine_Mild*'Equipment List &amp; Usage'!$X18)+('Weekly Summary'!AL$101*SelfQuarantine_Moderate*'Equipment List &amp; Usage'!$X18))))+IF('Equipment List &amp; Usage'!$F18="Yes",'Equipment List &amp; Usage'!$C$114*(IF('Equipment List &amp; Usage'!$AA18&gt;0,'Weekly Summary'!AL$128,0)+IF('Equipment List &amp; Usage'!$AB18&gt;0,'Weekly Summary'!AL$100+'Weekly Summary'!AL$101,0)),'Equipment List &amp; Usage'!$C$115*(('Weekly Summary'!AL$128*'Equipment List &amp; Usage'!$AA18)+('Weekly Summary'!AL$100*'Equipment List &amp; Usage'!$AB18*SelfQuarantine_Mild)+('Weekly Summary'!AL$101*'Equipment List &amp; Usage'!$AB18*SelfQuarantine_Moderate)))+IF('Equipment List &amp; Usage'!$F18="Yes",('Equipment List &amp; Usage'!$C$114*(IF('Equipment List &amp; Usage'!$AE18&gt;0,'Weekly Summary'!AL$134,0)+IF('Equipment List &amp; Usage'!$AF18&gt;0,'Weekly Summary'!AL$135))),'Equipment List &amp; Usage'!$C$115*(('Weekly Summary'!AL$134*'Equipment List &amp; Usage'!$AE18)+('Weekly Summary'!AL$135*'Equipment List &amp; Usage'!$AF18)))),0)</f>
        <v>0</v>
      </c>
      <c r="AS16" s="1378">
        <f ca="1">MAX(IF($F16="Yes",(
IF($F16="yes",MMULT(--('Equipment List &amp; Usage'!$J18:$N18&gt;0),--('Weekly Summary'!AM$112:AM$116))*'Equipment List &amp; Usage'!$C$114,MMULT(--('Equipment List &amp; Usage'!$J18:$N18),--('Weekly Summary'!AM$112:AM$116))*'Equipment List &amp; Usage'!$C$115)+IF('Equipment List &amp; Usage'!$F17="yes",'Equipment List &amp; Usage'!$C$114,'Equipment List &amp; Usage'!$C$115)*(('Weekly Summary'!AM$66*'Equipment List &amp; Usage'!$Q18)+('Weekly Summary'!AM$64*'Equipment List &amp; Usage'!$O18)+('Weekly Summary'!AM$65*'Equipment List &amp; Usage'!$P18)))+(IF('Equipment List &amp; Usage'!$F18="Yes",'Equipment List &amp; Usage'!$C$114*((('Weekly Summary'!AM$131*SelfQuarantine_Mild)+('Weekly Summary'!AM$100*SelfQuarantine_Mild)+('Weekly Summary'!AM$101*SelfQuarantine_Moderate))),'Equipment List &amp; Usage'!$C$115)*((('Weekly Summary'!AM$131*SelfQuarantine_Mild*'Equipment List &amp; Usage'!$W18)+('Weekly Summary'!AM$100*SelfQuarantine_Mild*'Equipment List &amp; Usage'!$X18)+('Weekly Summary'!AM$101*SelfQuarantine_Moderate*'Equipment List &amp; Usage'!$X18)))+IF('Equipment List &amp; Usage'!$F18="Yes",'Equipment List &amp; Usage'!$C$114*(IF('Equipment List &amp; Usage'!$AA18&gt;0,'Weekly Summary'!AM$128,0)+IF('Equipment List &amp; Usage'!$AB18&gt;0,'Weekly Summary'!AM$100+'Weekly Summary'!AM$101,0)),'Equipment List &amp; Usage'!$C$115*(('Weekly Summary'!AM$128*'Equipment List &amp; Usage'!$AA18)+('Weekly Summary'!AM$100*'Equipment List &amp; Usage'!$AB18*SelfQuarantine_Mild)+('Weekly Summary'!AM$101*'Equipment List &amp; Usage'!$AB18*SelfQuarantine_Moderate)))+IF('Equipment List &amp; Usage'!$F18="Yes",('Equipment List &amp; Usage'!$C$114*(IF('Equipment List &amp; Usage'!$AE18&gt;0,'Weekly Summary'!AM$134,0)+IF('Equipment List &amp; Usage'!$AF18&gt;0,'Weekly Summary'!AM$135))),'Equipment List &amp; Usage'!$C$115*(('Weekly Summary'!AM$134*'Equipment List &amp; Usage'!$AE18)+('Weekly Summary'!AM$135*'Equipment List &amp; Usage'!$AF18))))-SUM($I16:AR16),
IF($F16="yes",MMULT(--('Equipment List &amp; Usage'!$J18:$N18&gt;0),--('Weekly Summary'!AM$112:AM$116))*'Equipment List &amp; Usage'!$C$114,MMULT(--('Equipment List &amp; Usage'!$J18:$N18),--('Weekly Summary'!AM$112:AM$116))*'Equipment List &amp; Usage'!$C$115)+IF('Equipment List &amp; Usage'!$F17="yes",'Equipment List &amp; Usage'!$C$114,'Equipment List &amp; Usage'!$C$115)*(('Weekly Summary'!AM$66*'Equipment List &amp; Usage'!$Q18)+('Weekly Summary'!AM$64*'Equipment List &amp; Usage'!$O18)+('Weekly Summary'!AM$65*'Equipment List &amp; Usage'!$P18))+(IF('Equipment List &amp; Usage'!$F18="Yes",'Equipment List &amp; Usage'!$C$114*((('Weekly Summary'!AM$131*SelfQuarantine_Mild)+('Weekly Summary'!AM$100*SelfQuarantine_Mild)+('Weekly Summary'!AM$101*SelfQuarantine_Moderate))),'Equipment List &amp; Usage'!$C$115)*((('Weekly Summary'!AM$131*SelfQuarantine_Mild*'Equipment List &amp; Usage'!$W18)+('Weekly Summary'!AM$100*SelfQuarantine_Mild*'Equipment List &amp; Usage'!$X18)+('Weekly Summary'!AM$101*SelfQuarantine_Moderate*'Equipment List &amp; Usage'!$X18))))+IF('Equipment List &amp; Usage'!$F18="Yes",'Equipment List &amp; Usage'!$C$114*(IF('Equipment List &amp; Usage'!$AA18&gt;0,'Weekly Summary'!AM$128,0)+IF('Equipment List &amp; Usage'!$AB18&gt;0,'Weekly Summary'!AM$100+'Weekly Summary'!AM$101,0)),'Equipment List &amp; Usage'!$C$115*(('Weekly Summary'!AM$128*'Equipment List &amp; Usage'!$AA18)+('Weekly Summary'!AM$100*'Equipment List &amp; Usage'!$AB18*SelfQuarantine_Mild)+('Weekly Summary'!AM$101*'Equipment List &amp; Usage'!$AB18*SelfQuarantine_Moderate)))+IF('Equipment List &amp; Usage'!$F18="Yes",('Equipment List &amp; Usage'!$C$114*(IF('Equipment List &amp; Usage'!$AE18&gt;0,'Weekly Summary'!AM$134,0)+IF('Equipment List &amp; Usage'!$AF18&gt;0,'Weekly Summary'!AM$135))),'Equipment List &amp; Usage'!$C$115*(('Weekly Summary'!AM$134*'Equipment List &amp; Usage'!$AE18)+('Weekly Summary'!AM$135*'Equipment List &amp; Usage'!$AF18)))),0)</f>
        <v>0</v>
      </c>
      <c r="AT16" s="1378">
        <f ca="1">MAX(IF($F16="Yes",(
IF($F16="yes",MMULT(--('Equipment List &amp; Usage'!$J18:$N18&gt;0),--('Weekly Summary'!AN$112:AN$116))*'Equipment List &amp; Usage'!$C$114,MMULT(--('Equipment List &amp; Usage'!$J18:$N18),--('Weekly Summary'!AN$112:AN$116))*'Equipment List &amp; Usage'!$C$115)+IF('Equipment List &amp; Usage'!$F17="yes",'Equipment List &amp; Usage'!$C$114,'Equipment List &amp; Usage'!$C$115)*(('Weekly Summary'!AN$66*'Equipment List &amp; Usage'!$Q18)+('Weekly Summary'!AN$64*'Equipment List &amp; Usage'!$O18)+('Weekly Summary'!AN$65*'Equipment List &amp; Usage'!$P18)))+(IF('Equipment List &amp; Usage'!$F18="Yes",'Equipment List &amp; Usage'!$C$114*((('Weekly Summary'!AN$131*SelfQuarantine_Mild)+('Weekly Summary'!AN$100*SelfQuarantine_Mild)+('Weekly Summary'!AN$101*SelfQuarantine_Moderate))),'Equipment List &amp; Usage'!$C$115)*((('Weekly Summary'!AN$131*SelfQuarantine_Mild*'Equipment List &amp; Usage'!$W18)+('Weekly Summary'!AN$100*SelfQuarantine_Mild*'Equipment List &amp; Usage'!$X18)+('Weekly Summary'!AN$101*SelfQuarantine_Moderate*'Equipment List &amp; Usage'!$X18)))+IF('Equipment List &amp; Usage'!$F18="Yes",'Equipment List &amp; Usage'!$C$114*(IF('Equipment List &amp; Usage'!$AA18&gt;0,'Weekly Summary'!AN$128,0)+IF('Equipment List &amp; Usage'!$AB18&gt;0,'Weekly Summary'!AN$100+'Weekly Summary'!AN$101,0)),'Equipment List &amp; Usage'!$C$115*(('Weekly Summary'!AN$128*'Equipment List &amp; Usage'!$AA18)+('Weekly Summary'!AN$100*'Equipment List &amp; Usage'!$AB18*SelfQuarantine_Mild)+('Weekly Summary'!AN$101*'Equipment List &amp; Usage'!$AB18*SelfQuarantine_Moderate)))+IF('Equipment List &amp; Usage'!$F18="Yes",('Equipment List &amp; Usage'!$C$114*(IF('Equipment List &amp; Usage'!$AE18&gt;0,'Weekly Summary'!AN$134,0)+IF('Equipment List &amp; Usage'!$AF18&gt;0,'Weekly Summary'!AN$135))),'Equipment List &amp; Usage'!$C$115*(('Weekly Summary'!AN$134*'Equipment List &amp; Usage'!$AE18)+('Weekly Summary'!AN$135*'Equipment List &amp; Usage'!$AF18))))-SUM($I16:AS16),
IF($F16="yes",MMULT(--('Equipment List &amp; Usage'!$J18:$N18&gt;0),--('Weekly Summary'!AN$112:AN$116))*'Equipment List &amp; Usage'!$C$114,MMULT(--('Equipment List &amp; Usage'!$J18:$N18),--('Weekly Summary'!AN$112:AN$116))*'Equipment List &amp; Usage'!$C$115)+IF('Equipment List &amp; Usage'!$F17="yes",'Equipment List &amp; Usage'!$C$114,'Equipment List &amp; Usage'!$C$115)*(('Weekly Summary'!AN$66*'Equipment List &amp; Usage'!$Q18)+('Weekly Summary'!AN$64*'Equipment List &amp; Usage'!$O18)+('Weekly Summary'!AN$65*'Equipment List &amp; Usage'!$P18))+(IF('Equipment List &amp; Usage'!$F18="Yes",'Equipment List &amp; Usage'!$C$114*((('Weekly Summary'!AN$131*SelfQuarantine_Mild)+('Weekly Summary'!AN$100*SelfQuarantine_Mild)+('Weekly Summary'!AN$101*SelfQuarantine_Moderate))),'Equipment List &amp; Usage'!$C$115)*((('Weekly Summary'!AN$131*SelfQuarantine_Mild*'Equipment List &amp; Usage'!$W18)+('Weekly Summary'!AN$100*SelfQuarantine_Mild*'Equipment List &amp; Usage'!$X18)+('Weekly Summary'!AN$101*SelfQuarantine_Moderate*'Equipment List &amp; Usage'!$X18))))+IF('Equipment List &amp; Usage'!$F18="Yes",'Equipment List &amp; Usage'!$C$114*(IF('Equipment List &amp; Usage'!$AA18&gt;0,'Weekly Summary'!AN$128,0)+IF('Equipment List &amp; Usage'!$AB18&gt;0,'Weekly Summary'!AN$100+'Weekly Summary'!AN$101,0)),'Equipment List &amp; Usage'!$C$115*(('Weekly Summary'!AN$128*'Equipment List &amp; Usage'!$AA18)+('Weekly Summary'!AN$100*'Equipment List &amp; Usage'!$AB18*SelfQuarantine_Mild)+('Weekly Summary'!AN$101*'Equipment List &amp; Usage'!$AB18*SelfQuarantine_Moderate)))+IF('Equipment List &amp; Usage'!$F18="Yes",('Equipment List &amp; Usage'!$C$114*(IF('Equipment List &amp; Usage'!$AE18&gt;0,'Weekly Summary'!AN$134,0)+IF('Equipment List &amp; Usage'!$AF18&gt;0,'Weekly Summary'!AN$135))),'Equipment List &amp; Usage'!$C$115*(('Weekly Summary'!AN$134*'Equipment List &amp; Usage'!$AE18)+('Weekly Summary'!AN$135*'Equipment List &amp; Usage'!$AF18)))),0)</f>
        <v>0</v>
      </c>
      <c r="AU16" s="1378">
        <f ca="1">MAX(IF($F16="Yes",(
IF($F16="yes",MMULT(--('Equipment List &amp; Usage'!$J18:$N18&gt;0),--('Weekly Summary'!AO$112:AO$116))*'Equipment List &amp; Usage'!$C$114,MMULT(--('Equipment List &amp; Usage'!$J18:$N18),--('Weekly Summary'!AO$112:AO$116))*'Equipment List &amp; Usage'!$C$115)+IF('Equipment List &amp; Usage'!$F17="yes",'Equipment List &amp; Usage'!$C$114,'Equipment List &amp; Usage'!$C$115)*(('Weekly Summary'!AO$66*'Equipment List &amp; Usage'!$Q18)+('Weekly Summary'!AO$64*'Equipment List &amp; Usage'!$O18)+('Weekly Summary'!AO$65*'Equipment List &amp; Usage'!$P18)))+(IF('Equipment List &amp; Usage'!$F18="Yes",'Equipment List &amp; Usage'!$C$114*((('Weekly Summary'!AO$131*SelfQuarantine_Mild)+('Weekly Summary'!AO$100*SelfQuarantine_Mild)+('Weekly Summary'!AO$101*SelfQuarantine_Moderate))),'Equipment List &amp; Usage'!$C$115)*((('Weekly Summary'!AO$131*SelfQuarantine_Mild*'Equipment List &amp; Usage'!$W18)+('Weekly Summary'!AO$100*SelfQuarantine_Mild*'Equipment List &amp; Usage'!$X18)+('Weekly Summary'!AO$101*SelfQuarantine_Moderate*'Equipment List &amp; Usage'!$X18)))+IF('Equipment List &amp; Usage'!$F18="Yes",'Equipment List &amp; Usage'!$C$114*(IF('Equipment List &amp; Usage'!$AA18&gt;0,'Weekly Summary'!AO$128,0)+IF('Equipment List &amp; Usage'!$AB18&gt;0,'Weekly Summary'!AO$100+'Weekly Summary'!AO$101,0)),'Equipment List &amp; Usage'!$C$115*(('Weekly Summary'!AO$128*'Equipment List &amp; Usage'!$AA18)+('Weekly Summary'!AO$100*'Equipment List &amp; Usage'!$AB18*SelfQuarantine_Mild)+('Weekly Summary'!AO$101*'Equipment List &amp; Usage'!$AB18*SelfQuarantine_Moderate)))+IF('Equipment List &amp; Usage'!$F18="Yes",('Equipment List &amp; Usage'!$C$114*(IF('Equipment List &amp; Usage'!$AE18&gt;0,'Weekly Summary'!AO$134,0)+IF('Equipment List &amp; Usage'!$AF18&gt;0,'Weekly Summary'!AO$135))),'Equipment List &amp; Usage'!$C$115*(('Weekly Summary'!AO$134*'Equipment List &amp; Usage'!$AE18)+('Weekly Summary'!AO$135*'Equipment List &amp; Usage'!$AF18))))-SUM($I16:AT16),
IF($F16="yes",MMULT(--('Equipment List &amp; Usage'!$J18:$N18&gt;0),--('Weekly Summary'!AO$112:AO$116))*'Equipment List &amp; Usage'!$C$114,MMULT(--('Equipment List &amp; Usage'!$J18:$N18),--('Weekly Summary'!AO$112:AO$116))*'Equipment List &amp; Usage'!$C$115)+IF('Equipment List &amp; Usage'!$F17="yes",'Equipment List &amp; Usage'!$C$114,'Equipment List &amp; Usage'!$C$115)*(('Weekly Summary'!AO$66*'Equipment List &amp; Usage'!$Q18)+('Weekly Summary'!AO$64*'Equipment List &amp; Usage'!$O18)+('Weekly Summary'!AO$65*'Equipment List &amp; Usage'!$P18))+(IF('Equipment List &amp; Usage'!$F18="Yes",'Equipment List &amp; Usage'!$C$114*((('Weekly Summary'!AO$131*SelfQuarantine_Mild)+('Weekly Summary'!AO$100*SelfQuarantine_Mild)+('Weekly Summary'!AO$101*SelfQuarantine_Moderate))),'Equipment List &amp; Usage'!$C$115)*((('Weekly Summary'!AO$131*SelfQuarantine_Mild*'Equipment List &amp; Usage'!$W18)+('Weekly Summary'!AO$100*SelfQuarantine_Mild*'Equipment List &amp; Usage'!$X18)+('Weekly Summary'!AO$101*SelfQuarantine_Moderate*'Equipment List &amp; Usage'!$X18))))+IF('Equipment List &amp; Usage'!$F18="Yes",'Equipment List &amp; Usage'!$C$114*(IF('Equipment List &amp; Usage'!$AA18&gt;0,'Weekly Summary'!AO$128,0)+IF('Equipment List &amp; Usage'!$AB18&gt;0,'Weekly Summary'!AO$100+'Weekly Summary'!AO$101,0)),'Equipment List &amp; Usage'!$C$115*(('Weekly Summary'!AO$128*'Equipment List &amp; Usage'!$AA18)+('Weekly Summary'!AO$100*'Equipment List &amp; Usage'!$AB18*SelfQuarantine_Mild)+('Weekly Summary'!AO$101*'Equipment List &amp; Usage'!$AB18*SelfQuarantine_Moderate)))+IF('Equipment List &amp; Usage'!$F18="Yes",('Equipment List &amp; Usage'!$C$114*(IF('Equipment List &amp; Usage'!$AE18&gt;0,'Weekly Summary'!AO$134,0)+IF('Equipment List &amp; Usage'!$AF18&gt;0,'Weekly Summary'!AO$135))),'Equipment List &amp; Usage'!$C$115*(('Weekly Summary'!AO$134*'Equipment List &amp; Usage'!$AE18)+('Weekly Summary'!AO$135*'Equipment List &amp; Usage'!$AF18)))),0)</f>
        <v>0</v>
      </c>
      <c r="AV16" s="1378">
        <f ca="1">MAX(IF($F16="Yes",(
IF($F16="yes",MMULT(--('Equipment List &amp; Usage'!$J18:$N18&gt;0),--('Weekly Summary'!AP$112:AP$116))*'Equipment List &amp; Usage'!$C$114,MMULT(--('Equipment List &amp; Usage'!$J18:$N18),--('Weekly Summary'!AP$112:AP$116))*'Equipment List &amp; Usage'!$C$115)+IF('Equipment List &amp; Usage'!$F17="yes",'Equipment List &amp; Usage'!$C$114,'Equipment List &amp; Usage'!$C$115)*(('Weekly Summary'!AP$66*'Equipment List &amp; Usage'!$Q18)+('Weekly Summary'!AP$64*'Equipment List &amp; Usage'!$O18)+('Weekly Summary'!AP$65*'Equipment List &amp; Usage'!$P18)))+(IF('Equipment List &amp; Usage'!$F18="Yes",'Equipment List &amp; Usage'!$C$114*((('Weekly Summary'!AP$131*SelfQuarantine_Mild)+('Weekly Summary'!AP$100*SelfQuarantine_Mild)+('Weekly Summary'!AP$101*SelfQuarantine_Moderate))),'Equipment List &amp; Usage'!$C$115)*((('Weekly Summary'!AP$131*SelfQuarantine_Mild*'Equipment List &amp; Usage'!$W18)+('Weekly Summary'!AP$100*SelfQuarantine_Mild*'Equipment List &amp; Usage'!$X18)+('Weekly Summary'!AP$101*SelfQuarantine_Moderate*'Equipment List &amp; Usage'!$X18)))+IF('Equipment List &amp; Usage'!$F18="Yes",'Equipment List &amp; Usage'!$C$114*(IF('Equipment List &amp; Usage'!$AA18&gt;0,'Weekly Summary'!AP$128,0)+IF('Equipment List &amp; Usage'!$AB18&gt;0,'Weekly Summary'!AP$100+'Weekly Summary'!AP$101,0)),'Equipment List &amp; Usage'!$C$115*(('Weekly Summary'!AP$128*'Equipment List &amp; Usage'!$AA18)+('Weekly Summary'!AP$100*'Equipment List &amp; Usage'!$AB18*SelfQuarantine_Mild)+('Weekly Summary'!AP$101*'Equipment List &amp; Usage'!$AB18*SelfQuarantine_Moderate)))+IF('Equipment List &amp; Usage'!$F18="Yes",('Equipment List &amp; Usage'!$C$114*(IF('Equipment List &amp; Usage'!$AE18&gt;0,'Weekly Summary'!AP$134,0)+IF('Equipment List &amp; Usage'!$AF18&gt;0,'Weekly Summary'!AP$135))),'Equipment List &amp; Usage'!$C$115*(('Weekly Summary'!AP$134*'Equipment List &amp; Usage'!$AE18)+('Weekly Summary'!AP$135*'Equipment List &amp; Usage'!$AF18))))-SUM($I16:AU16),
IF($F16="yes",MMULT(--('Equipment List &amp; Usage'!$J18:$N18&gt;0),--('Weekly Summary'!AP$112:AP$116))*'Equipment List &amp; Usage'!$C$114,MMULT(--('Equipment List &amp; Usage'!$J18:$N18),--('Weekly Summary'!AP$112:AP$116))*'Equipment List &amp; Usage'!$C$115)+IF('Equipment List &amp; Usage'!$F17="yes",'Equipment List &amp; Usage'!$C$114,'Equipment List &amp; Usage'!$C$115)*(('Weekly Summary'!AP$66*'Equipment List &amp; Usage'!$Q18)+('Weekly Summary'!AP$64*'Equipment List &amp; Usage'!$O18)+('Weekly Summary'!AP$65*'Equipment List &amp; Usage'!$P18))+(IF('Equipment List &amp; Usage'!$F18="Yes",'Equipment List &amp; Usage'!$C$114*((('Weekly Summary'!AP$131*SelfQuarantine_Mild)+('Weekly Summary'!AP$100*SelfQuarantine_Mild)+('Weekly Summary'!AP$101*SelfQuarantine_Moderate))),'Equipment List &amp; Usage'!$C$115)*((('Weekly Summary'!AP$131*SelfQuarantine_Mild*'Equipment List &amp; Usage'!$W18)+('Weekly Summary'!AP$100*SelfQuarantine_Mild*'Equipment List &amp; Usage'!$X18)+('Weekly Summary'!AP$101*SelfQuarantine_Moderate*'Equipment List &amp; Usage'!$X18))))+IF('Equipment List &amp; Usage'!$F18="Yes",'Equipment List &amp; Usage'!$C$114*(IF('Equipment List &amp; Usage'!$AA18&gt;0,'Weekly Summary'!AP$128,0)+IF('Equipment List &amp; Usage'!$AB18&gt;0,'Weekly Summary'!AP$100+'Weekly Summary'!AP$101,0)),'Equipment List &amp; Usage'!$C$115*(('Weekly Summary'!AP$128*'Equipment List &amp; Usage'!$AA18)+('Weekly Summary'!AP$100*'Equipment List &amp; Usage'!$AB18*SelfQuarantine_Mild)+('Weekly Summary'!AP$101*'Equipment List &amp; Usage'!$AB18*SelfQuarantine_Moderate)))+IF('Equipment List &amp; Usage'!$F18="Yes",('Equipment List &amp; Usage'!$C$114*(IF('Equipment List &amp; Usage'!$AE18&gt;0,'Weekly Summary'!AP$134,0)+IF('Equipment List &amp; Usage'!$AF18&gt;0,'Weekly Summary'!AP$135))),'Equipment List &amp; Usage'!$C$115*(('Weekly Summary'!AP$134*'Equipment List &amp; Usage'!$AE18)+('Weekly Summary'!AP$135*'Equipment List &amp; Usage'!$AF18)))),0)</f>
        <v>0</v>
      </c>
      <c r="AW16" s="1378">
        <f ca="1">MAX(IF($F16="Yes",(
IF($F16="yes",MMULT(--('Equipment List &amp; Usage'!$J18:$N18&gt;0),--('Weekly Summary'!AQ$112:AQ$116))*'Equipment List &amp; Usage'!$C$114,MMULT(--('Equipment List &amp; Usage'!$J18:$N18),--('Weekly Summary'!AQ$112:AQ$116))*'Equipment List &amp; Usage'!$C$115)+IF('Equipment List &amp; Usage'!$F17="yes",'Equipment List &amp; Usage'!$C$114,'Equipment List &amp; Usage'!$C$115)*(('Weekly Summary'!AQ$66*'Equipment List &amp; Usage'!$Q18)+('Weekly Summary'!AQ$64*'Equipment List &amp; Usage'!$O18)+('Weekly Summary'!AQ$65*'Equipment List &amp; Usage'!$P18)))+(IF('Equipment List &amp; Usage'!$F18="Yes",'Equipment List &amp; Usage'!$C$114*((('Weekly Summary'!AQ$131*SelfQuarantine_Mild)+('Weekly Summary'!AQ$100*SelfQuarantine_Mild)+('Weekly Summary'!AQ$101*SelfQuarantine_Moderate))),'Equipment List &amp; Usage'!$C$115)*((('Weekly Summary'!AQ$131*SelfQuarantine_Mild*'Equipment List &amp; Usage'!$W18)+('Weekly Summary'!AQ$100*SelfQuarantine_Mild*'Equipment List &amp; Usage'!$X18)+('Weekly Summary'!AQ$101*SelfQuarantine_Moderate*'Equipment List &amp; Usage'!$X18)))+IF('Equipment List &amp; Usage'!$F18="Yes",'Equipment List &amp; Usage'!$C$114*(IF('Equipment List &amp; Usage'!$AA18&gt;0,'Weekly Summary'!AQ$128,0)+IF('Equipment List &amp; Usage'!$AB18&gt;0,'Weekly Summary'!AQ$100+'Weekly Summary'!AQ$101,0)),'Equipment List &amp; Usage'!$C$115*(('Weekly Summary'!AQ$128*'Equipment List &amp; Usage'!$AA18)+('Weekly Summary'!AQ$100*'Equipment List &amp; Usage'!$AB18*SelfQuarantine_Mild)+('Weekly Summary'!AQ$101*'Equipment List &amp; Usage'!$AB18*SelfQuarantine_Moderate)))+IF('Equipment List &amp; Usage'!$F18="Yes",('Equipment List &amp; Usage'!$C$114*(IF('Equipment List &amp; Usage'!$AE18&gt;0,'Weekly Summary'!AQ$134,0)+IF('Equipment List &amp; Usage'!$AF18&gt;0,'Weekly Summary'!AQ$135))),'Equipment List &amp; Usage'!$C$115*(('Weekly Summary'!AQ$134*'Equipment List &amp; Usage'!$AE18)+('Weekly Summary'!AQ$135*'Equipment List &amp; Usage'!$AF18))))-SUM($I16:AV16),
IF($F16="yes",MMULT(--('Equipment List &amp; Usage'!$J18:$N18&gt;0),--('Weekly Summary'!AQ$112:AQ$116))*'Equipment List &amp; Usage'!$C$114,MMULT(--('Equipment List &amp; Usage'!$J18:$N18),--('Weekly Summary'!AQ$112:AQ$116))*'Equipment List &amp; Usage'!$C$115)+IF('Equipment List &amp; Usage'!$F17="yes",'Equipment List &amp; Usage'!$C$114,'Equipment List &amp; Usage'!$C$115)*(('Weekly Summary'!AQ$66*'Equipment List &amp; Usage'!$Q18)+('Weekly Summary'!AQ$64*'Equipment List &amp; Usage'!$O18)+('Weekly Summary'!AQ$65*'Equipment List &amp; Usage'!$P18))+(IF('Equipment List &amp; Usage'!$F18="Yes",'Equipment List &amp; Usage'!$C$114*((('Weekly Summary'!AQ$131*SelfQuarantine_Mild)+('Weekly Summary'!AQ$100*SelfQuarantine_Mild)+('Weekly Summary'!AQ$101*SelfQuarantine_Moderate))),'Equipment List &amp; Usage'!$C$115)*((('Weekly Summary'!AQ$131*SelfQuarantine_Mild*'Equipment List &amp; Usage'!$W18)+('Weekly Summary'!AQ$100*SelfQuarantine_Mild*'Equipment List &amp; Usage'!$X18)+('Weekly Summary'!AQ$101*SelfQuarantine_Moderate*'Equipment List &amp; Usage'!$X18))))+IF('Equipment List &amp; Usage'!$F18="Yes",'Equipment List &amp; Usage'!$C$114*(IF('Equipment List &amp; Usage'!$AA18&gt;0,'Weekly Summary'!AQ$128,0)+IF('Equipment List &amp; Usage'!$AB18&gt;0,'Weekly Summary'!AQ$100+'Weekly Summary'!AQ$101,0)),'Equipment List &amp; Usage'!$C$115*(('Weekly Summary'!AQ$128*'Equipment List &amp; Usage'!$AA18)+('Weekly Summary'!AQ$100*'Equipment List &amp; Usage'!$AB18*SelfQuarantine_Mild)+('Weekly Summary'!AQ$101*'Equipment List &amp; Usage'!$AB18*SelfQuarantine_Moderate)))+IF('Equipment List &amp; Usage'!$F18="Yes",('Equipment List &amp; Usage'!$C$114*(IF('Equipment List &amp; Usage'!$AE18&gt;0,'Weekly Summary'!AQ$134,0)+IF('Equipment List &amp; Usage'!$AF18&gt;0,'Weekly Summary'!AQ$135))),'Equipment List &amp; Usage'!$C$115*(('Weekly Summary'!AQ$134*'Equipment List &amp; Usage'!$AE18)+('Weekly Summary'!AQ$135*'Equipment List &amp; Usage'!$AF18)))),0)</f>
        <v>0</v>
      </c>
      <c r="AX16" s="1378">
        <f ca="1">MAX(IF($F16="Yes",(
IF($F16="yes",MMULT(--('Equipment List &amp; Usage'!$J18:$N18&gt;0),--('Weekly Summary'!AR$112:AR$116))*'Equipment List &amp; Usage'!$C$114,MMULT(--('Equipment List &amp; Usage'!$J18:$N18),--('Weekly Summary'!AR$112:AR$116))*'Equipment List &amp; Usage'!$C$115)+IF('Equipment List &amp; Usage'!$F17="yes",'Equipment List &amp; Usage'!$C$114,'Equipment List &amp; Usage'!$C$115)*(('Weekly Summary'!AR$66*'Equipment List &amp; Usage'!$Q18)+('Weekly Summary'!AR$64*'Equipment List &amp; Usage'!$O18)+('Weekly Summary'!AR$65*'Equipment List &amp; Usage'!$P18)))+(IF('Equipment List &amp; Usage'!$F18="Yes",'Equipment List &amp; Usage'!$C$114*((('Weekly Summary'!AR$131*SelfQuarantine_Mild)+('Weekly Summary'!AR$100*SelfQuarantine_Mild)+('Weekly Summary'!AR$101*SelfQuarantine_Moderate))),'Equipment List &amp; Usage'!$C$115)*((('Weekly Summary'!AR$131*SelfQuarantine_Mild*'Equipment List &amp; Usage'!$W18)+('Weekly Summary'!AR$100*SelfQuarantine_Mild*'Equipment List &amp; Usage'!$X18)+('Weekly Summary'!AR$101*SelfQuarantine_Moderate*'Equipment List &amp; Usage'!$X18)))+IF('Equipment List &amp; Usage'!$F18="Yes",'Equipment List &amp; Usage'!$C$114*(IF('Equipment List &amp; Usage'!$AA18&gt;0,'Weekly Summary'!AR$128,0)+IF('Equipment List &amp; Usage'!$AB18&gt;0,'Weekly Summary'!AR$100+'Weekly Summary'!AR$101,0)),'Equipment List &amp; Usage'!$C$115*(('Weekly Summary'!AR$128*'Equipment List &amp; Usage'!$AA18)+('Weekly Summary'!AR$100*'Equipment List &amp; Usage'!$AB18*SelfQuarantine_Mild)+('Weekly Summary'!AR$101*'Equipment List &amp; Usage'!$AB18*SelfQuarantine_Moderate)))+IF('Equipment List &amp; Usage'!$F18="Yes",('Equipment List &amp; Usage'!$C$114*(IF('Equipment List &amp; Usage'!$AE18&gt;0,'Weekly Summary'!AR$134,0)+IF('Equipment List &amp; Usage'!$AF18&gt;0,'Weekly Summary'!AR$135))),'Equipment List &amp; Usage'!$C$115*(('Weekly Summary'!AR$134*'Equipment List &amp; Usage'!$AE18)+('Weekly Summary'!AR$135*'Equipment List &amp; Usage'!$AF18))))-SUM($I16:AW16),
IF($F16="yes",MMULT(--('Equipment List &amp; Usage'!$J18:$N18&gt;0),--('Weekly Summary'!AR$112:AR$116))*'Equipment List &amp; Usage'!$C$114,MMULT(--('Equipment List &amp; Usage'!$J18:$N18),--('Weekly Summary'!AR$112:AR$116))*'Equipment List &amp; Usage'!$C$115)+IF('Equipment List &amp; Usage'!$F17="yes",'Equipment List &amp; Usage'!$C$114,'Equipment List &amp; Usage'!$C$115)*(('Weekly Summary'!AR$66*'Equipment List &amp; Usage'!$Q18)+('Weekly Summary'!AR$64*'Equipment List &amp; Usage'!$O18)+('Weekly Summary'!AR$65*'Equipment List &amp; Usage'!$P18))+(IF('Equipment List &amp; Usage'!$F18="Yes",'Equipment List &amp; Usage'!$C$114*((('Weekly Summary'!AR$131*SelfQuarantine_Mild)+('Weekly Summary'!AR$100*SelfQuarantine_Mild)+('Weekly Summary'!AR$101*SelfQuarantine_Moderate))),'Equipment List &amp; Usage'!$C$115)*((('Weekly Summary'!AR$131*SelfQuarantine_Mild*'Equipment List &amp; Usage'!$W18)+('Weekly Summary'!AR$100*SelfQuarantine_Mild*'Equipment List &amp; Usage'!$X18)+('Weekly Summary'!AR$101*SelfQuarantine_Moderate*'Equipment List &amp; Usage'!$X18))))+IF('Equipment List &amp; Usage'!$F18="Yes",'Equipment List &amp; Usage'!$C$114*(IF('Equipment List &amp; Usage'!$AA18&gt;0,'Weekly Summary'!AR$128,0)+IF('Equipment List &amp; Usage'!$AB18&gt;0,'Weekly Summary'!AR$100+'Weekly Summary'!AR$101,0)),'Equipment List &amp; Usage'!$C$115*(('Weekly Summary'!AR$128*'Equipment List &amp; Usage'!$AA18)+('Weekly Summary'!AR$100*'Equipment List &amp; Usage'!$AB18*SelfQuarantine_Mild)+('Weekly Summary'!AR$101*'Equipment List &amp; Usage'!$AB18*SelfQuarantine_Moderate)))+IF('Equipment List &amp; Usage'!$F18="Yes",('Equipment List &amp; Usage'!$C$114*(IF('Equipment List &amp; Usage'!$AE18&gt;0,'Weekly Summary'!AR$134,0)+IF('Equipment List &amp; Usage'!$AF18&gt;0,'Weekly Summary'!AR$135))),'Equipment List &amp; Usage'!$C$115*(('Weekly Summary'!AR$134*'Equipment List &amp; Usage'!$AE18)+('Weekly Summary'!AR$135*'Equipment List &amp; Usage'!$AF18)))),0)</f>
        <v>0</v>
      </c>
      <c r="AY16" s="1378">
        <f ca="1">MAX(IF($F16="Yes",(
IF($F16="yes",MMULT(--('Equipment List &amp; Usage'!$J18:$N18&gt;0),--('Weekly Summary'!AS$112:AS$116))*'Equipment List &amp; Usage'!$C$114,MMULT(--('Equipment List &amp; Usage'!$J18:$N18),--('Weekly Summary'!AS$112:AS$116))*'Equipment List &amp; Usage'!$C$115)+IF('Equipment List &amp; Usage'!$F17="yes",'Equipment List &amp; Usage'!$C$114,'Equipment List &amp; Usage'!$C$115)*(('Weekly Summary'!AS$66*'Equipment List &amp; Usage'!$Q18)+('Weekly Summary'!AS$64*'Equipment List &amp; Usage'!$O18)+('Weekly Summary'!AS$65*'Equipment List &amp; Usage'!$P18)))+(IF('Equipment List &amp; Usage'!$F18="Yes",'Equipment List &amp; Usage'!$C$114*((('Weekly Summary'!AS$131*SelfQuarantine_Mild)+('Weekly Summary'!AS$100*SelfQuarantine_Mild)+('Weekly Summary'!AS$101*SelfQuarantine_Moderate))),'Equipment List &amp; Usage'!$C$115)*((('Weekly Summary'!AS$131*SelfQuarantine_Mild*'Equipment List &amp; Usage'!$W18)+('Weekly Summary'!AS$100*SelfQuarantine_Mild*'Equipment List &amp; Usage'!$X18)+('Weekly Summary'!AS$101*SelfQuarantine_Moderate*'Equipment List &amp; Usage'!$X18)))+IF('Equipment List &amp; Usage'!$F18="Yes",'Equipment List &amp; Usage'!$C$114*(IF('Equipment List &amp; Usage'!$AA18&gt;0,'Weekly Summary'!AS$128,0)+IF('Equipment List &amp; Usage'!$AB18&gt;0,'Weekly Summary'!AS$100+'Weekly Summary'!AS$101,0)),'Equipment List &amp; Usage'!$C$115*(('Weekly Summary'!AS$128*'Equipment List &amp; Usage'!$AA18)+('Weekly Summary'!AS$100*'Equipment List &amp; Usage'!$AB18*SelfQuarantine_Mild)+('Weekly Summary'!AS$101*'Equipment List &amp; Usage'!$AB18*SelfQuarantine_Moderate)))+IF('Equipment List &amp; Usage'!$F18="Yes",('Equipment List &amp; Usage'!$C$114*(IF('Equipment List &amp; Usage'!$AE18&gt;0,'Weekly Summary'!AS$134,0)+IF('Equipment List &amp; Usage'!$AF18&gt;0,'Weekly Summary'!AS$135))),'Equipment List &amp; Usage'!$C$115*(('Weekly Summary'!AS$134*'Equipment List &amp; Usage'!$AE18)+('Weekly Summary'!AS$135*'Equipment List &amp; Usage'!$AF18))))-SUM($I16:AX16),
IF($F16="yes",MMULT(--('Equipment List &amp; Usage'!$J18:$N18&gt;0),--('Weekly Summary'!AS$112:AS$116))*'Equipment List &amp; Usage'!$C$114,MMULT(--('Equipment List &amp; Usage'!$J18:$N18),--('Weekly Summary'!AS$112:AS$116))*'Equipment List &amp; Usage'!$C$115)+IF('Equipment List &amp; Usage'!$F17="yes",'Equipment List &amp; Usage'!$C$114,'Equipment List &amp; Usage'!$C$115)*(('Weekly Summary'!AS$66*'Equipment List &amp; Usage'!$Q18)+('Weekly Summary'!AS$64*'Equipment List &amp; Usage'!$O18)+('Weekly Summary'!AS$65*'Equipment List &amp; Usage'!$P18))+(IF('Equipment List &amp; Usage'!$F18="Yes",'Equipment List &amp; Usage'!$C$114*((('Weekly Summary'!AS$131*SelfQuarantine_Mild)+('Weekly Summary'!AS$100*SelfQuarantine_Mild)+('Weekly Summary'!AS$101*SelfQuarantine_Moderate))),'Equipment List &amp; Usage'!$C$115)*((('Weekly Summary'!AS$131*SelfQuarantine_Mild*'Equipment List &amp; Usage'!$W18)+('Weekly Summary'!AS$100*SelfQuarantine_Mild*'Equipment List &amp; Usage'!$X18)+('Weekly Summary'!AS$101*SelfQuarantine_Moderate*'Equipment List &amp; Usage'!$X18))))+IF('Equipment List &amp; Usage'!$F18="Yes",'Equipment List &amp; Usage'!$C$114*(IF('Equipment List &amp; Usage'!$AA18&gt;0,'Weekly Summary'!AS$128,0)+IF('Equipment List &amp; Usage'!$AB18&gt;0,'Weekly Summary'!AS$100+'Weekly Summary'!AS$101,0)),'Equipment List &amp; Usage'!$C$115*(('Weekly Summary'!AS$128*'Equipment List &amp; Usage'!$AA18)+('Weekly Summary'!AS$100*'Equipment List &amp; Usage'!$AB18*SelfQuarantine_Mild)+('Weekly Summary'!AS$101*'Equipment List &amp; Usage'!$AB18*SelfQuarantine_Moderate)))+IF('Equipment List &amp; Usage'!$F18="Yes",('Equipment List &amp; Usage'!$C$114*(IF('Equipment List &amp; Usage'!$AE18&gt;0,'Weekly Summary'!AS$134,0)+IF('Equipment List &amp; Usage'!$AF18&gt;0,'Weekly Summary'!AS$135))),'Equipment List &amp; Usage'!$C$115*(('Weekly Summary'!AS$134*'Equipment List &amp; Usage'!$AE18)+('Weekly Summary'!AS$135*'Equipment List &amp; Usage'!$AF18)))),0)</f>
        <v>0</v>
      </c>
      <c r="AZ16" s="1378">
        <f ca="1">MAX(IF($F16="Yes",(
IF($F16="yes",MMULT(--('Equipment List &amp; Usage'!$J18:$N18&gt;0),--('Weekly Summary'!AT$112:AT$116))*'Equipment List &amp; Usage'!$C$114,MMULT(--('Equipment List &amp; Usage'!$J18:$N18),--('Weekly Summary'!AT$112:AT$116))*'Equipment List &amp; Usage'!$C$115)+IF('Equipment List &amp; Usage'!$F17="yes",'Equipment List &amp; Usage'!$C$114,'Equipment List &amp; Usage'!$C$115)*(('Weekly Summary'!AT$66*'Equipment List &amp; Usage'!$Q18)+('Weekly Summary'!AT$64*'Equipment List &amp; Usage'!$O18)+('Weekly Summary'!AT$65*'Equipment List &amp; Usage'!$P18)))+(IF('Equipment List &amp; Usage'!$F18="Yes",'Equipment List &amp; Usage'!$C$114*((('Weekly Summary'!AT$131*SelfQuarantine_Mild)+('Weekly Summary'!AT$100*SelfQuarantine_Mild)+('Weekly Summary'!AT$101*SelfQuarantine_Moderate))),'Equipment List &amp; Usage'!$C$115)*((('Weekly Summary'!AT$131*SelfQuarantine_Mild*'Equipment List &amp; Usage'!$W18)+('Weekly Summary'!AT$100*SelfQuarantine_Mild*'Equipment List &amp; Usage'!$X18)+('Weekly Summary'!AT$101*SelfQuarantine_Moderate*'Equipment List &amp; Usage'!$X18)))+IF('Equipment List &amp; Usage'!$F18="Yes",'Equipment List &amp; Usage'!$C$114*(IF('Equipment List &amp; Usage'!$AA18&gt;0,'Weekly Summary'!AT$128,0)+IF('Equipment List &amp; Usage'!$AB18&gt;0,'Weekly Summary'!AT$100+'Weekly Summary'!AT$101,0)),'Equipment List &amp; Usage'!$C$115*(('Weekly Summary'!AT$128*'Equipment List &amp; Usage'!$AA18)+('Weekly Summary'!AT$100*'Equipment List &amp; Usage'!$AB18*SelfQuarantine_Mild)+('Weekly Summary'!AT$101*'Equipment List &amp; Usage'!$AB18*SelfQuarantine_Moderate)))+IF('Equipment List &amp; Usage'!$F18="Yes",('Equipment List &amp; Usage'!$C$114*(IF('Equipment List &amp; Usage'!$AE18&gt;0,'Weekly Summary'!AT$134,0)+IF('Equipment List &amp; Usage'!$AF18&gt;0,'Weekly Summary'!AT$135))),'Equipment List &amp; Usage'!$C$115*(('Weekly Summary'!AT$134*'Equipment List &amp; Usage'!$AE18)+('Weekly Summary'!AT$135*'Equipment List &amp; Usage'!$AF18))))-SUM($I16:AY16),
IF($F16="yes",MMULT(--('Equipment List &amp; Usage'!$J18:$N18&gt;0),--('Weekly Summary'!AT$112:AT$116))*'Equipment List &amp; Usage'!$C$114,MMULT(--('Equipment List &amp; Usage'!$J18:$N18),--('Weekly Summary'!AT$112:AT$116))*'Equipment List &amp; Usage'!$C$115)+IF('Equipment List &amp; Usage'!$F17="yes",'Equipment List &amp; Usage'!$C$114,'Equipment List &amp; Usage'!$C$115)*(('Weekly Summary'!AT$66*'Equipment List &amp; Usage'!$Q18)+('Weekly Summary'!AT$64*'Equipment List &amp; Usage'!$O18)+('Weekly Summary'!AT$65*'Equipment List &amp; Usage'!$P18))+(IF('Equipment List &amp; Usage'!$F18="Yes",'Equipment List &amp; Usage'!$C$114*((('Weekly Summary'!AT$131*SelfQuarantine_Mild)+('Weekly Summary'!AT$100*SelfQuarantine_Mild)+('Weekly Summary'!AT$101*SelfQuarantine_Moderate))),'Equipment List &amp; Usage'!$C$115)*((('Weekly Summary'!AT$131*SelfQuarantine_Mild*'Equipment List &amp; Usage'!$W18)+('Weekly Summary'!AT$100*SelfQuarantine_Mild*'Equipment List &amp; Usage'!$X18)+('Weekly Summary'!AT$101*SelfQuarantine_Moderate*'Equipment List &amp; Usage'!$X18))))+IF('Equipment List &amp; Usage'!$F18="Yes",'Equipment List &amp; Usage'!$C$114*(IF('Equipment List &amp; Usage'!$AA18&gt;0,'Weekly Summary'!AT$128,0)+IF('Equipment List &amp; Usage'!$AB18&gt;0,'Weekly Summary'!AT$100+'Weekly Summary'!AT$101,0)),'Equipment List &amp; Usage'!$C$115*(('Weekly Summary'!AT$128*'Equipment List &amp; Usage'!$AA18)+('Weekly Summary'!AT$100*'Equipment List &amp; Usage'!$AB18*SelfQuarantine_Mild)+('Weekly Summary'!AT$101*'Equipment List &amp; Usage'!$AB18*SelfQuarantine_Moderate)))+IF('Equipment List &amp; Usage'!$F18="Yes",('Equipment List &amp; Usage'!$C$114*(IF('Equipment List &amp; Usage'!$AE18&gt;0,'Weekly Summary'!AT$134,0)+IF('Equipment List &amp; Usage'!$AF18&gt;0,'Weekly Summary'!AT$135))),'Equipment List &amp; Usage'!$C$115*(('Weekly Summary'!AT$134*'Equipment List &amp; Usage'!$AE18)+('Weekly Summary'!AT$135*'Equipment List &amp; Usage'!$AF18)))),0)</f>
        <v>0</v>
      </c>
      <c r="BA16" s="1378">
        <f ca="1">MAX(IF($F16="Yes",(
IF($F16="yes",MMULT(--('Equipment List &amp; Usage'!$J18:$N18&gt;0),--('Weekly Summary'!AU$112:AU$116))*'Equipment List &amp; Usage'!$C$114,MMULT(--('Equipment List &amp; Usage'!$J18:$N18),--('Weekly Summary'!AU$112:AU$116))*'Equipment List &amp; Usage'!$C$115)+IF('Equipment List &amp; Usage'!$F17="yes",'Equipment List &amp; Usage'!$C$114,'Equipment List &amp; Usage'!$C$115)*(('Weekly Summary'!AU$66*'Equipment List &amp; Usage'!$Q18)+('Weekly Summary'!AU$64*'Equipment List &amp; Usage'!$O18)+('Weekly Summary'!AU$65*'Equipment List &amp; Usage'!$P18)))+(IF('Equipment List &amp; Usage'!$F18="Yes",'Equipment List &amp; Usage'!$C$114*((('Weekly Summary'!AU$131*SelfQuarantine_Mild)+('Weekly Summary'!AU$100*SelfQuarantine_Mild)+('Weekly Summary'!AU$101*SelfQuarantine_Moderate))),'Equipment List &amp; Usage'!$C$115)*((('Weekly Summary'!AU$131*SelfQuarantine_Mild*'Equipment List &amp; Usage'!$W18)+('Weekly Summary'!AU$100*SelfQuarantine_Mild*'Equipment List &amp; Usage'!$X18)+('Weekly Summary'!AU$101*SelfQuarantine_Moderate*'Equipment List &amp; Usage'!$X18)))+IF('Equipment List &amp; Usage'!$F18="Yes",'Equipment List &amp; Usage'!$C$114*(IF('Equipment List &amp; Usage'!$AA18&gt;0,'Weekly Summary'!AU$128,0)+IF('Equipment List &amp; Usage'!$AB18&gt;0,'Weekly Summary'!AU$100+'Weekly Summary'!AU$101,0)),'Equipment List &amp; Usage'!$C$115*(('Weekly Summary'!AU$128*'Equipment List &amp; Usage'!$AA18)+('Weekly Summary'!AU$100*'Equipment List &amp; Usage'!$AB18*SelfQuarantine_Mild)+('Weekly Summary'!AU$101*'Equipment List &amp; Usage'!$AB18*SelfQuarantine_Moderate)))+IF('Equipment List &amp; Usage'!$F18="Yes",('Equipment List &amp; Usage'!$C$114*(IF('Equipment List &amp; Usage'!$AE18&gt;0,'Weekly Summary'!AU$134,0)+IF('Equipment List &amp; Usage'!$AF18&gt;0,'Weekly Summary'!AU$135))),'Equipment List &amp; Usage'!$C$115*(('Weekly Summary'!AU$134*'Equipment List &amp; Usage'!$AE18)+('Weekly Summary'!AU$135*'Equipment List &amp; Usage'!$AF18))))-SUM($I16:AZ16),
IF($F16="yes",MMULT(--('Equipment List &amp; Usage'!$J18:$N18&gt;0),--('Weekly Summary'!AU$112:AU$116))*'Equipment List &amp; Usage'!$C$114,MMULT(--('Equipment List &amp; Usage'!$J18:$N18),--('Weekly Summary'!AU$112:AU$116))*'Equipment List &amp; Usage'!$C$115)+IF('Equipment List &amp; Usage'!$F17="yes",'Equipment List &amp; Usage'!$C$114,'Equipment List &amp; Usage'!$C$115)*(('Weekly Summary'!AU$66*'Equipment List &amp; Usage'!$Q18)+('Weekly Summary'!AU$64*'Equipment List &amp; Usage'!$O18)+('Weekly Summary'!AU$65*'Equipment List &amp; Usage'!$P18))+(IF('Equipment List &amp; Usage'!$F18="Yes",'Equipment List &amp; Usage'!$C$114*((('Weekly Summary'!AU$131*SelfQuarantine_Mild)+('Weekly Summary'!AU$100*SelfQuarantine_Mild)+('Weekly Summary'!AU$101*SelfQuarantine_Moderate))),'Equipment List &amp; Usage'!$C$115)*((('Weekly Summary'!AU$131*SelfQuarantine_Mild*'Equipment List &amp; Usage'!$W18)+('Weekly Summary'!AU$100*SelfQuarantine_Mild*'Equipment List &amp; Usage'!$X18)+('Weekly Summary'!AU$101*SelfQuarantine_Moderate*'Equipment List &amp; Usage'!$X18))))+IF('Equipment List &amp; Usage'!$F18="Yes",'Equipment List &amp; Usage'!$C$114*(IF('Equipment List &amp; Usage'!$AA18&gt;0,'Weekly Summary'!AU$128,0)+IF('Equipment List &amp; Usage'!$AB18&gt;0,'Weekly Summary'!AU$100+'Weekly Summary'!AU$101,0)),'Equipment List &amp; Usage'!$C$115*(('Weekly Summary'!AU$128*'Equipment List &amp; Usage'!$AA18)+('Weekly Summary'!AU$100*'Equipment List &amp; Usage'!$AB18*SelfQuarantine_Mild)+('Weekly Summary'!AU$101*'Equipment List &amp; Usage'!$AB18*SelfQuarantine_Moderate)))+IF('Equipment List &amp; Usage'!$F18="Yes",('Equipment List &amp; Usage'!$C$114*(IF('Equipment List &amp; Usage'!$AE18&gt;0,'Weekly Summary'!AU$134,0)+IF('Equipment List &amp; Usage'!$AF18&gt;0,'Weekly Summary'!AU$135))),'Equipment List &amp; Usage'!$C$115*(('Weekly Summary'!AU$134*'Equipment List &amp; Usage'!$AE18)+('Weekly Summary'!AU$135*'Equipment List &amp; Usage'!$AF18)))),0)</f>
        <v>0</v>
      </c>
      <c r="BB16" s="1378">
        <f ca="1">MAX(IF($F16="Yes",(
IF($F16="yes",MMULT(--('Equipment List &amp; Usage'!$J18:$N18&gt;0),--('Weekly Summary'!AV$112:AV$116))*'Equipment List &amp; Usage'!$C$114,MMULT(--('Equipment List &amp; Usage'!$J18:$N18),--('Weekly Summary'!AV$112:AV$116))*'Equipment List &amp; Usage'!$C$115)+IF('Equipment List &amp; Usage'!$F17="yes",'Equipment List &amp; Usage'!$C$114,'Equipment List &amp; Usage'!$C$115)*(('Weekly Summary'!AV$66*'Equipment List &amp; Usage'!$Q18)+('Weekly Summary'!AV$64*'Equipment List &amp; Usage'!$O18)+('Weekly Summary'!AV$65*'Equipment List &amp; Usage'!$P18)))+(IF('Equipment List &amp; Usage'!$F18="Yes",'Equipment List &amp; Usage'!$C$114*((('Weekly Summary'!AV$131*SelfQuarantine_Mild)+('Weekly Summary'!AV$100*SelfQuarantine_Mild)+('Weekly Summary'!AV$101*SelfQuarantine_Moderate))),'Equipment List &amp; Usage'!$C$115)*((('Weekly Summary'!AV$131*SelfQuarantine_Mild*'Equipment List &amp; Usage'!$W18)+('Weekly Summary'!AV$100*SelfQuarantine_Mild*'Equipment List &amp; Usage'!$X18)+('Weekly Summary'!AV$101*SelfQuarantine_Moderate*'Equipment List &amp; Usage'!$X18)))+IF('Equipment List &amp; Usage'!$F18="Yes",'Equipment List &amp; Usage'!$C$114*(IF('Equipment List &amp; Usage'!$AA18&gt;0,'Weekly Summary'!AV$128,0)+IF('Equipment List &amp; Usage'!$AB18&gt;0,'Weekly Summary'!AV$100+'Weekly Summary'!AV$101,0)),'Equipment List &amp; Usage'!$C$115*(('Weekly Summary'!AV$128*'Equipment List &amp; Usage'!$AA18)+('Weekly Summary'!AV$100*'Equipment List &amp; Usage'!$AB18*SelfQuarantine_Mild)+('Weekly Summary'!AV$101*'Equipment List &amp; Usage'!$AB18*SelfQuarantine_Moderate)))+IF('Equipment List &amp; Usage'!$F18="Yes",('Equipment List &amp; Usage'!$C$114*(IF('Equipment List &amp; Usage'!$AE18&gt;0,'Weekly Summary'!AV$134,0)+IF('Equipment List &amp; Usage'!$AF18&gt;0,'Weekly Summary'!AV$135))),'Equipment List &amp; Usage'!$C$115*(('Weekly Summary'!AV$134*'Equipment List &amp; Usage'!$AE18)+('Weekly Summary'!AV$135*'Equipment List &amp; Usage'!$AF18))))-SUM($I16:BA16),
IF($F16="yes",MMULT(--('Equipment List &amp; Usage'!$J18:$N18&gt;0),--('Weekly Summary'!AV$112:AV$116))*'Equipment List &amp; Usage'!$C$114,MMULT(--('Equipment List &amp; Usage'!$J18:$N18),--('Weekly Summary'!AV$112:AV$116))*'Equipment List &amp; Usage'!$C$115)+IF('Equipment List &amp; Usage'!$F17="yes",'Equipment List &amp; Usage'!$C$114,'Equipment List &amp; Usage'!$C$115)*(('Weekly Summary'!AV$66*'Equipment List &amp; Usage'!$Q18)+('Weekly Summary'!AV$64*'Equipment List &amp; Usage'!$O18)+('Weekly Summary'!AV$65*'Equipment List &amp; Usage'!$P18))+(IF('Equipment List &amp; Usage'!$F18="Yes",'Equipment List &amp; Usage'!$C$114*((('Weekly Summary'!AV$131*SelfQuarantine_Mild)+('Weekly Summary'!AV$100*SelfQuarantine_Mild)+('Weekly Summary'!AV$101*SelfQuarantine_Moderate))),'Equipment List &amp; Usage'!$C$115)*((('Weekly Summary'!AV$131*SelfQuarantine_Mild*'Equipment List &amp; Usage'!$W18)+('Weekly Summary'!AV$100*SelfQuarantine_Mild*'Equipment List &amp; Usage'!$X18)+('Weekly Summary'!AV$101*SelfQuarantine_Moderate*'Equipment List &amp; Usage'!$X18))))+IF('Equipment List &amp; Usage'!$F18="Yes",'Equipment List &amp; Usage'!$C$114*(IF('Equipment List &amp; Usage'!$AA18&gt;0,'Weekly Summary'!AV$128,0)+IF('Equipment List &amp; Usage'!$AB18&gt;0,'Weekly Summary'!AV$100+'Weekly Summary'!AV$101,0)),'Equipment List &amp; Usage'!$C$115*(('Weekly Summary'!AV$128*'Equipment List &amp; Usage'!$AA18)+('Weekly Summary'!AV$100*'Equipment List &amp; Usage'!$AB18*SelfQuarantine_Mild)+('Weekly Summary'!AV$101*'Equipment List &amp; Usage'!$AB18*SelfQuarantine_Moderate)))+IF('Equipment List &amp; Usage'!$F18="Yes",('Equipment List &amp; Usage'!$C$114*(IF('Equipment List &amp; Usage'!$AE18&gt;0,'Weekly Summary'!AV$134,0)+IF('Equipment List &amp; Usage'!$AF18&gt;0,'Weekly Summary'!AV$135))),'Equipment List &amp; Usage'!$C$115*(('Weekly Summary'!AV$134*'Equipment List &amp; Usage'!$AE18)+('Weekly Summary'!AV$135*'Equipment List &amp; Usage'!$AF18)))),0)</f>
        <v>0</v>
      </c>
      <c r="BC16" s="1378">
        <f ca="1">MAX(IF($F16="Yes",(
IF($F16="yes",MMULT(--('Equipment List &amp; Usage'!$J18:$N18&gt;0),--('Weekly Summary'!AW$112:AW$116))*'Equipment List &amp; Usage'!$C$114,MMULT(--('Equipment List &amp; Usage'!$J18:$N18),--('Weekly Summary'!AW$112:AW$116))*'Equipment List &amp; Usage'!$C$115)+IF('Equipment List &amp; Usage'!$F17="yes",'Equipment List &amp; Usage'!$C$114,'Equipment List &amp; Usage'!$C$115)*(('Weekly Summary'!AW$66*'Equipment List &amp; Usage'!$Q18)+('Weekly Summary'!AW$64*'Equipment List &amp; Usage'!$O18)+('Weekly Summary'!AW$65*'Equipment List &amp; Usage'!$P18)))+(IF('Equipment List &amp; Usage'!$F18="Yes",'Equipment List &amp; Usage'!$C$114*((('Weekly Summary'!AW$131*SelfQuarantine_Mild)+('Weekly Summary'!AW$100*SelfQuarantine_Mild)+('Weekly Summary'!AW$101*SelfQuarantine_Moderate))),'Equipment List &amp; Usage'!$C$115)*((('Weekly Summary'!AW$131*SelfQuarantine_Mild*'Equipment List &amp; Usage'!$W18)+('Weekly Summary'!AW$100*SelfQuarantine_Mild*'Equipment List &amp; Usage'!$X18)+('Weekly Summary'!AW$101*SelfQuarantine_Moderate*'Equipment List &amp; Usage'!$X18)))+IF('Equipment List &amp; Usage'!$F18="Yes",'Equipment List &amp; Usage'!$C$114*(IF('Equipment List &amp; Usage'!$AA18&gt;0,'Weekly Summary'!AW$128,0)+IF('Equipment List &amp; Usage'!$AB18&gt;0,'Weekly Summary'!AW$100+'Weekly Summary'!AW$101,0)),'Equipment List &amp; Usage'!$C$115*(('Weekly Summary'!AW$128*'Equipment List &amp; Usage'!$AA18)+('Weekly Summary'!AW$100*'Equipment List &amp; Usage'!$AB18*SelfQuarantine_Mild)+('Weekly Summary'!AW$101*'Equipment List &amp; Usage'!$AB18*SelfQuarantine_Moderate)))+IF('Equipment List &amp; Usage'!$F18="Yes",('Equipment List &amp; Usage'!$C$114*(IF('Equipment List &amp; Usage'!$AE18&gt;0,'Weekly Summary'!AW$134,0)+IF('Equipment List &amp; Usage'!$AF18&gt;0,'Weekly Summary'!AW$135))),'Equipment List &amp; Usage'!$C$115*(('Weekly Summary'!AW$134*'Equipment List &amp; Usage'!$AE18)+('Weekly Summary'!AW$135*'Equipment List &amp; Usage'!$AF18))))-SUM($I16:BB16),
IF($F16="yes",MMULT(--('Equipment List &amp; Usage'!$J18:$N18&gt;0),--('Weekly Summary'!AW$112:AW$116))*'Equipment List &amp; Usage'!$C$114,MMULT(--('Equipment List &amp; Usage'!$J18:$N18),--('Weekly Summary'!AW$112:AW$116))*'Equipment List &amp; Usage'!$C$115)+IF('Equipment List &amp; Usage'!$F17="yes",'Equipment List &amp; Usage'!$C$114,'Equipment List &amp; Usage'!$C$115)*(('Weekly Summary'!AW$66*'Equipment List &amp; Usage'!$Q18)+('Weekly Summary'!AW$64*'Equipment List &amp; Usage'!$O18)+('Weekly Summary'!AW$65*'Equipment List &amp; Usage'!$P18))+(IF('Equipment List &amp; Usage'!$F18="Yes",'Equipment List &amp; Usage'!$C$114*((('Weekly Summary'!AW$131*SelfQuarantine_Mild)+('Weekly Summary'!AW$100*SelfQuarantine_Mild)+('Weekly Summary'!AW$101*SelfQuarantine_Moderate))),'Equipment List &amp; Usage'!$C$115)*((('Weekly Summary'!AW$131*SelfQuarantine_Mild*'Equipment List &amp; Usage'!$W18)+('Weekly Summary'!AW$100*SelfQuarantine_Mild*'Equipment List &amp; Usage'!$X18)+('Weekly Summary'!AW$101*SelfQuarantine_Moderate*'Equipment List &amp; Usage'!$X18))))+IF('Equipment List &amp; Usage'!$F18="Yes",'Equipment List &amp; Usage'!$C$114*(IF('Equipment List &amp; Usage'!$AA18&gt;0,'Weekly Summary'!AW$128,0)+IF('Equipment List &amp; Usage'!$AB18&gt;0,'Weekly Summary'!AW$100+'Weekly Summary'!AW$101,0)),'Equipment List &amp; Usage'!$C$115*(('Weekly Summary'!AW$128*'Equipment List &amp; Usage'!$AA18)+('Weekly Summary'!AW$100*'Equipment List &amp; Usage'!$AB18*SelfQuarantine_Mild)+('Weekly Summary'!AW$101*'Equipment List &amp; Usage'!$AB18*SelfQuarantine_Moderate)))+IF('Equipment List &amp; Usage'!$F18="Yes",('Equipment List &amp; Usage'!$C$114*(IF('Equipment List &amp; Usage'!$AE18&gt;0,'Weekly Summary'!AW$134,0)+IF('Equipment List &amp; Usage'!$AF18&gt;0,'Weekly Summary'!AW$135))),'Equipment List &amp; Usage'!$C$115*(('Weekly Summary'!AW$134*'Equipment List &amp; Usage'!$AE18)+('Weekly Summary'!AW$135*'Equipment List &amp; Usage'!$AF18)))),0)</f>
        <v>0</v>
      </c>
      <c r="BD16" s="1378">
        <f ca="1">MAX(IF($F16="Yes",(
IF($F16="yes",MMULT(--('Equipment List &amp; Usage'!$J18:$N18&gt;0),--('Weekly Summary'!AX$112:AX$116))*'Equipment List &amp; Usage'!$C$114,MMULT(--('Equipment List &amp; Usage'!$J18:$N18),--('Weekly Summary'!AX$112:AX$116))*'Equipment List &amp; Usage'!$C$115)+IF('Equipment List &amp; Usage'!$F17="yes",'Equipment List &amp; Usage'!$C$114,'Equipment List &amp; Usage'!$C$115)*(('Weekly Summary'!AX$66*'Equipment List &amp; Usage'!$Q18)+('Weekly Summary'!AX$64*'Equipment List &amp; Usage'!$O18)+('Weekly Summary'!AX$65*'Equipment List &amp; Usage'!$P18)))+(IF('Equipment List &amp; Usage'!$F18="Yes",'Equipment List &amp; Usage'!$C$114*((('Weekly Summary'!AX$131*SelfQuarantine_Mild)+('Weekly Summary'!AX$100*SelfQuarantine_Mild)+('Weekly Summary'!AX$101*SelfQuarantine_Moderate))),'Equipment List &amp; Usage'!$C$115)*((('Weekly Summary'!AX$131*SelfQuarantine_Mild*'Equipment List &amp; Usage'!$W18)+('Weekly Summary'!AX$100*SelfQuarantine_Mild*'Equipment List &amp; Usage'!$X18)+('Weekly Summary'!AX$101*SelfQuarantine_Moderate*'Equipment List &amp; Usage'!$X18)))+IF('Equipment List &amp; Usage'!$F18="Yes",'Equipment List &amp; Usage'!$C$114*(IF('Equipment List &amp; Usage'!$AA18&gt;0,'Weekly Summary'!AX$128,0)+IF('Equipment List &amp; Usage'!$AB18&gt;0,'Weekly Summary'!AX$100+'Weekly Summary'!AX$101,0)),'Equipment List &amp; Usage'!$C$115*(('Weekly Summary'!AX$128*'Equipment List &amp; Usage'!$AA18)+('Weekly Summary'!AX$100*'Equipment List &amp; Usage'!$AB18*SelfQuarantine_Mild)+('Weekly Summary'!AX$101*'Equipment List &amp; Usage'!$AB18*SelfQuarantine_Moderate)))+IF('Equipment List &amp; Usage'!$F18="Yes",('Equipment List &amp; Usage'!$C$114*(IF('Equipment List &amp; Usage'!$AE18&gt;0,'Weekly Summary'!AX$134,0)+IF('Equipment List &amp; Usage'!$AF18&gt;0,'Weekly Summary'!AX$135))),'Equipment List &amp; Usage'!$C$115*(('Weekly Summary'!AX$134*'Equipment List &amp; Usage'!$AE18)+('Weekly Summary'!AX$135*'Equipment List &amp; Usage'!$AF18))))-SUM($I16:BC16),
IF($F16="yes",MMULT(--('Equipment List &amp; Usage'!$J18:$N18&gt;0),--('Weekly Summary'!AX$112:AX$116))*'Equipment List &amp; Usage'!$C$114,MMULT(--('Equipment List &amp; Usage'!$J18:$N18),--('Weekly Summary'!AX$112:AX$116))*'Equipment List &amp; Usage'!$C$115)+IF('Equipment List &amp; Usage'!$F17="yes",'Equipment List &amp; Usage'!$C$114,'Equipment List &amp; Usage'!$C$115)*(('Weekly Summary'!AX$66*'Equipment List &amp; Usage'!$Q18)+('Weekly Summary'!AX$64*'Equipment List &amp; Usage'!$O18)+('Weekly Summary'!AX$65*'Equipment List &amp; Usage'!$P18))+(IF('Equipment List &amp; Usage'!$F18="Yes",'Equipment List &amp; Usage'!$C$114*((('Weekly Summary'!AX$131*SelfQuarantine_Mild)+('Weekly Summary'!AX$100*SelfQuarantine_Mild)+('Weekly Summary'!AX$101*SelfQuarantine_Moderate))),'Equipment List &amp; Usage'!$C$115)*((('Weekly Summary'!AX$131*SelfQuarantine_Mild*'Equipment List &amp; Usage'!$W18)+('Weekly Summary'!AX$100*SelfQuarantine_Mild*'Equipment List &amp; Usage'!$X18)+('Weekly Summary'!AX$101*SelfQuarantine_Moderate*'Equipment List &amp; Usage'!$X18))))+IF('Equipment List &amp; Usage'!$F18="Yes",'Equipment List &amp; Usage'!$C$114*(IF('Equipment List &amp; Usage'!$AA18&gt;0,'Weekly Summary'!AX$128,0)+IF('Equipment List &amp; Usage'!$AB18&gt;0,'Weekly Summary'!AX$100+'Weekly Summary'!AX$101,0)),'Equipment List &amp; Usage'!$C$115*(('Weekly Summary'!AX$128*'Equipment List &amp; Usage'!$AA18)+('Weekly Summary'!AX$100*'Equipment List &amp; Usage'!$AB18*SelfQuarantine_Mild)+('Weekly Summary'!AX$101*'Equipment List &amp; Usage'!$AB18*SelfQuarantine_Moderate)))+IF('Equipment List &amp; Usage'!$F18="Yes",('Equipment List &amp; Usage'!$C$114*(IF('Equipment List &amp; Usage'!$AE18&gt;0,'Weekly Summary'!AX$134,0)+IF('Equipment List &amp; Usage'!$AF18&gt;0,'Weekly Summary'!AX$135))),'Equipment List &amp; Usage'!$C$115*(('Weekly Summary'!AX$134*'Equipment List &amp; Usage'!$AE18)+('Weekly Summary'!AX$135*'Equipment List &amp; Usage'!$AF18)))),0)</f>
        <v>0</v>
      </c>
      <c r="BE16" s="1378">
        <f ca="1">MAX(IF($F16="Yes",(
IF($F16="yes",MMULT(--('Equipment List &amp; Usage'!$J18:$N18&gt;0),--('Weekly Summary'!AY$112:AY$116))*'Equipment List &amp; Usage'!$C$114,MMULT(--('Equipment List &amp; Usage'!$J18:$N18),--('Weekly Summary'!AY$112:AY$116))*'Equipment List &amp; Usage'!$C$115)+IF('Equipment List &amp; Usage'!$F17="yes",'Equipment List &amp; Usage'!$C$114,'Equipment List &amp; Usage'!$C$115)*(('Weekly Summary'!AY$66*'Equipment List &amp; Usage'!$Q18)+('Weekly Summary'!AY$64*'Equipment List &amp; Usage'!$O18)+('Weekly Summary'!AY$65*'Equipment List &amp; Usage'!$P18)))+(IF('Equipment List &amp; Usage'!$F18="Yes",'Equipment List &amp; Usage'!$C$114*((('Weekly Summary'!AY$131*SelfQuarantine_Mild)+('Weekly Summary'!AY$100*SelfQuarantine_Mild)+('Weekly Summary'!AY$101*SelfQuarantine_Moderate))),'Equipment List &amp; Usage'!$C$115)*((('Weekly Summary'!AY$131*SelfQuarantine_Mild*'Equipment List &amp; Usage'!$W18)+('Weekly Summary'!AY$100*SelfQuarantine_Mild*'Equipment List &amp; Usage'!$X18)+('Weekly Summary'!AY$101*SelfQuarantine_Moderate*'Equipment List &amp; Usage'!$X18)))+IF('Equipment List &amp; Usage'!$F18="Yes",'Equipment List &amp; Usage'!$C$114*(IF('Equipment List &amp; Usage'!$AA18&gt;0,'Weekly Summary'!AY$128,0)+IF('Equipment List &amp; Usage'!$AB18&gt;0,'Weekly Summary'!AY$100+'Weekly Summary'!AY$101,0)),'Equipment List &amp; Usage'!$C$115*(('Weekly Summary'!AY$128*'Equipment List &amp; Usage'!$AA18)+('Weekly Summary'!AY$100*'Equipment List &amp; Usage'!$AB18*SelfQuarantine_Mild)+('Weekly Summary'!AY$101*'Equipment List &amp; Usage'!$AB18*SelfQuarantine_Moderate)))+IF('Equipment List &amp; Usage'!$F18="Yes",('Equipment List &amp; Usage'!$C$114*(IF('Equipment List &amp; Usage'!$AE18&gt;0,'Weekly Summary'!AY$134,0)+IF('Equipment List &amp; Usage'!$AF18&gt;0,'Weekly Summary'!AY$135))),'Equipment List &amp; Usage'!$C$115*(('Weekly Summary'!AY$134*'Equipment List &amp; Usage'!$AE18)+('Weekly Summary'!AY$135*'Equipment List &amp; Usage'!$AF18))))-SUM($I16:BD16),
IF($F16="yes",MMULT(--('Equipment List &amp; Usage'!$J18:$N18&gt;0),--('Weekly Summary'!AY$112:AY$116))*'Equipment List &amp; Usage'!$C$114,MMULT(--('Equipment List &amp; Usage'!$J18:$N18),--('Weekly Summary'!AY$112:AY$116))*'Equipment List &amp; Usage'!$C$115)+IF('Equipment List &amp; Usage'!$F17="yes",'Equipment List &amp; Usage'!$C$114,'Equipment List &amp; Usage'!$C$115)*(('Weekly Summary'!AY$66*'Equipment List &amp; Usage'!$Q18)+('Weekly Summary'!AY$64*'Equipment List &amp; Usage'!$O18)+('Weekly Summary'!AY$65*'Equipment List &amp; Usage'!$P18))+(IF('Equipment List &amp; Usage'!$F18="Yes",'Equipment List &amp; Usage'!$C$114*((('Weekly Summary'!AY$131*SelfQuarantine_Mild)+('Weekly Summary'!AY$100*SelfQuarantine_Mild)+('Weekly Summary'!AY$101*SelfQuarantine_Moderate))),'Equipment List &amp; Usage'!$C$115)*((('Weekly Summary'!AY$131*SelfQuarantine_Mild*'Equipment List &amp; Usage'!$W18)+('Weekly Summary'!AY$100*SelfQuarantine_Mild*'Equipment List &amp; Usage'!$X18)+('Weekly Summary'!AY$101*SelfQuarantine_Moderate*'Equipment List &amp; Usage'!$X18))))+IF('Equipment List &amp; Usage'!$F18="Yes",'Equipment List &amp; Usage'!$C$114*(IF('Equipment List &amp; Usage'!$AA18&gt;0,'Weekly Summary'!AY$128,0)+IF('Equipment List &amp; Usage'!$AB18&gt;0,'Weekly Summary'!AY$100+'Weekly Summary'!AY$101,0)),'Equipment List &amp; Usage'!$C$115*(('Weekly Summary'!AY$128*'Equipment List &amp; Usage'!$AA18)+('Weekly Summary'!AY$100*'Equipment List &amp; Usage'!$AB18*SelfQuarantine_Mild)+('Weekly Summary'!AY$101*'Equipment List &amp; Usage'!$AB18*SelfQuarantine_Moderate)))+IF('Equipment List &amp; Usage'!$F18="Yes",('Equipment List &amp; Usage'!$C$114*(IF('Equipment List &amp; Usage'!$AE18&gt;0,'Weekly Summary'!AY$134,0)+IF('Equipment List &amp; Usage'!$AF18&gt;0,'Weekly Summary'!AY$135))),'Equipment List &amp; Usage'!$C$115*(('Weekly Summary'!AY$134*'Equipment List &amp; Usage'!$AE18)+('Weekly Summary'!AY$135*'Equipment List &amp; Usage'!$AF18)))),0)</f>
        <v>0</v>
      </c>
      <c r="BF16" s="1378">
        <f ca="1">MAX(IF($F16="Yes",(
IF($F16="yes",MMULT(--('Equipment List &amp; Usage'!$J18:$N18&gt;0),--('Weekly Summary'!AZ$112:AZ$116))*'Equipment List &amp; Usage'!$C$114,MMULT(--('Equipment List &amp; Usage'!$J18:$N18),--('Weekly Summary'!AZ$112:AZ$116))*'Equipment List &amp; Usage'!$C$115)+IF('Equipment List &amp; Usage'!$F17="yes",'Equipment List &amp; Usage'!$C$114,'Equipment List &amp; Usage'!$C$115)*(('Weekly Summary'!AZ$66*'Equipment List &amp; Usage'!$Q18)+('Weekly Summary'!AZ$64*'Equipment List &amp; Usage'!$O18)+('Weekly Summary'!AZ$65*'Equipment List &amp; Usage'!$P18)))+(IF('Equipment List &amp; Usage'!$F18="Yes",'Equipment List &amp; Usage'!$C$114*((('Weekly Summary'!AZ$131*SelfQuarantine_Mild)+('Weekly Summary'!AZ$100*SelfQuarantine_Mild)+('Weekly Summary'!AZ$101*SelfQuarantine_Moderate))),'Equipment List &amp; Usage'!$C$115)*((('Weekly Summary'!AZ$131*SelfQuarantine_Mild*'Equipment List &amp; Usage'!$W18)+('Weekly Summary'!AZ$100*SelfQuarantine_Mild*'Equipment List &amp; Usage'!$X18)+('Weekly Summary'!AZ$101*SelfQuarantine_Moderate*'Equipment List &amp; Usage'!$X18)))+IF('Equipment List &amp; Usage'!$F18="Yes",'Equipment List &amp; Usage'!$C$114*(IF('Equipment List &amp; Usage'!$AA18&gt;0,'Weekly Summary'!AZ$128,0)+IF('Equipment List &amp; Usage'!$AB18&gt;0,'Weekly Summary'!AZ$100+'Weekly Summary'!AZ$101,0)),'Equipment List &amp; Usage'!$C$115*(('Weekly Summary'!AZ$128*'Equipment List &amp; Usage'!$AA18)+('Weekly Summary'!AZ$100*'Equipment List &amp; Usage'!$AB18*SelfQuarantine_Mild)+('Weekly Summary'!AZ$101*'Equipment List &amp; Usage'!$AB18*SelfQuarantine_Moderate)))+IF('Equipment List &amp; Usage'!$F18="Yes",('Equipment List &amp; Usage'!$C$114*(IF('Equipment List &amp; Usage'!$AE18&gt;0,'Weekly Summary'!AZ$134,0)+IF('Equipment List &amp; Usage'!$AF18&gt;0,'Weekly Summary'!AZ$135))),'Equipment List &amp; Usage'!$C$115*(('Weekly Summary'!AZ$134*'Equipment List &amp; Usage'!$AE18)+('Weekly Summary'!AZ$135*'Equipment List &amp; Usage'!$AF18))))-SUM($I16:BE16),
IF($F16="yes",MMULT(--('Equipment List &amp; Usage'!$J18:$N18&gt;0),--('Weekly Summary'!AZ$112:AZ$116))*'Equipment List &amp; Usage'!$C$114,MMULT(--('Equipment List &amp; Usage'!$J18:$N18),--('Weekly Summary'!AZ$112:AZ$116))*'Equipment List &amp; Usage'!$C$115)+IF('Equipment List &amp; Usage'!$F17="yes",'Equipment List &amp; Usage'!$C$114,'Equipment List &amp; Usage'!$C$115)*(('Weekly Summary'!AZ$66*'Equipment List &amp; Usage'!$Q18)+('Weekly Summary'!AZ$64*'Equipment List &amp; Usage'!$O18)+('Weekly Summary'!AZ$65*'Equipment List &amp; Usage'!$P18))+(IF('Equipment List &amp; Usage'!$F18="Yes",'Equipment List &amp; Usage'!$C$114*((('Weekly Summary'!AZ$131*SelfQuarantine_Mild)+('Weekly Summary'!AZ$100*SelfQuarantine_Mild)+('Weekly Summary'!AZ$101*SelfQuarantine_Moderate))),'Equipment List &amp; Usage'!$C$115)*((('Weekly Summary'!AZ$131*SelfQuarantine_Mild*'Equipment List &amp; Usage'!$W18)+('Weekly Summary'!AZ$100*SelfQuarantine_Mild*'Equipment List &amp; Usage'!$X18)+('Weekly Summary'!AZ$101*SelfQuarantine_Moderate*'Equipment List &amp; Usage'!$X18))))+IF('Equipment List &amp; Usage'!$F18="Yes",'Equipment List &amp; Usage'!$C$114*(IF('Equipment List &amp; Usage'!$AA18&gt;0,'Weekly Summary'!AZ$128,0)+IF('Equipment List &amp; Usage'!$AB18&gt;0,'Weekly Summary'!AZ$100+'Weekly Summary'!AZ$101,0)),'Equipment List &amp; Usage'!$C$115*(('Weekly Summary'!AZ$128*'Equipment List &amp; Usage'!$AA18)+('Weekly Summary'!AZ$100*'Equipment List &amp; Usage'!$AB18*SelfQuarantine_Mild)+('Weekly Summary'!AZ$101*'Equipment List &amp; Usage'!$AB18*SelfQuarantine_Moderate)))+IF('Equipment List &amp; Usage'!$F18="Yes",('Equipment List &amp; Usage'!$C$114*(IF('Equipment List &amp; Usage'!$AE18&gt;0,'Weekly Summary'!AZ$134,0)+IF('Equipment List &amp; Usage'!$AF18&gt;0,'Weekly Summary'!AZ$135))),'Equipment List &amp; Usage'!$C$115*(('Weekly Summary'!AZ$134*'Equipment List &amp; Usage'!$AE18)+('Weekly Summary'!AZ$135*'Equipment List &amp; Usage'!$AF18)))),0)</f>
        <v>0</v>
      </c>
      <c r="BG16" s="1378">
        <f ca="1">MAX(IF($F16="Yes",(
IF($F16="yes",MMULT(--('Equipment List &amp; Usage'!$J18:$N18&gt;0),--('Weekly Summary'!BA$112:BA$116))*'Equipment List &amp; Usage'!$C$114,MMULT(--('Equipment List &amp; Usage'!$J18:$N18),--('Weekly Summary'!BA$112:BA$116))*'Equipment List &amp; Usage'!$C$115)+IF('Equipment List &amp; Usage'!$F17="yes",'Equipment List &amp; Usage'!$C$114,'Equipment List &amp; Usage'!$C$115)*(('Weekly Summary'!BA$66*'Equipment List &amp; Usage'!$Q18)+('Weekly Summary'!BA$64*'Equipment List &amp; Usage'!$O18)+('Weekly Summary'!BA$65*'Equipment List &amp; Usage'!$P18)))+(IF('Equipment List &amp; Usage'!$F18="Yes",'Equipment List &amp; Usage'!$C$114*((('Weekly Summary'!BA$131*SelfQuarantine_Mild)+('Weekly Summary'!BA$100*SelfQuarantine_Mild)+('Weekly Summary'!BA$101*SelfQuarantine_Moderate))),'Equipment List &amp; Usage'!$C$115)*((('Weekly Summary'!BA$131*SelfQuarantine_Mild*'Equipment List &amp; Usage'!$W18)+('Weekly Summary'!BA$100*SelfQuarantine_Mild*'Equipment List &amp; Usage'!$X18)+('Weekly Summary'!BA$101*SelfQuarantine_Moderate*'Equipment List &amp; Usage'!$X18)))+IF('Equipment List &amp; Usage'!$F18="Yes",'Equipment List &amp; Usage'!$C$114*(IF('Equipment List &amp; Usage'!$AA18&gt;0,'Weekly Summary'!BA$128,0)+IF('Equipment List &amp; Usage'!$AB18&gt;0,'Weekly Summary'!BA$100+'Weekly Summary'!BA$101,0)),'Equipment List &amp; Usage'!$C$115*(('Weekly Summary'!BA$128*'Equipment List &amp; Usage'!$AA18)+('Weekly Summary'!BA$100*'Equipment List &amp; Usage'!$AB18*SelfQuarantine_Mild)+('Weekly Summary'!BA$101*'Equipment List &amp; Usage'!$AB18*SelfQuarantine_Moderate)))+IF('Equipment List &amp; Usage'!$F18="Yes",('Equipment List &amp; Usage'!$C$114*(IF('Equipment List &amp; Usage'!$AE18&gt;0,'Weekly Summary'!BA$134,0)+IF('Equipment List &amp; Usage'!$AF18&gt;0,'Weekly Summary'!BA$135))),'Equipment List &amp; Usage'!$C$115*(('Weekly Summary'!BA$134*'Equipment List &amp; Usage'!$AE18)+('Weekly Summary'!BA$135*'Equipment List &amp; Usage'!$AF18))))-SUM($I16:BF16),
IF($F16="yes",MMULT(--('Equipment List &amp; Usage'!$J18:$N18&gt;0),--('Weekly Summary'!BA$112:BA$116))*'Equipment List &amp; Usage'!$C$114,MMULT(--('Equipment List &amp; Usage'!$J18:$N18),--('Weekly Summary'!BA$112:BA$116))*'Equipment List &amp; Usage'!$C$115)+IF('Equipment List &amp; Usage'!$F17="yes",'Equipment List &amp; Usage'!$C$114,'Equipment List &amp; Usage'!$C$115)*(('Weekly Summary'!BA$66*'Equipment List &amp; Usage'!$Q18)+('Weekly Summary'!BA$64*'Equipment List &amp; Usage'!$O18)+('Weekly Summary'!BA$65*'Equipment List &amp; Usage'!$P18))+(IF('Equipment List &amp; Usage'!$F18="Yes",'Equipment List &amp; Usage'!$C$114*((('Weekly Summary'!BA$131*SelfQuarantine_Mild)+('Weekly Summary'!BA$100*SelfQuarantine_Mild)+('Weekly Summary'!BA$101*SelfQuarantine_Moderate))),'Equipment List &amp; Usage'!$C$115)*((('Weekly Summary'!BA$131*SelfQuarantine_Mild*'Equipment List &amp; Usage'!$W18)+('Weekly Summary'!BA$100*SelfQuarantine_Mild*'Equipment List &amp; Usage'!$X18)+('Weekly Summary'!BA$101*SelfQuarantine_Moderate*'Equipment List &amp; Usage'!$X18))))+IF('Equipment List &amp; Usage'!$F18="Yes",'Equipment List &amp; Usage'!$C$114*(IF('Equipment List &amp; Usage'!$AA18&gt;0,'Weekly Summary'!BA$128,0)+IF('Equipment List &amp; Usage'!$AB18&gt;0,'Weekly Summary'!BA$100+'Weekly Summary'!BA$101,0)),'Equipment List &amp; Usage'!$C$115*(('Weekly Summary'!BA$128*'Equipment List &amp; Usage'!$AA18)+('Weekly Summary'!BA$100*'Equipment List &amp; Usage'!$AB18*SelfQuarantine_Mild)+('Weekly Summary'!BA$101*'Equipment List &amp; Usage'!$AB18*SelfQuarantine_Moderate)))+IF('Equipment List &amp; Usage'!$F18="Yes",('Equipment List &amp; Usage'!$C$114*(IF('Equipment List &amp; Usage'!$AE18&gt;0,'Weekly Summary'!BA$134,0)+IF('Equipment List &amp; Usage'!$AF18&gt;0,'Weekly Summary'!BA$135))),'Equipment List &amp; Usage'!$C$115*(('Weekly Summary'!BA$134*'Equipment List &amp; Usage'!$AE18)+('Weekly Summary'!BA$135*'Equipment List &amp; Usage'!$AF18)))),0)</f>
        <v>0</v>
      </c>
      <c r="BH16" s="1378">
        <f ca="1">MAX(IF($F16="Yes",(
IF($F16="yes",MMULT(--('Equipment List &amp; Usage'!$J18:$N18&gt;0),--('Weekly Summary'!BB$112:BB$116))*'Equipment List &amp; Usage'!$C$114,MMULT(--('Equipment List &amp; Usage'!$J18:$N18),--('Weekly Summary'!BB$112:BB$116))*'Equipment List &amp; Usage'!$C$115)+IF('Equipment List &amp; Usage'!$F17="yes",'Equipment List &amp; Usage'!$C$114,'Equipment List &amp; Usage'!$C$115)*(('Weekly Summary'!BB$66*'Equipment List &amp; Usage'!$Q18)+('Weekly Summary'!BB$64*'Equipment List &amp; Usage'!$O18)+('Weekly Summary'!BB$65*'Equipment List &amp; Usage'!$P18)))+(IF('Equipment List &amp; Usage'!$F18="Yes",'Equipment List &amp; Usage'!$C$114*((('Weekly Summary'!BB$131*SelfQuarantine_Mild)+('Weekly Summary'!BB$100*SelfQuarantine_Mild)+('Weekly Summary'!BB$101*SelfQuarantine_Moderate))),'Equipment List &amp; Usage'!$C$115)*((('Weekly Summary'!BB$131*SelfQuarantine_Mild*'Equipment List &amp; Usage'!$W18)+('Weekly Summary'!BB$100*SelfQuarantine_Mild*'Equipment List &amp; Usage'!$X18)+('Weekly Summary'!BB$101*SelfQuarantine_Moderate*'Equipment List &amp; Usage'!$X18)))+IF('Equipment List &amp; Usage'!$F18="Yes",'Equipment List &amp; Usage'!$C$114*(IF('Equipment List &amp; Usage'!$AA18&gt;0,'Weekly Summary'!BB$128,0)+IF('Equipment List &amp; Usage'!$AB18&gt;0,'Weekly Summary'!BB$100+'Weekly Summary'!BB$101,0)),'Equipment List &amp; Usage'!$C$115*(('Weekly Summary'!BB$128*'Equipment List &amp; Usage'!$AA18)+('Weekly Summary'!BB$100*'Equipment List &amp; Usage'!$AB18*SelfQuarantine_Mild)+('Weekly Summary'!BB$101*'Equipment List &amp; Usage'!$AB18*SelfQuarantine_Moderate)))+IF('Equipment List &amp; Usage'!$F18="Yes",('Equipment List &amp; Usage'!$C$114*(IF('Equipment List &amp; Usage'!$AE18&gt;0,'Weekly Summary'!BB$134,0)+IF('Equipment List &amp; Usage'!$AF18&gt;0,'Weekly Summary'!BB$135))),'Equipment List &amp; Usage'!$C$115*(('Weekly Summary'!BB$134*'Equipment List &amp; Usage'!$AE18)+('Weekly Summary'!BB$135*'Equipment List &amp; Usage'!$AF18))))-SUM($I16:BG16),
IF($F16="yes",MMULT(--('Equipment List &amp; Usage'!$J18:$N18&gt;0),--('Weekly Summary'!BB$112:BB$116))*'Equipment List &amp; Usage'!$C$114,MMULT(--('Equipment List &amp; Usage'!$J18:$N18),--('Weekly Summary'!BB$112:BB$116))*'Equipment List &amp; Usage'!$C$115)+IF('Equipment List &amp; Usage'!$F17="yes",'Equipment List &amp; Usage'!$C$114,'Equipment List &amp; Usage'!$C$115)*(('Weekly Summary'!BB$66*'Equipment List &amp; Usage'!$Q18)+('Weekly Summary'!BB$64*'Equipment List &amp; Usage'!$O18)+('Weekly Summary'!BB$65*'Equipment List &amp; Usage'!$P18))+(IF('Equipment List &amp; Usage'!$F18="Yes",'Equipment List &amp; Usage'!$C$114*((('Weekly Summary'!BB$131*SelfQuarantine_Mild)+('Weekly Summary'!BB$100*SelfQuarantine_Mild)+('Weekly Summary'!BB$101*SelfQuarantine_Moderate))),'Equipment List &amp; Usage'!$C$115)*((('Weekly Summary'!BB$131*SelfQuarantine_Mild*'Equipment List &amp; Usage'!$W18)+('Weekly Summary'!BB$100*SelfQuarantine_Mild*'Equipment List &amp; Usage'!$X18)+('Weekly Summary'!BB$101*SelfQuarantine_Moderate*'Equipment List &amp; Usage'!$X18))))+IF('Equipment List &amp; Usage'!$F18="Yes",'Equipment List &amp; Usage'!$C$114*(IF('Equipment List &amp; Usage'!$AA18&gt;0,'Weekly Summary'!BB$128,0)+IF('Equipment List &amp; Usage'!$AB18&gt;0,'Weekly Summary'!BB$100+'Weekly Summary'!BB$101,0)),'Equipment List &amp; Usage'!$C$115*(('Weekly Summary'!BB$128*'Equipment List &amp; Usage'!$AA18)+('Weekly Summary'!BB$100*'Equipment List &amp; Usage'!$AB18*SelfQuarantine_Mild)+('Weekly Summary'!BB$101*'Equipment List &amp; Usage'!$AB18*SelfQuarantine_Moderate)))+IF('Equipment List &amp; Usage'!$F18="Yes",('Equipment List &amp; Usage'!$C$114*(IF('Equipment List &amp; Usage'!$AE18&gt;0,'Weekly Summary'!BB$134,0)+IF('Equipment List &amp; Usage'!$AF18&gt;0,'Weekly Summary'!BB$135))),'Equipment List &amp; Usage'!$C$115*(('Weekly Summary'!BB$134*'Equipment List &amp; Usage'!$AE18)+('Weekly Summary'!BB$135*'Equipment List &amp; Usage'!$AF18)))),0)</f>
        <v>0</v>
      </c>
      <c r="BI16" s="1378">
        <f ca="1">MAX(IF($F16="Yes",(
IF($F16="yes",MMULT(--('Equipment List &amp; Usage'!$J18:$N18&gt;0),--('Weekly Summary'!BC$112:BC$116))*'Equipment List &amp; Usage'!$C$114,MMULT(--('Equipment List &amp; Usage'!$J18:$N18),--('Weekly Summary'!BC$112:BC$116))*'Equipment List &amp; Usage'!$C$115)+IF('Equipment List &amp; Usage'!$F17="yes",'Equipment List &amp; Usage'!$C$114,'Equipment List &amp; Usage'!$C$115)*(('Weekly Summary'!BC$66*'Equipment List &amp; Usage'!$Q18)+('Weekly Summary'!BC$64*'Equipment List &amp; Usage'!$O18)+('Weekly Summary'!BC$65*'Equipment List &amp; Usage'!$P18)))+(IF('Equipment List &amp; Usage'!$F18="Yes",'Equipment List &amp; Usage'!$C$114*((('Weekly Summary'!BC$131*SelfQuarantine_Mild)+('Weekly Summary'!BC$100*SelfQuarantine_Mild)+('Weekly Summary'!BC$101*SelfQuarantine_Moderate))),'Equipment List &amp; Usage'!$C$115)*((('Weekly Summary'!BC$131*SelfQuarantine_Mild*'Equipment List &amp; Usage'!$W18)+('Weekly Summary'!BC$100*SelfQuarantine_Mild*'Equipment List &amp; Usage'!$X18)+('Weekly Summary'!BC$101*SelfQuarantine_Moderate*'Equipment List &amp; Usage'!$X18)))+IF('Equipment List &amp; Usage'!$F18="Yes",'Equipment List &amp; Usage'!$C$114*(IF('Equipment List &amp; Usage'!$AA18&gt;0,'Weekly Summary'!BC$128,0)+IF('Equipment List &amp; Usage'!$AB18&gt;0,'Weekly Summary'!BC$100+'Weekly Summary'!BC$101,0)),'Equipment List &amp; Usage'!$C$115*(('Weekly Summary'!BC$128*'Equipment List &amp; Usage'!$AA18)+('Weekly Summary'!BC$100*'Equipment List &amp; Usage'!$AB18*SelfQuarantine_Mild)+('Weekly Summary'!BC$101*'Equipment List &amp; Usage'!$AB18*SelfQuarantine_Moderate)))+IF('Equipment List &amp; Usage'!$F18="Yes",('Equipment List &amp; Usage'!$C$114*(IF('Equipment List &amp; Usage'!$AE18&gt;0,'Weekly Summary'!BC$134,0)+IF('Equipment List &amp; Usage'!$AF18&gt;0,'Weekly Summary'!BC$135))),'Equipment List &amp; Usage'!$C$115*(('Weekly Summary'!BC$134*'Equipment List &amp; Usage'!$AE18)+('Weekly Summary'!BC$135*'Equipment List &amp; Usage'!$AF18))))-SUM($I16:BH16),
IF($F16="yes",MMULT(--('Equipment List &amp; Usage'!$J18:$N18&gt;0),--('Weekly Summary'!BC$112:BC$116))*'Equipment List &amp; Usage'!$C$114,MMULT(--('Equipment List &amp; Usage'!$J18:$N18),--('Weekly Summary'!BC$112:BC$116))*'Equipment List &amp; Usage'!$C$115)+IF('Equipment List &amp; Usage'!$F17="yes",'Equipment List &amp; Usage'!$C$114,'Equipment List &amp; Usage'!$C$115)*(('Weekly Summary'!BC$66*'Equipment List &amp; Usage'!$Q18)+('Weekly Summary'!BC$64*'Equipment List &amp; Usage'!$O18)+('Weekly Summary'!BC$65*'Equipment List &amp; Usage'!$P18))+(IF('Equipment List &amp; Usage'!$F18="Yes",'Equipment List &amp; Usage'!$C$114*((('Weekly Summary'!BC$131*SelfQuarantine_Mild)+('Weekly Summary'!BC$100*SelfQuarantine_Mild)+('Weekly Summary'!BC$101*SelfQuarantine_Moderate))),'Equipment List &amp; Usage'!$C$115)*((('Weekly Summary'!BC$131*SelfQuarantine_Mild*'Equipment List &amp; Usage'!$W18)+('Weekly Summary'!BC$100*SelfQuarantine_Mild*'Equipment List &amp; Usage'!$X18)+('Weekly Summary'!BC$101*SelfQuarantine_Moderate*'Equipment List &amp; Usage'!$X18))))+IF('Equipment List &amp; Usage'!$F18="Yes",'Equipment List &amp; Usage'!$C$114*(IF('Equipment List &amp; Usage'!$AA18&gt;0,'Weekly Summary'!BC$128,0)+IF('Equipment List &amp; Usage'!$AB18&gt;0,'Weekly Summary'!BC$100+'Weekly Summary'!BC$101,0)),'Equipment List &amp; Usage'!$C$115*(('Weekly Summary'!BC$128*'Equipment List &amp; Usage'!$AA18)+('Weekly Summary'!BC$100*'Equipment List &amp; Usage'!$AB18*SelfQuarantine_Mild)+('Weekly Summary'!BC$101*'Equipment List &amp; Usage'!$AB18*SelfQuarantine_Moderate)))+IF('Equipment List &amp; Usage'!$F18="Yes",('Equipment List &amp; Usage'!$C$114*(IF('Equipment List &amp; Usage'!$AE18&gt;0,'Weekly Summary'!BC$134,0)+IF('Equipment List &amp; Usage'!$AF18&gt;0,'Weekly Summary'!BC$135))),'Equipment List &amp; Usage'!$C$115*(('Weekly Summary'!BC$134*'Equipment List &amp; Usage'!$AE18)+('Weekly Summary'!BC$135*'Equipment List &amp; Usage'!$AF18)))),0)</f>
        <v>0</v>
      </c>
      <c r="BJ16" s="1379">
        <f ca="1">MAX(IF($F16="Yes",(
IF($F16="yes",MMULT(--('Equipment List &amp; Usage'!$J18:$N18&gt;0),--('Weekly Summary'!BD$112:BD$116))*'Equipment List &amp; Usage'!$C$114,MMULT(--('Equipment List &amp; Usage'!$J18:$N18),--('Weekly Summary'!BD$112:BD$116))*'Equipment List &amp; Usage'!$C$115)+IF('Equipment List &amp; Usage'!$F17="yes",'Equipment List &amp; Usage'!$C$114,'Equipment List &amp; Usage'!$C$115)*(('Weekly Summary'!BD$66*'Equipment List &amp; Usage'!$Q18)+('Weekly Summary'!BD$64*'Equipment List &amp; Usage'!$O18)+('Weekly Summary'!BD$65*'Equipment List &amp; Usage'!$P18)))+(IF('Equipment List &amp; Usage'!$F18="Yes",'Equipment List &amp; Usage'!$C$114*((('Weekly Summary'!BD$131*SelfQuarantine_Mild)+('Weekly Summary'!BD$100*SelfQuarantine_Mild)+('Weekly Summary'!BD$101*SelfQuarantine_Moderate))),'Equipment List &amp; Usage'!$C$115)*((('Weekly Summary'!BD$131*SelfQuarantine_Mild*'Equipment List &amp; Usage'!$W18)+('Weekly Summary'!BD$100*SelfQuarantine_Mild*'Equipment List &amp; Usage'!$X18)+('Weekly Summary'!BD$101*SelfQuarantine_Moderate*'Equipment List &amp; Usage'!$X18)))+IF('Equipment List &amp; Usage'!$F18="Yes",'Equipment List &amp; Usage'!$C$114*(IF('Equipment List &amp; Usage'!$AA18&gt;0,'Weekly Summary'!BD$128,0)+IF('Equipment List &amp; Usage'!$AB18&gt;0,'Weekly Summary'!BD$100+'Weekly Summary'!BD$101,0)),'Equipment List &amp; Usage'!$C$115*(('Weekly Summary'!BD$128*'Equipment List &amp; Usage'!$AA18)+('Weekly Summary'!BD$100*'Equipment List &amp; Usage'!$AB18*SelfQuarantine_Mild)+('Weekly Summary'!BD$101*'Equipment List &amp; Usage'!$AB18*SelfQuarantine_Moderate)))+IF('Equipment List &amp; Usage'!$F18="Yes",('Equipment List &amp; Usage'!$C$114*(IF('Equipment List &amp; Usage'!$AE18&gt;0,'Weekly Summary'!BD$134,0)+IF('Equipment List &amp; Usage'!$AF18&gt;0,'Weekly Summary'!BD$135))),'Equipment List &amp; Usage'!$C$115*(('Weekly Summary'!BD$134*'Equipment List &amp; Usage'!$AE18)+('Weekly Summary'!BD$135*'Equipment List &amp; Usage'!$AF18))))-SUM($I16:BI16),
IF($F16="yes",MMULT(--('Equipment List &amp; Usage'!$J18:$N18&gt;0),--('Weekly Summary'!BD$112:BD$116))*'Equipment List &amp; Usage'!$C$114,MMULT(--('Equipment List &amp; Usage'!$J18:$N18),--('Weekly Summary'!BD$112:BD$116))*'Equipment List &amp; Usage'!$C$115)+IF('Equipment List &amp; Usage'!$F17="yes",'Equipment List &amp; Usage'!$C$114,'Equipment List &amp; Usage'!$C$115)*(('Weekly Summary'!BD$66*'Equipment List &amp; Usage'!$Q18)+('Weekly Summary'!BD$64*'Equipment List &amp; Usage'!$O18)+('Weekly Summary'!BD$65*'Equipment List &amp; Usage'!$P18))+(IF('Equipment List &amp; Usage'!$F18="Yes",'Equipment List &amp; Usage'!$C$114*((('Weekly Summary'!BD$131*SelfQuarantine_Mild)+('Weekly Summary'!BD$100*SelfQuarantine_Mild)+('Weekly Summary'!BD$101*SelfQuarantine_Moderate))),'Equipment List &amp; Usage'!$C$115)*((('Weekly Summary'!BD$131*SelfQuarantine_Mild*'Equipment List &amp; Usage'!$W18)+('Weekly Summary'!BD$100*SelfQuarantine_Mild*'Equipment List &amp; Usage'!$X18)+('Weekly Summary'!BD$101*SelfQuarantine_Moderate*'Equipment List &amp; Usage'!$X18))))+IF('Equipment List &amp; Usage'!$F18="Yes",'Equipment List &amp; Usage'!$C$114*(IF('Equipment List &amp; Usage'!$AA18&gt;0,'Weekly Summary'!BD$128,0)+IF('Equipment List &amp; Usage'!$AB18&gt;0,'Weekly Summary'!BD$100+'Weekly Summary'!BD$101,0)),'Equipment List &amp; Usage'!$C$115*(('Weekly Summary'!BD$128*'Equipment List &amp; Usage'!$AA18)+('Weekly Summary'!BD$100*'Equipment List &amp; Usage'!$AB18*SelfQuarantine_Mild)+('Weekly Summary'!BD$101*'Equipment List &amp; Usage'!$AB18*SelfQuarantine_Moderate)))+IF('Equipment List &amp; Usage'!$F18="Yes",('Equipment List &amp; Usage'!$C$114*(IF('Equipment List &amp; Usage'!$AE18&gt;0,'Weekly Summary'!BD$134,0)+IF('Equipment List &amp; Usage'!$AF18&gt;0,'Weekly Summary'!BD$135))),'Equipment List &amp; Usage'!$C$115*(('Weekly Summary'!BD$134*'Equipment List &amp; Usage'!$AE18)+('Weekly Summary'!BD$135*'Equipment List &amp; Usage'!$AF18)))),0)</f>
        <v>0</v>
      </c>
    </row>
    <row r="17" spans="2:62" ht="15" thickBot="1" x14ac:dyDescent="0.4">
      <c r="H17" s="67"/>
      <c r="K17" s="1362"/>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D17" s="1326"/>
      <c r="BE17" s="1326"/>
      <c r="BF17" s="1326"/>
      <c r="BG17" s="1326"/>
      <c r="BH17" s="1326"/>
      <c r="BI17" s="1326"/>
      <c r="BJ17" s="1326"/>
    </row>
    <row r="18" spans="2:62" x14ac:dyDescent="0.35">
      <c r="B18" s="950" t="str">
        <f>'Equipment List &amp; Usage'!B20</f>
        <v>IPC</v>
      </c>
      <c r="C18" s="951" t="str">
        <f>'Equipment List &amp; Usage'!C20</f>
        <v>PPE</v>
      </c>
      <c r="D18" s="951" t="str">
        <f>'Equipment List &amp; Usage'!D20</f>
        <v>Gown, protective</v>
      </c>
      <c r="E18" s="951" t="str">
        <f>'Equipment List &amp; Usage'!E20</f>
        <v>Each</v>
      </c>
      <c r="F18" s="951" t="str">
        <f>'Equipment List &amp; Usage'!F20</f>
        <v>No</v>
      </c>
      <c r="G18" s="951" t="str">
        <f>'Equipment List &amp; Usage'!G20</f>
        <v>N/A</v>
      </c>
      <c r="H18" s="1367">
        <f t="shared" ca="1" si="2"/>
        <v>42262.045361375946</v>
      </c>
      <c r="J18" s="1340"/>
      <c r="K18" s="1375">
        <f ca="1">IF('User Dashboard'!$H$13=1,0,IF($F18="Yes",(
IF($F18="yes",MMULT(--('Equipment List &amp; Usage'!$J20:$N20&gt;0),--('Weekly Summary'!E$112:E$116))*'Equipment List &amp; Usage'!$C$114,MMULT(--('Equipment List &amp; Usage'!$J20:$N20),--('Weekly Summary'!E$112:E$116))*'Equipment List &amp; Usage'!$C$115)+IF('Equipment List &amp; Usage'!$F19="yes",'Equipment List &amp; Usage'!$C$114,'Equipment List &amp; Usage'!$C$115)*(('Weekly Summary'!E$66*'Equipment List &amp; Usage'!$Q20)+('Weekly Summary'!E$64*'Equipment List &amp; Usage'!$O20)+('Weekly Summary'!E$65*'Equipment List &amp; Usage'!$P20)))+(IF('Equipment List &amp; Usage'!$F20="Yes",'Equipment List &amp; Usage'!$C$114*((('Weekly Summary'!E$131*SelfQuarantine_Mild)+('Weekly Summary'!E$100*SelfQuarantine_Mild)+('Weekly Summary'!E$101*SelfQuarantine_Moderate))),'Equipment List &amp; Usage'!$C$115)*((('Weekly Summary'!E$131*SelfQuarantine_Mild*'Equipment List &amp; Usage'!$W20)+('Weekly Summary'!E$100*SelfQuarantine_Mild*'Equipment List &amp; Usage'!$X20)+('Weekly Summary'!E$101*SelfQuarantine_Moderate*'Equipment List &amp; Usage'!$X20)))+IF('Equipment List &amp; Usage'!$F20="Yes",'Equipment List &amp; Usage'!$C$114*(IF('Equipment List &amp; Usage'!$AA20&gt;0,'Weekly Summary'!E$128,0)+IF('Equipment List &amp; Usage'!$AB20&gt;0,'Weekly Summary'!E$100+'Weekly Summary'!E$101,0)),'Equipment List &amp; Usage'!$C$115*(('Weekly Summary'!E$128*'Equipment List &amp; Usage'!$AA20)+('Weekly Summary'!E$100*'Equipment List &amp; Usage'!$AB20*SelfQuarantine_Mild)+('Weekly Summary'!E$101*'Equipment List &amp; Usage'!$AB20*SelfQuarantine_Moderate)))+IF('Equipment List &amp; Usage'!$F20="Yes",('Equipment List &amp; Usage'!$C$114*(IF('Equipment List &amp; Usage'!$AE20&gt;0,'Weekly Summary'!E$134,0)+IF('Equipment List &amp; Usage'!$AF20&gt;0,'Weekly Summary'!E$135))),'Equipment List &amp; Usage'!$C$115*(('Weekly Summary'!E$134*'Equipment List &amp; Usage'!$AE20)+('Weekly Summary'!E$135*'Equipment List &amp; Usage'!$AF20)))),
IF($F18="yes",MMULT(--('Equipment List &amp; Usage'!$J20:$N20&gt;0),--('Weekly Summary'!E$112:E$116))*'Equipment List &amp; Usage'!$C$114,MMULT(--('Equipment List &amp; Usage'!$J20:$N20),--('Weekly Summary'!E$112:E$116))*'Equipment List &amp; Usage'!$C$115)+IF('Equipment List &amp; Usage'!$F19="yes",'Equipment List &amp; Usage'!$C$114,'Equipment List &amp; Usage'!$C$115)*(('Weekly Summary'!E$66*'Equipment List &amp; Usage'!$Q20)+('Weekly Summary'!E$64*'Equipment List &amp; Usage'!$O20)+('Weekly Summary'!E$65*'Equipment List &amp; Usage'!$P20))+(IF('Equipment List &amp; Usage'!$F20="Yes",'Equipment List &amp; Usage'!$C$114*((('Weekly Summary'!E$131*SelfQuarantine_Mild)+('Weekly Summary'!E$100*SelfQuarantine_Mild)+('Weekly Summary'!E$101*SelfQuarantine_Moderate))),'Equipment List &amp; Usage'!$C$115)*((('Weekly Summary'!E$131*SelfQuarantine_Mild*'Equipment List &amp; Usage'!$W20)+('Weekly Summary'!E$100*SelfQuarantine_Mild*'Equipment List &amp; Usage'!$X20)+('Weekly Summary'!E$101*SelfQuarantine_Moderate*'Equipment List &amp; Usage'!$X20))))+IF('Equipment List &amp; Usage'!$F20="Yes",'Equipment List &amp; Usage'!$C$114*(IF('Equipment List &amp; Usage'!$AA20&gt;0,'Weekly Summary'!E$128,0)+IF('Equipment List &amp; Usage'!$AB20&gt;0,'Weekly Summary'!E$100+'Weekly Summary'!E$101,0)),'Equipment List &amp; Usage'!$C$115*(('Weekly Summary'!E$128*'Equipment List &amp; Usage'!$AA20)+('Weekly Summary'!E$100*'Equipment List &amp; Usage'!$AB20*SelfQuarantine_Mild)+('Weekly Summary'!E$101*'Equipment List &amp; Usage'!$AB20*SelfQuarantine_Moderate)))+IF('Equipment List &amp; Usage'!$F20="Yes",('Equipment List &amp; Usage'!$C$114*(IF('Equipment List &amp; Usage'!$AE20&gt;0,'Weekly Summary'!E$134,0)+IF('Equipment List &amp; Usage'!$AF20&gt;0,'Weekly Summary'!E$135))),'Equipment List &amp; Usage'!$C$115*(('Weekly Summary'!E$134*'Equipment List &amp; Usage'!$AE20)+('Weekly Summary'!E$135*'Equipment List &amp; Usage'!$AF20)))))</f>
        <v>5168.3766198166004</v>
      </c>
      <c r="L18" s="1375">
        <f ca="1">MAX(IF($F18="Yes",(
IF($F18="yes",MMULT(--('Equipment List &amp; Usage'!$J20:$N20&gt;0),--('Weekly Summary'!F$112:F$116))*'Equipment List &amp; Usage'!$C$114,MMULT(--('Equipment List &amp; Usage'!$J20:$N20),--('Weekly Summary'!F$112:F$116))*'Equipment List &amp; Usage'!$C$115)+IF('Equipment List &amp; Usage'!$F19="yes",'Equipment List &amp; Usage'!$C$114,'Equipment List &amp; Usage'!$C$115)*(('Weekly Summary'!F$66*'Equipment List &amp; Usage'!$Q20)+('Weekly Summary'!F$64*'Equipment List &amp; Usage'!$O20)+('Weekly Summary'!F$65*'Equipment List &amp; Usage'!$P20)))+(IF('Equipment List &amp; Usage'!$F20="Yes",'Equipment List &amp; Usage'!$C$114*((('Weekly Summary'!F$131*SelfQuarantine_Mild)+('Weekly Summary'!F$100*SelfQuarantine_Mild)+('Weekly Summary'!F$101*SelfQuarantine_Moderate))),'Equipment List &amp; Usage'!$C$115)*((('Weekly Summary'!F$131*SelfQuarantine_Mild*'Equipment List &amp; Usage'!$W20)+('Weekly Summary'!F$100*SelfQuarantine_Mild*'Equipment List &amp; Usage'!$X20)+('Weekly Summary'!F$101*SelfQuarantine_Moderate*'Equipment List &amp; Usage'!$X20)))+IF('Equipment List &amp; Usage'!$F20="Yes",'Equipment List &amp; Usage'!$C$114*(IF('Equipment List &amp; Usage'!$AA20&gt;0,'Weekly Summary'!F$128,0)+IF('Equipment List &amp; Usage'!$AB20&gt;0,'Weekly Summary'!F$100+'Weekly Summary'!F$101,0)),'Equipment List &amp; Usage'!$C$115*(('Weekly Summary'!F$128*'Equipment List &amp; Usage'!$AA20)+('Weekly Summary'!F$100*'Equipment List &amp; Usage'!$AB20*SelfQuarantine_Mild)+('Weekly Summary'!F$101*'Equipment List &amp; Usage'!$AB20*SelfQuarantine_Moderate)))+IF('Equipment List &amp; Usage'!$F20="Yes",('Equipment List &amp; Usage'!$C$114*(IF('Equipment List &amp; Usage'!$AE20&gt;0,'Weekly Summary'!F$134,0)+IF('Equipment List &amp; Usage'!$AF20&gt;0,'Weekly Summary'!F$135))),'Equipment List &amp; Usage'!$C$115*(('Weekly Summary'!F$134*'Equipment List &amp; Usage'!$AE20)+('Weekly Summary'!F$135*'Equipment List &amp; Usage'!$AF20))))-SUM($I18:K18),
IF($F18="yes",MMULT(--('Equipment List &amp; Usage'!$J20:$N20&gt;0),--('Weekly Summary'!F$112:F$116))*'Equipment List &amp; Usage'!$C$114,MMULT(--('Equipment List &amp; Usage'!$J20:$N20),--('Weekly Summary'!F$112:F$116))*'Equipment List &amp; Usage'!$C$115)+IF('Equipment List &amp; Usage'!$F19="yes",'Equipment List &amp; Usage'!$C$114,'Equipment List &amp; Usage'!$C$115)*(('Weekly Summary'!F$66*'Equipment List &amp; Usage'!$Q20)+('Weekly Summary'!F$64*'Equipment List &amp; Usage'!$O20)+('Weekly Summary'!F$65*'Equipment List &amp; Usage'!$P20))+(IF('Equipment List &amp; Usage'!$F20="Yes",'Equipment List &amp; Usage'!$C$114*((('Weekly Summary'!F$131*SelfQuarantine_Mild)+('Weekly Summary'!F$100*SelfQuarantine_Mild)+('Weekly Summary'!F$101*SelfQuarantine_Moderate))),'Equipment List &amp; Usage'!$C$115)*((('Weekly Summary'!F$131*SelfQuarantine_Mild*'Equipment List &amp; Usage'!$W20)+('Weekly Summary'!F$100*SelfQuarantine_Mild*'Equipment List &amp; Usage'!$X20)+('Weekly Summary'!F$101*SelfQuarantine_Moderate*'Equipment List &amp; Usage'!$X20))))+IF('Equipment List &amp; Usage'!$F20="Yes",'Equipment List &amp; Usage'!$C$114*(IF('Equipment List &amp; Usage'!$AA20&gt;0,'Weekly Summary'!F$128,0)+IF('Equipment List &amp; Usage'!$AB20&gt;0,'Weekly Summary'!F$100+'Weekly Summary'!F$101,0)),'Equipment List &amp; Usage'!$C$115*(('Weekly Summary'!F$128*'Equipment List &amp; Usage'!$AA20)+('Weekly Summary'!F$100*'Equipment List &amp; Usage'!$AB20*SelfQuarantine_Mild)+('Weekly Summary'!F$101*'Equipment List &amp; Usage'!$AB20*SelfQuarantine_Moderate)))+IF('Equipment List &amp; Usage'!$F20="Yes",('Equipment List &amp; Usage'!$C$114*(IF('Equipment List &amp; Usage'!$AE20&gt;0,'Weekly Summary'!F$134,0)+IF('Equipment List &amp; Usage'!$AF20&gt;0,'Weekly Summary'!F$135))),'Equipment List &amp; Usage'!$C$115*(('Weekly Summary'!F$134*'Equipment List &amp; Usage'!$AE20)+('Weekly Summary'!F$135*'Equipment List &amp; Usage'!$AF20)))),0)</f>
        <v>5207.7003051379679</v>
      </c>
      <c r="M18" s="1375">
        <f ca="1">MAX(IF($F18="Yes",(
IF($F18="yes",MMULT(--('Equipment List &amp; Usage'!$J20:$N20&gt;0),--('Weekly Summary'!G$112:G$116))*'Equipment List &amp; Usage'!$C$114,MMULT(--('Equipment List &amp; Usage'!$J20:$N20),--('Weekly Summary'!G$112:G$116))*'Equipment List &amp; Usage'!$C$115)+IF('Equipment List &amp; Usage'!$F19="yes",'Equipment List &amp; Usage'!$C$114,'Equipment List &amp; Usage'!$C$115)*(('Weekly Summary'!G$66*'Equipment List &amp; Usage'!$Q20)+('Weekly Summary'!G$64*'Equipment List &amp; Usage'!$O20)+('Weekly Summary'!G$65*'Equipment List &amp; Usage'!$P20)))+(IF('Equipment List &amp; Usage'!$F20="Yes",'Equipment List &amp; Usage'!$C$114*((('Weekly Summary'!G$131*SelfQuarantine_Mild)+('Weekly Summary'!G$100*SelfQuarantine_Mild)+('Weekly Summary'!G$101*SelfQuarantine_Moderate))),'Equipment List &amp; Usage'!$C$115)*((('Weekly Summary'!G$131*SelfQuarantine_Mild*'Equipment List &amp; Usage'!$W20)+('Weekly Summary'!G$100*SelfQuarantine_Mild*'Equipment List &amp; Usage'!$X20)+('Weekly Summary'!G$101*SelfQuarantine_Moderate*'Equipment List &amp; Usage'!$X20)))+IF('Equipment List &amp; Usage'!$F20="Yes",'Equipment List &amp; Usage'!$C$114*(IF('Equipment List &amp; Usage'!$AA20&gt;0,'Weekly Summary'!G$128,0)+IF('Equipment List &amp; Usage'!$AB20&gt;0,'Weekly Summary'!G$100+'Weekly Summary'!G$101,0)),'Equipment List &amp; Usage'!$C$115*(('Weekly Summary'!G$128*'Equipment List &amp; Usage'!$AA20)+('Weekly Summary'!G$100*'Equipment List &amp; Usage'!$AB20*SelfQuarantine_Mild)+('Weekly Summary'!G$101*'Equipment List &amp; Usage'!$AB20*SelfQuarantine_Moderate)))+IF('Equipment List &amp; Usage'!$F20="Yes",('Equipment List &amp; Usage'!$C$114*(IF('Equipment List &amp; Usage'!$AE20&gt;0,'Weekly Summary'!G$134,0)+IF('Equipment List &amp; Usage'!$AF20&gt;0,'Weekly Summary'!G$135))),'Equipment List &amp; Usage'!$C$115*(('Weekly Summary'!G$134*'Equipment List &amp; Usage'!$AE20)+('Weekly Summary'!G$135*'Equipment List &amp; Usage'!$AF20))))-SUM($I18:L18),
IF($F18="yes",MMULT(--('Equipment List &amp; Usage'!$J20:$N20&gt;0),--('Weekly Summary'!G$112:G$116))*'Equipment List &amp; Usage'!$C$114,MMULT(--('Equipment List &amp; Usage'!$J20:$N20),--('Weekly Summary'!G$112:G$116))*'Equipment List &amp; Usage'!$C$115)+IF('Equipment List &amp; Usage'!$F19="yes",'Equipment List &amp; Usage'!$C$114,'Equipment List &amp; Usage'!$C$115)*(('Weekly Summary'!G$66*'Equipment List &amp; Usage'!$Q20)+('Weekly Summary'!G$64*'Equipment List &amp; Usage'!$O20)+('Weekly Summary'!G$65*'Equipment List &amp; Usage'!$P20))+(IF('Equipment List &amp; Usage'!$F20="Yes",'Equipment List &amp; Usage'!$C$114*((('Weekly Summary'!G$131*SelfQuarantine_Mild)+('Weekly Summary'!G$100*SelfQuarantine_Mild)+('Weekly Summary'!G$101*SelfQuarantine_Moderate))),'Equipment List &amp; Usage'!$C$115)*((('Weekly Summary'!G$131*SelfQuarantine_Mild*'Equipment List &amp; Usage'!$W20)+('Weekly Summary'!G$100*SelfQuarantine_Mild*'Equipment List &amp; Usage'!$X20)+('Weekly Summary'!G$101*SelfQuarantine_Moderate*'Equipment List &amp; Usage'!$X20))))+IF('Equipment List &amp; Usage'!$F20="Yes",'Equipment List &amp; Usage'!$C$114*(IF('Equipment List &amp; Usage'!$AA20&gt;0,'Weekly Summary'!G$128,0)+IF('Equipment List &amp; Usage'!$AB20&gt;0,'Weekly Summary'!G$100+'Weekly Summary'!G$101,0)),'Equipment List &amp; Usage'!$C$115*(('Weekly Summary'!G$128*'Equipment List &amp; Usage'!$AA20)+('Weekly Summary'!G$100*'Equipment List &amp; Usage'!$AB20*SelfQuarantine_Mild)+('Weekly Summary'!G$101*'Equipment List &amp; Usage'!$AB20*SelfQuarantine_Moderate)))+IF('Equipment List &amp; Usage'!$F20="Yes",('Equipment List &amp; Usage'!$C$114*(IF('Equipment List &amp; Usage'!$AE20&gt;0,'Weekly Summary'!G$134,0)+IF('Equipment List &amp; Usage'!$AF20&gt;0,'Weekly Summary'!G$135))),'Equipment List &amp; Usage'!$C$115*(('Weekly Summary'!G$134*'Equipment List &amp; Usage'!$AE20)+('Weekly Summary'!G$135*'Equipment List &amp; Usage'!$AF20)))),0)</f>
        <v>5343.4128256553067</v>
      </c>
      <c r="N18" s="1375">
        <f ca="1">MAX(IF($F18="Yes",(
IF($F18="yes",MMULT(--('Equipment List &amp; Usage'!$J20:$N20&gt;0),--('Weekly Summary'!H$112:H$116))*'Equipment List &amp; Usage'!$C$114,MMULT(--('Equipment List &amp; Usage'!$J20:$N20),--('Weekly Summary'!H$112:H$116))*'Equipment List &amp; Usage'!$C$115)+IF('Equipment List &amp; Usage'!$F19="yes",'Equipment List &amp; Usage'!$C$114,'Equipment List &amp; Usage'!$C$115)*(('Weekly Summary'!H$66*'Equipment List &amp; Usage'!$Q20)+('Weekly Summary'!H$64*'Equipment List &amp; Usage'!$O20)+('Weekly Summary'!H$65*'Equipment List &amp; Usage'!$P20)))+(IF('Equipment List &amp; Usage'!$F20="Yes",'Equipment List &amp; Usage'!$C$114*((('Weekly Summary'!H$131*SelfQuarantine_Mild)+('Weekly Summary'!H$100*SelfQuarantine_Mild)+('Weekly Summary'!H$101*SelfQuarantine_Moderate))),'Equipment List &amp; Usage'!$C$115)*((('Weekly Summary'!H$131*SelfQuarantine_Mild*'Equipment List &amp; Usage'!$W20)+('Weekly Summary'!H$100*SelfQuarantine_Mild*'Equipment List &amp; Usage'!$X20)+('Weekly Summary'!H$101*SelfQuarantine_Moderate*'Equipment List &amp; Usage'!$X20)))+IF('Equipment List &amp; Usage'!$F20="Yes",'Equipment List &amp; Usage'!$C$114*(IF('Equipment List &amp; Usage'!$AA20&gt;0,'Weekly Summary'!H$128,0)+IF('Equipment List &amp; Usage'!$AB20&gt;0,'Weekly Summary'!H$100+'Weekly Summary'!H$101,0)),'Equipment List &amp; Usage'!$C$115*(('Weekly Summary'!H$128*'Equipment List &amp; Usage'!$AA20)+('Weekly Summary'!H$100*'Equipment List &amp; Usage'!$AB20*SelfQuarantine_Mild)+('Weekly Summary'!H$101*'Equipment List &amp; Usage'!$AB20*SelfQuarantine_Moderate)))+IF('Equipment List &amp; Usage'!$F20="Yes",('Equipment List &amp; Usage'!$C$114*(IF('Equipment List &amp; Usage'!$AE20&gt;0,'Weekly Summary'!H$134,0)+IF('Equipment List &amp; Usage'!$AF20&gt;0,'Weekly Summary'!H$135))),'Equipment List &amp; Usage'!$C$115*(('Weekly Summary'!H$134*'Equipment List &amp; Usage'!$AE20)+('Weekly Summary'!H$135*'Equipment List &amp; Usage'!$AF20))))-SUM($I18:M18),
IF($F18="yes",MMULT(--('Equipment List &amp; Usage'!$J20:$N20&gt;0),--('Weekly Summary'!H$112:H$116))*'Equipment List &amp; Usage'!$C$114,MMULT(--('Equipment List &amp; Usage'!$J20:$N20),--('Weekly Summary'!H$112:H$116))*'Equipment List &amp; Usage'!$C$115)+IF('Equipment List &amp; Usage'!$F19="yes",'Equipment List &amp; Usage'!$C$114,'Equipment List &amp; Usage'!$C$115)*(('Weekly Summary'!H$66*'Equipment List &amp; Usage'!$Q20)+('Weekly Summary'!H$64*'Equipment List &amp; Usage'!$O20)+('Weekly Summary'!H$65*'Equipment List &amp; Usage'!$P20))+(IF('Equipment List &amp; Usage'!$F20="Yes",'Equipment List &amp; Usage'!$C$114*((('Weekly Summary'!H$131*SelfQuarantine_Mild)+('Weekly Summary'!H$100*SelfQuarantine_Mild)+('Weekly Summary'!H$101*SelfQuarantine_Moderate))),'Equipment List &amp; Usage'!$C$115)*((('Weekly Summary'!H$131*SelfQuarantine_Mild*'Equipment List &amp; Usage'!$W20)+('Weekly Summary'!H$100*SelfQuarantine_Mild*'Equipment List &amp; Usage'!$X20)+('Weekly Summary'!H$101*SelfQuarantine_Moderate*'Equipment List &amp; Usage'!$X20))))+IF('Equipment List &amp; Usage'!$F20="Yes",'Equipment List &amp; Usage'!$C$114*(IF('Equipment List &amp; Usage'!$AA20&gt;0,'Weekly Summary'!H$128,0)+IF('Equipment List &amp; Usage'!$AB20&gt;0,'Weekly Summary'!H$100+'Weekly Summary'!H$101,0)),'Equipment List &amp; Usage'!$C$115*(('Weekly Summary'!H$128*'Equipment List &amp; Usage'!$AA20)+('Weekly Summary'!H$100*'Equipment List &amp; Usage'!$AB20*SelfQuarantine_Mild)+('Weekly Summary'!H$101*'Equipment List &amp; Usage'!$AB20*SelfQuarantine_Moderate)))+IF('Equipment List &amp; Usage'!$F20="Yes",('Equipment List &amp; Usage'!$C$114*(IF('Equipment List &amp; Usage'!$AE20&gt;0,'Weekly Summary'!H$134,0)+IF('Equipment List &amp; Usage'!$AF20&gt;0,'Weekly Summary'!H$135))),'Equipment List &amp; Usage'!$C$115*(('Weekly Summary'!H$134*'Equipment List &amp; Usage'!$AE20)+('Weekly Summary'!H$135*'Equipment List &amp; Usage'!$AF20)))),0)</f>
        <v>5823.7649904780919</v>
      </c>
      <c r="O18" s="1375">
        <f ca="1">MAX(IF($F18="Yes",(
IF($F18="yes",MMULT(--('Equipment List &amp; Usage'!$J20:$N20&gt;0),--('Weekly Summary'!I$112:I$116))*'Equipment List &amp; Usage'!$C$114,MMULT(--('Equipment List &amp; Usage'!$J20:$N20),--('Weekly Summary'!I$112:I$116))*'Equipment List &amp; Usage'!$C$115)+IF('Equipment List &amp; Usage'!$F19="yes",'Equipment List &amp; Usage'!$C$114,'Equipment List &amp; Usage'!$C$115)*(('Weekly Summary'!I$66*'Equipment List &amp; Usage'!$Q20)+('Weekly Summary'!I$64*'Equipment List &amp; Usage'!$O20)+('Weekly Summary'!I$65*'Equipment List &amp; Usage'!$P20)))+(IF('Equipment List &amp; Usage'!$F20="Yes",'Equipment List &amp; Usage'!$C$114*((('Weekly Summary'!I$131*SelfQuarantine_Mild)+('Weekly Summary'!I$100*SelfQuarantine_Mild)+('Weekly Summary'!I$101*SelfQuarantine_Moderate))),'Equipment List &amp; Usage'!$C$115)*((('Weekly Summary'!I$131*SelfQuarantine_Mild*'Equipment List &amp; Usage'!$W20)+('Weekly Summary'!I$100*SelfQuarantine_Mild*'Equipment List &amp; Usage'!$X20)+('Weekly Summary'!I$101*SelfQuarantine_Moderate*'Equipment List &amp; Usage'!$X20)))+IF('Equipment List &amp; Usage'!$F20="Yes",'Equipment List &amp; Usage'!$C$114*(IF('Equipment List &amp; Usage'!$AA20&gt;0,'Weekly Summary'!I$128,0)+IF('Equipment List &amp; Usage'!$AB20&gt;0,'Weekly Summary'!I$100+'Weekly Summary'!I$101,0)),'Equipment List &amp; Usage'!$C$115*(('Weekly Summary'!I$128*'Equipment List &amp; Usage'!$AA20)+('Weekly Summary'!I$100*'Equipment List &amp; Usage'!$AB20*SelfQuarantine_Mild)+('Weekly Summary'!I$101*'Equipment List &amp; Usage'!$AB20*SelfQuarantine_Moderate)))+IF('Equipment List &amp; Usage'!$F20="Yes",('Equipment List &amp; Usage'!$C$114*(IF('Equipment List &amp; Usage'!$AE20&gt;0,'Weekly Summary'!I$134,0)+IF('Equipment List &amp; Usage'!$AF20&gt;0,'Weekly Summary'!I$135))),'Equipment List &amp; Usage'!$C$115*(('Weekly Summary'!I$134*'Equipment List &amp; Usage'!$AE20)+('Weekly Summary'!I$135*'Equipment List &amp; Usage'!$AF20))))-SUM($I18:N18),
IF($F18="yes",MMULT(--('Equipment List &amp; Usage'!$J20:$N20&gt;0),--('Weekly Summary'!I$112:I$116))*'Equipment List &amp; Usage'!$C$114,MMULT(--('Equipment List &amp; Usage'!$J20:$N20),--('Weekly Summary'!I$112:I$116))*'Equipment List &amp; Usage'!$C$115)+IF('Equipment List &amp; Usage'!$F19="yes",'Equipment List &amp; Usage'!$C$114,'Equipment List &amp; Usage'!$C$115)*(('Weekly Summary'!I$66*'Equipment List &amp; Usage'!$Q20)+('Weekly Summary'!I$64*'Equipment List &amp; Usage'!$O20)+('Weekly Summary'!I$65*'Equipment List &amp; Usage'!$P20))+(IF('Equipment List &amp; Usage'!$F20="Yes",'Equipment List &amp; Usage'!$C$114*((('Weekly Summary'!I$131*SelfQuarantine_Mild)+('Weekly Summary'!I$100*SelfQuarantine_Mild)+('Weekly Summary'!I$101*SelfQuarantine_Moderate))),'Equipment List &amp; Usage'!$C$115)*((('Weekly Summary'!I$131*SelfQuarantine_Mild*'Equipment List &amp; Usage'!$W20)+('Weekly Summary'!I$100*SelfQuarantine_Mild*'Equipment List &amp; Usage'!$X20)+('Weekly Summary'!I$101*SelfQuarantine_Moderate*'Equipment List &amp; Usage'!$X20))))+IF('Equipment List &amp; Usage'!$F20="Yes",'Equipment List &amp; Usage'!$C$114*(IF('Equipment List &amp; Usage'!$AA20&gt;0,'Weekly Summary'!I$128,0)+IF('Equipment List &amp; Usage'!$AB20&gt;0,'Weekly Summary'!I$100+'Weekly Summary'!I$101,0)),'Equipment List &amp; Usage'!$C$115*(('Weekly Summary'!I$128*'Equipment List &amp; Usage'!$AA20)+('Weekly Summary'!I$100*'Equipment List &amp; Usage'!$AB20*SelfQuarantine_Mild)+('Weekly Summary'!I$101*'Equipment List &amp; Usage'!$AB20*SelfQuarantine_Moderate)))+IF('Equipment List &amp; Usage'!$F20="Yes",('Equipment List &amp; Usage'!$C$114*(IF('Equipment List &amp; Usage'!$AE20&gt;0,'Weekly Summary'!I$134,0)+IF('Equipment List &amp; Usage'!$AF20&gt;0,'Weekly Summary'!I$135))),'Equipment List &amp; Usage'!$C$115*(('Weekly Summary'!I$134*'Equipment List &amp; Usage'!$AE20)+('Weekly Summary'!I$135*'Equipment List &amp; Usage'!$AF20)))),0)</f>
        <v>7496.0771283313588</v>
      </c>
      <c r="P18" s="1375">
        <f ca="1">MAX(IF($F18="Yes",(
IF($F18="yes",MMULT(--('Equipment List &amp; Usage'!$J20:$N20&gt;0),--('Weekly Summary'!J$112:J$116))*'Equipment List &amp; Usage'!$C$114,MMULT(--('Equipment List &amp; Usage'!$J20:$N20),--('Weekly Summary'!J$112:J$116))*'Equipment List &amp; Usage'!$C$115)+IF('Equipment List &amp; Usage'!$F19="yes",'Equipment List &amp; Usage'!$C$114,'Equipment List &amp; Usage'!$C$115)*(('Weekly Summary'!J$66*'Equipment List &amp; Usage'!$Q20)+('Weekly Summary'!J$64*'Equipment List &amp; Usage'!$O20)+('Weekly Summary'!J$65*'Equipment List &amp; Usage'!$P20)))+(IF('Equipment List &amp; Usage'!$F20="Yes",'Equipment List &amp; Usage'!$C$114*((('Weekly Summary'!J$131*SelfQuarantine_Mild)+('Weekly Summary'!J$100*SelfQuarantine_Mild)+('Weekly Summary'!J$101*SelfQuarantine_Moderate))),'Equipment List &amp; Usage'!$C$115)*((('Weekly Summary'!J$131*SelfQuarantine_Mild*'Equipment List &amp; Usage'!$W20)+('Weekly Summary'!J$100*SelfQuarantine_Mild*'Equipment List &amp; Usage'!$X20)+('Weekly Summary'!J$101*SelfQuarantine_Moderate*'Equipment List &amp; Usage'!$X20)))+IF('Equipment List &amp; Usage'!$F20="Yes",'Equipment List &amp; Usage'!$C$114*(IF('Equipment List &amp; Usage'!$AA20&gt;0,'Weekly Summary'!J$128,0)+IF('Equipment List &amp; Usage'!$AB20&gt;0,'Weekly Summary'!J$100+'Weekly Summary'!J$101,0)),'Equipment List &amp; Usage'!$C$115*(('Weekly Summary'!J$128*'Equipment List &amp; Usage'!$AA20)+('Weekly Summary'!J$100*'Equipment List &amp; Usage'!$AB20*SelfQuarantine_Mild)+('Weekly Summary'!J$101*'Equipment List &amp; Usage'!$AB20*SelfQuarantine_Moderate)))+IF('Equipment List &amp; Usage'!$F20="Yes",('Equipment List &amp; Usage'!$C$114*(IF('Equipment List &amp; Usage'!$AE20&gt;0,'Weekly Summary'!J$134,0)+IF('Equipment List &amp; Usage'!$AF20&gt;0,'Weekly Summary'!J$135))),'Equipment List &amp; Usage'!$C$115*(('Weekly Summary'!J$134*'Equipment List &amp; Usage'!$AE20)+('Weekly Summary'!J$135*'Equipment List &amp; Usage'!$AF20))))-SUM($I18:O18),
IF($F18="yes",MMULT(--('Equipment List &amp; Usage'!$J20:$N20&gt;0),--('Weekly Summary'!J$112:J$116))*'Equipment List &amp; Usage'!$C$114,MMULT(--('Equipment List &amp; Usage'!$J20:$N20),--('Weekly Summary'!J$112:J$116))*'Equipment List &amp; Usage'!$C$115)+IF('Equipment List &amp; Usage'!$F19="yes",'Equipment List &amp; Usage'!$C$114,'Equipment List &amp; Usage'!$C$115)*(('Weekly Summary'!J$66*'Equipment List &amp; Usage'!$Q20)+('Weekly Summary'!J$64*'Equipment List &amp; Usage'!$O20)+('Weekly Summary'!J$65*'Equipment List &amp; Usage'!$P20))+(IF('Equipment List &amp; Usage'!$F20="Yes",'Equipment List &amp; Usage'!$C$114*((('Weekly Summary'!J$131*SelfQuarantine_Mild)+('Weekly Summary'!J$100*SelfQuarantine_Mild)+('Weekly Summary'!J$101*SelfQuarantine_Moderate))),'Equipment List &amp; Usage'!$C$115)*((('Weekly Summary'!J$131*SelfQuarantine_Mild*'Equipment List &amp; Usage'!$W20)+('Weekly Summary'!J$100*SelfQuarantine_Mild*'Equipment List &amp; Usage'!$X20)+('Weekly Summary'!J$101*SelfQuarantine_Moderate*'Equipment List &amp; Usage'!$X20))))+IF('Equipment List &amp; Usage'!$F20="Yes",'Equipment List &amp; Usage'!$C$114*(IF('Equipment List &amp; Usage'!$AA20&gt;0,'Weekly Summary'!J$128,0)+IF('Equipment List &amp; Usage'!$AB20&gt;0,'Weekly Summary'!J$100+'Weekly Summary'!J$101,0)),'Equipment List &amp; Usage'!$C$115*(('Weekly Summary'!J$128*'Equipment List &amp; Usage'!$AA20)+('Weekly Summary'!J$100*'Equipment List &amp; Usage'!$AB20*SelfQuarantine_Mild)+('Weekly Summary'!J$101*'Equipment List &amp; Usage'!$AB20*SelfQuarantine_Moderate)))+IF('Equipment List &amp; Usage'!$F20="Yes",('Equipment List &amp; Usage'!$C$114*(IF('Equipment List &amp; Usage'!$AE20&gt;0,'Weekly Summary'!J$134,0)+IF('Equipment List &amp; Usage'!$AF20&gt;0,'Weekly Summary'!J$135))),'Equipment List &amp; Usage'!$C$115*(('Weekly Summary'!J$134*'Equipment List &amp; Usage'!$AE20)+('Weekly Summary'!J$135*'Equipment List &amp; Usage'!$AF20)))),0)</f>
        <v>13222.71349195662</v>
      </c>
      <c r="Q18" s="1375">
        <f ca="1">MAX(IF($F18="Yes",(
IF($F18="yes",MMULT(--('Equipment List &amp; Usage'!$J20:$N20&gt;0),--('Weekly Summary'!K$112:K$116))*'Equipment List &amp; Usage'!$C$114,MMULT(--('Equipment List &amp; Usage'!$J20:$N20),--('Weekly Summary'!K$112:K$116))*'Equipment List &amp; Usage'!$C$115)+IF('Equipment List &amp; Usage'!$F19="yes",'Equipment List &amp; Usage'!$C$114,'Equipment List &amp; Usage'!$C$115)*(('Weekly Summary'!K$66*'Equipment List &amp; Usage'!$Q20)+('Weekly Summary'!K$64*'Equipment List &amp; Usage'!$O20)+('Weekly Summary'!K$65*'Equipment List &amp; Usage'!$P20)))+(IF('Equipment List &amp; Usage'!$F20="Yes",'Equipment List &amp; Usage'!$C$114*((('Weekly Summary'!K$131*SelfQuarantine_Mild)+('Weekly Summary'!K$100*SelfQuarantine_Mild)+('Weekly Summary'!K$101*SelfQuarantine_Moderate))),'Equipment List &amp; Usage'!$C$115)*((('Weekly Summary'!K$131*SelfQuarantine_Mild*'Equipment List &amp; Usage'!$W20)+('Weekly Summary'!K$100*SelfQuarantine_Mild*'Equipment List &amp; Usage'!$X20)+('Weekly Summary'!K$101*SelfQuarantine_Moderate*'Equipment List &amp; Usage'!$X20)))+IF('Equipment List &amp; Usage'!$F20="Yes",'Equipment List &amp; Usage'!$C$114*(IF('Equipment List &amp; Usage'!$AA20&gt;0,'Weekly Summary'!K$128,0)+IF('Equipment List &amp; Usage'!$AB20&gt;0,'Weekly Summary'!K$100+'Weekly Summary'!K$101,0)),'Equipment List &amp; Usage'!$C$115*(('Weekly Summary'!K$128*'Equipment List &amp; Usage'!$AA20)+('Weekly Summary'!K$100*'Equipment List &amp; Usage'!$AB20*SelfQuarantine_Mild)+('Weekly Summary'!K$101*'Equipment List &amp; Usage'!$AB20*SelfQuarantine_Moderate)))+IF('Equipment List &amp; Usage'!$F20="Yes",('Equipment List &amp; Usage'!$C$114*(IF('Equipment List &amp; Usage'!$AE20&gt;0,'Weekly Summary'!K$134,0)+IF('Equipment List &amp; Usage'!$AF20&gt;0,'Weekly Summary'!K$135))),'Equipment List &amp; Usage'!$C$115*(('Weekly Summary'!K$134*'Equipment List &amp; Usage'!$AE20)+('Weekly Summary'!K$135*'Equipment List &amp; Usage'!$AF20))))-SUM($I18:P18),
IF($F18="yes",MMULT(--('Equipment List &amp; Usage'!$J20:$N20&gt;0),--('Weekly Summary'!K$112:K$116))*'Equipment List &amp; Usage'!$C$114,MMULT(--('Equipment List &amp; Usage'!$J20:$N20),--('Weekly Summary'!K$112:K$116))*'Equipment List &amp; Usage'!$C$115)+IF('Equipment List &amp; Usage'!$F19="yes",'Equipment List &amp; Usage'!$C$114,'Equipment List &amp; Usage'!$C$115)*(('Weekly Summary'!K$66*'Equipment List &amp; Usage'!$Q20)+('Weekly Summary'!K$64*'Equipment List &amp; Usage'!$O20)+('Weekly Summary'!K$65*'Equipment List &amp; Usage'!$P20))+(IF('Equipment List &amp; Usage'!$F20="Yes",'Equipment List &amp; Usage'!$C$114*((('Weekly Summary'!K$131*SelfQuarantine_Mild)+('Weekly Summary'!K$100*SelfQuarantine_Mild)+('Weekly Summary'!K$101*SelfQuarantine_Moderate))),'Equipment List &amp; Usage'!$C$115)*((('Weekly Summary'!K$131*SelfQuarantine_Mild*'Equipment List &amp; Usage'!$W20)+('Weekly Summary'!K$100*SelfQuarantine_Mild*'Equipment List &amp; Usage'!$X20)+('Weekly Summary'!K$101*SelfQuarantine_Moderate*'Equipment List &amp; Usage'!$X20))))+IF('Equipment List &amp; Usage'!$F20="Yes",'Equipment List &amp; Usage'!$C$114*(IF('Equipment List &amp; Usage'!$AA20&gt;0,'Weekly Summary'!K$128,0)+IF('Equipment List &amp; Usage'!$AB20&gt;0,'Weekly Summary'!K$100+'Weekly Summary'!K$101,0)),'Equipment List &amp; Usage'!$C$115*(('Weekly Summary'!K$128*'Equipment List &amp; Usage'!$AA20)+('Weekly Summary'!K$100*'Equipment List &amp; Usage'!$AB20*SelfQuarantine_Mild)+('Weekly Summary'!K$101*'Equipment List &amp; Usage'!$AB20*SelfQuarantine_Moderate)))+IF('Equipment List &amp; Usage'!$F20="Yes",('Equipment List &amp; Usage'!$C$114*(IF('Equipment List &amp; Usage'!$AE20&gt;0,'Weekly Summary'!K$134,0)+IF('Equipment List &amp; Usage'!$AF20&gt;0,'Weekly Summary'!K$135))),'Equipment List &amp; Usage'!$C$115*(('Weekly Summary'!K$134*'Equipment List &amp; Usage'!$AE20)+('Weekly Summary'!K$135*'Equipment List &amp; Usage'!$AF20)))),0)</f>
        <v>0</v>
      </c>
      <c r="R18" s="1375">
        <f ca="1">MAX(IF($F18="Yes",(
IF($F18="yes",MMULT(--('Equipment List &amp; Usage'!$J20:$N20&gt;0),--('Weekly Summary'!L$112:L$116))*'Equipment List &amp; Usage'!$C$114,MMULT(--('Equipment List &amp; Usage'!$J20:$N20),--('Weekly Summary'!L$112:L$116))*'Equipment List &amp; Usage'!$C$115)+IF('Equipment List &amp; Usage'!$F19="yes",'Equipment List &amp; Usage'!$C$114,'Equipment List &amp; Usage'!$C$115)*(('Weekly Summary'!L$66*'Equipment List &amp; Usage'!$Q20)+('Weekly Summary'!L$64*'Equipment List &amp; Usage'!$O20)+('Weekly Summary'!L$65*'Equipment List &amp; Usage'!$P20)))+(IF('Equipment List &amp; Usage'!$F20="Yes",'Equipment List &amp; Usage'!$C$114*((('Weekly Summary'!L$131*SelfQuarantine_Mild)+('Weekly Summary'!L$100*SelfQuarantine_Mild)+('Weekly Summary'!L$101*SelfQuarantine_Moderate))),'Equipment List &amp; Usage'!$C$115)*((('Weekly Summary'!L$131*SelfQuarantine_Mild*'Equipment List &amp; Usage'!$W20)+('Weekly Summary'!L$100*SelfQuarantine_Mild*'Equipment List &amp; Usage'!$X20)+('Weekly Summary'!L$101*SelfQuarantine_Moderate*'Equipment List &amp; Usage'!$X20)))+IF('Equipment List &amp; Usage'!$F20="Yes",'Equipment List &amp; Usage'!$C$114*(IF('Equipment List &amp; Usage'!$AA20&gt;0,'Weekly Summary'!L$128,0)+IF('Equipment List &amp; Usage'!$AB20&gt;0,'Weekly Summary'!L$100+'Weekly Summary'!L$101,0)),'Equipment List &amp; Usage'!$C$115*(('Weekly Summary'!L$128*'Equipment List &amp; Usage'!$AA20)+('Weekly Summary'!L$100*'Equipment List &amp; Usage'!$AB20*SelfQuarantine_Mild)+('Weekly Summary'!L$101*'Equipment List &amp; Usage'!$AB20*SelfQuarantine_Moderate)))+IF('Equipment List &amp; Usage'!$F20="Yes",('Equipment List &amp; Usage'!$C$114*(IF('Equipment List &amp; Usage'!$AE20&gt;0,'Weekly Summary'!L$134,0)+IF('Equipment List &amp; Usage'!$AF20&gt;0,'Weekly Summary'!L$135))),'Equipment List &amp; Usage'!$C$115*(('Weekly Summary'!L$134*'Equipment List &amp; Usage'!$AE20)+('Weekly Summary'!L$135*'Equipment List &amp; Usage'!$AF20))))-SUM($I18:Q18),
IF($F18="yes",MMULT(--('Equipment List &amp; Usage'!$J20:$N20&gt;0),--('Weekly Summary'!L$112:L$116))*'Equipment List &amp; Usage'!$C$114,MMULT(--('Equipment List &amp; Usage'!$J20:$N20),--('Weekly Summary'!L$112:L$116))*'Equipment List &amp; Usage'!$C$115)+IF('Equipment List &amp; Usage'!$F19="yes",'Equipment List &amp; Usage'!$C$114,'Equipment List &amp; Usage'!$C$115)*(('Weekly Summary'!L$66*'Equipment List &amp; Usage'!$Q20)+('Weekly Summary'!L$64*'Equipment List &amp; Usage'!$O20)+('Weekly Summary'!L$65*'Equipment List &amp; Usage'!$P20))+(IF('Equipment List &amp; Usage'!$F20="Yes",'Equipment List &amp; Usage'!$C$114*((('Weekly Summary'!L$131*SelfQuarantine_Mild)+('Weekly Summary'!L$100*SelfQuarantine_Mild)+('Weekly Summary'!L$101*SelfQuarantine_Moderate))),'Equipment List &amp; Usage'!$C$115)*((('Weekly Summary'!L$131*SelfQuarantine_Mild*'Equipment List &amp; Usage'!$W20)+('Weekly Summary'!L$100*SelfQuarantine_Mild*'Equipment List &amp; Usage'!$X20)+('Weekly Summary'!L$101*SelfQuarantine_Moderate*'Equipment List &amp; Usage'!$X20))))+IF('Equipment List &amp; Usage'!$F20="Yes",'Equipment List &amp; Usage'!$C$114*(IF('Equipment List &amp; Usage'!$AA20&gt;0,'Weekly Summary'!L$128,0)+IF('Equipment List &amp; Usage'!$AB20&gt;0,'Weekly Summary'!L$100+'Weekly Summary'!L$101,0)),'Equipment List &amp; Usage'!$C$115*(('Weekly Summary'!L$128*'Equipment List &amp; Usage'!$AA20)+('Weekly Summary'!L$100*'Equipment List &amp; Usage'!$AB20*SelfQuarantine_Mild)+('Weekly Summary'!L$101*'Equipment List &amp; Usage'!$AB20*SelfQuarantine_Moderate)))+IF('Equipment List &amp; Usage'!$F20="Yes",('Equipment List &amp; Usage'!$C$114*(IF('Equipment List &amp; Usage'!$AE20&gt;0,'Weekly Summary'!L$134,0)+IF('Equipment List &amp; Usage'!$AF20&gt;0,'Weekly Summary'!L$135))),'Equipment List &amp; Usage'!$C$115*(('Weekly Summary'!L$134*'Equipment List &amp; Usage'!$AE20)+('Weekly Summary'!L$135*'Equipment List &amp; Usage'!$AF20)))),0)</f>
        <v>0</v>
      </c>
      <c r="S18" s="1375">
        <f ca="1">MAX(IF($F18="Yes",(
IF($F18="yes",MMULT(--('Equipment List &amp; Usage'!$J20:$N20&gt;0),--('Weekly Summary'!M$112:M$116))*'Equipment List &amp; Usage'!$C$114,MMULT(--('Equipment List &amp; Usage'!$J20:$N20),--('Weekly Summary'!M$112:M$116))*'Equipment List &amp; Usage'!$C$115)+IF('Equipment List &amp; Usage'!$F19="yes",'Equipment List &amp; Usage'!$C$114,'Equipment List &amp; Usage'!$C$115)*(('Weekly Summary'!M$66*'Equipment List &amp; Usage'!$Q20)+('Weekly Summary'!M$64*'Equipment List &amp; Usage'!$O20)+('Weekly Summary'!M$65*'Equipment List &amp; Usage'!$P20)))+(IF('Equipment List &amp; Usage'!$F20="Yes",'Equipment List &amp; Usage'!$C$114*((('Weekly Summary'!M$131*SelfQuarantine_Mild)+('Weekly Summary'!M$100*SelfQuarantine_Mild)+('Weekly Summary'!M$101*SelfQuarantine_Moderate))),'Equipment List &amp; Usage'!$C$115)*((('Weekly Summary'!M$131*SelfQuarantine_Mild*'Equipment List &amp; Usage'!$W20)+('Weekly Summary'!M$100*SelfQuarantine_Mild*'Equipment List &amp; Usage'!$X20)+('Weekly Summary'!M$101*SelfQuarantine_Moderate*'Equipment List &amp; Usage'!$X20)))+IF('Equipment List &amp; Usage'!$F20="Yes",'Equipment List &amp; Usage'!$C$114*(IF('Equipment List &amp; Usage'!$AA20&gt;0,'Weekly Summary'!M$128,0)+IF('Equipment List &amp; Usage'!$AB20&gt;0,'Weekly Summary'!M$100+'Weekly Summary'!M$101,0)),'Equipment List &amp; Usage'!$C$115*(('Weekly Summary'!M$128*'Equipment List &amp; Usage'!$AA20)+('Weekly Summary'!M$100*'Equipment List &amp; Usage'!$AB20*SelfQuarantine_Mild)+('Weekly Summary'!M$101*'Equipment List &amp; Usage'!$AB20*SelfQuarantine_Moderate)))+IF('Equipment List &amp; Usage'!$F20="Yes",('Equipment List &amp; Usage'!$C$114*(IF('Equipment List &amp; Usage'!$AE20&gt;0,'Weekly Summary'!M$134,0)+IF('Equipment List &amp; Usage'!$AF20&gt;0,'Weekly Summary'!M$135))),'Equipment List &amp; Usage'!$C$115*(('Weekly Summary'!M$134*'Equipment List &amp; Usage'!$AE20)+('Weekly Summary'!M$135*'Equipment List &amp; Usage'!$AF20))))-SUM($I18:R18),
IF($F18="yes",MMULT(--('Equipment List &amp; Usage'!$J20:$N20&gt;0),--('Weekly Summary'!M$112:M$116))*'Equipment List &amp; Usage'!$C$114,MMULT(--('Equipment List &amp; Usage'!$J20:$N20),--('Weekly Summary'!M$112:M$116))*'Equipment List &amp; Usage'!$C$115)+IF('Equipment List &amp; Usage'!$F19="yes",'Equipment List &amp; Usage'!$C$114,'Equipment List &amp; Usage'!$C$115)*(('Weekly Summary'!M$66*'Equipment List &amp; Usage'!$Q20)+('Weekly Summary'!M$64*'Equipment List &amp; Usage'!$O20)+('Weekly Summary'!M$65*'Equipment List &amp; Usage'!$P20))+(IF('Equipment List &amp; Usage'!$F20="Yes",'Equipment List &amp; Usage'!$C$114*((('Weekly Summary'!M$131*SelfQuarantine_Mild)+('Weekly Summary'!M$100*SelfQuarantine_Mild)+('Weekly Summary'!M$101*SelfQuarantine_Moderate))),'Equipment List &amp; Usage'!$C$115)*((('Weekly Summary'!M$131*SelfQuarantine_Mild*'Equipment List &amp; Usage'!$W20)+('Weekly Summary'!M$100*SelfQuarantine_Mild*'Equipment List &amp; Usage'!$X20)+('Weekly Summary'!M$101*SelfQuarantine_Moderate*'Equipment List &amp; Usage'!$X20))))+IF('Equipment List &amp; Usage'!$F20="Yes",'Equipment List &amp; Usage'!$C$114*(IF('Equipment List &amp; Usage'!$AA20&gt;0,'Weekly Summary'!M$128,0)+IF('Equipment List &amp; Usage'!$AB20&gt;0,'Weekly Summary'!M$100+'Weekly Summary'!M$101,0)),'Equipment List &amp; Usage'!$C$115*(('Weekly Summary'!M$128*'Equipment List &amp; Usage'!$AA20)+('Weekly Summary'!M$100*'Equipment List &amp; Usage'!$AB20*SelfQuarantine_Mild)+('Weekly Summary'!M$101*'Equipment List &amp; Usage'!$AB20*SelfQuarantine_Moderate)))+IF('Equipment List &amp; Usage'!$F20="Yes",('Equipment List &amp; Usage'!$C$114*(IF('Equipment List &amp; Usage'!$AE20&gt;0,'Weekly Summary'!M$134,0)+IF('Equipment List &amp; Usage'!$AF20&gt;0,'Weekly Summary'!M$135))),'Equipment List &amp; Usage'!$C$115*(('Weekly Summary'!M$134*'Equipment List &amp; Usage'!$AE20)+('Weekly Summary'!M$135*'Equipment List &amp; Usage'!$AF20)))),0)</f>
        <v>0</v>
      </c>
      <c r="T18" s="1375">
        <f ca="1">MAX(IF($F18="Yes",(
IF($F18="yes",MMULT(--('Equipment List &amp; Usage'!$J20:$N20&gt;0),--('Weekly Summary'!N$112:N$116))*'Equipment List &amp; Usage'!$C$114,MMULT(--('Equipment List &amp; Usage'!$J20:$N20),--('Weekly Summary'!N$112:N$116))*'Equipment List &amp; Usage'!$C$115)+IF('Equipment List &amp; Usage'!$F19="yes",'Equipment List &amp; Usage'!$C$114,'Equipment List &amp; Usage'!$C$115)*(('Weekly Summary'!N$66*'Equipment List &amp; Usage'!$Q20)+('Weekly Summary'!N$64*'Equipment List &amp; Usage'!$O20)+('Weekly Summary'!N$65*'Equipment List &amp; Usage'!$P20)))+(IF('Equipment List &amp; Usage'!$F20="Yes",'Equipment List &amp; Usage'!$C$114*((('Weekly Summary'!N$131*SelfQuarantine_Mild)+('Weekly Summary'!N$100*SelfQuarantine_Mild)+('Weekly Summary'!N$101*SelfQuarantine_Moderate))),'Equipment List &amp; Usage'!$C$115)*((('Weekly Summary'!N$131*SelfQuarantine_Mild*'Equipment List &amp; Usage'!$W20)+('Weekly Summary'!N$100*SelfQuarantine_Mild*'Equipment List &amp; Usage'!$X20)+('Weekly Summary'!N$101*SelfQuarantine_Moderate*'Equipment List &amp; Usage'!$X20)))+IF('Equipment List &amp; Usage'!$F20="Yes",'Equipment List &amp; Usage'!$C$114*(IF('Equipment List &amp; Usage'!$AA20&gt;0,'Weekly Summary'!N$128,0)+IF('Equipment List &amp; Usage'!$AB20&gt;0,'Weekly Summary'!N$100+'Weekly Summary'!N$101,0)),'Equipment List &amp; Usage'!$C$115*(('Weekly Summary'!N$128*'Equipment List &amp; Usage'!$AA20)+('Weekly Summary'!N$100*'Equipment List &amp; Usage'!$AB20*SelfQuarantine_Mild)+('Weekly Summary'!N$101*'Equipment List &amp; Usage'!$AB20*SelfQuarantine_Moderate)))+IF('Equipment List &amp; Usage'!$F20="Yes",('Equipment List &amp; Usage'!$C$114*(IF('Equipment List &amp; Usage'!$AE20&gt;0,'Weekly Summary'!N$134,0)+IF('Equipment List &amp; Usage'!$AF20&gt;0,'Weekly Summary'!N$135))),'Equipment List &amp; Usage'!$C$115*(('Weekly Summary'!N$134*'Equipment List &amp; Usage'!$AE20)+('Weekly Summary'!N$135*'Equipment List &amp; Usage'!$AF20))))-SUM($I18:S18),
IF($F18="yes",MMULT(--('Equipment List &amp; Usage'!$J20:$N20&gt;0),--('Weekly Summary'!N$112:N$116))*'Equipment List &amp; Usage'!$C$114,MMULT(--('Equipment List &amp; Usage'!$J20:$N20),--('Weekly Summary'!N$112:N$116))*'Equipment List &amp; Usage'!$C$115)+IF('Equipment List &amp; Usage'!$F19="yes",'Equipment List &amp; Usage'!$C$114,'Equipment List &amp; Usage'!$C$115)*(('Weekly Summary'!N$66*'Equipment List &amp; Usage'!$Q20)+('Weekly Summary'!N$64*'Equipment List &amp; Usage'!$O20)+('Weekly Summary'!N$65*'Equipment List &amp; Usage'!$P20))+(IF('Equipment List &amp; Usage'!$F20="Yes",'Equipment List &amp; Usage'!$C$114*((('Weekly Summary'!N$131*SelfQuarantine_Mild)+('Weekly Summary'!N$100*SelfQuarantine_Mild)+('Weekly Summary'!N$101*SelfQuarantine_Moderate))),'Equipment List &amp; Usage'!$C$115)*((('Weekly Summary'!N$131*SelfQuarantine_Mild*'Equipment List &amp; Usage'!$W20)+('Weekly Summary'!N$100*SelfQuarantine_Mild*'Equipment List &amp; Usage'!$X20)+('Weekly Summary'!N$101*SelfQuarantine_Moderate*'Equipment List &amp; Usage'!$X20))))+IF('Equipment List &amp; Usage'!$F20="Yes",'Equipment List &amp; Usage'!$C$114*(IF('Equipment List &amp; Usage'!$AA20&gt;0,'Weekly Summary'!N$128,0)+IF('Equipment List &amp; Usage'!$AB20&gt;0,'Weekly Summary'!N$100+'Weekly Summary'!N$101,0)),'Equipment List &amp; Usage'!$C$115*(('Weekly Summary'!N$128*'Equipment List &amp; Usage'!$AA20)+('Weekly Summary'!N$100*'Equipment List &amp; Usage'!$AB20*SelfQuarantine_Mild)+('Weekly Summary'!N$101*'Equipment List &amp; Usage'!$AB20*SelfQuarantine_Moderate)))+IF('Equipment List &amp; Usage'!$F20="Yes",('Equipment List &amp; Usage'!$C$114*(IF('Equipment List &amp; Usage'!$AE20&gt;0,'Weekly Summary'!N$134,0)+IF('Equipment List &amp; Usage'!$AF20&gt;0,'Weekly Summary'!N$135))),'Equipment List &amp; Usage'!$C$115*(('Weekly Summary'!N$134*'Equipment List &amp; Usage'!$AE20)+('Weekly Summary'!N$135*'Equipment List &amp; Usage'!$AF20)))),0)</f>
        <v>0</v>
      </c>
      <c r="U18" s="1375">
        <f ca="1">MAX(IF($F18="Yes",(
IF($F18="yes",MMULT(--('Equipment List &amp; Usage'!$J20:$N20&gt;0),--('Weekly Summary'!O$112:O$116))*'Equipment List &amp; Usage'!$C$114,MMULT(--('Equipment List &amp; Usage'!$J20:$N20),--('Weekly Summary'!O$112:O$116))*'Equipment List &amp; Usage'!$C$115)+IF('Equipment List &amp; Usage'!$F19="yes",'Equipment List &amp; Usage'!$C$114,'Equipment List &amp; Usage'!$C$115)*(('Weekly Summary'!O$66*'Equipment List &amp; Usage'!$Q20)+('Weekly Summary'!O$64*'Equipment List &amp; Usage'!$O20)+('Weekly Summary'!O$65*'Equipment List &amp; Usage'!$P20)))+(IF('Equipment List &amp; Usage'!$F20="Yes",'Equipment List &amp; Usage'!$C$114*((('Weekly Summary'!O$131*SelfQuarantine_Mild)+('Weekly Summary'!O$100*SelfQuarantine_Mild)+('Weekly Summary'!O$101*SelfQuarantine_Moderate))),'Equipment List &amp; Usage'!$C$115)*((('Weekly Summary'!O$131*SelfQuarantine_Mild*'Equipment List &amp; Usage'!$W20)+('Weekly Summary'!O$100*SelfQuarantine_Mild*'Equipment List &amp; Usage'!$X20)+('Weekly Summary'!O$101*SelfQuarantine_Moderate*'Equipment List &amp; Usage'!$X20)))+IF('Equipment List &amp; Usage'!$F20="Yes",'Equipment List &amp; Usage'!$C$114*(IF('Equipment List &amp; Usage'!$AA20&gt;0,'Weekly Summary'!O$128,0)+IF('Equipment List &amp; Usage'!$AB20&gt;0,'Weekly Summary'!O$100+'Weekly Summary'!O$101,0)),'Equipment List &amp; Usage'!$C$115*(('Weekly Summary'!O$128*'Equipment List &amp; Usage'!$AA20)+('Weekly Summary'!O$100*'Equipment List &amp; Usage'!$AB20*SelfQuarantine_Mild)+('Weekly Summary'!O$101*'Equipment List &amp; Usage'!$AB20*SelfQuarantine_Moderate)))+IF('Equipment List &amp; Usage'!$F20="Yes",('Equipment List &amp; Usage'!$C$114*(IF('Equipment List &amp; Usage'!$AE20&gt;0,'Weekly Summary'!O$134,0)+IF('Equipment List &amp; Usage'!$AF20&gt;0,'Weekly Summary'!O$135))),'Equipment List &amp; Usage'!$C$115*(('Weekly Summary'!O$134*'Equipment List &amp; Usage'!$AE20)+('Weekly Summary'!O$135*'Equipment List &amp; Usage'!$AF20))))-SUM($I18:T18),
IF($F18="yes",MMULT(--('Equipment List &amp; Usage'!$J20:$N20&gt;0),--('Weekly Summary'!O$112:O$116))*'Equipment List &amp; Usage'!$C$114,MMULT(--('Equipment List &amp; Usage'!$J20:$N20),--('Weekly Summary'!O$112:O$116))*'Equipment List &amp; Usage'!$C$115)+IF('Equipment List &amp; Usage'!$F19="yes",'Equipment List &amp; Usage'!$C$114,'Equipment List &amp; Usage'!$C$115)*(('Weekly Summary'!O$66*'Equipment List &amp; Usage'!$Q20)+('Weekly Summary'!O$64*'Equipment List &amp; Usage'!$O20)+('Weekly Summary'!O$65*'Equipment List &amp; Usage'!$P20))+(IF('Equipment List &amp; Usage'!$F20="Yes",'Equipment List &amp; Usage'!$C$114*((('Weekly Summary'!O$131*SelfQuarantine_Mild)+('Weekly Summary'!O$100*SelfQuarantine_Mild)+('Weekly Summary'!O$101*SelfQuarantine_Moderate))),'Equipment List &amp; Usage'!$C$115)*((('Weekly Summary'!O$131*SelfQuarantine_Mild*'Equipment List &amp; Usage'!$W20)+('Weekly Summary'!O$100*SelfQuarantine_Mild*'Equipment List &amp; Usage'!$X20)+('Weekly Summary'!O$101*SelfQuarantine_Moderate*'Equipment List &amp; Usage'!$X20))))+IF('Equipment List &amp; Usage'!$F20="Yes",'Equipment List &amp; Usage'!$C$114*(IF('Equipment List &amp; Usage'!$AA20&gt;0,'Weekly Summary'!O$128,0)+IF('Equipment List &amp; Usage'!$AB20&gt;0,'Weekly Summary'!O$100+'Weekly Summary'!O$101,0)),'Equipment List &amp; Usage'!$C$115*(('Weekly Summary'!O$128*'Equipment List &amp; Usage'!$AA20)+('Weekly Summary'!O$100*'Equipment List &amp; Usage'!$AB20*SelfQuarantine_Mild)+('Weekly Summary'!O$101*'Equipment List &amp; Usage'!$AB20*SelfQuarantine_Moderate)))+IF('Equipment List &amp; Usage'!$F20="Yes",('Equipment List &amp; Usage'!$C$114*(IF('Equipment List &amp; Usage'!$AE20&gt;0,'Weekly Summary'!O$134,0)+IF('Equipment List &amp; Usage'!$AF20&gt;0,'Weekly Summary'!O$135))),'Equipment List &amp; Usage'!$C$115*(('Weekly Summary'!O$134*'Equipment List &amp; Usage'!$AE20)+('Weekly Summary'!O$135*'Equipment List &amp; Usage'!$AF20)))),0)</f>
        <v>0</v>
      </c>
      <c r="V18" s="1375">
        <f ca="1">MAX(IF($F18="Yes",(
IF($F18="yes",MMULT(--('Equipment List &amp; Usage'!$J20:$N20&gt;0),--('Weekly Summary'!P$112:P$116))*'Equipment List &amp; Usage'!$C$114,MMULT(--('Equipment List &amp; Usage'!$J20:$N20),--('Weekly Summary'!P$112:P$116))*'Equipment List &amp; Usage'!$C$115)+IF('Equipment List &amp; Usage'!$F19="yes",'Equipment List &amp; Usage'!$C$114,'Equipment List &amp; Usage'!$C$115)*(('Weekly Summary'!P$66*'Equipment List &amp; Usage'!$Q20)+('Weekly Summary'!P$64*'Equipment List &amp; Usage'!$O20)+('Weekly Summary'!P$65*'Equipment List &amp; Usage'!$P20)))+(IF('Equipment List &amp; Usage'!$F20="Yes",'Equipment List &amp; Usage'!$C$114*((('Weekly Summary'!P$131*SelfQuarantine_Mild)+('Weekly Summary'!P$100*SelfQuarantine_Mild)+('Weekly Summary'!P$101*SelfQuarantine_Moderate))),'Equipment List &amp; Usage'!$C$115)*((('Weekly Summary'!P$131*SelfQuarantine_Mild*'Equipment List &amp; Usage'!$W20)+('Weekly Summary'!P$100*SelfQuarantine_Mild*'Equipment List &amp; Usage'!$X20)+('Weekly Summary'!P$101*SelfQuarantine_Moderate*'Equipment List &amp; Usage'!$X20)))+IF('Equipment List &amp; Usage'!$F20="Yes",'Equipment List &amp; Usage'!$C$114*(IF('Equipment List &amp; Usage'!$AA20&gt;0,'Weekly Summary'!P$128,0)+IF('Equipment List &amp; Usage'!$AB20&gt;0,'Weekly Summary'!P$100+'Weekly Summary'!P$101,0)),'Equipment List &amp; Usage'!$C$115*(('Weekly Summary'!P$128*'Equipment List &amp; Usage'!$AA20)+('Weekly Summary'!P$100*'Equipment List &amp; Usage'!$AB20*SelfQuarantine_Mild)+('Weekly Summary'!P$101*'Equipment List &amp; Usage'!$AB20*SelfQuarantine_Moderate)))+IF('Equipment List &amp; Usage'!$F20="Yes",('Equipment List &amp; Usage'!$C$114*(IF('Equipment List &amp; Usage'!$AE20&gt;0,'Weekly Summary'!P$134,0)+IF('Equipment List &amp; Usage'!$AF20&gt;0,'Weekly Summary'!P$135))),'Equipment List &amp; Usage'!$C$115*(('Weekly Summary'!P$134*'Equipment List &amp; Usage'!$AE20)+('Weekly Summary'!P$135*'Equipment List &amp; Usage'!$AF20))))-SUM($I18:U18),
IF($F18="yes",MMULT(--('Equipment List &amp; Usage'!$J20:$N20&gt;0),--('Weekly Summary'!P$112:P$116))*'Equipment List &amp; Usage'!$C$114,MMULT(--('Equipment List &amp; Usage'!$J20:$N20),--('Weekly Summary'!P$112:P$116))*'Equipment List &amp; Usage'!$C$115)+IF('Equipment List &amp; Usage'!$F19="yes",'Equipment List &amp; Usage'!$C$114,'Equipment List &amp; Usage'!$C$115)*(('Weekly Summary'!P$66*'Equipment List &amp; Usage'!$Q20)+('Weekly Summary'!P$64*'Equipment List &amp; Usage'!$O20)+('Weekly Summary'!P$65*'Equipment List &amp; Usage'!$P20))+(IF('Equipment List &amp; Usage'!$F20="Yes",'Equipment List &amp; Usage'!$C$114*((('Weekly Summary'!P$131*SelfQuarantine_Mild)+('Weekly Summary'!P$100*SelfQuarantine_Mild)+('Weekly Summary'!P$101*SelfQuarantine_Moderate))),'Equipment List &amp; Usage'!$C$115)*((('Weekly Summary'!P$131*SelfQuarantine_Mild*'Equipment List &amp; Usage'!$W20)+('Weekly Summary'!P$100*SelfQuarantine_Mild*'Equipment List &amp; Usage'!$X20)+('Weekly Summary'!P$101*SelfQuarantine_Moderate*'Equipment List &amp; Usage'!$X20))))+IF('Equipment List &amp; Usage'!$F20="Yes",'Equipment List &amp; Usage'!$C$114*(IF('Equipment List &amp; Usage'!$AA20&gt;0,'Weekly Summary'!P$128,0)+IF('Equipment List &amp; Usage'!$AB20&gt;0,'Weekly Summary'!P$100+'Weekly Summary'!P$101,0)),'Equipment List &amp; Usage'!$C$115*(('Weekly Summary'!P$128*'Equipment List &amp; Usage'!$AA20)+('Weekly Summary'!P$100*'Equipment List &amp; Usage'!$AB20*SelfQuarantine_Mild)+('Weekly Summary'!P$101*'Equipment List &amp; Usage'!$AB20*SelfQuarantine_Moderate)))+IF('Equipment List &amp; Usage'!$F20="Yes",('Equipment List &amp; Usage'!$C$114*(IF('Equipment List &amp; Usage'!$AE20&gt;0,'Weekly Summary'!P$134,0)+IF('Equipment List &amp; Usage'!$AF20&gt;0,'Weekly Summary'!P$135))),'Equipment List &amp; Usage'!$C$115*(('Weekly Summary'!P$134*'Equipment List &amp; Usage'!$AE20)+('Weekly Summary'!P$135*'Equipment List &amp; Usage'!$AF20)))),0)</f>
        <v>0</v>
      </c>
      <c r="W18" s="1375">
        <f ca="1">MAX(IF($F18="Yes",(
IF($F18="yes",MMULT(--('Equipment List &amp; Usage'!$J20:$N20&gt;0),--('Weekly Summary'!Q$112:Q$116))*'Equipment List &amp; Usage'!$C$114,MMULT(--('Equipment List &amp; Usage'!$J20:$N20),--('Weekly Summary'!Q$112:Q$116))*'Equipment List &amp; Usage'!$C$115)+IF('Equipment List &amp; Usage'!$F19="yes",'Equipment List &amp; Usage'!$C$114,'Equipment List &amp; Usage'!$C$115)*(('Weekly Summary'!Q$66*'Equipment List &amp; Usage'!$Q20)+('Weekly Summary'!Q$64*'Equipment List &amp; Usage'!$O20)+('Weekly Summary'!Q$65*'Equipment List &amp; Usage'!$P20)))+(IF('Equipment List &amp; Usage'!$F20="Yes",'Equipment List &amp; Usage'!$C$114*((('Weekly Summary'!Q$131*SelfQuarantine_Mild)+('Weekly Summary'!Q$100*SelfQuarantine_Mild)+('Weekly Summary'!Q$101*SelfQuarantine_Moderate))),'Equipment List &amp; Usage'!$C$115)*((('Weekly Summary'!Q$131*SelfQuarantine_Mild*'Equipment List &amp; Usage'!$W20)+('Weekly Summary'!Q$100*SelfQuarantine_Mild*'Equipment List &amp; Usage'!$X20)+('Weekly Summary'!Q$101*SelfQuarantine_Moderate*'Equipment List &amp; Usage'!$X20)))+IF('Equipment List &amp; Usage'!$F20="Yes",'Equipment List &amp; Usage'!$C$114*(IF('Equipment List &amp; Usage'!$AA20&gt;0,'Weekly Summary'!Q$128,0)+IF('Equipment List &amp; Usage'!$AB20&gt;0,'Weekly Summary'!Q$100+'Weekly Summary'!Q$101,0)),'Equipment List &amp; Usage'!$C$115*(('Weekly Summary'!Q$128*'Equipment List &amp; Usage'!$AA20)+('Weekly Summary'!Q$100*'Equipment List &amp; Usage'!$AB20*SelfQuarantine_Mild)+('Weekly Summary'!Q$101*'Equipment List &amp; Usage'!$AB20*SelfQuarantine_Moderate)))+IF('Equipment List &amp; Usage'!$F20="Yes",('Equipment List &amp; Usage'!$C$114*(IF('Equipment List &amp; Usage'!$AE20&gt;0,'Weekly Summary'!Q$134,0)+IF('Equipment List &amp; Usage'!$AF20&gt;0,'Weekly Summary'!Q$135))),'Equipment List &amp; Usage'!$C$115*(('Weekly Summary'!Q$134*'Equipment List &amp; Usage'!$AE20)+('Weekly Summary'!Q$135*'Equipment List &amp; Usage'!$AF20))))-SUM($I18:V18),
IF($F18="yes",MMULT(--('Equipment List &amp; Usage'!$J20:$N20&gt;0),--('Weekly Summary'!Q$112:Q$116))*'Equipment List &amp; Usage'!$C$114,MMULT(--('Equipment List &amp; Usage'!$J20:$N20),--('Weekly Summary'!Q$112:Q$116))*'Equipment List &amp; Usage'!$C$115)+IF('Equipment List &amp; Usage'!$F19="yes",'Equipment List &amp; Usage'!$C$114,'Equipment List &amp; Usage'!$C$115)*(('Weekly Summary'!Q$66*'Equipment List &amp; Usage'!$Q20)+('Weekly Summary'!Q$64*'Equipment List &amp; Usage'!$O20)+('Weekly Summary'!Q$65*'Equipment List &amp; Usage'!$P20))+(IF('Equipment List &amp; Usage'!$F20="Yes",'Equipment List &amp; Usage'!$C$114*((('Weekly Summary'!Q$131*SelfQuarantine_Mild)+('Weekly Summary'!Q$100*SelfQuarantine_Mild)+('Weekly Summary'!Q$101*SelfQuarantine_Moderate))),'Equipment List &amp; Usage'!$C$115)*((('Weekly Summary'!Q$131*SelfQuarantine_Mild*'Equipment List &amp; Usage'!$W20)+('Weekly Summary'!Q$100*SelfQuarantine_Mild*'Equipment List &amp; Usage'!$X20)+('Weekly Summary'!Q$101*SelfQuarantine_Moderate*'Equipment List &amp; Usage'!$X20))))+IF('Equipment List &amp; Usage'!$F20="Yes",'Equipment List &amp; Usage'!$C$114*(IF('Equipment List &amp; Usage'!$AA20&gt;0,'Weekly Summary'!Q$128,0)+IF('Equipment List &amp; Usage'!$AB20&gt;0,'Weekly Summary'!Q$100+'Weekly Summary'!Q$101,0)),'Equipment List &amp; Usage'!$C$115*(('Weekly Summary'!Q$128*'Equipment List &amp; Usage'!$AA20)+('Weekly Summary'!Q$100*'Equipment List &amp; Usage'!$AB20*SelfQuarantine_Mild)+('Weekly Summary'!Q$101*'Equipment List &amp; Usage'!$AB20*SelfQuarantine_Moderate)))+IF('Equipment List &amp; Usage'!$F20="Yes",('Equipment List &amp; Usage'!$C$114*(IF('Equipment List &amp; Usage'!$AE20&gt;0,'Weekly Summary'!Q$134,0)+IF('Equipment List &amp; Usage'!$AF20&gt;0,'Weekly Summary'!Q$135))),'Equipment List &amp; Usage'!$C$115*(('Weekly Summary'!Q$134*'Equipment List &amp; Usage'!$AE20)+('Weekly Summary'!Q$135*'Equipment List &amp; Usage'!$AF20)))),0)</f>
        <v>0</v>
      </c>
      <c r="X18" s="1375">
        <f ca="1">MAX(IF($F18="Yes",(
IF($F18="yes",MMULT(--('Equipment List &amp; Usage'!$J20:$N20&gt;0),--('Weekly Summary'!R$112:R$116))*'Equipment List &amp; Usage'!$C$114,MMULT(--('Equipment List &amp; Usage'!$J20:$N20),--('Weekly Summary'!R$112:R$116))*'Equipment List &amp; Usage'!$C$115)+IF('Equipment List &amp; Usage'!$F19="yes",'Equipment List &amp; Usage'!$C$114,'Equipment List &amp; Usage'!$C$115)*(('Weekly Summary'!R$66*'Equipment List &amp; Usage'!$Q20)+('Weekly Summary'!R$64*'Equipment List &amp; Usage'!$O20)+('Weekly Summary'!R$65*'Equipment List &amp; Usage'!$P20)))+(IF('Equipment List &amp; Usage'!$F20="Yes",'Equipment List &amp; Usage'!$C$114*((('Weekly Summary'!R$131*SelfQuarantine_Mild)+('Weekly Summary'!R$100*SelfQuarantine_Mild)+('Weekly Summary'!R$101*SelfQuarantine_Moderate))),'Equipment List &amp; Usage'!$C$115)*((('Weekly Summary'!R$131*SelfQuarantine_Mild*'Equipment List &amp; Usage'!$W20)+('Weekly Summary'!R$100*SelfQuarantine_Mild*'Equipment List &amp; Usage'!$X20)+('Weekly Summary'!R$101*SelfQuarantine_Moderate*'Equipment List &amp; Usage'!$X20)))+IF('Equipment List &amp; Usage'!$F20="Yes",'Equipment List &amp; Usage'!$C$114*(IF('Equipment List &amp; Usage'!$AA20&gt;0,'Weekly Summary'!R$128,0)+IF('Equipment List &amp; Usage'!$AB20&gt;0,'Weekly Summary'!R$100+'Weekly Summary'!R$101,0)),'Equipment List &amp; Usage'!$C$115*(('Weekly Summary'!R$128*'Equipment List &amp; Usage'!$AA20)+('Weekly Summary'!R$100*'Equipment List &amp; Usage'!$AB20*SelfQuarantine_Mild)+('Weekly Summary'!R$101*'Equipment List &amp; Usage'!$AB20*SelfQuarantine_Moderate)))+IF('Equipment List &amp; Usage'!$F20="Yes",('Equipment List &amp; Usage'!$C$114*(IF('Equipment List &amp; Usage'!$AE20&gt;0,'Weekly Summary'!R$134,0)+IF('Equipment List &amp; Usage'!$AF20&gt;0,'Weekly Summary'!R$135))),'Equipment List &amp; Usage'!$C$115*(('Weekly Summary'!R$134*'Equipment List &amp; Usage'!$AE20)+('Weekly Summary'!R$135*'Equipment List &amp; Usage'!$AF20))))-SUM($I18:W18),
IF($F18="yes",MMULT(--('Equipment List &amp; Usage'!$J20:$N20&gt;0),--('Weekly Summary'!R$112:R$116))*'Equipment List &amp; Usage'!$C$114,MMULT(--('Equipment List &amp; Usage'!$J20:$N20),--('Weekly Summary'!R$112:R$116))*'Equipment List &amp; Usage'!$C$115)+IF('Equipment List &amp; Usage'!$F19="yes",'Equipment List &amp; Usage'!$C$114,'Equipment List &amp; Usage'!$C$115)*(('Weekly Summary'!R$66*'Equipment List &amp; Usage'!$Q20)+('Weekly Summary'!R$64*'Equipment List &amp; Usage'!$O20)+('Weekly Summary'!R$65*'Equipment List &amp; Usage'!$P20))+(IF('Equipment List &amp; Usage'!$F20="Yes",'Equipment List &amp; Usage'!$C$114*((('Weekly Summary'!R$131*SelfQuarantine_Mild)+('Weekly Summary'!R$100*SelfQuarantine_Mild)+('Weekly Summary'!R$101*SelfQuarantine_Moderate))),'Equipment List &amp; Usage'!$C$115)*((('Weekly Summary'!R$131*SelfQuarantine_Mild*'Equipment List &amp; Usage'!$W20)+('Weekly Summary'!R$100*SelfQuarantine_Mild*'Equipment List &amp; Usage'!$X20)+('Weekly Summary'!R$101*SelfQuarantine_Moderate*'Equipment List &amp; Usage'!$X20))))+IF('Equipment List &amp; Usage'!$F20="Yes",'Equipment List &amp; Usage'!$C$114*(IF('Equipment List &amp; Usage'!$AA20&gt;0,'Weekly Summary'!R$128,0)+IF('Equipment List &amp; Usage'!$AB20&gt;0,'Weekly Summary'!R$100+'Weekly Summary'!R$101,0)),'Equipment List &amp; Usage'!$C$115*(('Weekly Summary'!R$128*'Equipment List &amp; Usage'!$AA20)+('Weekly Summary'!R$100*'Equipment List &amp; Usage'!$AB20*SelfQuarantine_Mild)+('Weekly Summary'!R$101*'Equipment List &amp; Usage'!$AB20*SelfQuarantine_Moderate)))+IF('Equipment List &amp; Usage'!$F20="Yes",('Equipment List &amp; Usage'!$C$114*(IF('Equipment List &amp; Usage'!$AE20&gt;0,'Weekly Summary'!R$134,0)+IF('Equipment List &amp; Usage'!$AF20&gt;0,'Weekly Summary'!R$135))),'Equipment List &amp; Usage'!$C$115*(('Weekly Summary'!R$134*'Equipment List &amp; Usage'!$AE20)+('Weekly Summary'!R$135*'Equipment List &amp; Usage'!$AF20)))),0)</f>
        <v>0</v>
      </c>
      <c r="Y18" s="1375">
        <f ca="1">MAX(IF($F18="Yes",(
IF($F18="yes",MMULT(--('Equipment List &amp; Usage'!$J20:$N20&gt;0),--('Weekly Summary'!S$112:S$116))*'Equipment List &amp; Usage'!$C$114,MMULT(--('Equipment List &amp; Usage'!$J20:$N20),--('Weekly Summary'!S$112:S$116))*'Equipment List &amp; Usage'!$C$115)+IF('Equipment List &amp; Usage'!$F19="yes",'Equipment List &amp; Usage'!$C$114,'Equipment List &amp; Usage'!$C$115)*(('Weekly Summary'!S$66*'Equipment List &amp; Usage'!$Q20)+('Weekly Summary'!S$64*'Equipment List &amp; Usage'!$O20)+('Weekly Summary'!S$65*'Equipment List &amp; Usage'!$P20)))+(IF('Equipment List &amp; Usage'!$F20="Yes",'Equipment List &amp; Usage'!$C$114*((('Weekly Summary'!S$131*SelfQuarantine_Mild)+('Weekly Summary'!S$100*SelfQuarantine_Mild)+('Weekly Summary'!S$101*SelfQuarantine_Moderate))),'Equipment List &amp; Usage'!$C$115)*((('Weekly Summary'!S$131*SelfQuarantine_Mild*'Equipment List &amp; Usage'!$W20)+('Weekly Summary'!S$100*SelfQuarantine_Mild*'Equipment List &amp; Usage'!$X20)+('Weekly Summary'!S$101*SelfQuarantine_Moderate*'Equipment List &amp; Usage'!$X20)))+IF('Equipment List &amp; Usage'!$F20="Yes",'Equipment List &amp; Usage'!$C$114*(IF('Equipment List &amp; Usage'!$AA20&gt;0,'Weekly Summary'!S$128,0)+IF('Equipment List &amp; Usage'!$AB20&gt;0,'Weekly Summary'!S$100+'Weekly Summary'!S$101,0)),'Equipment List &amp; Usage'!$C$115*(('Weekly Summary'!S$128*'Equipment List &amp; Usage'!$AA20)+('Weekly Summary'!S$100*'Equipment List &amp; Usage'!$AB20*SelfQuarantine_Mild)+('Weekly Summary'!S$101*'Equipment List &amp; Usage'!$AB20*SelfQuarantine_Moderate)))+IF('Equipment List &amp; Usage'!$F20="Yes",('Equipment List &amp; Usage'!$C$114*(IF('Equipment List &amp; Usage'!$AE20&gt;0,'Weekly Summary'!S$134,0)+IF('Equipment List &amp; Usage'!$AF20&gt;0,'Weekly Summary'!S$135))),'Equipment List &amp; Usage'!$C$115*(('Weekly Summary'!S$134*'Equipment List &amp; Usage'!$AE20)+('Weekly Summary'!S$135*'Equipment List &amp; Usage'!$AF20))))-SUM($I18:X18),
IF($F18="yes",MMULT(--('Equipment List &amp; Usage'!$J20:$N20&gt;0),--('Weekly Summary'!S$112:S$116))*'Equipment List &amp; Usage'!$C$114,MMULT(--('Equipment List &amp; Usage'!$J20:$N20),--('Weekly Summary'!S$112:S$116))*'Equipment List &amp; Usage'!$C$115)+IF('Equipment List &amp; Usage'!$F19="yes",'Equipment List &amp; Usage'!$C$114,'Equipment List &amp; Usage'!$C$115)*(('Weekly Summary'!S$66*'Equipment List &amp; Usage'!$Q20)+('Weekly Summary'!S$64*'Equipment List &amp; Usage'!$O20)+('Weekly Summary'!S$65*'Equipment List &amp; Usage'!$P20))+(IF('Equipment List &amp; Usage'!$F20="Yes",'Equipment List &amp; Usage'!$C$114*((('Weekly Summary'!S$131*SelfQuarantine_Mild)+('Weekly Summary'!S$100*SelfQuarantine_Mild)+('Weekly Summary'!S$101*SelfQuarantine_Moderate))),'Equipment List &amp; Usage'!$C$115)*((('Weekly Summary'!S$131*SelfQuarantine_Mild*'Equipment List &amp; Usage'!$W20)+('Weekly Summary'!S$100*SelfQuarantine_Mild*'Equipment List &amp; Usage'!$X20)+('Weekly Summary'!S$101*SelfQuarantine_Moderate*'Equipment List &amp; Usage'!$X20))))+IF('Equipment List &amp; Usage'!$F20="Yes",'Equipment List &amp; Usage'!$C$114*(IF('Equipment List &amp; Usage'!$AA20&gt;0,'Weekly Summary'!S$128,0)+IF('Equipment List &amp; Usage'!$AB20&gt;0,'Weekly Summary'!S$100+'Weekly Summary'!S$101,0)),'Equipment List &amp; Usage'!$C$115*(('Weekly Summary'!S$128*'Equipment List &amp; Usage'!$AA20)+('Weekly Summary'!S$100*'Equipment List &amp; Usage'!$AB20*SelfQuarantine_Mild)+('Weekly Summary'!S$101*'Equipment List &amp; Usage'!$AB20*SelfQuarantine_Moderate)))+IF('Equipment List &amp; Usage'!$F20="Yes",('Equipment List &amp; Usage'!$C$114*(IF('Equipment List &amp; Usage'!$AE20&gt;0,'Weekly Summary'!S$134,0)+IF('Equipment List &amp; Usage'!$AF20&gt;0,'Weekly Summary'!S$135))),'Equipment List &amp; Usage'!$C$115*(('Weekly Summary'!S$134*'Equipment List &amp; Usage'!$AE20)+('Weekly Summary'!S$135*'Equipment List &amp; Usage'!$AF20)))),0)</f>
        <v>0</v>
      </c>
      <c r="Z18" s="1375">
        <f ca="1">MAX(IF($F18="Yes",(
IF($F18="yes",MMULT(--('Equipment List &amp; Usage'!$J20:$N20&gt;0),--('Weekly Summary'!T$112:T$116))*'Equipment List &amp; Usage'!$C$114,MMULT(--('Equipment List &amp; Usage'!$J20:$N20),--('Weekly Summary'!T$112:T$116))*'Equipment List &amp; Usage'!$C$115)+IF('Equipment List &amp; Usage'!$F19="yes",'Equipment List &amp; Usage'!$C$114,'Equipment List &amp; Usage'!$C$115)*(('Weekly Summary'!T$66*'Equipment List &amp; Usage'!$Q20)+('Weekly Summary'!T$64*'Equipment List &amp; Usage'!$O20)+('Weekly Summary'!T$65*'Equipment List &amp; Usage'!$P20)))+(IF('Equipment List &amp; Usage'!$F20="Yes",'Equipment List &amp; Usage'!$C$114*((('Weekly Summary'!T$131*SelfQuarantine_Mild)+('Weekly Summary'!T$100*SelfQuarantine_Mild)+('Weekly Summary'!T$101*SelfQuarantine_Moderate))),'Equipment List &amp; Usage'!$C$115)*((('Weekly Summary'!T$131*SelfQuarantine_Mild*'Equipment List &amp; Usage'!$W20)+('Weekly Summary'!T$100*SelfQuarantine_Mild*'Equipment List &amp; Usage'!$X20)+('Weekly Summary'!T$101*SelfQuarantine_Moderate*'Equipment List &amp; Usage'!$X20)))+IF('Equipment List &amp; Usage'!$F20="Yes",'Equipment List &amp; Usage'!$C$114*(IF('Equipment List &amp; Usage'!$AA20&gt;0,'Weekly Summary'!T$128,0)+IF('Equipment List &amp; Usage'!$AB20&gt;0,'Weekly Summary'!T$100+'Weekly Summary'!T$101,0)),'Equipment List &amp; Usage'!$C$115*(('Weekly Summary'!T$128*'Equipment List &amp; Usage'!$AA20)+('Weekly Summary'!T$100*'Equipment List &amp; Usage'!$AB20*SelfQuarantine_Mild)+('Weekly Summary'!T$101*'Equipment List &amp; Usage'!$AB20*SelfQuarantine_Moderate)))+IF('Equipment List &amp; Usage'!$F20="Yes",('Equipment List &amp; Usage'!$C$114*(IF('Equipment List &amp; Usage'!$AE20&gt;0,'Weekly Summary'!T$134,0)+IF('Equipment List &amp; Usage'!$AF20&gt;0,'Weekly Summary'!T$135))),'Equipment List &amp; Usage'!$C$115*(('Weekly Summary'!T$134*'Equipment List &amp; Usage'!$AE20)+('Weekly Summary'!T$135*'Equipment List &amp; Usage'!$AF20))))-SUM($I18:Y18),
IF($F18="yes",MMULT(--('Equipment List &amp; Usage'!$J20:$N20&gt;0),--('Weekly Summary'!T$112:T$116))*'Equipment List &amp; Usage'!$C$114,MMULT(--('Equipment List &amp; Usage'!$J20:$N20),--('Weekly Summary'!T$112:T$116))*'Equipment List &amp; Usage'!$C$115)+IF('Equipment List &amp; Usage'!$F19="yes",'Equipment List &amp; Usage'!$C$114,'Equipment List &amp; Usage'!$C$115)*(('Weekly Summary'!T$66*'Equipment List &amp; Usage'!$Q20)+('Weekly Summary'!T$64*'Equipment List &amp; Usage'!$O20)+('Weekly Summary'!T$65*'Equipment List &amp; Usage'!$P20))+(IF('Equipment List &amp; Usage'!$F20="Yes",'Equipment List &amp; Usage'!$C$114*((('Weekly Summary'!T$131*SelfQuarantine_Mild)+('Weekly Summary'!T$100*SelfQuarantine_Mild)+('Weekly Summary'!T$101*SelfQuarantine_Moderate))),'Equipment List &amp; Usage'!$C$115)*((('Weekly Summary'!T$131*SelfQuarantine_Mild*'Equipment List &amp; Usage'!$W20)+('Weekly Summary'!T$100*SelfQuarantine_Mild*'Equipment List &amp; Usage'!$X20)+('Weekly Summary'!T$101*SelfQuarantine_Moderate*'Equipment List &amp; Usage'!$X20))))+IF('Equipment List &amp; Usage'!$F20="Yes",'Equipment List &amp; Usage'!$C$114*(IF('Equipment List &amp; Usage'!$AA20&gt;0,'Weekly Summary'!T$128,0)+IF('Equipment List &amp; Usage'!$AB20&gt;0,'Weekly Summary'!T$100+'Weekly Summary'!T$101,0)),'Equipment List &amp; Usage'!$C$115*(('Weekly Summary'!T$128*'Equipment List &amp; Usage'!$AA20)+('Weekly Summary'!T$100*'Equipment List &amp; Usage'!$AB20*SelfQuarantine_Mild)+('Weekly Summary'!T$101*'Equipment List &amp; Usage'!$AB20*SelfQuarantine_Moderate)))+IF('Equipment List &amp; Usage'!$F20="Yes",('Equipment List &amp; Usage'!$C$114*(IF('Equipment List &amp; Usage'!$AE20&gt;0,'Weekly Summary'!T$134,0)+IF('Equipment List &amp; Usage'!$AF20&gt;0,'Weekly Summary'!T$135))),'Equipment List &amp; Usage'!$C$115*(('Weekly Summary'!T$134*'Equipment List &amp; Usage'!$AE20)+('Weekly Summary'!T$135*'Equipment List &amp; Usage'!$AF20)))),0)</f>
        <v>0</v>
      </c>
      <c r="AA18" s="1375">
        <f ca="1">MAX(IF($F18="Yes",(
IF($F18="yes",MMULT(--('Equipment List &amp; Usage'!$J20:$N20&gt;0),--('Weekly Summary'!U$112:U$116))*'Equipment List &amp; Usage'!$C$114,MMULT(--('Equipment List &amp; Usage'!$J20:$N20),--('Weekly Summary'!U$112:U$116))*'Equipment List &amp; Usage'!$C$115)+IF('Equipment List &amp; Usage'!$F19="yes",'Equipment List &amp; Usage'!$C$114,'Equipment List &amp; Usage'!$C$115)*(('Weekly Summary'!U$66*'Equipment List &amp; Usage'!$Q20)+('Weekly Summary'!U$64*'Equipment List &amp; Usage'!$O20)+('Weekly Summary'!U$65*'Equipment List &amp; Usage'!$P20)))+(IF('Equipment List &amp; Usage'!$F20="Yes",'Equipment List &amp; Usage'!$C$114*((('Weekly Summary'!U$131*SelfQuarantine_Mild)+('Weekly Summary'!U$100*SelfQuarantine_Mild)+('Weekly Summary'!U$101*SelfQuarantine_Moderate))),'Equipment List &amp; Usage'!$C$115)*((('Weekly Summary'!U$131*SelfQuarantine_Mild*'Equipment List &amp; Usage'!$W20)+('Weekly Summary'!U$100*SelfQuarantine_Mild*'Equipment List &amp; Usage'!$X20)+('Weekly Summary'!U$101*SelfQuarantine_Moderate*'Equipment List &amp; Usage'!$X20)))+IF('Equipment List &amp; Usage'!$F20="Yes",'Equipment List &amp; Usage'!$C$114*(IF('Equipment List &amp; Usage'!$AA20&gt;0,'Weekly Summary'!U$128,0)+IF('Equipment List &amp; Usage'!$AB20&gt;0,'Weekly Summary'!U$100+'Weekly Summary'!U$101,0)),'Equipment List &amp; Usage'!$C$115*(('Weekly Summary'!U$128*'Equipment List &amp; Usage'!$AA20)+('Weekly Summary'!U$100*'Equipment List &amp; Usage'!$AB20*SelfQuarantine_Mild)+('Weekly Summary'!U$101*'Equipment List &amp; Usage'!$AB20*SelfQuarantine_Moderate)))+IF('Equipment List &amp; Usage'!$F20="Yes",('Equipment List &amp; Usage'!$C$114*(IF('Equipment List &amp; Usage'!$AE20&gt;0,'Weekly Summary'!U$134,0)+IF('Equipment List &amp; Usage'!$AF20&gt;0,'Weekly Summary'!U$135))),'Equipment List &amp; Usage'!$C$115*(('Weekly Summary'!U$134*'Equipment List &amp; Usage'!$AE20)+('Weekly Summary'!U$135*'Equipment List &amp; Usage'!$AF20))))-SUM($I18:Z18),
IF($F18="yes",MMULT(--('Equipment List &amp; Usage'!$J20:$N20&gt;0),--('Weekly Summary'!U$112:U$116))*'Equipment List &amp; Usage'!$C$114,MMULT(--('Equipment List &amp; Usage'!$J20:$N20),--('Weekly Summary'!U$112:U$116))*'Equipment List &amp; Usage'!$C$115)+IF('Equipment List &amp; Usage'!$F19="yes",'Equipment List &amp; Usage'!$C$114,'Equipment List &amp; Usage'!$C$115)*(('Weekly Summary'!U$66*'Equipment List &amp; Usage'!$Q20)+('Weekly Summary'!U$64*'Equipment List &amp; Usage'!$O20)+('Weekly Summary'!U$65*'Equipment List &amp; Usage'!$P20))+(IF('Equipment List &amp; Usage'!$F20="Yes",'Equipment List &amp; Usage'!$C$114*((('Weekly Summary'!U$131*SelfQuarantine_Mild)+('Weekly Summary'!U$100*SelfQuarantine_Mild)+('Weekly Summary'!U$101*SelfQuarantine_Moderate))),'Equipment List &amp; Usage'!$C$115)*((('Weekly Summary'!U$131*SelfQuarantine_Mild*'Equipment List &amp; Usage'!$W20)+('Weekly Summary'!U$100*SelfQuarantine_Mild*'Equipment List &amp; Usage'!$X20)+('Weekly Summary'!U$101*SelfQuarantine_Moderate*'Equipment List &amp; Usage'!$X20))))+IF('Equipment List &amp; Usage'!$F20="Yes",'Equipment List &amp; Usage'!$C$114*(IF('Equipment List &amp; Usage'!$AA20&gt;0,'Weekly Summary'!U$128,0)+IF('Equipment List &amp; Usage'!$AB20&gt;0,'Weekly Summary'!U$100+'Weekly Summary'!U$101,0)),'Equipment List &amp; Usage'!$C$115*(('Weekly Summary'!U$128*'Equipment List &amp; Usage'!$AA20)+('Weekly Summary'!U$100*'Equipment List &amp; Usage'!$AB20*SelfQuarantine_Mild)+('Weekly Summary'!U$101*'Equipment List &amp; Usage'!$AB20*SelfQuarantine_Moderate)))+IF('Equipment List &amp; Usage'!$F20="Yes",('Equipment List &amp; Usage'!$C$114*(IF('Equipment List &amp; Usage'!$AE20&gt;0,'Weekly Summary'!U$134,0)+IF('Equipment List &amp; Usage'!$AF20&gt;0,'Weekly Summary'!U$135))),'Equipment List &amp; Usage'!$C$115*(('Weekly Summary'!U$134*'Equipment List &amp; Usage'!$AE20)+('Weekly Summary'!U$135*'Equipment List &amp; Usage'!$AF20)))),0)</f>
        <v>0</v>
      </c>
      <c r="AB18" s="1375">
        <f ca="1">MAX(IF($F18="Yes",(
IF($F18="yes",MMULT(--('Equipment List &amp; Usage'!$J20:$N20&gt;0),--('Weekly Summary'!V$112:V$116))*'Equipment List &amp; Usage'!$C$114,MMULT(--('Equipment List &amp; Usage'!$J20:$N20),--('Weekly Summary'!V$112:V$116))*'Equipment List &amp; Usage'!$C$115)+IF('Equipment List &amp; Usage'!$F19="yes",'Equipment List &amp; Usage'!$C$114,'Equipment List &amp; Usage'!$C$115)*(('Weekly Summary'!V$66*'Equipment List &amp; Usage'!$Q20)+('Weekly Summary'!V$64*'Equipment List &amp; Usage'!$O20)+('Weekly Summary'!V$65*'Equipment List &amp; Usage'!$P20)))+(IF('Equipment List &amp; Usage'!$F20="Yes",'Equipment List &amp; Usage'!$C$114*((('Weekly Summary'!V$131*SelfQuarantine_Mild)+('Weekly Summary'!V$100*SelfQuarantine_Mild)+('Weekly Summary'!V$101*SelfQuarantine_Moderate))),'Equipment List &amp; Usage'!$C$115)*((('Weekly Summary'!V$131*SelfQuarantine_Mild*'Equipment List &amp; Usage'!$W20)+('Weekly Summary'!V$100*SelfQuarantine_Mild*'Equipment List &amp; Usage'!$X20)+('Weekly Summary'!V$101*SelfQuarantine_Moderate*'Equipment List &amp; Usage'!$X20)))+IF('Equipment List &amp; Usage'!$F20="Yes",'Equipment List &amp; Usage'!$C$114*(IF('Equipment List &amp; Usage'!$AA20&gt;0,'Weekly Summary'!V$128,0)+IF('Equipment List &amp; Usage'!$AB20&gt;0,'Weekly Summary'!V$100+'Weekly Summary'!V$101,0)),'Equipment List &amp; Usage'!$C$115*(('Weekly Summary'!V$128*'Equipment List &amp; Usage'!$AA20)+('Weekly Summary'!V$100*'Equipment List &amp; Usage'!$AB20*SelfQuarantine_Mild)+('Weekly Summary'!V$101*'Equipment List &amp; Usage'!$AB20*SelfQuarantine_Moderate)))+IF('Equipment List &amp; Usage'!$F20="Yes",('Equipment List &amp; Usage'!$C$114*(IF('Equipment List &amp; Usage'!$AE20&gt;0,'Weekly Summary'!V$134,0)+IF('Equipment List &amp; Usage'!$AF20&gt;0,'Weekly Summary'!V$135))),'Equipment List &amp; Usage'!$C$115*(('Weekly Summary'!V$134*'Equipment List &amp; Usage'!$AE20)+('Weekly Summary'!V$135*'Equipment List &amp; Usage'!$AF20))))-SUM($I18:AA18),
IF($F18="yes",MMULT(--('Equipment List &amp; Usage'!$J20:$N20&gt;0),--('Weekly Summary'!V$112:V$116))*'Equipment List &amp; Usage'!$C$114,MMULT(--('Equipment List &amp; Usage'!$J20:$N20),--('Weekly Summary'!V$112:V$116))*'Equipment List &amp; Usage'!$C$115)+IF('Equipment List &amp; Usage'!$F19="yes",'Equipment List &amp; Usage'!$C$114,'Equipment List &amp; Usage'!$C$115)*(('Weekly Summary'!V$66*'Equipment List &amp; Usage'!$Q20)+('Weekly Summary'!V$64*'Equipment List &amp; Usage'!$O20)+('Weekly Summary'!V$65*'Equipment List &amp; Usage'!$P20))+(IF('Equipment List &amp; Usage'!$F20="Yes",'Equipment List &amp; Usage'!$C$114*((('Weekly Summary'!V$131*SelfQuarantine_Mild)+('Weekly Summary'!V$100*SelfQuarantine_Mild)+('Weekly Summary'!V$101*SelfQuarantine_Moderate))),'Equipment List &amp; Usage'!$C$115)*((('Weekly Summary'!V$131*SelfQuarantine_Mild*'Equipment List &amp; Usage'!$W20)+('Weekly Summary'!V$100*SelfQuarantine_Mild*'Equipment List &amp; Usage'!$X20)+('Weekly Summary'!V$101*SelfQuarantine_Moderate*'Equipment List &amp; Usage'!$X20))))+IF('Equipment List &amp; Usage'!$F20="Yes",'Equipment List &amp; Usage'!$C$114*(IF('Equipment List &amp; Usage'!$AA20&gt;0,'Weekly Summary'!V$128,0)+IF('Equipment List &amp; Usage'!$AB20&gt;0,'Weekly Summary'!V$100+'Weekly Summary'!V$101,0)),'Equipment List &amp; Usage'!$C$115*(('Weekly Summary'!V$128*'Equipment List &amp; Usage'!$AA20)+('Weekly Summary'!V$100*'Equipment List &amp; Usage'!$AB20*SelfQuarantine_Mild)+('Weekly Summary'!V$101*'Equipment List &amp; Usage'!$AB20*SelfQuarantine_Moderate)))+IF('Equipment List &amp; Usage'!$F20="Yes",('Equipment List &amp; Usage'!$C$114*(IF('Equipment List &amp; Usage'!$AE20&gt;0,'Weekly Summary'!V$134,0)+IF('Equipment List &amp; Usage'!$AF20&gt;0,'Weekly Summary'!V$135))),'Equipment List &amp; Usage'!$C$115*(('Weekly Summary'!V$134*'Equipment List &amp; Usage'!$AE20)+('Weekly Summary'!V$135*'Equipment List &amp; Usage'!$AF20)))),0)</f>
        <v>0</v>
      </c>
      <c r="AC18" s="1375">
        <f ca="1">MAX(IF($F18="Yes",(
IF($F18="yes",MMULT(--('Equipment List &amp; Usage'!$J20:$N20&gt;0),--('Weekly Summary'!W$112:W$116))*'Equipment List &amp; Usage'!$C$114,MMULT(--('Equipment List &amp; Usage'!$J20:$N20),--('Weekly Summary'!W$112:W$116))*'Equipment List &amp; Usage'!$C$115)+IF('Equipment List &amp; Usage'!$F19="yes",'Equipment List &amp; Usage'!$C$114,'Equipment List &amp; Usage'!$C$115)*(('Weekly Summary'!W$66*'Equipment List &amp; Usage'!$Q20)+('Weekly Summary'!W$64*'Equipment List &amp; Usage'!$O20)+('Weekly Summary'!W$65*'Equipment List &amp; Usage'!$P20)))+(IF('Equipment List &amp; Usage'!$F20="Yes",'Equipment List &amp; Usage'!$C$114*((('Weekly Summary'!W$131*SelfQuarantine_Mild)+('Weekly Summary'!W$100*SelfQuarantine_Mild)+('Weekly Summary'!W$101*SelfQuarantine_Moderate))),'Equipment List &amp; Usage'!$C$115)*((('Weekly Summary'!W$131*SelfQuarantine_Mild*'Equipment List &amp; Usage'!$W20)+('Weekly Summary'!W$100*SelfQuarantine_Mild*'Equipment List &amp; Usage'!$X20)+('Weekly Summary'!W$101*SelfQuarantine_Moderate*'Equipment List &amp; Usage'!$X20)))+IF('Equipment List &amp; Usage'!$F20="Yes",'Equipment List &amp; Usage'!$C$114*(IF('Equipment List &amp; Usage'!$AA20&gt;0,'Weekly Summary'!W$128,0)+IF('Equipment List &amp; Usage'!$AB20&gt;0,'Weekly Summary'!W$100+'Weekly Summary'!W$101,0)),'Equipment List &amp; Usage'!$C$115*(('Weekly Summary'!W$128*'Equipment List &amp; Usage'!$AA20)+('Weekly Summary'!W$100*'Equipment List &amp; Usage'!$AB20*SelfQuarantine_Mild)+('Weekly Summary'!W$101*'Equipment List &amp; Usage'!$AB20*SelfQuarantine_Moderate)))+IF('Equipment List &amp; Usage'!$F20="Yes",('Equipment List &amp; Usage'!$C$114*(IF('Equipment List &amp; Usage'!$AE20&gt;0,'Weekly Summary'!W$134,0)+IF('Equipment List &amp; Usage'!$AF20&gt;0,'Weekly Summary'!W$135))),'Equipment List &amp; Usage'!$C$115*(('Weekly Summary'!W$134*'Equipment List &amp; Usage'!$AE20)+('Weekly Summary'!W$135*'Equipment List &amp; Usage'!$AF20))))-SUM($I18:AB18),
IF($F18="yes",MMULT(--('Equipment List &amp; Usage'!$J20:$N20&gt;0),--('Weekly Summary'!W$112:W$116))*'Equipment List &amp; Usage'!$C$114,MMULT(--('Equipment List &amp; Usage'!$J20:$N20),--('Weekly Summary'!W$112:W$116))*'Equipment List &amp; Usage'!$C$115)+IF('Equipment List &amp; Usage'!$F19="yes",'Equipment List &amp; Usage'!$C$114,'Equipment List &amp; Usage'!$C$115)*(('Weekly Summary'!W$66*'Equipment List &amp; Usage'!$Q20)+('Weekly Summary'!W$64*'Equipment List &amp; Usage'!$O20)+('Weekly Summary'!W$65*'Equipment List &amp; Usage'!$P20))+(IF('Equipment List &amp; Usage'!$F20="Yes",'Equipment List &amp; Usage'!$C$114*((('Weekly Summary'!W$131*SelfQuarantine_Mild)+('Weekly Summary'!W$100*SelfQuarantine_Mild)+('Weekly Summary'!W$101*SelfQuarantine_Moderate))),'Equipment List &amp; Usage'!$C$115)*((('Weekly Summary'!W$131*SelfQuarantine_Mild*'Equipment List &amp; Usage'!$W20)+('Weekly Summary'!W$100*SelfQuarantine_Mild*'Equipment List &amp; Usage'!$X20)+('Weekly Summary'!W$101*SelfQuarantine_Moderate*'Equipment List &amp; Usage'!$X20))))+IF('Equipment List &amp; Usage'!$F20="Yes",'Equipment List &amp; Usage'!$C$114*(IF('Equipment List &amp; Usage'!$AA20&gt;0,'Weekly Summary'!W$128,0)+IF('Equipment List &amp; Usage'!$AB20&gt;0,'Weekly Summary'!W$100+'Weekly Summary'!W$101,0)),'Equipment List &amp; Usage'!$C$115*(('Weekly Summary'!W$128*'Equipment List &amp; Usage'!$AA20)+('Weekly Summary'!W$100*'Equipment List &amp; Usage'!$AB20*SelfQuarantine_Mild)+('Weekly Summary'!W$101*'Equipment List &amp; Usage'!$AB20*SelfQuarantine_Moderate)))+IF('Equipment List &amp; Usage'!$F20="Yes",('Equipment List &amp; Usage'!$C$114*(IF('Equipment List &amp; Usage'!$AE20&gt;0,'Weekly Summary'!W$134,0)+IF('Equipment List &amp; Usage'!$AF20&gt;0,'Weekly Summary'!W$135))),'Equipment List &amp; Usage'!$C$115*(('Weekly Summary'!W$134*'Equipment List &amp; Usage'!$AE20)+('Weekly Summary'!W$135*'Equipment List &amp; Usage'!$AF20)))),0)</f>
        <v>0</v>
      </c>
      <c r="AD18" s="1375">
        <f ca="1">MAX(IF($F18="Yes",(
IF($F18="yes",MMULT(--('Equipment List &amp; Usage'!$J20:$N20&gt;0),--('Weekly Summary'!X$112:X$116))*'Equipment List &amp; Usage'!$C$114,MMULT(--('Equipment List &amp; Usage'!$J20:$N20),--('Weekly Summary'!X$112:X$116))*'Equipment List &amp; Usage'!$C$115)+IF('Equipment List &amp; Usage'!$F19="yes",'Equipment List &amp; Usage'!$C$114,'Equipment List &amp; Usage'!$C$115)*(('Weekly Summary'!X$66*'Equipment List &amp; Usage'!$Q20)+('Weekly Summary'!X$64*'Equipment List &amp; Usage'!$O20)+('Weekly Summary'!X$65*'Equipment List &amp; Usage'!$P20)))+(IF('Equipment List &amp; Usage'!$F20="Yes",'Equipment List &amp; Usage'!$C$114*((('Weekly Summary'!X$131*SelfQuarantine_Mild)+('Weekly Summary'!X$100*SelfQuarantine_Mild)+('Weekly Summary'!X$101*SelfQuarantine_Moderate))),'Equipment List &amp; Usage'!$C$115)*((('Weekly Summary'!X$131*SelfQuarantine_Mild*'Equipment List &amp; Usage'!$W20)+('Weekly Summary'!X$100*SelfQuarantine_Mild*'Equipment List &amp; Usage'!$X20)+('Weekly Summary'!X$101*SelfQuarantine_Moderate*'Equipment List &amp; Usage'!$X20)))+IF('Equipment List &amp; Usage'!$F20="Yes",'Equipment List &amp; Usage'!$C$114*(IF('Equipment List &amp; Usage'!$AA20&gt;0,'Weekly Summary'!X$128,0)+IF('Equipment List &amp; Usage'!$AB20&gt;0,'Weekly Summary'!X$100+'Weekly Summary'!X$101,0)),'Equipment List &amp; Usage'!$C$115*(('Weekly Summary'!X$128*'Equipment List &amp; Usage'!$AA20)+('Weekly Summary'!X$100*'Equipment List &amp; Usage'!$AB20*SelfQuarantine_Mild)+('Weekly Summary'!X$101*'Equipment List &amp; Usage'!$AB20*SelfQuarantine_Moderate)))+IF('Equipment List &amp; Usage'!$F20="Yes",('Equipment List &amp; Usage'!$C$114*(IF('Equipment List &amp; Usage'!$AE20&gt;0,'Weekly Summary'!X$134,0)+IF('Equipment List &amp; Usage'!$AF20&gt;0,'Weekly Summary'!X$135))),'Equipment List &amp; Usage'!$C$115*(('Weekly Summary'!X$134*'Equipment List &amp; Usage'!$AE20)+('Weekly Summary'!X$135*'Equipment List &amp; Usage'!$AF20))))-SUM($I18:AC18),
IF($F18="yes",MMULT(--('Equipment List &amp; Usage'!$J20:$N20&gt;0),--('Weekly Summary'!X$112:X$116))*'Equipment List &amp; Usage'!$C$114,MMULT(--('Equipment List &amp; Usage'!$J20:$N20),--('Weekly Summary'!X$112:X$116))*'Equipment List &amp; Usage'!$C$115)+IF('Equipment List &amp; Usage'!$F19="yes",'Equipment List &amp; Usage'!$C$114,'Equipment List &amp; Usage'!$C$115)*(('Weekly Summary'!X$66*'Equipment List &amp; Usage'!$Q20)+('Weekly Summary'!X$64*'Equipment List &amp; Usage'!$O20)+('Weekly Summary'!X$65*'Equipment List &amp; Usage'!$P20))+(IF('Equipment List &amp; Usage'!$F20="Yes",'Equipment List &amp; Usage'!$C$114*((('Weekly Summary'!X$131*SelfQuarantine_Mild)+('Weekly Summary'!X$100*SelfQuarantine_Mild)+('Weekly Summary'!X$101*SelfQuarantine_Moderate))),'Equipment List &amp; Usage'!$C$115)*((('Weekly Summary'!X$131*SelfQuarantine_Mild*'Equipment List &amp; Usage'!$W20)+('Weekly Summary'!X$100*SelfQuarantine_Mild*'Equipment List &amp; Usage'!$X20)+('Weekly Summary'!X$101*SelfQuarantine_Moderate*'Equipment List &amp; Usage'!$X20))))+IF('Equipment List &amp; Usage'!$F20="Yes",'Equipment List &amp; Usage'!$C$114*(IF('Equipment List &amp; Usage'!$AA20&gt;0,'Weekly Summary'!X$128,0)+IF('Equipment List &amp; Usage'!$AB20&gt;0,'Weekly Summary'!X$100+'Weekly Summary'!X$101,0)),'Equipment List &amp; Usage'!$C$115*(('Weekly Summary'!X$128*'Equipment List &amp; Usage'!$AA20)+('Weekly Summary'!X$100*'Equipment List &amp; Usage'!$AB20*SelfQuarantine_Mild)+('Weekly Summary'!X$101*'Equipment List &amp; Usage'!$AB20*SelfQuarantine_Moderate)))+IF('Equipment List &amp; Usage'!$F20="Yes",('Equipment List &amp; Usage'!$C$114*(IF('Equipment List &amp; Usage'!$AE20&gt;0,'Weekly Summary'!X$134,0)+IF('Equipment List &amp; Usage'!$AF20&gt;0,'Weekly Summary'!X$135))),'Equipment List &amp; Usage'!$C$115*(('Weekly Summary'!X$134*'Equipment List &amp; Usage'!$AE20)+('Weekly Summary'!X$135*'Equipment List &amp; Usage'!$AF20)))),0)</f>
        <v>0</v>
      </c>
      <c r="AE18" s="1375">
        <f ca="1">MAX(IF($F18="Yes",(
IF($F18="yes",MMULT(--('Equipment List &amp; Usage'!$J20:$N20&gt;0),--('Weekly Summary'!Y$112:Y$116))*'Equipment List &amp; Usage'!$C$114,MMULT(--('Equipment List &amp; Usage'!$J20:$N20),--('Weekly Summary'!Y$112:Y$116))*'Equipment List &amp; Usage'!$C$115)+IF('Equipment List &amp; Usage'!$F19="yes",'Equipment List &amp; Usage'!$C$114,'Equipment List &amp; Usage'!$C$115)*(('Weekly Summary'!Y$66*'Equipment List &amp; Usage'!$Q20)+('Weekly Summary'!Y$64*'Equipment List &amp; Usage'!$O20)+('Weekly Summary'!Y$65*'Equipment List &amp; Usage'!$P20)))+(IF('Equipment List &amp; Usage'!$F20="Yes",'Equipment List &amp; Usage'!$C$114*((('Weekly Summary'!Y$131*SelfQuarantine_Mild)+('Weekly Summary'!Y$100*SelfQuarantine_Mild)+('Weekly Summary'!Y$101*SelfQuarantine_Moderate))),'Equipment List &amp; Usage'!$C$115)*((('Weekly Summary'!Y$131*SelfQuarantine_Mild*'Equipment List &amp; Usage'!$W20)+('Weekly Summary'!Y$100*SelfQuarantine_Mild*'Equipment List &amp; Usage'!$X20)+('Weekly Summary'!Y$101*SelfQuarantine_Moderate*'Equipment List &amp; Usage'!$X20)))+IF('Equipment List &amp; Usage'!$F20="Yes",'Equipment List &amp; Usage'!$C$114*(IF('Equipment List &amp; Usage'!$AA20&gt;0,'Weekly Summary'!Y$128,0)+IF('Equipment List &amp; Usage'!$AB20&gt;0,'Weekly Summary'!Y$100+'Weekly Summary'!Y$101,0)),'Equipment List &amp; Usage'!$C$115*(('Weekly Summary'!Y$128*'Equipment List &amp; Usage'!$AA20)+('Weekly Summary'!Y$100*'Equipment List &amp; Usage'!$AB20*SelfQuarantine_Mild)+('Weekly Summary'!Y$101*'Equipment List &amp; Usage'!$AB20*SelfQuarantine_Moderate)))+IF('Equipment List &amp; Usage'!$F20="Yes",('Equipment List &amp; Usage'!$C$114*(IF('Equipment List &amp; Usage'!$AE20&gt;0,'Weekly Summary'!Y$134,0)+IF('Equipment List &amp; Usage'!$AF20&gt;0,'Weekly Summary'!Y$135))),'Equipment List &amp; Usage'!$C$115*(('Weekly Summary'!Y$134*'Equipment List &amp; Usage'!$AE20)+('Weekly Summary'!Y$135*'Equipment List &amp; Usage'!$AF20))))-SUM($I18:AD18),
IF($F18="yes",MMULT(--('Equipment List &amp; Usage'!$J20:$N20&gt;0),--('Weekly Summary'!Y$112:Y$116))*'Equipment List &amp; Usage'!$C$114,MMULT(--('Equipment List &amp; Usage'!$J20:$N20),--('Weekly Summary'!Y$112:Y$116))*'Equipment List &amp; Usage'!$C$115)+IF('Equipment List &amp; Usage'!$F19="yes",'Equipment List &amp; Usage'!$C$114,'Equipment List &amp; Usage'!$C$115)*(('Weekly Summary'!Y$66*'Equipment List &amp; Usage'!$Q20)+('Weekly Summary'!Y$64*'Equipment List &amp; Usage'!$O20)+('Weekly Summary'!Y$65*'Equipment List &amp; Usage'!$P20))+(IF('Equipment List &amp; Usage'!$F20="Yes",'Equipment List &amp; Usage'!$C$114*((('Weekly Summary'!Y$131*SelfQuarantine_Mild)+('Weekly Summary'!Y$100*SelfQuarantine_Mild)+('Weekly Summary'!Y$101*SelfQuarantine_Moderate))),'Equipment List &amp; Usage'!$C$115)*((('Weekly Summary'!Y$131*SelfQuarantine_Mild*'Equipment List &amp; Usage'!$W20)+('Weekly Summary'!Y$100*SelfQuarantine_Mild*'Equipment List &amp; Usage'!$X20)+('Weekly Summary'!Y$101*SelfQuarantine_Moderate*'Equipment List &amp; Usage'!$X20))))+IF('Equipment List &amp; Usage'!$F20="Yes",'Equipment List &amp; Usage'!$C$114*(IF('Equipment List &amp; Usage'!$AA20&gt;0,'Weekly Summary'!Y$128,0)+IF('Equipment List &amp; Usage'!$AB20&gt;0,'Weekly Summary'!Y$100+'Weekly Summary'!Y$101,0)),'Equipment List &amp; Usage'!$C$115*(('Weekly Summary'!Y$128*'Equipment List &amp; Usage'!$AA20)+('Weekly Summary'!Y$100*'Equipment List &amp; Usage'!$AB20*SelfQuarantine_Mild)+('Weekly Summary'!Y$101*'Equipment List &amp; Usage'!$AB20*SelfQuarantine_Moderate)))+IF('Equipment List &amp; Usage'!$F20="Yes",('Equipment List &amp; Usage'!$C$114*(IF('Equipment List &amp; Usage'!$AE20&gt;0,'Weekly Summary'!Y$134,0)+IF('Equipment List &amp; Usage'!$AF20&gt;0,'Weekly Summary'!Y$135))),'Equipment List &amp; Usage'!$C$115*(('Weekly Summary'!Y$134*'Equipment List &amp; Usage'!$AE20)+('Weekly Summary'!Y$135*'Equipment List &amp; Usage'!$AF20)))),0)</f>
        <v>0</v>
      </c>
      <c r="AF18" s="1375">
        <f ca="1">MAX(IF($F18="Yes",(
IF($F18="yes",MMULT(--('Equipment List &amp; Usage'!$J20:$N20&gt;0),--('Weekly Summary'!Z$112:Z$116))*'Equipment List &amp; Usage'!$C$114,MMULT(--('Equipment List &amp; Usage'!$J20:$N20),--('Weekly Summary'!Z$112:Z$116))*'Equipment List &amp; Usage'!$C$115)+IF('Equipment List &amp; Usage'!$F19="yes",'Equipment List &amp; Usage'!$C$114,'Equipment List &amp; Usage'!$C$115)*(('Weekly Summary'!Z$66*'Equipment List &amp; Usage'!$Q20)+('Weekly Summary'!Z$64*'Equipment List &amp; Usage'!$O20)+('Weekly Summary'!Z$65*'Equipment List &amp; Usage'!$P20)))+(IF('Equipment List &amp; Usage'!$F20="Yes",'Equipment List &amp; Usage'!$C$114*((('Weekly Summary'!Z$131*SelfQuarantine_Mild)+('Weekly Summary'!Z$100*SelfQuarantine_Mild)+('Weekly Summary'!Z$101*SelfQuarantine_Moderate))),'Equipment List &amp; Usage'!$C$115)*((('Weekly Summary'!Z$131*SelfQuarantine_Mild*'Equipment List &amp; Usage'!$W20)+('Weekly Summary'!Z$100*SelfQuarantine_Mild*'Equipment List &amp; Usage'!$X20)+('Weekly Summary'!Z$101*SelfQuarantine_Moderate*'Equipment List &amp; Usage'!$X20)))+IF('Equipment List &amp; Usage'!$F20="Yes",'Equipment List &amp; Usage'!$C$114*(IF('Equipment List &amp; Usage'!$AA20&gt;0,'Weekly Summary'!Z$128,0)+IF('Equipment List &amp; Usage'!$AB20&gt;0,'Weekly Summary'!Z$100+'Weekly Summary'!Z$101,0)),'Equipment List &amp; Usage'!$C$115*(('Weekly Summary'!Z$128*'Equipment List &amp; Usage'!$AA20)+('Weekly Summary'!Z$100*'Equipment List &amp; Usage'!$AB20*SelfQuarantine_Mild)+('Weekly Summary'!Z$101*'Equipment List &amp; Usage'!$AB20*SelfQuarantine_Moderate)))+IF('Equipment List &amp; Usage'!$F20="Yes",('Equipment List &amp; Usage'!$C$114*(IF('Equipment List &amp; Usage'!$AE20&gt;0,'Weekly Summary'!Z$134,0)+IF('Equipment List &amp; Usage'!$AF20&gt;0,'Weekly Summary'!Z$135))),'Equipment List &amp; Usage'!$C$115*(('Weekly Summary'!Z$134*'Equipment List &amp; Usage'!$AE20)+('Weekly Summary'!Z$135*'Equipment List &amp; Usage'!$AF20))))-SUM($I18:AE18),
IF($F18="yes",MMULT(--('Equipment List &amp; Usage'!$J20:$N20&gt;0),--('Weekly Summary'!Z$112:Z$116))*'Equipment List &amp; Usage'!$C$114,MMULT(--('Equipment List &amp; Usage'!$J20:$N20),--('Weekly Summary'!Z$112:Z$116))*'Equipment List &amp; Usage'!$C$115)+IF('Equipment List &amp; Usage'!$F19="yes",'Equipment List &amp; Usage'!$C$114,'Equipment List &amp; Usage'!$C$115)*(('Weekly Summary'!Z$66*'Equipment List &amp; Usage'!$Q20)+('Weekly Summary'!Z$64*'Equipment List &amp; Usage'!$O20)+('Weekly Summary'!Z$65*'Equipment List &amp; Usage'!$P20))+(IF('Equipment List &amp; Usage'!$F20="Yes",'Equipment List &amp; Usage'!$C$114*((('Weekly Summary'!Z$131*SelfQuarantine_Mild)+('Weekly Summary'!Z$100*SelfQuarantine_Mild)+('Weekly Summary'!Z$101*SelfQuarantine_Moderate))),'Equipment List &amp; Usage'!$C$115)*((('Weekly Summary'!Z$131*SelfQuarantine_Mild*'Equipment List &amp; Usage'!$W20)+('Weekly Summary'!Z$100*SelfQuarantine_Mild*'Equipment List &amp; Usage'!$X20)+('Weekly Summary'!Z$101*SelfQuarantine_Moderate*'Equipment List &amp; Usage'!$X20))))+IF('Equipment List &amp; Usage'!$F20="Yes",'Equipment List &amp; Usage'!$C$114*(IF('Equipment List &amp; Usage'!$AA20&gt;0,'Weekly Summary'!Z$128,0)+IF('Equipment List &amp; Usage'!$AB20&gt;0,'Weekly Summary'!Z$100+'Weekly Summary'!Z$101,0)),'Equipment List &amp; Usage'!$C$115*(('Weekly Summary'!Z$128*'Equipment List &amp; Usage'!$AA20)+('Weekly Summary'!Z$100*'Equipment List &amp; Usage'!$AB20*SelfQuarantine_Mild)+('Weekly Summary'!Z$101*'Equipment List &amp; Usage'!$AB20*SelfQuarantine_Moderate)))+IF('Equipment List &amp; Usage'!$F20="Yes",('Equipment List &amp; Usage'!$C$114*(IF('Equipment List &amp; Usage'!$AE20&gt;0,'Weekly Summary'!Z$134,0)+IF('Equipment List &amp; Usage'!$AF20&gt;0,'Weekly Summary'!Z$135))),'Equipment List &amp; Usage'!$C$115*(('Weekly Summary'!Z$134*'Equipment List &amp; Usage'!$AE20)+('Weekly Summary'!Z$135*'Equipment List &amp; Usage'!$AF20)))),0)</f>
        <v>0</v>
      </c>
      <c r="AG18" s="1375">
        <f ca="1">MAX(IF($F18="Yes",(
IF($F18="yes",MMULT(--('Equipment List &amp; Usage'!$J20:$N20&gt;0),--('Weekly Summary'!AA$112:AA$116))*'Equipment List &amp; Usage'!$C$114,MMULT(--('Equipment List &amp; Usage'!$J20:$N20),--('Weekly Summary'!AA$112:AA$116))*'Equipment List &amp; Usage'!$C$115)+IF('Equipment List &amp; Usage'!$F19="yes",'Equipment List &amp; Usage'!$C$114,'Equipment List &amp; Usage'!$C$115)*(('Weekly Summary'!AA$66*'Equipment List &amp; Usage'!$Q20)+('Weekly Summary'!AA$64*'Equipment List &amp; Usage'!$O20)+('Weekly Summary'!AA$65*'Equipment List &amp; Usage'!$P20)))+(IF('Equipment List &amp; Usage'!$F20="Yes",'Equipment List &amp; Usage'!$C$114*((('Weekly Summary'!AA$131*SelfQuarantine_Mild)+('Weekly Summary'!AA$100*SelfQuarantine_Mild)+('Weekly Summary'!AA$101*SelfQuarantine_Moderate))),'Equipment List &amp; Usage'!$C$115)*((('Weekly Summary'!AA$131*SelfQuarantine_Mild*'Equipment List &amp; Usage'!$W20)+('Weekly Summary'!AA$100*SelfQuarantine_Mild*'Equipment List &amp; Usage'!$X20)+('Weekly Summary'!AA$101*SelfQuarantine_Moderate*'Equipment List &amp; Usage'!$X20)))+IF('Equipment List &amp; Usage'!$F20="Yes",'Equipment List &amp; Usage'!$C$114*(IF('Equipment List &amp; Usage'!$AA20&gt;0,'Weekly Summary'!AA$128,0)+IF('Equipment List &amp; Usage'!$AB20&gt;0,'Weekly Summary'!AA$100+'Weekly Summary'!AA$101,0)),'Equipment List &amp; Usage'!$C$115*(('Weekly Summary'!AA$128*'Equipment List &amp; Usage'!$AA20)+('Weekly Summary'!AA$100*'Equipment List &amp; Usage'!$AB20*SelfQuarantine_Mild)+('Weekly Summary'!AA$101*'Equipment List &amp; Usage'!$AB20*SelfQuarantine_Moderate)))+IF('Equipment List &amp; Usage'!$F20="Yes",('Equipment List &amp; Usage'!$C$114*(IF('Equipment List &amp; Usage'!$AE20&gt;0,'Weekly Summary'!AA$134,0)+IF('Equipment List &amp; Usage'!$AF20&gt;0,'Weekly Summary'!AA$135))),'Equipment List &amp; Usage'!$C$115*(('Weekly Summary'!AA$134*'Equipment List &amp; Usage'!$AE20)+('Weekly Summary'!AA$135*'Equipment List &amp; Usage'!$AF20))))-SUM($I18:AF18),
IF($F18="yes",MMULT(--('Equipment List &amp; Usage'!$J20:$N20&gt;0),--('Weekly Summary'!AA$112:AA$116))*'Equipment List &amp; Usage'!$C$114,MMULT(--('Equipment List &amp; Usage'!$J20:$N20),--('Weekly Summary'!AA$112:AA$116))*'Equipment List &amp; Usage'!$C$115)+IF('Equipment List &amp; Usage'!$F19="yes",'Equipment List &amp; Usage'!$C$114,'Equipment List &amp; Usage'!$C$115)*(('Weekly Summary'!AA$66*'Equipment List &amp; Usage'!$Q20)+('Weekly Summary'!AA$64*'Equipment List &amp; Usage'!$O20)+('Weekly Summary'!AA$65*'Equipment List &amp; Usage'!$P20))+(IF('Equipment List &amp; Usage'!$F20="Yes",'Equipment List &amp; Usage'!$C$114*((('Weekly Summary'!AA$131*SelfQuarantine_Mild)+('Weekly Summary'!AA$100*SelfQuarantine_Mild)+('Weekly Summary'!AA$101*SelfQuarantine_Moderate))),'Equipment List &amp; Usage'!$C$115)*((('Weekly Summary'!AA$131*SelfQuarantine_Mild*'Equipment List &amp; Usage'!$W20)+('Weekly Summary'!AA$100*SelfQuarantine_Mild*'Equipment List &amp; Usage'!$X20)+('Weekly Summary'!AA$101*SelfQuarantine_Moderate*'Equipment List &amp; Usage'!$X20))))+IF('Equipment List &amp; Usage'!$F20="Yes",'Equipment List &amp; Usage'!$C$114*(IF('Equipment List &amp; Usage'!$AA20&gt;0,'Weekly Summary'!AA$128,0)+IF('Equipment List &amp; Usage'!$AB20&gt;0,'Weekly Summary'!AA$100+'Weekly Summary'!AA$101,0)),'Equipment List &amp; Usage'!$C$115*(('Weekly Summary'!AA$128*'Equipment List &amp; Usage'!$AA20)+('Weekly Summary'!AA$100*'Equipment List &amp; Usage'!$AB20*SelfQuarantine_Mild)+('Weekly Summary'!AA$101*'Equipment List &amp; Usage'!$AB20*SelfQuarantine_Moderate)))+IF('Equipment List &amp; Usage'!$F20="Yes",('Equipment List &amp; Usage'!$C$114*(IF('Equipment List &amp; Usage'!$AE20&gt;0,'Weekly Summary'!AA$134,0)+IF('Equipment List &amp; Usage'!$AF20&gt;0,'Weekly Summary'!AA$135))),'Equipment List &amp; Usage'!$C$115*(('Weekly Summary'!AA$134*'Equipment List &amp; Usage'!$AE20)+('Weekly Summary'!AA$135*'Equipment List &amp; Usage'!$AF20)))),0)</f>
        <v>0</v>
      </c>
      <c r="AH18" s="1375">
        <f ca="1">MAX(IF($F18="Yes",(
IF($F18="yes",MMULT(--('Equipment List &amp; Usage'!$J20:$N20&gt;0),--('Weekly Summary'!AB$112:AB$116))*'Equipment List &amp; Usage'!$C$114,MMULT(--('Equipment List &amp; Usage'!$J20:$N20),--('Weekly Summary'!AB$112:AB$116))*'Equipment List &amp; Usage'!$C$115)+IF('Equipment List &amp; Usage'!$F19="yes",'Equipment List &amp; Usage'!$C$114,'Equipment List &amp; Usage'!$C$115)*(('Weekly Summary'!AB$66*'Equipment List &amp; Usage'!$Q20)+('Weekly Summary'!AB$64*'Equipment List &amp; Usage'!$O20)+('Weekly Summary'!AB$65*'Equipment List &amp; Usage'!$P20)))+(IF('Equipment List &amp; Usage'!$F20="Yes",'Equipment List &amp; Usage'!$C$114*((('Weekly Summary'!AB$131*SelfQuarantine_Mild)+('Weekly Summary'!AB$100*SelfQuarantine_Mild)+('Weekly Summary'!AB$101*SelfQuarantine_Moderate))),'Equipment List &amp; Usage'!$C$115)*((('Weekly Summary'!AB$131*SelfQuarantine_Mild*'Equipment List &amp; Usage'!$W20)+('Weekly Summary'!AB$100*SelfQuarantine_Mild*'Equipment List &amp; Usage'!$X20)+('Weekly Summary'!AB$101*SelfQuarantine_Moderate*'Equipment List &amp; Usage'!$X20)))+IF('Equipment List &amp; Usage'!$F20="Yes",'Equipment List &amp; Usage'!$C$114*(IF('Equipment List &amp; Usage'!$AA20&gt;0,'Weekly Summary'!AB$128,0)+IF('Equipment List &amp; Usage'!$AB20&gt;0,'Weekly Summary'!AB$100+'Weekly Summary'!AB$101,0)),'Equipment List &amp; Usage'!$C$115*(('Weekly Summary'!AB$128*'Equipment List &amp; Usage'!$AA20)+('Weekly Summary'!AB$100*'Equipment List &amp; Usage'!$AB20*SelfQuarantine_Mild)+('Weekly Summary'!AB$101*'Equipment List &amp; Usage'!$AB20*SelfQuarantine_Moderate)))+IF('Equipment List &amp; Usage'!$F20="Yes",('Equipment List &amp; Usage'!$C$114*(IF('Equipment List &amp; Usage'!$AE20&gt;0,'Weekly Summary'!AB$134,0)+IF('Equipment List &amp; Usage'!$AF20&gt;0,'Weekly Summary'!AB$135))),'Equipment List &amp; Usage'!$C$115*(('Weekly Summary'!AB$134*'Equipment List &amp; Usage'!$AE20)+('Weekly Summary'!AB$135*'Equipment List &amp; Usage'!$AF20))))-SUM($I18:AG18),
IF($F18="yes",MMULT(--('Equipment List &amp; Usage'!$J20:$N20&gt;0),--('Weekly Summary'!AB$112:AB$116))*'Equipment List &amp; Usage'!$C$114,MMULT(--('Equipment List &amp; Usage'!$J20:$N20),--('Weekly Summary'!AB$112:AB$116))*'Equipment List &amp; Usage'!$C$115)+IF('Equipment List &amp; Usage'!$F19="yes",'Equipment List &amp; Usage'!$C$114,'Equipment List &amp; Usage'!$C$115)*(('Weekly Summary'!AB$66*'Equipment List &amp; Usage'!$Q20)+('Weekly Summary'!AB$64*'Equipment List &amp; Usage'!$O20)+('Weekly Summary'!AB$65*'Equipment List &amp; Usage'!$P20))+(IF('Equipment List &amp; Usage'!$F20="Yes",'Equipment List &amp; Usage'!$C$114*((('Weekly Summary'!AB$131*SelfQuarantine_Mild)+('Weekly Summary'!AB$100*SelfQuarantine_Mild)+('Weekly Summary'!AB$101*SelfQuarantine_Moderate))),'Equipment List &amp; Usage'!$C$115)*((('Weekly Summary'!AB$131*SelfQuarantine_Mild*'Equipment List &amp; Usage'!$W20)+('Weekly Summary'!AB$100*SelfQuarantine_Mild*'Equipment List &amp; Usage'!$X20)+('Weekly Summary'!AB$101*SelfQuarantine_Moderate*'Equipment List &amp; Usage'!$X20))))+IF('Equipment List &amp; Usage'!$F20="Yes",'Equipment List &amp; Usage'!$C$114*(IF('Equipment List &amp; Usage'!$AA20&gt;0,'Weekly Summary'!AB$128,0)+IF('Equipment List &amp; Usage'!$AB20&gt;0,'Weekly Summary'!AB$100+'Weekly Summary'!AB$101,0)),'Equipment List &amp; Usage'!$C$115*(('Weekly Summary'!AB$128*'Equipment List &amp; Usage'!$AA20)+('Weekly Summary'!AB$100*'Equipment List &amp; Usage'!$AB20*SelfQuarantine_Mild)+('Weekly Summary'!AB$101*'Equipment List &amp; Usage'!$AB20*SelfQuarantine_Moderate)))+IF('Equipment List &amp; Usage'!$F20="Yes",('Equipment List &amp; Usage'!$C$114*(IF('Equipment List &amp; Usage'!$AE20&gt;0,'Weekly Summary'!AB$134,0)+IF('Equipment List &amp; Usage'!$AF20&gt;0,'Weekly Summary'!AB$135))),'Equipment List &amp; Usage'!$C$115*(('Weekly Summary'!AB$134*'Equipment List &amp; Usage'!$AE20)+('Weekly Summary'!AB$135*'Equipment List &amp; Usage'!$AF20)))),0)</f>
        <v>0</v>
      </c>
      <c r="AI18" s="1375">
        <f ca="1">MAX(IF($F18="Yes",(
IF($F18="yes",MMULT(--('Equipment List &amp; Usage'!$J20:$N20&gt;0),--('Weekly Summary'!AC$112:AC$116))*'Equipment List &amp; Usage'!$C$114,MMULT(--('Equipment List &amp; Usage'!$J20:$N20),--('Weekly Summary'!AC$112:AC$116))*'Equipment List &amp; Usage'!$C$115)+IF('Equipment List &amp; Usage'!$F19="yes",'Equipment List &amp; Usage'!$C$114,'Equipment List &amp; Usage'!$C$115)*(('Weekly Summary'!AC$66*'Equipment List &amp; Usage'!$Q20)+('Weekly Summary'!AC$64*'Equipment List &amp; Usage'!$O20)+('Weekly Summary'!AC$65*'Equipment List &amp; Usage'!$P20)))+(IF('Equipment List &amp; Usage'!$F20="Yes",'Equipment List &amp; Usage'!$C$114*((('Weekly Summary'!AC$131*SelfQuarantine_Mild)+('Weekly Summary'!AC$100*SelfQuarantine_Mild)+('Weekly Summary'!AC$101*SelfQuarantine_Moderate))),'Equipment List &amp; Usage'!$C$115)*((('Weekly Summary'!AC$131*SelfQuarantine_Mild*'Equipment List &amp; Usage'!$W20)+('Weekly Summary'!AC$100*SelfQuarantine_Mild*'Equipment List &amp; Usage'!$X20)+('Weekly Summary'!AC$101*SelfQuarantine_Moderate*'Equipment List &amp; Usage'!$X20)))+IF('Equipment List &amp; Usage'!$F20="Yes",'Equipment List &amp; Usage'!$C$114*(IF('Equipment List &amp; Usage'!$AA20&gt;0,'Weekly Summary'!AC$128,0)+IF('Equipment List &amp; Usage'!$AB20&gt;0,'Weekly Summary'!AC$100+'Weekly Summary'!AC$101,0)),'Equipment List &amp; Usage'!$C$115*(('Weekly Summary'!AC$128*'Equipment List &amp; Usage'!$AA20)+('Weekly Summary'!AC$100*'Equipment List &amp; Usage'!$AB20*SelfQuarantine_Mild)+('Weekly Summary'!AC$101*'Equipment List &amp; Usage'!$AB20*SelfQuarantine_Moderate)))+IF('Equipment List &amp; Usage'!$F20="Yes",('Equipment List &amp; Usage'!$C$114*(IF('Equipment List &amp; Usage'!$AE20&gt;0,'Weekly Summary'!AC$134,0)+IF('Equipment List &amp; Usage'!$AF20&gt;0,'Weekly Summary'!AC$135))),'Equipment List &amp; Usage'!$C$115*(('Weekly Summary'!AC$134*'Equipment List &amp; Usage'!$AE20)+('Weekly Summary'!AC$135*'Equipment List &amp; Usage'!$AF20))))-SUM($I18:AH18),
IF($F18="yes",MMULT(--('Equipment List &amp; Usage'!$J20:$N20&gt;0),--('Weekly Summary'!AC$112:AC$116))*'Equipment List &amp; Usage'!$C$114,MMULT(--('Equipment List &amp; Usage'!$J20:$N20),--('Weekly Summary'!AC$112:AC$116))*'Equipment List &amp; Usage'!$C$115)+IF('Equipment List &amp; Usage'!$F19="yes",'Equipment List &amp; Usage'!$C$114,'Equipment List &amp; Usage'!$C$115)*(('Weekly Summary'!AC$66*'Equipment List &amp; Usage'!$Q20)+('Weekly Summary'!AC$64*'Equipment List &amp; Usage'!$O20)+('Weekly Summary'!AC$65*'Equipment List &amp; Usage'!$P20))+(IF('Equipment List &amp; Usage'!$F20="Yes",'Equipment List &amp; Usage'!$C$114*((('Weekly Summary'!AC$131*SelfQuarantine_Mild)+('Weekly Summary'!AC$100*SelfQuarantine_Mild)+('Weekly Summary'!AC$101*SelfQuarantine_Moderate))),'Equipment List &amp; Usage'!$C$115)*((('Weekly Summary'!AC$131*SelfQuarantine_Mild*'Equipment List &amp; Usage'!$W20)+('Weekly Summary'!AC$100*SelfQuarantine_Mild*'Equipment List &amp; Usage'!$X20)+('Weekly Summary'!AC$101*SelfQuarantine_Moderate*'Equipment List &amp; Usage'!$X20))))+IF('Equipment List &amp; Usage'!$F20="Yes",'Equipment List &amp; Usage'!$C$114*(IF('Equipment List &amp; Usage'!$AA20&gt;0,'Weekly Summary'!AC$128,0)+IF('Equipment List &amp; Usage'!$AB20&gt;0,'Weekly Summary'!AC$100+'Weekly Summary'!AC$101,0)),'Equipment List &amp; Usage'!$C$115*(('Weekly Summary'!AC$128*'Equipment List &amp; Usage'!$AA20)+('Weekly Summary'!AC$100*'Equipment List &amp; Usage'!$AB20*SelfQuarantine_Mild)+('Weekly Summary'!AC$101*'Equipment List &amp; Usage'!$AB20*SelfQuarantine_Moderate)))+IF('Equipment List &amp; Usage'!$F20="Yes",('Equipment List &amp; Usage'!$C$114*(IF('Equipment List &amp; Usage'!$AE20&gt;0,'Weekly Summary'!AC$134,0)+IF('Equipment List &amp; Usage'!$AF20&gt;0,'Weekly Summary'!AC$135))),'Equipment List &amp; Usage'!$C$115*(('Weekly Summary'!AC$134*'Equipment List &amp; Usage'!$AE20)+('Weekly Summary'!AC$135*'Equipment List &amp; Usage'!$AF20)))),0)</f>
        <v>0</v>
      </c>
      <c r="AJ18" s="1375">
        <f ca="1">MAX(IF($F18="Yes",(
IF($F18="yes",MMULT(--('Equipment List &amp; Usage'!$J20:$N20&gt;0),--('Weekly Summary'!AD$112:AD$116))*'Equipment List &amp; Usage'!$C$114,MMULT(--('Equipment List &amp; Usage'!$J20:$N20),--('Weekly Summary'!AD$112:AD$116))*'Equipment List &amp; Usage'!$C$115)+IF('Equipment List &amp; Usage'!$F19="yes",'Equipment List &amp; Usage'!$C$114,'Equipment List &amp; Usage'!$C$115)*(('Weekly Summary'!AD$66*'Equipment List &amp; Usage'!$Q20)+('Weekly Summary'!AD$64*'Equipment List &amp; Usage'!$O20)+('Weekly Summary'!AD$65*'Equipment List &amp; Usage'!$P20)))+(IF('Equipment List &amp; Usage'!$F20="Yes",'Equipment List &amp; Usage'!$C$114*((('Weekly Summary'!AD$131*SelfQuarantine_Mild)+('Weekly Summary'!AD$100*SelfQuarantine_Mild)+('Weekly Summary'!AD$101*SelfQuarantine_Moderate))),'Equipment List &amp; Usage'!$C$115)*((('Weekly Summary'!AD$131*SelfQuarantine_Mild*'Equipment List &amp; Usage'!$W20)+('Weekly Summary'!AD$100*SelfQuarantine_Mild*'Equipment List &amp; Usage'!$X20)+('Weekly Summary'!AD$101*SelfQuarantine_Moderate*'Equipment List &amp; Usage'!$X20)))+IF('Equipment List &amp; Usage'!$F20="Yes",'Equipment List &amp; Usage'!$C$114*(IF('Equipment List &amp; Usage'!$AA20&gt;0,'Weekly Summary'!AD$128,0)+IF('Equipment List &amp; Usage'!$AB20&gt;0,'Weekly Summary'!AD$100+'Weekly Summary'!AD$101,0)),'Equipment List &amp; Usage'!$C$115*(('Weekly Summary'!AD$128*'Equipment List &amp; Usage'!$AA20)+('Weekly Summary'!AD$100*'Equipment List &amp; Usage'!$AB20*SelfQuarantine_Mild)+('Weekly Summary'!AD$101*'Equipment List &amp; Usage'!$AB20*SelfQuarantine_Moderate)))+IF('Equipment List &amp; Usage'!$F20="Yes",('Equipment List &amp; Usage'!$C$114*(IF('Equipment List &amp; Usage'!$AE20&gt;0,'Weekly Summary'!AD$134,0)+IF('Equipment List &amp; Usage'!$AF20&gt;0,'Weekly Summary'!AD$135))),'Equipment List &amp; Usage'!$C$115*(('Weekly Summary'!AD$134*'Equipment List &amp; Usage'!$AE20)+('Weekly Summary'!AD$135*'Equipment List &amp; Usage'!$AF20))))-SUM($I18:AI18),
IF($F18="yes",MMULT(--('Equipment List &amp; Usage'!$J20:$N20&gt;0),--('Weekly Summary'!AD$112:AD$116))*'Equipment List &amp; Usage'!$C$114,MMULT(--('Equipment List &amp; Usage'!$J20:$N20),--('Weekly Summary'!AD$112:AD$116))*'Equipment List &amp; Usage'!$C$115)+IF('Equipment List &amp; Usage'!$F19="yes",'Equipment List &amp; Usage'!$C$114,'Equipment List &amp; Usage'!$C$115)*(('Weekly Summary'!AD$66*'Equipment List &amp; Usage'!$Q20)+('Weekly Summary'!AD$64*'Equipment List &amp; Usage'!$O20)+('Weekly Summary'!AD$65*'Equipment List &amp; Usage'!$P20))+(IF('Equipment List &amp; Usage'!$F20="Yes",'Equipment List &amp; Usage'!$C$114*((('Weekly Summary'!AD$131*SelfQuarantine_Mild)+('Weekly Summary'!AD$100*SelfQuarantine_Mild)+('Weekly Summary'!AD$101*SelfQuarantine_Moderate))),'Equipment List &amp; Usage'!$C$115)*((('Weekly Summary'!AD$131*SelfQuarantine_Mild*'Equipment List &amp; Usage'!$W20)+('Weekly Summary'!AD$100*SelfQuarantine_Mild*'Equipment List &amp; Usage'!$X20)+('Weekly Summary'!AD$101*SelfQuarantine_Moderate*'Equipment List &amp; Usage'!$X20))))+IF('Equipment List &amp; Usage'!$F20="Yes",'Equipment List &amp; Usage'!$C$114*(IF('Equipment List &amp; Usage'!$AA20&gt;0,'Weekly Summary'!AD$128,0)+IF('Equipment List &amp; Usage'!$AB20&gt;0,'Weekly Summary'!AD$100+'Weekly Summary'!AD$101,0)),'Equipment List &amp; Usage'!$C$115*(('Weekly Summary'!AD$128*'Equipment List &amp; Usage'!$AA20)+('Weekly Summary'!AD$100*'Equipment List &amp; Usage'!$AB20*SelfQuarantine_Mild)+('Weekly Summary'!AD$101*'Equipment List &amp; Usage'!$AB20*SelfQuarantine_Moderate)))+IF('Equipment List &amp; Usage'!$F20="Yes",('Equipment List &amp; Usage'!$C$114*(IF('Equipment List &amp; Usage'!$AE20&gt;0,'Weekly Summary'!AD$134,0)+IF('Equipment List &amp; Usage'!$AF20&gt;0,'Weekly Summary'!AD$135))),'Equipment List &amp; Usage'!$C$115*(('Weekly Summary'!AD$134*'Equipment List &amp; Usage'!$AE20)+('Weekly Summary'!AD$135*'Equipment List &amp; Usage'!$AF20)))),0)</f>
        <v>0</v>
      </c>
      <c r="AK18" s="1375">
        <f ca="1">MAX(IF($F18="Yes",(
IF($F18="yes",MMULT(--('Equipment List &amp; Usage'!$J20:$N20&gt;0),--('Weekly Summary'!AE$112:AE$116))*'Equipment List &amp; Usage'!$C$114,MMULT(--('Equipment List &amp; Usage'!$J20:$N20),--('Weekly Summary'!AE$112:AE$116))*'Equipment List &amp; Usage'!$C$115)+IF('Equipment List &amp; Usage'!$F19="yes",'Equipment List &amp; Usage'!$C$114,'Equipment List &amp; Usage'!$C$115)*(('Weekly Summary'!AE$66*'Equipment List &amp; Usage'!$Q20)+('Weekly Summary'!AE$64*'Equipment List &amp; Usage'!$O20)+('Weekly Summary'!AE$65*'Equipment List &amp; Usage'!$P20)))+(IF('Equipment List &amp; Usage'!$F20="Yes",'Equipment List &amp; Usage'!$C$114*((('Weekly Summary'!AE$131*SelfQuarantine_Mild)+('Weekly Summary'!AE$100*SelfQuarantine_Mild)+('Weekly Summary'!AE$101*SelfQuarantine_Moderate))),'Equipment List &amp; Usage'!$C$115)*((('Weekly Summary'!AE$131*SelfQuarantine_Mild*'Equipment List &amp; Usage'!$W20)+('Weekly Summary'!AE$100*SelfQuarantine_Mild*'Equipment List &amp; Usage'!$X20)+('Weekly Summary'!AE$101*SelfQuarantine_Moderate*'Equipment List &amp; Usage'!$X20)))+IF('Equipment List &amp; Usage'!$F20="Yes",'Equipment List &amp; Usage'!$C$114*(IF('Equipment List &amp; Usage'!$AA20&gt;0,'Weekly Summary'!AE$128,0)+IF('Equipment List &amp; Usage'!$AB20&gt;0,'Weekly Summary'!AE$100+'Weekly Summary'!AE$101,0)),'Equipment List &amp; Usage'!$C$115*(('Weekly Summary'!AE$128*'Equipment List &amp; Usage'!$AA20)+('Weekly Summary'!AE$100*'Equipment List &amp; Usage'!$AB20*SelfQuarantine_Mild)+('Weekly Summary'!AE$101*'Equipment List &amp; Usage'!$AB20*SelfQuarantine_Moderate)))+IF('Equipment List &amp; Usage'!$F20="Yes",('Equipment List &amp; Usage'!$C$114*(IF('Equipment List &amp; Usage'!$AE20&gt;0,'Weekly Summary'!AE$134,0)+IF('Equipment List &amp; Usage'!$AF20&gt;0,'Weekly Summary'!AE$135))),'Equipment List &amp; Usage'!$C$115*(('Weekly Summary'!AE$134*'Equipment List &amp; Usage'!$AE20)+('Weekly Summary'!AE$135*'Equipment List &amp; Usage'!$AF20))))-SUM($I18:AJ18),
IF($F18="yes",MMULT(--('Equipment List &amp; Usage'!$J20:$N20&gt;0),--('Weekly Summary'!AE$112:AE$116))*'Equipment List &amp; Usage'!$C$114,MMULT(--('Equipment List &amp; Usage'!$J20:$N20),--('Weekly Summary'!AE$112:AE$116))*'Equipment List &amp; Usage'!$C$115)+IF('Equipment List &amp; Usage'!$F19="yes",'Equipment List &amp; Usage'!$C$114,'Equipment List &amp; Usage'!$C$115)*(('Weekly Summary'!AE$66*'Equipment List &amp; Usage'!$Q20)+('Weekly Summary'!AE$64*'Equipment List &amp; Usage'!$O20)+('Weekly Summary'!AE$65*'Equipment List &amp; Usage'!$P20))+(IF('Equipment List &amp; Usage'!$F20="Yes",'Equipment List &amp; Usage'!$C$114*((('Weekly Summary'!AE$131*SelfQuarantine_Mild)+('Weekly Summary'!AE$100*SelfQuarantine_Mild)+('Weekly Summary'!AE$101*SelfQuarantine_Moderate))),'Equipment List &amp; Usage'!$C$115)*((('Weekly Summary'!AE$131*SelfQuarantine_Mild*'Equipment List &amp; Usage'!$W20)+('Weekly Summary'!AE$100*SelfQuarantine_Mild*'Equipment List &amp; Usage'!$X20)+('Weekly Summary'!AE$101*SelfQuarantine_Moderate*'Equipment List &amp; Usage'!$X20))))+IF('Equipment List &amp; Usage'!$F20="Yes",'Equipment List &amp; Usage'!$C$114*(IF('Equipment List &amp; Usage'!$AA20&gt;0,'Weekly Summary'!AE$128,0)+IF('Equipment List &amp; Usage'!$AB20&gt;0,'Weekly Summary'!AE$100+'Weekly Summary'!AE$101,0)),'Equipment List &amp; Usage'!$C$115*(('Weekly Summary'!AE$128*'Equipment List &amp; Usage'!$AA20)+('Weekly Summary'!AE$100*'Equipment List &amp; Usage'!$AB20*SelfQuarantine_Mild)+('Weekly Summary'!AE$101*'Equipment List &amp; Usage'!$AB20*SelfQuarantine_Moderate)))+IF('Equipment List &amp; Usage'!$F20="Yes",('Equipment List &amp; Usage'!$C$114*(IF('Equipment List &amp; Usage'!$AE20&gt;0,'Weekly Summary'!AE$134,0)+IF('Equipment List &amp; Usage'!$AF20&gt;0,'Weekly Summary'!AE$135))),'Equipment List &amp; Usage'!$C$115*(('Weekly Summary'!AE$134*'Equipment List &amp; Usage'!$AE20)+('Weekly Summary'!AE$135*'Equipment List &amp; Usage'!$AF20)))),0)</f>
        <v>0</v>
      </c>
      <c r="AL18" s="1375">
        <f ca="1">MAX(IF($F18="Yes",(
IF($F18="yes",MMULT(--('Equipment List &amp; Usage'!$J20:$N20&gt;0),--('Weekly Summary'!AF$112:AF$116))*'Equipment List &amp; Usage'!$C$114,MMULT(--('Equipment List &amp; Usage'!$J20:$N20),--('Weekly Summary'!AF$112:AF$116))*'Equipment List &amp; Usage'!$C$115)+IF('Equipment List &amp; Usage'!$F19="yes",'Equipment List &amp; Usage'!$C$114,'Equipment List &amp; Usage'!$C$115)*(('Weekly Summary'!AF$66*'Equipment List &amp; Usage'!$Q20)+('Weekly Summary'!AF$64*'Equipment List &amp; Usage'!$O20)+('Weekly Summary'!AF$65*'Equipment List &amp; Usage'!$P20)))+(IF('Equipment List &amp; Usage'!$F20="Yes",'Equipment List &amp; Usage'!$C$114*((('Weekly Summary'!AF$131*SelfQuarantine_Mild)+('Weekly Summary'!AF$100*SelfQuarantine_Mild)+('Weekly Summary'!AF$101*SelfQuarantine_Moderate))),'Equipment List &amp; Usage'!$C$115)*((('Weekly Summary'!AF$131*SelfQuarantine_Mild*'Equipment List &amp; Usage'!$W20)+('Weekly Summary'!AF$100*SelfQuarantine_Mild*'Equipment List &amp; Usage'!$X20)+('Weekly Summary'!AF$101*SelfQuarantine_Moderate*'Equipment List &amp; Usage'!$X20)))+IF('Equipment List &amp; Usage'!$F20="Yes",'Equipment List &amp; Usage'!$C$114*(IF('Equipment List &amp; Usage'!$AA20&gt;0,'Weekly Summary'!AF$128,0)+IF('Equipment List &amp; Usage'!$AB20&gt;0,'Weekly Summary'!AF$100+'Weekly Summary'!AF$101,0)),'Equipment List &amp; Usage'!$C$115*(('Weekly Summary'!AF$128*'Equipment List &amp; Usage'!$AA20)+('Weekly Summary'!AF$100*'Equipment List &amp; Usage'!$AB20*SelfQuarantine_Mild)+('Weekly Summary'!AF$101*'Equipment List &amp; Usage'!$AB20*SelfQuarantine_Moderate)))+IF('Equipment List &amp; Usage'!$F20="Yes",('Equipment List &amp; Usage'!$C$114*(IF('Equipment List &amp; Usage'!$AE20&gt;0,'Weekly Summary'!AF$134,0)+IF('Equipment List &amp; Usage'!$AF20&gt;0,'Weekly Summary'!AF$135))),'Equipment List &amp; Usage'!$C$115*(('Weekly Summary'!AF$134*'Equipment List &amp; Usage'!$AE20)+('Weekly Summary'!AF$135*'Equipment List &amp; Usage'!$AF20))))-SUM($I18:AK18),
IF($F18="yes",MMULT(--('Equipment List &amp; Usage'!$J20:$N20&gt;0),--('Weekly Summary'!AF$112:AF$116))*'Equipment List &amp; Usage'!$C$114,MMULT(--('Equipment List &amp; Usage'!$J20:$N20),--('Weekly Summary'!AF$112:AF$116))*'Equipment List &amp; Usage'!$C$115)+IF('Equipment List &amp; Usage'!$F19="yes",'Equipment List &amp; Usage'!$C$114,'Equipment List &amp; Usage'!$C$115)*(('Weekly Summary'!AF$66*'Equipment List &amp; Usage'!$Q20)+('Weekly Summary'!AF$64*'Equipment List &amp; Usage'!$O20)+('Weekly Summary'!AF$65*'Equipment List &amp; Usage'!$P20))+(IF('Equipment List &amp; Usage'!$F20="Yes",'Equipment List &amp; Usage'!$C$114*((('Weekly Summary'!AF$131*SelfQuarantine_Mild)+('Weekly Summary'!AF$100*SelfQuarantine_Mild)+('Weekly Summary'!AF$101*SelfQuarantine_Moderate))),'Equipment List &amp; Usage'!$C$115)*((('Weekly Summary'!AF$131*SelfQuarantine_Mild*'Equipment List &amp; Usage'!$W20)+('Weekly Summary'!AF$100*SelfQuarantine_Mild*'Equipment List &amp; Usage'!$X20)+('Weekly Summary'!AF$101*SelfQuarantine_Moderate*'Equipment List &amp; Usage'!$X20))))+IF('Equipment List &amp; Usage'!$F20="Yes",'Equipment List &amp; Usage'!$C$114*(IF('Equipment List &amp; Usage'!$AA20&gt;0,'Weekly Summary'!AF$128,0)+IF('Equipment List &amp; Usage'!$AB20&gt;0,'Weekly Summary'!AF$100+'Weekly Summary'!AF$101,0)),'Equipment List &amp; Usage'!$C$115*(('Weekly Summary'!AF$128*'Equipment List &amp; Usage'!$AA20)+('Weekly Summary'!AF$100*'Equipment List &amp; Usage'!$AB20*SelfQuarantine_Mild)+('Weekly Summary'!AF$101*'Equipment List &amp; Usage'!$AB20*SelfQuarantine_Moderate)))+IF('Equipment List &amp; Usage'!$F20="Yes",('Equipment List &amp; Usage'!$C$114*(IF('Equipment List &amp; Usage'!$AE20&gt;0,'Weekly Summary'!AF$134,0)+IF('Equipment List &amp; Usage'!$AF20&gt;0,'Weekly Summary'!AF$135))),'Equipment List &amp; Usage'!$C$115*(('Weekly Summary'!AF$134*'Equipment List &amp; Usage'!$AE20)+('Weekly Summary'!AF$135*'Equipment List &amp; Usage'!$AF20)))),0)</f>
        <v>0</v>
      </c>
      <c r="AM18" s="1375">
        <f ca="1">MAX(IF($F18="Yes",(
IF($F18="yes",MMULT(--('Equipment List &amp; Usage'!$J20:$N20&gt;0),--('Weekly Summary'!AG$112:AG$116))*'Equipment List &amp; Usage'!$C$114,MMULT(--('Equipment List &amp; Usage'!$J20:$N20),--('Weekly Summary'!AG$112:AG$116))*'Equipment List &amp; Usage'!$C$115)+IF('Equipment List &amp; Usage'!$F19="yes",'Equipment List &amp; Usage'!$C$114,'Equipment List &amp; Usage'!$C$115)*(('Weekly Summary'!AG$66*'Equipment List &amp; Usage'!$Q20)+('Weekly Summary'!AG$64*'Equipment List &amp; Usage'!$O20)+('Weekly Summary'!AG$65*'Equipment List &amp; Usage'!$P20)))+(IF('Equipment List &amp; Usage'!$F20="Yes",'Equipment List &amp; Usage'!$C$114*((('Weekly Summary'!AG$131*SelfQuarantine_Mild)+('Weekly Summary'!AG$100*SelfQuarantine_Mild)+('Weekly Summary'!AG$101*SelfQuarantine_Moderate))),'Equipment List &amp; Usage'!$C$115)*((('Weekly Summary'!AG$131*SelfQuarantine_Mild*'Equipment List &amp; Usage'!$W20)+('Weekly Summary'!AG$100*SelfQuarantine_Mild*'Equipment List &amp; Usage'!$X20)+('Weekly Summary'!AG$101*SelfQuarantine_Moderate*'Equipment List &amp; Usage'!$X20)))+IF('Equipment List &amp; Usage'!$F20="Yes",'Equipment List &amp; Usage'!$C$114*(IF('Equipment List &amp; Usage'!$AA20&gt;0,'Weekly Summary'!AG$128,0)+IF('Equipment List &amp; Usage'!$AB20&gt;0,'Weekly Summary'!AG$100+'Weekly Summary'!AG$101,0)),'Equipment List &amp; Usage'!$C$115*(('Weekly Summary'!AG$128*'Equipment List &amp; Usage'!$AA20)+('Weekly Summary'!AG$100*'Equipment List &amp; Usage'!$AB20*SelfQuarantine_Mild)+('Weekly Summary'!AG$101*'Equipment List &amp; Usage'!$AB20*SelfQuarantine_Moderate)))+IF('Equipment List &amp; Usage'!$F20="Yes",('Equipment List &amp; Usage'!$C$114*(IF('Equipment List &amp; Usage'!$AE20&gt;0,'Weekly Summary'!AG$134,0)+IF('Equipment List &amp; Usage'!$AF20&gt;0,'Weekly Summary'!AG$135))),'Equipment List &amp; Usage'!$C$115*(('Weekly Summary'!AG$134*'Equipment List &amp; Usage'!$AE20)+('Weekly Summary'!AG$135*'Equipment List &amp; Usage'!$AF20))))-SUM($I18:AL18),
IF($F18="yes",MMULT(--('Equipment List &amp; Usage'!$J20:$N20&gt;0),--('Weekly Summary'!AG$112:AG$116))*'Equipment List &amp; Usage'!$C$114,MMULT(--('Equipment List &amp; Usage'!$J20:$N20),--('Weekly Summary'!AG$112:AG$116))*'Equipment List &amp; Usage'!$C$115)+IF('Equipment List &amp; Usage'!$F19="yes",'Equipment List &amp; Usage'!$C$114,'Equipment List &amp; Usage'!$C$115)*(('Weekly Summary'!AG$66*'Equipment List &amp; Usage'!$Q20)+('Weekly Summary'!AG$64*'Equipment List &amp; Usage'!$O20)+('Weekly Summary'!AG$65*'Equipment List &amp; Usage'!$P20))+(IF('Equipment List &amp; Usage'!$F20="Yes",'Equipment List &amp; Usage'!$C$114*((('Weekly Summary'!AG$131*SelfQuarantine_Mild)+('Weekly Summary'!AG$100*SelfQuarantine_Mild)+('Weekly Summary'!AG$101*SelfQuarantine_Moderate))),'Equipment List &amp; Usage'!$C$115)*((('Weekly Summary'!AG$131*SelfQuarantine_Mild*'Equipment List &amp; Usage'!$W20)+('Weekly Summary'!AG$100*SelfQuarantine_Mild*'Equipment List &amp; Usage'!$X20)+('Weekly Summary'!AG$101*SelfQuarantine_Moderate*'Equipment List &amp; Usage'!$X20))))+IF('Equipment List &amp; Usage'!$F20="Yes",'Equipment List &amp; Usage'!$C$114*(IF('Equipment List &amp; Usage'!$AA20&gt;0,'Weekly Summary'!AG$128,0)+IF('Equipment List &amp; Usage'!$AB20&gt;0,'Weekly Summary'!AG$100+'Weekly Summary'!AG$101,0)),'Equipment List &amp; Usage'!$C$115*(('Weekly Summary'!AG$128*'Equipment List &amp; Usage'!$AA20)+('Weekly Summary'!AG$100*'Equipment List &amp; Usage'!$AB20*SelfQuarantine_Mild)+('Weekly Summary'!AG$101*'Equipment List &amp; Usage'!$AB20*SelfQuarantine_Moderate)))+IF('Equipment List &amp; Usage'!$F20="Yes",('Equipment List &amp; Usage'!$C$114*(IF('Equipment List &amp; Usage'!$AE20&gt;0,'Weekly Summary'!AG$134,0)+IF('Equipment List &amp; Usage'!$AF20&gt;0,'Weekly Summary'!AG$135))),'Equipment List &amp; Usage'!$C$115*(('Weekly Summary'!AG$134*'Equipment List &amp; Usage'!$AE20)+('Weekly Summary'!AG$135*'Equipment List &amp; Usage'!$AF20)))),0)</f>
        <v>0</v>
      </c>
      <c r="AN18" s="1375">
        <f ca="1">MAX(IF($F18="Yes",(
IF($F18="yes",MMULT(--('Equipment List &amp; Usage'!$J20:$N20&gt;0),--('Weekly Summary'!AH$112:AH$116))*'Equipment List &amp; Usage'!$C$114,MMULT(--('Equipment List &amp; Usage'!$J20:$N20),--('Weekly Summary'!AH$112:AH$116))*'Equipment List &amp; Usage'!$C$115)+IF('Equipment List &amp; Usage'!$F19="yes",'Equipment List &amp; Usage'!$C$114,'Equipment List &amp; Usage'!$C$115)*(('Weekly Summary'!AH$66*'Equipment List &amp; Usage'!$Q20)+('Weekly Summary'!AH$64*'Equipment List &amp; Usage'!$O20)+('Weekly Summary'!AH$65*'Equipment List &amp; Usage'!$P20)))+(IF('Equipment List &amp; Usage'!$F20="Yes",'Equipment List &amp; Usage'!$C$114*((('Weekly Summary'!AH$131*SelfQuarantine_Mild)+('Weekly Summary'!AH$100*SelfQuarantine_Mild)+('Weekly Summary'!AH$101*SelfQuarantine_Moderate))),'Equipment List &amp; Usage'!$C$115)*((('Weekly Summary'!AH$131*SelfQuarantine_Mild*'Equipment List &amp; Usage'!$W20)+('Weekly Summary'!AH$100*SelfQuarantine_Mild*'Equipment List &amp; Usage'!$X20)+('Weekly Summary'!AH$101*SelfQuarantine_Moderate*'Equipment List &amp; Usage'!$X20)))+IF('Equipment List &amp; Usage'!$F20="Yes",'Equipment List &amp; Usage'!$C$114*(IF('Equipment List &amp; Usage'!$AA20&gt;0,'Weekly Summary'!AH$128,0)+IF('Equipment List &amp; Usage'!$AB20&gt;0,'Weekly Summary'!AH$100+'Weekly Summary'!AH$101,0)),'Equipment List &amp; Usage'!$C$115*(('Weekly Summary'!AH$128*'Equipment List &amp; Usage'!$AA20)+('Weekly Summary'!AH$100*'Equipment List &amp; Usage'!$AB20*SelfQuarantine_Mild)+('Weekly Summary'!AH$101*'Equipment List &amp; Usage'!$AB20*SelfQuarantine_Moderate)))+IF('Equipment List &amp; Usage'!$F20="Yes",('Equipment List &amp; Usage'!$C$114*(IF('Equipment List &amp; Usage'!$AE20&gt;0,'Weekly Summary'!AH$134,0)+IF('Equipment List &amp; Usage'!$AF20&gt;0,'Weekly Summary'!AH$135))),'Equipment List &amp; Usage'!$C$115*(('Weekly Summary'!AH$134*'Equipment List &amp; Usage'!$AE20)+('Weekly Summary'!AH$135*'Equipment List &amp; Usage'!$AF20))))-SUM($I18:AM18),
IF($F18="yes",MMULT(--('Equipment List &amp; Usage'!$J20:$N20&gt;0),--('Weekly Summary'!AH$112:AH$116))*'Equipment List &amp; Usage'!$C$114,MMULT(--('Equipment List &amp; Usage'!$J20:$N20),--('Weekly Summary'!AH$112:AH$116))*'Equipment List &amp; Usage'!$C$115)+IF('Equipment List &amp; Usage'!$F19="yes",'Equipment List &amp; Usage'!$C$114,'Equipment List &amp; Usage'!$C$115)*(('Weekly Summary'!AH$66*'Equipment List &amp; Usage'!$Q20)+('Weekly Summary'!AH$64*'Equipment List &amp; Usage'!$O20)+('Weekly Summary'!AH$65*'Equipment List &amp; Usage'!$P20))+(IF('Equipment List &amp; Usage'!$F20="Yes",'Equipment List &amp; Usage'!$C$114*((('Weekly Summary'!AH$131*SelfQuarantine_Mild)+('Weekly Summary'!AH$100*SelfQuarantine_Mild)+('Weekly Summary'!AH$101*SelfQuarantine_Moderate))),'Equipment List &amp; Usage'!$C$115)*((('Weekly Summary'!AH$131*SelfQuarantine_Mild*'Equipment List &amp; Usage'!$W20)+('Weekly Summary'!AH$100*SelfQuarantine_Mild*'Equipment List &amp; Usage'!$X20)+('Weekly Summary'!AH$101*SelfQuarantine_Moderate*'Equipment List &amp; Usage'!$X20))))+IF('Equipment List &amp; Usage'!$F20="Yes",'Equipment List &amp; Usage'!$C$114*(IF('Equipment List &amp; Usage'!$AA20&gt;0,'Weekly Summary'!AH$128,0)+IF('Equipment List &amp; Usage'!$AB20&gt;0,'Weekly Summary'!AH$100+'Weekly Summary'!AH$101,0)),'Equipment List &amp; Usage'!$C$115*(('Weekly Summary'!AH$128*'Equipment List &amp; Usage'!$AA20)+('Weekly Summary'!AH$100*'Equipment List &amp; Usage'!$AB20*SelfQuarantine_Mild)+('Weekly Summary'!AH$101*'Equipment List &amp; Usage'!$AB20*SelfQuarantine_Moderate)))+IF('Equipment List &amp; Usage'!$F20="Yes",('Equipment List &amp; Usage'!$C$114*(IF('Equipment List &amp; Usage'!$AE20&gt;0,'Weekly Summary'!AH$134,0)+IF('Equipment List &amp; Usage'!$AF20&gt;0,'Weekly Summary'!AH$135))),'Equipment List &amp; Usage'!$C$115*(('Weekly Summary'!AH$134*'Equipment List &amp; Usage'!$AE20)+('Weekly Summary'!AH$135*'Equipment List &amp; Usage'!$AF20)))),0)</f>
        <v>0</v>
      </c>
      <c r="AO18" s="1375">
        <f ca="1">MAX(IF($F18="Yes",(
IF($F18="yes",MMULT(--('Equipment List &amp; Usage'!$J20:$N20&gt;0),--('Weekly Summary'!AI$112:AI$116))*'Equipment List &amp; Usage'!$C$114,MMULT(--('Equipment List &amp; Usage'!$J20:$N20),--('Weekly Summary'!AI$112:AI$116))*'Equipment List &amp; Usage'!$C$115)+IF('Equipment List &amp; Usage'!$F19="yes",'Equipment List &amp; Usage'!$C$114,'Equipment List &amp; Usage'!$C$115)*(('Weekly Summary'!AI$66*'Equipment List &amp; Usage'!$Q20)+('Weekly Summary'!AI$64*'Equipment List &amp; Usage'!$O20)+('Weekly Summary'!AI$65*'Equipment List &amp; Usage'!$P20)))+(IF('Equipment List &amp; Usage'!$F20="Yes",'Equipment List &amp; Usage'!$C$114*((('Weekly Summary'!AI$131*SelfQuarantine_Mild)+('Weekly Summary'!AI$100*SelfQuarantine_Mild)+('Weekly Summary'!AI$101*SelfQuarantine_Moderate))),'Equipment List &amp; Usage'!$C$115)*((('Weekly Summary'!AI$131*SelfQuarantine_Mild*'Equipment List &amp; Usage'!$W20)+('Weekly Summary'!AI$100*SelfQuarantine_Mild*'Equipment List &amp; Usage'!$X20)+('Weekly Summary'!AI$101*SelfQuarantine_Moderate*'Equipment List &amp; Usage'!$X20)))+IF('Equipment List &amp; Usage'!$F20="Yes",'Equipment List &amp; Usage'!$C$114*(IF('Equipment List &amp; Usage'!$AA20&gt;0,'Weekly Summary'!AI$128,0)+IF('Equipment List &amp; Usage'!$AB20&gt;0,'Weekly Summary'!AI$100+'Weekly Summary'!AI$101,0)),'Equipment List &amp; Usage'!$C$115*(('Weekly Summary'!AI$128*'Equipment List &amp; Usage'!$AA20)+('Weekly Summary'!AI$100*'Equipment List &amp; Usage'!$AB20*SelfQuarantine_Mild)+('Weekly Summary'!AI$101*'Equipment List &amp; Usage'!$AB20*SelfQuarantine_Moderate)))+IF('Equipment List &amp; Usage'!$F20="Yes",('Equipment List &amp; Usage'!$C$114*(IF('Equipment List &amp; Usage'!$AE20&gt;0,'Weekly Summary'!AI$134,0)+IF('Equipment List &amp; Usage'!$AF20&gt;0,'Weekly Summary'!AI$135))),'Equipment List &amp; Usage'!$C$115*(('Weekly Summary'!AI$134*'Equipment List &amp; Usage'!$AE20)+('Weekly Summary'!AI$135*'Equipment List &amp; Usage'!$AF20))))-SUM($I18:AN18),
IF($F18="yes",MMULT(--('Equipment List &amp; Usage'!$J20:$N20&gt;0),--('Weekly Summary'!AI$112:AI$116))*'Equipment List &amp; Usage'!$C$114,MMULT(--('Equipment List &amp; Usage'!$J20:$N20),--('Weekly Summary'!AI$112:AI$116))*'Equipment List &amp; Usage'!$C$115)+IF('Equipment List &amp; Usage'!$F19="yes",'Equipment List &amp; Usage'!$C$114,'Equipment List &amp; Usage'!$C$115)*(('Weekly Summary'!AI$66*'Equipment List &amp; Usage'!$Q20)+('Weekly Summary'!AI$64*'Equipment List &amp; Usage'!$O20)+('Weekly Summary'!AI$65*'Equipment List &amp; Usage'!$P20))+(IF('Equipment List &amp; Usage'!$F20="Yes",'Equipment List &amp; Usage'!$C$114*((('Weekly Summary'!AI$131*SelfQuarantine_Mild)+('Weekly Summary'!AI$100*SelfQuarantine_Mild)+('Weekly Summary'!AI$101*SelfQuarantine_Moderate))),'Equipment List &amp; Usage'!$C$115)*((('Weekly Summary'!AI$131*SelfQuarantine_Mild*'Equipment List &amp; Usage'!$W20)+('Weekly Summary'!AI$100*SelfQuarantine_Mild*'Equipment List &amp; Usage'!$X20)+('Weekly Summary'!AI$101*SelfQuarantine_Moderate*'Equipment List &amp; Usage'!$X20))))+IF('Equipment List &amp; Usage'!$F20="Yes",'Equipment List &amp; Usage'!$C$114*(IF('Equipment List &amp; Usage'!$AA20&gt;0,'Weekly Summary'!AI$128,0)+IF('Equipment List &amp; Usage'!$AB20&gt;0,'Weekly Summary'!AI$100+'Weekly Summary'!AI$101,0)),'Equipment List &amp; Usage'!$C$115*(('Weekly Summary'!AI$128*'Equipment List &amp; Usage'!$AA20)+('Weekly Summary'!AI$100*'Equipment List &amp; Usage'!$AB20*SelfQuarantine_Mild)+('Weekly Summary'!AI$101*'Equipment List &amp; Usage'!$AB20*SelfQuarantine_Moderate)))+IF('Equipment List &amp; Usage'!$F20="Yes",('Equipment List &amp; Usage'!$C$114*(IF('Equipment List &amp; Usage'!$AE20&gt;0,'Weekly Summary'!AI$134,0)+IF('Equipment List &amp; Usage'!$AF20&gt;0,'Weekly Summary'!AI$135))),'Equipment List &amp; Usage'!$C$115*(('Weekly Summary'!AI$134*'Equipment List &amp; Usage'!$AE20)+('Weekly Summary'!AI$135*'Equipment List &amp; Usage'!$AF20)))),0)</f>
        <v>0</v>
      </c>
      <c r="AP18" s="1375">
        <f ca="1">MAX(IF($F18="Yes",(
IF($F18="yes",MMULT(--('Equipment List &amp; Usage'!$J20:$N20&gt;0),--('Weekly Summary'!AJ$112:AJ$116))*'Equipment List &amp; Usage'!$C$114,MMULT(--('Equipment List &amp; Usage'!$J20:$N20),--('Weekly Summary'!AJ$112:AJ$116))*'Equipment List &amp; Usage'!$C$115)+IF('Equipment List &amp; Usage'!$F19="yes",'Equipment List &amp; Usage'!$C$114,'Equipment List &amp; Usage'!$C$115)*(('Weekly Summary'!AJ$66*'Equipment List &amp; Usage'!$Q20)+('Weekly Summary'!AJ$64*'Equipment List &amp; Usage'!$O20)+('Weekly Summary'!AJ$65*'Equipment List &amp; Usage'!$P20)))+(IF('Equipment List &amp; Usage'!$F20="Yes",'Equipment List &amp; Usage'!$C$114*((('Weekly Summary'!AJ$131*SelfQuarantine_Mild)+('Weekly Summary'!AJ$100*SelfQuarantine_Mild)+('Weekly Summary'!AJ$101*SelfQuarantine_Moderate))),'Equipment List &amp; Usage'!$C$115)*((('Weekly Summary'!AJ$131*SelfQuarantine_Mild*'Equipment List &amp; Usage'!$W20)+('Weekly Summary'!AJ$100*SelfQuarantine_Mild*'Equipment List &amp; Usage'!$X20)+('Weekly Summary'!AJ$101*SelfQuarantine_Moderate*'Equipment List &amp; Usage'!$X20)))+IF('Equipment List &amp; Usage'!$F20="Yes",'Equipment List &amp; Usage'!$C$114*(IF('Equipment List &amp; Usage'!$AA20&gt;0,'Weekly Summary'!AJ$128,0)+IF('Equipment List &amp; Usage'!$AB20&gt;0,'Weekly Summary'!AJ$100+'Weekly Summary'!AJ$101,0)),'Equipment List &amp; Usage'!$C$115*(('Weekly Summary'!AJ$128*'Equipment List &amp; Usage'!$AA20)+('Weekly Summary'!AJ$100*'Equipment List &amp; Usage'!$AB20*SelfQuarantine_Mild)+('Weekly Summary'!AJ$101*'Equipment List &amp; Usage'!$AB20*SelfQuarantine_Moderate)))+IF('Equipment List &amp; Usage'!$F20="Yes",('Equipment List &amp; Usage'!$C$114*(IF('Equipment List &amp; Usage'!$AE20&gt;0,'Weekly Summary'!AJ$134,0)+IF('Equipment List &amp; Usage'!$AF20&gt;0,'Weekly Summary'!AJ$135))),'Equipment List &amp; Usage'!$C$115*(('Weekly Summary'!AJ$134*'Equipment List &amp; Usage'!$AE20)+('Weekly Summary'!AJ$135*'Equipment List &amp; Usage'!$AF20))))-SUM($I18:AO18),
IF($F18="yes",MMULT(--('Equipment List &amp; Usage'!$J20:$N20&gt;0),--('Weekly Summary'!AJ$112:AJ$116))*'Equipment List &amp; Usage'!$C$114,MMULT(--('Equipment List &amp; Usage'!$J20:$N20),--('Weekly Summary'!AJ$112:AJ$116))*'Equipment List &amp; Usage'!$C$115)+IF('Equipment List &amp; Usage'!$F19="yes",'Equipment List &amp; Usage'!$C$114,'Equipment List &amp; Usage'!$C$115)*(('Weekly Summary'!AJ$66*'Equipment List &amp; Usage'!$Q20)+('Weekly Summary'!AJ$64*'Equipment List &amp; Usage'!$O20)+('Weekly Summary'!AJ$65*'Equipment List &amp; Usage'!$P20))+(IF('Equipment List &amp; Usage'!$F20="Yes",'Equipment List &amp; Usage'!$C$114*((('Weekly Summary'!AJ$131*SelfQuarantine_Mild)+('Weekly Summary'!AJ$100*SelfQuarantine_Mild)+('Weekly Summary'!AJ$101*SelfQuarantine_Moderate))),'Equipment List &amp; Usage'!$C$115)*((('Weekly Summary'!AJ$131*SelfQuarantine_Mild*'Equipment List &amp; Usage'!$W20)+('Weekly Summary'!AJ$100*SelfQuarantine_Mild*'Equipment List &amp; Usage'!$X20)+('Weekly Summary'!AJ$101*SelfQuarantine_Moderate*'Equipment List &amp; Usage'!$X20))))+IF('Equipment List &amp; Usage'!$F20="Yes",'Equipment List &amp; Usage'!$C$114*(IF('Equipment List &amp; Usage'!$AA20&gt;0,'Weekly Summary'!AJ$128,0)+IF('Equipment List &amp; Usage'!$AB20&gt;0,'Weekly Summary'!AJ$100+'Weekly Summary'!AJ$101,0)),'Equipment List &amp; Usage'!$C$115*(('Weekly Summary'!AJ$128*'Equipment List &amp; Usage'!$AA20)+('Weekly Summary'!AJ$100*'Equipment List &amp; Usage'!$AB20*SelfQuarantine_Mild)+('Weekly Summary'!AJ$101*'Equipment List &amp; Usage'!$AB20*SelfQuarantine_Moderate)))+IF('Equipment List &amp; Usage'!$F20="Yes",('Equipment List &amp; Usage'!$C$114*(IF('Equipment List &amp; Usage'!$AE20&gt;0,'Weekly Summary'!AJ$134,0)+IF('Equipment List &amp; Usage'!$AF20&gt;0,'Weekly Summary'!AJ$135))),'Equipment List &amp; Usage'!$C$115*(('Weekly Summary'!AJ$134*'Equipment List &amp; Usage'!$AE20)+('Weekly Summary'!AJ$135*'Equipment List &amp; Usage'!$AF20)))),0)</f>
        <v>0</v>
      </c>
      <c r="AQ18" s="1375">
        <f ca="1">MAX(IF($F18="Yes",(
IF($F18="yes",MMULT(--('Equipment List &amp; Usage'!$J20:$N20&gt;0),--('Weekly Summary'!AK$112:AK$116))*'Equipment List &amp; Usage'!$C$114,MMULT(--('Equipment List &amp; Usage'!$J20:$N20),--('Weekly Summary'!AK$112:AK$116))*'Equipment List &amp; Usage'!$C$115)+IF('Equipment List &amp; Usage'!$F19="yes",'Equipment List &amp; Usage'!$C$114,'Equipment List &amp; Usage'!$C$115)*(('Weekly Summary'!AK$66*'Equipment List &amp; Usage'!$Q20)+('Weekly Summary'!AK$64*'Equipment List &amp; Usage'!$O20)+('Weekly Summary'!AK$65*'Equipment List &amp; Usage'!$P20)))+(IF('Equipment List &amp; Usage'!$F20="Yes",'Equipment List &amp; Usage'!$C$114*((('Weekly Summary'!AK$131*SelfQuarantine_Mild)+('Weekly Summary'!AK$100*SelfQuarantine_Mild)+('Weekly Summary'!AK$101*SelfQuarantine_Moderate))),'Equipment List &amp; Usage'!$C$115)*((('Weekly Summary'!AK$131*SelfQuarantine_Mild*'Equipment List &amp; Usage'!$W20)+('Weekly Summary'!AK$100*SelfQuarantine_Mild*'Equipment List &amp; Usage'!$X20)+('Weekly Summary'!AK$101*SelfQuarantine_Moderate*'Equipment List &amp; Usage'!$X20)))+IF('Equipment List &amp; Usage'!$F20="Yes",'Equipment List &amp; Usage'!$C$114*(IF('Equipment List &amp; Usage'!$AA20&gt;0,'Weekly Summary'!AK$128,0)+IF('Equipment List &amp; Usage'!$AB20&gt;0,'Weekly Summary'!AK$100+'Weekly Summary'!AK$101,0)),'Equipment List &amp; Usage'!$C$115*(('Weekly Summary'!AK$128*'Equipment List &amp; Usage'!$AA20)+('Weekly Summary'!AK$100*'Equipment List &amp; Usage'!$AB20*SelfQuarantine_Mild)+('Weekly Summary'!AK$101*'Equipment List &amp; Usage'!$AB20*SelfQuarantine_Moderate)))+IF('Equipment List &amp; Usage'!$F20="Yes",('Equipment List &amp; Usage'!$C$114*(IF('Equipment List &amp; Usage'!$AE20&gt;0,'Weekly Summary'!AK$134,0)+IF('Equipment List &amp; Usage'!$AF20&gt;0,'Weekly Summary'!AK$135))),'Equipment List &amp; Usage'!$C$115*(('Weekly Summary'!AK$134*'Equipment List &amp; Usage'!$AE20)+('Weekly Summary'!AK$135*'Equipment List &amp; Usage'!$AF20))))-SUM($I18:AP18),
IF($F18="yes",MMULT(--('Equipment List &amp; Usage'!$J20:$N20&gt;0),--('Weekly Summary'!AK$112:AK$116))*'Equipment List &amp; Usage'!$C$114,MMULT(--('Equipment List &amp; Usage'!$J20:$N20),--('Weekly Summary'!AK$112:AK$116))*'Equipment List &amp; Usage'!$C$115)+IF('Equipment List &amp; Usage'!$F19="yes",'Equipment List &amp; Usage'!$C$114,'Equipment List &amp; Usage'!$C$115)*(('Weekly Summary'!AK$66*'Equipment List &amp; Usage'!$Q20)+('Weekly Summary'!AK$64*'Equipment List &amp; Usage'!$O20)+('Weekly Summary'!AK$65*'Equipment List &amp; Usage'!$P20))+(IF('Equipment List &amp; Usage'!$F20="Yes",'Equipment List &amp; Usage'!$C$114*((('Weekly Summary'!AK$131*SelfQuarantine_Mild)+('Weekly Summary'!AK$100*SelfQuarantine_Mild)+('Weekly Summary'!AK$101*SelfQuarantine_Moderate))),'Equipment List &amp; Usage'!$C$115)*((('Weekly Summary'!AK$131*SelfQuarantine_Mild*'Equipment List &amp; Usage'!$W20)+('Weekly Summary'!AK$100*SelfQuarantine_Mild*'Equipment List &amp; Usage'!$X20)+('Weekly Summary'!AK$101*SelfQuarantine_Moderate*'Equipment List &amp; Usage'!$X20))))+IF('Equipment List &amp; Usage'!$F20="Yes",'Equipment List &amp; Usage'!$C$114*(IF('Equipment List &amp; Usage'!$AA20&gt;0,'Weekly Summary'!AK$128,0)+IF('Equipment List &amp; Usage'!$AB20&gt;0,'Weekly Summary'!AK$100+'Weekly Summary'!AK$101,0)),'Equipment List &amp; Usage'!$C$115*(('Weekly Summary'!AK$128*'Equipment List &amp; Usage'!$AA20)+('Weekly Summary'!AK$100*'Equipment List &amp; Usage'!$AB20*SelfQuarantine_Mild)+('Weekly Summary'!AK$101*'Equipment List &amp; Usage'!$AB20*SelfQuarantine_Moderate)))+IF('Equipment List &amp; Usage'!$F20="Yes",('Equipment List &amp; Usage'!$C$114*(IF('Equipment List &amp; Usage'!$AE20&gt;0,'Weekly Summary'!AK$134,0)+IF('Equipment List &amp; Usage'!$AF20&gt;0,'Weekly Summary'!AK$135))),'Equipment List &amp; Usage'!$C$115*(('Weekly Summary'!AK$134*'Equipment List &amp; Usage'!$AE20)+('Weekly Summary'!AK$135*'Equipment List &amp; Usage'!$AF20)))),0)</f>
        <v>0</v>
      </c>
      <c r="AR18" s="1375">
        <f ca="1">MAX(IF($F18="Yes",(
IF($F18="yes",MMULT(--('Equipment List &amp; Usage'!$J20:$N20&gt;0),--('Weekly Summary'!AL$112:AL$116))*'Equipment List &amp; Usage'!$C$114,MMULT(--('Equipment List &amp; Usage'!$J20:$N20),--('Weekly Summary'!AL$112:AL$116))*'Equipment List &amp; Usage'!$C$115)+IF('Equipment List &amp; Usage'!$F19="yes",'Equipment List &amp; Usage'!$C$114,'Equipment List &amp; Usage'!$C$115)*(('Weekly Summary'!AL$66*'Equipment List &amp; Usage'!$Q20)+('Weekly Summary'!AL$64*'Equipment List &amp; Usage'!$O20)+('Weekly Summary'!AL$65*'Equipment List &amp; Usage'!$P20)))+(IF('Equipment List &amp; Usage'!$F20="Yes",'Equipment List &amp; Usage'!$C$114*((('Weekly Summary'!AL$131*SelfQuarantine_Mild)+('Weekly Summary'!AL$100*SelfQuarantine_Mild)+('Weekly Summary'!AL$101*SelfQuarantine_Moderate))),'Equipment List &amp; Usage'!$C$115)*((('Weekly Summary'!AL$131*SelfQuarantine_Mild*'Equipment List &amp; Usage'!$W20)+('Weekly Summary'!AL$100*SelfQuarantine_Mild*'Equipment List &amp; Usage'!$X20)+('Weekly Summary'!AL$101*SelfQuarantine_Moderate*'Equipment List &amp; Usage'!$X20)))+IF('Equipment List &amp; Usage'!$F20="Yes",'Equipment List &amp; Usage'!$C$114*(IF('Equipment List &amp; Usage'!$AA20&gt;0,'Weekly Summary'!AL$128,0)+IF('Equipment List &amp; Usage'!$AB20&gt;0,'Weekly Summary'!AL$100+'Weekly Summary'!AL$101,0)),'Equipment List &amp; Usage'!$C$115*(('Weekly Summary'!AL$128*'Equipment List &amp; Usage'!$AA20)+('Weekly Summary'!AL$100*'Equipment List &amp; Usage'!$AB20*SelfQuarantine_Mild)+('Weekly Summary'!AL$101*'Equipment List &amp; Usage'!$AB20*SelfQuarantine_Moderate)))+IF('Equipment List &amp; Usage'!$F20="Yes",('Equipment List &amp; Usage'!$C$114*(IF('Equipment List &amp; Usage'!$AE20&gt;0,'Weekly Summary'!AL$134,0)+IF('Equipment List &amp; Usage'!$AF20&gt;0,'Weekly Summary'!AL$135))),'Equipment List &amp; Usage'!$C$115*(('Weekly Summary'!AL$134*'Equipment List &amp; Usage'!$AE20)+('Weekly Summary'!AL$135*'Equipment List &amp; Usage'!$AF20))))-SUM($I18:AQ18),
IF($F18="yes",MMULT(--('Equipment List &amp; Usage'!$J20:$N20&gt;0),--('Weekly Summary'!AL$112:AL$116))*'Equipment List &amp; Usage'!$C$114,MMULT(--('Equipment List &amp; Usage'!$J20:$N20),--('Weekly Summary'!AL$112:AL$116))*'Equipment List &amp; Usage'!$C$115)+IF('Equipment List &amp; Usage'!$F19="yes",'Equipment List &amp; Usage'!$C$114,'Equipment List &amp; Usage'!$C$115)*(('Weekly Summary'!AL$66*'Equipment List &amp; Usage'!$Q20)+('Weekly Summary'!AL$64*'Equipment List &amp; Usage'!$O20)+('Weekly Summary'!AL$65*'Equipment List &amp; Usage'!$P20))+(IF('Equipment List &amp; Usage'!$F20="Yes",'Equipment List &amp; Usage'!$C$114*((('Weekly Summary'!AL$131*SelfQuarantine_Mild)+('Weekly Summary'!AL$100*SelfQuarantine_Mild)+('Weekly Summary'!AL$101*SelfQuarantine_Moderate))),'Equipment List &amp; Usage'!$C$115)*((('Weekly Summary'!AL$131*SelfQuarantine_Mild*'Equipment List &amp; Usage'!$W20)+('Weekly Summary'!AL$100*SelfQuarantine_Mild*'Equipment List &amp; Usage'!$X20)+('Weekly Summary'!AL$101*SelfQuarantine_Moderate*'Equipment List &amp; Usage'!$X20))))+IF('Equipment List &amp; Usage'!$F20="Yes",'Equipment List &amp; Usage'!$C$114*(IF('Equipment List &amp; Usage'!$AA20&gt;0,'Weekly Summary'!AL$128,0)+IF('Equipment List &amp; Usage'!$AB20&gt;0,'Weekly Summary'!AL$100+'Weekly Summary'!AL$101,0)),'Equipment List &amp; Usage'!$C$115*(('Weekly Summary'!AL$128*'Equipment List &amp; Usage'!$AA20)+('Weekly Summary'!AL$100*'Equipment List &amp; Usage'!$AB20*SelfQuarantine_Mild)+('Weekly Summary'!AL$101*'Equipment List &amp; Usage'!$AB20*SelfQuarantine_Moderate)))+IF('Equipment List &amp; Usage'!$F20="Yes",('Equipment List &amp; Usage'!$C$114*(IF('Equipment List &amp; Usage'!$AE20&gt;0,'Weekly Summary'!AL$134,0)+IF('Equipment List &amp; Usage'!$AF20&gt;0,'Weekly Summary'!AL$135))),'Equipment List &amp; Usage'!$C$115*(('Weekly Summary'!AL$134*'Equipment List &amp; Usage'!$AE20)+('Weekly Summary'!AL$135*'Equipment List &amp; Usage'!$AF20)))),0)</f>
        <v>0</v>
      </c>
      <c r="AS18" s="1375">
        <f ca="1">MAX(IF($F18="Yes",(
IF($F18="yes",MMULT(--('Equipment List &amp; Usage'!$J20:$N20&gt;0),--('Weekly Summary'!AM$112:AM$116))*'Equipment List &amp; Usage'!$C$114,MMULT(--('Equipment List &amp; Usage'!$J20:$N20),--('Weekly Summary'!AM$112:AM$116))*'Equipment List &amp; Usage'!$C$115)+IF('Equipment List &amp; Usage'!$F19="yes",'Equipment List &amp; Usage'!$C$114,'Equipment List &amp; Usage'!$C$115)*(('Weekly Summary'!AM$66*'Equipment List &amp; Usage'!$Q20)+('Weekly Summary'!AM$64*'Equipment List &amp; Usage'!$O20)+('Weekly Summary'!AM$65*'Equipment List &amp; Usage'!$P20)))+(IF('Equipment List &amp; Usage'!$F20="Yes",'Equipment List &amp; Usage'!$C$114*((('Weekly Summary'!AM$131*SelfQuarantine_Mild)+('Weekly Summary'!AM$100*SelfQuarantine_Mild)+('Weekly Summary'!AM$101*SelfQuarantine_Moderate))),'Equipment List &amp; Usage'!$C$115)*((('Weekly Summary'!AM$131*SelfQuarantine_Mild*'Equipment List &amp; Usage'!$W20)+('Weekly Summary'!AM$100*SelfQuarantine_Mild*'Equipment List &amp; Usage'!$X20)+('Weekly Summary'!AM$101*SelfQuarantine_Moderate*'Equipment List &amp; Usage'!$X20)))+IF('Equipment List &amp; Usage'!$F20="Yes",'Equipment List &amp; Usage'!$C$114*(IF('Equipment List &amp; Usage'!$AA20&gt;0,'Weekly Summary'!AM$128,0)+IF('Equipment List &amp; Usage'!$AB20&gt;0,'Weekly Summary'!AM$100+'Weekly Summary'!AM$101,0)),'Equipment List &amp; Usage'!$C$115*(('Weekly Summary'!AM$128*'Equipment List &amp; Usage'!$AA20)+('Weekly Summary'!AM$100*'Equipment List &amp; Usage'!$AB20*SelfQuarantine_Mild)+('Weekly Summary'!AM$101*'Equipment List &amp; Usage'!$AB20*SelfQuarantine_Moderate)))+IF('Equipment List &amp; Usage'!$F20="Yes",('Equipment List &amp; Usage'!$C$114*(IF('Equipment List &amp; Usage'!$AE20&gt;0,'Weekly Summary'!AM$134,0)+IF('Equipment List &amp; Usage'!$AF20&gt;0,'Weekly Summary'!AM$135))),'Equipment List &amp; Usage'!$C$115*(('Weekly Summary'!AM$134*'Equipment List &amp; Usage'!$AE20)+('Weekly Summary'!AM$135*'Equipment List &amp; Usage'!$AF20))))-SUM($I18:AR18),
IF($F18="yes",MMULT(--('Equipment List &amp; Usage'!$J20:$N20&gt;0),--('Weekly Summary'!AM$112:AM$116))*'Equipment List &amp; Usage'!$C$114,MMULT(--('Equipment List &amp; Usage'!$J20:$N20),--('Weekly Summary'!AM$112:AM$116))*'Equipment List &amp; Usage'!$C$115)+IF('Equipment List &amp; Usage'!$F19="yes",'Equipment List &amp; Usage'!$C$114,'Equipment List &amp; Usage'!$C$115)*(('Weekly Summary'!AM$66*'Equipment List &amp; Usage'!$Q20)+('Weekly Summary'!AM$64*'Equipment List &amp; Usage'!$O20)+('Weekly Summary'!AM$65*'Equipment List &amp; Usage'!$P20))+(IF('Equipment List &amp; Usage'!$F20="Yes",'Equipment List &amp; Usage'!$C$114*((('Weekly Summary'!AM$131*SelfQuarantine_Mild)+('Weekly Summary'!AM$100*SelfQuarantine_Mild)+('Weekly Summary'!AM$101*SelfQuarantine_Moderate))),'Equipment List &amp; Usage'!$C$115)*((('Weekly Summary'!AM$131*SelfQuarantine_Mild*'Equipment List &amp; Usage'!$W20)+('Weekly Summary'!AM$100*SelfQuarantine_Mild*'Equipment List &amp; Usage'!$X20)+('Weekly Summary'!AM$101*SelfQuarantine_Moderate*'Equipment List &amp; Usage'!$X20))))+IF('Equipment List &amp; Usage'!$F20="Yes",'Equipment List &amp; Usage'!$C$114*(IF('Equipment List &amp; Usage'!$AA20&gt;0,'Weekly Summary'!AM$128,0)+IF('Equipment List &amp; Usage'!$AB20&gt;0,'Weekly Summary'!AM$100+'Weekly Summary'!AM$101,0)),'Equipment List &amp; Usage'!$C$115*(('Weekly Summary'!AM$128*'Equipment List &amp; Usage'!$AA20)+('Weekly Summary'!AM$100*'Equipment List &amp; Usage'!$AB20*SelfQuarantine_Mild)+('Weekly Summary'!AM$101*'Equipment List &amp; Usage'!$AB20*SelfQuarantine_Moderate)))+IF('Equipment List &amp; Usage'!$F20="Yes",('Equipment List &amp; Usage'!$C$114*(IF('Equipment List &amp; Usage'!$AE20&gt;0,'Weekly Summary'!AM$134,0)+IF('Equipment List &amp; Usage'!$AF20&gt;0,'Weekly Summary'!AM$135))),'Equipment List &amp; Usage'!$C$115*(('Weekly Summary'!AM$134*'Equipment List &amp; Usage'!$AE20)+('Weekly Summary'!AM$135*'Equipment List &amp; Usage'!$AF20)))),0)</f>
        <v>0</v>
      </c>
      <c r="AT18" s="1375">
        <f ca="1">MAX(IF($F18="Yes",(
IF($F18="yes",MMULT(--('Equipment List &amp; Usage'!$J20:$N20&gt;0),--('Weekly Summary'!AN$112:AN$116))*'Equipment List &amp; Usage'!$C$114,MMULT(--('Equipment List &amp; Usage'!$J20:$N20),--('Weekly Summary'!AN$112:AN$116))*'Equipment List &amp; Usage'!$C$115)+IF('Equipment List &amp; Usage'!$F19="yes",'Equipment List &amp; Usage'!$C$114,'Equipment List &amp; Usage'!$C$115)*(('Weekly Summary'!AN$66*'Equipment List &amp; Usage'!$Q20)+('Weekly Summary'!AN$64*'Equipment List &amp; Usage'!$O20)+('Weekly Summary'!AN$65*'Equipment List &amp; Usage'!$P20)))+(IF('Equipment List &amp; Usage'!$F20="Yes",'Equipment List &amp; Usage'!$C$114*((('Weekly Summary'!AN$131*SelfQuarantine_Mild)+('Weekly Summary'!AN$100*SelfQuarantine_Mild)+('Weekly Summary'!AN$101*SelfQuarantine_Moderate))),'Equipment List &amp; Usage'!$C$115)*((('Weekly Summary'!AN$131*SelfQuarantine_Mild*'Equipment List &amp; Usage'!$W20)+('Weekly Summary'!AN$100*SelfQuarantine_Mild*'Equipment List &amp; Usage'!$X20)+('Weekly Summary'!AN$101*SelfQuarantine_Moderate*'Equipment List &amp; Usage'!$X20)))+IF('Equipment List &amp; Usage'!$F20="Yes",'Equipment List &amp; Usage'!$C$114*(IF('Equipment List &amp; Usage'!$AA20&gt;0,'Weekly Summary'!AN$128,0)+IF('Equipment List &amp; Usage'!$AB20&gt;0,'Weekly Summary'!AN$100+'Weekly Summary'!AN$101,0)),'Equipment List &amp; Usage'!$C$115*(('Weekly Summary'!AN$128*'Equipment List &amp; Usage'!$AA20)+('Weekly Summary'!AN$100*'Equipment List &amp; Usage'!$AB20*SelfQuarantine_Mild)+('Weekly Summary'!AN$101*'Equipment List &amp; Usage'!$AB20*SelfQuarantine_Moderate)))+IF('Equipment List &amp; Usage'!$F20="Yes",('Equipment List &amp; Usage'!$C$114*(IF('Equipment List &amp; Usage'!$AE20&gt;0,'Weekly Summary'!AN$134,0)+IF('Equipment List &amp; Usage'!$AF20&gt;0,'Weekly Summary'!AN$135))),'Equipment List &amp; Usage'!$C$115*(('Weekly Summary'!AN$134*'Equipment List &amp; Usage'!$AE20)+('Weekly Summary'!AN$135*'Equipment List &amp; Usage'!$AF20))))-SUM($I18:AS18),
IF($F18="yes",MMULT(--('Equipment List &amp; Usage'!$J20:$N20&gt;0),--('Weekly Summary'!AN$112:AN$116))*'Equipment List &amp; Usage'!$C$114,MMULT(--('Equipment List &amp; Usage'!$J20:$N20),--('Weekly Summary'!AN$112:AN$116))*'Equipment List &amp; Usage'!$C$115)+IF('Equipment List &amp; Usage'!$F19="yes",'Equipment List &amp; Usage'!$C$114,'Equipment List &amp; Usage'!$C$115)*(('Weekly Summary'!AN$66*'Equipment List &amp; Usage'!$Q20)+('Weekly Summary'!AN$64*'Equipment List &amp; Usage'!$O20)+('Weekly Summary'!AN$65*'Equipment List &amp; Usage'!$P20))+(IF('Equipment List &amp; Usage'!$F20="Yes",'Equipment List &amp; Usage'!$C$114*((('Weekly Summary'!AN$131*SelfQuarantine_Mild)+('Weekly Summary'!AN$100*SelfQuarantine_Mild)+('Weekly Summary'!AN$101*SelfQuarantine_Moderate))),'Equipment List &amp; Usage'!$C$115)*((('Weekly Summary'!AN$131*SelfQuarantine_Mild*'Equipment List &amp; Usage'!$W20)+('Weekly Summary'!AN$100*SelfQuarantine_Mild*'Equipment List &amp; Usage'!$X20)+('Weekly Summary'!AN$101*SelfQuarantine_Moderate*'Equipment List &amp; Usage'!$X20))))+IF('Equipment List &amp; Usage'!$F20="Yes",'Equipment List &amp; Usage'!$C$114*(IF('Equipment List &amp; Usage'!$AA20&gt;0,'Weekly Summary'!AN$128,0)+IF('Equipment List &amp; Usage'!$AB20&gt;0,'Weekly Summary'!AN$100+'Weekly Summary'!AN$101,0)),'Equipment List &amp; Usage'!$C$115*(('Weekly Summary'!AN$128*'Equipment List &amp; Usage'!$AA20)+('Weekly Summary'!AN$100*'Equipment List &amp; Usage'!$AB20*SelfQuarantine_Mild)+('Weekly Summary'!AN$101*'Equipment List &amp; Usage'!$AB20*SelfQuarantine_Moderate)))+IF('Equipment List &amp; Usage'!$F20="Yes",('Equipment List &amp; Usage'!$C$114*(IF('Equipment List &amp; Usage'!$AE20&gt;0,'Weekly Summary'!AN$134,0)+IF('Equipment List &amp; Usage'!$AF20&gt;0,'Weekly Summary'!AN$135))),'Equipment List &amp; Usage'!$C$115*(('Weekly Summary'!AN$134*'Equipment List &amp; Usage'!$AE20)+('Weekly Summary'!AN$135*'Equipment List &amp; Usage'!$AF20)))),0)</f>
        <v>0</v>
      </c>
      <c r="AU18" s="1375">
        <f ca="1">MAX(IF($F18="Yes",(
IF($F18="yes",MMULT(--('Equipment List &amp; Usage'!$J20:$N20&gt;0),--('Weekly Summary'!AO$112:AO$116))*'Equipment List &amp; Usage'!$C$114,MMULT(--('Equipment List &amp; Usage'!$J20:$N20),--('Weekly Summary'!AO$112:AO$116))*'Equipment List &amp; Usage'!$C$115)+IF('Equipment List &amp; Usage'!$F19="yes",'Equipment List &amp; Usage'!$C$114,'Equipment List &amp; Usage'!$C$115)*(('Weekly Summary'!AO$66*'Equipment List &amp; Usage'!$Q20)+('Weekly Summary'!AO$64*'Equipment List &amp; Usage'!$O20)+('Weekly Summary'!AO$65*'Equipment List &amp; Usage'!$P20)))+(IF('Equipment List &amp; Usage'!$F20="Yes",'Equipment List &amp; Usage'!$C$114*((('Weekly Summary'!AO$131*SelfQuarantine_Mild)+('Weekly Summary'!AO$100*SelfQuarantine_Mild)+('Weekly Summary'!AO$101*SelfQuarantine_Moderate))),'Equipment List &amp; Usage'!$C$115)*((('Weekly Summary'!AO$131*SelfQuarantine_Mild*'Equipment List &amp; Usage'!$W20)+('Weekly Summary'!AO$100*SelfQuarantine_Mild*'Equipment List &amp; Usage'!$X20)+('Weekly Summary'!AO$101*SelfQuarantine_Moderate*'Equipment List &amp; Usage'!$X20)))+IF('Equipment List &amp; Usage'!$F20="Yes",'Equipment List &amp; Usage'!$C$114*(IF('Equipment List &amp; Usage'!$AA20&gt;0,'Weekly Summary'!AO$128,0)+IF('Equipment List &amp; Usage'!$AB20&gt;0,'Weekly Summary'!AO$100+'Weekly Summary'!AO$101,0)),'Equipment List &amp; Usage'!$C$115*(('Weekly Summary'!AO$128*'Equipment List &amp; Usage'!$AA20)+('Weekly Summary'!AO$100*'Equipment List &amp; Usage'!$AB20*SelfQuarantine_Mild)+('Weekly Summary'!AO$101*'Equipment List &amp; Usage'!$AB20*SelfQuarantine_Moderate)))+IF('Equipment List &amp; Usage'!$F20="Yes",('Equipment List &amp; Usage'!$C$114*(IF('Equipment List &amp; Usage'!$AE20&gt;0,'Weekly Summary'!AO$134,0)+IF('Equipment List &amp; Usage'!$AF20&gt;0,'Weekly Summary'!AO$135))),'Equipment List &amp; Usage'!$C$115*(('Weekly Summary'!AO$134*'Equipment List &amp; Usage'!$AE20)+('Weekly Summary'!AO$135*'Equipment List &amp; Usage'!$AF20))))-SUM($I18:AT18),
IF($F18="yes",MMULT(--('Equipment List &amp; Usage'!$J20:$N20&gt;0),--('Weekly Summary'!AO$112:AO$116))*'Equipment List &amp; Usage'!$C$114,MMULT(--('Equipment List &amp; Usage'!$J20:$N20),--('Weekly Summary'!AO$112:AO$116))*'Equipment List &amp; Usage'!$C$115)+IF('Equipment List &amp; Usage'!$F19="yes",'Equipment List &amp; Usage'!$C$114,'Equipment List &amp; Usage'!$C$115)*(('Weekly Summary'!AO$66*'Equipment List &amp; Usage'!$Q20)+('Weekly Summary'!AO$64*'Equipment List &amp; Usage'!$O20)+('Weekly Summary'!AO$65*'Equipment List &amp; Usage'!$P20))+(IF('Equipment List &amp; Usage'!$F20="Yes",'Equipment List &amp; Usage'!$C$114*((('Weekly Summary'!AO$131*SelfQuarantine_Mild)+('Weekly Summary'!AO$100*SelfQuarantine_Mild)+('Weekly Summary'!AO$101*SelfQuarantine_Moderate))),'Equipment List &amp; Usage'!$C$115)*((('Weekly Summary'!AO$131*SelfQuarantine_Mild*'Equipment List &amp; Usage'!$W20)+('Weekly Summary'!AO$100*SelfQuarantine_Mild*'Equipment List &amp; Usage'!$X20)+('Weekly Summary'!AO$101*SelfQuarantine_Moderate*'Equipment List &amp; Usage'!$X20))))+IF('Equipment List &amp; Usage'!$F20="Yes",'Equipment List &amp; Usage'!$C$114*(IF('Equipment List &amp; Usage'!$AA20&gt;0,'Weekly Summary'!AO$128,0)+IF('Equipment List &amp; Usage'!$AB20&gt;0,'Weekly Summary'!AO$100+'Weekly Summary'!AO$101,0)),'Equipment List &amp; Usage'!$C$115*(('Weekly Summary'!AO$128*'Equipment List &amp; Usage'!$AA20)+('Weekly Summary'!AO$100*'Equipment List &amp; Usage'!$AB20*SelfQuarantine_Mild)+('Weekly Summary'!AO$101*'Equipment List &amp; Usage'!$AB20*SelfQuarantine_Moderate)))+IF('Equipment List &amp; Usage'!$F20="Yes",('Equipment List &amp; Usage'!$C$114*(IF('Equipment List &amp; Usage'!$AE20&gt;0,'Weekly Summary'!AO$134,0)+IF('Equipment List &amp; Usage'!$AF20&gt;0,'Weekly Summary'!AO$135))),'Equipment List &amp; Usage'!$C$115*(('Weekly Summary'!AO$134*'Equipment List &amp; Usage'!$AE20)+('Weekly Summary'!AO$135*'Equipment List &amp; Usage'!$AF20)))),0)</f>
        <v>0</v>
      </c>
      <c r="AV18" s="1375">
        <f ca="1">MAX(IF($F18="Yes",(
IF($F18="yes",MMULT(--('Equipment List &amp; Usage'!$J20:$N20&gt;0),--('Weekly Summary'!AP$112:AP$116))*'Equipment List &amp; Usage'!$C$114,MMULT(--('Equipment List &amp; Usage'!$J20:$N20),--('Weekly Summary'!AP$112:AP$116))*'Equipment List &amp; Usage'!$C$115)+IF('Equipment List &amp; Usage'!$F19="yes",'Equipment List &amp; Usage'!$C$114,'Equipment List &amp; Usage'!$C$115)*(('Weekly Summary'!AP$66*'Equipment List &amp; Usage'!$Q20)+('Weekly Summary'!AP$64*'Equipment List &amp; Usage'!$O20)+('Weekly Summary'!AP$65*'Equipment List &amp; Usage'!$P20)))+(IF('Equipment List &amp; Usage'!$F20="Yes",'Equipment List &amp; Usage'!$C$114*((('Weekly Summary'!AP$131*SelfQuarantine_Mild)+('Weekly Summary'!AP$100*SelfQuarantine_Mild)+('Weekly Summary'!AP$101*SelfQuarantine_Moderate))),'Equipment List &amp; Usage'!$C$115)*((('Weekly Summary'!AP$131*SelfQuarantine_Mild*'Equipment List &amp; Usage'!$W20)+('Weekly Summary'!AP$100*SelfQuarantine_Mild*'Equipment List &amp; Usage'!$X20)+('Weekly Summary'!AP$101*SelfQuarantine_Moderate*'Equipment List &amp; Usage'!$X20)))+IF('Equipment List &amp; Usage'!$F20="Yes",'Equipment List &amp; Usage'!$C$114*(IF('Equipment List &amp; Usage'!$AA20&gt;0,'Weekly Summary'!AP$128,0)+IF('Equipment List &amp; Usage'!$AB20&gt;0,'Weekly Summary'!AP$100+'Weekly Summary'!AP$101,0)),'Equipment List &amp; Usage'!$C$115*(('Weekly Summary'!AP$128*'Equipment List &amp; Usage'!$AA20)+('Weekly Summary'!AP$100*'Equipment List &amp; Usage'!$AB20*SelfQuarantine_Mild)+('Weekly Summary'!AP$101*'Equipment List &amp; Usage'!$AB20*SelfQuarantine_Moderate)))+IF('Equipment List &amp; Usage'!$F20="Yes",('Equipment List &amp; Usage'!$C$114*(IF('Equipment List &amp; Usage'!$AE20&gt;0,'Weekly Summary'!AP$134,0)+IF('Equipment List &amp; Usage'!$AF20&gt;0,'Weekly Summary'!AP$135))),'Equipment List &amp; Usage'!$C$115*(('Weekly Summary'!AP$134*'Equipment List &amp; Usage'!$AE20)+('Weekly Summary'!AP$135*'Equipment List &amp; Usage'!$AF20))))-SUM($I18:AU18),
IF($F18="yes",MMULT(--('Equipment List &amp; Usage'!$J20:$N20&gt;0),--('Weekly Summary'!AP$112:AP$116))*'Equipment List &amp; Usage'!$C$114,MMULT(--('Equipment List &amp; Usage'!$J20:$N20),--('Weekly Summary'!AP$112:AP$116))*'Equipment List &amp; Usage'!$C$115)+IF('Equipment List &amp; Usage'!$F19="yes",'Equipment List &amp; Usage'!$C$114,'Equipment List &amp; Usage'!$C$115)*(('Weekly Summary'!AP$66*'Equipment List &amp; Usage'!$Q20)+('Weekly Summary'!AP$64*'Equipment List &amp; Usage'!$O20)+('Weekly Summary'!AP$65*'Equipment List &amp; Usage'!$P20))+(IF('Equipment List &amp; Usage'!$F20="Yes",'Equipment List &amp; Usage'!$C$114*((('Weekly Summary'!AP$131*SelfQuarantine_Mild)+('Weekly Summary'!AP$100*SelfQuarantine_Mild)+('Weekly Summary'!AP$101*SelfQuarantine_Moderate))),'Equipment List &amp; Usage'!$C$115)*((('Weekly Summary'!AP$131*SelfQuarantine_Mild*'Equipment List &amp; Usage'!$W20)+('Weekly Summary'!AP$100*SelfQuarantine_Mild*'Equipment List &amp; Usage'!$X20)+('Weekly Summary'!AP$101*SelfQuarantine_Moderate*'Equipment List &amp; Usage'!$X20))))+IF('Equipment List &amp; Usage'!$F20="Yes",'Equipment List &amp; Usage'!$C$114*(IF('Equipment List &amp; Usage'!$AA20&gt;0,'Weekly Summary'!AP$128,0)+IF('Equipment List &amp; Usage'!$AB20&gt;0,'Weekly Summary'!AP$100+'Weekly Summary'!AP$101,0)),'Equipment List &amp; Usage'!$C$115*(('Weekly Summary'!AP$128*'Equipment List &amp; Usage'!$AA20)+('Weekly Summary'!AP$100*'Equipment List &amp; Usage'!$AB20*SelfQuarantine_Mild)+('Weekly Summary'!AP$101*'Equipment List &amp; Usage'!$AB20*SelfQuarantine_Moderate)))+IF('Equipment List &amp; Usage'!$F20="Yes",('Equipment List &amp; Usage'!$C$114*(IF('Equipment List &amp; Usage'!$AE20&gt;0,'Weekly Summary'!AP$134,0)+IF('Equipment List &amp; Usage'!$AF20&gt;0,'Weekly Summary'!AP$135))),'Equipment List &amp; Usage'!$C$115*(('Weekly Summary'!AP$134*'Equipment List &amp; Usage'!$AE20)+('Weekly Summary'!AP$135*'Equipment List &amp; Usage'!$AF20)))),0)</f>
        <v>0</v>
      </c>
      <c r="AW18" s="1375">
        <f ca="1">MAX(IF($F18="Yes",(
IF($F18="yes",MMULT(--('Equipment List &amp; Usage'!$J20:$N20&gt;0),--('Weekly Summary'!AQ$112:AQ$116))*'Equipment List &amp; Usage'!$C$114,MMULT(--('Equipment List &amp; Usage'!$J20:$N20),--('Weekly Summary'!AQ$112:AQ$116))*'Equipment List &amp; Usage'!$C$115)+IF('Equipment List &amp; Usage'!$F19="yes",'Equipment List &amp; Usage'!$C$114,'Equipment List &amp; Usage'!$C$115)*(('Weekly Summary'!AQ$66*'Equipment List &amp; Usage'!$Q20)+('Weekly Summary'!AQ$64*'Equipment List &amp; Usage'!$O20)+('Weekly Summary'!AQ$65*'Equipment List &amp; Usage'!$P20)))+(IF('Equipment List &amp; Usage'!$F20="Yes",'Equipment List &amp; Usage'!$C$114*((('Weekly Summary'!AQ$131*SelfQuarantine_Mild)+('Weekly Summary'!AQ$100*SelfQuarantine_Mild)+('Weekly Summary'!AQ$101*SelfQuarantine_Moderate))),'Equipment List &amp; Usage'!$C$115)*((('Weekly Summary'!AQ$131*SelfQuarantine_Mild*'Equipment List &amp; Usage'!$W20)+('Weekly Summary'!AQ$100*SelfQuarantine_Mild*'Equipment List &amp; Usage'!$X20)+('Weekly Summary'!AQ$101*SelfQuarantine_Moderate*'Equipment List &amp; Usage'!$X20)))+IF('Equipment List &amp; Usage'!$F20="Yes",'Equipment List &amp; Usage'!$C$114*(IF('Equipment List &amp; Usage'!$AA20&gt;0,'Weekly Summary'!AQ$128,0)+IF('Equipment List &amp; Usage'!$AB20&gt;0,'Weekly Summary'!AQ$100+'Weekly Summary'!AQ$101,0)),'Equipment List &amp; Usage'!$C$115*(('Weekly Summary'!AQ$128*'Equipment List &amp; Usage'!$AA20)+('Weekly Summary'!AQ$100*'Equipment List &amp; Usage'!$AB20*SelfQuarantine_Mild)+('Weekly Summary'!AQ$101*'Equipment List &amp; Usage'!$AB20*SelfQuarantine_Moderate)))+IF('Equipment List &amp; Usage'!$F20="Yes",('Equipment List &amp; Usage'!$C$114*(IF('Equipment List &amp; Usage'!$AE20&gt;0,'Weekly Summary'!AQ$134,0)+IF('Equipment List &amp; Usage'!$AF20&gt;0,'Weekly Summary'!AQ$135))),'Equipment List &amp; Usage'!$C$115*(('Weekly Summary'!AQ$134*'Equipment List &amp; Usage'!$AE20)+('Weekly Summary'!AQ$135*'Equipment List &amp; Usage'!$AF20))))-SUM($I18:AV18),
IF($F18="yes",MMULT(--('Equipment List &amp; Usage'!$J20:$N20&gt;0),--('Weekly Summary'!AQ$112:AQ$116))*'Equipment List &amp; Usage'!$C$114,MMULT(--('Equipment List &amp; Usage'!$J20:$N20),--('Weekly Summary'!AQ$112:AQ$116))*'Equipment List &amp; Usage'!$C$115)+IF('Equipment List &amp; Usage'!$F19="yes",'Equipment List &amp; Usage'!$C$114,'Equipment List &amp; Usage'!$C$115)*(('Weekly Summary'!AQ$66*'Equipment List &amp; Usage'!$Q20)+('Weekly Summary'!AQ$64*'Equipment List &amp; Usage'!$O20)+('Weekly Summary'!AQ$65*'Equipment List &amp; Usage'!$P20))+(IF('Equipment List &amp; Usage'!$F20="Yes",'Equipment List &amp; Usage'!$C$114*((('Weekly Summary'!AQ$131*SelfQuarantine_Mild)+('Weekly Summary'!AQ$100*SelfQuarantine_Mild)+('Weekly Summary'!AQ$101*SelfQuarantine_Moderate))),'Equipment List &amp; Usage'!$C$115)*((('Weekly Summary'!AQ$131*SelfQuarantine_Mild*'Equipment List &amp; Usage'!$W20)+('Weekly Summary'!AQ$100*SelfQuarantine_Mild*'Equipment List &amp; Usage'!$X20)+('Weekly Summary'!AQ$101*SelfQuarantine_Moderate*'Equipment List &amp; Usage'!$X20))))+IF('Equipment List &amp; Usage'!$F20="Yes",'Equipment List &amp; Usage'!$C$114*(IF('Equipment List &amp; Usage'!$AA20&gt;0,'Weekly Summary'!AQ$128,0)+IF('Equipment List &amp; Usage'!$AB20&gt;0,'Weekly Summary'!AQ$100+'Weekly Summary'!AQ$101,0)),'Equipment List &amp; Usage'!$C$115*(('Weekly Summary'!AQ$128*'Equipment List &amp; Usage'!$AA20)+('Weekly Summary'!AQ$100*'Equipment List &amp; Usage'!$AB20*SelfQuarantine_Mild)+('Weekly Summary'!AQ$101*'Equipment List &amp; Usage'!$AB20*SelfQuarantine_Moderate)))+IF('Equipment List &amp; Usage'!$F20="Yes",('Equipment List &amp; Usage'!$C$114*(IF('Equipment List &amp; Usage'!$AE20&gt;0,'Weekly Summary'!AQ$134,0)+IF('Equipment List &amp; Usage'!$AF20&gt;0,'Weekly Summary'!AQ$135))),'Equipment List &amp; Usage'!$C$115*(('Weekly Summary'!AQ$134*'Equipment List &amp; Usage'!$AE20)+('Weekly Summary'!AQ$135*'Equipment List &amp; Usage'!$AF20)))),0)</f>
        <v>0</v>
      </c>
      <c r="AX18" s="1375">
        <f ca="1">MAX(IF($F18="Yes",(
IF($F18="yes",MMULT(--('Equipment List &amp; Usage'!$J20:$N20&gt;0),--('Weekly Summary'!AR$112:AR$116))*'Equipment List &amp; Usage'!$C$114,MMULT(--('Equipment List &amp; Usage'!$J20:$N20),--('Weekly Summary'!AR$112:AR$116))*'Equipment List &amp; Usage'!$C$115)+IF('Equipment List &amp; Usage'!$F19="yes",'Equipment List &amp; Usage'!$C$114,'Equipment List &amp; Usage'!$C$115)*(('Weekly Summary'!AR$66*'Equipment List &amp; Usage'!$Q20)+('Weekly Summary'!AR$64*'Equipment List &amp; Usage'!$O20)+('Weekly Summary'!AR$65*'Equipment List &amp; Usage'!$P20)))+(IF('Equipment List &amp; Usage'!$F20="Yes",'Equipment List &amp; Usage'!$C$114*((('Weekly Summary'!AR$131*SelfQuarantine_Mild)+('Weekly Summary'!AR$100*SelfQuarantine_Mild)+('Weekly Summary'!AR$101*SelfQuarantine_Moderate))),'Equipment List &amp; Usage'!$C$115)*((('Weekly Summary'!AR$131*SelfQuarantine_Mild*'Equipment List &amp; Usage'!$W20)+('Weekly Summary'!AR$100*SelfQuarantine_Mild*'Equipment List &amp; Usage'!$X20)+('Weekly Summary'!AR$101*SelfQuarantine_Moderate*'Equipment List &amp; Usage'!$X20)))+IF('Equipment List &amp; Usage'!$F20="Yes",'Equipment List &amp; Usage'!$C$114*(IF('Equipment List &amp; Usage'!$AA20&gt;0,'Weekly Summary'!AR$128,0)+IF('Equipment List &amp; Usage'!$AB20&gt;0,'Weekly Summary'!AR$100+'Weekly Summary'!AR$101,0)),'Equipment List &amp; Usage'!$C$115*(('Weekly Summary'!AR$128*'Equipment List &amp; Usage'!$AA20)+('Weekly Summary'!AR$100*'Equipment List &amp; Usage'!$AB20*SelfQuarantine_Mild)+('Weekly Summary'!AR$101*'Equipment List &amp; Usage'!$AB20*SelfQuarantine_Moderate)))+IF('Equipment List &amp; Usage'!$F20="Yes",('Equipment List &amp; Usage'!$C$114*(IF('Equipment List &amp; Usage'!$AE20&gt;0,'Weekly Summary'!AR$134,0)+IF('Equipment List &amp; Usage'!$AF20&gt;0,'Weekly Summary'!AR$135))),'Equipment List &amp; Usage'!$C$115*(('Weekly Summary'!AR$134*'Equipment List &amp; Usage'!$AE20)+('Weekly Summary'!AR$135*'Equipment List &amp; Usage'!$AF20))))-SUM($I18:AW18),
IF($F18="yes",MMULT(--('Equipment List &amp; Usage'!$J20:$N20&gt;0),--('Weekly Summary'!AR$112:AR$116))*'Equipment List &amp; Usage'!$C$114,MMULT(--('Equipment List &amp; Usage'!$J20:$N20),--('Weekly Summary'!AR$112:AR$116))*'Equipment List &amp; Usage'!$C$115)+IF('Equipment List &amp; Usage'!$F19="yes",'Equipment List &amp; Usage'!$C$114,'Equipment List &amp; Usage'!$C$115)*(('Weekly Summary'!AR$66*'Equipment List &amp; Usage'!$Q20)+('Weekly Summary'!AR$64*'Equipment List &amp; Usage'!$O20)+('Weekly Summary'!AR$65*'Equipment List &amp; Usage'!$P20))+(IF('Equipment List &amp; Usage'!$F20="Yes",'Equipment List &amp; Usage'!$C$114*((('Weekly Summary'!AR$131*SelfQuarantine_Mild)+('Weekly Summary'!AR$100*SelfQuarantine_Mild)+('Weekly Summary'!AR$101*SelfQuarantine_Moderate))),'Equipment List &amp; Usage'!$C$115)*((('Weekly Summary'!AR$131*SelfQuarantine_Mild*'Equipment List &amp; Usage'!$W20)+('Weekly Summary'!AR$100*SelfQuarantine_Mild*'Equipment List &amp; Usage'!$X20)+('Weekly Summary'!AR$101*SelfQuarantine_Moderate*'Equipment List &amp; Usage'!$X20))))+IF('Equipment List &amp; Usage'!$F20="Yes",'Equipment List &amp; Usage'!$C$114*(IF('Equipment List &amp; Usage'!$AA20&gt;0,'Weekly Summary'!AR$128,0)+IF('Equipment List &amp; Usage'!$AB20&gt;0,'Weekly Summary'!AR$100+'Weekly Summary'!AR$101,0)),'Equipment List &amp; Usage'!$C$115*(('Weekly Summary'!AR$128*'Equipment List &amp; Usage'!$AA20)+('Weekly Summary'!AR$100*'Equipment List &amp; Usage'!$AB20*SelfQuarantine_Mild)+('Weekly Summary'!AR$101*'Equipment List &amp; Usage'!$AB20*SelfQuarantine_Moderate)))+IF('Equipment List &amp; Usage'!$F20="Yes",('Equipment List &amp; Usage'!$C$114*(IF('Equipment List &amp; Usage'!$AE20&gt;0,'Weekly Summary'!AR$134,0)+IF('Equipment List &amp; Usage'!$AF20&gt;0,'Weekly Summary'!AR$135))),'Equipment List &amp; Usage'!$C$115*(('Weekly Summary'!AR$134*'Equipment List &amp; Usage'!$AE20)+('Weekly Summary'!AR$135*'Equipment List &amp; Usage'!$AF20)))),0)</f>
        <v>0</v>
      </c>
      <c r="AY18" s="1375">
        <f ca="1">MAX(IF($F18="Yes",(
IF($F18="yes",MMULT(--('Equipment List &amp; Usage'!$J20:$N20&gt;0),--('Weekly Summary'!AS$112:AS$116))*'Equipment List &amp; Usage'!$C$114,MMULT(--('Equipment List &amp; Usage'!$J20:$N20),--('Weekly Summary'!AS$112:AS$116))*'Equipment List &amp; Usage'!$C$115)+IF('Equipment List &amp; Usage'!$F19="yes",'Equipment List &amp; Usage'!$C$114,'Equipment List &amp; Usage'!$C$115)*(('Weekly Summary'!AS$66*'Equipment List &amp; Usage'!$Q20)+('Weekly Summary'!AS$64*'Equipment List &amp; Usage'!$O20)+('Weekly Summary'!AS$65*'Equipment List &amp; Usage'!$P20)))+(IF('Equipment List &amp; Usage'!$F20="Yes",'Equipment List &amp; Usage'!$C$114*((('Weekly Summary'!AS$131*SelfQuarantine_Mild)+('Weekly Summary'!AS$100*SelfQuarantine_Mild)+('Weekly Summary'!AS$101*SelfQuarantine_Moderate))),'Equipment List &amp; Usage'!$C$115)*((('Weekly Summary'!AS$131*SelfQuarantine_Mild*'Equipment List &amp; Usage'!$W20)+('Weekly Summary'!AS$100*SelfQuarantine_Mild*'Equipment List &amp; Usage'!$X20)+('Weekly Summary'!AS$101*SelfQuarantine_Moderate*'Equipment List &amp; Usage'!$X20)))+IF('Equipment List &amp; Usage'!$F20="Yes",'Equipment List &amp; Usage'!$C$114*(IF('Equipment List &amp; Usage'!$AA20&gt;0,'Weekly Summary'!AS$128,0)+IF('Equipment List &amp; Usage'!$AB20&gt;0,'Weekly Summary'!AS$100+'Weekly Summary'!AS$101,0)),'Equipment List &amp; Usage'!$C$115*(('Weekly Summary'!AS$128*'Equipment List &amp; Usage'!$AA20)+('Weekly Summary'!AS$100*'Equipment List &amp; Usage'!$AB20*SelfQuarantine_Mild)+('Weekly Summary'!AS$101*'Equipment List &amp; Usage'!$AB20*SelfQuarantine_Moderate)))+IF('Equipment List &amp; Usage'!$F20="Yes",('Equipment List &amp; Usage'!$C$114*(IF('Equipment List &amp; Usage'!$AE20&gt;0,'Weekly Summary'!AS$134,0)+IF('Equipment List &amp; Usage'!$AF20&gt;0,'Weekly Summary'!AS$135))),'Equipment List &amp; Usage'!$C$115*(('Weekly Summary'!AS$134*'Equipment List &amp; Usage'!$AE20)+('Weekly Summary'!AS$135*'Equipment List &amp; Usage'!$AF20))))-SUM($I18:AX18),
IF($F18="yes",MMULT(--('Equipment List &amp; Usage'!$J20:$N20&gt;0),--('Weekly Summary'!AS$112:AS$116))*'Equipment List &amp; Usage'!$C$114,MMULT(--('Equipment List &amp; Usage'!$J20:$N20),--('Weekly Summary'!AS$112:AS$116))*'Equipment List &amp; Usage'!$C$115)+IF('Equipment List &amp; Usage'!$F19="yes",'Equipment List &amp; Usage'!$C$114,'Equipment List &amp; Usage'!$C$115)*(('Weekly Summary'!AS$66*'Equipment List &amp; Usage'!$Q20)+('Weekly Summary'!AS$64*'Equipment List &amp; Usage'!$O20)+('Weekly Summary'!AS$65*'Equipment List &amp; Usage'!$P20))+(IF('Equipment List &amp; Usage'!$F20="Yes",'Equipment List &amp; Usage'!$C$114*((('Weekly Summary'!AS$131*SelfQuarantine_Mild)+('Weekly Summary'!AS$100*SelfQuarantine_Mild)+('Weekly Summary'!AS$101*SelfQuarantine_Moderate))),'Equipment List &amp; Usage'!$C$115)*((('Weekly Summary'!AS$131*SelfQuarantine_Mild*'Equipment List &amp; Usage'!$W20)+('Weekly Summary'!AS$100*SelfQuarantine_Mild*'Equipment List &amp; Usage'!$X20)+('Weekly Summary'!AS$101*SelfQuarantine_Moderate*'Equipment List &amp; Usage'!$X20))))+IF('Equipment List &amp; Usage'!$F20="Yes",'Equipment List &amp; Usage'!$C$114*(IF('Equipment List &amp; Usage'!$AA20&gt;0,'Weekly Summary'!AS$128,0)+IF('Equipment List &amp; Usage'!$AB20&gt;0,'Weekly Summary'!AS$100+'Weekly Summary'!AS$101,0)),'Equipment List &amp; Usage'!$C$115*(('Weekly Summary'!AS$128*'Equipment List &amp; Usage'!$AA20)+('Weekly Summary'!AS$100*'Equipment List &amp; Usage'!$AB20*SelfQuarantine_Mild)+('Weekly Summary'!AS$101*'Equipment List &amp; Usage'!$AB20*SelfQuarantine_Moderate)))+IF('Equipment List &amp; Usage'!$F20="Yes",('Equipment List &amp; Usage'!$C$114*(IF('Equipment List &amp; Usage'!$AE20&gt;0,'Weekly Summary'!AS$134,0)+IF('Equipment List &amp; Usage'!$AF20&gt;0,'Weekly Summary'!AS$135))),'Equipment List &amp; Usage'!$C$115*(('Weekly Summary'!AS$134*'Equipment List &amp; Usage'!$AE20)+('Weekly Summary'!AS$135*'Equipment List &amp; Usage'!$AF20)))),0)</f>
        <v>0</v>
      </c>
      <c r="AZ18" s="1375">
        <f ca="1">MAX(IF($F18="Yes",(
IF($F18="yes",MMULT(--('Equipment List &amp; Usage'!$J20:$N20&gt;0),--('Weekly Summary'!AT$112:AT$116))*'Equipment List &amp; Usage'!$C$114,MMULT(--('Equipment List &amp; Usage'!$J20:$N20),--('Weekly Summary'!AT$112:AT$116))*'Equipment List &amp; Usage'!$C$115)+IF('Equipment List &amp; Usage'!$F19="yes",'Equipment List &amp; Usage'!$C$114,'Equipment List &amp; Usage'!$C$115)*(('Weekly Summary'!AT$66*'Equipment List &amp; Usage'!$Q20)+('Weekly Summary'!AT$64*'Equipment List &amp; Usage'!$O20)+('Weekly Summary'!AT$65*'Equipment List &amp; Usage'!$P20)))+(IF('Equipment List &amp; Usage'!$F20="Yes",'Equipment List &amp; Usage'!$C$114*((('Weekly Summary'!AT$131*SelfQuarantine_Mild)+('Weekly Summary'!AT$100*SelfQuarantine_Mild)+('Weekly Summary'!AT$101*SelfQuarantine_Moderate))),'Equipment List &amp; Usage'!$C$115)*((('Weekly Summary'!AT$131*SelfQuarantine_Mild*'Equipment List &amp; Usage'!$W20)+('Weekly Summary'!AT$100*SelfQuarantine_Mild*'Equipment List &amp; Usage'!$X20)+('Weekly Summary'!AT$101*SelfQuarantine_Moderate*'Equipment List &amp; Usage'!$X20)))+IF('Equipment List &amp; Usage'!$F20="Yes",'Equipment List &amp; Usage'!$C$114*(IF('Equipment List &amp; Usage'!$AA20&gt;0,'Weekly Summary'!AT$128,0)+IF('Equipment List &amp; Usage'!$AB20&gt;0,'Weekly Summary'!AT$100+'Weekly Summary'!AT$101,0)),'Equipment List &amp; Usage'!$C$115*(('Weekly Summary'!AT$128*'Equipment List &amp; Usage'!$AA20)+('Weekly Summary'!AT$100*'Equipment List &amp; Usage'!$AB20*SelfQuarantine_Mild)+('Weekly Summary'!AT$101*'Equipment List &amp; Usage'!$AB20*SelfQuarantine_Moderate)))+IF('Equipment List &amp; Usage'!$F20="Yes",('Equipment List &amp; Usage'!$C$114*(IF('Equipment List &amp; Usage'!$AE20&gt;0,'Weekly Summary'!AT$134,0)+IF('Equipment List &amp; Usage'!$AF20&gt;0,'Weekly Summary'!AT$135))),'Equipment List &amp; Usage'!$C$115*(('Weekly Summary'!AT$134*'Equipment List &amp; Usage'!$AE20)+('Weekly Summary'!AT$135*'Equipment List &amp; Usage'!$AF20))))-SUM($I18:AY18),
IF($F18="yes",MMULT(--('Equipment List &amp; Usage'!$J20:$N20&gt;0),--('Weekly Summary'!AT$112:AT$116))*'Equipment List &amp; Usage'!$C$114,MMULT(--('Equipment List &amp; Usage'!$J20:$N20),--('Weekly Summary'!AT$112:AT$116))*'Equipment List &amp; Usage'!$C$115)+IF('Equipment List &amp; Usage'!$F19="yes",'Equipment List &amp; Usage'!$C$114,'Equipment List &amp; Usage'!$C$115)*(('Weekly Summary'!AT$66*'Equipment List &amp; Usage'!$Q20)+('Weekly Summary'!AT$64*'Equipment List &amp; Usage'!$O20)+('Weekly Summary'!AT$65*'Equipment List &amp; Usage'!$P20))+(IF('Equipment List &amp; Usage'!$F20="Yes",'Equipment List &amp; Usage'!$C$114*((('Weekly Summary'!AT$131*SelfQuarantine_Mild)+('Weekly Summary'!AT$100*SelfQuarantine_Mild)+('Weekly Summary'!AT$101*SelfQuarantine_Moderate))),'Equipment List &amp; Usage'!$C$115)*((('Weekly Summary'!AT$131*SelfQuarantine_Mild*'Equipment List &amp; Usage'!$W20)+('Weekly Summary'!AT$100*SelfQuarantine_Mild*'Equipment List &amp; Usage'!$X20)+('Weekly Summary'!AT$101*SelfQuarantine_Moderate*'Equipment List &amp; Usage'!$X20))))+IF('Equipment List &amp; Usage'!$F20="Yes",'Equipment List &amp; Usage'!$C$114*(IF('Equipment List &amp; Usage'!$AA20&gt;0,'Weekly Summary'!AT$128,0)+IF('Equipment List &amp; Usage'!$AB20&gt;0,'Weekly Summary'!AT$100+'Weekly Summary'!AT$101,0)),'Equipment List &amp; Usage'!$C$115*(('Weekly Summary'!AT$128*'Equipment List &amp; Usage'!$AA20)+('Weekly Summary'!AT$100*'Equipment List &amp; Usage'!$AB20*SelfQuarantine_Mild)+('Weekly Summary'!AT$101*'Equipment List &amp; Usage'!$AB20*SelfQuarantine_Moderate)))+IF('Equipment List &amp; Usage'!$F20="Yes",('Equipment List &amp; Usage'!$C$114*(IF('Equipment List &amp; Usage'!$AE20&gt;0,'Weekly Summary'!AT$134,0)+IF('Equipment List &amp; Usage'!$AF20&gt;0,'Weekly Summary'!AT$135))),'Equipment List &amp; Usage'!$C$115*(('Weekly Summary'!AT$134*'Equipment List &amp; Usage'!$AE20)+('Weekly Summary'!AT$135*'Equipment List &amp; Usage'!$AF20)))),0)</f>
        <v>0</v>
      </c>
      <c r="BA18" s="1375">
        <f ca="1">MAX(IF($F18="Yes",(
IF($F18="yes",MMULT(--('Equipment List &amp; Usage'!$J20:$N20&gt;0),--('Weekly Summary'!AU$112:AU$116))*'Equipment List &amp; Usage'!$C$114,MMULT(--('Equipment List &amp; Usage'!$J20:$N20),--('Weekly Summary'!AU$112:AU$116))*'Equipment List &amp; Usage'!$C$115)+IF('Equipment List &amp; Usage'!$F19="yes",'Equipment List &amp; Usage'!$C$114,'Equipment List &amp; Usage'!$C$115)*(('Weekly Summary'!AU$66*'Equipment List &amp; Usage'!$Q20)+('Weekly Summary'!AU$64*'Equipment List &amp; Usage'!$O20)+('Weekly Summary'!AU$65*'Equipment List &amp; Usage'!$P20)))+(IF('Equipment List &amp; Usage'!$F20="Yes",'Equipment List &amp; Usage'!$C$114*((('Weekly Summary'!AU$131*SelfQuarantine_Mild)+('Weekly Summary'!AU$100*SelfQuarantine_Mild)+('Weekly Summary'!AU$101*SelfQuarantine_Moderate))),'Equipment List &amp; Usage'!$C$115)*((('Weekly Summary'!AU$131*SelfQuarantine_Mild*'Equipment List &amp; Usage'!$W20)+('Weekly Summary'!AU$100*SelfQuarantine_Mild*'Equipment List &amp; Usage'!$X20)+('Weekly Summary'!AU$101*SelfQuarantine_Moderate*'Equipment List &amp; Usage'!$X20)))+IF('Equipment List &amp; Usage'!$F20="Yes",'Equipment List &amp; Usage'!$C$114*(IF('Equipment List &amp; Usage'!$AA20&gt;0,'Weekly Summary'!AU$128,0)+IF('Equipment List &amp; Usage'!$AB20&gt;0,'Weekly Summary'!AU$100+'Weekly Summary'!AU$101,0)),'Equipment List &amp; Usage'!$C$115*(('Weekly Summary'!AU$128*'Equipment List &amp; Usage'!$AA20)+('Weekly Summary'!AU$100*'Equipment List &amp; Usage'!$AB20*SelfQuarantine_Mild)+('Weekly Summary'!AU$101*'Equipment List &amp; Usage'!$AB20*SelfQuarantine_Moderate)))+IF('Equipment List &amp; Usage'!$F20="Yes",('Equipment List &amp; Usage'!$C$114*(IF('Equipment List &amp; Usage'!$AE20&gt;0,'Weekly Summary'!AU$134,0)+IF('Equipment List &amp; Usage'!$AF20&gt;0,'Weekly Summary'!AU$135))),'Equipment List &amp; Usage'!$C$115*(('Weekly Summary'!AU$134*'Equipment List &amp; Usage'!$AE20)+('Weekly Summary'!AU$135*'Equipment List &amp; Usage'!$AF20))))-SUM($I18:AZ18),
IF($F18="yes",MMULT(--('Equipment List &amp; Usage'!$J20:$N20&gt;0),--('Weekly Summary'!AU$112:AU$116))*'Equipment List &amp; Usage'!$C$114,MMULT(--('Equipment List &amp; Usage'!$J20:$N20),--('Weekly Summary'!AU$112:AU$116))*'Equipment List &amp; Usage'!$C$115)+IF('Equipment List &amp; Usage'!$F19="yes",'Equipment List &amp; Usage'!$C$114,'Equipment List &amp; Usage'!$C$115)*(('Weekly Summary'!AU$66*'Equipment List &amp; Usage'!$Q20)+('Weekly Summary'!AU$64*'Equipment List &amp; Usage'!$O20)+('Weekly Summary'!AU$65*'Equipment List &amp; Usage'!$P20))+(IF('Equipment List &amp; Usage'!$F20="Yes",'Equipment List &amp; Usage'!$C$114*((('Weekly Summary'!AU$131*SelfQuarantine_Mild)+('Weekly Summary'!AU$100*SelfQuarantine_Mild)+('Weekly Summary'!AU$101*SelfQuarantine_Moderate))),'Equipment List &amp; Usage'!$C$115)*((('Weekly Summary'!AU$131*SelfQuarantine_Mild*'Equipment List &amp; Usage'!$W20)+('Weekly Summary'!AU$100*SelfQuarantine_Mild*'Equipment List &amp; Usage'!$X20)+('Weekly Summary'!AU$101*SelfQuarantine_Moderate*'Equipment List &amp; Usage'!$X20))))+IF('Equipment List &amp; Usage'!$F20="Yes",'Equipment List &amp; Usage'!$C$114*(IF('Equipment List &amp; Usage'!$AA20&gt;0,'Weekly Summary'!AU$128,0)+IF('Equipment List &amp; Usage'!$AB20&gt;0,'Weekly Summary'!AU$100+'Weekly Summary'!AU$101,0)),'Equipment List &amp; Usage'!$C$115*(('Weekly Summary'!AU$128*'Equipment List &amp; Usage'!$AA20)+('Weekly Summary'!AU$100*'Equipment List &amp; Usage'!$AB20*SelfQuarantine_Mild)+('Weekly Summary'!AU$101*'Equipment List &amp; Usage'!$AB20*SelfQuarantine_Moderate)))+IF('Equipment List &amp; Usage'!$F20="Yes",('Equipment List &amp; Usage'!$C$114*(IF('Equipment List &amp; Usage'!$AE20&gt;0,'Weekly Summary'!AU$134,0)+IF('Equipment List &amp; Usage'!$AF20&gt;0,'Weekly Summary'!AU$135))),'Equipment List &amp; Usage'!$C$115*(('Weekly Summary'!AU$134*'Equipment List &amp; Usage'!$AE20)+('Weekly Summary'!AU$135*'Equipment List &amp; Usage'!$AF20)))),0)</f>
        <v>0</v>
      </c>
      <c r="BB18" s="1375">
        <f ca="1">MAX(IF($F18="Yes",(
IF($F18="yes",MMULT(--('Equipment List &amp; Usage'!$J20:$N20&gt;0),--('Weekly Summary'!AV$112:AV$116))*'Equipment List &amp; Usage'!$C$114,MMULT(--('Equipment List &amp; Usage'!$J20:$N20),--('Weekly Summary'!AV$112:AV$116))*'Equipment List &amp; Usage'!$C$115)+IF('Equipment List &amp; Usage'!$F19="yes",'Equipment List &amp; Usage'!$C$114,'Equipment List &amp; Usage'!$C$115)*(('Weekly Summary'!AV$66*'Equipment List &amp; Usage'!$Q20)+('Weekly Summary'!AV$64*'Equipment List &amp; Usage'!$O20)+('Weekly Summary'!AV$65*'Equipment List &amp; Usage'!$P20)))+(IF('Equipment List &amp; Usage'!$F20="Yes",'Equipment List &amp; Usage'!$C$114*((('Weekly Summary'!AV$131*SelfQuarantine_Mild)+('Weekly Summary'!AV$100*SelfQuarantine_Mild)+('Weekly Summary'!AV$101*SelfQuarantine_Moderate))),'Equipment List &amp; Usage'!$C$115)*((('Weekly Summary'!AV$131*SelfQuarantine_Mild*'Equipment List &amp; Usage'!$W20)+('Weekly Summary'!AV$100*SelfQuarantine_Mild*'Equipment List &amp; Usage'!$X20)+('Weekly Summary'!AV$101*SelfQuarantine_Moderate*'Equipment List &amp; Usage'!$X20)))+IF('Equipment List &amp; Usage'!$F20="Yes",'Equipment List &amp; Usage'!$C$114*(IF('Equipment List &amp; Usage'!$AA20&gt;0,'Weekly Summary'!AV$128,0)+IF('Equipment List &amp; Usage'!$AB20&gt;0,'Weekly Summary'!AV$100+'Weekly Summary'!AV$101,0)),'Equipment List &amp; Usage'!$C$115*(('Weekly Summary'!AV$128*'Equipment List &amp; Usage'!$AA20)+('Weekly Summary'!AV$100*'Equipment List &amp; Usage'!$AB20*SelfQuarantine_Mild)+('Weekly Summary'!AV$101*'Equipment List &amp; Usage'!$AB20*SelfQuarantine_Moderate)))+IF('Equipment List &amp; Usage'!$F20="Yes",('Equipment List &amp; Usage'!$C$114*(IF('Equipment List &amp; Usage'!$AE20&gt;0,'Weekly Summary'!AV$134,0)+IF('Equipment List &amp; Usage'!$AF20&gt;0,'Weekly Summary'!AV$135))),'Equipment List &amp; Usage'!$C$115*(('Weekly Summary'!AV$134*'Equipment List &amp; Usage'!$AE20)+('Weekly Summary'!AV$135*'Equipment List &amp; Usage'!$AF20))))-SUM($I18:BA18),
IF($F18="yes",MMULT(--('Equipment List &amp; Usage'!$J20:$N20&gt;0),--('Weekly Summary'!AV$112:AV$116))*'Equipment List &amp; Usage'!$C$114,MMULT(--('Equipment List &amp; Usage'!$J20:$N20),--('Weekly Summary'!AV$112:AV$116))*'Equipment List &amp; Usage'!$C$115)+IF('Equipment List &amp; Usage'!$F19="yes",'Equipment List &amp; Usage'!$C$114,'Equipment List &amp; Usage'!$C$115)*(('Weekly Summary'!AV$66*'Equipment List &amp; Usage'!$Q20)+('Weekly Summary'!AV$64*'Equipment List &amp; Usage'!$O20)+('Weekly Summary'!AV$65*'Equipment List &amp; Usage'!$P20))+(IF('Equipment List &amp; Usage'!$F20="Yes",'Equipment List &amp; Usage'!$C$114*((('Weekly Summary'!AV$131*SelfQuarantine_Mild)+('Weekly Summary'!AV$100*SelfQuarantine_Mild)+('Weekly Summary'!AV$101*SelfQuarantine_Moderate))),'Equipment List &amp; Usage'!$C$115)*((('Weekly Summary'!AV$131*SelfQuarantine_Mild*'Equipment List &amp; Usage'!$W20)+('Weekly Summary'!AV$100*SelfQuarantine_Mild*'Equipment List &amp; Usage'!$X20)+('Weekly Summary'!AV$101*SelfQuarantine_Moderate*'Equipment List &amp; Usage'!$X20))))+IF('Equipment List &amp; Usage'!$F20="Yes",'Equipment List &amp; Usage'!$C$114*(IF('Equipment List &amp; Usage'!$AA20&gt;0,'Weekly Summary'!AV$128,0)+IF('Equipment List &amp; Usage'!$AB20&gt;0,'Weekly Summary'!AV$100+'Weekly Summary'!AV$101,0)),'Equipment List &amp; Usage'!$C$115*(('Weekly Summary'!AV$128*'Equipment List &amp; Usage'!$AA20)+('Weekly Summary'!AV$100*'Equipment List &amp; Usage'!$AB20*SelfQuarantine_Mild)+('Weekly Summary'!AV$101*'Equipment List &amp; Usage'!$AB20*SelfQuarantine_Moderate)))+IF('Equipment List &amp; Usage'!$F20="Yes",('Equipment List &amp; Usage'!$C$114*(IF('Equipment List &amp; Usage'!$AE20&gt;0,'Weekly Summary'!AV$134,0)+IF('Equipment List &amp; Usage'!$AF20&gt;0,'Weekly Summary'!AV$135))),'Equipment List &amp; Usage'!$C$115*(('Weekly Summary'!AV$134*'Equipment List &amp; Usage'!$AE20)+('Weekly Summary'!AV$135*'Equipment List &amp; Usage'!$AF20)))),0)</f>
        <v>0</v>
      </c>
      <c r="BC18" s="1375">
        <f ca="1">MAX(IF($F18="Yes",(
IF($F18="yes",MMULT(--('Equipment List &amp; Usage'!$J20:$N20&gt;0),--('Weekly Summary'!AW$112:AW$116))*'Equipment List &amp; Usage'!$C$114,MMULT(--('Equipment List &amp; Usage'!$J20:$N20),--('Weekly Summary'!AW$112:AW$116))*'Equipment List &amp; Usage'!$C$115)+IF('Equipment List &amp; Usage'!$F19="yes",'Equipment List &amp; Usage'!$C$114,'Equipment List &amp; Usage'!$C$115)*(('Weekly Summary'!AW$66*'Equipment List &amp; Usage'!$Q20)+('Weekly Summary'!AW$64*'Equipment List &amp; Usage'!$O20)+('Weekly Summary'!AW$65*'Equipment List &amp; Usage'!$P20)))+(IF('Equipment List &amp; Usage'!$F20="Yes",'Equipment List &amp; Usage'!$C$114*((('Weekly Summary'!AW$131*SelfQuarantine_Mild)+('Weekly Summary'!AW$100*SelfQuarantine_Mild)+('Weekly Summary'!AW$101*SelfQuarantine_Moderate))),'Equipment List &amp; Usage'!$C$115)*((('Weekly Summary'!AW$131*SelfQuarantine_Mild*'Equipment List &amp; Usage'!$W20)+('Weekly Summary'!AW$100*SelfQuarantine_Mild*'Equipment List &amp; Usage'!$X20)+('Weekly Summary'!AW$101*SelfQuarantine_Moderate*'Equipment List &amp; Usage'!$X20)))+IF('Equipment List &amp; Usage'!$F20="Yes",'Equipment List &amp; Usage'!$C$114*(IF('Equipment List &amp; Usage'!$AA20&gt;0,'Weekly Summary'!AW$128,0)+IF('Equipment List &amp; Usage'!$AB20&gt;0,'Weekly Summary'!AW$100+'Weekly Summary'!AW$101,0)),'Equipment List &amp; Usage'!$C$115*(('Weekly Summary'!AW$128*'Equipment List &amp; Usage'!$AA20)+('Weekly Summary'!AW$100*'Equipment List &amp; Usage'!$AB20*SelfQuarantine_Mild)+('Weekly Summary'!AW$101*'Equipment List &amp; Usage'!$AB20*SelfQuarantine_Moderate)))+IF('Equipment List &amp; Usage'!$F20="Yes",('Equipment List &amp; Usage'!$C$114*(IF('Equipment List &amp; Usage'!$AE20&gt;0,'Weekly Summary'!AW$134,0)+IF('Equipment List &amp; Usage'!$AF20&gt;0,'Weekly Summary'!AW$135))),'Equipment List &amp; Usage'!$C$115*(('Weekly Summary'!AW$134*'Equipment List &amp; Usage'!$AE20)+('Weekly Summary'!AW$135*'Equipment List &amp; Usage'!$AF20))))-SUM($I18:BB18),
IF($F18="yes",MMULT(--('Equipment List &amp; Usage'!$J20:$N20&gt;0),--('Weekly Summary'!AW$112:AW$116))*'Equipment List &amp; Usage'!$C$114,MMULT(--('Equipment List &amp; Usage'!$J20:$N20),--('Weekly Summary'!AW$112:AW$116))*'Equipment List &amp; Usage'!$C$115)+IF('Equipment List &amp; Usage'!$F19="yes",'Equipment List &amp; Usage'!$C$114,'Equipment List &amp; Usage'!$C$115)*(('Weekly Summary'!AW$66*'Equipment List &amp; Usage'!$Q20)+('Weekly Summary'!AW$64*'Equipment List &amp; Usage'!$O20)+('Weekly Summary'!AW$65*'Equipment List &amp; Usage'!$P20))+(IF('Equipment List &amp; Usage'!$F20="Yes",'Equipment List &amp; Usage'!$C$114*((('Weekly Summary'!AW$131*SelfQuarantine_Mild)+('Weekly Summary'!AW$100*SelfQuarantine_Mild)+('Weekly Summary'!AW$101*SelfQuarantine_Moderate))),'Equipment List &amp; Usage'!$C$115)*((('Weekly Summary'!AW$131*SelfQuarantine_Mild*'Equipment List &amp; Usage'!$W20)+('Weekly Summary'!AW$100*SelfQuarantine_Mild*'Equipment List &amp; Usage'!$X20)+('Weekly Summary'!AW$101*SelfQuarantine_Moderate*'Equipment List &amp; Usage'!$X20))))+IF('Equipment List &amp; Usage'!$F20="Yes",'Equipment List &amp; Usage'!$C$114*(IF('Equipment List &amp; Usage'!$AA20&gt;0,'Weekly Summary'!AW$128,0)+IF('Equipment List &amp; Usage'!$AB20&gt;0,'Weekly Summary'!AW$100+'Weekly Summary'!AW$101,0)),'Equipment List &amp; Usage'!$C$115*(('Weekly Summary'!AW$128*'Equipment List &amp; Usage'!$AA20)+('Weekly Summary'!AW$100*'Equipment List &amp; Usage'!$AB20*SelfQuarantine_Mild)+('Weekly Summary'!AW$101*'Equipment List &amp; Usage'!$AB20*SelfQuarantine_Moderate)))+IF('Equipment List &amp; Usage'!$F20="Yes",('Equipment List &amp; Usage'!$C$114*(IF('Equipment List &amp; Usage'!$AE20&gt;0,'Weekly Summary'!AW$134,0)+IF('Equipment List &amp; Usage'!$AF20&gt;0,'Weekly Summary'!AW$135))),'Equipment List &amp; Usage'!$C$115*(('Weekly Summary'!AW$134*'Equipment List &amp; Usage'!$AE20)+('Weekly Summary'!AW$135*'Equipment List &amp; Usage'!$AF20)))),0)</f>
        <v>0</v>
      </c>
      <c r="BD18" s="1375">
        <f ca="1">MAX(IF($F18="Yes",(
IF($F18="yes",MMULT(--('Equipment List &amp; Usage'!$J20:$N20&gt;0),--('Weekly Summary'!AX$112:AX$116))*'Equipment List &amp; Usage'!$C$114,MMULT(--('Equipment List &amp; Usage'!$J20:$N20),--('Weekly Summary'!AX$112:AX$116))*'Equipment List &amp; Usage'!$C$115)+IF('Equipment List &amp; Usage'!$F19="yes",'Equipment List &amp; Usage'!$C$114,'Equipment List &amp; Usage'!$C$115)*(('Weekly Summary'!AX$66*'Equipment List &amp; Usage'!$Q20)+('Weekly Summary'!AX$64*'Equipment List &amp; Usage'!$O20)+('Weekly Summary'!AX$65*'Equipment List &amp; Usage'!$P20)))+(IF('Equipment List &amp; Usage'!$F20="Yes",'Equipment List &amp; Usage'!$C$114*((('Weekly Summary'!AX$131*SelfQuarantine_Mild)+('Weekly Summary'!AX$100*SelfQuarantine_Mild)+('Weekly Summary'!AX$101*SelfQuarantine_Moderate))),'Equipment List &amp; Usage'!$C$115)*((('Weekly Summary'!AX$131*SelfQuarantine_Mild*'Equipment List &amp; Usage'!$W20)+('Weekly Summary'!AX$100*SelfQuarantine_Mild*'Equipment List &amp; Usage'!$X20)+('Weekly Summary'!AX$101*SelfQuarantine_Moderate*'Equipment List &amp; Usage'!$X20)))+IF('Equipment List &amp; Usage'!$F20="Yes",'Equipment List &amp; Usage'!$C$114*(IF('Equipment List &amp; Usage'!$AA20&gt;0,'Weekly Summary'!AX$128,0)+IF('Equipment List &amp; Usage'!$AB20&gt;0,'Weekly Summary'!AX$100+'Weekly Summary'!AX$101,0)),'Equipment List &amp; Usage'!$C$115*(('Weekly Summary'!AX$128*'Equipment List &amp; Usage'!$AA20)+('Weekly Summary'!AX$100*'Equipment List &amp; Usage'!$AB20*SelfQuarantine_Mild)+('Weekly Summary'!AX$101*'Equipment List &amp; Usage'!$AB20*SelfQuarantine_Moderate)))+IF('Equipment List &amp; Usage'!$F20="Yes",('Equipment List &amp; Usage'!$C$114*(IF('Equipment List &amp; Usage'!$AE20&gt;0,'Weekly Summary'!AX$134,0)+IF('Equipment List &amp; Usage'!$AF20&gt;0,'Weekly Summary'!AX$135))),'Equipment List &amp; Usage'!$C$115*(('Weekly Summary'!AX$134*'Equipment List &amp; Usage'!$AE20)+('Weekly Summary'!AX$135*'Equipment List &amp; Usage'!$AF20))))-SUM($I18:BC18),
IF($F18="yes",MMULT(--('Equipment List &amp; Usage'!$J20:$N20&gt;0),--('Weekly Summary'!AX$112:AX$116))*'Equipment List &amp; Usage'!$C$114,MMULT(--('Equipment List &amp; Usage'!$J20:$N20),--('Weekly Summary'!AX$112:AX$116))*'Equipment List &amp; Usage'!$C$115)+IF('Equipment List &amp; Usage'!$F19="yes",'Equipment List &amp; Usage'!$C$114,'Equipment List &amp; Usage'!$C$115)*(('Weekly Summary'!AX$66*'Equipment List &amp; Usage'!$Q20)+('Weekly Summary'!AX$64*'Equipment List &amp; Usage'!$O20)+('Weekly Summary'!AX$65*'Equipment List &amp; Usage'!$P20))+(IF('Equipment List &amp; Usage'!$F20="Yes",'Equipment List &amp; Usage'!$C$114*((('Weekly Summary'!AX$131*SelfQuarantine_Mild)+('Weekly Summary'!AX$100*SelfQuarantine_Mild)+('Weekly Summary'!AX$101*SelfQuarantine_Moderate))),'Equipment List &amp; Usage'!$C$115)*((('Weekly Summary'!AX$131*SelfQuarantine_Mild*'Equipment List &amp; Usage'!$W20)+('Weekly Summary'!AX$100*SelfQuarantine_Mild*'Equipment List &amp; Usage'!$X20)+('Weekly Summary'!AX$101*SelfQuarantine_Moderate*'Equipment List &amp; Usage'!$X20))))+IF('Equipment List &amp; Usage'!$F20="Yes",'Equipment List &amp; Usage'!$C$114*(IF('Equipment List &amp; Usage'!$AA20&gt;0,'Weekly Summary'!AX$128,0)+IF('Equipment List &amp; Usage'!$AB20&gt;0,'Weekly Summary'!AX$100+'Weekly Summary'!AX$101,0)),'Equipment List &amp; Usage'!$C$115*(('Weekly Summary'!AX$128*'Equipment List &amp; Usage'!$AA20)+('Weekly Summary'!AX$100*'Equipment List &amp; Usage'!$AB20*SelfQuarantine_Mild)+('Weekly Summary'!AX$101*'Equipment List &amp; Usage'!$AB20*SelfQuarantine_Moderate)))+IF('Equipment List &amp; Usage'!$F20="Yes",('Equipment List &amp; Usage'!$C$114*(IF('Equipment List &amp; Usage'!$AE20&gt;0,'Weekly Summary'!AX$134,0)+IF('Equipment List &amp; Usage'!$AF20&gt;0,'Weekly Summary'!AX$135))),'Equipment List &amp; Usage'!$C$115*(('Weekly Summary'!AX$134*'Equipment List &amp; Usage'!$AE20)+('Weekly Summary'!AX$135*'Equipment List &amp; Usage'!$AF20)))),0)</f>
        <v>0</v>
      </c>
      <c r="BE18" s="1375">
        <f ca="1">MAX(IF($F18="Yes",(
IF($F18="yes",MMULT(--('Equipment List &amp; Usage'!$J20:$N20&gt;0),--('Weekly Summary'!AY$112:AY$116))*'Equipment List &amp; Usage'!$C$114,MMULT(--('Equipment List &amp; Usage'!$J20:$N20),--('Weekly Summary'!AY$112:AY$116))*'Equipment List &amp; Usage'!$C$115)+IF('Equipment List &amp; Usage'!$F19="yes",'Equipment List &amp; Usage'!$C$114,'Equipment List &amp; Usage'!$C$115)*(('Weekly Summary'!AY$66*'Equipment List &amp; Usage'!$Q20)+('Weekly Summary'!AY$64*'Equipment List &amp; Usage'!$O20)+('Weekly Summary'!AY$65*'Equipment List &amp; Usage'!$P20)))+(IF('Equipment List &amp; Usage'!$F20="Yes",'Equipment List &amp; Usage'!$C$114*((('Weekly Summary'!AY$131*SelfQuarantine_Mild)+('Weekly Summary'!AY$100*SelfQuarantine_Mild)+('Weekly Summary'!AY$101*SelfQuarantine_Moderate))),'Equipment List &amp; Usage'!$C$115)*((('Weekly Summary'!AY$131*SelfQuarantine_Mild*'Equipment List &amp; Usage'!$W20)+('Weekly Summary'!AY$100*SelfQuarantine_Mild*'Equipment List &amp; Usage'!$X20)+('Weekly Summary'!AY$101*SelfQuarantine_Moderate*'Equipment List &amp; Usage'!$X20)))+IF('Equipment List &amp; Usage'!$F20="Yes",'Equipment List &amp; Usage'!$C$114*(IF('Equipment List &amp; Usage'!$AA20&gt;0,'Weekly Summary'!AY$128,0)+IF('Equipment List &amp; Usage'!$AB20&gt;0,'Weekly Summary'!AY$100+'Weekly Summary'!AY$101,0)),'Equipment List &amp; Usage'!$C$115*(('Weekly Summary'!AY$128*'Equipment List &amp; Usage'!$AA20)+('Weekly Summary'!AY$100*'Equipment List &amp; Usage'!$AB20*SelfQuarantine_Mild)+('Weekly Summary'!AY$101*'Equipment List &amp; Usage'!$AB20*SelfQuarantine_Moderate)))+IF('Equipment List &amp; Usage'!$F20="Yes",('Equipment List &amp; Usage'!$C$114*(IF('Equipment List &amp; Usage'!$AE20&gt;0,'Weekly Summary'!AY$134,0)+IF('Equipment List &amp; Usage'!$AF20&gt;0,'Weekly Summary'!AY$135))),'Equipment List &amp; Usage'!$C$115*(('Weekly Summary'!AY$134*'Equipment List &amp; Usage'!$AE20)+('Weekly Summary'!AY$135*'Equipment List &amp; Usage'!$AF20))))-SUM($I18:BD18),
IF($F18="yes",MMULT(--('Equipment List &amp; Usage'!$J20:$N20&gt;0),--('Weekly Summary'!AY$112:AY$116))*'Equipment List &amp; Usage'!$C$114,MMULT(--('Equipment List &amp; Usage'!$J20:$N20),--('Weekly Summary'!AY$112:AY$116))*'Equipment List &amp; Usage'!$C$115)+IF('Equipment List &amp; Usage'!$F19="yes",'Equipment List &amp; Usage'!$C$114,'Equipment List &amp; Usage'!$C$115)*(('Weekly Summary'!AY$66*'Equipment List &amp; Usage'!$Q20)+('Weekly Summary'!AY$64*'Equipment List &amp; Usage'!$O20)+('Weekly Summary'!AY$65*'Equipment List &amp; Usage'!$P20))+(IF('Equipment List &amp; Usage'!$F20="Yes",'Equipment List &amp; Usage'!$C$114*((('Weekly Summary'!AY$131*SelfQuarantine_Mild)+('Weekly Summary'!AY$100*SelfQuarantine_Mild)+('Weekly Summary'!AY$101*SelfQuarantine_Moderate))),'Equipment List &amp; Usage'!$C$115)*((('Weekly Summary'!AY$131*SelfQuarantine_Mild*'Equipment List &amp; Usage'!$W20)+('Weekly Summary'!AY$100*SelfQuarantine_Mild*'Equipment List &amp; Usage'!$X20)+('Weekly Summary'!AY$101*SelfQuarantine_Moderate*'Equipment List &amp; Usage'!$X20))))+IF('Equipment List &amp; Usage'!$F20="Yes",'Equipment List &amp; Usage'!$C$114*(IF('Equipment List &amp; Usage'!$AA20&gt;0,'Weekly Summary'!AY$128,0)+IF('Equipment List &amp; Usage'!$AB20&gt;0,'Weekly Summary'!AY$100+'Weekly Summary'!AY$101,0)),'Equipment List &amp; Usage'!$C$115*(('Weekly Summary'!AY$128*'Equipment List &amp; Usage'!$AA20)+('Weekly Summary'!AY$100*'Equipment List &amp; Usage'!$AB20*SelfQuarantine_Mild)+('Weekly Summary'!AY$101*'Equipment List &amp; Usage'!$AB20*SelfQuarantine_Moderate)))+IF('Equipment List &amp; Usage'!$F20="Yes",('Equipment List &amp; Usage'!$C$114*(IF('Equipment List &amp; Usage'!$AE20&gt;0,'Weekly Summary'!AY$134,0)+IF('Equipment List &amp; Usage'!$AF20&gt;0,'Weekly Summary'!AY$135))),'Equipment List &amp; Usage'!$C$115*(('Weekly Summary'!AY$134*'Equipment List &amp; Usage'!$AE20)+('Weekly Summary'!AY$135*'Equipment List &amp; Usage'!$AF20)))),0)</f>
        <v>0</v>
      </c>
      <c r="BF18" s="1375">
        <f ca="1">MAX(IF($F18="Yes",(
IF($F18="yes",MMULT(--('Equipment List &amp; Usage'!$J20:$N20&gt;0),--('Weekly Summary'!AZ$112:AZ$116))*'Equipment List &amp; Usage'!$C$114,MMULT(--('Equipment List &amp; Usage'!$J20:$N20),--('Weekly Summary'!AZ$112:AZ$116))*'Equipment List &amp; Usage'!$C$115)+IF('Equipment List &amp; Usage'!$F19="yes",'Equipment List &amp; Usage'!$C$114,'Equipment List &amp; Usage'!$C$115)*(('Weekly Summary'!AZ$66*'Equipment List &amp; Usage'!$Q20)+('Weekly Summary'!AZ$64*'Equipment List &amp; Usage'!$O20)+('Weekly Summary'!AZ$65*'Equipment List &amp; Usage'!$P20)))+(IF('Equipment List &amp; Usage'!$F20="Yes",'Equipment List &amp; Usage'!$C$114*((('Weekly Summary'!AZ$131*SelfQuarantine_Mild)+('Weekly Summary'!AZ$100*SelfQuarantine_Mild)+('Weekly Summary'!AZ$101*SelfQuarantine_Moderate))),'Equipment List &amp; Usage'!$C$115)*((('Weekly Summary'!AZ$131*SelfQuarantine_Mild*'Equipment List &amp; Usage'!$W20)+('Weekly Summary'!AZ$100*SelfQuarantine_Mild*'Equipment List &amp; Usage'!$X20)+('Weekly Summary'!AZ$101*SelfQuarantine_Moderate*'Equipment List &amp; Usage'!$X20)))+IF('Equipment List &amp; Usage'!$F20="Yes",'Equipment List &amp; Usage'!$C$114*(IF('Equipment List &amp; Usage'!$AA20&gt;0,'Weekly Summary'!AZ$128,0)+IF('Equipment List &amp; Usage'!$AB20&gt;0,'Weekly Summary'!AZ$100+'Weekly Summary'!AZ$101,0)),'Equipment List &amp; Usage'!$C$115*(('Weekly Summary'!AZ$128*'Equipment List &amp; Usage'!$AA20)+('Weekly Summary'!AZ$100*'Equipment List &amp; Usage'!$AB20*SelfQuarantine_Mild)+('Weekly Summary'!AZ$101*'Equipment List &amp; Usage'!$AB20*SelfQuarantine_Moderate)))+IF('Equipment List &amp; Usage'!$F20="Yes",('Equipment List &amp; Usage'!$C$114*(IF('Equipment List &amp; Usage'!$AE20&gt;0,'Weekly Summary'!AZ$134,0)+IF('Equipment List &amp; Usage'!$AF20&gt;0,'Weekly Summary'!AZ$135))),'Equipment List &amp; Usage'!$C$115*(('Weekly Summary'!AZ$134*'Equipment List &amp; Usage'!$AE20)+('Weekly Summary'!AZ$135*'Equipment List &amp; Usage'!$AF20))))-SUM($I18:BE18),
IF($F18="yes",MMULT(--('Equipment List &amp; Usage'!$J20:$N20&gt;0),--('Weekly Summary'!AZ$112:AZ$116))*'Equipment List &amp; Usage'!$C$114,MMULT(--('Equipment List &amp; Usage'!$J20:$N20),--('Weekly Summary'!AZ$112:AZ$116))*'Equipment List &amp; Usage'!$C$115)+IF('Equipment List &amp; Usage'!$F19="yes",'Equipment List &amp; Usage'!$C$114,'Equipment List &amp; Usage'!$C$115)*(('Weekly Summary'!AZ$66*'Equipment List &amp; Usage'!$Q20)+('Weekly Summary'!AZ$64*'Equipment List &amp; Usage'!$O20)+('Weekly Summary'!AZ$65*'Equipment List &amp; Usage'!$P20))+(IF('Equipment List &amp; Usage'!$F20="Yes",'Equipment List &amp; Usage'!$C$114*((('Weekly Summary'!AZ$131*SelfQuarantine_Mild)+('Weekly Summary'!AZ$100*SelfQuarantine_Mild)+('Weekly Summary'!AZ$101*SelfQuarantine_Moderate))),'Equipment List &amp; Usage'!$C$115)*((('Weekly Summary'!AZ$131*SelfQuarantine_Mild*'Equipment List &amp; Usage'!$W20)+('Weekly Summary'!AZ$100*SelfQuarantine_Mild*'Equipment List &amp; Usage'!$X20)+('Weekly Summary'!AZ$101*SelfQuarantine_Moderate*'Equipment List &amp; Usage'!$X20))))+IF('Equipment List &amp; Usage'!$F20="Yes",'Equipment List &amp; Usage'!$C$114*(IF('Equipment List &amp; Usage'!$AA20&gt;0,'Weekly Summary'!AZ$128,0)+IF('Equipment List &amp; Usage'!$AB20&gt;0,'Weekly Summary'!AZ$100+'Weekly Summary'!AZ$101,0)),'Equipment List &amp; Usage'!$C$115*(('Weekly Summary'!AZ$128*'Equipment List &amp; Usage'!$AA20)+('Weekly Summary'!AZ$100*'Equipment List &amp; Usage'!$AB20*SelfQuarantine_Mild)+('Weekly Summary'!AZ$101*'Equipment List &amp; Usage'!$AB20*SelfQuarantine_Moderate)))+IF('Equipment List &amp; Usage'!$F20="Yes",('Equipment List &amp; Usage'!$C$114*(IF('Equipment List &amp; Usage'!$AE20&gt;0,'Weekly Summary'!AZ$134,0)+IF('Equipment List &amp; Usage'!$AF20&gt;0,'Weekly Summary'!AZ$135))),'Equipment List &amp; Usage'!$C$115*(('Weekly Summary'!AZ$134*'Equipment List &amp; Usage'!$AE20)+('Weekly Summary'!AZ$135*'Equipment List &amp; Usage'!$AF20)))),0)</f>
        <v>0</v>
      </c>
      <c r="BG18" s="1375">
        <f ca="1">MAX(IF($F18="Yes",(
IF($F18="yes",MMULT(--('Equipment List &amp; Usage'!$J20:$N20&gt;0),--('Weekly Summary'!BA$112:BA$116))*'Equipment List &amp; Usage'!$C$114,MMULT(--('Equipment List &amp; Usage'!$J20:$N20),--('Weekly Summary'!BA$112:BA$116))*'Equipment List &amp; Usage'!$C$115)+IF('Equipment List &amp; Usage'!$F19="yes",'Equipment List &amp; Usage'!$C$114,'Equipment List &amp; Usage'!$C$115)*(('Weekly Summary'!BA$66*'Equipment List &amp; Usage'!$Q20)+('Weekly Summary'!BA$64*'Equipment List &amp; Usage'!$O20)+('Weekly Summary'!BA$65*'Equipment List &amp; Usage'!$P20)))+(IF('Equipment List &amp; Usage'!$F20="Yes",'Equipment List &amp; Usage'!$C$114*((('Weekly Summary'!BA$131*SelfQuarantine_Mild)+('Weekly Summary'!BA$100*SelfQuarantine_Mild)+('Weekly Summary'!BA$101*SelfQuarantine_Moderate))),'Equipment List &amp; Usage'!$C$115)*((('Weekly Summary'!BA$131*SelfQuarantine_Mild*'Equipment List &amp; Usage'!$W20)+('Weekly Summary'!BA$100*SelfQuarantine_Mild*'Equipment List &amp; Usage'!$X20)+('Weekly Summary'!BA$101*SelfQuarantine_Moderate*'Equipment List &amp; Usage'!$X20)))+IF('Equipment List &amp; Usage'!$F20="Yes",'Equipment List &amp; Usage'!$C$114*(IF('Equipment List &amp; Usage'!$AA20&gt;0,'Weekly Summary'!BA$128,0)+IF('Equipment List &amp; Usage'!$AB20&gt;0,'Weekly Summary'!BA$100+'Weekly Summary'!BA$101,0)),'Equipment List &amp; Usage'!$C$115*(('Weekly Summary'!BA$128*'Equipment List &amp; Usage'!$AA20)+('Weekly Summary'!BA$100*'Equipment List &amp; Usage'!$AB20*SelfQuarantine_Mild)+('Weekly Summary'!BA$101*'Equipment List &amp; Usage'!$AB20*SelfQuarantine_Moderate)))+IF('Equipment List &amp; Usage'!$F20="Yes",('Equipment List &amp; Usage'!$C$114*(IF('Equipment List &amp; Usage'!$AE20&gt;0,'Weekly Summary'!BA$134,0)+IF('Equipment List &amp; Usage'!$AF20&gt;0,'Weekly Summary'!BA$135))),'Equipment List &amp; Usage'!$C$115*(('Weekly Summary'!BA$134*'Equipment List &amp; Usage'!$AE20)+('Weekly Summary'!BA$135*'Equipment List &amp; Usage'!$AF20))))-SUM($I18:BF18),
IF($F18="yes",MMULT(--('Equipment List &amp; Usage'!$J20:$N20&gt;0),--('Weekly Summary'!BA$112:BA$116))*'Equipment List &amp; Usage'!$C$114,MMULT(--('Equipment List &amp; Usage'!$J20:$N20),--('Weekly Summary'!BA$112:BA$116))*'Equipment List &amp; Usage'!$C$115)+IF('Equipment List &amp; Usage'!$F19="yes",'Equipment List &amp; Usage'!$C$114,'Equipment List &amp; Usage'!$C$115)*(('Weekly Summary'!BA$66*'Equipment List &amp; Usage'!$Q20)+('Weekly Summary'!BA$64*'Equipment List &amp; Usage'!$O20)+('Weekly Summary'!BA$65*'Equipment List &amp; Usage'!$P20))+(IF('Equipment List &amp; Usage'!$F20="Yes",'Equipment List &amp; Usage'!$C$114*((('Weekly Summary'!BA$131*SelfQuarantine_Mild)+('Weekly Summary'!BA$100*SelfQuarantine_Mild)+('Weekly Summary'!BA$101*SelfQuarantine_Moderate))),'Equipment List &amp; Usage'!$C$115)*((('Weekly Summary'!BA$131*SelfQuarantine_Mild*'Equipment List &amp; Usage'!$W20)+('Weekly Summary'!BA$100*SelfQuarantine_Mild*'Equipment List &amp; Usage'!$X20)+('Weekly Summary'!BA$101*SelfQuarantine_Moderate*'Equipment List &amp; Usage'!$X20))))+IF('Equipment List &amp; Usage'!$F20="Yes",'Equipment List &amp; Usage'!$C$114*(IF('Equipment List &amp; Usage'!$AA20&gt;0,'Weekly Summary'!BA$128,0)+IF('Equipment List &amp; Usage'!$AB20&gt;0,'Weekly Summary'!BA$100+'Weekly Summary'!BA$101,0)),'Equipment List &amp; Usage'!$C$115*(('Weekly Summary'!BA$128*'Equipment List &amp; Usage'!$AA20)+('Weekly Summary'!BA$100*'Equipment List &amp; Usage'!$AB20*SelfQuarantine_Mild)+('Weekly Summary'!BA$101*'Equipment List &amp; Usage'!$AB20*SelfQuarantine_Moderate)))+IF('Equipment List &amp; Usage'!$F20="Yes",('Equipment List &amp; Usage'!$C$114*(IF('Equipment List &amp; Usage'!$AE20&gt;0,'Weekly Summary'!BA$134,0)+IF('Equipment List &amp; Usage'!$AF20&gt;0,'Weekly Summary'!BA$135))),'Equipment List &amp; Usage'!$C$115*(('Weekly Summary'!BA$134*'Equipment List &amp; Usage'!$AE20)+('Weekly Summary'!BA$135*'Equipment List &amp; Usage'!$AF20)))),0)</f>
        <v>0</v>
      </c>
      <c r="BH18" s="1375">
        <f ca="1">MAX(IF($F18="Yes",(
IF($F18="yes",MMULT(--('Equipment List &amp; Usage'!$J20:$N20&gt;0),--('Weekly Summary'!BB$112:BB$116))*'Equipment List &amp; Usage'!$C$114,MMULT(--('Equipment List &amp; Usage'!$J20:$N20),--('Weekly Summary'!BB$112:BB$116))*'Equipment List &amp; Usage'!$C$115)+IF('Equipment List &amp; Usage'!$F19="yes",'Equipment List &amp; Usage'!$C$114,'Equipment List &amp; Usage'!$C$115)*(('Weekly Summary'!BB$66*'Equipment List &amp; Usage'!$Q20)+('Weekly Summary'!BB$64*'Equipment List &amp; Usage'!$O20)+('Weekly Summary'!BB$65*'Equipment List &amp; Usage'!$P20)))+(IF('Equipment List &amp; Usage'!$F20="Yes",'Equipment List &amp; Usage'!$C$114*((('Weekly Summary'!BB$131*SelfQuarantine_Mild)+('Weekly Summary'!BB$100*SelfQuarantine_Mild)+('Weekly Summary'!BB$101*SelfQuarantine_Moderate))),'Equipment List &amp; Usage'!$C$115)*((('Weekly Summary'!BB$131*SelfQuarantine_Mild*'Equipment List &amp; Usage'!$W20)+('Weekly Summary'!BB$100*SelfQuarantine_Mild*'Equipment List &amp; Usage'!$X20)+('Weekly Summary'!BB$101*SelfQuarantine_Moderate*'Equipment List &amp; Usage'!$X20)))+IF('Equipment List &amp; Usage'!$F20="Yes",'Equipment List &amp; Usage'!$C$114*(IF('Equipment List &amp; Usage'!$AA20&gt;0,'Weekly Summary'!BB$128,0)+IF('Equipment List &amp; Usage'!$AB20&gt;0,'Weekly Summary'!BB$100+'Weekly Summary'!BB$101,0)),'Equipment List &amp; Usage'!$C$115*(('Weekly Summary'!BB$128*'Equipment List &amp; Usage'!$AA20)+('Weekly Summary'!BB$100*'Equipment List &amp; Usage'!$AB20*SelfQuarantine_Mild)+('Weekly Summary'!BB$101*'Equipment List &amp; Usage'!$AB20*SelfQuarantine_Moderate)))+IF('Equipment List &amp; Usage'!$F20="Yes",('Equipment List &amp; Usage'!$C$114*(IF('Equipment List &amp; Usage'!$AE20&gt;0,'Weekly Summary'!BB$134,0)+IF('Equipment List &amp; Usage'!$AF20&gt;0,'Weekly Summary'!BB$135))),'Equipment List &amp; Usage'!$C$115*(('Weekly Summary'!BB$134*'Equipment List &amp; Usage'!$AE20)+('Weekly Summary'!BB$135*'Equipment List &amp; Usage'!$AF20))))-SUM($I18:BG18),
IF($F18="yes",MMULT(--('Equipment List &amp; Usage'!$J20:$N20&gt;0),--('Weekly Summary'!BB$112:BB$116))*'Equipment List &amp; Usage'!$C$114,MMULT(--('Equipment List &amp; Usage'!$J20:$N20),--('Weekly Summary'!BB$112:BB$116))*'Equipment List &amp; Usage'!$C$115)+IF('Equipment List &amp; Usage'!$F19="yes",'Equipment List &amp; Usage'!$C$114,'Equipment List &amp; Usage'!$C$115)*(('Weekly Summary'!BB$66*'Equipment List &amp; Usage'!$Q20)+('Weekly Summary'!BB$64*'Equipment List &amp; Usage'!$O20)+('Weekly Summary'!BB$65*'Equipment List &amp; Usage'!$P20))+(IF('Equipment List &amp; Usage'!$F20="Yes",'Equipment List &amp; Usage'!$C$114*((('Weekly Summary'!BB$131*SelfQuarantine_Mild)+('Weekly Summary'!BB$100*SelfQuarantine_Mild)+('Weekly Summary'!BB$101*SelfQuarantine_Moderate))),'Equipment List &amp; Usage'!$C$115)*((('Weekly Summary'!BB$131*SelfQuarantine_Mild*'Equipment List &amp; Usage'!$W20)+('Weekly Summary'!BB$100*SelfQuarantine_Mild*'Equipment List &amp; Usage'!$X20)+('Weekly Summary'!BB$101*SelfQuarantine_Moderate*'Equipment List &amp; Usage'!$X20))))+IF('Equipment List &amp; Usage'!$F20="Yes",'Equipment List &amp; Usage'!$C$114*(IF('Equipment List &amp; Usage'!$AA20&gt;0,'Weekly Summary'!BB$128,0)+IF('Equipment List &amp; Usage'!$AB20&gt;0,'Weekly Summary'!BB$100+'Weekly Summary'!BB$101,0)),'Equipment List &amp; Usage'!$C$115*(('Weekly Summary'!BB$128*'Equipment List &amp; Usage'!$AA20)+('Weekly Summary'!BB$100*'Equipment List &amp; Usage'!$AB20*SelfQuarantine_Mild)+('Weekly Summary'!BB$101*'Equipment List &amp; Usage'!$AB20*SelfQuarantine_Moderate)))+IF('Equipment List &amp; Usage'!$F20="Yes",('Equipment List &amp; Usage'!$C$114*(IF('Equipment List &amp; Usage'!$AE20&gt;0,'Weekly Summary'!BB$134,0)+IF('Equipment List &amp; Usage'!$AF20&gt;0,'Weekly Summary'!BB$135))),'Equipment List &amp; Usage'!$C$115*(('Weekly Summary'!BB$134*'Equipment List &amp; Usage'!$AE20)+('Weekly Summary'!BB$135*'Equipment List &amp; Usage'!$AF20)))),0)</f>
        <v>0</v>
      </c>
      <c r="BI18" s="1375">
        <f ca="1">MAX(IF($F18="Yes",(
IF($F18="yes",MMULT(--('Equipment List &amp; Usage'!$J20:$N20&gt;0),--('Weekly Summary'!BC$112:BC$116))*'Equipment List &amp; Usage'!$C$114,MMULT(--('Equipment List &amp; Usage'!$J20:$N20),--('Weekly Summary'!BC$112:BC$116))*'Equipment List &amp; Usage'!$C$115)+IF('Equipment List &amp; Usage'!$F19="yes",'Equipment List &amp; Usage'!$C$114,'Equipment List &amp; Usage'!$C$115)*(('Weekly Summary'!BC$66*'Equipment List &amp; Usage'!$Q20)+('Weekly Summary'!BC$64*'Equipment List &amp; Usage'!$O20)+('Weekly Summary'!BC$65*'Equipment List &amp; Usage'!$P20)))+(IF('Equipment List &amp; Usage'!$F20="Yes",'Equipment List &amp; Usage'!$C$114*((('Weekly Summary'!BC$131*SelfQuarantine_Mild)+('Weekly Summary'!BC$100*SelfQuarantine_Mild)+('Weekly Summary'!BC$101*SelfQuarantine_Moderate))),'Equipment List &amp; Usage'!$C$115)*((('Weekly Summary'!BC$131*SelfQuarantine_Mild*'Equipment List &amp; Usage'!$W20)+('Weekly Summary'!BC$100*SelfQuarantine_Mild*'Equipment List &amp; Usage'!$X20)+('Weekly Summary'!BC$101*SelfQuarantine_Moderate*'Equipment List &amp; Usage'!$X20)))+IF('Equipment List &amp; Usage'!$F20="Yes",'Equipment List &amp; Usage'!$C$114*(IF('Equipment List &amp; Usage'!$AA20&gt;0,'Weekly Summary'!BC$128,0)+IF('Equipment List &amp; Usage'!$AB20&gt;0,'Weekly Summary'!BC$100+'Weekly Summary'!BC$101,0)),'Equipment List &amp; Usage'!$C$115*(('Weekly Summary'!BC$128*'Equipment List &amp; Usage'!$AA20)+('Weekly Summary'!BC$100*'Equipment List &amp; Usage'!$AB20*SelfQuarantine_Mild)+('Weekly Summary'!BC$101*'Equipment List &amp; Usage'!$AB20*SelfQuarantine_Moderate)))+IF('Equipment List &amp; Usage'!$F20="Yes",('Equipment List &amp; Usage'!$C$114*(IF('Equipment List &amp; Usage'!$AE20&gt;0,'Weekly Summary'!BC$134,0)+IF('Equipment List &amp; Usage'!$AF20&gt;0,'Weekly Summary'!BC$135))),'Equipment List &amp; Usage'!$C$115*(('Weekly Summary'!BC$134*'Equipment List &amp; Usage'!$AE20)+('Weekly Summary'!BC$135*'Equipment List &amp; Usage'!$AF20))))-SUM($I18:BH18),
IF($F18="yes",MMULT(--('Equipment List &amp; Usage'!$J20:$N20&gt;0),--('Weekly Summary'!BC$112:BC$116))*'Equipment List &amp; Usage'!$C$114,MMULT(--('Equipment List &amp; Usage'!$J20:$N20),--('Weekly Summary'!BC$112:BC$116))*'Equipment List &amp; Usage'!$C$115)+IF('Equipment List &amp; Usage'!$F19="yes",'Equipment List &amp; Usage'!$C$114,'Equipment List &amp; Usage'!$C$115)*(('Weekly Summary'!BC$66*'Equipment List &amp; Usage'!$Q20)+('Weekly Summary'!BC$64*'Equipment List &amp; Usage'!$O20)+('Weekly Summary'!BC$65*'Equipment List &amp; Usage'!$P20))+(IF('Equipment List &amp; Usage'!$F20="Yes",'Equipment List &amp; Usage'!$C$114*((('Weekly Summary'!BC$131*SelfQuarantine_Mild)+('Weekly Summary'!BC$100*SelfQuarantine_Mild)+('Weekly Summary'!BC$101*SelfQuarantine_Moderate))),'Equipment List &amp; Usage'!$C$115)*((('Weekly Summary'!BC$131*SelfQuarantine_Mild*'Equipment List &amp; Usage'!$W20)+('Weekly Summary'!BC$100*SelfQuarantine_Mild*'Equipment List &amp; Usage'!$X20)+('Weekly Summary'!BC$101*SelfQuarantine_Moderate*'Equipment List &amp; Usage'!$X20))))+IF('Equipment List &amp; Usage'!$F20="Yes",'Equipment List &amp; Usage'!$C$114*(IF('Equipment List &amp; Usage'!$AA20&gt;0,'Weekly Summary'!BC$128,0)+IF('Equipment List &amp; Usage'!$AB20&gt;0,'Weekly Summary'!BC$100+'Weekly Summary'!BC$101,0)),'Equipment List &amp; Usage'!$C$115*(('Weekly Summary'!BC$128*'Equipment List &amp; Usage'!$AA20)+('Weekly Summary'!BC$100*'Equipment List &amp; Usage'!$AB20*SelfQuarantine_Mild)+('Weekly Summary'!BC$101*'Equipment List &amp; Usage'!$AB20*SelfQuarantine_Moderate)))+IF('Equipment List &amp; Usage'!$F20="Yes",('Equipment List &amp; Usage'!$C$114*(IF('Equipment List &amp; Usage'!$AE20&gt;0,'Weekly Summary'!BC$134,0)+IF('Equipment List &amp; Usage'!$AF20&gt;0,'Weekly Summary'!BC$135))),'Equipment List &amp; Usage'!$C$115*(('Weekly Summary'!BC$134*'Equipment List &amp; Usage'!$AE20)+('Weekly Summary'!BC$135*'Equipment List &amp; Usage'!$AF20)))),0)</f>
        <v>0</v>
      </c>
      <c r="BJ18" s="1376">
        <f ca="1">MAX(IF($F18="Yes",(
IF($F18="yes",MMULT(--('Equipment List &amp; Usage'!$J20:$N20&gt;0),--('Weekly Summary'!BD$112:BD$116))*'Equipment List &amp; Usage'!$C$114,MMULT(--('Equipment List &amp; Usage'!$J20:$N20),--('Weekly Summary'!BD$112:BD$116))*'Equipment List &amp; Usage'!$C$115)+IF('Equipment List &amp; Usage'!$F19="yes",'Equipment List &amp; Usage'!$C$114,'Equipment List &amp; Usage'!$C$115)*(('Weekly Summary'!BD$66*'Equipment List &amp; Usage'!$Q20)+('Weekly Summary'!BD$64*'Equipment List &amp; Usage'!$O20)+('Weekly Summary'!BD$65*'Equipment List &amp; Usage'!$P20)))+(IF('Equipment List &amp; Usage'!$F20="Yes",'Equipment List &amp; Usage'!$C$114*((('Weekly Summary'!BD$131*SelfQuarantine_Mild)+('Weekly Summary'!BD$100*SelfQuarantine_Mild)+('Weekly Summary'!BD$101*SelfQuarantine_Moderate))),'Equipment List &amp; Usage'!$C$115)*((('Weekly Summary'!BD$131*SelfQuarantine_Mild*'Equipment List &amp; Usage'!$W20)+('Weekly Summary'!BD$100*SelfQuarantine_Mild*'Equipment List &amp; Usage'!$X20)+('Weekly Summary'!BD$101*SelfQuarantine_Moderate*'Equipment List &amp; Usage'!$X20)))+IF('Equipment List &amp; Usage'!$F20="Yes",'Equipment List &amp; Usage'!$C$114*(IF('Equipment List &amp; Usage'!$AA20&gt;0,'Weekly Summary'!BD$128,0)+IF('Equipment List &amp; Usage'!$AB20&gt;0,'Weekly Summary'!BD$100+'Weekly Summary'!BD$101,0)),'Equipment List &amp; Usage'!$C$115*(('Weekly Summary'!BD$128*'Equipment List &amp; Usage'!$AA20)+('Weekly Summary'!BD$100*'Equipment List &amp; Usage'!$AB20*SelfQuarantine_Mild)+('Weekly Summary'!BD$101*'Equipment List &amp; Usage'!$AB20*SelfQuarantine_Moderate)))+IF('Equipment List &amp; Usage'!$F20="Yes",('Equipment List &amp; Usage'!$C$114*(IF('Equipment List &amp; Usage'!$AE20&gt;0,'Weekly Summary'!BD$134,0)+IF('Equipment List &amp; Usage'!$AF20&gt;0,'Weekly Summary'!BD$135))),'Equipment List &amp; Usage'!$C$115*(('Weekly Summary'!BD$134*'Equipment List &amp; Usage'!$AE20)+('Weekly Summary'!BD$135*'Equipment List &amp; Usage'!$AF20))))-SUM($I18:BI18),
IF($F18="yes",MMULT(--('Equipment List &amp; Usage'!$J20:$N20&gt;0),--('Weekly Summary'!BD$112:BD$116))*'Equipment List &amp; Usage'!$C$114,MMULT(--('Equipment List &amp; Usage'!$J20:$N20),--('Weekly Summary'!BD$112:BD$116))*'Equipment List &amp; Usage'!$C$115)+IF('Equipment List &amp; Usage'!$F19="yes",'Equipment List &amp; Usage'!$C$114,'Equipment List &amp; Usage'!$C$115)*(('Weekly Summary'!BD$66*'Equipment List &amp; Usage'!$Q20)+('Weekly Summary'!BD$64*'Equipment List &amp; Usage'!$O20)+('Weekly Summary'!BD$65*'Equipment List &amp; Usage'!$P20))+(IF('Equipment List &amp; Usage'!$F20="Yes",'Equipment List &amp; Usage'!$C$114*((('Weekly Summary'!BD$131*SelfQuarantine_Mild)+('Weekly Summary'!BD$100*SelfQuarantine_Mild)+('Weekly Summary'!BD$101*SelfQuarantine_Moderate))),'Equipment List &amp; Usage'!$C$115)*((('Weekly Summary'!BD$131*SelfQuarantine_Mild*'Equipment List &amp; Usage'!$W20)+('Weekly Summary'!BD$100*SelfQuarantine_Mild*'Equipment List &amp; Usage'!$X20)+('Weekly Summary'!BD$101*SelfQuarantine_Moderate*'Equipment List &amp; Usage'!$X20))))+IF('Equipment List &amp; Usage'!$F20="Yes",'Equipment List &amp; Usage'!$C$114*(IF('Equipment List &amp; Usage'!$AA20&gt;0,'Weekly Summary'!BD$128,0)+IF('Equipment List &amp; Usage'!$AB20&gt;0,'Weekly Summary'!BD$100+'Weekly Summary'!BD$101,0)),'Equipment List &amp; Usage'!$C$115*(('Weekly Summary'!BD$128*'Equipment List &amp; Usage'!$AA20)+('Weekly Summary'!BD$100*'Equipment List &amp; Usage'!$AB20*SelfQuarantine_Mild)+('Weekly Summary'!BD$101*'Equipment List &amp; Usage'!$AB20*SelfQuarantine_Moderate)))+IF('Equipment List &amp; Usage'!$F20="Yes",('Equipment List &amp; Usage'!$C$114*(IF('Equipment List &amp; Usage'!$AE20&gt;0,'Weekly Summary'!BD$134,0)+IF('Equipment List &amp; Usage'!$AF20&gt;0,'Weekly Summary'!BD$135))),'Equipment List &amp; Usage'!$C$115*(('Weekly Summary'!BD$134*'Equipment List &amp; Usage'!$AE20)+('Weekly Summary'!BD$135*'Equipment List &amp; Usage'!$AF20)))),0)</f>
        <v>0</v>
      </c>
    </row>
    <row r="19" spans="2:62" x14ac:dyDescent="0.35">
      <c r="B19" s="949" t="str">
        <f>'Equipment List &amp; Usage'!B21</f>
        <v>IPC</v>
      </c>
      <c r="C19" s="948" t="str">
        <f>'Equipment List &amp; Usage'!C21</f>
        <v>PPE</v>
      </c>
      <c r="D19" s="948" t="str">
        <f>'Equipment List &amp; Usage'!D21</f>
        <v>Scrubs, tops</v>
      </c>
      <c r="E19" s="948" t="str">
        <f>'Equipment List &amp; Usage'!E21</f>
        <v>Each</v>
      </c>
      <c r="F19" s="948" t="str">
        <f>'Equipment List &amp; Usage'!F21</f>
        <v>Yes</v>
      </c>
      <c r="G19" s="948" t="str">
        <f>'Equipment List &amp; Usage'!G21</f>
        <v>N/A</v>
      </c>
      <c r="H19" s="1365">
        <f t="shared" ca="1" si="2"/>
        <v>1113.5841632777458</v>
      </c>
      <c r="J19" s="1341"/>
      <c r="K19" s="1374">
        <f ca="1">IF('User Dashboard'!$H$13=1,0,IF($F19="Yes",(
IF($F19="yes",MMULT(--('Equipment List &amp; Usage'!$J21:$N21&gt;0),--('Weekly Summary'!E$112:E$116))*'Equipment List &amp; Usage'!$C$114,MMULT(--('Equipment List &amp; Usage'!$J21:$N21),--('Weekly Summary'!E$112:E$116))*'Equipment List &amp; Usage'!$C$115)+IF('Equipment List &amp; Usage'!$F20="yes",'Equipment List &amp; Usage'!$C$114,'Equipment List &amp; Usage'!$C$115)*(('Weekly Summary'!E$66*'Equipment List &amp; Usage'!$Q21)+('Weekly Summary'!E$64*'Equipment List &amp; Usage'!$O21)+('Weekly Summary'!E$65*'Equipment List &amp; Usage'!$P21)))+(IF('Equipment List &amp; Usage'!$F21="Yes",'Equipment List &amp; Usage'!$C$114*((('Weekly Summary'!E$131*SelfQuarantine_Mild)+('Weekly Summary'!E$100*SelfQuarantine_Mild)+('Weekly Summary'!E$101*SelfQuarantine_Moderate))),'Equipment List &amp; Usage'!$C$115)*((('Weekly Summary'!E$131*SelfQuarantine_Mild*'Equipment List &amp; Usage'!$W21)+('Weekly Summary'!E$100*SelfQuarantine_Mild*'Equipment List &amp; Usage'!$X21)+('Weekly Summary'!E$101*SelfQuarantine_Moderate*'Equipment List &amp; Usage'!$X21)))+IF('Equipment List &amp; Usage'!$F21="Yes",'Equipment List &amp; Usage'!$C$114*(IF('Equipment List &amp; Usage'!$AA21&gt;0,'Weekly Summary'!E$128,0)+IF('Equipment List &amp; Usage'!$AB21&gt;0,'Weekly Summary'!E$100+'Weekly Summary'!E$101,0)),'Equipment List &amp; Usage'!$C$115*(('Weekly Summary'!E$128*'Equipment List &amp; Usage'!$AA21)+('Weekly Summary'!E$100*'Equipment List &amp; Usage'!$AB21*SelfQuarantine_Mild)+('Weekly Summary'!E$101*'Equipment List &amp; Usage'!$AB21*SelfQuarantine_Moderate)))+IF('Equipment List &amp; Usage'!$F21="Yes",('Equipment List &amp; Usage'!$C$114*(IF('Equipment List &amp; Usage'!$AE21&gt;0,'Weekly Summary'!E$134,0)+IF('Equipment List &amp; Usage'!$AF21&gt;0,'Weekly Summary'!E$135))),'Equipment List &amp; Usage'!$C$115*(('Weekly Summary'!E$134*'Equipment List &amp; Usage'!$AE21)+('Weekly Summary'!E$135*'Equipment List &amp; Usage'!$AF21)))),
IF($F19="yes",MMULT(--('Equipment List &amp; Usage'!$J21:$N21&gt;0),--('Weekly Summary'!E$112:E$116))*'Equipment List &amp; Usage'!$C$114,MMULT(--('Equipment List &amp; Usage'!$J21:$N21),--('Weekly Summary'!E$112:E$116))*'Equipment List &amp; Usage'!$C$115)+IF('Equipment List &amp; Usage'!$F20="yes",'Equipment List &amp; Usage'!$C$114,'Equipment List &amp; Usage'!$C$115)*(('Weekly Summary'!E$66*'Equipment List &amp; Usage'!$Q21)+('Weekly Summary'!E$64*'Equipment List &amp; Usage'!$O21)+('Weekly Summary'!E$65*'Equipment List &amp; Usage'!$P21))+(IF('Equipment List &amp; Usage'!$F21="Yes",'Equipment List &amp; Usage'!$C$114*((('Weekly Summary'!E$131*SelfQuarantine_Mild)+('Weekly Summary'!E$100*SelfQuarantine_Mild)+('Weekly Summary'!E$101*SelfQuarantine_Moderate))),'Equipment List &amp; Usage'!$C$115)*((('Weekly Summary'!E$131*SelfQuarantine_Mild*'Equipment List &amp; Usage'!$W21)+('Weekly Summary'!E$100*SelfQuarantine_Mild*'Equipment List &amp; Usage'!$X21)+('Weekly Summary'!E$101*SelfQuarantine_Moderate*'Equipment List &amp; Usage'!$X21))))+IF('Equipment List &amp; Usage'!$F21="Yes",'Equipment List &amp; Usage'!$C$114*(IF('Equipment List &amp; Usage'!$AA21&gt;0,'Weekly Summary'!E$128,0)+IF('Equipment List &amp; Usage'!$AB21&gt;0,'Weekly Summary'!E$100+'Weekly Summary'!E$101,0)),'Equipment List &amp; Usage'!$C$115*(('Weekly Summary'!E$128*'Equipment List &amp; Usage'!$AA21)+('Weekly Summary'!E$100*'Equipment List &amp; Usage'!$AB21*SelfQuarantine_Mild)+('Weekly Summary'!E$101*'Equipment List &amp; Usage'!$AB21*SelfQuarantine_Moderate)))+IF('Equipment List &amp; Usage'!$F21="Yes",('Equipment List &amp; Usage'!$C$114*(IF('Equipment List &amp; Usage'!$AE21&gt;0,'Weekly Summary'!E$134,0)+IF('Equipment List &amp; Usage'!$AF21&gt;0,'Weekly Summary'!E$135))),'Equipment List &amp; Usage'!$C$115*(('Weekly Summary'!E$134*'Equipment List &amp; Usage'!$AE21)+('Weekly Summary'!E$135*'Equipment List &amp; Usage'!$AF21)))))</f>
        <v>3.3007524673570359</v>
      </c>
      <c r="L19" s="1374">
        <f ca="1">MAX(IF($F19="Yes",(
IF($F19="yes",MMULT(--('Equipment List &amp; Usage'!$J21:$N21&gt;0),--('Weekly Summary'!F$112:F$116))*'Equipment List &amp; Usage'!$C$114,MMULT(--('Equipment List &amp; Usage'!$J21:$N21),--('Weekly Summary'!F$112:F$116))*'Equipment List &amp; Usage'!$C$115)+IF('Equipment List &amp; Usage'!$F20="yes",'Equipment List &amp; Usage'!$C$114,'Equipment List &amp; Usage'!$C$115)*(('Weekly Summary'!F$66*'Equipment List &amp; Usage'!$Q21)+('Weekly Summary'!F$64*'Equipment List &amp; Usage'!$O21)+('Weekly Summary'!F$65*'Equipment List &amp; Usage'!$P21)))+(IF('Equipment List &amp; Usage'!$F21="Yes",'Equipment List &amp; Usage'!$C$114*((('Weekly Summary'!F$131*SelfQuarantine_Mild)+('Weekly Summary'!F$100*SelfQuarantine_Mild)+('Weekly Summary'!F$101*SelfQuarantine_Moderate))),'Equipment List &amp; Usage'!$C$115)*((('Weekly Summary'!F$131*SelfQuarantine_Mild*'Equipment List &amp; Usage'!$W21)+('Weekly Summary'!F$100*SelfQuarantine_Mild*'Equipment List &amp; Usage'!$X21)+('Weekly Summary'!F$101*SelfQuarantine_Moderate*'Equipment List &amp; Usage'!$X21)))+IF('Equipment List &amp; Usage'!$F21="Yes",'Equipment List &amp; Usage'!$C$114*(IF('Equipment List &amp; Usage'!$AA21&gt;0,'Weekly Summary'!F$128,0)+IF('Equipment List &amp; Usage'!$AB21&gt;0,'Weekly Summary'!F$100+'Weekly Summary'!F$101,0)),'Equipment List &amp; Usage'!$C$115*(('Weekly Summary'!F$128*'Equipment List &amp; Usage'!$AA21)+('Weekly Summary'!F$100*'Equipment List &amp; Usage'!$AB21*SelfQuarantine_Mild)+('Weekly Summary'!F$101*'Equipment List &amp; Usage'!$AB21*SelfQuarantine_Moderate)))+IF('Equipment List &amp; Usage'!$F21="Yes",('Equipment List &amp; Usage'!$C$114*(IF('Equipment List &amp; Usage'!$AE21&gt;0,'Weekly Summary'!F$134,0)+IF('Equipment List &amp; Usage'!$AF21&gt;0,'Weekly Summary'!F$135))),'Equipment List &amp; Usage'!$C$115*(('Weekly Summary'!F$134*'Equipment List &amp; Usage'!$AE21)+('Weekly Summary'!F$135*'Equipment List &amp; Usage'!$AF21))))-SUM($I19:K19),
IF($F19="yes",MMULT(--('Equipment List &amp; Usage'!$J21:$N21&gt;0),--('Weekly Summary'!F$112:F$116))*'Equipment List &amp; Usage'!$C$114,MMULT(--('Equipment List &amp; Usage'!$J21:$N21),--('Weekly Summary'!F$112:F$116))*'Equipment List &amp; Usage'!$C$115)+IF('Equipment List &amp; Usage'!$F20="yes",'Equipment List &amp; Usage'!$C$114,'Equipment List &amp; Usage'!$C$115)*(('Weekly Summary'!F$66*'Equipment List &amp; Usage'!$Q21)+('Weekly Summary'!F$64*'Equipment List &amp; Usage'!$O21)+('Weekly Summary'!F$65*'Equipment List &amp; Usage'!$P21))+(IF('Equipment List &amp; Usage'!$F21="Yes",'Equipment List &amp; Usage'!$C$114*((('Weekly Summary'!F$131*SelfQuarantine_Mild)+('Weekly Summary'!F$100*SelfQuarantine_Mild)+('Weekly Summary'!F$101*SelfQuarantine_Moderate))),'Equipment List &amp; Usage'!$C$115)*((('Weekly Summary'!F$131*SelfQuarantine_Mild*'Equipment List &amp; Usage'!$W21)+('Weekly Summary'!F$100*SelfQuarantine_Mild*'Equipment List &amp; Usage'!$X21)+('Weekly Summary'!F$101*SelfQuarantine_Moderate*'Equipment List &amp; Usage'!$X21))))+IF('Equipment List &amp; Usage'!$F21="Yes",'Equipment List &amp; Usage'!$C$114*(IF('Equipment List &amp; Usage'!$AA21&gt;0,'Weekly Summary'!F$128,0)+IF('Equipment List &amp; Usage'!$AB21&gt;0,'Weekly Summary'!F$100+'Weekly Summary'!F$101,0)),'Equipment List &amp; Usage'!$C$115*(('Weekly Summary'!F$128*'Equipment List &amp; Usage'!$AA21)+('Weekly Summary'!F$100*'Equipment List &amp; Usage'!$AB21*SelfQuarantine_Mild)+('Weekly Summary'!F$101*'Equipment List &amp; Usage'!$AB21*SelfQuarantine_Moderate)))+IF('Equipment List &amp; Usage'!$F21="Yes",('Equipment List &amp; Usage'!$C$114*(IF('Equipment List &amp; Usage'!$AE21&gt;0,'Weekly Summary'!F$134,0)+IF('Equipment List &amp; Usage'!$AF21&gt;0,'Weekly Summary'!F$135))),'Equipment List &amp; Usage'!$C$115*(('Weekly Summary'!F$134*'Equipment List &amp; Usage'!$AE21)+('Weekly Summary'!F$135*'Equipment List &amp; Usage'!$AF21)))),0)</f>
        <v>5.5245873105631009</v>
      </c>
      <c r="M19" s="1374">
        <f ca="1">MAX(IF($F19="Yes",(
IF($F19="yes",MMULT(--('Equipment List &amp; Usage'!$J21:$N21&gt;0),--('Weekly Summary'!G$112:G$116))*'Equipment List &amp; Usage'!$C$114,MMULT(--('Equipment List &amp; Usage'!$J21:$N21),--('Weekly Summary'!G$112:G$116))*'Equipment List &amp; Usage'!$C$115)+IF('Equipment List &amp; Usage'!$F20="yes",'Equipment List &amp; Usage'!$C$114,'Equipment List &amp; Usage'!$C$115)*(('Weekly Summary'!G$66*'Equipment List &amp; Usage'!$Q21)+('Weekly Summary'!G$64*'Equipment List &amp; Usage'!$O21)+('Weekly Summary'!G$65*'Equipment List &amp; Usage'!$P21)))+(IF('Equipment List &amp; Usage'!$F21="Yes",'Equipment List &amp; Usage'!$C$114*((('Weekly Summary'!G$131*SelfQuarantine_Mild)+('Weekly Summary'!G$100*SelfQuarantine_Mild)+('Weekly Summary'!G$101*SelfQuarantine_Moderate))),'Equipment List &amp; Usage'!$C$115)*((('Weekly Summary'!G$131*SelfQuarantine_Mild*'Equipment List &amp; Usage'!$W21)+('Weekly Summary'!G$100*SelfQuarantine_Mild*'Equipment List &amp; Usage'!$X21)+('Weekly Summary'!G$101*SelfQuarantine_Moderate*'Equipment List &amp; Usage'!$X21)))+IF('Equipment List &amp; Usage'!$F21="Yes",'Equipment List &amp; Usage'!$C$114*(IF('Equipment List &amp; Usage'!$AA21&gt;0,'Weekly Summary'!G$128,0)+IF('Equipment List &amp; Usage'!$AB21&gt;0,'Weekly Summary'!G$100+'Weekly Summary'!G$101,0)),'Equipment List &amp; Usage'!$C$115*(('Weekly Summary'!G$128*'Equipment List &amp; Usage'!$AA21)+('Weekly Summary'!G$100*'Equipment List &amp; Usage'!$AB21*SelfQuarantine_Mild)+('Weekly Summary'!G$101*'Equipment List &amp; Usage'!$AB21*SelfQuarantine_Moderate)))+IF('Equipment List &amp; Usage'!$F21="Yes",('Equipment List &amp; Usage'!$C$114*(IF('Equipment List &amp; Usage'!$AE21&gt;0,'Weekly Summary'!G$134,0)+IF('Equipment List &amp; Usage'!$AF21&gt;0,'Weekly Summary'!G$135))),'Equipment List &amp; Usage'!$C$115*(('Weekly Summary'!G$134*'Equipment List &amp; Usage'!$AE21)+('Weekly Summary'!G$135*'Equipment List &amp; Usage'!$AF21))))-SUM($I19:L19),
IF($F19="yes",MMULT(--('Equipment List &amp; Usage'!$J21:$N21&gt;0),--('Weekly Summary'!G$112:G$116))*'Equipment List &amp; Usage'!$C$114,MMULT(--('Equipment List &amp; Usage'!$J21:$N21),--('Weekly Summary'!G$112:G$116))*'Equipment List &amp; Usage'!$C$115)+IF('Equipment List &amp; Usage'!$F20="yes",'Equipment List &amp; Usage'!$C$114,'Equipment List &amp; Usage'!$C$115)*(('Weekly Summary'!G$66*'Equipment List &amp; Usage'!$Q21)+('Weekly Summary'!G$64*'Equipment List &amp; Usage'!$O21)+('Weekly Summary'!G$65*'Equipment List &amp; Usage'!$P21))+(IF('Equipment List &amp; Usage'!$F21="Yes",'Equipment List &amp; Usage'!$C$114*((('Weekly Summary'!G$131*SelfQuarantine_Mild)+('Weekly Summary'!G$100*SelfQuarantine_Mild)+('Weekly Summary'!G$101*SelfQuarantine_Moderate))),'Equipment List &amp; Usage'!$C$115)*((('Weekly Summary'!G$131*SelfQuarantine_Mild*'Equipment List &amp; Usage'!$W21)+('Weekly Summary'!G$100*SelfQuarantine_Mild*'Equipment List &amp; Usage'!$X21)+('Weekly Summary'!G$101*SelfQuarantine_Moderate*'Equipment List &amp; Usage'!$X21))))+IF('Equipment List &amp; Usage'!$F21="Yes",'Equipment List &amp; Usage'!$C$114*(IF('Equipment List &amp; Usage'!$AA21&gt;0,'Weekly Summary'!G$128,0)+IF('Equipment List &amp; Usage'!$AB21&gt;0,'Weekly Summary'!G$100+'Weekly Summary'!G$101,0)),'Equipment List &amp; Usage'!$C$115*(('Weekly Summary'!G$128*'Equipment List &amp; Usage'!$AA21)+('Weekly Summary'!G$100*'Equipment List &amp; Usage'!$AB21*SelfQuarantine_Mild)+('Weekly Summary'!G$101*'Equipment List &amp; Usage'!$AB21*SelfQuarantine_Moderate)))+IF('Equipment List &amp; Usage'!$F21="Yes",('Equipment List &amp; Usage'!$C$114*(IF('Equipment List &amp; Usage'!$AE21&gt;0,'Weekly Summary'!G$134,0)+IF('Equipment List &amp; Usage'!$AF21&gt;0,'Weekly Summary'!G$135))),'Equipment List &amp; Usage'!$C$115*(('Weekly Summary'!G$134*'Equipment List &amp; Usage'!$AE21)+('Weekly Summary'!G$135*'Equipment List &amp; Usage'!$AF21)))),0)</f>
        <v>19.066261531882354</v>
      </c>
      <c r="N19" s="1374">
        <f ca="1">MAX(IF($F19="Yes",(
IF($F19="yes",MMULT(--('Equipment List &amp; Usage'!$J21:$N21&gt;0),--('Weekly Summary'!H$112:H$116))*'Equipment List &amp; Usage'!$C$114,MMULT(--('Equipment List &amp; Usage'!$J21:$N21),--('Weekly Summary'!H$112:H$116))*'Equipment List &amp; Usage'!$C$115)+IF('Equipment List &amp; Usage'!$F20="yes",'Equipment List &amp; Usage'!$C$114,'Equipment List &amp; Usage'!$C$115)*(('Weekly Summary'!H$66*'Equipment List &amp; Usage'!$Q21)+('Weekly Summary'!H$64*'Equipment List &amp; Usage'!$O21)+('Weekly Summary'!H$65*'Equipment List &amp; Usage'!$P21)))+(IF('Equipment List &amp; Usage'!$F21="Yes",'Equipment List &amp; Usage'!$C$114*((('Weekly Summary'!H$131*SelfQuarantine_Mild)+('Weekly Summary'!H$100*SelfQuarantine_Mild)+('Weekly Summary'!H$101*SelfQuarantine_Moderate))),'Equipment List &amp; Usage'!$C$115)*((('Weekly Summary'!H$131*SelfQuarantine_Mild*'Equipment List &amp; Usage'!$W21)+('Weekly Summary'!H$100*SelfQuarantine_Mild*'Equipment List &amp; Usage'!$X21)+('Weekly Summary'!H$101*SelfQuarantine_Moderate*'Equipment List &amp; Usage'!$X21)))+IF('Equipment List &amp; Usage'!$F21="Yes",'Equipment List &amp; Usage'!$C$114*(IF('Equipment List &amp; Usage'!$AA21&gt;0,'Weekly Summary'!H$128,0)+IF('Equipment List &amp; Usage'!$AB21&gt;0,'Weekly Summary'!H$100+'Weekly Summary'!H$101,0)),'Equipment List &amp; Usage'!$C$115*(('Weekly Summary'!H$128*'Equipment List &amp; Usage'!$AA21)+('Weekly Summary'!H$100*'Equipment List &amp; Usage'!$AB21*SelfQuarantine_Mild)+('Weekly Summary'!H$101*'Equipment List &amp; Usage'!$AB21*SelfQuarantine_Moderate)))+IF('Equipment List &amp; Usage'!$F21="Yes",('Equipment List &amp; Usage'!$C$114*(IF('Equipment List &amp; Usage'!$AE21&gt;0,'Weekly Summary'!H$134,0)+IF('Equipment List &amp; Usage'!$AF21&gt;0,'Weekly Summary'!H$135))),'Equipment List &amp; Usage'!$C$115*(('Weekly Summary'!H$134*'Equipment List &amp; Usage'!$AE21)+('Weekly Summary'!H$135*'Equipment List &amp; Usage'!$AF21))))-SUM($I19:M19),
IF($F19="yes",MMULT(--('Equipment List &amp; Usage'!$J21:$N21&gt;0),--('Weekly Summary'!H$112:H$116))*'Equipment List &amp; Usage'!$C$114,MMULT(--('Equipment List &amp; Usage'!$J21:$N21),--('Weekly Summary'!H$112:H$116))*'Equipment List &amp; Usage'!$C$115)+IF('Equipment List &amp; Usage'!$F20="yes",'Equipment List &amp; Usage'!$C$114,'Equipment List &amp; Usage'!$C$115)*(('Weekly Summary'!H$66*'Equipment List &amp; Usage'!$Q21)+('Weekly Summary'!H$64*'Equipment List &amp; Usage'!$O21)+('Weekly Summary'!H$65*'Equipment List &amp; Usage'!$P21))+(IF('Equipment List &amp; Usage'!$F21="Yes",'Equipment List &amp; Usage'!$C$114*((('Weekly Summary'!H$131*SelfQuarantine_Mild)+('Weekly Summary'!H$100*SelfQuarantine_Mild)+('Weekly Summary'!H$101*SelfQuarantine_Moderate))),'Equipment List &amp; Usage'!$C$115)*((('Weekly Summary'!H$131*SelfQuarantine_Mild*'Equipment List &amp; Usage'!$W21)+('Weekly Summary'!H$100*SelfQuarantine_Mild*'Equipment List &amp; Usage'!$X21)+('Weekly Summary'!H$101*SelfQuarantine_Moderate*'Equipment List &amp; Usage'!$X21))))+IF('Equipment List &amp; Usage'!$F21="Yes",'Equipment List &amp; Usage'!$C$114*(IF('Equipment List &amp; Usage'!$AA21&gt;0,'Weekly Summary'!H$128,0)+IF('Equipment List &amp; Usage'!$AB21&gt;0,'Weekly Summary'!H$100+'Weekly Summary'!H$101,0)),'Equipment List &amp; Usage'!$C$115*(('Weekly Summary'!H$128*'Equipment List &amp; Usage'!$AA21)+('Weekly Summary'!H$100*'Equipment List &amp; Usage'!$AB21*SelfQuarantine_Mild)+('Weekly Summary'!H$101*'Equipment List &amp; Usage'!$AB21*SelfQuarantine_Moderate)))+IF('Equipment List &amp; Usage'!$F21="Yes",('Equipment List &amp; Usage'!$C$114*(IF('Equipment List &amp; Usage'!$AE21&gt;0,'Weekly Summary'!H$134,0)+IF('Equipment List &amp; Usage'!$AF21&gt;0,'Weekly Summary'!H$135))),'Equipment List &amp; Usage'!$C$115*(('Weekly Summary'!H$134*'Equipment List &amp; Usage'!$AE21)+('Weekly Summary'!H$135*'Equipment List &amp; Usage'!$AF21)))),0)</f>
        <v>66.517848364880081</v>
      </c>
      <c r="O19" s="1374">
        <f ca="1">MAX(IF($F19="Yes",(
IF($F19="yes",MMULT(--('Equipment List &amp; Usage'!$J21:$N21&gt;0),--('Weekly Summary'!I$112:I$116))*'Equipment List &amp; Usage'!$C$114,MMULT(--('Equipment List &amp; Usage'!$J21:$N21),--('Weekly Summary'!I$112:I$116))*'Equipment List &amp; Usage'!$C$115)+IF('Equipment List &amp; Usage'!$F20="yes",'Equipment List &amp; Usage'!$C$114,'Equipment List &amp; Usage'!$C$115)*(('Weekly Summary'!I$66*'Equipment List &amp; Usage'!$Q21)+('Weekly Summary'!I$64*'Equipment List &amp; Usage'!$O21)+('Weekly Summary'!I$65*'Equipment List &amp; Usage'!$P21)))+(IF('Equipment List &amp; Usage'!$F21="Yes",'Equipment List &amp; Usage'!$C$114*((('Weekly Summary'!I$131*SelfQuarantine_Mild)+('Weekly Summary'!I$100*SelfQuarantine_Mild)+('Weekly Summary'!I$101*SelfQuarantine_Moderate))),'Equipment List &amp; Usage'!$C$115)*((('Weekly Summary'!I$131*SelfQuarantine_Mild*'Equipment List &amp; Usage'!$W21)+('Weekly Summary'!I$100*SelfQuarantine_Mild*'Equipment List &amp; Usage'!$X21)+('Weekly Summary'!I$101*SelfQuarantine_Moderate*'Equipment List &amp; Usage'!$X21)))+IF('Equipment List &amp; Usage'!$F21="Yes",'Equipment List &amp; Usage'!$C$114*(IF('Equipment List &amp; Usage'!$AA21&gt;0,'Weekly Summary'!I$128,0)+IF('Equipment List &amp; Usage'!$AB21&gt;0,'Weekly Summary'!I$100+'Weekly Summary'!I$101,0)),'Equipment List &amp; Usage'!$C$115*(('Weekly Summary'!I$128*'Equipment List &amp; Usage'!$AA21)+('Weekly Summary'!I$100*'Equipment List &amp; Usage'!$AB21*SelfQuarantine_Mild)+('Weekly Summary'!I$101*'Equipment List &amp; Usage'!$AB21*SelfQuarantine_Moderate)))+IF('Equipment List &amp; Usage'!$F21="Yes",('Equipment List &amp; Usage'!$C$114*(IF('Equipment List &amp; Usage'!$AE21&gt;0,'Weekly Summary'!I$134,0)+IF('Equipment List &amp; Usage'!$AF21&gt;0,'Weekly Summary'!I$135))),'Equipment List &amp; Usage'!$C$115*(('Weekly Summary'!I$134*'Equipment List &amp; Usage'!$AE21)+('Weekly Summary'!I$135*'Equipment List &amp; Usage'!$AF21))))-SUM($I19:N19),
IF($F19="yes",MMULT(--('Equipment List &amp; Usage'!$J21:$N21&gt;0),--('Weekly Summary'!I$112:I$116))*'Equipment List &amp; Usage'!$C$114,MMULT(--('Equipment List &amp; Usage'!$J21:$N21),--('Weekly Summary'!I$112:I$116))*'Equipment List &amp; Usage'!$C$115)+IF('Equipment List &amp; Usage'!$F20="yes",'Equipment List &amp; Usage'!$C$114,'Equipment List &amp; Usage'!$C$115)*(('Weekly Summary'!I$66*'Equipment List &amp; Usage'!$Q21)+('Weekly Summary'!I$64*'Equipment List &amp; Usage'!$O21)+('Weekly Summary'!I$65*'Equipment List &amp; Usage'!$P21))+(IF('Equipment List &amp; Usage'!$F21="Yes",'Equipment List &amp; Usage'!$C$114*((('Weekly Summary'!I$131*SelfQuarantine_Mild)+('Weekly Summary'!I$100*SelfQuarantine_Mild)+('Weekly Summary'!I$101*SelfQuarantine_Moderate))),'Equipment List &amp; Usage'!$C$115)*((('Weekly Summary'!I$131*SelfQuarantine_Mild*'Equipment List &amp; Usage'!$W21)+('Weekly Summary'!I$100*SelfQuarantine_Mild*'Equipment List &amp; Usage'!$X21)+('Weekly Summary'!I$101*SelfQuarantine_Moderate*'Equipment List &amp; Usage'!$X21))))+IF('Equipment List &amp; Usage'!$F21="Yes",'Equipment List &amp; Usage'!$C$114*(IF('Equipment List &amp; Usage'!$AA21&gt;0,'Weekly Summary'!I$128,0)+IF('Equipment List &amp; Usage'!$AB21&gt;0,'Weekly Summary'!I$100+'Weekly Summary'!I$101,0)),'Equipment List &amp; Usage'!$C$115*(('Weekly Summary'!I$128*'Equipment List &amp; Usage'!$AA21)+('Weekly Summary'!I$100*'Equipment List &amp; Usage'!$AB21*SelfQuarantine_Mild)+('Weekly Summary'!I$101*'Equipment List &amp; Usage'!$AB21*SelfQuarantine_Moderate)))+IF('Equipment List &amp; Usage'!$F21="Yes",('Equipment List &amp; Usage'!$C$114*(IF('Equipment List &amp; Usage'!$AE21&gt;0,'Weekly Summary'!I$134,0)+IF('Equipment List &amp; Usage'!$AF21&gt;0,'Weekly Summary'!I$135))),'Equipment List &amp; Usage'!$C$115*(('Weekly Summary'!I$134*'Equipment List &amp; Usage'!$AE21)+('Weekly Summary'!I$135*'Equipment List &amp; Usage'!$AF21)))),0)</f>
        <v>230.1089446984121</v>
      </c>
      <c r="P19" s="1374">
        <f ca="1">MAX(IF($F19="Yes",(
IF($F19="yes",MMULT(--('Equipment List &amp; Usage'!$J21:$N21&gt;0),--('Weekly Summary'!J$112:J$116))*'Equipment List &amp; Usage'!$C$114,MMULT(--('Equipment List &amp; Usage'!$J21:$N21),--('Weekly Summary'!J$112:J$116))*'Equipment List &amp; Usage'!$C$115)+IF('Equipment List &amp; Usage'!$F20="yes",'Equipment List &amp; Usage'!$C$114,'Equipment List &amp; Usage'!$C$115)*(('Weekly Summary'!J$66*'Equipment List &amp; Usage'!$Q21)+('Weekly Summary'!J$64*'Equipment List &amp; Usage'!$O21)+('Weekly Summary'!J$65*'Equipment List &amp; Usage'!$P21)))+(IF('Equipment List &amp; Usage'!$F21="Yes",'Equipment List &amp; Usage'!$C$114*((('Weekly Summary'!J$131*SelfQuarantine_Mild)+('Weekly Summary'!J$100*SelfQuarantine_Mild)+('Weekly Summary'!J$101*SelfQuarantine_Moderate))),'Equipment List &amp; Usage'!$C$115)*((('Weekly Summary'!J$131*SelfQuarantine_Mild*'Equipment List &amp; Usage'!$W21)+('Weekly Summary'!J$100*SelfQuarantine_Mild*'Equipment List &amp; Usage'!$X21)+('Weekly Summary'!J$101*SelfQuarantine_Moderate*'Equipment List &amp; Usage'!$X21)))+IF('Equipment List &amp; Usage'!$F21="Yes",'Equipment List &amp; Usage'!$C$114*(IF('Equipment List &amp; Usage'!$AA21&gt;0,'Weekly Summary'!J$128,0)+IF('Equipment List &amp; Usage'!$AB21&gt;0,'Weekly Summary'!J$100+'Weekly Summary'!J$101,0)),'Equipment List &amp; Usage'!$C$115*(('Weekly Summary'!J$128*'Equipment List &amp; Usage'!$AA21)+('Weekly Summary'!J$100*'Equipment List &amp; Usage'!$AB21*SelfQuarantine_Mild)+('Weekly Summary'!J$101*'Equipment List &amp; Usage'!$AB21*SelfQuarantine_Moderate)))+IF('Equipment List &amp; Usage'!$F21="Yes",('Equipment List &amp; Usage'!$C$114*(IF('Equipment List &amp; Usage'!$AE21&gt;0,'Weekly Summary'!J$134,0)+IF('Equipment List &amp; Usage'!$AF21&gt;0,'Weekly Summary'!J$135))),'Equipment List &amp; Usage'!$C$115*(('Weekly Summary'!J$134*'Equipment List &amp; Usage'!$AE21)+('Weekly Summary'!J$135*'Equipment List &amp; Usage'!$AF21))))-SUM($I19:O19),
IF($F19="yes",MMULT(--('Equipment List &amp; Usage'!$J21:$N21&gt;0),--('Weekly Summary'!J$112:J$116))*'Equipment List &amp; Usage'!$C$114,MMULT(--('Equipment List &amp; Usage'!$J21:$N21),--('Weekly Summary'!J$112:J$116))*'Equipment List &amp; Usage'!$C$115)+IF('Equipment List &amp; Usage'!$F20="yes",'Equipment List &amp; Usage'!$C$114,'Equipment List &amp; Usage'!$C$115)*(('Weekly Summary'!J$66*'Equipment List &amp; Usage'!$Q21)+('Weekly Summary'!J$64*'Equipment List &amp; Usage'!$O21)+('Weekly Summary'!J$65*'Equipment List &amp; Usage'!$P21))+(IF('Equipment List &amp; Usage'!$F21="Yes",'Equipment List &amp; Usage'!$C$114*((('Weekly Summary'!J$131*SelfQuarantine_Mild)+('Weekly Summary'!J$100*SelfQuarantine_Mild)+('Weekly Summary'!J$101*SelfQuarantine_Moderate))),'Equipment List &amp; Usage'!$C$115)*((('Weekly Summary'!J$131*SelfQuarantine_Mild*'Equipment List &amp; Usage'!$W21)+('Weekly Summary'!J$100*SelfQuarantine_Mild*'Equipment List &amp; Usage'!$X21)+('Weekly Summary'!J$101*SelfQuarantine_Moderate*'Equipment List &amp; Usage'!$X21))))+IF('Equipment List &amp; Usage'!$F21="Yes",'Equipment List &amp; Usage'!$C$114*(IF('Equipment List &amp; Usage'!$AA21&gt;0,'Weekly Summary'!J$128,0)+IF('Equipment List &amp; Usage'!$AB21&gt;0,'Weekly Summary'!J$100+'Weekly Summary'!J$101,0)),'Equipment List &amp; Usage'!$C$115*(('Weekly Summary'!J$128*'Equipment List &amp; Usage'!$AA21)+('Weekly Summary'!J$100*'Equipment List &amp; Usage'!$AB21*SelfQuarantine_Mild)+('Weekly Summary'!J$101*'Equipment List &amp; Usage'!$AB21*SelfQuarantine_Moderate)))+IF('Equipment List &amp; Usage'!$F21="Yes",('Equipment List &amp; Usage'!$C$114*(IF('Equipment List &amp; Usage'!$AE21&gt;0,'Weekly Summary'!J$134,0)+IF('Equipment List &amp; Usage'!$AF21&gt;0,'Weekly Summary'!J$135))),'Equipment List &amp; Usage'!$C$115*(('Weekly Summary'!J$134*'Equipment List &amp; Usage'!$AE21)+('Weekly Summary'!J$135*'Equipment List &amp; Usage'!$AF21)))),0)</f>
        <v>789.06576890465112</v>
      </c>
      <c r="Q19" s="1374">
        <f ca="1">MAX(IF($F19="Yes",(
IF($F19="yes",MMULT(--('Equipment List &amp; Usage'!$J21:$N21&gt;0),--('Weekly Summary'!K$112:K$116))*'Equipment List &amp; Usage'!$C$114,MMULT(--('Equipment List &amp; Usage'!$J21:$N21),--('Weekly Summary'!K$112:K$116))*'Equipment List &amp; Usage'!$C$115)+IF('Equipment List &amp; Usage'!$F20="yes",'Equipment List &amp; Usage'!$C$114,'Equipment List &amp; Usage'!$C$115)*(('Weekly Summary'!K$66*'Equipment List &amp; Usage'!$Q21)+('Weekly Summary'!K$64*'Equipment List &amp; Usage'!$O21)+('Weekly Summary'!K$65*'Equipment List &amp; Usage'!$P21)))+(IF('Equipment List &amp; Usage'!$F21="Yes",'Equipment List &amp; Usage'!$C$114*((('Weekly Summary'!K$131*SelfQuarantine_Mild)+('Weekly Summary'!K$100*SelfQuarantine_Mild)+('Weekly Summary'!K$101*SelfQuarantine_Moderate))),'Equipment List &amp; Usage'!$C$115)*((('Weekly Summary'!K$131*SelfQuarantine_Mild*'Equipment List &amp; Usage'!$W21)+('Weekly Summary'!K$100*SelfQuarantine_Mild*'Equipment List &amp; Usage'!$X21)+('Weekly Summary'!K$101*SelfQuarantine_Moderate*'Equipment List &amp; Usage'!$X21)))+IF('Equipment List &amp; Usage'!$F21="Yes",'Equipment List &amp; Usage'!$C$114*(IF('Equipment List &amp; Usage'!$AA21&gt;0,'Weekly Summary'!K$128,0)+IF('Equipment List &amp; Usage'!$AB21&gt;0,'Weekly Summary'!K$100+'Weekly Summary'!K$101,0)),'Equipment List &amp; Usage'!$C$115*(('Weekly Summary'!K$128*'Equipment List &amp; Usage'!$AA21)+('Weekly Summary'!K$100*'Equipment List &amp; Usage'!$AB21*SelfQuarantine_Mild)+('Weekly Summary'!K$101*'Equipment List &amp; Usage'!$AB21*SelfQuarantine_Moderate)))+IF('Equipment List &amp; Usage'!$F21="Yes",('Equipment List &amp; Usage'!$C$114*(IF('Equipment List &amp; Usage'!$AE21&gt;0,'Weekly Summary'!K$134,0)+IF('Equipment List &amp; Usage'!$AF21&gt;0,'Weekly Summary'!K$135))),'Equipment List &amp; Usage'!$C$115*(('Weekly Summary'!K$134*'Equipment List &amp; Usage'!$AE21)+('Weekly Summary'!K$135*'Equipment List &amp; Usage'!$AF21))))-SUM($I19:P19),
IF($F19="yes",MMULT(--('Equipment List &amp; Usage'!$J21:$N21&gt;0),--('Weekly Summary'!K$112:K$116))*'Equipment List &amp; Usage'!$C$114,MMULT(--('Equipment List &amp; Usage'!$J21:$N21),--('Weekly Summary'!K$112:K$116))*'Equipment List &amp; Usage'!$C$115)+IF('Equipment List &amp; Usage'!$F20="yes",'Equipment List &amp; Usage'!$C$114,'Equipment List &amp; Usage'!$C$115)*(('Weekly Summary'!K$66*'Equipment List &amp; Usage'!$Q21)+('Weekly Summary'!K$64*'Equipment List &amp; Usage'!$O21)+('Weekly Summary'!K$65*'Equipment List &amp; Usage'!$P21))+(IF('Equipment List &amp; Usage'!$F21="Yes",'Equipment List &amp; Usage'!$C$114*((('Weekly Summary'!K$131*SelfQuarantine_Mild)+('Weekly Summary'!K$100*SelfQuarantine_Mild)+('Weekly Summary'!K$101*SelfQuarantine_Moderate))),'Equipment List &amp; Usage'!$C$115)*((('Weekly Summary'!K$131*SelfQuarantine_Mild*'Equipment List &amp; Usage'!$W21)+('Weekly Summary'!K$100*SelfQuarantine_Mild*'Equipment List &amp; Usage'!$X21)+('Weekly Summary'!K$101*SelfQuarantine_Moderate*'Equipment List &amp; Usage'!$X21))))+IF('Equipment List &amp; Usage'!$F21="Yes",'Equipment List &amp; Usage'!$C$114*(IF('Equipment List &amp; Usage'!$AA21&gt;0,'Weekly Summary'!K$128,0)+IF('Equipment List &amp; Usage'!$AB21&gt;0,'Weekly Summary'!K$100+'Weekly Summary'!K$101,0)),'Equipment List &amp; Usage'!$C$115*(('Weekly Summary'!K$128*'Equipment List &amp; Usage'!$AA21)+('Weekly Summary'!K$100*'Equipment List &amp; Usage'!$AB21*SelfQuarantine_Mild)+('Weekly Summary'!K$101*'Equipment List &amp; Usage'!$AB21*SelfQuarantine_Moderate)))+IF('Equipment List &amp; Usage'!$F21="Yes",('Equipment List &amp; Usage'!$C$114*(IF('Equipment List &amp; Usage'!$AE21&gt;0,'Weekly Summary'!K$134,0)+IF('Equipment List &amp; Usage'!$AF21&gt;0,'Weekly Summary'!K$135))),'Equipment List &amp; Usage'!$C$115*(('Weekly Summary'!K$134*'Equipment List &amp; Usage'!$AE21)+('Weekly Summary'!K$135*'Equipment List &amp; Usage'!$AF21)))),0)</f>
        <v>0</v>
      </c>
      <c r="R19" s="1374">
        <f ca="1">MAX(IF($F19="Yes",(
IF($F19="yes",MMULT(--('Equipment List &amp; Usage'!$J21:$N21&gt;0),--('Weekly Summary'!L$112:L$116))*'Equipment List &amp; Usage'!$C$114,MMULT(--('Equipment List &amp; Usage'!$J21:$N21),--('Weekly Summary'!L$112:L$116))*'Equipment List &amp; Usage'!$C$115)+IF('Equipment List &amp; Usage'!$F20="yes",'Equipment List &amp; Usage'!$C$114,'Equipment List &amp; Usage'!$C$115)*(('Weekly Summary'!L$66*'Equipment List &amp; Usage'!$Q21)+('Weekly Summary'!L$64*'Equipment List &amp; Usage'!$O21)+('Weekly Summary'!L$65*'Equipment List &amp; Usage'!$P21)))+(IF('Equipment List &amp; Usage'!$F21="Yes",'Equipment List &amp; Usage'!$C$114*((('Weekly Summary'!L$131*SelfQuarantine_Mild)+('Weekly Summary'!L$100*SelfQuarantine_Mild)+('Weekly Summary'!L$101*SelfQuarantine_Moderate))),'Equipment List &amp; Usage'!$C$115)*((('Weekly Summary'!L$131*SelfQuarantine_Mild*'Equipment List &amp; Usage'!$W21)+('Weekly Summary'!L$100*SelfQuarantine_Mild*'Equipment List &amp; Usage'!$X21)+('Weekly Summary'!L$101*SelfQuarantine_Moderate*'Equipment List &amp; Usage'!$X21)))+IF('Equipment List &amp; Usage'!$F21="Yes",'Equipment List &amp; Usage'!$C$114*(IF('Equipment List &amp; Usage'!$AA21&gt;0,'Weekly Summary'!L$128,0)+IF('Equipment List &amp; Usage'!$AB21&gt;0,'Weekly Summary'!L$100+'Weekly Summary'!L$101,0)),'Equipment List &amp; Usage'!$C$115*(('Weekly Summary'!L$128*'Equipment List &amp; Usage'!$AA21)+('Weekly Summary'!L$100*'Equipment List &amp; Usage'!$AB21*SelfQuarantine_Mild)+('Weekly Summary'!L$101*'Equipment List &amp; Usage'!$AB21*SelfQuarantine_Moderate)))+IF('Equipment List &amp; Usage'!$F21="Yes",('Equipment List &amp; Usage'!$C$114*(IF('Equipment List &amp; Usage'!$AE21&gt;0,'Weekly Summary'!L$134,0)+IF('Equipment List &amp; Usage'!$AF21&gt;0,'Weekly Summary'!L$135))),'Equipment List &amp; Usage'!$C$115*(('Weekly Summary'!L$134*'Equipment List &amp; Usage'!$AE21)+('Weekly Summary'!L$135*'Equipment List &amp; Usage'!$AF21))))-SUM($I19:Q19),
IF($F19="yes",MMULT(--('Equipment List &amp; Usage'!$J21:$N21&gt;0),--('Weekly Summary'!L$112:L$116))*'Equipment List &amp; Usage'!$C$114,MMULT(--('Equipment List &amp; Usage'!$J21:$N21),--('Weekly Summary'!L$112:L$116))*'Equipment List &amp; Usage'!$C$115)+IF('Equipment List &amp; Usage'!$F20="yes",'Equipment List &amp; Usage'!$C$114,'Equipment List &amp; Usage'!$C$115)*(('Weekly Summary'!L$66*'Equipment List &amp; Usage'!$Q21)+('Weekly Summary'!L$64*'Equipment List &amp; Usage'!$O21)+('Weekly Summary'!L$65*'Equipment List &amp; Usage'!$P21))+(IF('Equipment List &amp; Usage'!$F21="Yes",'Equipment List &amp; Usage'!$C$114*((('Weekly Summary'!L$131*SelfQuarantine_Mild)+('Weekly Summary'!L$100*SelfQuarantine_Mild)+('Weekly Summary'!L$101*SelfQuarantine_Moderate))),'Equipment List &amp; Usage'!$C$115)*((('Weekly Summary'!L$131*SelfQuarantine_Mild*'Equipment List &amp; Usage'!$W21)+('Weekly Summary'!L$100*SelfQuarantine_Mild*'Equipment List &amp; Usage'!$X21)+('Weekly Summary'!L$101*SelfQuarantine_Moderate*'Equipment List &amp; Usage'!$X21))))+IF('Equipment List &amp; Usage'!$F21="Yes",'Equipment List &amp; Usage'!$C$114*(IF('Equipment List &amp; Usage'!$AA21&gt;0,'Weekly Summary'!L$128,0)+IF('Equipment List &amp; Usage'!$AB21&gt;0,'Weekly Summary'!L$100+'Weekly Summary'!L$101,0)),'Equipment List &amp; Usage'!$C$115*(('Weekly Summary'!L$128*'Equipment List &amp; Usage'!$AA21)+('Weekly Summary'!L$100*'Equipment List &amp; Usage'!$AB21*SelfQuarantine_Mild)+('Weekly Summary'!L$101*'Equipment List &amp; Usage'!$AB21*SelfQuarantine_Moderate)))+IF('Equipment List &amp; Usage'!$F21="Yes",('Equipment List &amp; Usage'!$C$114*(IF('Equipment List &amp; Usage'!$AE21&gt;0,'Weekly Summary'!L$134,0)+IF('Equipment List &amp; Usage'!$AF21&gt;0,'Weekly Summary'!L$135))),'Equipment List &amp; Usage'!$C$115*(('Weekly Summary'!L$134*'Equipment List &amp; Usage'!$AE21)+('Weekly Summary'!L$135*'Equipment List &amp; Usage'!$AF21)))),0)</f>
        <v>0</v>
      </c>
      <c r="S19" s="1374">
        <f ca="1">MAX(IF($F19="Yes",(
IF($F19="yes",MMULT(--('Equipment List &amp; Usage'!$J21:$N21&gt;0),--('Weekly Summary'!M$112:M$116))*'Equipment List &amp; Usage'!$C$114,MMULT(--('Equipment List &amp; Usage'!$J21:$N21),--('Weekly Summary'!M$112:M$116))*'Equipment List &amp; Usage'!$C$115)+IF('Equipment List &amp; Usage'!$F20="yes",'Equipment List &amp; Usage'!$C$114,'Equipment List &amp; Usage'!$C$115)*(('Weekly Summary'!M$66*'Equipment List &amp; Usage'!$Q21)+('Weekly Summary'!M$64*'Equipment List &amp; Usage'!$O21)+('Weekly Summary'!M$65*'Equipment List &amp; Usage'!$P21)))+(IF('Equipment List &amp; Usage'!$F21="Yes",'Equipment List &amp; Usage'!$C$114*((('Weekly Summary'!M$131*SelfQuarantine_Mild)+('Weekly Summary'!M$100*SelfQuarantine_Mild)+('Weekly Summary'!M$101*SelfQuarantine_Moderate))),'Equipment List &amp; Usage'!$C$115)*((('Weekly Summary'!M$131*SelfQuarantine_Mild*'Equipment List &amp; Usage'!$W21)+('Weekly Summary'!M$100*SelfQuarantine_Mild*'Equipment List &amp; Usage'!$X21)+('Weekly Summary'!M$101*SelfQuarantine_Moderate*'Equipment List &amp; Usage'!$X21)))+IF('Equipment List &amp; Usage'!$F21="Yes",'Equipment List &amp; Usage'!$C$114*(IF('Equipment List &amp; Usage'!$AA21&gt;0,'Weekly Summary'!M$128,0)+IF('Equipment List &amp; Usage'!$AB21&gt;0,'Weekly Summary'!M$100+'Weekly Summary'!M$101,0)),'Equipment List &amp; Usage'!$C$115*(('Weekly Summary'!M$128*'Equipment List &amp; Usage'!$AA21)+('Weekly Summary'!M$100*'Equipment List &amp; Usage'!$AB21*SelfQuarantine_Mild)+('Weekly Summary'!M$101*'Equipment List &amp; Usage'!$AB21*SelfQuarantine_Moderate)))+IF('Equipment List &amp; Usage'!$F21="Yes",('Equipment List &amp; Usage'!$C$114*(IF('Equipment List &amp; Usage'!$AE21&gt;0,'Weekly Summary'!M$134,0)+IF('Equipment List &amp; Usage'!$AF21&gt;0,'Weekly Summary'!M$135))),'Equipment List &amp; Usage'!$C$115*(('Weekly Summary'!M$134*'Equipment List &amp; Usage'!$AE21)+('Weekly Summary'!M$135*'Equipment List &amp; Usage'!$AF21))))-SUM($I19:R19),
IF($F19="yes",MMULT(--('Equipment List &amp; Usage'!$J21:$N21&gt;0),--('Weekly Summary'!M$112:M$116))*'Equipment List &amp; Usage'!$C$114,MMULT(--('Equipment List &amp; Usage'!$J21:$N21),--('Weekly Summary'!M$112:M$116))*'Equipment List &amp; Usage'!$C$115)+IF('Equipment List &amp; Usage'!$F20="yes",'Equipment List &amp; Usage'!$C$114,'Equipment List &amp; Usage'!$C$115)*(('Weekly Summary'!M$66*'Equipment List &amp; Usage'!$Q21)+('Weekly Summary'!M$64*'Equipment List &amp; Usage'!$O21)+('Weekly Summary'!M$65*'Equipment List &amp; Usage'!$P21))+(IF('Equipment List &amp; Usage'!$F21="Yes",'Equipment List &amp; Usage'!$C$114*((('Weekly Summary'!M$131*SelfQuarantine_Mild)+('Weekly Summary'!M$100*SelfQuarantine_Mild)+('Weekly Summary'!M$101*SelfQuarantine_Moderate))),'Equipment List &amp; Usage'!$C$115)*((('Weekly Summary'!M$131*SelfQuarantine_Mild*'Equipment List &amp; Usage'!$W21)+('Weekly Summary'!M$100*SelfQuarantine_Mild*'Equipment List &amp; Usage'!$X21)+('Weekly Summary'!M$101*SelfQuarantine_Moderate*'Equipment List &amp; Usage'!$X21))))+IF('Equipment List &amp; Usage'!$F21="Yes",'Equipment List &amp; Usage'!$C$114*(IF('Equipment List &amp; Usage'!$AA21&gt;0,'Weekly Summary'!M$128,0)+IF('Equipment List &amp; Usage'!$AB21&gt;0,'Weekly Summary'!M$100+'Weekly Summary'!M$101,0)),'Equipment List &amp; Usage'!$C$115*(('Weekly Summary'!M$128*'Equipment List &amp; Usage'!$AA21)+('Weekly Summary'!M$100*'Equipment List &amp; Usage'!$AB21*SelfQuarantine_Mild)+('Weekly Summary'!M$101*'Equipment List &amp; Usage'!$AB21*SelfQuarantine_Moderate)))+IF('Equipment List &amp; Usage'!$F21="Yes",('Equipment List &amp; Usage'!$C$114*(IF('Equipment List &amp; Usage'!$AE21&gt;0,'Weekly Summary'!M$134,0)+IF('Equipment List &amp; Usage'!$AF21&gt;0,'Weekly Summary'!M$135))),'Equipment List &amp; Usage'!$C$115*(('Weekly Summary'!M$134*'Equipment List &amp; Usage'!$AE21)+('Weekly Summary'!M$135*'Equipment List &amp; Usage'!$AF21)))),0)</f>
        <v>0</v>
      </c>
      <c r="T19" s="1374">
        <f ca="1">MAX(IF($F19="Yes",(
IF($F19="yes",MMULT(--('Equipment List &amp; Usage'!$J21:$N21&gt;0),--('Weekly Summary'!N$112:N$116))*'Equipment List &amp; Usage'!$C$114,MMULT(--('Equipment List &amp; Usage'!$J21:$N21),--('Weekly Summary'!N$112:N$116))*'Equipment List &amp; Usage'!$C$115)+IF('Equipment List &amp; Usage'!$F20="yes",'Equipment List &amp; Usage'!$C$114,'Equipment List &amp; Usage'!$C$115)*(('Weekly Summary'!N$66*'Equipment List &amp; Usage'!$Q21)+('Weekly Summary'!N$64*'Equipment List &amp; Usage'!$O21)+('Weekly Summary'!N$65*'Equipment List &amp; Usage'!$P21)))+(IF('Equipment List &amp; Usage'!$F21="Yes",'Equipment List &amp; Usage'!$C$114*((('Weekly Summary'!N$131*SelfQuarantine_Mild)+('Weekly Summary'!N$100*SelfQuarantine_Mild)+('Weekly Summary'!N$101*SelfQuarantine_Moderate))),'Equipment List &amp; Usage'!$C$115)*((('Weekly Summary'!N$131*SelfQuarantine_Mild*'Equipment List &amp; Usage'!$W21)+('Weekly Summary'!N$100*SelfQuarantine_Mild*'Equipment List &amp; Usage'!$X21)+('Weekly Summary'!N$101*SelfQuarantine_Moderate*'Equipment List &amp; Usage'!$X21)))+IF('Equipment List &amp; Usage'!$F21="Yes",'Equipment List &amp; Usage'!$C$114*(IF('Equipment List &amp; Usage'!$AA21&gt;0,'Weekly Summary'!N$128,0)+IF('Equipment List &amp; Usage'!$AB21&gt;0,'Weekly Summary'!N$100+'Weekly Summary'!N$101,0)),'Equipment List &amp; Usage'!$C$115*(('Weekly Summary'!N$128*'Equipment List &amp; Usage'!$AA21)+('Weekly Summary'!N$100*'Equipment List &amp; Usage'!$AB21*SelfQuarantine_Mild)+('Weekly Summary'!N$101*'Equipment List &amp; Usage'!$AB21*SelfQuarantine_Moderate)))+IF('Equipment List &amp; Usage'!$F21="Yes",('Equipment List &amp; Usage'!$C$114*(IF('Equipment List &amp; Usage'!$AE21&gt;0,'Weekly Summary'!N$134,0)+IF('Equipment List &amp; Usage'!$AF21&gt;0,'Weekly Summary'!N$135))),'Equipment List &amp; Usage'!$C$115*(('Weekly Summary'!N$134*'Equipment List &amp; Usage'!$AE21)+('Weekly Summary'!N$135*'Equipment List &amp; Usage'!$AF21))))-SUM($I19:S19),
IF($F19="yes",MMULT(--('Equipment List &amp; Usage'!$J21:$N21&gt;0),--('Weekly Summary'!N$112:N$116))*'Equipment List &amp; Usage'!$C$114,MMULT(--('Equipment List &amp; Usage'!$J21:$N21),--('Weekly Summary'!N$112:N$116))*'Equipment List &amp; Usage'!$C$115)+IF('Equipment List &amp; Usage'!$F20="yes",'Equipment List &amp; Usage'!$C$114,'Equipment List &amp; Usage'!$C$115)*(('Weekly Summary'!N$66*'Equipment List &amp; Usage'!$Q21)+('Weekly Summary'!N$64*'Equipment List &amp; Usage'!$O21)+('Weekly Summary'!N$65*'Equipment List &amp; Usage'!$P21))+(IF('Equipment List &amp; Usage'!$F21="Yes",'Equipment List &amp; Usage'!$C$114*((('Weekly Summary'!N$131*SelfQuarantine_Mild)+('Weekly Summary'!N$100*SelfQuarantine_Mild)+('Weekly Summary'!N$101*SelfQuarantine_Moderate))),'Equipment List &amp; Usage'!$C$115)*((('Weekly Summary'!N$131*SelfQuarantine_Mild*'Equipment List &amp; Usage'!$W21)+('Weekly Summary'!N$100*SelfQuarantine_Mild*'Equipment List &amp; Usage'!$X21)+('Weekly Summary'!N$101*SelfQuarantine_Moderate*'Equipment List &amp; Usage'!$X21))))+IF('Equipment List &amp; Usage'!$F21="Yes",'Equipment List &amp; Usage'!$C$114*(IF('Equipment List &amp; Usage'!$AA21&gt;0,'Weekly Summary'!N$128,0)+IF('Equipment List &amp; Usage'!$AB21&gt;0,'Weekly Summary'!N$100+'Weekly Summary'!N$101,0)),'Equipment List &amp; Usage'!$C$115*(('Weekly Summary'!N$128*'Equipment List &amp; Usage'!$AA21)+('Weekly Summary'!N$100*'Equipment List &amp; Usage'!$AB21*SelfQuarantine_Mild)+('Weekly Summary'!N$101*'Equipment List &amp; Usage'!$AB21*SelfQuarantine_Moderate)))+IF('Equipment List &amp; Usage'!$F21="Yes",('Equipment List &amp; Usage'!$C$114*(IF('Equipment List &amp; Usage'!$AE21&gt;0,'Weekly Summary'!N$134,0)+IF('Equipment List &amp; Usage'!$AF21&gt;0,'Weekly Summary'!N$135))),'Equipment List &amp; Usage'!$C$115*(('Weekly Summary'!N$134*'Equipment List &amp; Usage'!$AE21)+('Weekly Summary'!N$135*'Equipment List &amp; Usage'!$AF21)))),0)</f>
        <v>0</v>
      </c>
      <c r="U19" s="1374">
        <f ca="1">MAX(IF($F19="Yes",(
IF($F19="yes",MMULT(--('Equipment List &amp; Usage'!$J21:$N21&gt;0),--('Weekly Summary'!O$112:O$116))*'Equipment List &amp; Usage'!$C$114,MMULT(--('Equipment List &amp; Usage'!$J21:$N21),--('Weekly Summary'!O$112:O$116))*'Equipment List &amp; Usage'!$C$115)+IF('Equipment List &amp; Usage'!$F20="yes",'Equipment List &amp; Usage'!$C$114,'Equipment List &amp; Usage'!$C$115)*(('Weekly Summary'!O$66*'Equipment List &amp; Usage'!$Q21)+('Weekly Summary'!O$64*'Equipment List &amp; Usage'!$O21)+('Weekly Summary'!O$65*'Equipment List &amp; Usage'!$P21)))+(IF('Equipment List &amp; Usage'!$F21="Yes",'Equipment List &amp; Usage'!$C$114*((('Weekly Summary'!O$131*SelfQuarantine_Mild)+('Weekly Summary'!O$100*SelfQuarantine_Mild)+('Weekly Summary'!O$101*SelfQuarantine_Moderate))),'Equipment List &amp; Usage'!$C$115)*((('Weekly Summary'!O$131*SelfQuarantine_Mild*'Equipment List &amp; Usage'!$W21)+('Weekly Summary'!O$100*SelfQuarantine_Mild*'Equipment List &amp; Usage'!$X21)+('Weekly Summary'!O$101*SelfQuarantine_Moderate*'Equipment List &amp; Usage'!$X21)))+IF('Equipment List &amp; Usage'!$F21="Yes",'Equipment List &amp; Usage'!$C$114*(IF('Equipment List &amp; Usage'!$AA21&gt;0,'Weekly Summary'!O$128,0)+IF('Equipment List &amp; Usage'!$AB21&gt;0,'Weekly Summary'!O$100+'Weekly Summary'!O$101,0)),'Equipment List &amp; Usage'!$C$115*(('Weekly Summary'!O$128*'Equipment List &amp; Usage'!$AA21)+('Weekly Summary'!O$100*'Equipment List &amp; Usage'!$AB21*SelfQuarantine_Mild)+('Weekly Summary'!O$101*'Equipment List &amp; Usage'!$AB21*SelfQuarantine_Moderate)))+IF('Equipment List &amp; Usage'!$F21="Yes",('Equipment List &amp; Usage'!$C$114*(IF('Equipment List &amp; Usage'!$AE21&gt;0,'Weekly Summary'!O$134,0)+IF('Equipment List &amp; Usage'!$AF21&gt;0,'Weekly Summary'!O$135))),'Equipment List &amp; Usage'!$C$115*(('Weekly Summary'!O$134*'Equipment List &amp; Usage'!$AE21)+('Weekly Summary'!O$135*'Equipment List &amp; Usage'!$AF21))))-SUM($I19:T19),
IF($F19="yes",MMULT(--('Equipment List &amp; Usage'!$J21:$N21&gt;0),--('Weekly Summary'!O$112:O$116))*'Equipment List &amp; Usage'!$C$114,MMULT(--('Equipment List &amp; Usage'!$J21:$N21),--('Weekly Summary'!O$112:O$116))*'Equipment List &amp; Usage'!$C$115)+IF('Equipment List &amp; Usage'!$F20="yes",'Equipment List &amp; Usage'!$C$114,'Equipment List &amp; Usage'!$C$115)*(('Weekly Summary'!O$66*'Equipment List &amp; Usage'!$Q21)+('Weekly Summary'!O$64*'Equipment List &amp; Usage'!$O21)+('Weekly Summary'!O$65*'Equipment List &amp; Usage'!$P21))+(IF('Equipment List &amp; Usage'!$F21="Yes",'Equipment List &amp; Usage'!$C$114*((('Weekly Summary'!O$131*SelfQuarantine_Mild)+('Weekly Summary'!O$100*SelfQuarantine_Mild)+('Weekly Summary'!O$101*SelfQuarantine_Moderate))),'Equipment List &amp; Usage'!$C$115)*((('Weekly Summary'!O$131*SelfQuarantine_Mild*'Equipment List &amp; Usage'!$W21)+('Weekly Summary'!O$100*SelfQuarantine_Mild*'Equipment List &amp; Usage'!$X21)+('Weekly Summary'!O$101*SelfQuarantine_Moderate*'Equipment List &amp; Usage'!$X21))))+IF('Equipment List &amp; Usage'!$F21="Yes",'Equipment List &amp; Usage'!$C$114*(IF('Equipment List &amp; Usage'!$AA21&gt;0,'Weekly Summary'!O$128,0)+IF('Equipment List &amp; Usage'!$AB21&gt;0,'Weekly Summary'!O$100+'Weekly Summary'!O$101,0)),'Equipment List &amp; Usage'!$C$115*(('Weekly Summary'!O$128*'Equipment List &amp; Usage'!$AA21)+('Weekly Summary'!O$100*'Equipment List &amp; Usage'!$AB21*SelfQuarantine_Mild)+('Weekly Summary'!O$101*'Equipment List &amp; Usage'!$AB21*SelfQuarantine_Moderate)))+IF('Equipment List &amp; Usage'!$F21="Yes",('Equipment List &amp; Usage'!$C$114*(IF('Equipment List &amp; Usage'!$AE21&gt;0,'Weekly Summary'!O$134,0)+IF('Equipment List &amp; Usage'!$AF21&gt;0,'Weekly Summary'!O$135))),'Equipment List &amp; Usage'!$C$115*(('Weekly Summary'!O$134*'Equipment List &amp; Usage'!$AE21)+('Weekly Summary'!O$135*'Equipment List &amp; Usage'!$AF21)))),0)</f>
        <v>0</v>
      </c>
      <c r="V19" s="1374">
        <f ca="1">MAX(IF($F19="Yes",(
IF($F19="yes",MMULT(--('Equipment List &amp; Usage'!$J21:$N21&gt;0),--('Weekly Summary'!P$112:P$116))*'Equipment List &amp; Usage'!$C$114,MMULT(--('Equipment List &amp; Usage'!$J21:$N21),--('Weekly Summary'!P$112:P$116))*'Equipment List &amp; Usage'!$C$115)+IF('Equipment List &amp; Usage'!$F20="yes",'Equipment List &amp; Usage'!$C$114,'Equipment List &amp; Usage'!$C$115)*(('Weekly Summary'!P$66*'Equipment List &amp; Usage'!$Q21)+('Weekly Summary'!P$64*'Equipment List &amp; Usage'!$O21)+('Weekly Summary'!P$65*'Equipment List &amp; Usage'!$P21)))+(IF('Equipment List &amp; Usage'!$F21="Yes",'Equipment List &amp; Usage'!$C$114*((('Weekly Summary'!P$131*SelfQuarantine_Mild)+('Weekly Summary'!P$100*SelfQuarantine_Mild)+('Weekly Summary'!P$101*SelfQuarantine_Moderate))),'Equipment List &amp; Usage'!$C$115)*((('Weekly Summary'!P$131*SelfQuarantine_Mild*'Equipment List &amp; Usage'!$W21)+('Weekly Summary'!P$100*SelfQuarantine_Mild*'Equipment List &amp; Usage'!$X21)+('Weekly Summary'!P$101*SelfQuarantine_Moderate*'Equipment List &amp; Usage'!$X21)))+IF('Equipment List &amp; Usage'!$F21="Yes",'Equipment List &amp; Usage'!$C$114*(IF('Equipment List &amp; Usage'!$AA21&gt;0,'Weekly Summary'!P$128,0)+IF('Equipment List &amp; Usage'!$AB21&gt;0,'Weekly Summary'!P$100+'Weekly Summary'!P$101,0)),'Equipment List &amp; Usage'!$C$115*(('Weekly Summary'!P$128*'Equipment List &amp; Usage'!$AA21)+('Weekly Summary'!P$100*'Equipment List &amp; Usage'!$AB21*SelfQuarantine_Mild)+('Weekly Summary'!P$101*'Equipment List &amp; Usage'!$AB21*SelfQuarantine_Moderate)))+IF('Equipment List &amp; Usage'!$F21="Yes",('Equipment List &amp; Usage'!$C$114*(IF('Equipment List &amp; Usage'!$AE21&gt;0,'Weekly Summary'!P$134,0)+IF('Equipment List &amp; Usage'!$AF21&gt;0,'Weekly Summary'!P$135))),'Equipment List &amp; Usage'!$C$115*(('Weekly Summary'!P$134*'Equipment List &amp; Usage'!$AE21)+('Weekly Summary'!P$135*'Equipment List &amp; Usage'!$AF21))))-SUM($I19:U19),
IF($F19="yes",MMULT(--('Equipment List &amp; Usage'!$J21:$N21&gt;0),--('Weekly Summary'!P$112:P$116))*'Equipment List &amp; Usage'!$C$114,MMULT(--('Equipment List &amp; Usage'!$J21:$N21),--('Weekly Summary'!P$112:P$116))*'Equipment List &amp; Usage'!$C$115)+IF('Equipment List &amp; Usage'!$F20="yes",'Equipment List &amp; Usage'!$C$114,'Equipment List &amp; Usage'!$C$115)*(('Weekly Summary'!P$66*'Equipment List &amp; Usage'!$Q21)+('Weekly Summary'!P$64*'Equipment List &amp; Usage'!$O21)+('Weekly Summary'!P$65*'Equipment List &amp; Usage'!$P21))+(IF('Equipment List &amp; Usage'!$F21="Yes",'Equipment List &amp; Usage'!$C$114*((('Weekly Summary'!P$131*SelfQuarantine_Mild)+('Weekly Summary'!P$100*SelfQuarantine_Mild)+('Weekly Summary'!P$101*SelfQuarantine_Moderate))),'Equipment List &amp; Usage'!$C$115)*((('Weekly Summary'!P$131*SelfQuarantine_Mild*'Equipment List &amp; Usage'!$W21)+('Weekly Summary'!P$100*SelfQuarantine_Mild*'Equipment List &amp; Usage'!$X21)+('Weekly Summary'!P$101*SelfQuarantine_Moderate*'Equipment List &amp; Usage'!$X21))))+IF('Equipment List &amp; Usage'!$F21="Yes",'Equipment List &amp; Usage'!$C$114*(IF('Equipment List &amp; Usage'!$AA21&gt;0,'Weekly Summary'!P$128,0)+IF('Equipment List &amp; Usage'!$AB21&gt;0,'Weekly Summary'!P$100+'Weekly Summary'!P$101,0)),'Equipment List &amp; Usage'!$C$115*(('Weekly Summary'!P$128*'Equipment List &amp; Usage'!$AA21)+('Weekly Summary'!P$100*'Equipment List &amp; Usage'!$AB21*SelfQuarantine_Mild)+('Weekly Summary'!P$101*'Equipment List &amp; Usage'!$AB21*SelfQuarantine_Moderate)))+IF('Equipment List &amp; Usage'!$F21="Yes",('Equipment List &amp; Usage'!$C$114*(IF('Equipment List &amp; Usage'!$AE21&gt;0,'Weekly Summary'!P$134,0)+IF('Equipment List &amp; Usage'!$AF21&gt;0,'Weekly Summary'!P$135))),'Equipment List &amp; Usage'!$C$115*(('Weekly Summary'!P$134*'Equipment List &amp; Usage'!$AE21)+('Weekly Summary'!P$135*'Equipment List &amp; Usage'!$AF21)))),0)</f>
        <v>0</v>
      </c>
      <c r="W19" s="1374">
        <f ca="1">MAX(IF($F19="Yes",(
IF($F19="yes",MMULT(--('Equipment List &amp; Usage'!$J21:$N21&gt;0),--('Weekly Summary'!Q$112:Q$116))*'Equipment List &amp; Usage'!$C$114,MMULT(--('Equipment List &amp; Usage'!$J21:$N21),--('Weekly Summary'!Q$112:Q$116))*'Equipment List &amp; Usage'!$C$115)+IF('Equipment List &amp; Usage'!$F20="yes",'Equipment List &amp; Usage'!$C$114,'Equipment List &amp; Usage'!$C$115)*(('Weekly Summary'!Q$66*'Equipment List &amp; Usage'!$Q21)+('Weekly Summary'!Q$64*'Equipment List &amp; Usage'!$O21)+('Weekly Summary'!Q$65*'Equipment List &amp; Usage'!$P21)))+(IF('Equipment List &amp; Usage'!$F21="Yes",'Equipment List &amp; Usage'!$C$114*((('Weekly Summary'!Q$131*SelfQuarantine_Mild)+('Weekly Summary'!Q$100*SelfQuarantine_Mild)+('Weekly Summary'!Q$101*SelfQuarantine_Moderate))),'Equipment List &amp; Usage'!$C$115)*((('Weekly Summary'!Q$131*SelfQuarantine_Mild*'Equipment List &amp; Usage'!$W21)+('Weekly Summary'!Q$100*SelfQuarantine_Mild*'Equipment List &amp; Usage'!$X21)+('Weekly Summary'!Q$101*SelfQuarantine_Moderate*'Equipment List &amp; Usage'!$X21)))+IF('Equipment List &amp; Usage'!$F21="Yes",'Equipment List &amp; Usage'!$C$114*(IF('Equipment List &amp; Usage'!$AA21&gt;0,'Weekly Summary'!Q$128,0)+IF('Equipment List &amp; Usage'!$AB21&gt;0,'Weekly Summary'!Q$100+'Weekly Summary'!Q$101,0)),'Equipment List &amp; Usage'!$C$115*(('Weekly Summary'!Q$128*'Equipment List &amp; Usage'!$AA21)+('Weekly Summary'!Q$100*'Equipment List &amp; Usage'!$AB21*SelfQuarantine_Mild)+('Weekly Summary'!Q$101*'Equipment List &amp; Usage'!$AB21*SelfQuarantine_Moderate)))+IF('Equipment List &amp; Usage'!$F21="Yes",('Equipment List &amp; Usage'!$C$114*(IF('Equipment List &amp; Usage'!$AE21&gt;0,'Weekly Summary'!Q$134,0)+IF('Equipment List &amp; Usage'!$AF21&gt;0,'Weekly Summary'!Q$135))),'Equipment List &amp; Usage'!$C$115*(('Weekly Summary'!Q$134*'Equipment List &amp; Usage'!$AE21)+('Weekly Summary'!Q$135*'Equipment List &amp; Usage'!$AF21))))-SUM($I19:V19),
IF($F19="yes",MMULT(--('Equipment List &amp; Usage'!$J21:$N21&gt;0),--('Weekly Summary'!Q$112:Q$116))*'Equipment List &amp; Usage'!$C$114,MMULT(--('Equipment List &amp; Usage'!$J21:$N21),--('Weekly Summary'!Q$112:Q$116))*'Equipment List &amp; Usage'!$C$115)+IF('Equipment List &amp; Usage'!$F20="yes",'Equipment List &amp; Usage'!$C$114,'Equipment List &amp; Usage'!$C$115)*(('Weekly Summary'!Q$66*'Equipment List &amp; Usage'!$Q21)+('Weekly Summary'!Q$64*'Equipment List &amp; Usage'!$O21)+('Weekly Summary'!Q$65*'Equipment List &amp; Usage'!$P21))+(IF('Equipment List &amp; Usage'!$F21="Yes",'Equipment List &amp; Usage'!$C$114*((('Weekly Summary'!Q$131*SelfQuarantine_Mild)+('Weekly Summary'!Q$100*SelfQuarantine_Mild)+('Weekly Summary'!Q$101*SelfQuarantine_Moderate))),'Equipment List &amp; Usage'!$C$115)*((('Weekly Summary'!Q$131*SelfQuarantine_Mild*'Equipment List &amp; Usage'!$W21)+('Weekly Summary'!Q$100*SelfQuarantine_Mild*'Equipment List &amp; Usage'!$X21)+('Weekly Summary'!Q$101*SelfQuarantine_Moderate*'Equipment List &amp; Usage'!$X21))))+IF('Equipment List &amp; Usage'!$F21="Yes",'Equipment List &amp; Usage'!$C$114*(IF('Equipment List &amp; Usage'!$AA21&gt;0,'Weekly Summary'!Q$128,0)+IF('Equipment List &amp; Usage'!$AB21&gt;0,'Weekly Summary'!Q$100+'Weekly Summary'!Q$101,0)),'Equipment List &amp; Usage'!$C$115*(('Weekly Summary'!Q$128*'Equipment List &amp; Usage'!$AA21)+('Weekly Summary'!Q$100*'Equipment List &amp; Usage'!$AB21*SelfQuarantine_Mild)+('Weekly Summary'!Q$101*'Equipment List &amp; Usage'!$AB21*SelfQuarantine_Moderate)))+IF('Equipment List &amp; Usage'!$F21="Yes",('Equipment List &amp; Usage'!$C$114*(IF('Equipment List &amp; Usage'!$AE21&gt;0,'Weekly Summary'!Q$134,0)+IF('Equipment List &amp; Usage'!$AF21&gt;0,'Weekly Summary'!Q$135))),'Equipment List &amp; Usage'!$C$115*(('Weekly Summary'!Q$134*'Equipment List &amp; Usage'!$AE21)+('Weekly Summary'!Q$135*'Equipment List &amp; Usage'!$AF21)))),0)</f>
        <v>0</v>
      </c>
      <c r="X19" s="1374">
        <f ca="1">MAX(IF($F19="Yes",(
IF($F19="yes",MMULT(--('Equipment List &amp; Usage'!$J21:$N21&gt;0),--('Weekly Summary'!R$112:R$116))*'Equipment List &amp; Usage'!$C$114,MMULT(--('Equipment List &amp; Usage'!$J21:$N21),--('Weekly Summary'!R$112:R$116))*'Equipment List &amp; Usage'!$C$115)+IF('Equipment List &amp; Usage'!$F20="yes",'Equipment List &amp; Usage'!$C$114,'Equipment List &amp; Usage'!$C$115)*(('Weekly Summary'!R$66*'Equipment List &amp; Usage'!$Q21)+('Weekly Summary'!R$64*'Equipment List &amp; Usage'!$O21)+('Weekly Summary'!R$65*'Equipment List &amp; Usage'!$P21)))+(IF('Equipment List &amp; Usage'!$F21="Yes",'Equipment List &amp; Usage'!$C$114*((('Weekly Summary'!R$131*SelfQuarantine_Mild)+('Weekly Summary'!R$100*SelfQuarantine_Mild)+('Weekly Summary'!R$101*SelfQuarantine_Moderate))),'Equipment List &amp; Usage'!$C$115)*((('Weekly Summary'!R$131*SelfQuarantine_Mild*'Equipment List &amp; Usage'!$W21)+('Weekly Summary'!R$100*SelfQuarantine_Mild*'Equipment List &amp; Usage'!$X21)+('Weekly Summary'!R$101*SelfQuarantine_Moderate*'Equipment List &amp; Usage'!$X21)))+IF('Equipment List &amp; Usage'!$F21="Yes",'Equipment List &amp; Usage'!$C$114*(IF('Equipment List &amp; Usage'!$AA21&gt;0,'Weekly Summary'!R$128,0)+IF('Equipment List &amp; Usage'!$AB21&gt;0,'Weekly Summary'!R$100+'Weekly Summary'!R$101,0)),'Equipment List &amp; Usage'!$C$115*(('Weekly Summary'!R$128*'Equipment List &amp; Usage'!$AA21)+('Weekly Summary'!R$100*'Equipment List &amp; Usage'!$AB21*SelfQuarantine_Mild)+('Weekly Summary'!R$101*'Equipment List &amp; Usage'!$AB21*SelfQuarantine_Moderate)))+IF('Equipment List &amp; Usage'!$F21="Yes",('Equipment List &amp; Usage'!$C$114*(IF('Equipment List &amp; Usage'!$AE21&gt;0,'Weekly Summary'!R$134,0)+IF('Equipment List &amp; Usage'!$AF21&gt;0,'Weekly Summary'!R$135))),'Equipment List &amp; Usage'!$C$115*(('Weekly Summary'!R$134*'Equipment List &amp; Usage'!$AE21)+('Weekly Summary'!R$135*'Equipment List &amp; Usage'!$AF21))))-SUM($I19:W19),
IF($F19="yes",MMULT(--('Equipment List &amp; Usage'!$J21:$N21&gt;0),--('Weekly Summary'!R$112:R$116))*'Equipment List &amp; Usage'!$C$114,MMULT(--('Equipment List &amp; Usage'!$J21:$N21),--('Weekly Summary'!R$112:R$116))*'Equipment List &amp; Usage'!$C$115)+IF('Equipment List &amp; Usage'!$F20="yes",'Equipment List &amp; Usage'!$C$114,'Equipment List &amp; Usage'!$C$115)*(('Weekly Summary'!R$66*'Equipment List &amp; Usage'!$Q21)+('Weekly Summary'!R$64*'Equipment List &amp; Usage'!$O21)+('Weekly Summary'!R$65*'Equipment List &amp; Usage'!$P21))+(IF('Equipment List &amp; Usage'!$F21="Yes",'Equipment List &amp; Usage'!$C$114*((('Weekly Summary'!R$131*SelfQuarantine_Mild)+('Weekly Summary'!R$100*SelfQuarantine_Mild)+('Weekly Summary'!R$101*SelfQuarantine_Moderate))),'Equipment List &amp; Usage'!$C$115)*((('Weekly Summary'!R$131*SelfQuarantine_Mild*'Equipment List &amp; Usage'!$W21)+('Weekly Summary'!R$100*SelfQuarantine_Mild*'Equipment List &amp; Usage'!$X21)+('Weekly Summary'!R$101*SelfQuarantine_Moderate*'Equipment List &amp; Usage'!$X21))))+IF('Equipment List &amp; Usage'!$F21="Yes",'Equipment List &amp; Usage'!$C$114*(IF('Equipment List &amp; Usage'!$AA21&gt;0,'Weekly Summary'!R$128,0)+IF('Equipment List &amp; Usage'!$AB21&gt;0,'Weekly Summary'!R$100+'Weekly Summary'!R$101,0)),'Equipment List &amp; Usage'!$C$115*(('Weekly Summary'!R$128*'Equipment List &amp; Usage'!$AA21)+('Weekly Summary'!R$100*'Equipment List &amp; Usage'!$AB21*SelfQuarantine_Mild)+('Weekly Summary'!R$101*'Equipment List &amp; Usage'!$AB21*SelfQuarantine_Moderate)))+IF('Equipment List &amp; Usage'!$F21="Yes",('Equipment List &amp; Usage'!$C$114*(IF('Equipment List &amp; Usage'!$AE21&gt;0,'Weekly Summary'!R$134,0)+IF('Equipment List &amp; Usage'!$AF21&gt;0,'Weekly Summary'!R$135))),'Equipment List &amp; Usage'!$C$115*(('Weekly Summary'!R$134*'Equipment List &amp; Usage'!$AE21)+('Weekly Summary'!R$135*'Equipment List &amp; Usage'!$AF21)))),0)</f>
        <v>0</v>
      </c>
      <c r="Y19" s="1374">
        <f ca="1">MAX(IF($F19="Yes",(
IF($F19="yes",MMULT(--('Equipment List &amp; Usage'!$J21:$N21&gt;0),--('Weekly Summary'!S$112:S$116))*'Equipment List &amp; Usage'!$C$114,MMULT(--('Equipment List &amp; Usage'!$J21:$N21),--('Weekly Summary'!S$112:S$116))*'Equipment List &amp; Usage'!$C$115)+IF('Equipment List &amp; Usage'!$F20="yes",'Equipment List &amp; Usage'!$C$114,'Equipment List &amp; Usage'!$C$115)*(('Weekly Summary'!S$66*'Equipment List &amp; Usage'!$Q21)+('Weekly Summary'!S$64*'Equipment List &amp; Usage'!$O21)+('Weekly Summary'!S$65*'Equipment List &amp; Usage'!$P21)))+(IF('Equipment List &amp; Usage'!$F21="Yes",'Equipment List &amp; Usage'!$C$114*((('Weekly Summary'!S$131*SelfQuarantine_Mild)+('Weekly Summary'!S$100*SelfQuarantine_Mild)+('Weekly Summary'!S$101*SelfQuarantine_Moderate))),'Equipment List &amp; Usage'!$C$115)*((('Weekly Summary'!S$131*SelfQuarantine_Mild*'Equipment List &amp; Usage'!$W21)+('Weekly Summary'!S$100*SelfQuarantine_Mild*'Equipment List &amp; Usage'!$X21)+('Weekly Summary'!S$101*SelfQuarantine_Moderate*'Equipment List &amp; Usage'!$X21)))+IF('Equipment List &amp; Usage'!$F21="Yes",'Equipment List &amp; Usage'!$C$114*(IF('Equipment List &amp; Usage'!$AA21&gt;0,'Weekly Summary'!S$128,0)+IF('Equipment List &amp; Usage'!$AB21&gt;0,'Weekly Summary'!S$100+'Weekly Summary'!S$101,0)),'Equipment List &amp; Usage'!$C$115*(('Weekly Summary'!S$128*'Equipment List &amp; Usage'!$AA21)+('Weekly Summary'!S$100*'Equipment List &amp; Usage'!$AB21*SelfQuarantine_Mild)+('Weekly Summary'!S$101*'Equipment List &amp; Usage'!$AB21*SelfQuarantine_Moderate)))+IF('Equipment List &amp; Usage'!$F21="Yes",('Equipment List &amp; Usage'!$C$114*(IF('Equipment List &amp; Usage'!$AE21&gt;0,'Weekly Summary'!S$134,0)+IF('Equipment List &amp; Usage'!$AF21&gt;0,'Weekly Summary'!S$135))),'Equipment List &amp; Usage'!$C$115*(('Weekly Summary'!S$134*'Equipment List &amp; Usage'!$AE21)+('Weekly Summary'!S$135*'Equipment List &amp; Usage'!$AF21))))-SUM($I19:X19),
IF($F19="yes",MMULT(--('Equipment List &amp; Usage'!$J21:$N21&gt;0),--('Weekly Summary'!S$112:S$116))*'Equipment List &amp; Usage'!$C$114,MMULT(--('Equipment List &amp; Usage'!$J21:$N21),--('Weekly Summary'!S$112:S$116))*'Equipment List &amp; Usage'!$C$115)+IF('Equipment List &amp; Usage'!$F20="yes",'Equipment List &amp; Usage'!$C$114,'Equipment List &amp; Usage'!$C$115)*(('Weekly Summary'!S$66*'Equipment List &amp; Usage'!$Q21)+('Weekly Summary'!S$64*'Equipment List &amp; Usage'!$O21)+('Weekly Summary'!S$65*'Equipment List &amp; Usage'!$P21))+(IF('Equipment List &amp; Usage'!$F21="Yes",'Equipment List &amp; Usage'!$C$114*((('Weekly Summary'!S$131*SelfQuarantine_Mild)+('Weekly Summary'!S$100*SelfQuarantine_Mild)+('Weekly Summary'!S$101*SelfQuarantine_Moderate))),'Equipment List &amp; Usage'!$C$115)*((('Weekly Summary'!S$131*SelfQuarantine_Mild*'Equipment List &amp; Usage'!$W21)+('Weekly Summary'!S$100*SelfQuarantine_Mild*'Equipment List &amp; Usage'!$X21)+('Weekly Summary'!S$101*SelfQuarantine_Moderate*'Equipment List &amp; Usage'!$X21))))+IF('Equipment List &amp; Usage'!$F21="Yes",'Equipment List &amp; Usage'!$C$114*(IF('Equipment List &amp; Usage'!$AA21&gt;0,'Weekly Summary'!S$128,0)+IF('Equipment List &amp; Usage'!$AB21&gt;0,'Weekly Summary'!S$100+'Weekly Summary'!S$101,0)),'Equipment List &amp; Usage'!$C$115*(('Weekly Summary'!S$128*'Equipment List &amp; Usage'!$AA21)+('Weekly Summary'!S$100*'Equipment List &amp; Usage'!$AB21*SelfQuarantine_Mild)+('Weekly Summary'!S$101*'Equipment List &amp; Usage'!$AB21*SelfQuarantine_Moderate)))+IF('Equipment List &amp; Usage'!$F21="Yes",('Equipment List &amp; Usage'!$C$114*(IF('Equipment List &amp; Usage'!$AE21&gt;0,'Weekly Summary'!S$134,0)+IF('Equipment List &amp; Usage'!$AF21&gt;0,'Weekly Summary'!S$135))),'Equipment List &amp; Usage'!$C$115*(('Weekly Summary'!S$134*'Equipment List &amp; Usage'!$AE21)+('Weekly Summary'!S$135*'Equipment List &amp; Usage'!$AF21)))),0)</f>
        <v>0</v>
      </c>
      <c r="Z19" s="1374">
        <f ca="1">MAX(IF($F19="Yes",(
IF($F19="yes",MMULT(--('Equipment List &amp; Usage'!$J21:$N21&gt;0),--('Weekly Summary'!T$112:T$116))*'Equipment List &amp; Usage'!$C$114,MMULT(--('Equipment List &amp; Usage'!$J21:$N21),--('Weekly Summary'!T$112:T$116))*'Equipment List &amp; Usage'!$C$115)+IF('Equipment List &amp; Usage'!$F20="yes",'Equipment List &amp; Usage'!$C$114,'Equipment List &amp; Usage'!$C$115)*(('Weekly Summary'!T$66*'Equipment List &amp; Usage'!$Q21)+('Weekly Summary'!T$64*'Equipment List &amp; Usage'!$O21)+('Weekly Summary'!T$65*'Equipment List &amp; Usage'!$P21)))+(IF('Equipment List &amp; Usage'!$F21="Yes",'Equipment List &amp; Usage'!$C$114*((('Weekly Summary'!T$131*SelfQuarantine_Mild)+('Weekly Summary'!T$100*SelfQuarantine_Mild)+('Weekly Summary'!T$101*SelfQuarantine_Moderate))),'Equipment List &amp; Usage'!$C$115)*((('Weekly Summary'!T$131*SelfQuarantine_Mild*'Equipment List &amp; Usage'!$W21)+('Weekly Summary'!T$100*SelfQuarantine_Mild*'Equipment List &amp; Usage'!$X21)+('Weekly Summary'!T$101*SelfQuarantine_Moderate*'Equipment List &amp; Usage'!$X21)))+IF('Equipment List &amp; Usage'!$F21="Yes",'Equipment List &amp; Usage'!$C$114*(IF('Equipment List &amp; Usage'!$AA21&gt;0,'Weekly Summary'!T$128,0)+IF('Equipment List &amp; Usage'!$AB21&gt;0,'Weekly Summary'!T$100+'Weekly Summary'!T$101,0)),'Equipment List &amp; Usage'!$C$115*(('Weekly Summary'!T$128*'Equipment List &amp; Usage'!$AA21)+('Weekly Summary'!T$100*'Equipment List &amp; Usage'!$AB21*SelfQuarantine_Mild)+('Weekly Summary'!T$101*'Equipment List &amp; Usage'!$AB21*SelfQuarantine_Moderate)))+IF('Equipment List &amp; Usage'!$F21="Yes",('Equipment List &amp; Usage'!$C$114*(IF('Equipment List &amp; Usage'!$AE21&gt;0,'Weekly Summary'!T$134,0)+IF('Equipment List &amp; Usage'!$AF21&gt;0,'Weekly Summary'!T$135))),'Equipment List &amp; Usage'!$C$115*(('Weekly Summary'!T$134*'Equipment List &amp; Usage'!$AE21)+('Weekly Summary'!T$135*'Equipment List &amp; Usage'!$AF21))))-SUM($I19:Y19),
IF($F19="yes",MMULT(--('Equipment List &amp; Usage'!$J21:$N21&gt;0),--('Weekly Summary'!T$112:T$116))*'Equipment List &amp; Usage'!$C$114,MMULT(--('Equipment List &amp; Usage'!$J21:$N21),--('Weekly Summary'!T$112:T$116))*'Equipment List &amp; Usage'!$C$115)+IF('Equipment List &amp; Usage'!$F20="yes",'Equipment List &amp; Usage'!$C$114,'Equipment List &amp; Usage'!$C$115)*(('Weekly Summary'!T$66*'Equipment List &amp; Usage'!$Q21)+('Weekly Summary'!T$64*'Equipment List &amp; Usage'!$O21)+('Weekly Summary'!T$65*'Equipment List &amp; Usage'!$P21))+(IF('Equipment List &amp; Usage'!$F21="Yes",'Equipment List &amp; Usage'!$C$114*((('Weekly Summary'!T$131*SelfQuarantine_Mild)+('Weekly Summary'!T$100*SelfQuarantine_Mild)+('Weekly Summary'!T$101*SelfQuarantine_Moderate))),'Equipment List &amp; Usage'!$C$115)*((('Weekly Summary'!T$131*SelfQuarantine_Mild*'Equipment List &amp; Usage'!$W21)+('Weekly Summary'!T$100*SelfQuarantine_Mild*'Equipment List &amp; Usage'!$X21)+('Weekly Summary'!T$101*SelfQuarantine_Moderate*'Equipment List &amp; Usage'!$X21))))+IF('Equipment List &amp; Usage'!$F21="Yes",'Equipment List &amp; Usage'!$C$114*(IF('Equipment List &amp; Usage'!$AA21&gt;0,'Weekly Summary'!T$128,0)+IF('Equipment List &amp; Usage'!$AB21&gt;0,'Weekly Summary'!T$100+'Weekly Summary'!T$101,0)),'Equipment List &amp; Usage'!$C$115*(('Weekly Summary'!T$128*'Equipment List &amp; Usage'!$AA21)+('Weekly Summary'!T$100*'Equipment List &amp; Usage'!$AB21*SelfQuarantine_Mild)+('Weekly Summary'!T$101*'Equipment List &amp; Usage'!$AB21*SelfQuarantine_Moderate)))+IF('Equipment List &amp; Usage'!$F21="Yes",('Equipment List &amp; Usage'!$C$114*(IF('Equipment List &amp; Usage'!$AE21&gt;0,'Weekly Summary'!T$134,0)+IF('Equipment List &amp; Usage'!$AF21&gt;0,'Weekly Summary'!T$135))),'Equipment List &amp; Usage'!$C$115*(('Weekly Summary'!T$134*'Equipment List &amp; Usage'!$AE21)+('Weekly Summary'!T$135*'Equipment List &amp; Usage'!$AF21)))),0)</f>
        <v>0</v>
      </c>
      <c r="AA19" s="1374">
        <f ca="1">MAX(IF($F19="Yes",(
IF($F19="yes",MMULT(--('Equipment List &amp; Usage'!$J21:$N21&gt;0),--('Weekly Summary'!U$112:U$116))*'Equipment List &amp; Usage'!$C$114,MMULT(--('Equipment List &amp; Usage'!$J21:$N21),--('Weekly Summary'!U$112:U$116))*'Equipment List &amp; Usage'!$C$115)+IF('Equipment List &amp; Usage'!$F20="yes",'Equipment List &amp; Usage'!$C$114,'Equipment List &amp; Usage'!$C$115)*(('Weekly Summary'!U$66*'Equipment List &amp; Usage'!$Q21)+('Weekly Summary'!U$64*'Equipment List &amp; Usage'!$O21)+('Weekly Summary'!U$65*'Equipment List &amp; Usage'!$P21)))+(IF('Equipment List &amp; Usage'!$F21="Yes",'Equipment List &amp; Usage'!$C$114*((('Weekly Summary'!U$131*SelfQuarantine_Mild)+('Weekly Summary'!U$100*SelfQuarantine_Mild)+('Weekly Summary'!U$101*SelfQuarantine_Moderate))),'Equipment List &amp; Usage'!$C$115)*((('Weekly Summary'!U$131*SelfQuarantine_Mild*'Equipment List &amp; Usage'!$W21)+('Weekly Summary'!U$100*SelfQuarantine_Mild*'Equipment List &amp; Usage'!$X21)+('Weekly Summary'!U$101*SelfQuarantine_Moderate*'Equipment List &amp; Usage'!$X21)))+IF('Equipment List &amp; Usage'!$F21="Yes",'Equipment List &amp; Usage'!$C$114*(IF('Equipment List &amp; Usage'!$AA21&gt;0,'Weekly Summary'!U$128,0)+IF('Equipment List &amp; Usage'!$AB21&gt;0,'Weekly Summary'!U$100+'Weekly Summary'!U$101,0)),'Equipment List &amp; Usage'!$C$115*(('Weekly Summary'!U$128*'Equipment List &amp; Usage'!$AA21)+('Weekly Summary'!U$100*'Equipment List &amp; Usage'!$AB21*SelfQuarantine_Mild)+('Weekly Summary'!U$101*'Equipment List &amp; Usage'!$AB21*SelfQuarantine_Moderate)))+IF('Equipment List &amp; Usage'!$F21="Yes",('Equipment List &amp; Usage'!$C$114*(IF('Equipment List &amp; Usage'!$AE21&gt;0,'Weekly Summary'!U$134,0)+IF('Equipment List &amp; Usage'!$AF21&gt;0,'Weekly Summary'!U$135))),'Equipment List &amp; Usage'!$C$115*(('Weekly Summary'!U$134*'Equipment List &amp; Usage'!$AE21)+('Weekly Summary'!U$135*'Equipment List &amp; Usage'!$AF21))))-SUM($I19:Z19),
IF($F19="yes",MMULT(--('Equipment List &amp; Usage'!$J21:$N21&gt;0),--('Weekly Summary'!U$112:U$116))*'Equipment List &amp; Usage'!$C$114,MMULT(--('Equipment List &amp; Usage'!$J21:$N21),--('Weekly Summary'!U$112:U$116))*'Equipment List &amp; Usage'!$C$115)+IF('Equipment List &amp; Usage'!$F20="yes",'Equipment List &amp; Usage'!$C$114,'Equipment List &amp; Usage'!$C$115)*(('Weekly Summary'!U$66*'Equipment List &amp; Usage'!$Q21)+('Weekly Summary'!U$64*'Equipment List &amp; Usage'!$O21)+('Weekly Summary'!U$65*'Equipment List &amp; Usage'!$P21))+(IF('Equipment List &amp; Usage'!$F21="Yes",'Equipment List &amp; Usage'!$C$114*((('Weekly Summary'!U$131*SelfQuarantine_Mild)+('Weekly Summary'!U$100*SelfQuarantine_Mild)+('Weekly Summary'!U$101*SelfQuarantine_Moderate))),'Equipment List &amp; Usage'!$C$115)*((('Weekly Summary'!U$131*SelfQuarantine_Mild*'Equipment List &amp; Usage'!$W21)+('Weekly Summary'!U$100*SelfQuarantine_Mild*'Equipment List &amp; Usage'!$X21)+('Weekly Summary'!U$101*SelfQuarantine_Moderate*'Equipment List &amp; Usage'!$X21))))+IF('Equipment List &amp; Usage'!$F21="Yes",'Equipment List &amp; Usage'!$C$114*(IF('Equipment List &amp; Usage'!$AA21&gt;0,'Weekly Summary'!U$128,0)+IF('Equipment List &amp; Usage'!$AB21&gt;0,'Weekly Summary'!U$100+'Weekly Summary'!U$101,0)),'Equipment List &amp; Usage'!$C$115*(('Weekly Summary'!U$128*'Equipment List &amp; Usage'!$AA21)+('Weekly Summary'!U$100*'Equipment List &amp; Usage'!$AB21*SelfQuarantine_Mild)+('Weekly Summary'!U$101*'Equipment List &amp; Usage'!$AB21*SelfQuarantine_Moderate)))+IF('Equipment List &amp; Usage'!$F21="Yes",('Equipment List &amp; Usage'!$C$114*(IF('Equipment List &amp; Usage'!$AE21&gt;0,'Weekly Summary'!U$134,0)+IF('Equipment List &amp; Usage'!$AF21&gt;0,'Weekly Summary'!U$135))),'Equipment List &amp; Usage'!$C$115*(('Weekly Summary'!U$134*'Equipment List &amp; Usage'!$AE21)+('Weekly Summary'!U$135*'Equipment List &amp; Usage'!$AF21)))),0)</f>
        <v>0</v>
      </c>
      <c r="AB19" s="1374">
        <f ca="1">MAX(IF($F19="Yes",(
IF($F19="yes",MMULT(--('Equipment List &amp; Usage'!$J21:$N21&gt;0),--('Weekly Summary'!V$112:V$116))*'Equipment List &amp; Usage'!$C$114,MMULT(--('Equipment List &amp; Usage'!$J21:$N21),--('Weekly Summary'!V$112:V$116))*'Equipment List &amp; Usage'!$C$115)+IF('Equipment List &amp; Usage'!$F20="yes",'Equipment List &amp; Usage'!$C$114,'Equipment List &amp; Usage'!$C$115)*(('Weekly Summary'!V$66*'Equipment List &amp; Usage'!$Q21)+('Weekly Summary'!V$64*'Equipment List &amp; Usage'!$O21)+('Weekly Summary'!V$65*'Equipment List &amp; Usage'!$P21)))+(IF('Equipment List &amp; Usage'!$F21="Yes",'Equipment List &amp; Usage'!$C$114*((('Weekly Summary'!V$131*SelfQuarantine_Mild)+('Weekly Summary'!V$100*SelfQuarantine_Mild)+('Weekly Summary'!V$101*SelfQuarantine_Moderate))),'Equipment List &amp; Usage'!$C$115)*((('Weekly Summary'!V$131*SelfQuarantine_Mild*'Equipment List &amp; Usage'!$W21)+('Weekly Summary'!V$100*SelfQuarantine_Mild*'Equipment List &amp; Usage'!$X21)+('Weekly Summary'!V$101*SelfQuarantine_Moderate*'Equipment List &amp; Usage'!$X21)))+IF('Equipment List &amp; Usage'!$F21="Yes",'Equipment List &amp; Usage'!$C$114*(IF('Equipment List &amp; Usage'!$AA21&gt;0,'Weekly Summary'!V$128,0)+IF('Equipment List &amp; Usage'!$AB21&gt;0,'Weekly Summary'!V$100+'Weekly Summary'!V$101,0)),'Equipment List &amp; Usage'!$C$115*(('Weekly Summary'!V$128*'Equipment List &amp; Usage'!$AA21)+('Weekly Summary'!V$100*'Equipment List &amp; Usage'!$AB21*SelfQuarantine_Mild)+('Weekly Summary'!V$101*'Equipment List &amp; Usage'!$AB21*SelfQuarantine_Moderate)))+IF('Equipment List &amp; Usage'!$F21="Yes",('Equipment List &amp; Usage'!$C$114*(IF('Equipment List &amp; Usage'!$AE21&gt;0,'Weekly Summary'!V$134,0)+IF('Equipment List &amp; Usage'!$AF21&gt;0,'Weekly Summary'!V$135))),'Equipment List &amp; Usage'!$C$115*(('Weekly Summary'!V$134*'Equipment List &amp; Usage'!$AE21)+('Weekly Summary'!V$135*'Equipment List &amp; Usage'!$AF21))))-SUM($I19:AA19),
IF($F19="yes",MMULT(--('Equipment List &amp; Usage'!$J21:$N21&gt;0),--('Weekly Summary'!V$112:V$116))*'Equipment List &amp; Usage'!$C$114,MMULT(--('Equipment List &amp; Usage'!$J21:$N21),--('Weekly Summary'!V$112:V$116))*'Equipment List &amp; Usage'!$C$115)+IF('Equipment List &amp; Usage'!$F20="yes",'Equipment List &amp; Usage'!$C$114,'Equipment List &amp; Usage'!$C$115)*(('Weekly Summary'!V$66*'Equipment List &amp; Usage'!$Q21)+('Weekly Summary'!V$64*'Equipment List &amp; Usage'!$O21)+('Weekly Summary'!V$65*'Equipment List &amp; Usage'!$P21))+(IF('Equipment List &amp; Usage'!$F21="Yes",'Equipment List &amp; Usage'!$C$114*((('Weekly Summary'!V$131*SelfQuarantine_Mild)+('Weekly Summary'!V$100*SelfQuarantine_Mild)+('Weekly Summary'!V$101*SelfQuarantine_Moderate))),'Equipment List &amp; Usage'!$C$115)*((('Weekly Summary'!V$131*SelfQuarantine_Mild*'Equipment List &amp; Usage'!$W21)+('Weekly Summary'!V$100*SelfQuarantine_Mild*'Equipment List &amp; Usage'!$X21)+('Weekly Summary'!V$101*SelfQuarantine_Moderate*'Equipment List &amp; Usage'!$X21))))+IF('Equipment List &amp; Usage'!$F21="Yes",'Equipment List &amp; Usage'!$C$114*(IF('Equipment List &amp; Usage'!$AA21&gt;0,'Weekly Summary'!V$128,0)+IF('Equipment List &amp; Usage'!$AB21&gt;0,'Weekly Summary'!V$100+'Weekly Summary'!V$101,0)),'Equipment List &amp; Usage'!$C$115*(('Weekly Summary'!V$128*'Equipment List &amp; Usage'!$AA21)+('Weekly Summary'!V$100*'Equipment List &amp; Usage'!$AB21*SelfQuarantine_Mild)+('Weekly Summary'!V$101*'Equipment List &amp; Usage'!$AB21*SelfQuarantine_Moderate)))+IF('Equipment List &amp; Usage'!$F21="Yes",('Equipment List &amp; Usage'!$C$114*(IF('Equipment List &amp; Usage'!$AE21&gt;0,'Weekly Summary'!V$134,0)+IF('Equipment List &amp; Usage'!$AF21&gt;0,'Weekly Summary'!V$135))),'Equipment List &amp; Usage'!$C$115*(('Weekly Summary'!V$134*'Equipment List &amp; Usage'!$AE21)+('Weekly Summary'!V$135*'Equipment List &amp; Usage'!$AF21)))),0)</f>
        <v>0</v>
      </c>
      <c r="AC19" s="1374">
        <f ca="1">MAX(IF($F19="Yes",(
IF($F19="yes",MMULT(--('Equipment List &amp; Usage'!$J21:$N21&gt;0),--('Weekly Summary'!W$112:W$116))*'Equipment List &amp; Usage'!$C$114,MMULT(--('Equipment List &amp; Usage'!$J21:$N21),--('Weekly Summary'!W$112:W$116))*'Equipment List &amp; Usage'!$C$115)+IF('Equipment List &amp; Usage'!$F20="yes",'Equipment List &amp; Usage'!$C$114,'Equipment List &amp; Usage'!$C$115)*(('Weekly Summary'!W$66*'Equipment List &amp; Usage'!$Q21)+('Weekly Summary'!W$64*'Equipment List &amp; Usage'!$O21)+('Weekly Summary'!W$65*'Equipment List &amp; Usage'!$P21)))+(IF('Equipment List &amp; Usage'!$F21="Yes",'Equipment List &amp; Usage'!$C$114*((('Weekly Summary'!W$131*SelfQuarantine_Mild)+('Weekly Summary'!W$100*SelfQuarantine_Mild)+('Weekly Summary'!W$101*SelfQuarantine_Moderate))),'Equipment List &amp; Usage'!$C$115)*((('Weekly Summary'!W$131*SelfQuarantine_Mild*'Equipment List &amp; Usage'!$W21)+('Weekly Summary'!W$100*SelfQuarantine_Mild*'Equipment List &amp; Usage'!$X21)+('Weekly Summary'!W$101*SelfQuarantine_Moderate*'Equipment List &amp; Usage'!$X21)))+IF('Equipment List &amp; Usage'!$F21="Yes",'Equipment List &amp; Usage'!$C$114*(IF('Equipment List &amp; Usage'!$AA21&gt;0,'Weekly Summary'!W$128,0)+IF('Equipment List &amp; Usage'!$AB21&gt;0,'Weekly Summary'!W$100+'Weekly Summary'!W$101,0)),'Equipment List &amp; Usage'!$C$115*(('Weekly Summary'!W$128*'Equipment List &amp; Usage'!$AA21)+('Weekly Summary'!W$100*'Equipment List &amp; Usage'!$AB21*SelfQuarantine_Mild)+('Weekly Summary'!W$101*'Equipment List &amp; Usage'!$AB21*SelfQuarantine_Moderate)))+IF('Equipment List &amp; Usage'!$F21="Yes",('Equipment List &amp; Usage'!$C$114*(IF('Equipment List &amp; Usage'!$AE21&gt;0,'Weekly Summary'!W$134,0)+IF('Equipment List &amp; Usage'!$AF21&gt;0,'Weekly Summary'!W$135))),'Equipment List &amp; Usage'!$C$115*(('Weekly Summary'!W$134*'Equipment List &amp; Usage'!$AE21)+('Weekly Summary'!W$135*'Equipment List &amp; Usage'!$AF21))))-SUM($I19:AB19),
IF($F19="yes",MMULT(--('Equipment List &amp; Usage'!$J21:$N21&gt;0),--('Weekly Summary'!W$112:W$116))*'Equipment List &amp; Usage'!$C$114,MMULT(--('Equipment List &amp; Usage'!$J21:$N21),--('Weekly Summary'!W$112:W$116))*'Equipment List &amp; Usage'!$C$115)+IF('Equipment List &amp; Usage'!$F20="yes",'Equipment List &amp; Usage'!$C$114,'Equipment List &amp; Usage'!$C$115)*(('Weekly Summary'!W$66*'Equipment List &amp; Usage'!$Q21)+('Weekly Summary'!W$64*'Equipment List &amp; Usage'!$O21)+('Weekly Summary'!W$65*'Equipment List &amp; Usage'!$P21))+(IF('Equipment List &amp; Usage'!$F21="Yes",'Equipment List &amp; Usage'!$C$114*((('Weekly Summary'!W$131*SelfQuarantine_Mild)+('Weekly Summary'!W$100*SelfQuarantine_Mild)+('Weekly Summary'!W$101*SelfQuarantine_Moderate))),'Equipment List &amp; Usage'!$C$115)*((('Weekly Summary'!W$131*SelfQuarantine_Mild*'Equipment List &amp; Usage'!$W21)+('Weekly Summary'!W$100*SelfQuarantine_Mild*'Equipment List &amp; Usage'!$X21)+('Weekly Summary'!W$101*SelfQuarantine_Moderate*'Equipment List &amp; Usage'!$X21))))+IF('Equipment List &amp; Usage'!$F21="Yes",'Equipment List &amp; Usage'!$C$114*(IF('Equipment List &amp; Usage'!$AA21&gt;0,'Weekly Summary'!W$128,0)+IF('Equipment List &amp; Usage'!$AB21&gt;0,'Weekly Summary'!W$100+'Weekly Summary'!W$101,0)),'Equipment List &amp; Usage'!$C$115*(('Weekly Summary'!W$128*'Equipment List &amp; Usage'!$AA21)+('Weekly Summary'!W$100*'Equipment List &amp; Usage'!$AB21*SelfQuarantine_Mild)+('Weekly Summary'!W$101*'Equipment List &amp; Usage'!$AB21*SelfQuarantine_Moderate)))+IF('Equipment List &amp; Usage'!$F21="Yes",('Equipment List &amp; Usage'!$C$114*(IF('Equipment List &amp; Usage'!$AE21&gt;0,'Weekly Summary'!W$134,0)+IF('Equipment List &amp; Usage'!$AF21&gt;0,'Weekly Summary'!W$135))),'Equipment List &amp; Usage'!$C$115*(('Weekly Summary'!W$134*'Equipment List &amp; Usage'!$AE21)+('Weekly Summary'!W$135*'Equipment List &amp; Usage'!$AF21)))),0)</f>
        <v>0</v>
      </c>
      <c r="AD19" s="1374">
        <f ca="1">MAX(IF($F19="Yes",(
IF($F19="yes",MMULT(--('Equipment List &amp; Usage'!$J21:$N21&gt;0),--('Weekly Summary'!X$112:X$116))*'Equipment List &amp; Usage'!$C$114,MMULT(--('Equipment List &amp; Usage'!$J21:$N21),--('Weekly Summary'!X$112:X$116))*'Equipment List &amp; Usage'!$C$115)+IF('Equipment List &amp; Usage'!$F20="yes",'Equipment List &amp; Usage'!$C$114,'Equipment List &amp; Usage'!$C$115)*(('Weekly Summary'!X$66*'Equipment List &amp; Usage'!$Q21)+('Weekly Summary'!X$64*'Equipment List &amp; Usage'!$O21)+('Weekly Summary'!X$65*'Equipment List &amp; Usage'!$P21)))+(IF('Equipment List &amp; Usage'!$F21="Yes",'Equipment List &amp; Usage'!$C$114*((('Weekly Summary'!X$131*SelfQuarantine_Mild)+('Weekly Summary'!X$100*SelfQuarantine_Mild)+('Weekly Summary'!X$101*SelfQuarantine_Moderate))),'Equipment List &amp; Usage'!$C$115)*((('Weekly Summary'!X$131*SelfQuarantine_Mild*'Equipment List &amp; Usage'!$W21)+('Weekly Summary'!X$100*SelfQuarantine_Mild*'Equipment List &amp; Usage'!$X21)+('Weekly Summary'!X$101*SelfQuarantine_Moderate*'Equipment List &amp; Usage'!$X21)))+IF('Equipment List &amp; Usage'!$F21="Yes",'Equipment List &amp; Usage'!$C$114*(IF('Equipment List &amp; Usage'!$AA21&gt;0,'Weekly Summary'!X$128,0)+IF('Equipment List &amp; Usage'!$AB21&gt;0,'Weekly Summary'!X$100+'Weekly Summary'!X$101,0)),'Equipment List &amp; Usage'!$C$115*(('Weekly Summary'!X$128*'Equipment List &amp; Usage'!$AA21)+('Weekly Summary'!X$100*'Equipment List &amp; Usage'!$AB21*SelfQuarantine_Mild)+('Weekly Summary'!X$101*'Equipment List &amp; Usage'!$AB21*SelfQuarantine_Moderate)))+IF('Equipment List &amp; Usage'!$F21="Yes",('Equipment List &amp; Usage'!$C$114*(IF('Equipment List &amp; Usage'!$AE21&gt;0,'Weekly Summary'!X$134,0)+IF('Equipment List &amp; Usage'!$AF21&gt;0,'Weekly Summary'!X$135))),'Equipment List &amp; Usage'!$C$115*(('Weekly Summary'!X$134*'Equipment List &amp; Usage'!$AE21)+('Weekly Summary'!X$135*'Equipment List &amp; Usage'!$AF21))))-SUM($I19:AC19),
IF($F19="yes",MMULT(--('Equipment List &amp; Usage'!$J21:$N21&gt;0),--('Weekly Summary'!X$112:X$116))*'Equipment List &amp; Usage'!$C$114,MMULT(--('Equipment List &amp; Usage'!$J21:$N21),--('Weekly Summary'!X$112:X$116))*'Equipment List &amp; Usage'!$C$115)+IF('Equipment List &amp; Usage'!$F20="yes",'Equipment List &amp; Usage'!$C$114,'Equipment List &amp; Usage'!$C$115)*(('Weekly Summary'!X$66*'Equipment List &amp; Usage'!$Q21)+('Weekly Summary'!X$64*'Equipment List &amp; Usage'!$O21)+('Weekly Summary'!X$65*'Equipment List &amp; Usage'!$P21))+(IF('Equipment List &amp; Usage'!$F21="Yes",'Equipment List &amp; Usage'!$C$114*((('Weekly Summary'!X$131*SelfQuarantine_Mild)+('Weekly Summary'!X$100*SelfQuarantine_Mild)+('Weekly Summary'!X$101*SelfQuarantine_Moderate))),'Equipment List &amp; Usage'!$C$115)*((('Weekly Summary'!X$131*SelfQuarantine_Mild*'Equipment List &amp; Usage'!$W21)+('Weekly Summary'!X$100*SelfQuarantine_Mild*'Equipment List &amp; Usage'!$X21)+('Weekly Summary'!X$101*SelfQuarantine_Moderate*'Equipment List &amp; Usage'!$X21))))+IF('Equipment List &amp; Usage'!$F21="Yes",'Equipment List &amp; Usage'!$C$114*(IF('Equipment List &amp; Usage'!$AA21&gt;0,'Weekly Summary'!X$128,0)+IF('Equipment List &amp; Usage'!$AB21&gt;0,'Weekly Summary'!X$100+'Weekly Summary'!X$101,0)),'Equipment List &amp; Usage'!$C$115*(('Weekly Summary'!X$128*'Equipment List &amp; Usage'!$AA21)+('Weekly Summary'!X$100*'Equipment List &amp; Usage'!$AB21*SelfQuarantine_Mild)+('Weekly Summary'!X$101*'Equipment List &amp; Usage'!$AB21*SelfQuarantine_Moderate)))+IF('Equipment List &amp; Usage'!$F21="Yes",('Equipment List &amp; Usage'!$C$114*(IF('Equipment List &amp; Usage'!$AE21&gt;0,'Weekly Summary'!X$134,0)+IF('Equipment List &amp; Usage'!$AF21&gt;0,'Weekly Summary'!X$135))),'Equipment List &amp; Usage'!$C$115*(('Weekly Summary'!X$134*'Equipment List &amp; Usage'!$AE21)+('Weekly Summary'!X$135*'Equipment List &amp; Usage'!$AF21)))),0)</f>
        <v>0</v>
      </c>
      <c r="AE19" s="1374">
        <f ca="1">MAX(IF($F19="Yes",(
IF($F19="yes",MMULT(--('Equipment List &amp; Usage'!$J21:$N21&gt;0),--('Weekly Summary'!Y$112:Y$116))*'Equipment List &amp; Usage'!$C$114,MMULT(--('Equipment List &amp; Usage'!$J21:$N21),--('Weekly Summary'!Y$112:Y$116))*'Equipment List &amp; Usage'!$C$115)+IF('Equipment List &amp; Usage'!$F20="yes",'Equipment List &amp; Usage'!$C$114,'Equipment List &amp; Usage'!$C$115)*(('Weekly Summary'!Y$66*'Equipment List &amp; Usage'!$Q21)+('Weekly Summary'!Y$64*'Equipment List &amp; Usage'!$O21)+('Weekly Summary'!Y$65*'Equipment List &amp; Usage'!$P21)))+(IF('Equipment List &amp; Usage'!$F21="Yes",'Equipment List &amp; Usage'!$C$114*((('Weekly Summary'!Y$131*SelfQuarantine_Mild)+('Weekly Summary'!Y$100*SelfQuarantine_Mild)+('Weekly Summary'!Y$101*SelfQuarantine_Moderate))),'Equipment List &amp; Usage'!$C$115)*((('Weekly Summary'!Y$131*SelfQuarantine_Mild*'Equipment List &amp; Usage'!$W21)+('Weekly Summary'!Y$100*SelfQuarantine_Mild*'Equipment List &amp; Usage'!$X21)+('Weekly Summary'!Y$101*SelfQuarantine_Moderate*'Equipment List &amp; Usage'!$X21)))+IF('Equipment List &amp; Usage'!$F21="Yes",'Equipment List &amp; Usage'!$C$114*(IF('Equipment List &amp; Usage'!$AA21&gt;0,'Weekly Summary'!Y$128,0)+IF('Equipment List &amp; Usage'!$AB21&gt;0,'Weekly Summary'!Y$100+'Weekly Summary'!Y$101,0)),'Equipment List &amp; Usage'!$C$115*(('Weekly Summary'!Y$128*'Equipment List &amp; Usage'!$AA21)+('Weekly Summary'!Y$100*'Equipment List &amp; Usage'!$AB21*SelfQuarantine_Mild)+('Weekly Summary'!Y$101*'Equipment List &amp; Usage'!$AB21*SelfQuarantine_Moderate)))+IF('Equipment List &amp; Usage'!$F21="Yes",('Equipment List &amp; Usage'!$C$114*(IF('Equipment List &amp; Usage'!$AE21&gt;0,'Weekly Summary'!Y$134,0)+IF('Equipment List &amp; Usage'!$AF21&gt;0,'Weekly Summary'!Y$135))),'Equipment List &amp; Usage'!$C$115*(('Weekly Summary'!Y$134*'Equipment List &amp; Usage'!$AE21)+('Weekly Summary'!Y$135*'Equipment List &amp; Usage'!$AF21))))-SUM($I19:AD19),
IF($F19="yes",MMULT(--('Equipment List &amp; Usage'!$J21:$N21&gt;0),--('Weekly Summary'!Y$112:Y$116))*'Equipment List &amp; Usage'!$C$114,MMULT(--('Equipment List &amp; Usage'!$J21:$N21),--('Weekly Summary'!Y$112:Y$116))*'Equipment List &amp; Usage'!$C$115)+IF('Equipment List &amp; Usage'!$F20="yes",'Equipment List &amp; Usage'!$C$114,'Equipment List &amp; Usage'!$C$115)*(('Weekly Summary'!Y$66*'Equipment List &amp; Usage'!$Q21)+('Weekly Summary'!Y$64*'Equipment List &amp; Usage'!$O21)+('Weekly Summary'!Y$65*'Equipment List &amp; Usage'!$P21))+(IF('Equipment List &amp; Usage'!$F21="Yes",'Equipment List &amp; Usage'!$C$114*((('Weekly Summary'!Y$131*SelfQuarantine_Mild)+('Weekly Summary'!Y$100*SelfQuarantine_Mild)+('Weekly Summary'!Y$101*SelfQuarantine_Moderate))),'Equipment List &amp; Usage'!$C$115)*((('Weekly Summary'!Y$131*SelfQuarantine_Mild*'Equipment List &amp; Usage'!$W21)+('Weekly Summary'!Y$100*SelfQuarantine_Mild*'Equipment List &amp; Usage'!$X21)+('Weekly Summary'!Y$101*SelfQuarantine_Moderate*'Equipment List &amp; Usage'!$X21))))+IF('Equipment List &amp; Usage'!$F21="Yes",'Equipment List &amp; Usage'!$C$114*(IF('Equipment List &amp; Usage'!$AA21&gt;0,'Weekly Summary'!Y$128,0)+IF('Equipment List &amp; Usage'!$AB21&gt;0,'Weekly Summary'!Y$100+'Weekly Summary'!Y$101,0)),'Equipment List &amp; Usage'!$C$115*(('Weekly Summary'!Y$128*'Equipment List &amp; Usage'!$AA21)+('Weekly Summary'!Y$100*'Equipment List &amp; Usage'!$AB21*SelfQuarantine_Mild)+('Weekly Summary'!Y$101*'Equipment List &amp; Usage'!$AB21*SelfQuarantine_Moderate)))+IF('Equipment List &amp; Usage'!$F21="Yes",('Equipment List &amp; Usage'!$C$114*(IF('Equipment List &amp; Usage'!$AE21&gt;0,'Weekly Summary'!Y$134,0)+IF('Equipment List &amp; Usage'!$AF21&gt;0,'Weekly Summary'!Y$135))),'Equipment List &amp; Usage'!$C$115*(('Weekly Summary'!Y$134*'Equipment List &amp; Usage'!$AE21)+('Weekly Summary'!Y$135*'Equipment List &amp; Usage'!$AF21)))),0)</f>
        <v>0</v>
      </c>
      <c r="AF19" s="1374">
        <f ca="1">MAX(IF($F19="Yes",(
IF($F19="yes",MMULT(--('Equipment List &amp; Usage'!$J21:$N21&gt;0),--('Weekly Summary'!Z$112:Z$116))*'Equipment List &amp; Usage'!$C$114,MMULT(--('Equipment List &amp; Usage'!$J21:$N21),--('Weekly Summary'!Z$112:Z$116))*'Equipment List &amp; Usage'!$C$115)+IF('Equipment List &amp; Usage'!$F20="yes",'Equipment List &amp; Usage'!$C$114,'Equipment List &amp; Usage'!$C$115)*(('Weekly Summary'!Z$66*'Equipment List &amp; Usage'!$Q21)+('Weekly Summary'!Z$64*'Equipment List &amp; Usage'!$O21)+('Weekly Summary'!Z$65*'Equipment List &amp; Usage'!$P21)))+(IF('Equipment List &amp; Usage'!$F21="Yes",'Equipment List &amp; Usage'!$C$114*((('Weekly Summary'!Z$131*SelfQuarantine_Mild)+('Weekly Summary'!Z$100*SelfQuarantine_Mild)+('Weekly Summary'!Z$101*SelfQuarantine_Moderate))),'Equipment List &amp; Usage'!$C$115)*((('Weekly Summary'!Z$131*SelfQuarantine_Mild*'Equipment List &amp; Usage'!$W21)+('Weekly Summary'!Z$100*SelfQuarantine_Mild*'Equipment List &amp; Usage'!$X21)+('Weekly Summary'!Z$101*SelfQuarantine_Moderate*'Equipment List &amp; Usage'!$X21)))+IF('Equipment List &amp; Usage'!$F21="Yes",'Equipment List &amp; Usage'!$C$114*(IF('Equipment List &amp; Usage'!$AA21&gt;0,'Weekly Summary'!Z$128,0)+IF('Equipment List &amp; Usage'!$AB21&gt;0,'Weekly Summary'!Z$100+'Weekly Summary'!Z$101,0)),'Equipment List &amp; Usage'!$C$115*(('Weekly Summary'!Z$128*'Equipment List &amp; Usage'!$AA21)+('Weekly Summary'!Z$100*'Equipment List &amp; Usage'!$AB21*SelfQuarantine_Mild)+('Weekly Summary'!Z$101*'Equipment List &amp; Usage'!$AB21*SelfQuarantine_Moderate)))+IF('Equipment List &amp; Usage'!$F21="Yes",('Equipment List &amp; Usage'!$C$114*(IF('Equipment List &amp; Usage'!$AE21&gt;0,'Weekly Summary'!Z$134,0)+IF('Equipment List &amp; Usage'!$AF21&gt;0,'Weekly Summary'!Z$135))),'Equipment List &amp; Usage'!$C$115*(('Weekly Summary'!Z$134*'Equipment List &amp; Usage'!$AE21)+('Weekly Summary'!Z$135*'Equipment List &amp; Usage'!$AF21))))-SUM($I19:AE19),
IF($F19="yes",MMULT(--('Equipment List &amp; Usage'!$J21:$N21&gt;0),--('Weekly Summary'!Z$112:Z$116))*'Equipment List &amp; Usage'!$C$114,MMULT(--('Equipment List &amp; Usage'!$J21:$N21),--('Weekly Summary'!Z$112:Z$116))*'Equipment List &amp; Usage'!$C$115)+IF('Equipment List &amp; Usage'!$F20="yes",'Equipment List &amp; Usage'!$C$114,'Equipment List &amp; Usage'!$C$115)*(('Weekly Summary'!Z$66*'Equipment List &amp; Usage'!$Q21)+('Weekly Summary'!Z$64*'Equipment List &amp; Usage'!$O21)+('Weekly Summary'!Z$65*'Equipment List &amp; Usage'!$P21))+(IF('Equipment List &amp; Usage'!$F21="Yes",'Equipment List &amp; Usage'!$C$114*((('Weekly Summary'!Z$131*SelfQuarantine_Mild)+('Weekly Summary'!Z$100*SelfQuarantine_Mild)+('Weekly Summary'!Z$101*SelfQuarantine_Moderate))),'Equipment List &amp; Usage'!$C$115)*((('Weekly Summary'!Z$131*SelfQuarantine_Mild*'Equipment List &amp; Usage'!$W21)+('Weekly Summary'!Z$100*SelfQuarantine_Mild*'Equipment List &amp; Usage'!$X21)+('Weekly Summary'!Z$101*SelfQuarantine_Moderate*'Equipment List &amp; Usage'!$X21))))+IF('Equipment List &amp; Usage'!$F21="Yes",'Equipment List &amp; Usage'!$C$114*(IF('Equipment List &amp; Usage'!$AA21&gt;0,'Weekly Summary'!Z$128,0)+IF('Equipment List &amp; Usage'!$AB21&gt;0,'Weekly Summary'!Z$100+'Weekly Summary'!Z$101,0)),'Equipment List &amp; Usage'!$C$115*(('Weekly Summary'!Z$128*'Equipment List &amp; Usage'!$AA21)+('Weekly Summary'!Z$100*'Equipment List &amp; Usage'!$AB21*SelfQuarantine_Mild)+('Weekly Summary'!Z$101*'Equipment List &amp; Usage'!$AB21*SelfQuarantine_Moderate)))+IF('Equipment List &amp; Usage'!$F21="Yes",('Equipment List &amp; Usage'!$C$114*(IF('Equipment List &amp; Usage'!$AE21&gt;0,'Weekly Summary'!Z$134,0)+IF('Equipment List &amp; Usage'!$AF21&gt;0,'Weekly Summary'!Z$135))),'Equipment List &amp; Usage'!$C$115*(('Weekly Summary'!Z$134*'Equipment List &amp; Usage'!$AE21)+('Weekly Summary'!Z$135*'Equipment List &amp; Usage'!$AF21)))),0)</f>
        <v>0</v>
      </c>
      <c r="AG19" s="1374">
        <f ca="1">MAX(IF($F19="Yes",(
IF($F19="yes",MMULT(--('Equipment List &amp; Usage'!$J21:$N21&gt;0),--('Weekly Summary'!AA$112:AA$116))*'Equipment List &amp; Usage'!$C$114,MMULT(--('Equipment List &amp; Usage'!$J21:$N21),--('Weekly Summary'!AA$112:AA$116))*'Equipment List &amp; Usage'!$C$115)+IF('Equipment List &amp; Usage'!$F20="yes",'Equipment List &amp; Usage'!$C$114,'Equipment List &amp; Usage'!$C$115)*(('Weekly Summary'!AA$66*'Equipment List &amp; Usage'!$Q21)+('Weekly Summary'!AA$64*'Equipment List &amp; Usage'!$O21)+('Weekly Summary'!AA$65*'Equipment List &amp; Usage'!$P21)))+(IF('Equipment List &amp; Usage'!$F21="Yes",'Equipment List &amp; Usage'!$C$114*((('Weekly Summary'!AA$131*SelfQuarantine_Mild)+('Weekly Summary'!AA$100*SelfQuarantine_Mild)+('Weekly Summary'!AA$101*SelfQuarantine_Moderate))),'Equipment List &amp; Usage'!$C$115)*((('Weekly Summary'!AA$131*SelfQuarantine_Mild*'Equipment List &amp; Usage'!$W21)+('Weekly Summary'!AA$100*SelfQuarantine_Mild*'Equipment List &amp; Usage'!$X21)+('Weekly Summary'!AA$101*SelfQuarantine_Moderate*'Equipment List &amp; Usage'!$X21)))+IF('Equipment List &amp; Usage'!$F21="Yes",'Equipment List &amp; Usage'!$C$114*(IF('Equipment List &amp; Usage'!$AA21&gt;0,'Weekly Summary'!AA$128,0)+IF('Equipment List &amp; Usage'!$AB21&gt;0,'Weekly Summary'!AA$100+'Weekly Summary'!AA$101,0)),'Equipment List &amp; Usage'!$C$115*(('Weekly Summary'!AA$128*'Equipment List &amp; Usage'!$AA21)+('Weekly Summary'!AA$100*'Equipment List &amp; Usage'!$AB21*SelfQuarantine_Mild)+('Weekly Summary'!AA$101*'Equipment List &amp; Usage'!$AB21*SelfQuarantine_Moderate)))+IF('Equipment List &amp; Usage'!$F21="Yes",('Equipment List &amp; Usage'!$C$114*(IF('Equipment List &amp; Usage'!$AE21&gt;0,'Weekly Summary'!AA$134,0)+IF('Equipment List &amp; Usage'!$AF21&gt;0,'Weekly Summary'!AA$135))),'Equipment List &amp; Usage'!$C$115*(('Weekly Summary'!AA$134*'Equipment List &amp; Usage'!$AE21)+('Weekly Summary'!AA$135*'Equipment List &amp; Usage'!$AF21))))-SUM($I19:AF19),
IF($F19="yes",MMULT(--('Equipment List &amp; Usage'!$J21:$N21&gt;0),--('Weekly Summary'!AA$112:AA$116))*'Equipment List &amp; Usage'!$C$114,MMULT(--('Equipment List &amp; Usage'!$J21:$N21),--('Weekly Summary'!AA$112:AA$116))*'Equipment List &amp; Usage'!$C$115)+IF('Equipment List &amp; Usage'!$F20="yes",'Equipment List &amp; Usage'!$C$114,'Equipment List &amp; Usage'!$C$115)*(('Weekly Summary'!AA$66*'Equipment List &amp; Usage'!$Q21)+('Weekly Summary'!AA$64*'Equipment List &amp; Usage'!$O21)+('Weekly Summary'!AA$65*'Equipment List &amp; Usage'!$P21))+(IF('Equipment List &amp; Usage'!$F21="Yes",'Equipment List &amp; Usage'!$C$114*((('Weekly Summary'!AA$131*SelfQuarantine_Mild)+('Weekly Summary'!AA$100*SelfQuarantine_Mild)+('Weekly Summary'!AA$101*SelfQuarantine_Moderate))),'Equipment List &amp; Usage'!$C$115)*((('Weekly Summary'!AA$131*SelfQuarantine_Mild*'Equipment List &amp; Usage'!$W21)+('Weekly Summary'!AA$100*SelfQuarantine_Mild*'Equipment List &amp; Usage'!$X21)+('Weekly Summary'!AA$101*SelfQuarantine_Moderate*'Equipment List &amp; Usage'!$X21))))+IF('Equipment List &amp; Usage'!$F21="Yes",'Equipment List &amp; Usage'!$C$114*(IF('Equipment List &amp; Usage'!$AA21&gt;0,'Weekly Summary'!AA$128,0)+IF('Equipment List &amp; Usage'!$AB21&gt;0,'Weekly Summary'!AA$100+'Weekly Summary'!AA$101,0)),'Equipment List &amp; Usage'!$C$115*(('Weekly Summary'!AA$128*'Equipment List &amp; Usage'!$AA21)+('Weekly Summary'!AA$100*'Equipment List &amp; Usage'!$AB21*SelfQuarantine_Mild)+('Weekly Summary'!AA$101*'Equipment List &amp; Usage'!$AB21*SelfQuarantine_Moderate)))+IF('Equipment List &amp; Usage'!$F21="Yes",('Equipment List &amp; Usage'!$C$114*(IF('Equipment List &amp; Usage'!$AE21&gt;0,'Weekly Summary'!AA$134,0)+IF('Equipment List &amp; Usage'!$AF21&gt;0,'Weekly Summary'!AA$135))),'Equipment List &amp; Usage'!$C$115*(('Weekly Summary'!AA$134*'Equipment List &amp; Usage'!$AE21)+('Weekly Summary'!AA$135*'Equipment List &amp; Usage'!$AF21)))),0)</f>
        <v>0</v>
      </c>
      <c r="AH19" s="1374">
        <f ca="1">MAX(IF($F19="Yes",(
IF($F19="yes",MMULT(--('Equipment List &amp; Usage'!$J21:$N21&gt;0),--('Weekly Summary'!AB$112:AB$116))*'Equipment List &amp; Usage'!$C$114,MMULT(--('Equipment List &amp; Usage'!$J21:$N21),--('Weekly Summary'!AB$112:AB$116))*'Equipment List &amp; Usage'!$C$115)+IF('Equipment List &amp; Usage'!$F20="yes",'Equipment List &amp; Usage'!$C$114,'Equipment List &amp; Usage'!$C$115)*(('Weekly Summary'!AB$66*'Equipment List &amp; Usage'!$Q21)+('Weekly Summary'!AB$64*'Equipment List &amp; Usage'!$O21)+('Weekly Summary'!AB$65*'Equipment List &amp; Usage'!$P21)))+(IF('Equipment List &amp; Usage'!$F21="Yes",'Equipment List &amp; Usage'!$C$114*((('Weekly Summary'!AB$131*SelfQuarantine_Mild)+('Weekly Summary'!AB$100*SelfQuarantine_Mild)+('Weekly Summary'!AB$101*SelfQuarantine_Moderate))),'Equipment List &amp; Usage'!$C$115)*((('Weekly Summary'!AB$131*SelfQuarantine_Mild*'Equipment List &amp; Usage'!$W21)+('Weekly Summary'!AB$100*SelfQuarantine_Mild*'Equipment List &amp; Usage'!$X21)+('Weekly Summary'!AB$101*SelfQuarantine_Moderate*'Equipment List &amp; Usage'!$X21)))+IF('Equipment List &amp; Usage'!$F21="Yes",'Equipment List &amp; Usage'!$C$114*(IF('Equipment List &amp; Usage'!$AA21&gt;0,'Weekly Summary'!AB$128,0)+IF('Equipment List &amp; Usage'!$AB21&gt;0,'Weekly Summary'!AB$100+'Weekly Summary'!AB$101,0)),'Equipment List &amp; Usage'!$C$115*(('Weekly Summary'!AB$128*'Equipment List &amp; Usage'!$AA21)+('Weekly Summary'!AB$100*'Equipment List &amp; Usage'!$AB21*SelfQuarantine_Mild)+('Weekly Summary'!AB$101*'Equipment List &amp; Usage'!$AB21*SelfQuarantine_Moderate)))+IF('Equipment List &amp; Usage'!$F21="Yes",('Equipment List &amp; Usage'!$C$114*(IF('Equipment List &amp; Usage'!$AE21&gt;0,'Weekly Summary'!AB$134,0)+IF('Equipment List &amp; Usage'!$AF21&gt;0,'Weekly Summary'!AB$135))),'Equipment List &amp; Usage'!$C$115*(('Weekly Summary'!AB$134*'Equipment List &amp; Usage'!$AE21)+('Weekly Summary'!AB$135*'Equipment List &amp; Usage'!$AF21))))-SUM($I19:AG19),
IF($F19="yes",MMULT(--('Equipment List &amp; Usage'!$J21:$N21&gt;0),--('Weekly Summary'!AB$112:AB$116))*'Equipment List &amp; Usage'!$C$114,MMULT(--('Equipment List &amp; Usage'!$J21:$N21),--('Weekly Summary'!AB$112:AB$116))*'Equipment List &amp; Usage'!$C$115)+IF('Equipment List &amp; Usage'!$F20="yes",'Equipment List &amp; Usage'!$C$114,'Equipment List &amp; Usage'!$C$115)*(('Weekly Summary'!AB$66*'Equipment List &amp; Usage'!$Q21)+('Weekly Summary'!AB$64*'Equipment List &amp; Usage'!$O21)+('Weekly Summary'!AB$65*'Equipment List &amp; Usage'!$P21))+(IF('Equipment List &amp; Usage'!$F21="Yes",'Equipment List &amp; Usage'!$C$114*((('Weekly Summary'!AB$131*SelfQuarantine_Mild)+('Weekly Summary'!AB$100*SelfQuarantine_Mild)+('Weekly Summary'!AB$101*SelfQuarantine_Moderate))),'Equipment List &amp; Usage'!$C$115)*((('Weekly Summary'!AB$131*SelfQuarantine_Mild*'Equipment List &amp; Usage'!$W21)+('Weekly Summary'!AB$100*SelfQuarantine_Mild*'Equipment List &amp; Usage'!$X21)+('Weekly Summary'!AB$101*SelfQuarantine_Moderate*'Equipment List &amp; Usage'!$X21))))+IF('Equipment List &amp; Usage'!$F21="Yes",'Equipment List &amp; Usage'!$C$114*(IF('Equipment List &amp; Usage'!$AA21&gt;0,'Weekly Summary'!AB$128,0)+IF('Equipment List &amp; Usage'!$AB21&gt;0,'Weekly Summary'!AB$100+'Weekly Summary'!AB$101,0)),'Equipment List &amp; Usage'!$C$115*(('Weekly Summary'!AB$128*'Equipment List &amp; Usage'!$AA21)+('Weekly Summary'!AB$100*'Equipment List &amp; Usage'!$AB21*SelfQuarantine_Mild)+('Weekly Summary'!AB$101*'Equipment List &amp; Usage'!$AB21*SelfQuarantine_Moderate)))+IF('Equipment List &amp; Usage'!$F21="Yes",('Equipment List &amp; Usage'!$C$114*(IF('Equipment List &amp; Usage'!$AE21&gt;0,'Weekly Summary'!AB$134,0)+IF('Equipment List &amp; Usage'!$AF21&gt;0,'Weekly Summary'!AB$135))),'Equipment List &amp; Usage'!$C$115*(('Weekly Summary'!AB$134*'Equipment List &amp; Usage'!$AE21)+('Weekly Summary'!AB$135*'Equipment List &amp; Usage'!$AF21)))),0)</f>
        <v>0</v>
      </c>
      <c r="AI19" s="1374">
        <f ca="1">MAX(IF($F19="Yes",(
IF($F19="yes",MMULT(--('Equipment List &amp; Usage'!$J21:$N21&gt;0),--('Weekly Summary'!AC$112:AC$116))*'Equipment List &amp; Usage'!$C$114,MMULT(--('Equipment List &amp; Usage'!$J21:$N21),--('Weekly Summary'!AC$112:AC$116))*'Equipment List &amp; Usage'!$C$115)+IF('Equipment List &amp; Usage'!$F20="yes",'Equipment List &amp; Usage'!$C$114,'Equipment List &amp; Usage'!$C$115)*(('Weekly Summary'!AC$66*'Equipment List &amp; Usage'!$Q21)+('Weekly Summary'!AC$64*'Equipment List &amp; Usage'!$O21)+('Weekly Summary'!AC$65*'Equipment List &amp; Usage'!$P21)))+(IF('Equipment List &amp; Usage'!$F21="Yes",'Equipment List &amp; Usage'!$C$114*((('Weekly Summary'!AC$131*SelfQuarantine_Mild)+('Weekly Summary'!AC$100*SelfQuarantine_Mild)+('Weekly Summary'!AC$101*SelfQuarantine_Moderate))),'Equipment List &amp; Usage'!$C$115)*((('Weekly Summary'!AC$131*SelfQuarantine_Mild*'Equipment List &amp; Usage'!$W21)+('Weekly Summary'!AC$100*SelfQuarantine_Mild*'Equipment List &amp; Usage'!$X21)+('Weekly Summary'!AC$101*SelfQuarantine_Moderate*'Equipment List &amp; Usage'!$X21)))+IF('Equipment List &amp; Usage'!$F21="Yes",'Equipment List &amp; Usage'!$C$114*(IF('Equipment List &amp; Usage'!$AA21&gt;0,'Weekly Summary'!AC$128,0)+IF('Equipment List &amp; Usage'!$AB21&gt;0,'Weekly Summary'!AC$100+'Weekly Summary'!AC$101,0)),'Equipment List &amp; Usage'!$C$115*(('Weekly Summary'!AC$128*'Equipment List &amp; Usage'!$AA21)+('Weekly Summary'!AC$100*'Equipment List &amp; Usage'!$AB21*SelfQuarantine_Mild)+('Weekly Summary'!AC$101*'Equipment List &amp; Usage'!$AB21*SelfQuarantine_Moderate)))+IF('Equipment List &amp; Usage'!$F21="Yes",('Equipment List &amp; Usage'!$C$114*(IF('Equipment List &amp; Usage'!$AE21&gt;0,'Weekly Summary'!AC$134,0)+IF('Equipment List &amp; Usage'!$AF21&gt;0,'Weekly Summary'!AC$135))),'Equipment List &amp; Usage'!$C$115*(('Weekly Summary'!AC$134*'Equipment List &amp; Usage'!$AE21)+('Weekly Summary'!AC$135*'Equipment List &amp; Usage'!$AF21))))-SUM($I19:AH19),
IF($F19="yes",MMULT(--('Equipment List &amp; Usage'!$J21:$N21&gt;0),--('Weekly Summary'!AC$112:AC$116))*'Equipment List &amp; Usage'!$C$114,MMULT(--('Equipment List &amp; Usage'!$J21:$N21),--('Weekly Summary'!AC$112:AC$116))*'Equipment List &amp; Usage'!$C$115)+IF('Equipment List &amp; Usage'!$F20="yes",'Equipment List &amp; Usage'!$C$114,'Equipment List &amp; Usage'!$C$115)*(('Weekly Summary'!AC$66*'Equipment List &amp; Usage'!$Q21)+('Weekly Summary'!AC$64*'Equipment List &amp; Usage'!$O21)+('Weekly Summary'!AC$65*'Equipment List &amp; Usage'!$P21))+(IF('Equipment List &amp; Usage'!$F21="Yes",'Equipment List &amp; Usage'!$C$114*((('Weekly Summary'!AC$131*SelfQuarantine_Mild)+('Weekly Summary'!AC$100*SelfQuarantine_Mild)+('Weekly Summary'!AC$101*SelfQuarantine_Moderate))),'Equipment List &amp; Usage'!$C$115)*((('Weekly Summary'!AC$131*SelfQuarantine_Mild*'Equipment List &amp; Usage'!$W21)+('Weekly Summary'!AC$100*SelfQuarantine_Mild*'Equipment List &amp; Usage'!$X21)+('Weekly Summary'!AC$101*SelfQuarantine_Moderate*'Equipment List &amp; Usage'!$X21))))+IF('Equipment List &amp; Usage'!$F21="Yes",'Equipment List &amp; Usage'!$C$114*(IF('Equipment List &amp; Usage'!$AA21&gt;0,'Weekly Summary'!AC$128,0)+IF('Equipment List &amp; Usage'!$AB21&gt;0,'Weekly Summary'!AC$100+'Weekly Summary'!AC$101,0)),'Equipment List &amp; Usage'!$C$115*(('Weekly Summary'!AC$128*'Equipment List &amp; Usage'!$AA21)+('Weekly Summary'!AC$100*'Equipment List &amp; Usage'!$AB21*SelfQuarantine_Mild)+('Weekly Summary'!AC$101*'Equipment List &amp; Usage'!$AB21*SelfQuarantine_Moderate)))+IF('Equipment List &amp; Usage'!$F21="Yes",('Equipment List &amp; Usage'!$C$114*(IF('Equipment List &amp; Usage'!$AE21&gt;0,'Weekly Summary'!AC$134,0)+IF('Equipment List &amp; Usage'!$AF21&gt;0,'Weekly Summary'!AC$135))),'Equipment List &amp; Usage'!$C$115*(('Weekly Summary'!AC$134*'Equipment List &amp; Usage'!$AE21)+('Weekly Summary'!AC$135*'Equipment List &amp; Usage'!$AF21)))),0)</f>
        <v>0</v>
      </c>
      <c r="AJ19" s="1374">
        <f ca="1">MAX(IF($F19="Yes",(
IF($F19="yes",MMULT(--('Equipment List &amp; Usage'!$J21:$N21&gt;0),--('Weekly Summary'!AD$112:AD$116))*'Equipment List &amp; Usage'!$C$114,MMULT(--('Equipment List &amp; Usage'!$J21:$N21),--('Weekly Summary'!AD$112:AD$116))*'Equipment List &amp; Usage'!$C$115)+IF('Equipment List &amp; Usage'!$F20="yes",'Equipment List &amp; Usage'!$C$114,'Equipment List &amp; Usage'!$C$115)*(('Weekly Summary'!AD$66*'Equipment List &amp; Usage'!$Q21)+('Weekly Summary'!AD$64*'Equipment List &amp; Usage'!$O21)+('Weekly Summary'!AD$65*'Equipment List &amp; Usage'!$P21)))+(IF('Equipment List &amp; Usage'!$F21="Yes",'Equipment List &amp; Usage'!$C$114*((('Weekly Summary'!AD$131*SelfQuarantine_Mild)+('Weekly Summary'!AD$100*SelfQuarantine_Mild)+('Weekly Summary'!AD$101*SelfQuarantine_Moderate))),'Equipment List &amp; Usage'!$C$115)*((('Weekly Summary'!AD$131*SelfQuarantine_Mild*'Equipment List &amp; Usage'!$W21)+('Weekly Summary'!AD$100*SelfQuarantine_Mild*'Equipment List &amp; Usage'!$X21)+('Weekly Summary'!AD$101*SelfQuarantine_Moderate*'Equipment List &amp; Usage'!$X21)))+IF('Equipment List &amp; Usage'!$F21="Yes",'Equipment List &amp; Usage'!$C$114*(IF('Equipment List &amp; Usage'!$AA21&gt;0,'Weekly Summary'!AD$128,0)+IF('Equipment List &amp; Usage'!$AB21&gt;0,'Weekly Summary'!AD$100+'Weekly Summary'!AD$101,0)),'Equipment List &amp; Usage'!$C$115*(('Weekly Summary'!AD$128*'Equipment List &amp; Usage'!$AA21)+('Weekly Summary'!AD$100*'Equipment List &amp; Usage'!$AB21*SelfQuarantine_Mild)+('Weekly Summary'!AD$101*'Equipment List &amp; Usage'!$AB21*SelfQuarantine_Moderate)))+IF('Equipment List &amp; Usage'!$F21="Yes",('Equipment List &amp; Usage'!$C$114*(IF('Equipment List &amp; Usage'!$AE21&gt;0,'Weekly Summary'!AD$134,0)+IF('Equipment List &amp; Usage'!$AF21&gt;0,'Weekly Summary'!AD$135))),'Equipment List &amp; Usage'!$C$115*(('Weekly Summary'!AD$134*'Equipment List &amp; Usage'!$AE21)+('Weekly Summary'!AD$135*'Equipment List &amp; Usage'!$AF21))))-SUM($I19:AI19),
IF($F19="yes",MMULT(--('Equipment List &amp; Usage'!$J21:$N21&gt;0),--('Weekly Summary'!AD$112:AD$116))*'Equipment List &amp; Usage'!$C$114,MMULT(--('Equipment List &amp; Usage'!$J21:$N21),--('Weekly Summary'!AD$112:AD$116))*'Equipment List &amp; Usage'!$C$115)+IF('Equipment List &amp; Usage'!$F20="yes",'Equipment List &amp; Usage'!$C$114,'Equipment List &amp; Usage'!$C$115)*(('Weekly Summary'!AD$66*'Equipment List &amp; Usage'!$Q21)+('Weekly Summary'!AD$64*'Equipment List &amp; Usage'!$O21)+('Weekly Summary'!AD$65*'Equipment List &amp; Usage'!$P21))+(IF('Equipment List &amp; Usage'!$F21="Yes",'Equipment List &amp; Usage'!$C$114*((('Weekly Summary'!AD$131*SelfQuarantine_Mild)+('Weekly Summary'!AD$100*SelfQuarantine_Mild)+('Weekly Summary'!AD$101*SelfQuarantine_Moderate))),'Equipment List &amp; Usage'!$C$115)*((('Weekly Summary'!AD$131*SelfQuarantine_Mild*'Equipment List &amp; Usage'!$W21)+('Weekly Summary'!AD$100*SelfQuarantine_Mild*'Equipment List &amp; Usage'!$X21)+('Weekly Summary'!AD$101*SelfQuarantine_Moderate*'Equipment List &amp; Usage'!$X21))))+IF('Equipment List &amp; Usage'!$F21="Yes",'Equipment List &amp; Usage'!$C$114*(IF('Equipment List &amp; Usage'!$AA21&gt;0,'Weekly Summary'!AD$128,0)+IF('Equipment List &amp; Usage'!$AB21&gt;0,'Weekly Summary'!AD$100+'Weekly Summary'!AD$101,0)),'Equipment List &amp; Usage'!$C$115*(('Weekly Summary'!AD$128*'Equipment List &amp; Usage'!$AA21)+('Weekly Summary'!AD$100*'Equipment List &amp; Usage'!$AB21*SelfQuarantine_Mild)+('Weekly Summary'!AD$101*'Equipment List &amp; Usage'!$AB21*SelfQuarantine_Moderate)))+IF('Equipment List &amp; Usage'!$F21="Yes",('Equipment List &amp; Usage'!$C$114*(IF('Equipment List &amp; Usage'!$AE21&gt;0,'Weekly Summary'!AD$134,0)+IF('Equipment List &amp; Usage'!$AF21&gt;0,'Weekly Summary'!AD$135))),'Equipment List &amp; Usage'!$C$115*(('Weekly Summary'!AD$134*'Equipment List &amp; Usage'!$AE21)+('Weekly Summary'!AD$135*'Equipment List &amp; Usage'!$AF21)))),0)</f>
        <v>0</v>
      </c>
      <c r="AK19" s="1374">
        <f ca="1">MAX(IF($F19="Yes",(
IF($F19="yes",MMULT(--('Equipment List &amp; Usage'!$J21:$N21&gt;0),--('Weekly Summary'!AE$112:AE$116))*'Equipment List &amp; Usage'!$C$114,MMULT(--('Equipment List &amp; Usage'!$J21:$N21),--('Weekly Summary'!AE$112:AE$116))*'Equipment List &amp; Usage'!$C$115)+IF('Equipment List &amp; Usage'!$F20="yes",'Equipment List &amp; Usage'!$C$114,'Equipment List &amp; Usage'!$C$115)*(('Weekly Summary'!AE$66*'Equipment List &amp; Usage'!$Q21)+('Weekly Summary'!AE$64*'Equipment List &amp; Usage'!$O21)+('Weekly Summary'!AE$65*'Equipment List &amp; Usage'!$P21)))+(IF('Equipment List &amp; Usage'!$F21="Yes",'Equipment List &amp; Usage'!$C$114*((('Weekly Summary'!AE$131*SelfQuarantine_Mild)+('Weekly Summary'!AE$100*SelfQuarantine_Mild)+('Weekly Summary'!AE$101*SelfQuarantine_Moderate))),'Equipment List &amp; Usage'!$C$115)*((('Weekly Summary'!AE$131*SelfQuarantine_Mild*'Equipment List &amp; Usage'!$W21)+('Weekly Summary'!AE$100*SelfQuarantine_Mild*'Equipment List &amp; Usage'!$X21)+('Weekly Summary'!AE$101*SelfQuarantine_Moderate*'Equipment List &amp; Usage'!$X21)))+IF('Equipment List &amp; Usage'!$F21="Yes",'Equipment List &amp; Usage'!$C$114*(IF('Equipment List &amp; Usage'!$AA21&gt;0,'Weekly Summary'!AE$128,0)+IF('Equipment List &amp; Usage'!$AB21&gt;0,'Weekly Summary'!AE$100+'Weekly Summary'!AE$101,0)),'Equipment List &amp; Usage'!$C$115*(('Weekly Summary'!AE$128*'Equipment List &amp; Usage'!$AA21)+('Weekly Summary'!AE$100*'Equipment List &amp; Usage'!$AB21*SelfQuarantine_Mild)+('Weekly Summary'!AE$101*'Equipment List &amp; Usage'!$AB21*SelfQuarantine_Moderate)))+IF('Equipment List &amp; Usage'!$F21="Yes",('Equipment List &amp; Usage'!$C$114*(IF('Equipment List &amp; Usage'!$AE21&gt;0,'Weekly Summary'!AE$134,0)+IF('Equipment List &amp; Usage'!$AF21&gt;0,'Weekly Summary'!AE$135))),'Equipment List &amp; Usage'!$C$115*(('Weekly Summary'!AE$134*'Equipment List &amp; Usage'!$AE21)+('Weekly Summary'!AE$135*'Equipment List &amp; Usage'!$AF21))))-SUM($I19:AJ19),
IF($F19="yes",MMULT(--('Equipment List &amp; Usage'!$J21:$N21&gt;0),--('Weekly Summary'!AE$112:AE$116))*'Equipment List &amp; Usage'!$C$114,MMULT(--('Equipment List &amp; Usage'!$J21:$N21),--('Weekly Summary'!AE$112:AE$116))*'Equipment List &amp; Usage'!$C$115)+IF('Equipment List &amp; Usage'!$F20="yes",'Equipment List &amp; Usage'!$C$114,'Equipment List &amp; Usage'!$C$115)*(('Weekly Summary'!AE$66*'Equipment List &amp; Usage'!$Q21)+('Weekly Summary'!AE$64*'Equipment List &amp; Usage'!$O21)+('Weekly Summary'!AE$65*'Equipment List &amp; Usage'!$P21))+(IF('Equipment List &amp; Usage'!$F21="Yes",'Equipment List &amp; Usage'!$C$114*((('Weekly Summary'!AE$131*SelfQuarantine_Mild)+('Weekly Summary'!AE$100*SelfQuarantine_Mild)+('Weekly Summary'!AE$101*SelfQuarantine_Moderate))),'Equipment List &amp; Usage'!$C$115)*((('Weekly Summary'!AE$131*SelfQuarantine_Mild*'Equipment List &amp; Usage'!$W21)+('Weekly Summary'!AE$100*SelfQuarantine_Mild*'Equipment List &amp; Usage'!$X21)+('Weekly Summary'!AE$101*SelfQuarantine_Moderate*'Equipment List &amp; Usage'!$X21))))+IF('Equipment List &amp; Usage'!$F21="Yes",'Equipment List &amp; Usage'!$C$114*(IF('Equipment List &amp; Usage'!$AA21&gt;0,'Weekly Summary'!AE$128,0)+IF('Equipment List &amp; Usage'!$AB21&gt;0,'Weekly Summary'!AE$100+'Weekly Summary'!AE$101,0)),'Equipment List &amp; Usage'!$C$115*(('Weekly Summary'!AE$128*'Equipment List &amp; Usage'!$AA21)+('Weekly Summary'!AE$100*'Equipment List &amp; Usage'!$AB21*SelfQuarantine_Mild)+('Weekly Summary'!AE$101*'Equipment List &amp; Usage'!$AB21*SelfQuarantine_Moderate)))+IF('Equipment List &amp; Usage'!$F21="Yes",('Equipment List &amp; Usage'!$C$114*(IF('Equipment List &amp; Usage'!$AE21&gt;0,'Weekly Summary'!AE$134,0)+IF('Equipment List &amp; Usage'!$AF21&gt;0,'Weekly Summary'!AE$135))),'Equipment List &amp; Usage'!$C$115*(('Weekly Summary'!AE$134*'Equipment List &amp; Usage'!$AE21)+('Weekly Summary'!AE$135*'Equipment List &amp; Usage'!$AF21)))),0)</f>
        <v>0</v>
      </c>
      <c r="AL19" s="1374">
        <f ca="1">MAX(IF($F19="Yes",(
IF($F19="yes",MMULT(--('Equipment List &amp; Usage'!$J21:$N21&gt;0),--('Weekly Summary'!AF$112:AF$116))*'Equipment List &amp; Usage'!$C$114,MMULT(--('Equipment List &amp; Usage'!$J21:$N21),--('Weekly Summary'!AF$112:AF$116))*'Equipment List &amp; Usage'!$C$115)+IF('Equipment List &amp; Usage'!$F20="yes",'Equipment List &amp; Usage'!$C$114,'Equipment List &amp; Usage'!$C$115)*(('Weekly Summary'!AF$66*'Equipment List &amp; Usage'!$Q21)+('Weekly Summary'!AF$64*'Equipment List &amp; Usage'!$O21)+('Weekly Summary'!AF$65*'Equipment List &amp; Usage'!$P21)))+(IF('Equipment List &amp; Usage'!$F21="Yes",'Equipment List &amp; Usage'!$C$114*((('Weekly Summary'!AF$131*SelfQuarantine_Mild)+('Weekly Summary'!AF$100*SelfQuarantine_Mild)+('Weekly Summary'!AF$101*SelfQuarantine_Moderate))),'Equipment List &amp; Usage'!$C$115)*((('Weekly Summary'!AF$131*SelfQuarantine_Mild*'Equipment List &amp; Usage'!$W21)+('Weekly Summary'!AF$100*SelfQuarantine_Mild*'Equipment List &amp; Usage'!$X21)+('Weekly Summary'!AF$101*SelfQuarantine_Moderate*'Equipment List &amp; Usage'!$X21)))+IF('Equipment List &amp; Usage'!$F21="Yes",'Equipment List &amp; Usage'!$C$114*(IF('Equipment List &amp; Usage'!$AA21&gt;0,'Weekly Summary'!AF$128,0)+IF('Equipment List &amp; Usage'!$AB21&gt;0,'Weekly Summary'!AF$100+'Weekly Summary'!AF$101,0)),'Equipment List &amp; Usage'!$C$115*(('Weekly Summary'!AF$128*'Equipment List &amp; Usage'!$AA21)+('Weekly Summary'!AF$100*'Equipment List &amp; Usage'!$AB21*SelfQuarantine_Mild)+('Weekly Summary'!AF$101*'Equipment List &amp; Usage'!$AB21*SelfQuarantine_Moderate)))+IF('Equipment List &amp; Usage'!$F21="Yes",('Equipment List &amp; Usage'!$C$114*(IF('Equipment List &amp; Usage'!$AE21&gt;0,'Weekly Summary'!AF$134,0)+IF('Equipment List &amp; Usage'!$AF21&gt;0,'Weekly Summary'!AF$135))),'Equipment List &amp; Usage'!$C$115*(('Weekly Summary'!AF$134*'Equipment List &amp; Usage'!$AE21)+('Weekly Summary'!AF$135*'Equipment List &amp; Usage'!$AF21))))-SUM($I19:AK19),
IF($F19="yes",MMULT(--('Equipment List &amp; Usage'!$J21:$N21&gt;0),--('Weekly Summary'!AF$112:AF$116))*'Equipment List &amp; Usage'!$C$114,MMULT(--('Equipment List &amp; Usage'!$J21:$N21),--('Weekly Summary'!AF$112:AF$116))*'Equipment List &amp; Usage'!$C$115)+IF('Equipment List &amp; Usage'!$F20="yes",'Equipment List &amp; Usage'!$C$114,'Equipment List &amp; Usage'!$C$115)*(('Weekly Summary'!AF$66*'Equipment List &amp; Usage'!$Q21)+('Weekly Summary'!AF$64*'Equipment List &amp; Usage'!$O21)+('Weekly Summary'!AF$65*'Equipment List &amp; Usage'!$P21))+(IF('Equipment List &amp; Usage'!$F21="Yes",'Equipment List &amp; Usage'!$C$114*((('Weekly Summary'!AF$131*SelfQuarantine_Mild)+('Weekly Summary'!AF$100*SelfQuarantine_Mild)+('Weekly Summary'!AF$101*SelfQuarantine_Moderate))),'Equipment List &amp; Usage'!$C$115)*((('Weekly Summary'!AF$131*SelfQuarantine_Mild*'Equipment List &amp; Usage'!$W21)+('Weekly Summary'!AF$100*SelfQuarantine_Mild*'Equipment List &amp; Usage'!$X21)+('Weekly Summary'!AF$101*SelfQuarantine_Moderate*'Equipment List &amp; Usage'!$X21))))+IF('Equipment List &amp; Usage'!$F21="Yes",'Equipment List &amp; Usage'!$C$114*(IF('Equipment List &amp; Usage'!$AA21&gt;0,'Weekly Summary'!AF$128,0)+IF('Equipment List &amp; Usage'!$AB21&gt;0,'Weekly Summary'!AF$100+'Weekly Summary'!AF$101,0)),'Equipment List &amp; Usage'!$C$115*(('Weekly Summary'!AF$128*'Equipment List &amp; Usage'!$AA21)+('Weekly Summary'!AF$100*'Equipment List &amp; Usage'!$AB21*SelfQuarantine_Mild)+('Weekly Summary'!AF$101*'Equipment List &amp; Usage'!$AB21*SelfQuarantine_Moderate)))+IF('Equipment List &amp; Usage'!$F21="Yes",('Equipment List &amp; Usage'!$C$114*(IF('Equipment List &amp; Usage'!$AE21&gt;0,'Weekly Summary'!AF$134,0)+IF('Equipment List &amp; Usage'!$AF21&gt;0,'Weekly Summary'!AF$135))),'Equipment List &amp; Usage'!$C$115*(('Weekly Summary'!AF$134*'Equipment List &amp; Usage'!$AE21)+('Weekly Summary'!AF$135*'Equipment List &amp; Usage'!$AF21)))),0)</f>
        <v>0</v>
      </c>
      <c r="AM19" s="1374">
        <f ca="1">MAX(IF($F19="Yes",(
IF($F19="yes",MMULT(--('Equipment List &amp; Usage'!$J21:$N21&gt;0),--('Weekly Summary'!AG$112:AG$116))*'Equipment List &amp; Usage'!$C$114,MMULT(--('Equipment List &amp; Usage'!$J21:$N21),--('Weekly Summary'!AG$112:AG$116))*'Equipment List &amp; Usage'!$C$115)+IF('Equipment List &amp; Usage'!$F20="yes",'Equipment List &amp; Usage'!$C$114,'Equipment List &amp; Usage'!$C$115)*(('Weekly Summary'!AG$66*'Equipment List &amp; Usage'!$Q21)+('Weekly Summary'!AG$64*'Equipment List &amp; Usage'!$O21)+('Weekly Summary'!AG$65*'Equipment List &amp; Usage'!$P21)))+(IF('Equipment List &amp; Usage'!$F21="Yes",'Equipment List &amp; Usage'!$C$114*((('Weekly Summary'!AG$131*SelfQuarantine_Mild)+('Weekly Summary'!AG$100*SelfQuarantine_Mild)+('Weekly Summary'!AG$101*SelfQuarantine_Moderate))),'Equipment List &amp; Usage'!$C$115)*((('Weekly Summary'!AG$131*SelfQuarantine_Mild*'Equipment List &amp; Usage'!$W21)+('Weekly Summary'!AG$100*SelfQuarantine_Mild*'Equipment List &amp; Usage'!$X21)+('Weekly Summary'!AG$101*SelfQuarantine_Moderate*'Equipment List &amp; Usage'!$X21)))+IF('Equipment List &amp; Usage'!$F21="Yes",'Equipment List &amp; Usage'!$C$114*(IF('Equipment List &amp; Usage'!$AA21&gt;0,'Weekly Summary'!AG$128,0)+IF('Equipment List &amp; Usage'!$AB21&gt;0,'Weekly Summary'!AG$100+'Weekly Summary'!AG$101,0)),'Equipment List &amp; Usage'!$C$115*(('Weekly Summary'!AG$128*'Equipment List &amp; Usage'!$AA21)+('Weekly Summary'!AG$100*'Equipment List &amp; Usage'!$AB21*SelfQuarantine_Mild)+('Weekly Summary'!AG$101*'Equipment List &amp; Usage'!$AB21*SelfQuarantine_Moderate)))+IF('Equipment List &amp; Usage'!$F21="Yes",('Equipment List &amp; Usage'!$C$114*(IF('Equipment List &amp; Usage'!$AE21&gt;0,'Weekly Summary'!AG$134,0)+IF('Equipment List &amp; Usage'!$AF21&gt;0,'Weekly Summary'!AG$135))),'Equipment List &amp; Usage'!$C$115*(('Weekly Summary'!AG$134*'Equipment List &amp; Usage'!$AE21)+('Weekly Summary'!AG$135*'Equipment List &amp; Usage'!$AF21))))-SUM($I19:AL19),
IF($F19="yes",MMULT(--('Equipment List &amp; Usage'!$J21:$N21&gt;0),--('Weekly Summary'!AG$112:AG$116))*'Equipment List &amp; Usage'!$C$114,MMULT(--('Equipment List &amp; Usage'!$J21:$N21),--('Weekly Summary'!AG$112:AG$116))*'Equipment List &amp; Usage'!$C$115)+IF('Equipment List &amp; Usage'!$F20="yes",'Equipment List &amp; Usage'!$C$114,'Equipment List &amp; Usage'!$C$115)*(('Weekly Summary'!AG$66*'Equipment List &amp; Usage'!$Q21)+('Weekly Summary'!AG$64*'Equipment List &amp; Usage'!$O21)+('Weekly Summary'!AG$65*'Equipment List &amp; Usage'!$P21))+(IF('Equipment List &amp; Usage'!$F21="Yes",'Equipment List &amp; Usage'!$C$114*((('Weekly Summary'!AG$131*SelfQuarantine_Mild)+('Weekly Summary'!AG$100*SelfQuarantine_Mild)+('Weekly Summary'!AG$101*SelfQuarantine_Moderate))),'Equipment List &amp; Usage'!$C$115)*((('Weekly Summary'!AG$131*SelfQuarantine_Mild*'Equipment List &amp; Usage'!$W21)+('Weekly Summary'!AG$100*SelfQuarantine_Mild*'Equipment List &amp; Usage'!$X21)+('Weekly Summary'!AG$101*SelfQuarantine_Moderate*'Equipment List &amp; Usage'!$X21))))+IF('Equipment List &amp; Usage'!$F21="Yes",'Equipment List &amp; Usage'!$C$114*(IF('Equipment List &amp; Usage'!$AA21&gt;0,'Weekly Summary'!AG$128,0)+IF('Equipment List &amp; Usage'!$AB21&gt;0,'Weekly Summary'!AG$100+'Weekly Summary'!AG$101,0)),'Equipment List &amp; Usage'!$C$115*(('Weekly Summary'!AG$128*'Equipment List &amp; Usage'!$AA21)+('Weekly Summary'!AG$100*'Equipment List &amp; Usage'!$AB21*SelfQuarantine_Mild)+('Weekly Summary'!AG$101*'Equipment List &amp; Usage'!$AB21*SelfQuarantine_Moderate)))+IF('Equipment List &amp; Usage'!$F21="Yes",('Equipment List &amp; Usage'!$C$114*(IF('Equipment List &amp; Usage'!$AE21&gt;0,'Weekly Summary'!AG$134,0)+IF('Equipment List &amp; Usage'!$AF21&gt;0,'Weekly Summary'!AG$135))),'Equipment List &amp; Usage'!$C$115*(('Weekly Summary'!AG$134*'Equipment List &amp; Usage'!$AE21)+('Weekly Summary'!AG$135*'Equipment List &amp; Usage'!$AF21)))),0)</f>
        <v>0</v>
      </c>
      <c r="AN19" s="1374">
        <f ca="1">MAX(IF($F19="Yes",(
IF($F19="yes",MMULT(--('Equipment List &amp; Usage'!$J21:$N21&gt;0),--('Weekly Summary'!AH$112:AH$116))*'Equipment List &amp; Usage'!$C$114,MMULT(--('Equipment List &amp; Usage'!$J21:$N21),--('Weekly Summary'!AH$112:AH$116))*'Equipment List &amp; Usage'!$C$115)+IF('Equipment List &amp; Usage'!$F20="yes",'Equipment List &amp; Usage'!$C$114,'Equipment List &amp; Usage'!$C$115)*(('Weekly Summary'!AH$66*'Equipment List &amp; Usage'!$Q21)+('Weekly Summary'!AH$64*'Equipment List &amp; Usage'!$O21)+('Weekly Summary'!AH$65*'Equipment List &amp; Usage'!$P21)))+(IF('Equipment List &amp; Usage'!$F21="Yes",'Equipment List &amp; Usage'!$C$114*((('Weekly Summary'!AH$131*SelfQuarantine_Mild)+('Weekly Summary'!AH$100*SelfQuarantine_Mild)+('Weekly Summary'!AH$101*SelfQuarantine_Moderate))),'Equipment List &amp; Usage'!$C$115)*((('Weekly Summary'!AH$131*SelfQuarantine_Mild*'Equipment List &amp; Usage'!$W21)+('Weekly Summary'!AH$100*SelfQuarantine_Mild*'Equipment List &amp; Usage'!$X21)+('Weekly Summary'!AH$101*SelfQuarantine_Moderate*'Equipment List &amp; Usage'!$X21)))+IF('Equipment List &amp; Usage'!$F21="Yes",'Equipment List &amp; Usage'!$C$114*(IF('Equipment List &amp; Usage'!$AA21&gt;0,'Weekly Summary'!AH$128,0)+IF('Equipment List &amp; Usage'!$AB21&gt;0,'Weekly Summary'!AH$100+'Weekly Summary'!AH$101,0)),'Equipment List &amp; Usage'!$C$115*(('Weekly Summary'!AH$128*'Equipment List &amp; Usage'!$AA21)+('Weekly Summary'!AH$100*'Equipment List &amp; Usage'!$AB21*SelfQuarantine_Mild)+('Weekly Summary'!AH$101*'Equipment List &amp; Usage'!$AB21*SelfQuarantine_Moderate)))+IF('Equipment List &amp; Usage'!$F21="Yes",('Equipment List &amp; Usage'!$C$114*(IF('Equipment List &amp; Usage'!$AE21&gt;0,'Weekly Summary'!AH$134,0)+IF('Equipment List &amp; Usage'!$AF21&gt;0,'Weekly Summary'!AH$135))),'Equipment List &amp; Usage'!$C$115*(('Weekly Summary'!AH$134*'Equipment List &amp; Usage'!$AE21)+('Weekly Summary'!AH$135*'Equipment List &amp; Usage'!$AF21))))-SUM($I19:AM19),
IF($F19="yes",MMULT(--('Equipment List &amp; Usage'!$J21:$N21&gt;0),--('Weekly Summary'!AH$112:AH$116))*'Equipment List &amp; Usage'!$C$114,MMULT(--('Equipment List &amp; Usage'!$J21:$N21),--('Weekly Summary'!AH$112:AH$116))*'Equipment List &amp; Usage'!$C$115)+IF('Equipment List &amp; Usage'!$F20="yes",'Equipment List &amp; Usage'!$C$114,'Equipment List &amp; Usage'!$C$115)*(('Weekly Summary'!AH$66*'Equipment List &amp; Usage'!$Q21)+('Weekly Summary'!AH$64*'Equipment List &amp; Usage'!$O21)+('Weekly Summary'!AH$65*'Equipment List &amp; Usage'!$P21))+(IF('Equipment List &amp; Usage'!$F21="Yes",'Equipment List &amp; Usage'!$C$114*((('Weekly Summary'!AH$131*SelfQuarantine_Mild)+('Weekly Summary'!AH$100*SelfQuarantine_Mild)+('Weekly Summary'!AH$101*SelfQuarantine_Moderate))),'Equipment List &amp; Usage'!$C$115)*((('Weekly Summary'!AH$131*SelfQuarantine_Mild*'Equipment List &amp; Usage'!$W21)+('Weekly Summary'!AH$100*SelfQuarantine_Mild*'Equipment List &amp; Usage'!$X21)+('Weekly Summary'!AH$101*SelfQuarantine_Moderate*'Equipment List &amp; Usage'!$X21))))+IF('Equipment List &amp; Usage'!$F21="Yes",'Equipment List &amp; Usage'!$C$114*(IF('Equipment List &amp; Usage'!$AA21&gt;0,'Weekly Summary'!AH$128,0)+IF('Equipment List &amp; Usage'!$AB21&gt;0,'Weekly Summary'!AH$100+'Weekly Summary'!AH$101,0)),'Equipment List &amp; Usage'!$C$115*(('Weekly Summary'!AH$128*'Equipment List &amp; Usage'!$AA21)+('Weekly Summary'!AH$100*'Equipment List &amp; Usage'!$AB21*SelfQuarantine_Mild)+('Weekly Summary'!AH$101*'Equipment List &amp; Usage'!$AB21*SelfQuarantine_Moderate)))+IF('Equipment List &amp; Usage'!$F21="Yes",('Equipment List &amp; Usage'!$C$114*(IF('Equipment List &amp; Usage'!$AE21&gt;0,'Weekly Summary'!AH$134,0)+IF('Equipment List &amp; Usage'!$AF21&gt;0,'Weekly Summary'!AH$135))),'Equipment List &amp; Usage'!$C$115*(('Weekly Summary'!AH$134*'Equipment List &amp; Usage'!$AE21)+('Weekly Summary'!AH$135*'Equipment List &amp; Usage'!$AF21)))),0)</f>
        <v>0</v>
      </c>
      <c r="AO19" s="1374">
        <f ca="1">MAX(IF($F19="Yes",(
IF($F19="yes",MMULT(--('Equipment List &amp; Usage'!$J21:$N21&gt;0),--('Weekly Summary'!AI$112:AI$116))*'Equipment List &amp; Usage'!$C$114,MMULT(--('Equipment List &amp; Usage'!$J21:$N21),--('Weekly Summary'!AI$112:AI$116))*'Equipment List &amp; Usage'!$C$115)+IF('Equipment List &amp; Usage'!$F20="yes",'Equipment List &amp; Usage'!$C$114,'Equipment List &amp; Usage'!$C$115)*(('Weekly Summary'!AI$66*'Equipment List &amp; Usage'!$Q21)+('Weekly Summary'!AI$64*'Equipment List &amp; Usage'!$O21)+('Weekly Summary'!AI$65*'Equipment List &amp; Usage'!$P21)))+(IF('Equipment List &amp; Usage'!$F21="Yes",'Equipment List &amp; Usage'!$C$114*((('Weekly Summary'!AI$131*SelfQuarantine_Mild)+('Weekly Summary'!AI$100*SelfQuarantine_Mild)+('Weekly Summary'!AI$101*SelfQuarantine_Moderate))),'Equipment List &amp; Usage'!$C$115)*((('Weekly Summary'!AI$131*SelfQuarantine_Mild*'Equipment List &amp; Usage'!$W21)+('Weekly Summary'!AI$100*SelfQuarantine_Mild*'Equipment List &amp; Usage'!$X21)+('Weekly Summary'!AI$101*SelfQuarantine_Moderate*'Equipment List &amp; Usage'!$X21)))+IF('Equipment List &amp; Usage'!$F21="Yes",'Equipment List &amp; Usage'!$C$114*(IF('Equipment List &amp; Usage'!$AA21&gt;0,'Weekly Summary'!AI$128,0)+IF('Equipment List &amp; Usage'!$AB21&gt;0,'Weekly Summary'!AI$100+'Weekly Summary'!AI$101,0)),'Equipment List &amp; Usage'!$C$115*(('Weekly Summary'!AI$128*'Equipment List &amp; Usage'!$AA21)+('Weekly Summary'!AI$100*'Equipment List &amp; Usage'!$AB21*SelfQuarantine_Mild)+('Weekly Summary'!AI$101*'Equipment List &amp; Usage'!$AB21*SelfQuarantine_Moderate)))+IF('Equipment List &amp; Usage'!$F21="Yes",('Equipment List &amp; Usage'!$C$114*(IF('Equipment List &amp; Usage'!$AE21&gt;0,'Weekly Summary'!AI$134,0)+IF('Equipment List &amp; Usage'!$AF21&gt;0,'Weekly Summary'!AI$135))),'Equipment List &amp; Usage'!$C$115*(('Weekly Summary'!AI$134*'Equipment List &amp; Usage'!$AE21)+('Weekly Summary'!AI$135*'Equipment List &amp; Usage'!$AF21))))-SUM($I19:AN19),
IF($F19="yes",MMULT(--('Equipment List &amp; Usage'!$J21:$N21&gt;0),--('Weekly Summary'!AI$112:AI$116))*'Equipment List &amp; Usage'!$C$114,MMULT(--('Equipment List &amp; Usage'!$J21:$N21),--('Weekly Summary'!AI$112:AI$116))*'Equipment List &amp; Usage'!$C$115)+IF('Equipment List &amp; Usage'!$F20="yes",'Equipment List &amp; Usage'!$C$114,'Equipment List &amp; Usage'!$C$115)*(('Weekly Summary'!AI$66*'Equipment List &amp; Usage'!$Q21)+('Weekly Summary'!AI$64*'Equipment List &amp; Usage'!$O21)+('Weekly Summary'!AI$65*'Equipment List &amp; Usage'!$P21))+(IF('Equipment List &amp; Usage'!$F21="Yes",'Equipment List &amp; Usage'!$C$114*((('Weekly Summary'!AI$131*SelfQuarantine_Mild)+('Weekly Summary'!AI$100*SelfQuarantine_Mild)+('Weekly Summary'!AI$101*SelfQuarantine_Moderate))),'Equipment List &amp; Usage'!$C$115)*((('Weekly Summary'!AI$131*SelfQuarantine_Mild*'Equipment List &amp; Usage'!$W21)+('Weekly Summary'!AI$100*SelfQuarantine_Mild*'Equipment List &amp; Usage'!$X21)+('Weekly Summary'!AI$101*SelfQuarantine_Moderate*'Equipment List &amp; Usage'!$X21))))+IF('Equipment List &amp; Usage'!$F21="Yes",'Equipment List &amp; Usage'!$C$114*(IF('Equipment List &amp; Usage'!$AA21&gt;0,'Weekly Summary'!AI$128,0)+IF('Equipment List &amp; Usage'!$AB21&gt;0,'Weekly Summary'!AI$100+'Weekly Summary'!AI$101,0)),'Equipment List &amp; Usage'!$C$115*(('Weekly Summary'!AI$128*'Equipment List &amp; Usage'!$AA21)+('Weekly Summary'!AI$100*'Equipment List &amp; Usage'!$AB21*SelfQuarantine_Mild)+('Weekly Summary'!AI$101*'Equipment List &amp; Usage'!$AB21*SelfQuarantine_Moderate)))+IF('Equipment List &amp; Usage'!$F21="Yes",('Equipment List &amp; Usage'!$C$114*(IF('Equipment List &amp; Usage'!$AE21&gt;0,'Weekly Summary'!AI$134,0)+IF('Equipment List &amp; Usage'!$AF21&gt;0,'Weekly Summary'!AI$135))),'Equipment List &amp; Usage'!$C$115*(('Weekly Summary'!AI$134*'Equipment List &amp; Usage'!$AE21)+('Weekly Summary'!AI$135*'Equipment List &amp; Usage'!$AF21)))),0)</f>
        <v>0</v>
      </c>
      <c r="AP19" s="1374">
        <f ca="1">MAX(IF($F19="Yes",(
IF($F19="yes",MMULT(--('Equipment List &amp; Usage'!$J21:$N21&gt;0),--('Weekly Summary'!AJ$112:AJ$116))*'Equipment List &amp; Usage'!$C$114,MMULT(--('Equipment List &amp; Usage'!$J21:$N21),--('Weekly Summary'!AJ$112:AJ$116))*'Equipment List &amp; Usage'!$C$115)+IF('Equipment List &amp; Usage'!$F20="yes",'Equipment List &amp; Usage'!$C$114,'Equipment List &amp; Usage'!$C$115)*(('Weekly Summary'!AJ$66*'Equipment List &amp; Usage'!$Q21)+('Weekly Summary'!AJ$64*'Equipment List &amp; Usage'!$O21)+('Weekly Summary'!AJ$65*'Equipment List &amp; Usage'!$P21)))+(IF('Equipment List &amp; Usage'!$F21="Yes",'Equipment List &amp; Usage'!$C$114*((('Weekly Summary'!AJ$131*SelfQuarantine_Mild)+('Weekly Summary'!AJ$100*SelfQuarantine_Mild)+('Weekly Summary'!AJ$101*SelfQuarantine_Moderate))),'Equipment List &amp; Usage'!$C$115)*((('Weekly Summary'!AJ$131*SelfQuarantine_Mild*'Equipment List &amp; Usage'!$W21)+('Weekly Summary'!AJ$100*SelfQuarantine_Mild*'Equipment List &amp; Usage'!$X21)+('Weekly Summary'!AJ$101*SelfQuarantine_Moderate*'Equipment List &amp; Usage'!$X21)))+IF('Equipment List &amp; Usage'!$F21="Yes",'Equipment List &amp; Usage'!$C$114*(IF('Equipment List &amp; Usage'!$AA21&gt;0,'Weekly Summary'!AJ$128,0)+IF('Equipment List &amp; Usage'!$AB21&gt;0,'Weekly Summary'!AJ$100+'Weekly Summary'!AJ$101,0)),'Equipment List &amp; Usage'!$C$115*(('Weekly Summary'!AJ$128*'Equipment List &amp; Usage'!$AA21)+('Weekly Summary'!AJ$100*'Equipment List &amp; Usage'!$AB21*SelfQuarantine_Mild)+('Weekly Summary'!AJ$101*'Equipment List &amp; Usage'!$AB21*SelfQuarantine_Moderate)))+IF('Equipment List &amp; Usage'!$F21="Yes",('Equipment List &amp; Usage'!$C$114*(IF('Equipment List &amp; Usage'!$AE21&gt;0,'Weekly Summary'!AJ$134,0)+IF('Equipment List &amp; Usage'!$AF21&gt;0,'Weekly Summary'!AJ$135))),'Equipment List &amp; Usage'!$C$115*(('Weekly Summary'!AJ$134*'Equipment List &amp; Usage'!$AE21)+('Weekly Summary'!AJ$135*'Equipment List &amp; Usage'!$AF21))))-SUM($I19:AO19),
IF($F19="yes",MMULT(--('Equipment List &amp; Usage'!$J21:$N21&gt;0),--('Weekly Summary'!AJ$112:AJ$116))*'Equipment List &amp; Usage'!$C$114,MMULT(--('Equipment List &amp; Usage'!$J21:$N21),--('Weekly Summary'!AJ$112:AJ$116))*'Equipment List &amp; Usage'!$C$115)+IF('Equipment List &amp; Usage'!$F20="yes",'Equipment List &amp; Usage'!$C$114,'Equipment List &amp; Usage'!$C$115)*(('Weekly Summary'!AJ$66*'Equipment List &amp; Usage'!$Q21)+('Weekly Summary'!AJ$64*'Equipment List &amp; Usage'!$O21)+('Weekly Summary'!AJ$65*'Equipment List &amp; Usage'!$P21))+(IF('Equipment List &amp; Usage'!$F21="Yes",'Equipment List &amp; Usage'!$C$114*((('Weekly Summary'!AJ$131*SelfQuarantine_Mild)+('Weekly Summary'!AJ$100*SelfQuarantine_Mild)+('Weekly Summary'!AJ$101*SelfQuarantine_Moderate))),'Equipment List &amp; Usage'!$C$115)*((('Weekly Summary'!AJ$131*SelfQuarantine_Mild*'Equipment List &amp; Usage'!$W21)+('Weekly Summary'!AJ$100*SelfQuarantine_Mild*'Equipment List &amp; Usage'!$X21)+('Weekly Summary'!AJ$101*SelfQuarantine_Moderate*'Equipment List &amp; Usage'!$X21))))+IF('Equipment List &amp; Usage'!$F21="Yes",'Equipment List &amp; Usage'!$C$114*(IF('Equipment List &amp; Usage'!$AA21&gt;0,'Weekly Summary'!AJ$128,0)+IF('Equipment List &amp; Usage'!$AB21&gt;0,'Weekly Summary'!AJ$100+'Weekly Summary'!AJ$101,0)),'Equipment List &amp; Usage'!$C$115*(('Weekly Summary'!AJ$128*'Equipment List &amp; Usage'!$AA21)+('Weekly Summary'!AJ$100*'Equipment List &amp; Usage'!$AB21*SelfQuarantine_Mild)+('Weekly Summary'!AJ$101*'Equipment List &amp; Usage'!$AB21*SelfQuarantine_Moderate)))+IF('Equipment List &amp; Usage'!$F21="Yes",('Equipment List &amp; Usage'!$C$114*(IF('Equipment List &amp; Usage'!$AE21&gt;0,'Weekly Summary'!AJ$134,0)+IF('Equipment List &amp; Usage'!$AF21&gt;0,'Weekly Summary'!AJ$135))),'Equipment List &amp; Usage'!$C$115*(('Weekly Summary'!AJ$134*'Equipment List &amp; Usage'!$AE21)+('Weekly Summary'!AJ$135*'Equipment List &amp; Usage'!$AF21)))),0)</f>
        <v>0</v>
      </c>
      <c r="AQ19" s="1374">
        <f ca="1">MAX(IF($F19="Yes",(
IF($F19="yes",MMULT(--('Equipment List &amp; Usage'!$J21:$N21&gt;0),--('Weekly Summary'!AK$112:AK$116))*'Equipment List &amp; Usage'!$C$114,MMULT(--('Equipment List &amp; Usage'!$J21:$N21),--('Weekly Summary'!AK$112:AK$116))*'Equipment List &amp; Usage'!$C$115)+IF('Equipment List &amp; Usage'!$F20="yes",'Equipment List &amp; Usage'!$C$114,'Equipment List &amp; Usage'!$C$115)*(('Weekly Summary'!AK$66*'Equipment List &amp; Usage'!$Q21)+('Weekly Summary'!AK$64*'Equipment List &amp; Usage'!$O21)+('Weekly Summary'!AK$65*'Equipment List &amp; Usage'!$P21)))+(IF('Equipment List &amp; Usage'!$F21="Yes",'Equipment List &amp; Usage'!$C$114*((('Weekly Summary'!AK$131*SelfQuarantine_Mild)+('Weekly Summary'!AK$100*SelfQuarantine_Mild)+('Weekly Summary'!AK$101*SelfQuarantine_Moderate))),'Equipment List &amp; Usage'!$C$115)*((('Weekly Summary'!AK$131*SelfQuarantine_Mild*'Equipment List &amp; Usage'!$W21)+('Weekly Summary'!AK$100*SelfQuarantine_Mild*'Equipment List &amp; Usage'!$X21)+('Weekly Summary'!AK$101*SelfQuarantine_Moderate*'Equipment List &amp; Usage'!$X21)))+IF('Equipment List &amp; Usage'!$F21="Yes",'Equipment List &amp; Usage'!$C$114*(IF('Equipment List &amp; Usage'!$AA21&gt;0,'Weekly Summary'!AK$128,0)+IF('Equipment List &amp; Usage'!$AB21&gt;0,'Weekly Summary'!AK$100+'Weekly Summary'!AK$101,0)),'Equipment List &amp; Usage'!$C$115*(('Weekly Summary'!AK$128*'Equipment List &amp; Usage'!$AA21)+('Weekly Summary'!AK$100*'Equipment List &amp; Usage'!$AB21*SelfQuarantine_Mild)+('Weekly Summary'!AK$101*'Equipment List &amp; Usage'!$AB21*SelfQuarantine_Moderate)))+IF('Equipment List &amp; Usage'!$F21="Yes",('Equipment List &amp; Usage'!$C$114*(IF('Equipment List &amp; Usage'!$AE21&gt;0,'Weekly Summary'!AK$134,0)+IF('Equipment List &amp; Usage'!$AF21&gt;0,'Weekly Summary'!AK$135))),'Equipment List &amp; Usage'!$C$115*(('Weekly Summary'!AK$134*'Equipment List &amp; Usage'!$AE21)+('Weekly Summary'!AK$135*'Equipment List &amp; Usage'!$AF21))))-SUM($I19:AP19),
IF($F19="yes",MMULT(--('Equipment List &amp; Usage'!$J21:$N21&gt;0),--('Weekly Summary'!AK$112:AK$116))*'Equipment List &amp; Usage'!$C$114,MMULT(--('Equipment List &amp; Usage'!$J21:$N21),--('Weekly Summary'!AK$112:AK$116))*'Equipment List &amp; Usage'!$C$115)+IF('Equipment List &amp; Usage'!$F20="yes",'Equipment List &amp; Usage'!$C$114,'Equipment List &amp; Usage'!$C$115)*(('Weekly Summary'!AK$66*'Equipment List &amp; Usage'!$Q21)+('Weekly Summary'!AK$64*'Equipment List &amp; Usage'!$O21)+('Weekly Summary'!AK$65*'Equipment List &amp; Usage'!$P21))+(IF('Equipment List &amp; Usage'!$F21="Yes",'Equipment List &amp; Usage'!$C$114*((('Weekly Summary'!AK$131*SelfQuarantine_Mild)+('Weekly Summary'!AK$100*SelfQuarantine_Mild)+('Weekly Summary'!AK$101*SelfQuarantine_Moderate))),'Equipment List &amp; Usage'!$C$115)*((('Weekly Summary'!AK$131*SelfQuarantine_Mild*'Equipment List &amp; Usage'!$W21)+('Weekly Summary'!AK$100*SelfQuarantine_Mild*'Equipment List &amp; Usage'!$X21)+('Weekly Summary'!AK$101*SelfQuarantine_Moderate*'Equipment List &amp; Usage'!$X21))))+IF('Equipment List &amp; Usage'!$F21="Yes",'Equipment List &amp; Usage'!$C$114*(IF('Equipment List &amp; Usage'!$AA21&gt;0,'Weekly Summary'!AK$128,0)+IF('Equipment List &amp; Usage'!$AB21&gt;0,'Weekly Summary'!AK$100+'Weekly Summary'!AK$101,0)),'Equipment List &amp; Usage'!$C$115*(('Weekly Summary'!AK$128*'Equipment List &amp; Usage'!$AA21)+('Weekly Summary'!AK$100*'Equipment List &amp; Usage'!$AB21*SelfQuarantine_Mild)+('Weekly Summary'!AK$101*'Equipment List &amp; Usage'!$AB21*SelfQuarantine_Moderate)))+IF('Equipment List &amp; Usage'!$F21="Yes",('Equipment List &amp; Usage'!$C$114*(IF('Equipment List &amp; Usage'!$AE21&gt;0,'Weekly Summary'!AK$134,0)+IF('Equipment List &amp; Usage'!$AF21&gt;0,'Weekly Summary'!AK$135))),'Equipment List &amp; Usage'!$C$115*(('Weekly Summary'!AK$134*'Equipment List &amp; Usage'!$AE21)+('Weekly Summary'!AK$135*'Equipment List &amp; Usage'!$AF21)))),0)</f>
        <v>0</v>
      </c>
      <c r="AR19" s="1374">
        <f ca="1">MAX(IF($F19="Yes",(
IF($F19="yes",MMULT(--('Equipment List &amp; Usage'!$J21:$N21&gt;0),--('Weekly Summary'!AL$112:AL$116))*'Equipment List &amp; Usage'!$C$114,MMULT(--('Equipment List &amp; Usage'!$J21:$N21),--('Weekly Summary'!AL$112:AL$116))*'Equipment List &amp; Usage'!$C$115)+IF('Equipment List &amp; Usage'!$F20="yes",'Equipment List &amp; Usage'!$C$114,'Equipment List &amp; Usage'!$C$115)*(('Weekly Summary'!AL$66*'Equipment List &amp; Usage'!$Q21)+('Weekly Summary'!AL$64*'Equipment List &amp; Usage'!$O21)+('Weekly Summary'!AL$65*'Equipment List &amp; Usage'!$P21)))+(IF('Equipment List &amp; Usage'!$F21="Yes",'Equipment List &amp; Usage'!$C$114*((('Weekly Summary'!AL$131*SelfQuarantine_Mild)+('Weekly Summary'!AL$100*SelfQuarantine_Mild)+('Weekly Summary'!AL$101*SelfQuarantine_Moderate))),'Equipment List &amp; Usage'!$C$115)*((('Weekly Summary'!AL$131*SelfQuarantine_Mild*'Equipment List &amp; Usage'!$W21)+('Weekly Summary'!AL$100*SelfQuarantine_Mild*'Equipment List &amp; Usage'!$X21)+('Weekly Summary'!AL$101*SelfQuarantine_Moderate*'Equipment List &amp; Usage'!$X21)))+IF('Equipment List &amp; Usage'!$F21="Yes",'Equipment List &amp; Usage'!$C$114*(IF('Equipment List &amp; Usage'!$AA21&gt;0,'Weekly Summary'!AL$128,0)+IF('Equipment List &amp; Usage'!$AB21&gt;0,'Weekly Summary'!AL$100+'Weekly Summary'!AL$101,0)),'Equipment List &amp; Usage'!$C$115*(('Weekly Summary'!AL$128*'Equipment List &amp; Usage'!$AA21)+('Weekly Summary'!AL$100*'Equipment List &amp; Usage'!$AB21*SelfQuarantine_Mild)+('Weekly Summary'!AL$101*'Equipment List &amp; Usage'!$AB21*SelfQuarantine_Moderate)))+IF('Equipment List &amp; Usage'!$F21="Yes",('Equipment List &amp; Usage'!$C$114*(IF('Equipment List &amp; Usage'!$AE21&gt;0,'Weekly Summary'!AL$134,0)+IF('Equipment List &amp; Usage'!$AF21&gt;0,'Weekly Summary'!AL$135))),'Equipment List &amp; Usage'!$C$115*(('Weekly Summary'!AL$134*'Equipment List &amp; Usage'!$AE21)+('Weekly Summary'!AL$135*'Equipment List &amp; Usage'!$AF21))))-SUM($I19:AQ19),
IF($F19="yes",MMULT(--('Equipment List &amp; Usage'!$J21:$N21&gt;0),--('Weekly Summary'!AL$112:AL$116))*'Equipment List &amp; Usage'!$C$114,MMULT(--('Equipment List &amp; Usage'!$J21:$N21),--('Weekly Summary'!AL$112:AL$116))*'Equipment List &amp; Usage'!$C$115)+IF('Equipment List &amp; Usage'!$F20="yes",'Equipment List &amp; Usage'!$C$114,'Equipment List &amp; Usage'!$C$115)*(('Weekly Summary'!AL$66*'Equipment List &amp; Usage'!$Q21)+('Weekly Summary'!AL$64*'Equipment List &amp; Usage'!$O21)+('Weekly Summary'!AL$65*'Equipment List &amp; Usage'!$P21))+(IF('Equipment List &amp; Usage'!$F21="Yes",'Equipment List &amp; Usage'!$C$114*((('Weekly Summary'!AL$131*SelfQuarantine_Mild)+('Weekly Summary'!AL$100*SelfQuarantine_Mild)+('Weekly Summary'!AL$101*SelfQuarantine_Moderate))),'Equipment List &amp; Usage'!$C$115)*((('Weekly Summary'!AL$131*SelfQuarantine_Mild*'Equipment List &amp; Usage'!$W21)+('Weekly Summary'!AL$100*SelfQuarantine_Mild*'Equipment List &amp; Usage'!$X21)+('Weekly Summary'!AL$101*SelfQuarantine_Moderate*'Equipment List &amp; Usage'!$X21))))+IF('Equipment List &amp; Usage'!$F21="Yes",'Equipment List &amp; Usage'!$C$114*(IF('Equipment List &amp; Usage'!$AA21&gt;0,'Weekly Summary'!AL$128,0)+IF('Equipment List &amp; Usage'!$AB21&gt;0,'Weekly Summary'!AL$100+'Weekly Summary'!AL$101,0)),'Equipment List &amp; Usage'!$C$115*(('Weekly Summary'!AL$128*'Equipment List &amp; Usage'!$AA21)+('Weekly Summary'!AL$100*'Equipment List &amp; Usage'!$AB21*SelfQuarantine_Mild)+('Weekly Summary'!AL$101*'Equipment List &amp; Usage'!$AB21*SelfQuarantine_Moderate)))+IF('Equipment List &amp; Usage'!$F21="Yes",('Equipment List &amp; Usage'!$C$114*(IF('Equipment List &amp; Usage'!$AE21&gt;0,'Weekly Summary'!AL$134,0)+IF('Equipment List &amp; Usage'!$AF21&gt;0,'Weekly Summary'!AL$135))),'Equipment List &amp; Usage'!$C$115*(('Weekly Summary'!AL$134*'Equipment List &amp; Usage'!$AE21)+('Weekly Summary'!AL$135*'Equipment List &amp; Usage'!$AF21)))),0)</f>
        <v>0</v>
      </c>
      <c r="AS19" s="1374">
        <f ca="1">MAX(IF($F19="Yes",(
IF($F19="yes",MMULT(--('Equipment List &amp; Usage'!$J21:$N21&gt;0),--('Weekly Summary'!AM$112:AM$116))*'Equipment List &amp; Usage'!$C$114,MMULT(--('Equipment List &amp; Usage'!$J21:$N21),--('Weekly Summary'!AM$112:AM$116))*'Equipment List &amp; Usage'!$C$115)+IF('Equipment List &amp; Usage'!$F20="yes",'Equipment List &amp; Usage'!$C$114,'Equipment List &amp; Usage'!$C$115)*(('Weekly Summary'!AM$66*'Equipment List &amp; Usage'!$Q21)+('Weekly Summary'!AM$64*'Equipment List &amp; Usage'!$O21)+('Weekly Summary'!AM$65*'Equipment List &amp; Usage'!$P21)))+(IF('Equipment List &amp; Usage'!$F21="Yes",'Equipment List &amp; Usage'!$C$114*((('Weekly Summary'!AM$131*SelfQuarantine_Mild)+('Weekly Summary'!AM$100*SelfQuarantine_Mild)+('Weekly Summary'!AM$101*SelfQuarantine_Moderate))),'Equipment List &amp; Usage'!$C$115)*((('Weekly Summary'!AM$131*SelfQuarantine_Mild*'Equipment List &amp; Usage'!$W21)+('Weekly Summary'!AM$100*SelfQuarantine_Mild*'Equipment List &amp; Usage'!$X21)+('Weekly Summary'!AM$101*SelfQuarantine_Moderate*'Equipment List &amp; Usage'!$X21)))+IF('Equipment List &amp; Usage'!$F21="Yes",'Equipment List &amp; Usage'!$C$114*(IF('Equipment List &amp; Usage'!$AA21&gt;0,'Weekly Summary'!AM$128,0)+IF('Equipment List &amp; Usage'!$AB21&gt;0,'Weekly Summary'!AM$100+'Weekly Summary'!AM$101,0)),'Equipment List &amp; Usage'!$C$115*(('Weekly Summary'!AM$128*'Equipment List &amp; Usage'!$AA21)+('Weekly Summary'!AM$100*'Equipment List &amp; Usage'!$AB21*SelfQuarantine_Mild)+('Weekly Summary'!AM$101*'Equipment List &amp; Usage'!$AB21*SelfQuarantine_Moderate)))+IF('Equipment List &amp; Usage'!$F21="Yes",('Equipment List &amp; Usage'!$C$114*(IF('Equipment List &amp; Usage'!$AE21&gt;0,'Weekly Summary'!AM$134,0)+IF('Equipment List &amp; Usage'!$AF21&gt;0,'Weekly Summary'!AM$135))),'Equipment List &amp; Usage'!$C$115*(('Weekly Summary'!AM$134*'Equipment List &amp; Usage'!$AE21)+('Weekly Summary'!AM$135*'Equipment List &amp; Usage'!$AF21))))-SUM($I19:AR19),
IF($F19="yes",MMULT(--('Equipment List &amp; Usage'!$J21:$N21&gt;0),--('Weekly Summary'!AM$112:AM$116))*'Equipment List &amp; Usage'!$C$114,MMULT(--('Equipment List &amp; Usage'!$J21:$N21),--('Weekly Summary'!AM$112:AM$116))*'Equipment List &amp; Usage'!$C$115)+IF('Equipment List &amp; Usage'!$F20="yes",'Equipment List &amp; Usage'!$C$114,'Equipment List &amp; Usage'!$C$115)*(('Weekly Summary'!AM$66*'Equipment List &amp; Usage'!$Q21)+('Weekly Summary'!AM$64*'Equipment List &amp; Usage'!$O21)+('Weekly Summary'!AM$65*'Equipment List &amp; Usage'!$P21))+(IF('Equipment List &amp; Usage'!$F21="Yes",'Equipment List &amp; Usage'!$C$114*((('Weekly Summary'!AM$131*SelfQuarantine_Mild)+('Weekly Summary'!AM$100*SelfQuarantine_Mild)+('Weekly Summary'!AM$101*SelfQuarantine_Moderate))),'Equipment List &amp; Usage'!$C$115)*((('Weekly Summary'!AM$131*SelfQuarantine_Mild*'Equipment List &amp; Usage'!$W21)+('Weekly Summary'!AM$100*SelfQuarantine_Mild*'Equipment List &amp; Usage'!$X21)+('Weekly Summary'!AM$101*SelfQuarantine_Moderate*'Equipment List &amp; Usage'!$X21))))+IF('Equipment List &amp; Usage'!$F21="Yes",'Equipment List &amp; Usage'!$C$114*(IF('Equipment List &amp; Usage'!$AA21&gt;0,'Weekly Summary'!AM$128,0)+IF('Equipment List &amp; Usage'!$AB21&gt;0,'Weekly Summary'!AM$100+'Weekly Summary'!AM$101,0)),'Equipment List &amp; Usage'!$C$115*(('Weekly Summary'!AM$128*'Equipment List &amp; Usage'!$AA21)+('Weekly Summary'!AM$100*'Equipment List &amp; Usage'!$AB21*SelfQuarantine_Mild)+('Weekly Summary'!AM$101*'Equipment List &amp; Usage'!$AB21*SelfQuarantine_Moderate)))+IF('Equipment List &amp; Usage'!$F21="Yes",('Equipment List &amp; Usage'!$C$114*(IF('Equipment List &amp; Usage'!$AE21&gt;0,'Weekly Summary'!AM$134,0)+IF('Equipment List &amp; Usage'!$AF21&gt;0,'Weekly Summary'!AM$135))),'Equipment List &amp; Usage'!$C$115*(('Weekly Summary'!AM$134*'Equipment List &amp; Usage'!$AE21)+('Weekly Summary'!AM$135*'Equipment List &amp; Usage'!$AF21)))),0)</f>
        <v>0</v>
      </c>
      <c r="AT19" s="1374">
        <f ca="1">MAX(IF($F19="Yes",(
IF($F19="yes",MMULT(--('Equipment List &amp; Usage'!$J21:$N21&gt;0),--('Weekly Summary'!AN$112:AN$116))*'Equipment List &amp; Usage'!$C$114,MMULT(--('Equipment List &amp; Usage'!$J21:$N21),--('Weekly Summary'!AN$112:AN$116))*'Equipment List &amp; Usage'!$C$115)+IF('Equipment List &amp; Usage'!$F20="yes",'Equipment List &amp; Usage'!$C$114,'Equipment List &amp; Usage'!$C$115)*(('Weekly Summary'!AN$66*'Equipment List &amp; Usage'!$Q21)+('Weekly Summary'!AN$64*'Equipment List &amp; Usage'!$O21)+('Weekly Summary'!AN$65*'Equipment List &amp; Usage'!$P21)))+(IF('Equipment List &amp; Usage'!$F21="Yes",'Equipment List &amp; Usage'!$C$114*((('Weekly Summary'!AN$131*SelfQuarantine_Mild)+('Weekly Summary'!AN$100*SelfQuarantine_Mild)+('Weekly Summary'!AN$101*SelfQuarantine_Moderate))),'Equipment List &amp; Usage'!$C$115)*((('Weekly Summary'!AN$131*SelfQuarantine_Mild*'Equipment List &amp; Usage'!$W21)+('Weekly Summary'!AN$100*SelfQuarantine_Mild*'Equipment List &amp; Usage'!$X21)+('Weekly Summary'!AN$101*SelfQuarantine_Moderate*'Equipment List &amp; Usage'!$X21)))+IF('Equipment List &amp; Usage'!$F21="Yes",'Equipment List &amp; Usage'!$C$114*(IF('Equipment List &amp; Usage'!$AA21&gt;0,'Weekly Summary'!AN$128,0)+IF('Equipment List &amp; Usage'!$AB21&gt;0,'Weekly Summary'!AN$100+'Weekly Summary'!AN$101,0)),'Equipment List &amp; Usage'!$C$115*(('Weekly Summary'!AN$128*'Equipment List &amp; Usage'!$AA21)+('Weekly Summary'!AN$100*'Equipment List &amp; Usage'!$AB21*SelfQuarantine_Mild)+('Weekly Summary'!AN$101*'Equipment List &amp; Usage'!$AB21*SelfQuarantine_Moderate)))+IF('Equipment List &amp; Usage'!$F21="Yes",('Equipment List &amp; Usage'!$C$114*(IF('Equipment List &amp; Usage'!$AE21&gt;0,'Weekly Summary'!AN$134,0)+IF('Equipment List &amp; Usage'!$AF21&gt;0,'Weekly Summary'!AN$135))),'Equipment List &amp; Usage'!$C$115*(('Weekly Summary'!AN$134*'Equipment List &amp; Usage'!$AE21)+('Weekly Summary'!AN$135*'Equipment List &amp; Usage'!$AF21))))-SUM($I19:AS19),
IF($F19="yes",MMULT(--('Equipment List &amp; Usage'!$J21:$N21&gt;0),--('Weekly Summary'!AN$112:AN$116))*'Equipment List &amp; Usage'!$C$114,MMULT(--('Equipment List &amp; Usage'!$J21:$N21),--('Weekly Summary'!AN$112:AN$116))*'Equipment List &amp; Usage'!$C$115)+IF('Equipment List &amp; Usage'!$F20="yes",'Equipment List &amp; Usage'!$C$114,'Equipment List &amp; Usage'!$C$115)*(('Weekly Summary'!AN$66*'Equipment List &amp; Usage'!$Q21)+('Weekly Summary'!AN$64*'Equipment List &amp; Usage'!$O21)+('Weekly Summary'!AN$65*'Equipment List &amp; Usage'!$P21))+(IF('Equipment List &amp; Usage'!$F21="Yes",'Equipment List &amp; Usage'!$C$114*((('Weekly Summary'!AN$131*SelfQuarantine_Mild)+('Weekly Summary'!AN$100*SelfQuarantine_Mild)+('Weekly Summary'!AN$101*SelfQuarantine_Moderate))),'Equipment List &amp; Usage'!$C$115)*((('Weekly Summary'!AN$131*SelfQuarantine_Mild*'Equipment List &amp; Usage'!$W21)+('Weekly Summary'!AN$100*SelfQuarantine_Mild*'Equipment List &amp; Usage'!$X21)+('Weekly Summary'!AN$101*SelfQuarantine_Moderate*'Equipment List &amp; Usage'!$X21))))+IF('Equipment List &amp; Usage'!$F21="Yes",'Equipment List &amp; Usage'!$C$114*(IF('Equipment List &amp; Usage'!$AA21&gt;0,'Weekly Summary'!AN$128,0)+IF('Equipment List &amp; Usage'!$AB21&gt;0,'Weekly Summary'!AN$100+'Weekly Summary'!AN$101,0)),'Equipment List &amp; Usage'!$C$115*(('Weekly Summary'!AN$128*'Equipment List &amp; Usage'!$AA21)+('Weekly Summary'!AN$100*'Equipment List &amp; Usage'!$AB21*SelfQuarantine_Mild)+('Weekly Summary'!AN$101*'Equipment List &amp; Usage'!$AB21*SelfQuarantine_Moderate)))+IF('Equipment List &amp; Usage'!$F21="Yes",('Equipment List &amp; Usage'!$C$114*(IF('Equipment List &amp; Usage'!$AE21&gt;0,'Weekly Summary'!AN$134,0)+IF('Equipment List &amp; Usage'!$AF21&gt;0,'Weekly Summary'!AN$135))),'Equipment List &amp; Usage'!$C$115*(('Weekly Summary'!AN$134*'Equipment List &amp; Usage'!$AE21)+('Weekly Summary'!AN$135*'Equipment List &amp; Usage'!$AF21)))),0)</f>
        <v>0</v>
      </c>
      <c r="AU19" s="1374">
        <f ca="1">MAX(IF($F19="Yes",(
IF($F19="yes",MMULT(--('Equipment List &amp; Usage'!$J21:$N21&gt;0),--('Weekly Summary'!AO$112:AO$116))*'Equipment List &amp; Usage'!$C$114,MMULT(--('Equipment List &amp; Usage'!$J21:$N21),--('Weekly Summary'!AO$112:AO$116))*'Equipment List &amp; Usage'!$C$115)+IF('Equipment List &amp; Usage'!$F20="yes",'Equipment List &amp; Usage'!$C$114,'Equipment List &amp; Usage'!$C$115)*(('Weekly Summary'!AO$66*'Equipment List &amp; Usage'!$Q21)+('Weekly Summary'!AO$64*'Equipment List &amp; Usage'!$O21)+('Weekly Summary'!AO$65*'Equipment List &amp; Usage'!$P21)))+(IF('Equipment List &amp; Usage'!$F21="Yes",'Equipment List &amp; Usage'!$C$114*((('Weekly Summary'!AO$131*SelfQuarantine_Mild)+('Weekly Summary'!AO$100*SelfQuarantine_Mild)+('Weekly Summary'!AO$101*SelfQuarantine_Moderate))),'Equipment List &amp; Usage'!$C$115)*((('Weekly Summary'!AO$131*SelfQuarantine_Mild*'Equipment List &amp; Usage'!$W21)+('Weekly Summary'!AO$100*SelfQuarantine_Mild*'Equipment List &amp; Usage'!$X21)+('Weekly Summary'!AO$101*SelfQuarantine_Moderate*'Equipment List &amp; Usage'!$X21)))+IF('Equipment List &amp; Usage'!$F21="Yes",'Equipment List &amp; Usage'!$C$114*(IF('Equipment List &amp; Usage'!$AA21&gt;0,'Weekly Summary'!AO$128,0)+IF('Equipment List &amp; Usage'!$AB21&gt;0,'Weekly Summary'!AO$100+'Weekly Summary'!AO$101,0)),'Equipment List &amp; Usage'!$C$115*(('Weekly Summary'!AO$128*'Equipment List &amp; Usage'!$AA21)+('Weekly Summary'!AO$100*'Equipment List &amp; Usage'!$AB21*SelfQuarantine_Mild)+('Weekly Summary'!AO$101*'Equipment List &amp; Usage'!$AB21*SelfQuarantine_Moderate)))+IF('Equipment List &amp; Usage'!$F21="Yes",('Equipment List &amp; Usage'!$C$114*(IF('Equipment List &amp; Usage'!$AE21&gt;0,'Weekly Summary'!AO$134,0)+IF('Equipment List &amp; Usage'!$AF21&gt;0,'Weekly Summary'!AO$135))),'Equipment List &amp; Usage'!$C$115*(('Weekly Summary'!AO$134*'Equipment List &amp; Usage'!$AE21)+('Weekly Summary'!AO$135*'Equipment List &amp; Usage'!$AF21))))-SUM($I19:AT19),
IF($F19="yes",MMULT(--('Equipment List &amp; Usage'!$J21:$N21&gt;0),--('Weekly Summary'!AO$112:AO$116))*'Equipment List &amp; Usage'!$C$114,MMULT(--('Equipment List &amp; Usage'!$J21:$N21),--('Weekly Summary'!AO$112:AO$116))*'Equipment List &amp; Usage'!$C$115)+IF('Equipment List &amp; Usage'!$F20="yes",'Equipment List &amp; Usage'!$C$114,'Equipment List &amp; Usage'!$C$115)*(('Weekly Summary'!AO$66*'Equipment List &amp; Usage'!$Q21)+('Weekly Summary'!AO$64*'Equipment List &amp; Usage'!$O21)+('Weekly Summary'!AO$65*'Equipment List &amp; Usage'!$P21))+(IF('Equipment List &amp; Usage'!$F21="Yes",'Equipment List &amp; Usage'!$C$114*((('Weekly Summary'!AO$131*SelfQuarantine_Mild)+('Weekly Summary'!AO$100*SelfQuarantine_Mild)+('Weekly Summary'!AO$101*SelfQuarantine_Moderate))),'Equipment List &amp; Usage'!$C$115)*((('Weekly Summary'!AO$131*SelfQuarantine_Mild*'Equipment List &amp; Usage'!$W21)+('Weekly Summary'!AO$100*SelfQuarantine_Mild*'Equipment List &amp; Usage'!$X21)+('Weekly Summary'!AO$101*SelfQuarantine_Moderate*'Equipment List &amp; Usage'!$X21))))+IF('Equipment List &amp; Usage'!$F21="Yes",'Equipment List &amp; Usage'!$C$114*(IF('Equipment List &amp; Usage'!$AA21&gt;0,'Weekly Summary'!AO$128,0)+IF('Equipment List &amp; Usage'!$AB21&gt;0,'Weekly Summary'!AO$100+'Weekly Summary'!AO$101,0)),'Equipment List &amp; Usage'!$C$115*(('Weekly Summary'!AO$128*'Equipment List &amp; Usage'!$AA21)+('Weekly Summary'!AO$100*'Equipment List &amp; Usage'!$AB21*SelfQuarantine_Mild)+('Weekly Summary'!AO$101*'Equipment List &amp; Usage'!$AB21*SelfQuarantine_Moderate)))+IF('Equipment List &amp; Usage'!$F21="Yes",('Equipment List &amp; Usage'!$C$114*(IF('Equipment List &amp; Usage'!$AE21&gt;0,'Weekly Summary'!AO$134,0)+IF('Equipment List &amp; Usage'!$AF21&gt;0,'Weekly Summary'!AO$135))),'Equipment List &amp; Usage'!$C$115*(('Weekly Summary'!AO$134*'Equipment List &amp; Usage'!$AE21)+('Weekly Summary'!AO$135*'Equipment List &amp; Usage'!$AF21)))),0)</f>
        <v>0</v>
      </c>
      <c r="AV19" s="1374">
        <f ca="1">MAX(IF($F19="Yes",(
IF($F19="yes",MMULT(--('Equipment List &amp; Usage'!$J21:$N21&gt;0),--('Weekly Summary'!AP$112:AP$116))*'Equipment List &amp; Usage'!$C$114,MMULT(--('Equipment List &amp; Usage'!$J21:$N21),--('Weekly Summary'!AP$112:AP$116))*'Equipment List &amp; Usage'!$C$115)+IF('Equipment List &amp; Usage'!$F20="yes",'Equipment List &amp; Usage'!$C$114,'Equipment List &amp; Usage'!$C$115)*(('Weekly Summary'!AP$66*'Equipment List &amp; Usage'!$Q21)+('Weekly Summary'!AP$64*'Equipment List &amp; Usage'!$O21)+('Weekly Summary'!AP$65*'Equipment List &amp; Usage'!$P21)))+(IF('Equipment List &amp; Usage'!$F21="Yes",'Equipment List &amp; Usage'!$C$114*((('Weekly Summary'!AP$131*SelfQuarantine_Mild)+('Weekly Summary'!AP$100*SelfQuarantine_Mild)+('Weekly Summary'!AP$101*SelfQuarantine_Moderate))),'Equipment List &amp; Usage'!$C$115)*((('Weekly Summary'!AP$131*SelfQuarantine_Mild*'Equipment List &amp; Usage'!$W21)+('Weekly Summary'!AP$100*SelfQuarantine_Mild*'Equipment List &amp; Usage'!$X21)+('Weekly Summary'!AP$101*SelfQuarantine_Moderate*'Equipment List &amp; Usage'!$X21)))+IF('Equipment List &amp; Usage'!$F21="Yes",'Equipment List &amp; Usage'!$C$114*(IF('Equipment List &amp; Usage'!$AA21&gt;0,'Weekly Summary'!AP$128,0)+IF('Equipment List &amp; Usage'!$AB21&gt;0,'Weekly Summary'!AP$100+'Weekly Summary'!AP$101,0)),'Equipment List &amp; Usage'!$C$115*(('Weekly Summary'!AP$128*'Equipment List &amp; Usage'!$AA21)+('Weekly Summary'!AP$100*'Equipment List &amp; Usage'!$AB21*SelfQuarantine_Mild)+('Weekly Summary'!AP$101*'Equipment List &amp; Usage'!$AB21*SelfQuarantine_Moderate)))+IF('Equipment List &amp; Usage'!$F21="Yes",('Equipment List &amp; Usage'!$C$114*(IF('Equipment List &amp; Usage'!$AE21&gt;0,'Weekly Summary'!AP$134,0)+IF('Equipment List &amp; Usage'!$AF21&gt;0,'Weekly Summary'!AP$135))),'Equipment List &amp; Usage'!$C$115*(('Weekly Summary'!AP$134*'Equipment List &amp; Usage'!$AE21)+('Weekly Summary'!AP$135*'Equipment List &amp; Usage'!$AF21))))-SUM($I19:AU19),
IF($F19="yes",MMULT(--('Equipment List &amp; Usage'!$J21:$N21&gt;0),--('Weekly Summary'!AP$112:AP$116))*'Equipment List &amp; Usage'!$C$114,MMULT(--('Equipment List &amp; Usage'!$J21:$N21),--('Weekly Summary'!AP$112:AP$116))*'Equipment List &amp; Usage'!$C$115)+IF('Equipment List &amp; Usage'!$F20="yes",'Equipment List &amp; Usage'!$C$114,'Equipment List &amp; Usage'!$C$115)*(('Weekly Summary'!AP$66*'Equipment List &amp; Usage'!$Q21)+('Weekly Summary'!AP$64*'Equipment List &amp; Usage'!$O21)+('Weekly Summary'!AP$65*'Equipment List &amp; Usage'!$P21))+(IF('Equipment List &amp; Usage'!$F21="Yes",'Equipment List &amp; Usage'!$C$114*((('Weekly Summary'!AP$131*SelfQuarantine_Mild)+('Weekly Summary'!AP$100*SelfQuarantine_Mild)+('Weekly Summary'!AP$101*SelfQuarantine_Moderate))),'Equipment List &amp; Usage'!$C$115)*((('Weekly Summary'!AP$131*SelfQuarantine_Mild*'Equipment List &amp; Usage'!$W21)+('Weekly Summary'!AP$100*SelfQuarantine_Mild*'Equipment List &amp; Usage'!$X21)+('Weekly Summary'!AP$101*SelfQuarantine_Moderate*'Equipment List &amp; Usage'!$X21))))+IF('Equipment List &amp; Usage'!$F21="Yes",'Equipment List &amp; Usage'!$C$114*(IF('Equipment List &amp; Usage'!$AA21&gt;0,'Weekly Summary'!AP$128,0)+IF('Equipment List &amp; Usage'!$AB21&gt;0,'Weekly Summary'!AP$100+'Weekly Summary'!AP$101,0)),'Equipment List &amp; Usage'!$C$115*(('Weekly Summary'!AP$128*'Equipment List &amp; Usage'!$AA21)+('Weekly Summary'!AP$100*'Equipment List &amp; Usage'!$AB21*SelfQuarantine_Mild)+('Weekly Summary'!AP$101*'Equipment List &amp; Usage'!$AB21*SelfQuarantine_Moderate)))+IF('Equipment List &amp; Usage'!$F21="Yes",('Equipment List &amp; Usage'!$C$114*(IF('Equipment List &amp; Usage'!$AE21&gt;0,'Weekly Summary'!AP$134,0)+IF('Equipment List &amp; Usage'!$AF21&gt;0,'Weekly Summary'!AP$135))),'Equipment List &amp; Usage'!$C$115*(('Weekly Summary'!AP$134*'Equipment List &amp; Usage'!$AE21)+('Weekly Summary'!AP$135*'Equipment List &amp; Usage'!$AF21)))),0)</f>
        <v>0</v>
      </c>
      <c r="AW19" s="1374">
        <f ca="1">MAX(IF($F19="Yes",(
IF($F19="yes",MMULT(--('Equipment List &amp; Usage'!$J21:$N21&gt;0),--('Weekly Summary'!AQ$112:AQ$116))*'Equipment List &amp; Usage'!$C$114,MMULT(--('Equipment List &amp; Usage'!$J21:$N21),--('Weekly Summary'!AQ$112:AQ$116))*'Equipment List &amp; Usage'!$C$115)+IF('Equipment List &amp; Usage'!$F20="yes",'Equipment List &amp; Usage'!$C$114,'Equipment List &amp; Usage'!$C$115)*(('Weekly Summary'!AQ$66*'Equipment List &amp; Usage'!$Q21)+('Weekly Summary'!AQ$64*'Equipment List &amp; Usage'!$O21)+('Weekly Summary'!AQ$65*'Equipment List &amp; Usage'!$P21)))+(IF('Equipment List &amp; Usage'!$F21="Yes",'Equipment List &amp; Usage'!$C$114*((('Weekly Summary'!AQ$131*SelfQuarantine_Mild)+('Weekly Summary'!AQ$100*SelfQuarantine_Mild)+('Weekly Summary'!AQ$101*SelfQuarantine_Moderate))),'Equipment List &amp; Usage'!$C$115)*((('Weekly Summary'!AQ$131*SelfQuarantine_Mild*'Equipment List &amp; Usage'!$W21)+('Weekly Summary'!AQ$100*SelfQuarantine_Mild*'Equipment List &amp; Usage'!$X21)+('Weekly Summary'!AQ$101*SelfQuarantine_Moderate*'Equipment List &amp; Usage'!$X21)))+IF('Equipment List &amp; Usage'!$F21="Yes",'Equipment List &amp; Usage'!$C$114*(IF('Equipment List &amp; Usage'!$AA21&gt;0,'Weekly Summary'!AQ$128,0)+IF('Equipment List &amp; Usage'!$AB21&gt;0,'Weekly Summary'!AQ$100+'Weekly Summary'!AQ$101,0)),'Equipment List &amp; Usage'!$C$115*(('Weekly Summary'!AQ$128*'Equipment List &amp; Usage'!$AA21)+('Weekly Summary'!AQ$100*'Equipment List &amp; Usage'!$AB21*SelfQuarantine_Mild)+('Weekly Summary'!AQ$101*'Equipment List &amp; Usage'!$AB21*SelfQuarantine_Moderate)))+IF('Equipment List &amp; Usage'!$F21="Yes",('Equipment List &amp; Usage'!$C$114*(IF('Equipment List &amp; Usage'!$AE21&gt;0,'Weekly Summary'!AQ$134,0)+IF('Equipment List &amp; Usage'!$AF21&gt;0,'Weekly Summary'!AQ$135))),'Equipment List &amp; Usage'!$C$115*(('Weekly Summary'!AQ$134*'Equipment List &amp; Usage'!$AE21)+('Weekly Summary'!AQ$135*'Equipment List &amp; Usage'!$AF21))))-SUM($I19:AV19),
IF($F19="yes",MMULT(--('Equipment List &amp; Usage'!$J21:$N21&gt;0),--('Weekly Summary'!AQ$112:AQ$116))*'Equipment List &amp; Usage'!$C$114,MMULT(--('Equipment List &amp; Usage'!$J21:$N21),--('Weekly Summary'!AQ$112:AQ$116))*'Equipment List &amp; Usage'!$C$115)+IF('Equipment List &amp; Usage'!$F20="yes",'Equipment List &amp; Usage'!$C$114,'Equipment List &amp; Usage'!$C$115)*(('Weekly Summary'!AQ$66*'Equipment List &amp; Usage'!$Q21)+('Weekly Summary'!AQ$64*'Equipment List &amp; Usage'!$O21)+('Weekly Summary'!AQ$65*'Equipment List &amp; Usage'!$P21))+(IF('Equipment List &amp; Usage'!$F21="Yes",'Equipment List &amp; Usage'!$C$114*((('Weekly Summary'!AQ$131*SelfQuarantine_Mild)+('Weekly Summary'!AQ$100*SelfQuarantine_Mild)+('Weekly Summary'!AQ$101*SelfQuarantine_Moderate))),'Equipment List &amp; Usage'!$C$115)*((('Weekly Summary'!AQ$131*SelfQuarantine_Mild*'Equipment List &amp; Usage'!$W21)+('Weekly Summary'!AQ$100*SelfQuarantine_Mild*'Equipment List &amp; Usage'!$X21)+('Weekly Summary'!AQ$101*SelfQuarantine_Moderate*'Equipment List &amp; Usage'!$X21))))+IF('Equipment List &amp; Usage'!$F21="Yes",'Equipment List &amp; Usage'!$C$114*(IF('Equipment List &amp; Usage'!$AA21&gt;0,'Weekly Summary'!AQ$128,0)+IF('Equipment List &amp; Usage'!$AB21&gt;0,'Weekly Summary'!AQ$100+'Weekly Summary'!AQ$101,0)),'Equipment List &amp; Usage'!$C$115*(('Weekly Summary'!AQ$128*'Equipment List &amp; Usage'!$AA21)+('Weekly Summary'!AQ$100*'Equipment List &amp; Usage'!$AB21*SelfQuarantine_Mild)+('Weekly Summary'!AQ$101*'Equipment List &amp; Usage'!$AB21*SelfQuarantine_Moderate)))+IF('Equipment List &amp; Usage'!$F21="Yes",('Equipment List &amp; Usage'!$C$114*(IF('Equipment List &amp; Usage'!$AE21&gt;0,'Weekly Summary'!AQ$134,0)+IF('Equipment List &amp; Usage'!$AF21&gt;0,'Weekly Summary'!AQ$135))),'Equipment List &amp; Usage'!$C$115*(('Weekly Summary'!AQ$134*'Equipment List &amp; Usage'!$AE21)+('Weekly Summary'!AQ$135*'Equipment List &amp; Usage'!$AF21)))),0)</f>
        <v>0</v>
      </c>
      <c r="AX19" s="1374">
        <f ca="1">MAX(IF($F19="Yes",(
IF($F19="yes",MMULT(--('Equipment List &amp; Usage'!$J21:$N21&gt;0),--('Weekly Summary'!AR$112:AR$116))*'Equipment List &amp; Usage'!$C$114,MMULT(--('Equipment List &amp; Usage'!$J21:$N21),--('Weekly Summary'!AR$112:AR$116))*'Equipment List &amp; Usage'!$C$115)+IF('Equipment List &amp; Usage'!$F20="yes",'Equipment List &amp; Usage'!$C$114,'Equipment List &amp; Usage'!$C$115)*(('Weekly Summary'!AR$66*'Equipment List &amp; Usage'!$Q21)+('Weekly Summary'!AR$64*'Equipment List &amp; Usage'!$O21)+('Weekly Summary'!AR$65*'Equipment List &amp; Usage'!$P21)))+(IF('Equipment List &amp; Usage'!$F21="Yes",'Equipment List &amp; Usage'!$C$114*((('Weekly Summary'!AR$131*SelfQuarantine_Mild)+('Weekly Summary'!AR$100*SelfQuarantine_Mild)+('Weekly Summary'!AR$101*SelfQuarantine_Moderate))),'Equipment List &amp; Usage'!$C$115)*((('Weekly Summary'!AR$131*SelfQuarantine_Mild*'Equipment List &amp; Usage'!$W21)+('Weekly Summary'!AR$100*SelfQuarantine_Mild*'Equipment List &amp; Usage'!$X21)+('Weekly Summary'!AR$101*SelfQuarantine_Moderate*'Equipment List &amp; Usage'!$X21)))+IF('Equipment List &amp; Usage'!$F21="Yes",'Equipment List &amp; Usage'!$C$114*(IF('Equipment List &amp; Usage'!$AA21&gt;0,'Weekly Summary'!AR$128,0)+IF('Equipment List &amp; Usage'!$AB21&gt;0,'Weekly Summary'!AR$100+'Weekly Summary'!AR$101,0)),'Equipment List &amp; Usage'!$C$115*(('Weekly Summary'!AR$128*'Equipment List &amp; Usage'!$AA21)+('Weekly Summary'!AR$100*'Equipment List &amp; Usage'!$AB21*SelfQuarantine_Mild)+('Weekly Summary'!AR$101*'Equipment List &amp; Usage'!$AB21*SelfQuarantine_Moderate)))+IF('Equipment List &amp; Usage'!$F21="Yes",('Equipment List &amp; Usage'!$C$114*(IF('Equipment List &amp; Usage'!$AE21&gt;0,'Weekly Summary'!AR$134,0)+IF('Equipment List &amp; Usage'!$AF21&gt;0,'Weekly Summary'!AR$135))),'Equipment List &amp; Usage'!$C$115*(('Weekly Summary'!AR$134*'Equipment List &amp; Usage'!$AE21)+('Weekly Summary'!AR$135*'Equipment List &amp; Usage'!$AF21))))-SUM($I19:AW19),
IF($F19="yes",MMULT(--('Equipment List &amp; Usage'!$J21:$N21&gt;0),--('Weekly Summary'!AR$112:AR$116))*'Equipment List &amp; Usage'!$C$114,MMULT(--('Equipment List &amp; Usage'!$J21:$N21),--('Weekly Summary'!AR$112:AR$116))*'Equipment List &amp; Usage'!$C$115)+IF('Equipment List &amp; Usage'!$F20="yes",'Equipment List &amp; Usage'!$C$114,'Equipment List &amp; Usage'!$C$115)*(('Weekly Summary'!AR$66*'Equipment List &amp; Usage'!$Q21)+('Weekly Summary'!AR$64*'Equipment List &amp; Usage'!$O21)+('Weekly Summary'!AR$65*'Equipment List &amp; Usage'!$P21))+(IF('Equipment List &amp; Usage'!$F21="Yes",'Equipment List &amp; Usage'!$C$114*((('Weekly Summary'!AR$131*SelfQuarantine_Mild)+('Weekly Summary'!AR$100*SelfQuarantine_Mild)+('Weekly Summary'!AR$101*SelfQuarantine_Moderate))),'Equipment List &amp; Usage'!$C$115)*((('Weekly Summary'!AR$131*SelfQuarantine_Mild*'Equipment List &amp; Usage'!$W21)+('Weekly Summary'!AR$100*SelfQuarantine_Mild*'Equipment List &amp; Usage'!$X21)+('Weekly Summary'!AR$101*SelfQuarantine_Moderate*'Equipment List &amp; Usage'!$X21))))+IF('Equipment List &amp; Usage'!$F21="Yes",'Equipment List &amp; Usage'!$C$114*(IF('Equipment List &amp; Usage'!$AA21&gt;0,'Weekly Summary'!AR$128,0)+IF('Equipment List &amp; Usage'!$AB21&gt;0,'Weekly Summary'!AR$100+'Weekly Summary'!AR$101,0)),'Equipment List &amp; Usage'!$C$115*(('Weekly Summary'!AR$128*'Equipment List &amp; Usage'!$AA21)+('Weekly Summary'!AR$100*'Equipment List &amp; Usage'!$AB21*SelfQuarantine_Mild)+('Weekly Summary'!AR$101*'Equipment List &amp; Usage'!$AB21*SelfQuarantine_Moderate)))+IF('Equipment List &amp; Usage'!$F21="Yes",('Equipment List &amp; Usage'!$C$114*(IF('Equipment List &amp; Usage'!$AE21&gt;0,'Weekly Summary'!AR$134,0)+IF('Equipment List &amp; Usage'!$AF21&gt;0,'Weekly Summary'!AR$135))),'Equipment List &amp; Usage'!$C$115*(('Weekly Summary'!AR$134*'Equipment List &amp; Usage'!$AE21)+('Weekly Summary'!AR$135*'Equipment List &amp; Usage'!$AF21)))),0)</f>
        <v>0</v>
      </c>
      <c r="AY19" s="1374">
        <f ca="1">MAX(IF($F19="Yes",(
IF($F19="yes",MMULT(--('Equipment List &amp; Usage'!$J21:$N21&gt;0),--('Weekly Summary'!AS$112:AS$116))*'Equipment List &amp; Usage'!$C$114,MMULT(--('Equipment List &amp; Usage'!$J21:$N21),--('Weekly Summary'!AS$112:AS$116))*'Equipment List &amp; Usage'!$C$115)+IF('Equipment List &amp; Usage'!$F20="yes",'Equipment List &amp; Usage'!$C$114,'Equipment List &amp; Usage'!$C$115)*(('Weekly Summary'!AS$66*'Equipment List &amp; Usage'!$Q21)+('Weekly Summary'!AS$64*'Equipment List &amp; Usage'!$O21)+('Weekly Summary'!AS$65*'Equipment List &amp; Usage'!$P21)))+(IF('Equipment List &amp; Usage'!$F21="Yes",'Equipment List &amp; Usage'!$C$114*((('Weekly Summary'!AS$131*SelfQuarantine_Mild)+('Weekly Summary'!AS$100*SelfQuarantine_Mild)+('Weekly Summary'!AS$101*SelfQuarantine_Moderate))),'Equipment List &amp; Usage'!$C$115)*((('Weekly Summary'!AS$131*SelfQuarantine_Mild*'Equipment List &amp; Usage'!$W21)+('Weekly Summary'!AS$100*SelfQuarantine_Mild*'Equipment List &amp; Usage'!$X21)+('Weekly Summary'!AS$101*SelfQuarantine_Moderate*'Equipment List &amp; Usage'!$X21)))+IF('Equipment List &amp; Usage'!$F21="Yes",'Equipment List &amp; Usage'!$C$114*(IF('Equipment List &amp; Usage'!$AA21&gt;0,'Weekly Summary'!AS$128,0)+IF('Equipment List &amp; Usage'!$AB21&gt;0,'Weekly Summary'!AS$100+'Weekly Summary'!AS$101,0)),'Equipment List &amp; Usage'!$C$115*(('Weekly Summary'!AS$128*'Equipment List &amp; Usage'!$AA21)+('Weekly Summary'!AS$100*'Equipment List &amp; Usage'!$AB21*SelfQuarantine_Mild)+('Weekly Summary'!AS$101*'Equipment List &amp; Usage'!$AB21*SelfQuarantine_Moderate)))+IF('Equipment List &amp; Usage'!$F21="Yes",('Equipment List &amp; Usage'!$C$114*(IF('Equipment List &amp; Usage'!$AE21&gt;0,'Weekly Summary'!AS$134,0)+IF('Equipment List &amp; Usage'!$AF21&gt;0,'Weekly Summary'!AS$135))),'Equipment List &amp; Usage'!$C$115*(('Weekly Summary'!AS$134*'Equipment List &amp; Usage'!$AE21)+('Weekly Summary'!AS$135*'Equipment List &amp; Usage'!$AF21))))-SUM($I19:AX19),
IF($F19="yes",MMULT(--('Equipment List &amp; Usage'!$J21:$N21&gt;0),--('Weekly Summary'!AS$112:AS$116))*'Equipment List &amp; Usage'!$C$114,MMULT(--('Equipment List &amp; Usage'!$J21:$N21),--('Weekly Summary'!AS$112:AS$116))*'Equipment List &amp; Usage'!$C$115)+IF('Equipment List &amp; Usage'!$F20="yes",'Equipment List &amp; Usage'!$C$114,'Equipment List &amp; Usage'!$C$115)*(('Weekly Summary'!AS$66*'Equipment List &amp; Usage'!$Q21)+('Weekly Summary'!AS$64*'Equipment List &amp; Usage'!$O21)+('Weekly Summary'!AS$65*'Equipment List &amp; Usage'!$P21))+(IF('Equipment List &amp; Usage'!$F21="Yes",'Equipment List &amp; Usage'!$C$114*((('Weekly Summary'!AS$131*SelfQuarantine_Mild)+('Weekly Summary'!AS$100*SelfQuarantine_Mild)+('Weekly Summary'!AS$101*SelfQuarantine_Moderate))),'Equipment List &amp; Usage'!$C$115)*((('Weekly Summary'!AS$131*SelfQuarantine_Mild*'Equipment List &amp; Usage'!$W21)+('Weekly Summary'!AS$100*SelfQuarantine_Mild*'Equipment List &amp; Usage'!$X21)+('Weekly Summary'!AS$101*SelfQuarantine_Moderate*'Equipment List &amp; Usage'!$X21))))+IF('Equipment List &amp; Usage'!$F21="Yes",'Equipment List &amp; Usage'!$C$114*(IF('Equipment List &amp; Usage'!$AA21&gt;0,'Weekly Summary'!AS$128,0)+IF('Equipment List &amp; Usage'!$AB21&gt;0,'Weekly Summary'!AS$100+'Weekly Summary'!AS$101,0)),'Equipment List &amp; Usage'!$C$115*(('Weekly Summary'!AS$128*'Equipment List &amp; Usage'!$AA21)+('Weekly Summary'!AS$100*'Equipment List &amp; Usage'!$AB21*SelfQuarantine_Mild)+('Weekly Summary'!AS$101*'Equipment List &amp; Usage'!$AB21*SelfQuarantine_Moderate)))+IF('Equipment List &amp; Usage'!$F21="Yes",('Equipment List &amp; Usage'!$C$114*(IF('Equipment List &amp; Usage'!$AE21&gt;0,'Weekly Summary'!AS$134,0)+IF('Equipment List &amp; Usage'!$AF21&gt;0,'Weekly Summary'!AS$135))),'Equipment List &amp; Usage'!$C$115*(('Weekly Summary'!AS$134*'Equipment List &amp; Usage'!$AE21)+('Weekly Summary'!AS$135*'Equipment List &amp; Usage'!$AF21)))),0)</f>
        <v>0</v>
      </c>
      <c r="AZ19" s="1374">
        <f ca="1">MAX(IF($F19="Yes",(
IF($F19="yes",MMULT(--('Equipment List &amp; Usage'!$J21:$N21&gt;0),--('Weekly Summary'!AT$112:AT$116))*'Equipment List &amp; Usage'!$C$114,MMULT(--('Equipment List &amp; Usage'!$J21:$N21),--('Weekly Summary'!AT$112:AT$116))*'Equipment List &amp; Usage'!$C$115)+IF('Equipment List &amp; Usage'!$F20="yes",'Equipment List &amp; Usage'!$C$114,'Equipment List &amp; Usage'!$C$115)*(('Weekly Summary'!AT$66*'Equipment List &amp; Usage'!$Q21)+('Weekly Summary'!AT$64*'Equipment List &amp; Usage'!$O21)+('Weekly Summary'!AT$65*'Equipment List &amp; Usage'!$P21)))+(IF('Equipment List &amp; Usage'!$F21="Yes",'Equipment List &amp; Usage'!$C$114*((('Weekly Summary'!AT$131*SelfQuarantine_Mild)+('Weekly Summary'!AT$100*SelfQuarantine_Mild)+('Weekly Summary'!AT$101*SelfQuarantine_Moderate))),'Equipment List &amp; Usage'!$C$115)*((('Weekly Summary'!AT$131*SelfQuarantine_Mild*'Equipment List &amp; Usage'!$W21)+('Weekly Summary'!AT$100*SelfQuarantine_Mild*'Equipment List &amp; Usage'!$X21)+('Weekly Summary'!AT$101*SelfQuarantine_Moderate*'Equipment List &amp; Usage'!$X21)))+IF('Equipment List &amp; Usage'!$F21="Yes",'Equipment List &amp; Usage'!$C$114*(IF('Equipment List &amp; Usage'!$AA21&gt;0,'Weekly Summary'!AT$128,0)+IF('Equipment List &amp; Usage'!$AB21&gt;0,'Weekly Summary'!AT$100+'Weekly Summary'!AT$101,0)),'Equipment List &amp; Usage'!$C$115*(('Weekly Summary'!AT$128*'Equipment List &amp; Usage'!$AA21)+('Weekly Summary'!AT$100*'Equipment List &amp; Usage'!$AB21*SelfQuarantine_Mild)+('Weekly Summary'!AT$101*'Equipment List &amp; Usage'!$AB21*SelfQuarantine_Moderate)))+IF('Equipment List &amp; Usage'!$F21="Yes",('Equipment List &amp; Usage'!$C$114*(IF('Equipment List &amp; Usage'!$AE21&gt;0,'Weekly Summary'!AT$134,0)+IF('Equipment List &amp; Usage'!$AF21&gt;0,'Weekly Summary'!AT$135))),'Equipment List &amp; Usage'!$C$115*(('Weekly Summary'!AT$134*'Equipment List &amp; Usage'!$AE21)+('Weekly Summary'!AT$135*'Equipment List &amp; Usage'!$AF21))))-SUM($I19:AY19),
IF($F19="yes",MMULT(--('Equipment List &amp; Usage'!$J21:$N21&gt;0),--('Weekly Summary'!AT$112:AT$116))*'Equipment List &amp; Usage'!$C$114,MMULT(--('Equipment List &amp; Usage'!$J21:$N21),--('Weekly Summary'!AT$112:AT$116))*'Equipment List &amp; Usage'!$C$115)+IF('Equipment List &amp; Usage'!$F20="yes",'Equipment List &amp; Usage'!$C$114,'Equipment List &amp; Usage'!$C$115)*(('Weekly Summary'!AT$66*'Equipment List &amp; Usage'!$Q21)+('Weekly Summary'!AT$64*'Equipment List &amp; Usage'!$O21)+('Weekly Summary'!AT$65*'Equipment List &amp; Usage'!$P21))+(IF('Equipment List &amp; Usage'!$F21="Yes",'Equipment List &amp; Usage'!$C$114*((('Weekly Summary'!AT$131*SelfQuarantine_Mild)+('Weekly Summary'!AT$100*SelfQuarantine_Mild)+('Weekly Summary'!AT$101*SelfQuarantine_Moderate))),'Equipment List &amp; Usage'!$C$115)*((('Weekly Summary'!AT$131*SelfQuarantine_Mild*'Equipment List &amp; Usage'!$W21)+('Weekly Summary'!AT$100*SelfQuarantine_Mild*'Equipment List &amp; Usage'!$X21)+('Weekly Summary'!AT$101*SelfQuarantine_Moderate*'Equipment List &amp; Usage'!$X21))))+IF('Equipment List &amp; Usage'!$F21="Yes",'Equipment List &amp; Usage'!$C$114*(IF('Equipment List &amp; Usage'!$AA21&gt;0,'Weekly Summary'!AT$128,0)+IF('Equipment List &amp; Usage'!$AB21&gt;0,'Weekly Summary'!AT$100+'Weekly Summary'!AT$101,0)),'Equipment List &amp; Usage'!$C$115*(('Weekly Summary'!AT$128*'Equipment List &amp; Usage'!$AA21)+('Weekly Summary'!AT$100*'Equipment List &amp; Usage'!$AB21*SelfQuarantine_Mild)+('Weekly Summary'!AT$101*'Equipment List &amp; Usage'!$AB21*SelfQuarantine_Moderate)))+IF('Equipment List &amp; Usage'!$F21="Yes",('Equipment List &amp; Usage'!$C$114*(IF('Equipment List &amp; Usage'!$AE21&gt;0,'Weekly Summary'!AT$134,0)+IF('Equipment List &amp; Usage'!$AF21&gt;0,'Weekly Summary'!AT$135))),'Equipment List &amp; Usage'!$C$115*(('Weekly Summary'!AT$134*'Equipment List &amp; Usage'!$AE21)+('Weekly Summary'!AT$135*'Equipment List &amp; Usage'!$AF21)))),0)</f>
        <v>0</v>
      </c>
      <c r="BA19" s="1374">
        <f ca="1">MAX(IF($F19="Yes",(
IF($F19="yes",MMULT(--('Equipment List &amp; Usage'!$J21:$N21&gt;0),--('Weekly Summary'!AU$112:AU$116))*'Equipment List &amp; Usage'!$C$114,MMULT(--('Equipment List &amp; Usage'!$J21:$N21),--('Weekly Summary'!AU$112:AU$116))*'Equipment List &amp; Usage'!$C$115)+IF('Equipment List &amp; Usage'!$F20="yes",'Equipment List &amp; Usage'!$C$114,'Equipment List &amp; Usage'!$C$115)*(('Weekly Summary'!AU$66*'Equipment List &amp; Usage'!$Q21)+('Weekly Summary'!AU$64*'Equipment List &amp; Usage'!$O21)+('Weekly Summary'!AU$65*'Equipment List &amp; Usage'!$P21)))+(IF('Equipment List &amp; Usage'!$F21="Yes",'Equipment List &amp; Usage'!$C$114*((('Weekly Summary'!AU$131*SelfQuarantine_Mild)+('Weekly Summary'!AU$100*SelfQuarantine_Mild)+('Weekly Summary'!AU$101*SelfQuarantine_Moderate))),'Equipment List &amp; Usage'!$C$115)*((('Weekly Summary'!AU$131*SelfQuarantine_Mild*'Equipment List &amp; Usage'!$W21)+('Weekly Summary'!AU$100*SelfQuarantine_Mild*'Equipment List &amp; Usage'!$X21)+('Weekly Summary'!AU$101*SelfQuarantine_Moderate*'Equipment List &amp; Usage'!$X21)))+IF('Equipment List &amp; Usage'!$F21="Yes",'Equipment List &amp; Usage'!$C$114*(IF('Equipment List &amp; Usage'!$AA21&gt;0,'Weekly Summary'!AU$128,0)+IF('Equipment List &amp; Usage'!$AB21&gt;0,'Weekly Summary'!AU$100+'Weekly Summary'!AU$101,0)),'Equipment List &amp; Usage'!$C$115*(('Weekly Summary'!AU$128*'Equipment List &amp; Usage'!$AA21)+('Weekly Summary'!AU$100*'Equipment List &amp; Usage'!$AB21*SelfQuarantine_Mild)+('Weekly Summary'!AU$101*'Equipment List &amp; Usage'!$AB21*SelfQuarantine_Moderate)))+IF('Equipment List &amp; Usage'!$F21="Yes",('Equipment List &amp; Usage'!$C$114*(IF('Equipment List &amp; Usage'!$AE21&gt;0,'Weekly Summary'!AU$134,0)+IF('Equipment List &amp; Usage'!$AF21&gt;0,'Weekly Summary'!AU$135))),'Equipment List &amp; Usage'!$C$115*(('Weekly Summary'!AU$134*'Equipment List &amp; Usage'!$AE21)+('Weekly Summary'!AU$135*'Equipment List &amp; Usage'!$AF21))))-SUM($I19:AZ19),
IF($F19="yes",MMULT(--('Equipment List &amp; Usage'!$J21:$N21&gt;0),--('Weekly Summary'!AU$112:AU$116))*'Equipment List &amp; Usage'!$C$114,MMULT(--('Equipment List &amp; Usage'!$J21:$N21),--('Weekly Summary'!AU$112:AU$116))*'Equipment List &amp; Usage'!$C$115)+IF('Equipment List &amp; Usage'!$F20="yes",'Equipment List &amp; Usage'!$C$114,'Equipment List &amp; Usage'!$C$115)*(('Weekly Summary'!AU$66*'Equipment List &amp; Usage'!$Q21)+('Weekly Summary'!AU$64*'Equipment List &amp; Usage'!$O21)+('Weekly Summary'!AU$65*'Equipment List &amp; Usage'!$P21))+(IF('Equipment List &amp; Usage'!$F21="Yes",'Equipment List &amp; Usage'!$C$114*((('Weekly Summary'!AU$131*SelfQuarantine_Mild)+('Weekly Summary'!AU$100*SelfQuarantine_Mild)+('Weekly Summary'!AU$101*SelfQuarantine_Moderate))),'Equipment List &amp; Usage'!$C$115)*((('Weekly Summary'!AU$131*SelfQuarantine_Mild*'Equipment List &amp; Usage'!$W21)+('Weekly Summary'!AU$100*SelfQuarantine_Mild*'Equipment List &amp; Usage'!$X21)+('Weekly Summary'!AU$101*SelfQuarantine_Moderate*'Equipment List &amp; Usage'!$X21))))+IF('Equipment List &amp; Usage'!$F21="Yes",'Equipment List &amp; Usage'!$C$114*(IF('Equipment List &amp; Usage'!$AA21&gt;0,'Weekly Summary'!AU$128,0)+IF('Equipment List &amp; Usage'!$AB21&gt;0,'Weekly Summary'!AU$100+'Weekly Summary'!AU$101,0)),'Equipment List &amp; Usage'!$C$115*(('Weekly Summary'!AU$128*'Equipment List &amp; Usage'!$AA21)+('Weekly Summary'!AU$100*'Equipment List &amp; Usage'!$AB21*SelfQuarantine_Mild)+('Weekly Summary'!AU$101*'Equipment List &amp; Usage'!$AB21*SelfQuarantine_Moderate)))+IF('Equipment List &amp; Usage'!$F21="Yes",('Equipment List &amp; Usage'!$C$114*(IF('Equipment List &amp; Usage'!$AE21&gt;0,'Weekly Summary'!AU$134,0)+IF('Equipment List &amp; Usage'!$AF21&gt;0,'Weekly Summary'!AU$135))),'Equipment List &amp; Usage'!$C$115*(('Weekly Summary'!AU$134*'Equipment List &amp; Usage'!$AE21)+('Weekly Summary'!AU$135*'Equipment List &amp; Usage'!$AF21)))),0)</f>
        <v>0</v>
      </c>
      <c r="BB19" s="1374">
        <f ca="1">MAX(IF($F19="Yes",(
IF($F19="yes",MMULT(--('Equipment List &amp; Usage'!$J21:$N21&gt;0),--('Weekly Summary'!AV$112:AV$116))*'Equipment List &amp; Usage'!$C$114,MMULT(--('Equipment List &amp; Usage'!$J21:$N21),--('Weekly Summary'!AV$112:AV$116))*'Equipment List &amp; Usage'!$C$115)+IF('Equipment List &amp; Usage'!$F20="yes",'Equipment List &amp; Usage'!$C$114,'Equipment List &amp; Usage'!$C$115)*(('Weekly Summary'!AV$66*'Equipment List &amp; Usage'!$Q21)+('Weekly Summary'!AV$64*'Equipment List &amp; Usage'!$O21)+('Weekly Summary'!AV$65*'Equipment List &amp; Usage'!$P21)))+(IF('Equipment List &amp; Usage'!$F21="Yes",'Equipment List &amp; Usage'!$C$114*((('Weekly Summary'!AV$131*SelfQuarantine_Mild)+('Weekly Summary'!AV$100*SelfQuarantine_Mild)+('Weekly Summary'!AV$101*SelfQuarantine_Moderate))),'Equipment List &amp; Usage'!$C$115)*((('Weekly Summary'!AV$131*SelfQuarantine_Mild*'Equipment List &amp; Usage'!$W21)+('Weekly Summary'!AV$100*SelfQuarantine_Mild*'Equipment List &amp; Usage'!$X21)+('Weekly Summary'!AV$101*SelfQuarantine_Moderate*'Equipment List &amp; Usage'!$X21)))+IF('Equipment List &amp; Usage'!$F21="Yes",'Equipment List &amp; Usage'!$C$114*(IF('Equipment List &amp; Usage'!$AA21&gt;0,'Weekly Summary'!AV$128,0)+IF('Equipment List &amp; Usage'!$AB21&gt;0,'Weekly Summary'!AV$100+'Weekly Summary'!AV$101,0)),'Equipment List &amp; Usage'!$C$115*(('Weekly Summary'!AV$128*'Equipment List &amp; Usage'!$AA21)+('Weekly Summary'!AV$100*'Equipment List &amp; Usage'!$AB21*SelfQuarantine_Mild)+('Weekly Summary'!AV$101*'Equipment List &amp; Usage'!$AB21*SelfQuarantine_Moderate)))+IF('Equipment List &amp; Usage'!$F21="Yes",('Equipment List &amp; Usage'!$C$114*(IF('Equipment List &amp; Usage'!$AE21&gt;0,'Weekly Summary'!AV$134,0)+IF('Equipment List &amp; Usage'!$AF21&gt;0,'Weekly Summary'!AV$135))),'Equipment List &amp; Usage'!$C$115*(('Weekly Summary'!AV$134*'Equipment List &amp; Usage'!$AE21)+('Weekly Summary'!AV$135*'Equipment List &amp; Usage'!$AF21))))-SUM($I19:BA19),
IF($F19="yes",MMULT(--('Equipment List &amp; Usage'!$J21:$N21&gt;0),--('Weekly Summary'!AV$112:AV$116))*'Equipment List &amp; Usage'!$C$114,MMULT(--('Equipment List &amp; Usage'!$J21:$N21),--('Weekly Summary'!AV$112:AV$116))*'Equipment List &amp; Usage'!$C$115)+IF('Equipment List &amp; Usage'!$F20="yes",'Equipment List &amp; Usage'!$C$114,'Equipment List &amp; Usage'!$C$115)*(('Weekly Summary'!AV$66*'Equipment List &amp; Usage'!$Q21)+('Weekly Summary'!AV$64*'Equipment List &amp; Usage'!$O21)+('Weekly Summary'!AV$65*'Equipment List &amp; Usage'!$P21))+(IF('Equipment List &amp; Usage'!$F21="Yes",'Equipment List &amp; Usage'!$C$114*((('Weekly Summary'!AV$131*SelfQuarantine_Mild)+('Weekly Summary'!AV$100*SelfQuarantine_Mild)+('Weekly Summary'!AV$101*SelfQuarantine_Moderate))),'Equipment List &amp; Usage'!$C$115)*((('Weekly Summary'!AV$131*SelfQuarantine_Mild*'Equipment List &amp; Usage'!$W21)+('Weekly Summary'!AV$100*SelfQuarantine_Mild*'Equipment List &amp; Usage'!$X21)+('Weekly Summary'!AV$101*SelfQuarantine_Moderate*'Equipment List &amp; Usage'!$X21))))+IF('Equipment List &amp; Usage'!$F21="Yes",'Equipment List &amp; Usage'!$C$114*(IF('Equipment List &amp; Usage'!$AA21&gt;0,'Weekly Summary'!AV$128,0)+IF('Equipment List &amp; Usage'!$AB21&gt;0,'Weekly Summary'!AV$100+'Weekly Summary'!AV$101,0)),'Equipment List &amp; Usage'!$C$115*(('Weekly Summary'!AV$128*'Equipment List &amp; Usage'!$AA21)+('Weekly Summary'!AV$100*'Equipment List &amp; Usage'!$AB21*SelfQuarantine_Mild)+('Weekly Summary'!AV$101*'Equipment List &amp; Usage'!$AB21*SelfQuarantine_Moderate)))+IF('Equipment List &amp; Usage'!$F21="Yes",('Equipment List &amp; Usage'!$C$114*(IF('Equipment List &amp; Usage'!$AE21&gt;0,'Weekly Summary'!AV$134,0)+IF('Equipment List &amp; Usage'!$AF21&gt;0,'Weekly Summary'!AV$135))),'Equipment List &amp; Usage'!$C$115*(('Weekly Summary'!AV$134*'Equipment List &amp; Usage'!$AE21)+('Weekly Summary'!AV$135*'Equipment List &amp; Usage'!$AF21)))),0)</f>
        <v>0</v>
      </c>
      <c r="BC19" s="1374">
        <f ca="1">MAX(IF($F19="Yes",(
IF($F19="yes",MMULT(--('Equipment List &amp; Usage'!$J21:$N21&gt;0),--('Weekly Summary'!AW$112:AW$116))*'Equipment List &amp; Usage'!$C$114,MMULT(--('Equipment List &amp; Usage'!$J21:$N21),--('Weekly Summary'!AW$112:AW$116))*'Equipment List &amp; Usage'!$C$115)+IF('Equipment List &amp; Usage'!$F20="yes",'Equipment List &amp; Usage'!$C$114,'Equipment List &amp; Usage'!$C$115)*(('Weekly Summary'!AW$66*'Equipment List &amp; Usage'!$Q21)+('Weekly Summary'!AW$64*'Equipment List &amp; Usage'!$O21)+('Weekly Summary'!AW$65*'Equipment List &amp; Usage'!$P21)))+(IF('Equipment List &amp; Usage'!$F21="Yes",'Equipment List &amp; Usage'!$C$114*((('Weekly Summary'!AW$131*SelfQuarantine_Mild)+('Weekly Summary'!AW$100*SelfQuarantine_Mild)+('Weekly Summary'!AW$101*SelfQuarantine_Moderate))),'Equipment List &amp; Usage'!$C$115)*((('Weekly Summary'!AW$131*SelfQuarantine_Mild*'Equipment List &amp; Usage'!$W21)+('Weekly Summary'!AW$100*SelfQuarantine_Mild*'Equipment List &amp; Usage'!$X21)+('Weekly Summary'!AW$101*SelfQuarantine_Moderate*'Equipment List &amp; Usage'!$X21)))+IF('Equipment List &amp; Usage'!$F21="Yes",'Equipment List &amp; Usage'!$C$114*(IF('Equipment List &amp; Usage'!$AA21&gt;0,'Weekly Summary'!AW$128,0)+IF('Equipment List &amp; Usage'!$AB21&gt;0,'Weekly Summary'!AW$100+'Weekly Summary'!AW$101,0)),'Equipment List &amp; Usage'!$C$115*(('Weekly Summary'!AW$128*'Equipment List &amp; Usage'!$AA21)+('Weekly Summary'!AW$100*'Equipment List &amp; Usage'!$AB21*SelfQuarantine_Mild)+('Weekly Summary'!AW$101*'Equipment List &amp; Usage'!$AB21*SelfQuarantine_Moderate)))+IF('Equipment List &amp; Usage'!$F21="Yes",('Equipment List &amp; Usage'!$C$114*(IF('Equipment List &amp; Usage'!$AE21&gt;0,'Weekly Summary'!AW$134,0)+IF('Equipment List &amp; Usage'!$AF21&gt;0,'Weekly Summary'!AW$135))),'Equipment List &amp; Usage'!$C$115*(('Weekly Summary'!AW$134*'Equipment List &amp; Usage'!$AE21)+('Weekly Summary'!AW$135*'Equipment List &amp; Usage'!$AF21))))-SUM($I19:BB19),
IF($F19="yes",MMULT(--('Equipment List &amp; Usage'!$J21:$N21&gt;0),--('Weekly Summary'!AW$112:AW$116))*'Equipment List &amp; Usage'!$C$114,MMULT(--('Equipment List &amp; Usage'!$J21:$N21),--('Weekly Summary'!AW$112:AW$116))*'Equipment List &amp; Usage'!$C$115)+IF('Equipment List &amp; Usage'!$F20="yes",'Equipment List &amp; Usage'!$C$114,'Equipment List &amp; Usage'!$C$115)*(('Weekly Summary'!AW$66*'Equipment List &amp; Usage'!$Q21)+('Weekly Summary'!AW$64*'Equipment List &amp; Usage'!$O21)+('Weekly Summary'!AW$65*'Equipment List &amp; Usage'!$P21))+(IF('Equipment List &amp; Usage'!$F21="Yes",'Equipment List &amp; Usage'!$C$114*((('Weekly Summary'!AW$131*SelfQuarantine_Mild)+('Weekly Summary'!AW$100*SelfQuarantine_Mild)+('Weekly Summary'!AW$101*SelfQuarantine_Moderate))),'Equipment List &amp; Usage'!$C$115)*((('Weekly Summary'!AW$131*SelfQuarantine_Mild*'Equipment List &amp; Usage'!$W21)+('Weekly Summary'!AW$100*SelfQuarantine_Mild*'Equipment List &amp; Usage'!$X21)+('Weekly Summary'!AW$101*SelfQuarantine_Moderate*'Equipment List &amp; Usage'!$X21))))+IF('Equipment List &amp; Usage'!$F21="Yes",'Equipment List &amp; Usage'!$C$114*(IF('Equipment List &amp; Usage'!$AA21&gt;0,'Weekly Summary'!AW$128,0)+IF('Equipment List &amp; Usage'!$AB21&gt;0,'Weekly Summary'!AW$100+'Weekly Summary'!AW$101,0)),'Equipment List &amp; Usage'!$C$115*(('Weekly Summary'!AW$128*'Equipment List &amp; Usage'!$AA21)+('Weekly Summary'!AW$100*'Equipment List &amp; Usage'!$AB21*SelfQuarantine_Mild)+('Weekly Summary'!AW$101*'Equipment List &amp; Usage'!$AB21*SelfQuarantine_Moderate)))+IF('Equipment List &amp; Usage'!$F21="Yes",('Equipment List &amp; Usage'!$C$114*(IF('Equipment List &amp; Usage'!$AE21&gt;0,'Weekly Summary'!AW$134,0)+IF('Equipment List &amp; Usage'!$AF21&gt;0,'Weekly Summary'!AW$135))),'Equipment List &amp; Usage'!$C$115*(('Weekly Summary'!AW$134*'Equipment List &amp; Usage'!$AE21)+('Weekly Summary'!AW$135*'Equipment List &amp; Usage'!$AF21)))),0)</f>
        <v>0</v>
      </c>
      <c r="BD19" s="1374">
        <f ca="1">MAX(IF($F19="Yes",(
IF($F19="yes",MMULT(--('Equipment List &amp; Usage'!$J21:$N21&gt;0),--('Weekly Summary'!AX$112:AX$116))*'Equipment List &amp; Usage'!$C$114,MMULT(--('Equipment List &amp; Usage'!$J21:$N21),--('Weekly Summary'!AX$112:AX$116))*'Equipment List &amp; Usage'!$C$115)+IF('Equipment List &amp; Usage'!$F20="yes",'Equipment List &amp; Usage'!$C$114,'Equipment List &amp; Usage'!$C$115)*(('Weekly Summary'!AX$66*'Equipment List &amp; Usage'!$Q21)+('Weekly Summary'!AX$64*'Equipment List &amp; Usage'!$O21)+('Weekly Summary'!AX$65*'Equipment List &amp; Usage'!$P21)))+(IF('Equipment List &amp; Usage'!$F21="Yes",'Equipment List &amp; Usage'!$C$114*((('Weekly Summary'!AX$131*SelfQuarantine_Mild)+('Weekly Summary'!AX$100*SelfQuarantine_Mild)+('Weekly Summary'!AX$101*SelfQuarantine_Moderate))),'Equipment List &amp; Usage'!$C$115)*((('Weekly Summary'!AX$131*SelfQuarantine_Mild*'Equipment List &amp; Usage'!$W21)+('Weekly Summary'!AX$100*SelfQuarantine_Mild*'Equipment List &amp; Usage'!$X21)+('Weekly Summary'!AX$101*SelfQuarantine_Moderate*'Equipment List &amp; Usage'!$X21)))+IF('Equipment List &amp; Usage'!$F21="Yes",'Equipment List &amp; Usage'!$C$114*(IF('Equipment List &amp; Usage'!$AA21&gt;0,'Weekly Summary'!AX$128,0)+IF('Equipment List &amp; Usage'!$AB21&gt;0,'Weekly Summary'!AX$100+'Weekly Summary'!AX$101,0)),'Equipment List &amp; Usage'!$C$115*(('Weekly Summary'!AX$128*'Equipment List &amp; Usage'!$AA21)+('Weekly Summary'!AX$100*'Equipment List &amp; Usage'!$AB21*SelfQuarantine_Mild)+('Weekly Summary'!AX$101*'Equipment List &amp; Usage'!$AB21*SelfQuarantine_Moderate)))+IF('Equipment List &amp; Usage'!$F21="Yes",('Equipment List &amp; Usage'!$C$114*(IF('Equipment List &amp; Usage'!$AE21&gt;0,'Weekly Summary'!AX$134,0)+IF('Equipment List &amp; Usage'!$AF21&gt;0,'Weekly Summary'!AX$135))),'Equipment List &amp; Usage'!$C$115*(('Weekly Summary'!AX$134*'Equipment List &amp; Usage'!$AE21)+('Weekly Summary'!AX$135*'Equipment List &amp; Usage'!$AF21))))-SUM($I19:BC19),
IF($F19="yes",MMULT(--('Equipment List &amp; Usage'!$J21:$N21&gt;0),--('Weekly Summary'!AX$112:AX$116))*'Equipment List &amp; Usage'!$C$114,MMULT(--('Equipment List &amp; Usage'!$J21:$N21),--('Weekly Summary'!AX$112:AX$116))*'Equipment List &amp; Usage'!$C$115)+IF('Equipment List &amp; Usage'!$F20="yes",'Equipment List &amp; Usage'!$C$114,'Equipment List &amp; Usage'!$C$115)*(('Weekly Summary'!AX$66*'Equipment List &amp; Usage'!$Q21)+('Weekly Summary'!AX$64*'Equipment List &amp; Usage'!$O21)+('Weekly Summary'!AX$65*'Equipment List &amp; Usage'!$P21))+(IF('Equipment List &amp; Usage'!$F21="Yes",'Equipment List &amp; Usage'!$C$114*((('Weekly Summary'!AX$131*SelfQuarantine_Mild)+('Weekly Summary'!AX$100*SelfQuarantine_Mild)+('Weekly Summary'!AX$101*SelfQuarantine_Moderate))),'Equipment List &amp; Usage'!$C$115)*((('Weekly Summary'!AX$131*SelfQuarantine_Mild*'Equipment List &amp; Usage'!$W21)+('Weekly Summary'!AX$100*SelfQuarantine_Mild*'Equipment List &amp; Usage'!$X21)+('Weekly Summary'!AX$101*SelfQuarantine_Moderate*'Equipment List &amp; Usage'!$X21))))+IF('Equipment List &amp; Usage'!$F21="Yes",'Equipment List &amp; Usage'!$C$114*(IF('Equipment List &amp; Usage'!$AA21&gt;0,'Weekly Summary'!AX$128,0)+IF('Equipment List &amp; Usage'!$AB21&gt;0,'Weekly Summary'!AX$100+'Weekly Summary'!AX$101,0)),'Equipment List &amp; Usage'!$C$115*(('Weekly Summary'!AX$128*'Equipment List &amp; Usage'!$AA21)+('Weekly Summary'!AX$100*'Equipment List &amp; Usage'!$AB21*SelfQuarantine_Mild)+('Weekly Summary'!AX$101*'Equipment List &amp; Usage'!$AB21*SelfQuarantine_Moderate)))+IF('Equipment List &amp; Usage'!$F21="Yes",('Equipment List &amp; Usage'!$C$114*(IF('Equipment List &amp; Usage'!$AE21&gt;0,'Weekly Summary'!AX$134,0)+IF('Equipment List &amp; Usage'!$AF21&gt;0,'Weekly Summary'!AX$135))),'Equipment List &amp; Usage'!$C$115*(('Weekly Summary'!AX$134*'Equipment List &amp; Usage'!$AE21)+('Weekly Summary'!AX$135*'Equipment List &amp; Usage'!$AF21)))),0)</f>
        <v>0</v>
      </c>
      <c r="BE19" s="1374">
        <f ca="1">MAX(IF($F19="Yes",(
IF($F19="yes",MMULT(--('Equipment List &amp; Usage'!$J21:$N21&gt;0),--('Weekly Summary'!AY$112:AY$116))*'Equipment List &amp; Usage'!$C$114,MMULT(--('Equipment List &amp; Usage'!$J21:$N21),--('Weekly Summary'!AY$112:AY$116))*'Equipment List &amp; Usage'!$C$115)+IF('Equipment List &amp; Usage'!$F20="yes",'Equipment List &amp; Usage'!$C$114,'Equipment List &amp; Usage'!$C$115)*(('Weekly Summary'!AY$66*'Equipment List &amp; Usage'!$Q21)+('Weekly Summary'!AY$64*'Equipment List &amp; Usage'!$O21)+('Weekly Summary'!AY$65*'Equipment List &amp; Usage'!$P21)))+(IF('Equipment List &amp; Usage'!$F21="Yes",'Equipment List &amp; Usage'!$C$114*((('Weekly Summary'!AY$131*SelfQuarantine_Mild)+('Weekly Summary'!AY$100*SelfQuarantine_Mild)+('Weekly Summary'!AY$101*SelfQuarantine_Moderate))),'Equipment List &amp; Usage'!$C$115)*((('Weekly Summary'!AY$131*SelfQuarantine_Mild*'Equipment List &amp; Usage'!$W21)+('Weekly Summary'!AY$100*SelfQuarantine_Mild*'Equipment List &amp; Usage'!$X21)+('Weekly Summary'!AY$101*SelfQuarantine_Moderate*'Equipment List &amp; Usage'!$X21)))+IF('Equipment List &amp; Usage'!$F21="Yes",'Equipment List &amp; Usage'!$C$114*(IF('Equipment List &amp; Usage'!$AA21&gt;0,'Weekly Summary'!AY$128,0)+IF('Equipment List &amp; Usage'!$AB21&gt;0,'Weekly Summary'!AY$100+'Weekly Summary'!AY$101,0)),'Equipment List &amp; Usage'!$C$115*(('Weekly Summary'!AY$128*'Equipment List &amp; Usage'!$AA21)+('Weekly Summary'!AY$100*'Equipment List &amp; Usage'!$AB21*SelfQuarantine_Mild)+('Weekly Summary'!AY$101*'Equipment List &amp; Usage'!$AB21*SelfQuarantine_Moderate)))+IF('Equipment List &amp; Usage'!$F21="Yes",('Equipment List &amp; Usage'!$C$114*(IF('Equipment List &amp; Usage'!$AE21&gt;0,'Weekly Summary'!AY$134,0)+IF('Equipment List &amp; Usage'!$AF21&gt;0,'Weekly Summary'!AY$135))),'Equipment List &amp; Usage'!$C$115*(('Weekly Summary'!AY$134*'Equipment List &amp; Usage'!$AE21)+('Weekly Summary'!AY$135*'Equipment List &amp; Usage'!$AF21))))-SUM($I19:BD19),
IF($F19="yes",MMULT(--('Equipment List &amp; Usage'!$J21:$N21&gt;0),--('Weekly Summary'!AY$112:AY$116))*'Equipment List &amp; Usage'!$C$114,MMULT(--('Equipment List &amp; Usage'!$J21:$N21),--('Weekly Summary'!AY$112:AY$116))*'Equipment List &amp; Usage'!$C$115)+IF('Equipment List &amp; Usage'!$F20="yes",'Equipment List &amp; Usage'!$C$114,'Equipment List &amp; Usage'!$C$115)*(('Weekly Summary'!AY$66*'Equipment List &amp; Usage'!$Q21)+('Weekly Summary'!AY$64*'Equipment List &amp; Usage'!$O21)+('Weekly Summary'!AY$65*'Equipment List &amp; Usage'!$P21))+(IF('Equipment List &amp; Usage'!$F21="Yes",'Equipment List &amp; Usage'!$C$114*((('Weekly Summary'!AY$131*SelfQuarantine_Mild)+('Weekly Summary'!AY$100*SelfQuarantine_Mild)+('Weekly Summary'!AY$101*SelfQuarantine_Moderate))),'Equipment List &amp; Usage'!$C$115)*((('Weekly Summary'!AY$131*SelfQuarantine_Mild*'Equipment List &amp; Usage'!$W21)+('Weekly Summary'!AY$100*SelfQuarantine_Mild*'Equipment List &amp; Usage'!$X21)+('Weekly Summary'!AY$101*SelfQuarantine_Moderate*'Equipment List &amp; Usage'!$X21))))+IF('Equipment List &amp; Usage'!$F21="Yes",'Equipment List &amp; Usage'!$C$114*(IF('Equipment List &amp; Usage'!$AA21&gt;0,'Weekly Summary'!AY$128,0)+IF('Equipment List &amp; Usage'!$AB21&gt;0,'Weekly Summary'!AY$100+'Weekly Summary'!AY$101,0)),'Equipment List &amp; Usage'!$C$115*(('Weekly Summary'!AY$128*'Equipment List &amp; Usage'!$AA21)+('Weekly Summary'!AY$100*'Equipment List &amp; Usage'!$AB21*SelfQuarantine_Mild)+('Weekly Summary'!AY$101*'Equipment List &amp; Usage'!$AB21*SelfQuarantine_Moderate)))+IF('Equipment List &amp; Usage'!$F21="Yes",('Equipment List &amp; Usage'!$C$114*(IF('Equipment List &amp; Usage'!$AE21&gt;0,'Weekly Summary'!AY$134,0)+IF('Equipment List &amp; Usage'!$AF21&gt;0,'Weekly Summary'!AY$135))),'Equipment List &amp; Usage'!$C$115*(('Weekly Summary'!AY$134*'Equipment List &amp; Usage'!$AE21)+('Weekly Summary'!AY$135*'Equipment List &amp; Usage'!$AF21)))),0)</f>
        <v>0</v>
      </c>
      <c r="BF19" s="1374">
        <f ca="1">MAX(IF($F19="Yes",(
IF($F19="yes",MMULT(--('Equipment List &amp; Usage'!$J21:$N21&gt;0),--('Weekly Summary'!AZ$112:AZ$116))*'Equipment List &amp; Usage'!$C$114,MMULT(--('Equipment List &amp; Usage'!$J21:$N21),--('Weekly Summary'!AZ$112:AZ$116))*'Equipment List &amp; Usage'!$C$115)+IF('Equipment List &amp; Usage'!$F20="yes",'Equipment List &amp; Usage'!$C$114,'Equipment List &amp; Usage'!$C$115)*(('Weekly Summary'!AZ$66*'Equipment List &amp; Usage'!$Q21)+('Weekly Summary'!AZ$64*'Equipment List &amp; Usage'!$O21)+('Weekly Summary'!AZ$65*'Equipment List &amp; Usage'!$P21)))+(IF('Equipment List &amp; Usage'!$F21="Yes",'Equipment List &amp; Usage'!$C$114*((('Weekly Summary'!AZ$131*SelfQuarantine_Mild)+('Weekly Summary'!AZ$100*SelfQuarantine_Mild)+('Weekly Summary'!AZ$101*SelfQuarantine_Moderate))),'Equipment List &amp; Usage'!$C$115)*((('Weekly Summary'!AZ$131*SelfQuarantine_Mild*'Equipment List &amp; Usage'!$W21)+('Weekly Summary'!AZ$100*SelfQuarantine_Mild*'Equipment List &amp; Usage'!$X21)+('Weekly Summary'!AZ$101*SelfQuarantine_Moderate*'Equipment List &amp; Usage'!$X21)))+IF('Equipment List &amp; Usage'!$F21="Yes",'Equipment List &amp; Usage'!$C$114*(IF('Equipment List &amp; Usage'!$AA21&gt;0,'Weekly Summary'!AZ$128,0)+IF('Equipment List &amp; Usage'!$AB21&gt;0,'Weekly Summary'!AZ$100+'Weekly Summary'!AZ$101,0)),'Equipment List &amp; Usage'!$C$115*(('Weekly Summary'!AZ$128*'Equipment List &amp; Usage'!$AA21)+('Weekly Summary'!AZ$100*'Equipment List &amp; Usage'!$AB21*SelfQuarantine_Mild)+('Weekly Summary'!AZ$101*'Equipment List &amp; Usage'!$AB21*SelfQuarantine_Moderate)))+IF('Equipment List &amp; Usage'!$F21="Yes",('Equipment List &amp; Usage'!$C$114*(IF('Equipment List &amp; Usage'!$AE21&gt;0,'Weekly Summary'!AZ$134,0)+IF('Equipment List &amp; Usage'!$AF21&gt;0,'Weekly Summary'!AZ$135))),'Equipment List &amp; Usage'!$C$115*(('Weekly Summary'!AZ$134*'Equipment List &amp; Usage'!$AE21)+('Weekly Summary'!AZ$135*'Equipment List &amp; Usage'!$AF21))))-SUM($I19:BE19),
IF($F19="yes",MMULT(--('Equipment List &amp; Usage'!$J21:$N21&gt;0),--('Weekly Summary'!AZ$112:AZ$116))*'Equipment List &amp; Usage'!$C$114,MMULT(--('Equipment List &amp; Usage'!$J21:$N21),--('Weekly Summary'!AZ$112:AZ$116))*'Equipment List &amp; Usage'!$C$115)+IF('Equipment List &amp; Usage'!$F20="yes",'Equipment List &amp; Usage'!$C$114,'Equipment List &amp; Usage'!$C$115)*(('Weekly Summary'!AZ$66*'Equipment List &amp; Usage'!$Q21)+('Weekly Summary'!AZ$64*'Equipment List &amp; Usage'!$O21)+('Weekly Summary'!AZ$65*'Equipment List &amp; Usage'!$P21))+(IF('Equipment List &amp; Usage'!$F21="Yes",'Equipment List &amp; Usage'!$C$114*((('Weekly Summary'!AZ$131*SelfQuarantine_Mild)+('Weekly Summary'!AZ$100*SelfQuarantine_Mild)+('Weekly Summary'!AZ$101*SelfQuarantine_Moderate))),'Equipment List &amp; Usage'!$C$115)*((('Weekly Summary'!AZ$131*SelfQuarantine_Mild*'Equipment List &amp; Usage'!$W21)+('Weekly Summary'!AZ$100*SelfQuarantine_Mild*'Equipment List &amp; Usage'!$X21)+('Weekly Summary'!AZ$101*SelfQuarantine_Moderate*'Equipment List &amp; Usage'!$X21))))+IF('Equipment List &amp; Usage'!$F21="Yes",'Equipment List &amp; Usage'!$C$114*(IF('Equipment List &amp; Usage'!$AA21&gt;0,'Weekly Summary'!AZ$128,0)+IF('Equipment List &amp; Usage'!$AB21&gt;0,'Weekly Summary'!AZ$100+'Weekly Summary'!AZ$101,0)),'Equipment List &amp; Usage'!$C$115*(('Weekly Summary'!AZ$128*'Equipment List &amp; Usage'!$AA21)+('Weekly Summary'!AZ$100*'Equipment List &amp; Usage'!$AB21*SelfQuarantine_Mild)+('Weekly Summary'!AZ$101*'Equipment List &amp; Usage'!$AB21*SelfQuarantine_Moderate)))+IF('Equipment List &amp; Usage'!$F21="Yes",('Equipment List &amp; Usage'!$C$114*(IF('Equipment List &amp; Usage'!$AE21&gt;0,'Weekly Summary'!AZ$134,0)+IF('Equipment List &amp; Usage'!$AF21&gt;0,'Weekly Summary'!AZ$135))),'Equipment List &amp; Usage'!$C$115*(('Weekly Summary'!AZ$134*'Equipment List &amp; Usage'!$AE21)+('Weekly Summary'!AZ$135*'Equipment List &amp; Usage'!$AF21)))),0)</f>
        <v>0</v>
      </c>
      <c r="BG19" s="1374">
        <f ca="1">MAX(IF($F19="Yes",(
IF($F19="yes",MMULT(--('Equipment List &amp; Usage'!$J21:$N21&gt;0),--('Weekly Summary'!BA$112:BA$116))*'Equipment List &amp; Usage'!$C$114,MMULT(--('Equipment List &amp; Usage'!$J21:$N21),--('Weekly Summary'!BA$112:BA$116))*'Equipment List &amp; Usage'!$C$115)+IF('Equipment List &amp; Usage'!$F20="yes",'Equipment List &amp; Usage'!$C$114,'Equipment List &amp; Usage'!$C$115)*(('Weekly Summary'!BA$66*'Equipment List &amp; Usage'!$Q21)+('Weekly Summary'!BA$64*'Equipment List &amp; Usage'!$O21)+('Weekly Summary'!BA$65*'Equipment List &amp; Usage'!$P21)))+(IF('Equipment List &amp; Usage'!$F21="Yes",'Equipment List &amp; Usage'!$C$114*((('Weekly Summary'!BA$131*SelfQuarantine_Mild)+('Weekly Summary'!BA$100*SelfQuarantine_Mild)+('Weekly Summary'!BA$101*SelfQuarantine_Moderate))),'Equipment List &amp; Usage'!$C$115)*((('Weekly Summary'!BA$131*SelfQuarantine_Mild*'Equipment List &amp; Usage'!$W21)+('Weekly Summary'!BA$100*SelfQuarantine_Mild*'Equipment List &amp; Usage'!$X21)+('Weekly Summary'!BA$101*SelfQuarantine_Moderate*'Equipment List &amp; Usage'!$X21)))+IF('Equipment List &amp; Usage'!$F21="Yes",'Equipment List &amp; Usage'!$C$114*(IF('Equipment List &amp; Usage'!$AA21&gt;0,'Weekly Summary'!BA$128,0)+IF('Equipment List &amp; Usage'!$AB21&gt;0,'Weekly Summary'!BA$100+'Weekly Summary'!BA$101,0)),'Equipment List &amp; Usage'!$C$115*(('Weekly Summary'!BA$128*'Equipment List &amp; Usage'!$AA21)+('Weekly Summary'!BA$100*'Equipment List &amp; Usage'!$AB21*SelfQuarantine_Mild)+('Weekly Summary'!BA$101*'Equipment List &amp; Usage'!$AB21*SelfQuarantine_Moderate)))+IF('Equipment List &amp; Usage'!$F21="Yes",('Equipment List &amp; Usage'!$C$114*(IF('Equipment List &amp; Usage'!$AE21&gt;0,'Weekly Summary'!BA$134,0)+IF('Equipment List &amp; Usage'!$AF21&gt;0,'Weekly Summary'!BA$135))),'Equipment List &amp; Usage'!$C$115*(('Weekly Summary'!BA$134*'Equipment List &amp; Usage'!$AE21)+('Weekly Summary'!BA$135*'Equipment List &amp; Usage'!$AF21))))-SUM($I19:BF19),
IF($F19="yes",MMULT(--('Equipment List &amp; Usage'!$J21:$N21&gt;0),--('Weekly Summary'!BA$112:BA$116))*'Equipment List &amp; Usage'!$C$114,MMULT(--('Equipment List &amp; Usage'!$J21:$N21),--('Weekly Summary'!BA$112:BA$116))*'Equipment List &amp; Usage'!$C$115)+IF('Equipment List &amp; Usage'!$F20="yes",'Equipment List &amp; Usage'!$C$114,'Equipment List &amp; Usage'!$C$115)*(('Weekly Summary'!BA$66*'Equipment List &amp; Usage'!$Q21)+('Weekly Summary'!BA$64*'Equipment List &amp; Usage'!$O21)+('Weekly Summary'!BA$65*'Equipment List &amp; Usage'!$P21))+(IF('Equipment List &amp; Usage'!$F21="Yes",'Equipment List &amp; Usage'!$C$114*((('Weekly Summary'!BA$131*SelfQuarantine_Mild)+('Weekly Summary'!BA$100*SelfQuarantine_Mild)+('Weekly Summary'!BA$101*SelfQuarantine_Moderate))),'Equipment List &amp; Usage'!$C$115)*((('Weekly Summary'!BA$131*SelfQuarantine_Mild*'Equipment List &amp; Usage'!$W21)+('Weekly Summary'!BA$100*SelfQuarantine_Mild*'Equipment List &amp; Usage'!$X21)+('Weekly Summary'!BA$101*SelfQuarantine_Moderate*'Equipment List &amp; Usage'!$X21))))+IF('Equipment List &amp; Usage'!$F21="Yes",'Equipment List &amp; Usage'!$C$114*(IF('Equipment List &amp; Usage'!$AA21&gt;0,'Weekly Summary'!BA$128,0)+IF('Equipment List &amp; Usage'!$AB21&gt;0,'Weekly Summary'!BA$100+'Weekly Summary'!BA$101,0)),'Equipment List &amp; Usage'!$C$115*(('Weekly Summary'!BA$128*'Equipment List &amp; Usage'!$AA21)+('Weekly Summary'!BA$100*'Equipment List &amp; Usage'!$AB21*SelfQuarantine_Mild)+('Weekly Summary'!BA$101*'Equipment List &amp; Usage'!$AB21*SelfQuarantine_Moderate)))+IF('Equipment List &amp; Usage'!$F21="Yes",('Equipment List &amp; Usage'!$C$114*(IF('Equipment List &amp; Usage'!$AE21&gt;0,'Weekly Summary'!BA$134,0)+IF('Equipment List &amp; Usage'!$AF21&gt;0,'Weekly Summary'!BA$135))),'Equipment List &amp; Usage'!$C$115*(('Weekly Summary'!BA$134*'Equipment List &amp; Usage'!$AE21)+('Weekly Summary'!BA$135*'Equipment List &amp; Usage'!$AF21)))),0)</f>
        <v>0</v>
      </c>
      <c r="BH19" s="1374">
        <f ca="1">MAX(IF($F19="Yes",(
IF($F19="yes",MMULT(--('Equipment List &amp; Usage'!$J21:$N21&gt;0),--('Weekly Summary'!BB$112:BB$116))*'Equipment List &amp; Usage'!$C$114,MMULT(--('Equipment List &amp; Usage'!$J21:$N21),--('Weekly Summary'!BB$112:BB$116))*'Equipment List &amp; Usage'!$C$115)+IF('Equipment List &amp; Usage'!$F20="yes",'Equipment List &amp; Usage'!$C$114,'Equipment List &amp; Usage'!$C$115)*(('Weekly Summary'!BB$66*'Equipment List &amp; Usage'!$Q21)+('Weekly Summary'!BB$64*'Equipment List &amp; Usage'!$O21)+('Weekly Summary'!BB$65*'Equipment List &amp; Usage'!$P21)))+(IF('Equipment List &amp; Usage'!$F21="Yes",'Equipment List &amp; Usage'!$C$114*((('Weekly Summary'!BB$131*SelfQuarantine_Mild)+('Weekly Summary'!BB$100*SelfQuarantine_Mild)+('Weekly Summary'!BB$101*SelfQuarantine_Moderate))),'Equipment List &amp; Usage'!$C$115)*((('Weekly Summary'!BB$131*SelfQuarantine_Mild*'Equipment List &amp; Usage'!$W21)+('Weekly Summary'!BB$100*SelfQuarantine_Mild*'Equipment List &amp; Usage'!$X21)+('Weekly Summary'!BB$101*SelfQuarantine_Moderate*'Equipment List &amp; Usage'!$X21)))+IF('Equipment List &amp; Usage'!$F21="Yes",'Equipment List &amp; Usage'!$C$114*(IF('Equipment List &amp; Usage'!$AA21&gt;0,'Weekly Summary'!BB$128,0)+IF('Equipment List &amp; Usage'!$AB21&gt;0,'Weekly Summary'!BB$100+'Weekly Summary'!BB$101,0)),'Equipment List &amp; Usage'!$C$115*(('Weekly Summary'!BB$128*'Equipment List &amp; Usage'!$AA21)+('Weekly Summary'!BB$100*'Equipment List &amp; Usage'!$AB21*SelfQuarantine_Mild)+('Weekly Summary'!BB$101*'Equipment List &amp; Usage'!$AB21*SelfQuarantine_Moderate)))+IF('Equipment List &amp; Usage'!$F21="Yes",('Equipment List &amp; Usage'!$C$114*(IF('Equipment List &amp; Usage'!$AE21&gt;0,'Weekly Summary'!BB$134,0)+IF('Equipment List &amp; Usage'!$AF21&gt;0,'Weekly Summary'!BB$135))),'Equipment List &amp; Usage'!$C$115*(('Weekly Summary'!BB$134*'Equipment List &amp; Usage'!$AE21)+('Weekly Summary'!BB$135*'Equipment List &amp; Usage'!$AF21))))-SUM($I19:BG19),
IF($F19="yes",MMULT(--('Equipment List &amp; Usage'!$J21:$N21&gt;0),--('Weekly Summary'!BB$112:BB$116))*'Equipment List &amp; Usage'!$C$114,MMULT(--('Equipment List &amp; Usage'!$J21:$N21),--('Weekly Summary'!BB$112:BB$116))*'Equipment List &amp; Usage'!$C$115)+IF('Equipment List &amp; Usage'!$F20="yes",'Equipment List &amp; Usage'!$C$114,'Equipment List &amp; Usage'!$C$115)*(('Weekly Summary'!BB$66*'Equipment List &amp; Usage'!$Q21)+('Weekly Summary'!BB$64*'Equipment List &amp; Usage'!$O21)+('Weekly Summary'!BB$65*'Equipment List &amp; Usage'!$P21))+(IF('Equipment List &amp; Usage'!$F21="Yes",'Equipment List &amp; Usage'!$C$114*((('Weekly Summary'!BB$131*SelfQuarantine_Mild)+('Weekly Summary'!BB$100*SelfQuarantine_Mild)+('Weekly Summary'!BB$101*SelfQuarantine_Moderate))),'Equipment List &amp; Usage'!$C$115)*((('Weekly Summary'!BB$131*SelfQuarantine_Mild*'Equipment List &amp; Usage'!$W21)+('Weekly Summary'!BB$100*SelfQuarantine_Mild*'Equipment List &amp; Usage'!$X21)+('Weekly Summary'!BB$101*SelfQuarantine_Moderate*'Equipment List &amp; Usage'!$X21))))+IF('Equipment List &amp; Usage'!$F21="Yes",'Equipment List &amp; Usage'!$C$114*(IF('Equipment List &amp; Usage'!$AA21&gt;0,'Weekly Summary'!BB$128,0)+IF('Equipment List &amp; Usage'!$AB21&gt;0,'Weekly Summary'!BB$100+'Weekly Summary'!BB$101,0)),'Equipment List &amp; Usage'!$C$115*(('Weekly Summary'!BB$128*'Equipment List &amp; Usage'!$AA21)+('Weekly Summary'!BB$100*'Equipment List &amp; Usage'!$AB21*SelfQuarantine_Mild)+('Weekly Summary'!BB$101*'Equipment List &amp; Usage'!$AB21*SelfQuarantine_Moderate)))+IF('Equipment List &amp; Usage'!$F21="Yes",('Equipment List &amp; Usage'!$C$114*(IF('Equipment List &amp; Usage'!$AE21&gt;0,'Weekly Summary'!BB$134,0)+IF('Equipment List &amp; Usage'!$AF21&gt;0,'Weekly Summary'!BB$135))),'Equipment List &amp; Usage'!$C$115*(('Weekly Summary'!BB$134*'Equipment List &amp; Usage'!$AE21)+('Weekly Summary'!BB$135*'Equipment List &amp; Usage'!$AF21)))),0)</f>
        <v>0</v>
      </c>
      <c r="BI19" s="1374">
        <f ca="1">MAX(IF($F19="Yes",(
IF($F19="yes",MMULT(--('Equipment List &amp; Usage'!$J21:$N21&gt;0),--('Weekly Summary'!BC$112:BC$116))*'Equipment List &amp; Usage'!$C$114,MMULT(--('Equipment List &amp; Usage'!$J21:$N21),--('Weekly Summary'!BC$112:BC$116))*'Equipment List &amp; Usage'!$C$115)+IF('Equipment List &amp; Usage'!$F20="yes",'Equipment List &amp; Usage'!$C$114,'Equipment List &amp; Usage'!$C$115)*(('Weekly Summary'!BC$66*'Equipment List &amp; Usage'!$Q21)+('Weekly Summary'!BC$64*'Equipment List &amp; Usage'!$O21)+('Weekly Summary'!BC$65*'Equipment List &amp; Usage'!$P21)))+(IF('Equipment List &amp; Usage'!$F21="Yes",'Equipment List &amp; Usage'!$C$114*((('Weekly Summary'!BC$131*SelfQuarantine_Mild)+('Weekly Summary'!BC$100*SelfQuarantine_Mild)+('Weekly Summary'!BC$101*SelfQuarantine_Moderate))),'Equipment List &amp; Usage'!$C$115)*((('Weekly Summary'!BC$131*SelfQuarantine_Mild*'Equipment List &amp; Usage'!$W21)+('Weekly Summary'!BC$100*SelfQuarantine_Mild*'Equipment List &amp; Usage'!$X21)+('Weekly Summary'!BC$101*SelfQuarantine_Moderate*'Equipment List &amp; Usage'!$X21)))+IF('Equipment List &amp; Usage'!$F21="Yes",'Equipment List &amp; Usage'!$C$114*(IF('Equipment List &amp; Usage'!$AA21&gt;0,'Weekly Summary'!BC$128,0)+IF('Equipment List &amp; Usage'!$AB21&gt;0,'Weekly Summary'!BC$100+'Weekly Summary'!BC$101,0)),'Equipment List &amp; Usage'!$C$115*(('Weekly Summary'!BC$128*'Equipment List &amp; Usage'!$AA21)+('Weekly Summary'!BC$100*'Equipment List &amp; Usage'!$AB21*SelfQuarantine_Mild)+('Weekly Summary'!BC$101*'Equipment List &amp; Usage'!$AB21*SelfQuarantine_Moderate)))+IF('Equipment List &amp; Usage'!$F21="Yes",('Equipment List &amp; Usage'!$C$114*(IF('Equipment List &amp; Usage'!$AE21&gt;0,'Weekly Summary'!BC$134,0)+IF('Equipment List &amp; Usage'!$AF21&gt;0,'Weekly Summary'!BC$135))),'Equipment List &amp; Usage'!$C$115*(('Weekly Summary'!BC$134*'Equipment List &amp; Usage'!$AE21)+('Weekly Summary'!BC$135*'Equipment List &amp; Usage'!$AF21))))-SUM($I19:BH19),
IF($F19="yes",MMULT(--('Equipment List &amp; Usage'!$J21:$N21&gt;0),--('Weekly Summary'!BC$112:BC$116))*'Equipment List &amp; Usage'!$C$114,MMULT(--('Equipment List &amp; Usage'!$J21:$N21),--('Weekly Summary'!BC$112:BC$116))*'Equipment List &amp; Usage'!$C$115)+IF('Equipment List &amp; Usage'!$F20="yes",'Equipment List &amp; Usage'!$C$114,'Equipment List &amp; Usage'!$C$115)*(('Weekly Summary'!BC$66*'Equipment List &amp; Usage'!$Q21)+('Weekly Summary'!BC$64*'Equipment List &amp; Usage'!$O21)+('Weekly Summary'!BC$65*'Equipment List &amp; Usage'!$P21))+(IF('Equipment List &amp; Usage'!$F21="Yes",'Equipment List &amp; Usage'!$C$114*((('Weekly Summary'!BC$131*SelfQuarantine_Mild)+('Weekly Summary'!BC$100*SelfQuarantine_Mild)+('Weekly Summary'!BC$101*SelfQuarantine_Moderate))),'Equipment List &amp; Usage'!$C$115)*((('Weekly Summary'!BC$131*SelfQuarantine_Mild*'Equipment List &amp; Usage'!$W21)+('Weekly Summary'!BC$100*SelfQuarantine_Mild*'Equipment List &amp; Usage'!$X21)+('Weekly Summary'!BC$101*SelfQuarantine_Moderate*'Equipment List &amp; Usage'!$X21))))+IF('Equipment List &amp; Usage'!$F21="Yes",'Equipment List &amp; Usage'!$C$114*(IF('Equipment List &amp; Usage'!$AA21&gt;0,'Weekly Summary'!BC$128,0)+IF('Equipment List &amp; Usage'!$AB21&gt;0,'Weekly Summary'!BC$100+'Weekly Summary'!BC$101,0)),'Equipment List &amp; Usage'!$C$115*(('Weekly Summary'!BC$128*'Equipment List &amp; Usage'!$AA21)+('Weekly Summary'!BC$100*'Equipment List &amp; Usage'!$AB21*SelfQuarantine_Mild)+('Weekly Summary'!BC$101*'Equipment List &amp; Usage'!$AB21*SelfQuarantine_Moderate)))+IF('Equipment List &amp; Usage'!$F21="Yes",('Equipment List &amp; Usage'!$C$114*(IF('Equipment List &amp; Usage'!$AE21&gt;0,'Weekly Summary'!BC$134,0)+IF('Equipment List &amp; Usage'!$AF21&gt;0,'Weekly Summary'!BC$135))),'Equipment List &amp; Usage'!$C$115*(('Weekly Summary'!BC$134*'Equipment List &amp; Usage'!$AE21)+('Weekly Summary'!BC$135*'Equipment List &amp; Usage'!$AF21)))),0)</f>
        <v>0</v>
      </c>
      <c r="BJ19" s="1377">
        <f ca="1">MAX(IF($F19="Yes",(
IF($F19="yes",MMULT(--('Equipment List &amp; Usage'!$J21:$N21&gt;0),--('Weekly Summary'!BD$112:BD$116))*'Equipment List &amp; Usage'!$C$114,MMULT(--('Equipment List &amp; Usage'!$J21:$N21),--('Weekly Summary'!BD$112:BD$116))*'Equipment List &amp; Usage'!$C$115)+IF('Equipment List &amp; Usage'!$F20="yes",'Equipment List &amp; Usage'!$C$114,'Equipment List &amp; Usage'!$C$115)*(('Weekly Summary'!BD$66*'Equipment List &amp; Usage'!$Q21)+('Weekly Summary'!BD$64*'Equipment List &amp; Usage'!$O21)+('Weekly Summary'!BD$65*'Equipment List &amp; Usage'!$P21)))+(IF('Equipment List &amp; Usage'!$F21="Yes",'Equipment List &amp; Usage'!$C$114*((('Weekly Summary'!BD$131*SelfQuarantine_Mild)+('Weekly Summary'!BD$100*SelfQuarantine_Mild)+('Weekly Summary'!BD$101*SelfQuarantine_Moderate))),'Equipment List &amp; Usage'!$C$115)*((('Weekly Summary'!BD$131*SelfQuarantine_Mild*'Equipment List &amp; Usage'!$W21)+('Weekly Summary'!BD$100*SelfQuarantine_Mild*'Equipment List &amp; Usage'!$X21)+('Weekly Summary'!BD$101*SelfQuarantine_Moderate*'Equipment List &amp; Usage'!$X21)))+IF('Equipment List &amp; Usage'!$F21="Yes",'Equipment List &amp; Usage'!$C$114*(IF('Equipment List &amp; Usage'!$AA21&gt;0,'Weekly Summary'!BD$128,0)+IF('Equipment List &amp; Usage'!$AB21&gt;0,'Weekly Summary'!BD$100+'Weekly Summary'!BD$101,0)),'Equipment List &amp; Usage'!$C$115*(('Weekly Summary'!BD$128*'Equipment List &amp; Usage'!$AA21)+('Weekly Summary'!BD$100*'Equipment List &amp; Usage'!$AB21*SelfQuarantine_Mild)+('Weekly Summary'!BD$101*'Equipment List &amp; Usage'!$AB21*SelfQuarantine_Moderate)))+IF('Equipment List &amp; Usage'!$F21="Yes",('Equipment List &amp; Usage'!$C$114*(IF('Equipment List &amp; Usage'!$AE21&gt;0,'Weekly Summary'!BD$134,0)+IF('Equipment List &amp; Usage'!$AF21&gt;0,'Weekly Summary'!BD$135))),'Equipment List &amp; Usage'!$C$115*(('Weekly Summary'!BD$134*'Equipment List &amp; Usage'!$AE21)+('Weekly Summary'!BD$135*'Equipment List &amp; Usage'!$AF21))))-SUM($I19:BI19),
IF($F19="yes",MMULT(--('Equipment List &amp; Usage'!$J21:$N21&gt;0),--('Weekly Summary'!BD$112:BD$116))*'Equipment List &amp; Usage'!$C$114,MMULT(--('Equipment List &amp; Usage'!$J21:$N21),--('Weekly Summary'!BD$112:BD$116))*'Equipment List &amp; Usage'!$C$115)+IF('Equipment List &amp; Usage'!$F20="yes",'Equipment List &amp; Usage'!$C$114,'Equipment List &amp; Usage'!$C$115)*(('Weekly Summary'!BD$66*'Equipment List &amp; Usage'!$Q21)+('Weekly Summary'!BD$64*'Equipment List &amp; Usage'!$O21)+('Weekly Summary'!BD$65*'Equipment List &amp; Usage'!$P21))+(IF('Equipment List &amp; Usage'!$F21="Yes",'Equipment List &amp; Usage'!$C$114*((('Weekly Summary'!BD$131*SelfQuarantine_Mild)+('Weekly Summary'!BD$100*SelfQuarantine_Mild)+('Weekly Summary'!BD$101*SelfQuarantine_Moderate))),'Equipment List &amp; Usage'!$C$115)*((('Weekly Summary'!BD$131*SelfQuarantine_Mild*'Equipment List &amp; Usage'!$W21)+('Weekly Summary'!BD$100*SelfQuarantine_Mild*'Equipment List &amp; Usage'!$X21)+('Weekly Summary'!BD$101*SelfQuarantine_Moderate*'Equipment List &amp; Usage'!$X21))))+IF('Equipment List &amp; Usage'!$F21="Yes",'Equipment List &amp; Usage'!$C$114*(IF('Equipment List &amp; Usage'!$AA21&gt;0,'Weekly Summary'!BD$128,0)+IF('Equipment List &amp; Usage'!$AB21&gt;0,'Weekly Summary'!BD$100+'Weekly Summary'!BD$101,0)),'Equipment List &amp; Usage'!$C$115*(('Weekly Summary'!BD$128*'Equipment List &amp; Usage'!$AA21)+('Weekly Summary'!BD$100*'Equipment List &amp; Usage'!$AB21*SelfQuarantine_Mild)+('Weekly Summary'!BD$101*'Equipment List &amp; Usage'!$AB21*SelfQuarantine_Moderate)))+IF('Equipment List &amp; Usage'!$F21="Yes",('Equipment List &amp; Usage'!$C$114*(IF('Equipment List &amp; Usage'!$AE21&gt;0,'Weekly Summary'!BD$134,0)+IF('Equipment List &amp; Usage'!$AF21&gt;0,'Weekly Summary'!BD$135))),'Equipment List &amp; Usage'!$C$115*(('Weekly Summary'!BD$134*'Equipment List &amp; Usage'!$AE21)+('Weekly Summary'!BD$135*'Equipment List &amp; Usage'!$AF21)))),0)</f>
        <v>0</v>
      </c>
    </row>
    <row r="20" spans="2:62" x14ac:dyDescent="0.35">
      <c r="B20" s="949" t="str">
        <f>'Equipment List &amp; Usage'!B22</f>
        <v>IPC</v>
      </c>
      <c r="C20" s="948" t="str">
        <f>'Equipment List &amp; Usage'!C22</f>
        <v>PPE</v>
      </c>
      <c r="D20" s="948" t="str">
        <f>'Equipment List &amp; Usage'!D22</f>
        <v>Scrubs, pants</v>
      </c>
      <c r="E20" s="948" t="str">
        <f>'Equipment List &amp; Usage'!E22</f>
        <v>Each</v>
      </c>
      <c r="F20" s="948" t="str">
        <f>'Equipment List &amp; Usage'!F22</f>
        <v>Yes</v>
      </c>
      <c r="G20" s="948" t="str">
        <f>'Equipment List &amp; Usage'!G22</f>
        <v>N/A</v>
      </c>
      <c r="H20" s="1365">
        <f t="shared" ca="1" si="2"/>
        <v>1113.5841632777458</v>
      </c>
      <c r="J20" s="1341"/>
      <c r="K20" s="1374">
        <f ca="1">IF('User Dashboard'!$H$13=1,0,IF($F20="Yes",(
IF($F20="yes",MMULT(--('Equipment List &amp; Usage'!$J22:$N22&gt;0),--('Weekly Summary'!E$112:E$116))*'Equipment List &amp; Usage'!$C$114,MMULT(--('Equipment List &amp; Usage'!$J22:$N22),--('Weekly Summary'!E$112:E$116))*'Equipment List &amp; Usage'!$C$115)+IF('Equipment List &amp; Usage'!$F21="yes",'Equipment List &amp; Usage'!$C$114,'Equipment List &amp; Usage'!$C$115)*(('Weekly Summary'!E$66*'Equipment List &amp; Usage'!$Q22)+('Weekly Summary'!E$64*'Equipment List &amp; Usage'!$O22)+('Weekly Summary'!E$65*'Equipment List &amp; Usage'!$P22)))+(IF('Equipment List &amp; Usage'!$F22="Yes",'Equipment List &amp; Usage'!$C$114*((('Weekly Summary'!E$131*SelfQuarantine_Mild)+('Weekly Summary'!E$100*SelfQuarantine_Mild)+('Weekly Summary'!E$101*SelfQuarantine_Moderate))),'Equipment List &amp; Usage'!$C$115)*((('Weekly Summary'!E$131*SelfQuarantine_Mild*'Equipment List &amp; Usage'!$W22)+('Weekly Summary'!E$100*SelfQuarantine_Mild*'Equipment List &amp; Usage'!$X22)+('Weekly Summary'!E$101*SelfQuarantine_Moderate*'Equipment List &amp; Usage'!$X22)))+IF('Equipment List &amp; Usage'!$F22="Yes",'Equipment List &amp; Usage'!$C$114*(IF('Equipment List &amp; Usage'!$AA22&gt;0,'Weekly Summary'!E$128,0)+IF('Equipment List &amp; Usage'!$AB22&gt;0,'Weekly Summary'!E$100+'Weekly Summary'!E$101,0)),'Equipment List &amp; Usage'!$C$115*(('Weekly Summary'!E$128*'Equipment List &amp; Usage'!$AA22)+('Weekly Summary'!E$100*'Equipment List &amp; Usage'!$AB22*SelfQuarantine_Mild)+('Weekly Summary'!E$101*'Equipment List &amp; Usage'!$AB22*SelfQuarantine_Moderate)))+IF('Equipment List &amp; Usage'!$F22="Yes",('Equipment List &amp; Usage'!$C$114*(IF('Equipment List &amp; Usage'!$AE22&gt;0,'Weekly Summary'!E$134,0)+IF('Equipment List &amp; Usage'!$AF22&gt;0,'Weekly Summary'!E$135))),'Equipment List &amp; Usage'!$C$115*(('Weekly Summary'!E$134*'Equipment List &amp; Usage'!$AE22)+('Weekly Summary'!E$135*'Equipment List &amp; Usage'!$AF22)))),
IF($F20="yes",MMULT(--('Equipment List &amp; Usage'!$J22:$N22&gt;0),--('Weekly Summary'!E$112:E$116))*'Equipment List &amp; Usage'!$C$114,MMULT(--('Equipment List &amp; Usage'!$J22:$N22),--('Weekly Summary'!E$112:E$116))*'Equipment List &amp; Usage'!$C$115)+IF('Equipment List &amp; Usage'!$F21="yes",'Equipment List &amp; Usage'!$C$114,'Equipment List &amp; Usage'!$C$115)*(('Weekly Summary'!E$66*'Equipment List &amp; Usage'!$Q22)+('Weekly Summary'!E$64*'Equipment List &amp; Usage'!$O22)+('Weekly Summary'!E$65*'Equipment List &amp; Usage'!$P22))+(IF('Equipment List &amp; Usage'!$F22="Yes",'Equipment List &amp; Usage'!$C$114*((('Weekly Summary'!E$131*SelfQuarantine_Mild)+('Weekly Summary'!E$100*SelfQuarantine_Mild)+('Weekly Summary'!E$101*SelfQuarantine_Moderate))),'Equipment List &amp; Usage'!$C$115)*((('Weekly Summary'!E$131*SelfQuarantine_Mild*'Equipment List &amp; Usage'!$W22)+('Weekly Summary'!E$100*SelfQuarantine_Mild*'Equipment List &amp; Usage'!$X22)+('Weekly Summary'!E$101*SelfQuarantine_Moderate*'Equipment List &amp; Usage'!$X22))))+IF('Equipment List &amp; Usage'!$F22="Yes",'Equipment List &amp; Usage'!$C$114*(IF('Equipment List &amp; Usage'!$AA22&gt;0,'Weekly Summary'!E$128,0)+IF('Equipment List &amp; Usage'!$AB22&gt;0,'Weekly Summary'!E$100+'Weekly Summary'!E$101,0)),'Equipment List &amp; Usage'!$C$115*(('Weekly Summary'!E$128*'Equipment List &amp; Usage'!$AA22)+('Weekly Summary'!E$100*'Equipment List &amp; Usage'!$AB22*SelfQuarantine_Mild)+('Weekly Summary'!E$101*'Equipment List &amp; Usage'!$AB22*SelfQuarantine_Moderate)))+IF('Equipment List &amp; Usage'!$F22="Yes",('Equipment List &amp; Usage'!$C$114*(IF('Equipment List &amp; Usage'!$AE22&gt;0,'Weekly Summary'!E$134,0)+IF('Equipment List &amp; Usage'!$AF22&gt;0,'Weekly Summary'!E$135))),'Equipment List &amp; Usage'!$C$115*(('Weekly Summary'!E$134*'Equipment List &amp; Usage'!$AE22)+('Weekly Summary'!E$135*'Equipment List &amp; Usage'!$AF22)))))</f>
        <v>3.3007524673570359</v>
      </c>
      <c r="L20" s="1374">
        <f ca="1">MAX(IF($F20="Yes",(
IF($F20="yes",MMULT(--('Equipment List &amp; Usage'!$J22:$N22&gt;0),--('Weekly Summary'!F$112:F$116))*'Equipment List &amp; Usage'!$C$114,MMULT(--('Equipment List &amp; Usage'!$J22:$N22),--('Weekly Summary'!F$112:F$116))*'Equipment List &amp; Usage'!$C$115)+IF('Equipment List &amp; Usage'!$F21="yes",'Equipment List &amp; Usage'!$C$114,'Equipment List &amp; Usage'!$C$115)*(('Weekly Summary'!F$66*'Equipment List &amp; Usage'!$Q22)+('Weekly Summary'!F$64*'Equipment List &amp; Usage'!$O22)+('Weekly Summary'!F$65*'Equipment List &amp; Usage'!$P22)))+(IF('Equipment List &amp; Usage'!$F22="Yes",'Equipment List &amp; Usage'!$C$114*((('Weekly Summary'!F$131*SelfQuarantine_Mild)+('Weekly Summary'!F$100*SelfQuarantine_Mild)+('Weekly Summary'!F$101*SelfQuarantine_Moderate))),'Equipment List &amp; Usage'!$C$115)*((('Weekly Summary'!F$131*SelfQuarantine_Mild*'Equipment List &amp; Usage'!$W22)+('Weekly Summary'!F$100*SelfQuarantine_Mild*'Equipment List &amp; Usage'!$X22)+('Weekly Summary'!F$101*SelfQuarantine_Moderate*'Equipment List &amp; Usage'!$X22)))+IF('Equipment List &amp; Usage'!$F22="Yes",'Equipment List &amp; Usage'!$C$114*(IF('Equipment List &amp; Usage'!$AA22&gt;0,'Weekly Summary'!F$128,0)+IF('Equipment List &amp; Usage'!$AB22&gt;0,'Weekly Summary'!F$100+'Weekly Summary'!F$101,0)),'Equipment List &amp; Usage'!$C$115*(('Weekly Summary'!F$128*'Equipment List &amp; Usage'!$AA22)+('Weekly Summary'!F$100*'Equipment List &amp; Usage'!$AB22*SelfQuarantine_Mild)+('Weekly Summary'!F$101*'Equipment List &amp; Usage'!$AB22*SelfQuarantine_Moderate)))+IF('Equipment List &amp; Usage'!$F22="Yes",('Equipment List &amp; Usage'!$C$114*(IF('Equipment List &amp; Usage'!$AE22&gt;0,'Weekly Summary'!F$134,0)+IF('Equipment List &amp; Usage'!$AF22&gt;0,'Weekly Summary'!F$135))),'Equipment List &amp; Usage'!$C$115*(('Weekly Summary'!F$134*'Equipment List &amp; Usage'!$AE22)+('Weekly Summary'!F$135*'Equipment List &amp; Usage'!$AF22))))-SUM($I20:K20),
IF($F20="yes",MMULT(--('Equipment List &amp; Usage'!$J22:$N22&gt;0),--('Weekly Summary'!F$112:F$116))*'Equipment List &amp; Usage'!$C$114,MMULT(--('Equipment List &amp; Usage'!$J22:$N22),--('Weekly Summary'!F$112:F$116))*'Equipment List &amp; Usage'!$C$115)+IF('Equipment List &amp; Usage'!$F21="yes",'Equipment List &amp; Usage'!$C$114,'Equipment List &amp; Usage'!$C$115)*(('Weekly Summary'!F$66*'Equipment List &amp; Usage'!$Q22)+('Weekly Summary'!F$64*'Equipment List &amp; Usage'!$O22)+('Weekly Summary'!F$65*'Equipment List &amp; Usage'!$P22))+(IF('Equipment List &amp; Usage'!$F22="Yes",'Equipment List &amp; Usage'!$C$114*((('Weekly Summary'!F$131*SelfQuarantine_Mild)+('Weekly Summary'!F$100*SelfQuarantine_Mild)+('Weekly Summary'!F$101*SelfQuarantine_Moderate))),'Equipment List &amp; Usage'!$C$115)*((('Weekly Summary'!F$131*SelfQuarantine_Mild*'Equipment List &amp; Usage'!$W22)+('Weekly Summary'!F$100*SelfQuarantine_Mild*'Equipment List &amp; Usage'!$X22)+('Weekly Summary'!F$101*SelfQuarantine_Moderate*'Equipment List &amp; Usage'!$X22))))+IF('Equipment List &amp; Usage'!$F22="Yes",'Equipment List &amp; Usage'!$C$114*(IF('Equipment List &amp; Usage'!$AA22&gt;0,'Weekly Summary'!F$128,0)+IF('Equipment List &amp; Usage'!$AB22&gt;0,'Weekly Summary'!F$100+'Weekly Summary'!F$101,0)),'Equipment List &amp; Usage'!$C$115*(('Weekly Summary'!F$128*'Equipment List &amp; Usage'!$AA22)+('Weekly Summary'!F$100*'Equipment List &amp; Usage'!$AB22*SelfQuarantine_Mild)+('Weekly Summary'!F$101*'Equipment List &amp; Usage'!$AB22*SelfQuarantine_Moderate)))+IF('Equipment List &amp; Usage'!$F22="Yes",('Equipment List &amp; Usage'!$C$114*(IF('Equipment List &amp; Usage'!$AE22&gt;0,'Weekly Summary'!F$134,0)+IF('Equipment List &amp; Usage'!$AF22&gt;0,'Weekly Summary'!F$135))),'Equipment List &amp; Usage'!$C$115*(('Weekly Summary'!F$134*'Equipment List &amp; Usage'!$AE22)+('Weekly Summary'!F$135*'Equipment List &amp; Usage'!$AF22)))),0)</f>
        <v>5.5245873105631009</v>
      </c>
      <c r="M20" s="1374">
        <f ca="1">MAX(IF($F20="Yes",(
IF($F20="yes",MMULT(--('Equipment List &amp; Usage'!$J22:$N22&gt;0),--('Weekly Summary'!G$112:G$116))*'Equipment List &amp; Usage'!$C$114,MMULT(--('Equipment List &amp; Usage'!$J22:$N22),--('Weekly Summary'!G$112:G$116))*'Equipment List &amp; Usage'!$C$115)+IF('Equipment List &amp; Usage'!$F21="yes",'Equipment List &amp; Usage'!$C$114,'Equipment List &amp; Usage'!$C$115)*(('Weekly Summary'!G$66*'Equipment List &amp; Usage'!$Q22)+('Weekly Summary'!G$64*'Equipment List &amp; Usage'!$O22)+('Weekly Summary'!G$65*'Equipment List &amp; Usage'!$P22)))+(IF('Equipment List &amp; Usage'!$F22="Yes",'Equipment List &amp; Usage'!$C$114*((('Weekly Summary'!G$131*SelfQuarantine_Mild)+('Weekly Summary'!G$100*SelfQuarantine_Mild)+('Weekly Summary'!G$101*SelfQuarantine_Moderate))),'Equipment List &amp; Usage'!$C$115)*((('Weekly Summary'!G$131*SelfQuarantine_Mild*'Equipment List &amp; Usage'!$W22)+('Weekly Summary'!G$100*SelfQuarantine_Mild*'Equipment List &amp; Usage'!$X22)+('Weekly Summary'!G$101*SelfQuarantine_Moderate*'Equipment List &amp; Usage'!$X22)))+IF('Equipment List &amp; Usage'!$F22="Yes",'Equipment List &amp; Usage'!$C$114*(IF('Equipment List &amp; Usage'!$AA22&gt;0,'Weekly Summary'!G$128,0)+IF('Equipment List &amp; Usage'!$AB22&gt;0,'Weekly Summary'!G$100+'Weekly Summary'!G$101,0)),'Equipment List &amp; Usage'!$C$115*(('Weekly Summary'!G$128*'Equipment List &amp; Usage'!$AA22)+('Weekly Summary'!G$100*'Equipment List &amp; Usage'!$AB22*SelfQuarantine_Mild)+('Weekly Summary'!G$101*'Equipment List &amp; Usage'!$AB22*SelfQuarantine_Moderate)))+IF('Equipment List &amp; Usage'!$F22="Yes",('Equipment List &amp; Usage'!$C$114*(IF('Equipment List &amp; Usage'!$AE22&gt;0,'Weekly Summary'!G$134,0)+IF('Equipment List &amp; Usage'!$AF22&gt;0,'Weekly Summary'!G$135))),'Equipment List &amp; Usage'!$C$115*(('Weekly Summary'!G$134*'Equipment List &amp; Usage'!$AE22)+('Weekly Summary'!G$135*'Equipment List &amp; Usage'!$AF22))))-SUM($I20:L20),
IF($F20="yes",MMULT(--('Equipment List &amp; Usage'!$J22:$N22&gt;0),--('Weekly Summary'!G$112:G$116))*'Equipment List &amp; Usage'!$C$114,MMULT(--('Equipment List &amp; Usage'!$J22:$N22),--('Weekly Summary'!G$112:G$116))*'Equipment List &amp; Usage'!$C$115)+IF('Equipment List &amp; Usage'!$F21="yes",'Equipment List &amp; Usage'!$C$114,'Equipment List &amp; Usage'!$C$115)*(('Weekly Summary'!G$66*'Equipment List &amp; Usage'!$Q22)+('Weekly Summary'!G$64*'Equipment List &amp; Usage'!$O22)+('Weekly Summary'!G$65*'Equipment List &amp; Usage'!$P22))+(IF('Equipment List &amp; Usage'!$F22="Yes",'Equipment List &amp; Usage'!$C$114*((('Weekly Summary'!G$131*SelfQuarantine_Mild)+('Weekly Summary'!G$100*SelfQuarantine_Mild)+('Weekly Summary'!G$101*SelfQuarantine_Moderate))),'Equipment List &amp; Usage'!$C$115)*((('Weekly Summary'!G$131*SelfQuarantine_Mild*'Equipment List &amp; Usage'!$W22)+('Weekly Summary'!G$100*SelfQuarantine_Mild*'Equipment List &amp; Usage'!$X22)+('Weekly Summary'!G$101*SelfQuarantine_Moderate*'Equipment List &amp; Usage'!$X22))))+IF('Equipment List &amp; Usage'!$F22="Yes",'Equipment List &amp; Usage'!$C$114*(IF('Equipment List &amp; Usage'!$AA22&gt;0,'Weekly Summary'!G$128,0)+IF('Equipment List &amp; Usage'!$AB22&gt;0,'Weekly Summary'!G$100+'Weekly Summary'!G$101,0)),'Equipment List &amp; Usage'!$C$115*(('Weekly Summary'!G$128*'Equipment List &amp; Usage'!$AA22)+('Weekly Summary'!G$100*'Equipment List &amp; Usage'!$AB22*SelfQuarantine_Mild)+('Weekly Summary'!G$101*'Equipment List &amp; Usage'!$AB22*SelfQuarantine_Moderate)))+IF('Equipment List &amp; Usage'!$F22="Yes",('Equipment List &amp; Usage'!$C$114*(IF('Equipment List &amp; Usage'!$AE22&gt;0,'Weekly Summary'!G$134,0)+IF('Equipment List &amp; Usage'!$AF22&gt;0,'Weekly Summary'!G$135))),'Equipment List &amp; Usage'!$C$115*(('Weekly Summary'!G$134*'Equipment List &amp; Usage'!$AE22)+('Weekly Summary'!G$135*'Equipment List &amp; Usage'!$AF22)))),0)</f>
        <v>19.066261531882354</v>
      </c>
      <c r="N20" s="1374">
        <f ca="1">MAX(IF($F20="Yes",(
IF($F20="yes",MMULT(--('Equipment List &amp; Usage'!$J22:$N22&gt;0),--('Weekly Summary'!H$112:H$116))*'Equipment List &amp; Usage'!$C$114,MMULT(--('Equipment List &amp; Usage'!$J22:$N22),--('Weekly Summary'!H$112:H$116))*'Equipment List &amp; Usage'!$C$115)+IF('Equipment List &amp; Usage'!$F21="yes",'Equipment List &amp; Usage'!$C$114,'Equipment List &amp; Usage'!$C$115)*(('Weekly Summary'!H$66*'Equipment List &amp; Usage'!$Q22)+('Weekly Summary'!H$64*'Equipment List &amp; Usage'!$O22)+('Weekly Summary'!H$65*'Equipment List &amp; Usage'!$P22)))+(IF('Equipment List &amp; Usage'!$F22="Yes",'Equipment List &amp; Usage'!$C$114*((('Weekly Summary'!H$131*SelfQuarantine_Mild)+('Weekly Summary'!H$100*SelfQuarantine_Mild)+('Weekly Summary'!H$101*SelfQuarantine_Moderate))),'Equipment List &amp; Usage'!$C$115)*((('Weekly Summary'!H$131*SelfQuarantine_Mild*'Equipment List &amp; Usage'!$W22)+('Weekly Summary'!H$100*SelfQuarantine_Mild*'Equipment List &amp; Usage'!$X22)+('Weekly Summary'!H$101*SelfQuarantine_Moderate*'Equipment List &amp; Usage'!$X22)))+IF('Equipment List &amp; Usage'!$F22="Yes",'Equipment List &amp; Usage'!$C$114*(IF('Equipment List &amp; Usage'!$AA22&gt;0,'Weekly Summary'!H$128,0)+IF('Equipment List &amp; Usage'!$AB22&gt;0,'Weekly Summary'!H$100+'Weekly Summary'!H$101,0)),'Equipment List &amp; Usage'!$C$115*(('Weekly Summary'!H$128*'Equipment List &amp; Usage'!$AA22)+('Weekly Summary'!H$100*'Equipment List &amp; Usage'!$AB22*SelfQuarantine_Mild)+('Weekly Summary'!H$101*'Equipment List &amp; Usage'!$AB22*SelfQuarantine_Moderate)))+IF('Equipment List &amp; Usage'!$F22="Yes",('Equipment List &amp; Usage'!$C$114*(IF('Equipment List &amp; Usage'!$AE22&gt;0,'Weekly Summary'!H$134,0)+IF('Equipment List &amp; Usage'!$AF22&gt;0,'Weekly Summary'!H$135))),'Equipment List &amp; Usage'!$C$115*(('Weekly Summary'!H$134*'Equipment List &amp; Usage'!$AE22)+('Weekly Summary'!H$135*'Equipment List &amp; Usage'!$AF22))))-SUM($I20:M20),
IF($F20="yes",MMULT(--('Equipment List &amp; Usage'!$J22:$N22&gt;0),--('Weekly Summary'!H$112:H$116))*'Equipment List &amp; Usage'!$C$114,MMULT(--('Equipment List &amp; Usage'!$J22:$N22),--('Weekly Summary'!H$112:H$116))*'Equipment List &amp; Usage'!$C$115)+IF('Equipment List &amp; Usage'!$F21="yes",'Equipment List &amp; Usage'!$C$114,'Equipment List &amp; Usage'!$C$115)*(('Weekly Summary'!H$66*'Equipment List &amp; Usage'!$Q22)+('Weekly Summary'!H$64*'Equipment List &amp; Usage'!$O22)+('Weekly Summary'!H$65*'Equipment List &amp; Usage'!$P22))+(IF('Equipment List &amp; Usage'!$F22="Yes",'Equipment List &amp; Usage'!$C$114*((('Weekly Summary'!H$131*SelfQuarantine_Mild)+('Weekly Summary'!H$100*SelfQuarantine_Mild)+('Weekly Summary'!H$101*SelfQuarantine_Moderate))),'Equipment List &amp; Usage'!$C$115)*((('Weekly Summary'!H$131*SelfQuarantine_Mild*'Equipment List &amp; Usage'!$W22)+('Weekly Summary'!H$100*SelfQuarantine_Mild*'Equipment List &amp; Usage'!$X22)+('Weekly Summary'!H$101*SelfQuarantine_Moderate*'Equipment List &amp; Usage'!$X22))))+IF('Equipment List &amp; Usage'!$F22="Yes",'Equipment List &amp; Usage'!$C$114*(IF('Equipment List &amp; Usage'!$AA22&gt;0,'Weekly Summary'!H$128,0)+IF('Equipment List &amp; Usage'!$AB22&gt;0,'Weekly Summary'!H$100+'Weekly Summary'!H$101,0)),'Equipment List &amp; Usage'!$C$115*(('Weekly Summary'!H$128*'Equipment List &amp; Usage'!$AA22)+('Weekly Summary'!H$100*'Equipment List &amp; Usage'!$AB22*SelfQuarantine_Mild)+('Weekly Summary'!H$101*'Equipment List &amp; Usage'!$AB22*SelfQuarantine_Moderate)))+IF('Equipment List &amp; Usage'!$F22="Yes",('Equipment List &amp; Usage'!$C$114*(IF('Equipment List &amp; Usage'!$AE22&gt;0,'Weekly Summary'!H$134,0)+IF('Equipment List &amp; Usage'!$AF22&gt;0,'Weekly Summary'!H$135))),'Equipment List &amp; Usage'!$C$115*(('Weekly Summary'!H$134*'Equipment List &amp; Usage'!$AE22)+('Weekly Summary'!H$135*'Equipment List &amp; Usage'!$AF22)))),0)</f>
        <v>66.517848364880081</v>
      </c>
      <c r="O20" s="1374">
        <f ca="1">MAX(IF($F20="Yes",(
IF($F20="yes",MMULT(--('Equipment List &amp; Usage'!$J22:$N22&gt;0),--('Weekly Summary'!I$112:I$116))*'Equipment List &amp; Usage'!$C$114,MMULT(--('Equipment List &amp; Usage'!$J22:$N22),--('Weekly Summary'!I$112:I$116))*'Equipment List &amp; Usage'!$C$115)+IF('Equipment List &amp; Usage'!$F21="yes",'Equipment List &amp; Usage'!$C$114,'Equipment List &amp; Usage'!$C$115)*(('Weekly Summary'!I$66*'Equipment List &amp; Usage'!$Q22)+('Weekly Summary'!I$64*'Equipment List &amp; Usage'!$O22)+('Weekly Summary'!I$65*'Equipment List &amp; Usage'!$P22)))+(IF('Equipment List &amp; Usage'!$F22="Yes",'Equipment List &amp; Usage'!$C$114*((('Weekly Summary'!I$131*SelfQuarantine_Mild)+('Weekly Summary'!I$100*SelfQuarantine_Mild)+('Weekly Summary'!I$101*SelfQuarantine_Moderate))),'Equipment List &amp; Usage'!$C$115)*((('Weekly Summary'!I$131*SelfQuarantine_Mild*'Equipment List &amp; Usage'!$W22)+('Weekly Summary'!I$100*SelfQuarantine_Mild*'Equipment List &amp; Usage'!$X22)+('Weekly Summary'!I$101*SelfQuarantine_Moderate*'Equipment List &amp; Usage'!$X22)))+IF('Equipment List &amp; Usage'!$F22="Yes",'Equipment List &amp; Usage'!$C$114*(IF('Equipment List &amp; Usage'!$AA22&gt;0,'Weekly Summary'!I$128,0)+IF('Equipment List &amp; Usage'!$AB22&gt;0,'Weekly Summary'!I$100+'Weekly Summary'!I$101,0)),'Equipment List &amp; Usage'!$C$115*(('Weekly Summary'!I$128*'Equipment List &amp; Usage'!$AA22)+('Weekly Summary'!I$100*'Equipment List &amp; Usage'!$AB22*SelfQuarantine_Mild)+('Weekly Summary'!I$101*'Equipment List &amp; Usage'!$AB22*SelfQuarantine_Moderate)))+IF('Equipment List &amp; Usage'!$F22="Yes",('Equipment List &amp; Usage'!$C$114*(IF('Equipment List &amp; Usage'!$AE22&gt;0,'Weekly Summary'!I$134,0)+IF('Equipment List &amp; Usage'!$AF22&gt;0,'Weekly Summary'!I$135))),'Equipment List &amp; Usage'!$C$115*(('Weekly Summary'!I$134*'Equipment List &amp; Usage'!$AE22)+('Weekly Summary'!I$135*'Equipment List &amp; Usage'!$AF22))))-SUM($I20:N20),
IF($F20="yes",MMULT(--('Equipment List &amp; Usage'!$J22:$N22&gt;0),--('Weekly Summary'!I$112:I$116))*'Equipment List &amp; Usage'!$C$114,MMULT(--('Equipment List &amp; Usage'!$J22:$N22),--('Weekly Summary'!I$112:I$116))*'Equipment List &amp; Usage'!$C$115)+IF('Equipment List &amp; Usage'!$F21="yes",'Equipment List &amp; Usage'!$C$114,'Equipment List &amp; Usage'!$C$115)*(('Weekly Summary'!I$66*'Equipment List &amp; Usage'!$Q22)+('Weekly Summary'!I$64*'Equipment List &amp; Usage'!$O22)+('Weekly Summary'!I$65*'Equipment List &amp; Usage'!$P22))+(IF('Equipment List &amp; Usage'!$F22="Yes",'Equipment List &amp; Usage'!$C$114*((('Weekly Summary'!I$131*SelfQuarantine_Mild)+('Weekly Summary'!I$100*SelfQuarantine_Mild)+('Weekly Summary'!I$101*SelfQuarantine_Moderate))),'Equipment List &amp; Usage'!$C$115)*((('Weekly Summary'!I$131*SelfQuarantine_Mild*'Equipment List &amp; Usage'!$W22)+('Weekly Summary'!I$100*SelfQuarantine_Mild*'Equipment List &amp; Usage'!$X22)+('Weekly Summary'!I$101*SelfQuarantine_Moderate*'Equipment List &amp; Usage'!$X22))))+IF('Equipment List &amp; Usage'!$F22="Yes",'Equipment List &amp; Usage'!$C$114*(IF('Equipment List &amp; Usage'!$AA22&gt;0,'Weekly Summary'!I$128,0)+IF('Equipment List &amp; Usage'!$AB22&gt;0,'Weekly Summary'!I$100+'Weekly Summary'!I$101,0)),'Equipment List &amp; Usage'!$C$115*(('Weekly Summary'!I$128*'Equipment List &amp; Usage'!$AA22)+('Weekly Summary'!I$100*'Equipment List &amp; Usage'!$AB22*SelfQuarantine_Mild)+('Weekly Summary'!I$101*'Equipment List &amp; Usage'!$AB22*SelfQuarantine_Moderate)))+IF('Equipment List &amp; Usage'!$F22="Yes",('Equipment List &amp; Usage'!$C$114*(IF('Equipment List &amp; Usage'!$AE22&gt;0,'Weekly Summary'!I$134,0)+IF('Equipment List &amp; Usage'!$AF22&gt;0,'Weekly Summary'!I$135))),'Equipment List &amp; Usage'!$C$115*(('Weekly Summary'!I$134*'Equipment List &amp; Usage'!$AE22)+('Weekly Summary'!I$135*'Equipment List &amp; Usage'!$AF22)))),0)</f>
        <v>230.1089446984121</v>
      </c>
      <c r="P20" s="1374">
        <f ca="1">MAX(IF($F20="Yes",(
IF($F20="yes",MMULT(--('Equipment List &amp; Usage'!$J22:$N22&gt;0),--('Weekly Summary'!J$112:J$116))*'Equipment List &amp; Usage'!$C$114,MMULT(--('Equipment List &amp; Usage'!$J22:$N22),--('Weekly Summary'!J$112:J$116))*'Equipment List &amp; Usage'!$C$115)+IF('Equipment List &amp; Usage'!$F21="yes",'Equipment List &amp; Usage'!$C$114,'Equipment List &amp; Usage'!$C$115)*(('Weekly Summary'!J$66*'Equipment List &amp; Usage'!$Q22)+('Weekly Summary'!J$64*'Equipment List &amp; Usage'!$O22)+('Weekly Summary'!J$65*'Equipment List &amp; Usage'!$P22)))+(IF('Equipment List &amp; Usage'!$F22="Yes",'Equipment List &amp; Usage'!$C$114*((('Weekly Summary'!J$131*SelfQuarantine_Mild)+('Weekly Summary'!J$100*SelfQuarantine_Mild)+('Weekly Summary'!J$101*SelfQuarantine_Moderate))),'Equipment List &amp; Usage'!$C$115)*((('Weekly Summary'!J$131*SelfQuarantine_Mild*'Equipment List &amp; Usage'!$W22)+('Weekly Summary'!J$100*SelfQuarantine_Mild*'Equipment List &amp; Usage'!$X22)+('Weekly Summary'!J$101*SelfQuarantine_Moderate*'Equipment List &amp; Usage'!$X22)))+IF('Equipment List &amp; Usage'!$F22="Yes",'Equipment List &amp; Usage'!$C$114*(IF('Equipment List &amp; Usage'!$AA22&gt;0,'Weekly Summary'!J$128,0)+IF('Equipment List &amp; Usage'!$AB22&gt;0,'Weekly Summary'!J$100+'Weekly Summary'!J$101,0)),'Equipment List &amp; Usage'!$C$115*(('Weekly Summary'!J$128*'Equipment List &amp; Usage'!$AA22)+('Weekly Summary'!J$100*'Equipment List &amp; Usage'!$AB22*SelfQuarantine_Mild)+('Weekly Summary'!J$101*'Equipment List &amp; Usage'!$AB22*SelfQuarantine_Moderate)))+IF('Equipment List &amp; Usage'!$F22="Yes",('Equipment List &amp; Usage'!$C$114*(IF('Equipment List &amp; Usage'!$AE22&gt;0,'Weekly Summary'!J$134,0)+IF('Equipment List &amp; Usage'!$AF22&gt;0,'Weekly Summary'!J$135))),'Equipment List &amp; Usage'!$C$115*(('Weekly Summary'!J$134*'Equipment List &amp; Usage'!$AE22)+('Weekly Summary'!J$135*'Equipment List &amp; Usage'!$AF22))))-SUM($I20:O20),
IF($F20="yes",MMULT(--('Equipment List &amp; Usage'!$J22:$N22&gt;0),--('Weekly Summary'!J$112:J$116))*'Equipment List &amp; Usage'!$C$114,MMULT(--('Equipment List &amp; Usage'!$J22:$N22),--('Weekly Summary'!J$112:J$116))*'Equipment List &amp; Usage'!$C$115)+IF('Equipment List &amp; Usage'!$F21="yes",'Equipment List &amp; Usage'!$C$114,'Equipment List &amp; Usage'!$C$115)*(('Weekly Summary'!J$66*'Equipment List &amp; Usage'!$Q22)+('Weekly Summary'!J$64*'Equipment List &amp; Usage'!$O22)+('Weekly Summary'!J$65*'Equipment List &amp; Usage'!$P22))+(IF('Equipment List &amp; Usage'!$F22="Yes",'Equipment List &amp; Usage'!$C$114*((('Weekly Summary'!J$131*SelfQuarantine_Mild)+('Weekly Summary'!J$100*SelfQuarantine_Mild)+('Weekly Summary'!J$101*SelfQuarantine_Moderate))),'Equipment List &amp; Usage'!$C$115)*((('Weekly Summary'!J$131*SelfQuarantine_Mild*'Equipment List &amp; Usage'!$W22)+('Weekly Summary'!J$100*SelfQuarantine_Mild*'Equipment List &amp; Usage'!$X22)+('Weekly Summary'!J$101*SelfQuarantine_Moderate*'Equipment List &amp; Usage'!$X22))))+IF('Equipment List &amp; Usage'!$F22="Yes",'Equipment List &amp; Usage'!$C$114*(IF('Equipment List &amp; Usage'!$AA22&gt;0,'Weekly Summary'!J$128,0)+IF('Equipment List &amp; Usage'!$AB22&gt;0,'Weekly Summary'!J$100+'Weekly Summary'!J$101,0)),'Equipment List &amp; Usage'!$C$115*(('Weekly Summary'!J$128*'Equipment List &amp; Usage'!$AA22)+('Weekly Summary'!J$100*'Equipment List &amp; Usage'!$AB22*SelfQuarantine_Mild)+('Weekly Summary'!J$101*'Equipment List &amp; Usage'!$AB22*SelfQuarantine_Moderate)))+IF('Equipment List &amp; Usage'!$F22="Yes",('Equipment List &amp; Usage'!$C$114*(IF('Equipment List &amp; Usage'!$AE22&gt;0,'Weekly Summary'!J$134,0)+IF('Equipment List &amp; Usage'!$AF22&gt;0,'Weekly Summary'!J$135))),'Equipment List &amp; Usage'!$C$115*(('Weekly Summary'!J$134*'Equipment List &amp; Usage'!$AE22)+('Weekly Summary'!J$135*'Equipment List &amp; Usage'!$AF22)))),0)</f>
        <v>789.06576890465112</v>
      </c>
      <c r="Q20" s="1374">
        <f ca="1">MAX(IF($F20="Yes",(
IF($F20="yes",MMULT(--('Equipment List &amp; Usage'!$J22:$N22&gt;0),--('Weekly Summary'!K$112:K$116))*'Equipment List &amp; Usage'!$C$114,MMULT(--('Equipment List &amp; Usage'!$J22:$N22),--('Weekly Summary'!K$112:K$116))*'Equipment List &amp; Usage'!$C$115)+IF('Equipment List &amp; Usage'!$F21="yes",'Equipment List &amp; Usage'!$C$114,'Equipment List &amp; Usage'!$C$115)*(('Weekly Summary'!K$66*'Equipment List &amp; Usage'!$Q22)+('Weekly Summary'!K$64*'Equipment List &amp; Usage'!$O22)+('Weekly Summary'!K$65*'Equipment List &amp; Usage'!$P22)))+(IF('Equipment List &amp; Usage'!$F22="Yes",'Equipment List &amp; Usage'!$C$114*((('Weekly Summary'!K$131*SelfQuarantine_Mild)+('Weekly Summary'!K$100*SelfQuarantine_Mild)+('Weekly Summary'!K$101*SelfQuarantine_Moderate))),'Equipment List &amp; Usage'!$C$115)*((('Weekly Summary'!K$131*SelfQuarantine_Mild*'Equipment List &amp; Usage'!$W22)+('Weekly Summary'!K$100*SelfQuarantine_Mild*'Equipment List &amp; Usage'!$X22)+('Weekly Summary'!K$101*SelfQuarantine_Moderate*'Equipment List &amp; Usage'!$X22)))+IF('Equipment List &amp; Usage'!$F22="Yes",'Equipment List &amp; Usage'!$C$114*(IF('Equipment List &amp; Usage'!$AA22&gt;0,'Weekly Summary'!K$128,0)+IF('Equipment List &amp; Usage'!$AB22&gt;0,'Weekly Summary'!K$100+'Weekly Summary'!K$101,0)),'Equipment List &amp; Usage'!$C$115*(('Weekly Summary'!K$128*'Equipment List &amp; Usage'!$AA22)+('Weekly Summary'!K$100*'Equipment List &amp; Usage'!$AB22*SelfQuarantine_Mild)+('Weekly Summary'!K$101*'Equipment List &amp; Usage'!$AB22*SelfQuarantine_Moderate)))+IF('Equipment List &amp; Usage'!$F22="Yes",('Equipment List &amp; Usage'!$C$114*(IF('Equipment List &amp; Usage'!$AE22&gt;0,'Weekly Summary'!K$134,0)+IF('Equipment List &amp; Usage'!$AF22&gt;0,'Weekly Summary'!K$135))),'Equipment List &amp; Usage'!$C$115*(('Weekly Summary'!K$134*'Equipment List &amp; Usage'!$AE22)+('Weekly Summary'!K$135*'Equipment List &amp; Usage'!$AF22))))-SUM($I20:P20),
IF($F20="yes",MMULT(--('Equipment List &amp; Usage'!$J22:$N22&gt;0),--('Weekly Summary'!K$112:K$116))*'Equipment List &amp; Usage'!$C$114,MMULT(--('Equipment List &amp; Usage'!$J22:$N22),--('Weekly Summary'!K$112:K$116))*'Equipment List &amp; Usage'!$C$115)+IF('Equipment List &amp; Usage'!$F21="yes",'Equipment List &amp; Usage'!$C$114,'Equipment List &amp; Usage'!$C$115)*(('Weekly Summary'!K$66*'Equipment List &amp; Usage'!$Q22)+('Weekly Summary'!K$64*'Equipment List &amp; Usage'!$O22)+('Weekly Summary'!K$65*'Equipment List &amp; Usage'!$P22))+(IF('Equipment List &amp; Usage'!$F22="Yes",'Equipment List &amp; Usage'!$C$114*((('Weekly Summary'!K$131*SelfQuarantine_Mild)+('Weekly Summary'!K$100*SelfQuarantine_Mild)+('Weekly Summary'!K$101*SelfQuarantine_Moderate))),'Equipment List &amp; Usage'!$C$115)*((('Weekly Summary'!K$131*SelfQuarantine_Mild*'Equipment List &amp; Usage'!$W22)+('Weekly Summary'!K$100*SelfQuarantine_Mild*'Equipment List &amp; Usage'!$X22)+('Weekly Summary'!K$101*SelfQuarantine_Moderate*'Equipment List &amp; Usage'!$X22))))+IF('Equipment List &amp; Usage'!$F22="Yes",'Equipment List &amp; Usage'!$C$114*(IF('Equipment List &amp; Usage'!$AA22&gt;0,'Weekly Summary'!K$128,0)+IF('Equipment List &amp; Usage'!$AB22&gt;0,'Weekly Summary'!K$100+'Weekly Summary'!K$101,0)),'Equipment List &amp; Usage'!$C$115*(('Weekly Summary'!K$128*'Equipment List &amp; Usage'!$AA22)+('Weekly Summary'!K$100*'Equipment List &amp; Usage'!$AB22*SelfQuarantine_Mild)+('Weekly Summary'!K$101*'Equipment List &amp; Usage'!$AB22*SelfQuarantine_Moderate)))+IF('Equipment List &amp; Usage'!$F22="Yes",('Equipment List &amp; Usage'!$C$114*(IF('Equipment List &amp; Usage'!$AE22&gt;0,'Weekly Summary'!K$134,0)+IF('Equipment List &amp; Usage'!$AF22&gt;0,'Weekly Summary'!K$135))),'Equipment List &amp; Usage'!$C$115*(('Weekly Summary'!K$134*'Equipment List &amp; Usage'!$AE22)+('Weekly Summary'!K$135*'Equipment List &amp; Usage'!$AF22)))),0)</f>
        <v>0</v>
      </c>
      <c r="R20" s="1374">
        <f ca="1">MAX(IF($F20="Yes",(
IF($F20="yes",MMULT(--('Equipment List &amp; Usage'!$J22:$N22&gt;0),--('Weekly Summary'!L$112:L$116))*'Equipment List &amp; Usage'!$C$114,MMULT(--('Equipment List &amp; Usage'!$J22:$N22),--('Weekly Summary'!L$112:L$116))*'Equipment List &amp; Usage'!$C$115)+IF('Equipment List &amp; Usage'!$F21="yes",'Equipment List &amp; Usage'!$C$114,'Equipment List &amp; Usage'!$C$115)*(('Weekly Summary'!L$66*'Equipment List &amp; Usage'!$Q22)+('Weekly Summary'!L$64*'Equipment List &amp; Usage'!$O22)+('Weekly Summary'!L$65*'Equipment List &amp; Usage'!$P22)))+(IF('Equipment List &amp; Usage'!$F22="Yes",'Equipment List &amp; Usage'!$C$114*((('Weekly Summary'!L$131*SelfQuarantine_Mild)+('Weekly Summary'!L$100*SelfQuarantine_Mild)+('Weekly Summary'!L$101*SelfQuarantine_Moderate))),'Equipment List &amp; Usage'!$C$115)*((('Weekly Summary'!L$131*SelfQuarantine_Mild*'Equipment List &amp; Usage'!$W22)+('Weekly Summary'!L$100*SelfQuarantine_Mild*'Equipment List &amp; Usage'!$X22)+('Weekly Summary'!L$101*SelfQuarantine_Moderate*'Equipment List &amp; Usage'!$X22)))+IF('Equipment List &amp; Usage'!$F22="Yes",'Equipment List &amp; Usage'!$C$114*(IF('Equipment List &amp; Usage'!$AA22&gt;0,'Weekly Summary'!L$128,0)+IF('Equipment List &amp; Usage'!$AB22&gt;0,'Weekly Summary'!L$100+'Weekly Summary'!L$101,0)),'Equipment List &amp; Usage'!$C$115*(('Weekly Summary'!L$128*'Equipment List &amp; Usage'!$AA22)+('Weekly Summary'!L$100*'Equipment List &amp; Usage'!$AB22*SelfQuarantine_Mild)+('Weekly Summary'!L$101*'Equipment List &amp; Usage'!$AB22*SelfQuarantine_Moderate)))+IF('Equipment List &amp; Usage'!$F22="Yes",('Equipment List &amp; Usage'!$C$114*(IF('Equipment List &amp; Usage'!$AE22&gt;0,'Weekly Summary'!L$134,0)+IF('Equipment List &amp; Usage'!$AF22&gt;0,'Weekly Summary'!L$135))),'Equipment List &amp; Usage'!$C$115*(('Weekly Summary'!L$134*'Equipment List &amp; Usage'!$AE22)+('Weekly Summary'!L$135*'Equipment List &amp; Usage'!$AF22))))-SUM($I20:Q20),
IF($F20="yes",MMULT(--('Equipment List &amp; Usage'!$J22:$N22&gt;0),--('Weekly Summary'!L$112:L$116))*'Equipment List &amp; Usage'!$C$114,MMULT(--('Equipment List &amp; Usage'!$J22:$N22),--('Weekly Summary'!L$112:L$116))*'Equipment List &amp; Usage'!$C$115)+IF('Equipment List &amp; Usage'!$F21="yes",'Equipment List &amp; Usage'!$C$114,'Equipment List &amp; Usage'!$C$115)*(('Weekly Summary'!L$66*'Equipment List &amp; Usage'!$Q22)+('Weekly Summary'!L$64*'Equipment List &amp; Usage'!$O22)+('Weekly Summary'!L$65*'Equipment List &amp; Usage'!$P22))+(IF('Equipment List &amp; Usage'!$F22="Yes",'Equipment List &amp; Usage'!$C$114*((('Weekly Summary'!L$131*SelfQuarantine_Mild)+('Weekly Summary'!L$100*SelfQuarantine_Mild)+('Weekly Summary'!L$101*SelfQuarantine_Moderate))),'Equipment List &amp; Usage'!$C$115)*((('Weekly Summary'!L$131*SelfQuarantine_Mild*'Equipment List &amp; Usage'!$W22)+('Weekly Summary'!L$100*SelfQuarantine_Mild*'Equipment List &amp; Usage'!$X22)+('Weekly Summary'!L$101*SelfQuarantine_Moderate*'Equipment List &amp; Usage'!$X22))))+IF('Equipment List &amp; Usage'!$F22="Yes",'Equipment List &amp; Usage'!$C$114*(IF('Equipment List &amp; Usage'!$AA22&gt;0,'Weekly Summary'!L$128,0)+IF('Equipment List &amp; Usage'!$AB22&gt;0,'Weekly Summary'!L$100+'Weekly Summary'!L$101,0)),'Equipment List &amp; Usage'!$C$115*(('Weekly Summary'!L$128*'Equipment List &amp; Usage'!$AA22)+('Weekly Summary'!L$100*'Equipment List &amp; Usage'!$AB22*SelfQuarantine_Mild)+('Weekly Summary'!L$101*'Equipment List &amp; Usage'!$AB22*SelfQuarantine_Moderate)))+IF('Equipment List &amp; Usage'!$F22="Yes",('Equipment List &amp; Usage'!$C$114*(IF('Equipment List &amp; Usage'!$AE22&gt;0,'Weekly Summary'!L$134,0)+IF('Equipment List &amp; Usage'!$AF22&gt;0,'Weekly Summary'!L$135))),'Equipment List &amp; Usage'!$C$115*(('Weekly Summary'!L$134*'Equipment List &amp; Usage'!$AE22)+('Weekly Summary'!L$135*'Equipment List &amp; Usage'!$AF22)))),0)</f>
        <v>0</v>
      </c>
      <c r="S20" s="1374">
        <f ca="1">MAX(IF($F20="Yes",(
IF($F20="yes",MMULT(--('Equipment List &amp; Usage'!$J22:$N22&gt;0),--('Weekly Summary'!M$112:M$116))*'Equipment List &amp; Usage'!$C$114,MMULT(--('Equipment List &amp; Usage'!$J22:$N22),--('Weekly Summary'!M$112:M$116))*'Equipment List &amp; Usage'!$C$115)+IF('Equipment List &amp; Usage'!$F21="yes",'Equipment List &amp; Usage'!$C$114,'Equipment List &amp; Usage'!$C$115)*(('Weekly Summary'!M$66*'Equipment List &amp; Usage'!$Q22)+('Weekly Summary'!M$64*'Equipment List &amp; Usage'!$O22)+('Weekly Summary'!M$65*'Equipment List &amp; Usage'!$P22)))+(IF('Equipment List &amp; Usage'!$F22="Yes",'Equipment List &amp; Usage'!$C$114*((('Weekly Summary'!M$131*SelfQuarantine_Mild)+('Weekly Summary'!M$100*SelfQuarantine_Mild)+('Weekly Summary'!M$101*SelfQuarantine_Moderate))),'Equipment List &amp; Usage'!$C$115)*((('Weekly Summary'!M$131*SelfQuarantine_Mild*'Equipment List &amp; Usage'!$W22)+('Weekly Summary'!M$100*SelfQuarantine_Mild*'Equipment List &amp; Usage'!$X22)+('Weekly Summary'!M$101*SelfQuarantine_Moderate*'Equipment List &amp; Usage'!$X22)))+IF('Equipment List &amp; Usage'!$F22="Yes",'Equipment List &amp; Usage'!$C$114*(IF('Equipment List &amp; Usage'!$AA22&gt;0,'Weekly Summary'!M$128,0)+IF('Equipment List &amp; Usage'!$AB22&gt;0,'Weekly Summary'!M$100+'Weekly Summary'!M$101,0)),'Equipment List &amp; Usage'!$C$115*(('Weekly Summary'!M$128*'Equipment List &amp; Usage'!$AA22)+('Weekly Summary'!M$100*'Equipment List &amp; Usage'!$AB22*SelfQuarantine_Mild)+('Weekly Summary'!M$101*'Equipment List &amp; Usage'!$AB22*SelfQuarantine_Moderate)))+IF('Equipment List &amp; Usage'!$F22="Yes",('Equipment List &amp; Usage'!$C$114*(IF('Equipment List &amp; Usage'!$AE22&gt;0,'Weekly Summary'!M$134,0)+IF('Equipment List &amp; Usage'!$AF22&gt;0,'Weekly Summary'!M$135))),'Equipment List &amp; Usage'!$C$115*(('Weekly Summary'!M$134*'Equipment List &amp; Usage'!$AE22)+('Weekly Summary'!M$135*'Equipment List &amp; Usage'!$AF22))))-SUM($I20:R20),
IF($F20="yes",MMULT(--('Equipment List &amp; Usage'!$J22:$N22&gt;0),--('Weekly Summary'!M$112:M$116))*'Equipment List &amp; Usage'!$C$114,MMULT(--('Equipment List &amp; Usage'!$J22:$N22),--('Weekly Summary'!M$112:M$116))*'Equipment List &amp; Usage'!$C$115)+IF('Equipment List &amp; Usage'!$F21="yes",'Equipment List &amp; Usage'!$C$114,'Equipment List &amp; Usage'!$C$115)*(('Weekly Summary'!M$66*'Equipment List &amp; Usage'!$Q22)+('Weekly Summary'!M$64*'Equipment List &amp; Usage'!$O22)+('Weekly Summary'!M$65*'Equipment List &amp; Usage'!$P22))+(IF('Equipment List &amp; Usage'!$F22="Yes",'Equipment List &amp; Usage'!$C$114*((('Weekly Summary'!M$131*SelfQuarantine_Mild)+('Weekly Summary'!M$100*SelfQuarantine_Mild)+('Weekly Summary'!M$101*SelfQuarantine_Moderate))),'Equipment List &amp; Usage'!$C$115)*((('Weekly Summary'!M$131*SelfQuarantine_Mild*'Equipment List &amp; Usage'!$W22)+('Weekly Summary'!M$100*SelfQuarantine_Mild*'Equipment List &amp; Usage'!$X22)+('Weekly Summary'!M$101*SelfQuarantine_Moderate*'Equipment List &amp; Usage'!$X22))))+IF('Equipment List &amp; Usage'!$F22="Yes",'Equipment List &amp; Usage'!$C$114*(IF('Equipment List &amp; Usage'!$AA22&gt;0,'Weekly Summary'!M$128,0)+IF('Equipment List &amp; Usage'!$AB22&gt;0,'Weekly Summary'!M$100+'Weekly Summary'!M$101,0)),'Equipment List &amp; Usage'!$C$115*(('Weekly Summary'!M$128*'Equipment List &amp; Usage'!$AA22)+('Weekly Summary'!M$100*'Equipment List &amp; Usage'!$AB22*SelfQuarantine_Mild)+('Weekly Summary'!M$101*'Equipment List &amp; Usage'!$AB22*SelfQuarantine_Moderate)))+IF('Equipment List &amp; Usage'!$F22="Yes",('Equipment List &amp; Usage'!$C$114*(IF('Equipment List &amp; Usage'!$AE22&gt;0,'Weekly Summary'!M$134,0)+IF('Equipment List &amp; Usage'!$AF22&gt;0,'Weekly Summary'!M$135))),'Equipment List &amp; Usage'!$C$115*(('Weekly Summary'!M$134*'Equipment List &amp; Usage'!$AE22)+('Weekly Summary'!M$135*'Equipment List &amp; Usage'!$AF22)))),0)</f>
        <v>0</v>
      </c>
      <c r="T20" s="1374">
        <f ca="1">MAX(IF($F20="Yes",(
IF($F20="yes",MMULT(--('Equipment List &amp; Usage'!$J22:$N22&gt;0),--('Weekly Summary'!N$112:N$116))*'Equipment List &amp; Usage'!$C$114,MMULT(--('Equipment List &amp; Usage'!$J22:$N22),--('Weekly Summary'!N$112:N$116))*'Equipment List &amp; Usage'!$C$115)+IF('Equipment List &amp; Usage'!$F21="yes",'Equipment List &amp; Usage'!$C$114,'Equipment List &amp; Usage'!$C$115)*(('Weekly Summary'!N$66*'Equipment List &amp; Usage'!$Q22)+('Weekly Summary'!N$64*'Equipment List &amp; Usage'!$O22)+('Weekly Summary'!N$65*'Equipment List &amp; Usage'!$P22)))+(IF('Equipment List &amp; Usage'!$F22="Yes",'Equipment List &amp; Usage'!$C$114*((('Weekly Summary'!N$131*SelfQuarantine_Mild)+('Weekly Summary'!N$100*SelfQuarantine_Mild)+('Weekly Summary'!N$101*SelfQuarantine_Moderate))),'Equipment List &amp; Usage'!$C$115)*((('Weekly Summary'!N$131*SelfQuarantine_Mild*'Equipment List &amp; Usage'!$W22)+('Weekly Summary'!N$100*SelfQuarantine_Mild*'Equipment List &amp; Usage'!$X22)+('Weekly Summary'!N$101*SelfQuarantine_Moderate*'Equipment List &amp; Usage'!$X22)))+IF('Equipment List &amp; Usage'!$F22="Yes",'Equipment List &amp; Usage'!$C$114*(IF('Equipment List &amp; Usage'!$AA22&gt;0,'Weekly Summary'!N$128,0)+IF('Equipment List &amp; Usage'!$AB22&gt;0,'Weekly Summary'!N$100+'Weekly Summary'!N$101,0)),'Equipment List &amp; Usage'!$C$115*(('Weekly Summary'!N$128*'Equipment List &amp; Usage'!$AA22)+('Weekly Summary'!N$100*'Equipment List &amp; Usage'!$AB22*SelfQuarantine_Mild)+('Weekly Summary'!N$101*'Equipment List &amp; Usage'!$AB22*SelfQuarantine_Moderate)))+IF('Equipment List &amp; Usage'!$F22="Yes",('Equipment List &amp; Usage'!$C$114*(IF('Equipment List &amp; Usage'!$AE22&gt;0,'Weekly Summary'!N$134,0)+IF('Equipment List &amp; Usage'!$AF22&gt;0,'Weekly Summary'!N$135))),'Equipment List &amp; Usage'!$C$115*(('Weekly Summary'!N$134*'Equipment List &amp; Usage'!$AE22)+('Weekly Summary'!N$135*'Equipment List &amp; Usage'!$AF22))))-SUM($I20:S20),
IF($F20="yes",MMULT(--('Equipment List &amp; Usage'!$J22:$N22&gt;0),--('Weekly Summary'!N$112:N$116))*'Equipment List &amp; Usage'!$C$114,MMULT(--('Equipment List &amp; Usage'!$J22:$N22),--('Weekly Summary'!N$112:N$116))*'Equipment List &amp; Usage'!$C$115)+IF('Equipment List &amp; Usage'!$F21="yes",'Equipment List &amp; Usage'!$C$114,'Equipment List &amp; Usage'!$C$115)*(('Weekly Summary'!N$66*'Equipment List &amp; Usage'!$Q22)+('Weekly Summary'!N$64*'Equipment List &amp; Usage'!$O22)+('Weekly Summary'!N$65*'Equipment List &amp; Usage'!$P22))+(IF('Equipment List &amp; Usage'!$F22="Yes",'Equipment List &amp; Usage'!$C$114*((('Weekly Summary'!N$131*SelfQuarantine_Mild)+('Weekly Summary'!N$100*SelfQuarantine_Mild)+('Weekly Summary'!N$101*SelfQuarantine_Moderate))),'Equipment List &amp; Usage'!$C$115)*((('Weekly Summary'!N$131*SelfQuarantine_Mild*'Equipment List &amp; Usage'!$W22)+('Weekly Summary'!N$100*SelfQuarantine_Mild*'Equipment List &amp; Usage'!$X22)+('Weekly Summary'!N$101*SelfQuarantine_Moderate*'Equipment List &amp; Usage'!$X22))))+IF('Equipment List &amp; Usage'!$F22="Yes",'Equipment List &amp; Usage'!$C$114*(IF('Equipment List &amp; Usage'!$AA22&gt;0,'Weekly Summary'!N$128,0)+IF('Equipment List &amp; Usage'!$AB22&gt;0,'Weekly Summary'!N$100+'Weekly Summary'!N$101,0)),'Equipment List &amp; Usage'!$C$115*(('Weekly Summary'!N$128*'Equipment List &amp; Usage'!$AA22)+('Weekly Summary'!N$100*'Equipment List &amp; Usage'!$AB22*SelfQuarantine_Mild)+('Weekly Summary'!N$101*'Equipment List &amp; Usage'!$AB22*SelfQuarantine_Moderate)))+IF('Equipment List &amp; Usage'!$F22="Yes",('Equipment List &amp; Usage'!$C$114*(IF('Equipment List &amp; Usage'!$AE22&gt;0,'Weekly Summary'!N$134,0)+IF('Equipment List &amp; Usage'!$AF22&gt;0,'Weekly Summary'!N$135))),'Equipment List &amp; Usage'!$C$115*(('Weekly Summary'!N$134*'Equipment List &amp; Usage'!$AE22)+('Weekly Summary'!N$135*'Equipment List &amp; Usage'!$AF22)))),0)</f>
        <v>0</v>
      </c>
      <c r="U20" s="1374">
        <f ca="1">MAX(IF($F20="Yes",(
IF($F20="yes",MMULT(--('Equipment List &amp; Usage'!$J22:$N22&gt;0),--('Weekly Summary'!O$112:O$116))*'Equipment List &amp; Usage'!$C$114,MMULT(--('Equipment List &amp; Usage'!$J22:$N22),--('Weekly Summary'!O$112:O$116))*'Equipment List &amp; Usage'!$C$115)+IF('Equipment List &amp; Usage'!$F21="yes",'Equipment List &amp; Usage'!$C$114,'Equipment List &amp; Usage'!$C$115)*(('Weekly Summary'!O$66*'Equipment List &amp; Usage'!$Q22)+('Weekly Summary'!O$64*'Equipment List &amp; Usage'!$O22)+('Weekly Summary'!O$65*'Equipment List &amp; Usage'!$P22)))+(IF('Equipment List &amp; Usage'!$F22="Yes",'Equipment List &amp; Usage'!$C$114*((('Weekly Summary'!O$131*SelfQuarantine_Mild)+('Weekly Summary'!O$100*SelfQuarantine_Mild)+('Weekly Summary'!O$101*SelfQuarantine_Moderate))),'Equipment List &amp; Usage'!$C$115)*((('Weekly Summary'!O$131*SelfQuarantine_Mild*'Equipment List &amp; Usage'!$W22)+('Weekly Summary'!O$100*SelfQuarantine_Mild*'Equipment List &amp; Usage'!$X22)+('Weekly Summary'!O$101*SelfQuarantine_Moderate*'Equipment List &amp; Usage'!$X22)))+IF('Equipment List &amp; Usage'!$F22="Yes",'Equipment List &amp; Usage'!$C$114*(IF('Equipment List &amp; Usage'!$AA22&gt;0,'Weekly Summary'!O$128,0)+IF('Equipment List &amp; Usage'!$AB22&gt;0,'Weekly Summary'!O$100+'Weekly Summary'!O$101,0)),'Equipment List &amp; Usage'!$C$115*(('Weekly Summary'!O$128*'Equipment List &amp; Usage'!$AA22)+('Weekly Summary'!O$100*'Equipment List &amp; Usage'!$AB22*SelfQuarantine_Mild)+('Weekly Summary'!O$101*'Equipment List &amp; Usage'!$AB22*SelfQuarantine_Moderate)))+IF('Equipment List &amp; Usage'!$F22="Yes",('Equipment List &amp; Usage'!$C$114*(IF('Equipment List &amp; Usage'!$AE22&gt;0,'Weekly Summary'!O$134,0)+IF('Equipment List &amp; Usage'!$AF22&gt;0,'Weekly Summary'!O$135))),'Equipment List &amp; Usage'!$C$115*(('Weekly Summary'!O$134*'Equipment List &amp; Usage'!$AE22)+('Weekly Summary'!O$135*'Equipment List &amp; Usage'!$AF22))))-SUM($I20:T20),
IF($F20="yes",MMULT(--('Equipment List &amp; Usage'!$J22:$N22&gt;0),--('Weekly Summary'!O$112:O$116))*'Equipment List &amp; Usage'!$C$114,MMULT(--('Equipment List &amp; Usage'!$J22:$N22),--('Weekly Summary'!O$112:O$116))*'Equipment List &amp; Usage'!$C$115)+IF('Equipment List &amp; Usage'!$F21="yes",'Equipment List &amp; Usage'!$C$114,'Equipment List &amp; Usage'!$C$115)*(('Weekly Summary'!O$66*'Equipment List &amp; Usage'!$Q22)+('Weekly Summary'!O$64*'Equipment List &amp; Usage'!$O22)+('Weekly Summary'!O$65*'Equipment List &amp; Usage'!$P22))+(IF('Equipment List &amp; Usage'!$F22="Yes",'Equipment List &amp; Usage'!$C$114*((('Weekly Summary'!O$131*SelfQuarantine_Mild)+('Weekly Summary'!O$100*SelfQuarantine_Mild)+('Weekly Summary'!O$101*SelfQuarantine_Moderate))),'Equipment List &amp; Usage'!$C$115)*((('Weekly Summary'!O$131*SelfQuarantine_Mild*'Equipment List &amp; Usage'!$W22)+('Weekly Summary'!O$100*SelfQuarantine_Mild*'Equipment List &amp; Usage'!$X22)+('Weekly Summary'!O$101*SelfQuarantine_Moderate*'Equipment List &amp; Usage'!$X22))))+IF('Equipment List &amp; Usage'!$F22="Yes",'Equipment List &amp; Usage'!$C$114*(IF('Equipment List &amp; Usage'!$AA22&gt;0,'Weekly Summary'!O$128,0)+IF('Equipment List &amp; Usage'!$AB22&gt;0,'Weekly Summary'!O$100+'Weekly Summary'!O$101,0)),'Equipment List &amp; Usage'!$C$115*(('Weekly Summary'!O$128*'Equipment List &amp; Usage'!$AA22)+('Weekly Summary'!O$100*'Equipment List &amp; Usage'!$AB22*SelfQuarantine_Mild)+('Weekly Summary'!O$101*'Equipment List &amp; Usage'!$AB22*SelfQuarantine_Moderate)))+IF('Equipment List &amp; Usage'!$F22="Yes",('Equipment List &amp; Usage'!$C$114*(IF('Equipment List &amp; Usage'!$AE22&gt;0,'Weekly Summary'!O$134,0)+IF('Equipment List &amp; Usage'!$AF22&gt;0,'Weekly Summary'!O$135))),'Equipment List &amp; Usage'!$C$115*(('Weekly Summary'!O$134*'Equipment List &amp; Usage'!$AE22)+('Weekly Summary'!O$135*'Equipment List &amp; Usage'!$AF22)))),0)</f>
        <v>0</v>
      </c>
      <c r="V20" s="1374">
        <f ca="1">MAX(IF($F20="Yes",(
IF($F20="yes",MMULT(--('Equipment List &amp; Usage'!$J22:$N22&gt;0),--('Weekly Summary'!P$112:P$116))*'Equipment List &amp; Usage'!$C$114,MMULT(--('Equipment List &amp; Usage'!$J22:$N22),--('Weekly Summary'!P$112:P$116))*'Equipment List &amp; Usage'!$C$115)+IF('Equipment List &amp; Usage'!$F21="yes",'Equipment List &amp; Usage'!$C$114,'Equipment List &amp; Usage'!$C$115)*(('Weekly Summary'!P$66*'Equipment List &amp; Usage'!$Q22)+('Weekly Summary'!P$64*'Equipment List &amp; Usage'!$O22)+('Weekly Summary'!P$65*'Equipment List &amp; Usage'!$P22)))+(IF('Equipment List &amp; Usage'!$F22="Yes",'Equipment List &amp; Usage'!$C$114*((('Weekly Summary'!P$131*SelfQuarantine_Mild)+('Weekly Summary'!P$100*SelfQuarantine_Mild)+('Weekly Summary'!P$101*SelfQuarantine_Moderate))),'Equipment List &amp; Usage'!$C$115)*((('Weekly Summary'!P$131*SelfQuarantine_Mild*'Equipment List &amp; Usage'!$W22)+('Weekly Summary'!P$100*SelfQuarantine_Mild*'Equipment List &amp; Usage'!$X22)+('Weekly Summary'!P$101*SelfQuarantine_Moderate*'Equipment List &amp; Usage'!$X22)))+IF('Equipment List &amp; Usage'!$F22="Yes",'Equipment List &amp; Usage'!$C$114*(IF('Equipment List &amp; Usage'!$AA22&gt;0,'Weekly Summary'!P$128,0)+IF('Equipment List &amp; Usage'!$AB22&gt;0,'Weekly Summary'!P$100+'Weekly Summary'!P$101,0)),'Equipment List &amp; Usage'!$C$115*(('Weekly Summary'!P$128*'Equipment List &amp; Usage'!$AA22)+('Weekly Summary'!P$100*'Equipment List &amp; Usage'!$AB22*SelfQuarantine_Mild)+('Weekly Summary'!P$101*'Equipment List &amp; Usage'!$AB22*SelfQuarantine_Moderate)))+IF('Equipment List &amp; Usage'!$F22="Yes",('Equipment List &amp; Usage'!$C$114*(IF('Equipment List &amp; Usage'!$AE22&gt;0,'Weekly Summary'!P$134,0)+IF('Equipment List &amp; Usage'!$AF22&gt;0,'Weekly Summary'!P$135))),'Equipment List &amp; Usage'!$C$115*(('Weekly Summary'!P$134*'Equipment List &amp; Usage'!$AE22)+('Weekly Summary'!P$135*'Equipment List &amp; Usage'!$AF22))))-SUM($I20:U20),
IF($F20="yes",MMULT(--('Equipment List &amp; Usage'!$J22:$N22&gt;0),--('Weekly Summary'!P$112:P$116))*'Equipment List &amp; Usage'!$C$114,MMULT(--('Equipment List &amp; Usage'!$J22:$N22),--('Weekly Summary'!P$112:P$116))*'Equipment List &amp; Usage'!$C$115)+IF('Equipment List &amp; Usage'!$F21="yes",'Equipment List &amp; Usage'!$C$114,'Equipment List &amp; Usage'!$C$115)*(('Weekly Summary'!P$66*'Equipment List &amp; Usage'!$Q22)+('Weekly Summary'!P$64*'Equipment List &amp; Usage'!$O22)+('Weekly Summary'!P$65*'Equipment List &amp; Usage'!$P22))+(IF('Equipment List &amp; Usage'!$F22="Yes",'Equipment List &amp; Usage'!$C$114*((('Weekly Summary'!P$131*SelfQuarantine_Mild)+('Weekly Summary'!P$100*SelfQuarantine_Mild)+('Weekly Summary'!P$101*SelfQuarantine_Moderate))),'Equipment List &amp; Usage'!$C$115)*((('Weekly Summary'!P$131*SelfQuarantine_Mild*'Equipment List &amp; Usage'!$W22)+('Weekly Summary'!P$100*SelfQuarantine_Mild*'Equipment List &amp; Usage'!$X22)+('Weekly Summary'!P$101*SelfQuarantine_Moderate*'Equipment List &amp; Usage'!$X22))))+IF('Equipment List &amp; Usage'!$F22="Yes",'Equipment List &amp; Usage'!$C$114*(IF('Equipment List &amp; Usage'!$AA22&gt;0,'Weekly Summary'!P$128,0)+IF('Equipment List &amp; Usage'!$AB22&gt;0,'Weekly Summary'!P$100+'Weekly Summary'!P$101,0)),'Equipment List &amp; Usage'!$C$115*(('Weekly Summary'!P$128*'Equipment List &amp; Usage'!$AA22)+('Weekly Summary'!P$100*'Equipment List &amp; Usage'!$AB22*SelfQuarantine_Mild)+('Weekly Summary'!P$101*'Equipment List &amp; Usage'!$AB22*SelfQuarantine_Moderate)))+IF('Equipment List &amp; Usage'!$F22="Yes",('Equipment List &amp; Usage'!$C$114*(IF('Equipment List &amp; Usage'!$AE22&gt;0,'Weekly Summary'!P$134,0)+IF('Equipment List &amp; Usage'!$AF22&gt;0,'Weekly Summary'!P$135))),'Equipment List &amp; Usage'!$C$115*(('Weekly Summary'!P$134*'Equipment List &amp; Usage'!$AE22)+('Weekly Summary'!P$135*'Equipment List &amp; Usage'!$AF22)))),0)</f>
        <v>0</v>
      </c>
      <c r="W20" s="1374">
        <f ca="1">MAX(IF($F20="Yes",(
IF($F20="yes",MMULT(--('Equipment List &amp; Usage'!$J22:$N22&gt;0),--('Weekly Summary'!Q$112:Q$116))*'Equipment List &amp; Usage'!$C$114,MMULT(--('Equipment List &amp; Usage'!$J22:$N22),--('Weekly Summary'!Q$112:Q$116))*'Equipment List &amp; Usage'!$C$115)+IF('Equipment List &amp; Usage'!$F21="yes",'Equipment List &amp; Usage'!$C$114,'Equipment List &amp; Usage'!$C$115)*(('Weekly Summary'!Q$66*'Equipment List &amp; Usage'!$Q22)+('Weekly Summary'!Q$64*'Equipment List &amp; Usage'!$O22)+('Weekly Summary'!Q$65*'Equipment List &amp; Usage'!$P22)))+(IF('Equipment List &amp; Usage'!$F22="Yes",'Equipment List &amp; Usage'!$C$114*((('Weekly Summary'!Q$131*SelfQuarantine_Mild)+('Weekly Summary'!Q$100*SelfQuarantine_Mild)+('Weekly Summary'!Q$101*SelfQuarantine_Moderate))),'Equipment List &amp; Usage'!$C$115)*((('Weekly Summary'!Q$131*SelfQuarantine_Mild*'Equipment List &amp; Usage'!$W22)+('Weekly Summary'!Q$100*SelfQuarantine_Mild*'Equipment List &amp; Usage'!$X22)+('Weekly Summary'!Q$101*SelfQuarantine_Moderate*'Equipment List &amp; Usage'!$X22)))+IF('Equipment List &amp; Usage'!$F22="Yes",'Equipment List &amp; Usage'!$C$114*(IF('Equipment List &amp; Usage'!$AA22&gt;0,'Weekly Summary'!Q$128,0)+IF('Equipment List &amp; Usage'!$AB22&gt;0,'Weekly Summary'!Q$100+'Weekly Summary'!Q$101,0)),'Equipment List &amp; Usage'!$C$115*(('Weekly Summary'!Q$128*'Equipment List &amp; Usage'!$AA22)+('Weekly Summary'!Q$100*'Equipment List &amp; Usage'!$AB22*SelfQuarantine_Mild)+('Weekly Summary'!Q$101*'Equipment List &amp; Usage'!$AB22*SelfQuarantine_Moderate)))+IF('Equipment List &amp; Usage'!$F22="Yes",('Equipment List &amp; Usage'!$C$114*(IF('Equipment List &amp; Usage'!$AE22&gt;0,'Weekly Summary'!Q$134,0)+IF('Equipment List &amp; Usage'!$AF22&gt;0,'Weekly Summary'!Q$135))),'Equipment List &amp; Usage'!$C$115*(('Weekly Summary'!Q$134*'Equipment List &amp; Usage'!$AE22)+('Weekly Summary'!Q$135*'Equipment List &amp; Usage'!$AF22))))-SUM($I20:V20),
IF($F20="yes",MMULT(--('Equipment List &amp; Usage'!$J22:$N22&gt;0),--('Weekly Summary'!Q$112:Q$116))*'Equipment List &amp; Usage'!$C$114,MMULT(--('Equipment List &amp; Usage'!$J22:$N22),--('Weekly Summary'!Q$112:Q$116))*'Equipment List &amp; Usage'!$C$115)+IF('Equipment List &amp; Usage'!$F21="yes",'Equipment List &amp; Usage'!$C$114,'Equipment List &amp; Usage'!$C$115)*(('Weekly Summary'!Q$66*'Equipment List &amp; Usage'!$Q22)+('Weekly Summary'!Q$64*'Equipment List &amp; Usage'!$O22)+('Weekly Summary'!Q$65*'Equipment List &amp; Usage'!$P22))+(IF('Equipment List &amp; Usage'!$F22="Yes",'Equipment List &amp; Usage'!$C$114*((('Weekly Summary'!Q$131*SelfQuarantine_Mild)+('Weekly Summary'!Q$100*SelfQuarantine_Mild)+('Weekly Summary'!Q$101*SelfQuarantine_Moderate))),'Equipment List &amp; Usage'!$C$115)*((('Weekly Summary'!Q$131*SelfQuarantine_Mild*'Equipment List &amp; Usage'!$W22)+('Weekly Summary'!Q$100*SelfQuarantine_Mild*'Equipment List &amp; Usage'!$X22)+('Weekly Summary'!Q$101*SelfQuarantine_Moderate*'Equipment List &amp; Usage'!$X22))))+IF('Equipment List &amp; Usage'!$F22="Yes",'Equipment List &amp; Usage'!$C$114*(IF('Equipment List &amp; Usage'!$AA22&gt;0,'Weekly Summary'!Q$128,0)+IF('Equipment List &amp; Usage'!$AB22&gt;0,'Weekly Summary'!Q$100+'Weekly Summary'!Q$101,0)),'Equipment List &amp; Usage'!$C$115*(('Weekly Summary'!Q$128*'Equipment List &amp; Usage'!$AA22)+('Weekly Summary'!Q$100*'Equipment List &amp; Usage'!$AB22*SelfQuarantine_Mild)+('Weekly Summary'!Q$101*'Equipment List &amp; Usage'!$AB22*SelfQuarantine_Moderate)))+IF('Equipment List &amp; Usage'!$F22="Yes",('Equipment List &amp; Usage'!$C$114*(IF('Equipment List &amp; Usage'!$AE22&gt;0,'Weekly Summary'!Q$134,0)+IF('Equipment List &amp; Usage'!$AF22&gt;0,'Weekly Summary'!Q$135))),'Equipment List &amp; Usage'!$C$115*(('Weekly Summary'!Q$134*'Equipment List &amp; Usage'!$AE22)+('Weekly Summary'!Q$135*'Equipment List &amp; Usage'!$AF22)))),0)</f>
        <v>0</v>
      </c>
      <c r="X20" s="1374">
        <f ca="1">MAX(IF($F20="Yes",(
IF($F20="yes",MMULT(--('Equipment List &amp; Usage'!$J22:$N22&gt;0),--('Weekly Summary'!R$112:R$116))*'Equipment List &amp; Usage'!$C$114,MMULT(--('Equipment List &amp; Usage'!$J22:$N22),--('Weekly Summary'!R$112:R$116))*'Equipment List &amp; Usage'!$C$115)+IF('Equipment List &amp; Usage'!$F21="yes",'Equipment List &amp; Usage'!$C$114,'Equipment List &amp; Usage'!$C$115)*(('Weekly Summary'!R$66*'Equipment List &amp; Usage'!$Q22)+('Weekly Summary'!R$64*'Equipment List &amp; Usage'!$O22)+('Weekly Summary'!R$65*'Equipment List &amp; Usage'!$P22)))+(IF('Equipment List &amp; Usage'!$F22="Yes",'Equipment List &amp; Usage'!$C$114*((('Weekly Summary'!R$131*SelfQuarantine_Mild)+('Weekly Summary'!R$100*SelfQuarantine_Mild)+('Weekly Summary'!R$101*SelfQuarantine_Moderate))),'Equipment List &amp; Usage'!$C$115)*((('Weekly Summary'!R$131*SelfQuarantine_Mild*'Equipment List &amp; Usage'!$W22)+('Weekly Summary'!R$100*SelfQuarantine_Mild*'Equipment List &amp; Usage'!$X22)+('Weekly Summary'!R$101*SelfQuarantine_Moderate*'Equipment List &amp; Usage'!$X22)))+IF('Equipment List &amp; Usage'!$F22="Yes",'Equipment List &amp; Usage'!$C$114*(IF('Equipment List &amp; Usage'!$AA22&gt;0,'Weekly Summary'!R$128,0)+IF('Equipment List &amp; Usage'!$AB22&gt;0,'Weekly Summary'!R$100+'Weekly Summary'!R$101,0)),'Equipment List &amp; Usage'!$C$115*(('Weekly Summary'!R$128*'Equipment List &amp; Usage'!$AA22)+('Weekly Summary'!R$100*'Equipment List &amp; Usage'!$AB22*SelfQuarantine_Mild)+('Weekly Summary'!R$101*'Equipment List &amp; Usage'!$AB22*SelfQuarantine_Moderate)))+IF('Equipment List &amp; Usage'!$F22="Yes",('Equipment List &amp; Usage'!$C$114*(IF('Equipment List &amp; Usage'!$AE22&gt;0,'Weekly Summary'!R$134,0)+IF('Equipment List &amp; Usage'!$AF22&gt;0,'Weekly Summary'!R$135))),'Equipment List &amp; Usage'!$C$115*(('Weekly Summary'!R$134*'Equipment List &amp; Usage'!$AE22)+('Weekly Summary'!R$135*'Equipment List &amp; Usage'!$AF22))))-SUM($I20:W20),
IF($F20="yes",MMULT(--('Equipment List &amp; Usage'!$J22:$N22&gt;0),--('Weekly Summary'!R$112:R$116))*'Equipment List &amp; Usage'!$C$114,MMULT(--('Equipment List &amp; Usage'!$J22:$N22),--('Weekly Summary'!R$112:R$116))*'Equipment List &amp; Usage'!$C$115)+IF('Equipment List &amp; Usage'!$F21="yes",'Equipment List &amp; Usage'!$C$114,'Equipment List &amp; Usage'!$C$115)*(('Weekly Summary'!R$66*'Equipment List &amp; Usage'!$Q22)+('Weekly Summary'!R$64*'Equipment List &amp; Usage'!$O22)+('Weekly Summary'!R$65*'Equipment List &amp; Usage'!$P22))+(IF('Equipment List &amp; Usage'!$F22="Yes",'Equipment List &amp; Usage'!$C$114*((('Weekly Summary'!R$131*SelfQuarantine_Mild)+('Weekly Summary'!R$100*SelfQuarantine_Mild)+('Weekly Summary'!R$101*SelfQuarantine_Moderate))),'Equipment List &amp; Usage'!$C$115)*((('Weekly Summary'!R$131*SelfQuarantine_Mild*'Equipment List &amp; Usage'!$W22)+('Weekly Summary'!R$100*SelfQuarantine_Mild*'Equipment List &amp; Usage'!$X22)+('Weekly Summary'!R$101*SelfQuarantine_Moderate*'Equipment List &amp; Usage'!$X22))))+IF('Equipment List &amp; Usage'!$F22="Yes",'Equipment List &amp; Usage'!$C$114*(IF('Equipment List &amp; Usage'!$AA22&gt;0,'Weekly Summary'!R$128,0)+IF('Equipment List &amp; Usage'!$AB22&gt;0,'Weekly Summary'!R$100+'Weekly Summary'!R$101,0)),'Equipment List &amp; Usage'!$C$115*(('Weekly Summary'!R$128*'Equipment List &amp; Usage'!$AA22)+('Weekly Summary'!R$100*'Equipment List &amp; Usage'!$AB22*SelfQuarantine_Mild)+('Weekly Summary'!R$101*'Equipment List &amp; Usage'!$AB22*SelfQuarantine_Moderate)))+IF('Equipment List &amp; Usage'!$F22="Yes",('Equipment List &amp; Usage'!$C$114*(IF('Equipment List &amp; Usage'!$AE22&gt;0,'Weekly Summary'!R$134,0)+IF('Equipment List &amp; Usage'!$AF22&gt;0,'Weekly Summary'!R$135))),'Equipment List &amp; Usage'!$C$115*(('Weekly Summary'!R$134*'Equipment List &amp; Usage'!$AE22)+('Weekly Summary'!R$135*'Equipment List &amp; Usage'!$AF22)))),0)</f>
        <v>0</v>
      </c>
      <c r="Y20" s="1374">
        <f ca="1">MAX(IF($F20="Yes",(
IF($F20="yes",MMULT(--('Equipment List &amp; Usage'!$J22:$N22&gt;0),--('Weekly Summary'!S$112:S$116))*'Equipment List &amp; Usage'!$C$114,MMULT(--('Equipment List &amp; Usage'!$J22:$N22),--('Weekly Summary'!S$112:S$116))*'Equipment List &amp; Usage'!$C$115)+IF('Equipment List &amp; Usage'!$F21="yes",'Equipment List &amp; Usage'!$C$114,'Equipment List &amp; Usage'!$C$115)*(('Weekly Summary'!S$66*'Equipment List &amp; Usage'!$Q22)+('Weekly Summary'!S$64*'Equipment List &amp; Usage'!$O22)+('Weekly Summary'!S$65*'Equipment List &amp; Usage'!$P22)))+(IF('Equipment List &amp; Usage'!$F22="Yes",'Equipment List &amp; Usage'!$C$114*((('Weekly Summary'!S$131*SelfQuarantine_Mild)+('Weekly Summary'!S$100*SelfQuarantine_Mild)+('Weekly Summary'!S$101*SelfQuarantine_Moderate))),'Equipment List &amp; Usage'!$C$115)*((('Weekly Summary'!S$131*SelfQuarantine_Mild*'Equipment List &amp; Usage'!$W22)+('Weekly Summary'!S$100*SelfQuarantine_Mild*'Equipment List &amp; Usage'!$X22)+('Weekly Summary'!S$101*SelfQuarantine_Moderate*'Equipment List &amp; Usage'!$X22)))+IF('Equipment List &amp; Usage'!$F22="Yes",'Equipment List &amp; Usage'!$C$114*(IF('Equipment List &amp; Usage'!$AA22&gt;0,'Weekly Summary'!S$128,0)+IF('Equipment List &amp; Usage'!$AB22&gt;0,'Weekly Summary'!S$100+'Weekly Summary'!S$101,0)),'Equipment List &amp; Usage'!$C$115*(('Weekly Summary'!S$128*'Equipment List &amp; Usage'!$AA22)+('Weekly Summary'!S$100*'Equipment List &amp; Usage'!$AB22*SelfQuarantine_Mild)+('Weekly Summary'!S$101*'Equipment List &amp; Usage'!$AB22*SelfQuarantine_Moderate)))+IF('Equipment List &amp; Usage'!$F22="Yes",('Equipment List &amp; Usage'!$C$114*(IF('Equipment List &amp; Usage'!$AE22&gt;0,'Weekly Summary'!S$134,0)+IF('Equipment List &amp; Usage'!$AF22&gt;0,'Weekly Summary'!S$135))),'Equipment List &amp; Usage'!$C$115*(('Weekly Summary'!S$134*'Equipment List &amp; Usage'!$AE22)+('Weekly Summary'!S$135*'Equipment List &amp; Usage'!$AF22))))-SUM($I20:X20),
IF($F20="yes",MMULT(--('Equipment List &amp; Usage'!$J22:$N22&gt;0),--('Weekly Summary'!S$112:S$116))*'Equipment List &amp; Usage'!$C$114,MMULT(--('Equipment List &amp; Usage'!$J22:$N22),--('Weekly Summary'!S$112:S$116))*'Equipment List &amp; Usage'!$C$115)+IF('Equipment List &amp; Usage'!$F21="yes",'Equipment List &amp; Usage'!$C$114,'Equipment List &amp; Usage'!$C$115)*(('Weekly Summary'!S$66*'Equipment List &amp; Usage'!$Q22)+('Weekly Summary'!S$64*'Equipment List &amp; Usage'!$O22)+('Weekly Summary'!S$65*'Equipment List &amp; Usage'!$P22))+(IF('Equipment List &amp; Usage'!$F22="Yes",'Equipment List &amp; Usage'!$C$114*((('Weekly Summary'!S$131*SelfQuarantine_Mild)+('Weekly Summary'!S$100*SelfQuarantine_Mild)+('Weekly Summary'!S$101*SelfQuarantine_Moderate))),'Equipment List &amp; Usage'!$C$115)*((('Weekly Summary'!S$131*SelfQuarantine_Mild*'Equipment List &amp; Usage'!$W22)+('Weekly Summary'!S$100*SelfQuarantine_Mild*'Equipment List &amp; Usage'!$X22)+('Weekly Summary'!S$101*SelfQuarantine_Moderate*'Equipment List &amp; Usage'!$X22))))+IF('Equipment List &amp; Usage'!$F22="Yes",'Equipment List &amp; Usage'!$C$114*(IF('Equipment List &amp; Usage'!$AA22&gt;0,'Weekly Summary'!S$128,0)+IF('Equipment List &amp; Usage'!$AB22&gt;0,'Weekly Summary'!S$100+'Weekly Summary'!S$101,0)),'Equipment List &amp; Usage'!$C$115*(('Weekly Summary'!S$128*'Equipment List &amp; Usage'!$AA22)+('Weekly Summary'!S$100*'Equipment List &amp; Usage'!$AB22*SelfQuarantine_Mild)+('Weekly Summary'!S$101*'Equipment List &amp; Usage'!$AB22*SelfQuarantine_Moderate)))+IF('Equipment List &amp; Usage'!$F22="Yes",('Equipment List &amp; Usage'!$C$114*(IF('Equipment List &amp; Usage'!$AE22&gt;0,'Weekly Summary'!S$134,0)+IF('Equipment List &amp; Usage'!$AF22&gt;0,'Weekly Summary'!S$135))),'Equipment List &amp; Usage'!$C$115*(('Weekly Summary'!S$134*'Equipment List &amp; Usage'!$AE22)+('Weekly Summary'!S$135*'Equipment List &amp; Usage'!$AF22)))),0)</f>
        <v>0</v>
      </c>
      <c r="Z20" s="1374">
        <f ca="1">MAX(IF($F20="Yes",(
IF($F20="yes",MMULT(--('Equipment List &amp; Usage'!$J22:$N22&gt;0),--('Weekly Summary'!T$112:T$116))*'Equipment List &amp; Usage'!$C$114,MMULT(--('Equipment List &amp; Usage'!$J22:$N22),--('Weekly Summary'!T$112:T$116))*'Equipment List &amp; Usage'!$C$115)+IF('Equipment List &amp; Usage'!$F21="yes",'Equipment List &amp; Usage'!$C$114,'Equipment List &amp; Usage'!$C$115)*(('Weekly Summary'!T$66*'Equipment List &amp; Usage'!$Q22)+('Weekly Summary'!T$64*'Equipment List &amp; Usage'!$O22)+('Weekly Summary'!T$65*'Equipment List &amp; Usage'!$P22)))+(IF('Equipment List &amp; Usage'!$F22="Yes",'Equipment List &amp; Usage'!$C$114*((('Weekly Summary'!T$131*SelfQuarantine_Mild)+('Weekly Summary'!T$100*SelfQuarantine_Mild)+('Weekly Summary'!T$101*SelfQuarantine_Moderate))),'Equipment List &amp; Usage'!$C$115)*((('Weekly Summary'!T$131*SelfQuarantine_Mild*'Equipment List &amp; Usage'!$W22)+('Weekly Summary'!T$100*SelfQuarantine_Mild*'Equipment List &amp; Usage'!$X22)+('Weekly Summary'!T$101*SelfQuarantine_Moderate*'Equipment List &amp; Usage'!$X22)))+IF('Equipment List &amp; Usage'!$F22="Yes",'Equipment List &amp; Usage'!$C$114*(IF('Equipment List &amp; Usage'!$AA22&gt;0,'Weekly Summary'!T$128,0)+IF('Equipment List &amp; Usage'!$AB22&gt;0,'Weekly Summary'!T$100+'Weekly Summary'!T$101,0)),'Equipment List &amp; Usage'!$C$115*(('Weekly Summary'!T$128*'Equipment List &amp; Usage'!$AA22)+('Weekly Summary'!T$100*'Equipment List &amp; Usage'!$AB22*SelfQuarantine_Mild)+('Weekly Summary'!T$101*'Equipment List &amp; Usage'!$AB22*SelfQuarantine_Moderate)))+IF('Equipment List &amp; Usage'!$F22="Yes",('Equipment List &amp; Usage'!$C$114*(IF('Equipment List &amp; Usage'!$AE22&gt;0,'Weekly Summary'!T$134,0)+IF('Equipment List &amp; Usage'!$AF22&gt;0,'Weekly Summary'!T$135))),'Equipment List &amp; Usage'!$C$115*(('Weekly Summary'!T$134*'Equipment List &amp; Usage'!$AE22)+('Weekly Summary'!T$135*'Equipment List &amp; Usage'!$AF22))))-SUM($I20:Y20),
IF($F20="yes",MMULT(--('Equipment List &amp; Usage'!$J22:$N22&gt;0),--('Weekly Summary'!T$112:T$116))*'Equipment List &amp; Usage'!$C$114,MMULT(--('Equipment List &amp; Usage'!$J22:$N22),--('Weekly Summary'!T$112:T$116))*'Equipment List &amp; Usage'!$C$115)+IF('Equipment List &amp; Usage'!$F21="yes",'Equipment List &amp; Usage'!$C$114,'Equipment List &amp; Usage'!$C$115)*(('Weekly Summary'!T$66*'Equipment List &amp; Usage'!$Q22)+('Weekly Summary'!T$64*'Equipment List &amp; Usage'!$O22)+('Weekly Summary'!T$65*'Equipment List &amp; Usage'!$P22))+(IF('Equipment List &amp; Usage'!$F22="Yes",'Equipment List &amp; Usage'!$C$114*((('Weekly Summary'!T$131*SelfQuarantine_Mild)+('Weekly Summary'!T$100*SelfQuarantine_Mild)+('Weekly Summary'!T$101*SelfQuarantine_Moderate))),'Equipment List &amp; Usage'!$C$115)*((('Weekly Summary'!T$131*SelfQuarantine_Mild*'Equipment List &amp; Usage'!$W22)+('Weekly Summary'!T$100*SelfQuarantine_Mild*'Equipment List &amp; Usage'!$X22)+('Weekly Summary'!T$101*SelfQuarantine_Moderate*'Equipment List &amp; Usage'!$X22))))+IF('Equipment List &amp; Usage'!$F22="Yes",'Equipment List &amp; Usage'!$C$114*(IF('Equipment List &amp; Usage'!$AA22&gt;0,'Weekly Summary'!T$128,0)+IF('Equipment List &amp; Usage'!$AB22&gt;0,'Weekly Summary'!T$100+'Weekly Summary'!T$101,0)),'Equipment List &amp; Usage'!$C$115*(('Weekly Summary'!T$128*'Equipment List &amp; Usage'!$AA22)+('Weekly Summary'!T$100*'Equipment List &amp; Usage'!$AB22*SelfQuarantine_Mild)+('Weekly Summary'!T$101*'Equipment List &amp; Usage'!$AB22*SelfQuarantine_Moderate)))+IF('Equipment List &amp; Usage'!$F22="Yes",('Equipment List &amp; Usage'!$C$114*(IF('Equipment List &amp; Usage'!$AE22&gt;0,'Weekly Summary'!T$134,0)+IF('Equipment List &amp; Usage'!$AF22&gt;0,'Weekly Summary'!T$135))),'Equipment List &amp; Usage'!$C$115*(('Weekly Summary'!T$134*'Equipment List &amp; Usage'!$AE22)+('Weekly Summary'!T$135*'Equipment List &amp; Usage'!$AF22)))),0)</f>
        <v>0</v>
      </c>
      <c r="AA20" s="1374">
        <f ca="1">MAX(IF($F20="Yes",(
IF($F20="yes",MMULT(--('Equipment List &amp; Usage'!$J22:$N22&gt;0),--('Weekly Summary'!U$112:U$116))*'Equipment List &amp; Usage'!$C$114,MMULT(--('Equipment List &amp; Usage'!$J22:$N22),--('Weekly Summary'!U$112:U$116))*'Equipment List &amp; Usage'!$C$115)+IF('Equipment List &amp; Usage'!$F21="yes",'Equipment List &amp; Usage'!$C$114,'Equipment List &amp; Usage'!$C$115)*(('Weekly Summary'!U$66*'Equipment List &amp; Usage'!$Q22)+('Weekly Summary'!U$64*'Equipment List &amp; Usage'!$O22)+('Weekly Summary'!U$65*'Equipment List &amp; Usage'!$P22)))+(IF('Equipment List &amp; Usage'!$F22="Yes",'Equipment List &amp; Usage'!$C$114*((('Weekly Summary'!U$131*SelfQuarantine_Mild)+('Weekly Summary'!U$100*SelfQuarantine_Mild)+('Weekly Summary'!U$101*SelfQuarantine_Moderate))),'Equipment List &amp; Usage'!$C$115)*((('Weekly Summary'!U$131*SelfQuarantine_Mild*'Equipment List &amp; Usage'!$W22)+('Weekly Summary'!U$100*SelfQuarantine_Mild*'Equipment List &amp; Usage'!$X22)+('Weekly Summary'!U$101*SelfQuarantine_Moderate*'Equipment List &amp; Usage'!$X22)))+IF('Equipment List &amp; Usage'!$F22="Yes",'Equipment List &amp; Usage'!$C$114*(IF('Equipment List &amp; Usage'!$AA22&gt;0,'Weekly Summary'!U$128,0)+IF('Equipment List &amp; Usage'!$AB22&gt;0,'Weekly Summary'!U$100+'Weekly Summary'!U$101,0)),'Equipment List &amp; Usage'!$C$115*(('Weekly Summary'!U$128*'Equipment List &amp; Usage'!$AA22)+('Weekly Summary'!U$100*'Equipment List &amp; Usage'!$AB22*SelfQuarantine_Mild)+('Weekly Summary'!U$101*'Equipment List &amp; Usage'!$AB22*SelfQuarantine_Moderate)))+IF('Equipment List &amp; Usage'!$F22="Yes",('Equipment List &amp; Usage'!$C$114*(IF('Equipment List &amp; Usage'!$AE22&gt;0,'Weekly Summary'!U$134,0)+IF('Equipment List &amp; Usage'!$AF22&gt;0,'Weekly Summary'!U$135))),'Equipment List &amp; Usage'!$C$115*(('Weekly Summary'!U$134*'Equipment List &amp; Usage'!$AE22)+('Weekly Summary'!U$135*'Equipment List &amp; Usage'!$AF22))))-SUM($I20:Z20),
IF($F20="yes",MMULT(--('Equipment List &amp; Usage'!$J22:$N22&gt;0),--('Weekly Summary'!U$112:U$116))*'Equipment List &amp; Usage'!$C$114,MMULT(--('Equipment List &amp; Usage'!$J22:$N22),--('Weekly Summary'!U$112:U$116))*'Equipment List &amp; Usage'!$C$115)+IF('Equipment List &amp; Usage'!$F21="yes",'Equipment List &amp; Usage'!$C$114,'Equipment List &amp; Usage'!$C$115)*(('Weekly Summary'!U$66*'Equipment List &amp; Usage'!$Q22)+('Weekly Summary'!U$64*'Equipment List &amp; Usage'!$O22)+('Weekly Summary'!U$65*'Equipment List &amp; Usage'!$P22))+(IF('Equipment List &amp; Usage'!$F22="Yes",'Equipment List &amp; Usage'!$C$114*((('Weekly Summary'!U$131*SelfQuarantine_Mild)+('Weekly Summary'!U$100*SelfQuarantine_Mild)+('Weekly Summary'!U$101*SelfQuarantine_Moderate))),'Equipment List &amp; Usage'!$C$115)*((('Weekly Summary'!U$131*SelfQuarantine_Mild*'Equipment List &amp; Usage'!$W22)+('Weekly Summary'!U$100*SelfQuarantine_Mild*'Equipment List &amp; Usage'!$X22)+('Weekly Summary'!U$101*SelfQuarantine_Moderate*'Equipment List &amp; Usage'!$X22))))+IF('Equipment List &amp; Usage'!$F22="Yes",'Equipment List &amp; Usage'!$C$114*(IF('Equipment List &amp; Usage'!$AA22&gt;0,'Weekly Summary'!U$128,0)+IF('Equipment List &amp; Usage'!$AB22&gt;0,'Weekly Summary'!U$100+'Weekly Summary'!U$101,0)),'Equipment List &amp; Usage'!$C$115*(('Weekly Summary'!U$128*'Equipment List &amp; Usage'!$AA22)+('Weekly Summary'!U$100*'Equipment List &amp; Usage'!$AB22*SelfQuarantine_Mild)+('Weekly Summary'!U$101*'Equipment List &amp; Usage'!$AB22*SelfQuarantine_Moderate)))+IF('Equipment List &amp; Usage'!$F22="Yes",('Equipment List &amp; Usage'!$C$114*(IF('Equipment List &amp; Usage'!$AE22&gt;0,'Weekly Summary'!U$134,0)+IF('Equipment List &amp; Usage'!$AF22&gt;0,'Weekly Summary'!U$135))),'Equipment List &amp; Usage'!$C$115*(('Weekly Summary'!U$134*'Equipment List &amp; Usage'!$AE22)+('Weekly Summary'!U$135*'Equipment List &amp; Usage'!$AF22)))),0)</f>
        <v>0</v>
      </c>
      <c r="AB20" s="1374">
        <f ca="1">MAX(IF($F20="Yes",(
IF($F20="yes",MMULT(--('Equipment List &amp; Usage'!$J22:$N22&gt;0),--('Weekly Summary'!V$112:V$116))*'Equipment List &amp; Usage'!$C$114,MMULT(--('Equipment List &amp; Usage'!$J22:$N22),--('Weekly Summary'!V$112:V$116))*'Equipment List &amp; Usage'!$C$115)+IF('Equipment List &amp; Usage'!$F21="yes",'Equipment List &amp; Usage'!$C$114,'Equipment List &amp; Usage'!$C$115)*(('Weekly Summary'!V$66*'Equipment List &amp; Usage'!$Q22)+('Weekly Summary'!V$64*'Equipment List &amp; Usage'!$O22)+('Weekly Summary'!V$65*'Equipment List &amp; Usage'!$P22)))+(IF('Equipment List &amp; Usage'!$F22="Yes",'Equipment List &amp; Usage'!$C$114*((('Weekly Summary'!V$131*SelfQuarantine_Mild)+('Weekly Summary'!V$100*SelfQuarantine_Mild)+('Weekly Summary'!V$101*SelfQuarantine_Moderate))),'Equipment List &amp; Usage'!$C$115)*((('Weekly Summary'!V$131*SelfQuarantine_Mild*'Equipment List &amp; Usage'!$W22)+('Weekly Summary'!V$100*SelfQuarantine_Mild*'Equipment List &amp; Usage'!$X22)+('Weekly Summary'!V$101*SelfQuarantine_Moderate*'Equipment List &amp; Usage'!$X22)))+IF('Equipment List &amp; Usage'!$F22="Yes",'Equipment List &amp; Usage'!$C$114*(IF('Equipment List &amp; Usage'!$AA22&gt;0,'Weekly Summary'!V$128,0)+IF('Equipment List &amp; Usage'!$AB22&gt;0,'Weekly Summary'!V$100+'Weekly Summary'!V$101,0)),'Equipment List &amp; Usage'!$C$115*(('Weekly Summary'!V$128*'Equipment List &amp; Usage'!$AA22)+('Weekly Summary'!V$100*'Equipment List &amp; Usage'!$AB22*SelfQuarantine_Mild)+('Weekly Summary'!V$101*'Equipment List &amp; Usage'!$AB22*SelfQuarantine_Moderate)))+IF('Equipment List &amp; Usage'!$F22="Yes",('Equipment List &amp; Usage'!$C$114*(IF('Equipment List &amp; Usage'!$AE22&gt;0,'Weekly Summary'!V$134,0)+IF('Equipment List &amp; Usage'!$AF22&gt;0,'Weekly Summary'!V$135))),'Equipment List &amp; Usage'!$C$115*(('Weekly Summary'!V$134*'Equipment List &amp; Usage'!$AE22)+('Weekly Summary'!V$135*'Equipment List &amp; Usage'!$AF22))))-SUM($I20:AA20),
IF($F20="yes",MMULT(--('Equipment List &amp; Usage'!$J22:$N22&gt;0),--('Weekly Summary'!V$112:V$116))*'Equipment List &amp; Usage'!$C$114,MMULT(--('Equipment List &amp; Usage'!$J22:$N22),--('Weekly Summary'!V$112:V$116))*'Equipment List &amp; Usage'!$C$115)+IF('Equipment List &amp; Usage'!$F21="yes",'Equipment List &amp; Usage'!$C$114,'Equipment List &amp; Usage'!$C$115)*(('Weekly Summary'!V$66*'Equipment List &amp; Usage'!$Q22)+('Weekly Summary'!V$64*'Equipment List &amp; Usage'!$O22)+('Weekly Summary'!V$65*'Equipment List &amp; Usage'!$P22))+(IF('Equipment List &amp; Usage'!$F22="Yes",'Equipment List &amp; Usage'!$C$114*((('Weekly Summary'!V$131*SelfQuarantine_Mild)+('Weekly Summary'!V$100*SelfQuarantine_Mild)+('Weekly Summary'!V$101*SelfQuarantine_Moderate))),'Equipment List &amp; Usage'!$C$115)*((('Weekly Summary'!V$131*SelfQuarantine_Mild*'Equipment List &amp; Usage'!$W22)+('Weekly Summary'!V$100*SelfQuarantine_Mild*'Equipment List &amp; Usage'!$X22)+('Weekly Summary'!V$101*SelfQuarantine_Moderate*'Equipment List &amp; Usage'!$X22))))+IF('Equipment List &amp; Usage'!$F22="Yes",'Equipment List &amp; Usage'!$C$114*(IF('Equipment List &amp; Usage'!$AA22&gt;0,'Weekly Summary'!V$128,0)+IF('Equipment List &amp; Usage'!$AB22&gt;0,'Weekly Summary'!V$100+'Weekly Summary'!V$101,0)),'Equipment List &amp; Usage'!$C$115*(('Weekly Summary'!V$128*'Equipment List &amp; Usage'!$AA22)+('Weekly Summary'!V$100*'Equipment List &amp; Usage'!$AB22*SelfQuarantine_Mild)+('Weekly Summary'!V$101*'Equipment List &amp; Usage'!$AB22*SelfQuarantine_Moderate)))+IF('Equipment List &amp; Usage'!$F22="Yes",('Equipment List &amp; Usage'!$C$114*(IF('Equipment List &amp; Usage'!$AE22&gt;0,'Weekly Summary'!V$134,0)+IF('Equipment List &amp; Usage'!$AF22&gt;0,'Weekly Summary'!V$135))),'Equipment List &amp; Usage'!$C$115*(('Weekly Summary'!V$134*'Equipment List &amp; Usage'!$AE22)+('Weekly Summary'!V$135*'Equipment List &amp; Usage'!$AF22)))),0)</f>
        <v>0</v>
      </c>
      <c r="AC20" s="1374">
        <f ca="1">MAX(IF($F20="Yes",(
IF($F20="yes",MMULT(--('Equipment List &amp; Usage'!$J22:$N22&gt;0),--('Weekly Summary'!W$112:W$116))*'Equipment List &amp; Usage'!$C$114,MMULT(--('Equipment List &amp; Usage'!$J22:$N22),--('Weekly Summary'!W$112:W$116))*'Equipment List &amp; Usage'!$C$115)+IF('Equipment List &amp; Usage'!$F21="yes",'Equipment List &amp; Usage'!$C$114,'Equipment List &amp; Usage'!$C$115)*(('Weekly Summary'!W$66*'Equipment List &amp; Usage'!$Q22)+('Weekly Summary'!W$64*'Equipment List &amp; Usage'!$O22)+('Weekly Summary'!W$65*'Equipment List &amp; Usage'!$P22)))+(IF('Equipment List &amp; Usage'!$F22="Yes",'Equipment List &amp; Usage'!$C$114*((('Weekly Summary'!W$131*SelfQuarantine_Mild)+('Weekly Summary'!W$100*SelfQuarantine_Mild)+('Weekly Summary'!W$101*SelfQuarantine_Moderate))),'Equipment List &amp; Usage'!$C$115)*((('Weekly Summary'!W$131*SelfQuarantine_Mild*'Equipment List &amp; Usage'!$W22)+('Weekly Summary'!W$100*SelfQuarantine_Mild*'Equipment List &amp; Usage'!$X22)+('Weekly Summary'!W$101*SelfQuarantine_Moderate*'Equipment List &amp; Usage'!$X22)))+IF('Equipment List &amp; Usage'!$F22="Yes",'Equipment List &amp; Usage'!$C$114*(IF('Equipment List &amp; Usage'!$AA22&gt;0,'Weekly Summary'!W$128,0)+IF('Equipment List &amp; Usage'!$AB22&gt;0,'Weekly Summary'!W$100+'Weekly Summary'!W$101,0)),'Equipment List &amp; Usage'!$C$115*(('Weekly Summary'!W$128*'Equipment List &amp; Usage'!$AA22)+('Weekly Summary'!W$100*'Equipment List &amp; Usage'!$AB22*SelfQuarantine_Mild)+('Weekly Summary'!W$101*'Equipment List &amp; Usage'!$AB22*SelfQuarantine_Moderate)))+IF('Equipment List &amp; Usage'!$F22="Yes",('Equipment List &amp; Usage'!$C$114*(IF('Equipment List &amp; Usage'!$AE22&gt;0,'Weekly Summary'!W$134,0)+IF('Equipment List &amp; Usage'!$AF22&gt;0,'Weekly Summary'!W$135))),'Equipment List &amp; Usage'!$C$115*(('Weekly Summary'!W$134*'Equipment List &amp; Usage'!$AE22)+('Weekly Summary'!W$135*'Equipment List &amp; Usage'!$AF22))))-SUM($I20:AB20),
IF($F20="yes",MMULT(--('Equipment List &amp; Usage'!$J22:$N22&gt;0),--('Weekly Summary'!W$112:W$116))*'Equipment List &amp; Usage'!$C$114,MMULT(--('Equipment List &amp; Usage'!$J22:$N22),--('Weekly Summary'!W$112:W$116))*'Equipment List &amp; Usage'!$C$115)+IF('Equipment List &amp; Usage'!$F21="yes",'Equipment List &amp; Usage'!$C$114,'Equipment List &amp; Usage'!$C$115)*(('Weekly Summary'!W$66*'Equipment List &amp; Usage'!$Q22)+('Weekly Summary'!W$64*'Equipment List &amp; Usage'!$O22)+('Weekly Summary'!W$65*'Equipment List &amp; Usage'!$P22))+(IF('Equipment List &amp; Usage'!$F22="Yes",'Equipment List &amp; Usage'!$C$114*((('Weekly Summary'!W$131*SelfQuarantine_Mild)+('Weekly Summary'!W$100*SelfQuarantine_Mild)+('Weekly Summary'!W$101*SelfQuarantine_Moderate))),'Equipment List &amp; Usage'!$C$115)*((('Weekly Summary'!W$131*SelfQuarantine_Mild*'Equipment List &amp; Usage'!$W22)+('Weekly Summary'!W$100*SelfQuarantine_Mild*'Equipment List &amp; Usage'!$X22)+('Weekly Summary'!W$101*SelfQuarantine_Moderate*'Equipment List &amp; Usage'!$X22))))+IF('Equipment List &amp; Usage'!$F22="Yes",'Equipment List &amp; Usage'!$C$114*(IF('Equipment List &amp; Usage'!$AA22&gt;0,'Weekly Summary'!W$128,0)+IF('Equipment List &amp; Usage'!$AB22&gt;0,'Weekly Summary'!W$100+'Weekly Summary'!W$101,0)),'Equipment List &amp; Usage'!$C$115*(('Weekly Summary'!W$128*'Equipment List &amp; Usage'!$AA22)+('Weekly Summary'!W$100*'Equipment List &amp; Usage'!$AB22*SelfQuarantine_Mild)+('Weekly Summary'!W$101*'Equipment List &amp; Usage'!$AB22*SelfQuarantine_Moderate)))+IF('Equipment List &amp; Usage'!$F22="Yes",('Equipment List &amp; Usage'!$C$114*(IF('Equipment List &amp; Usage'!$AE22&gt;0,'Weekly Summary'!W$134,0)+IF('Equipment List &amp; Usage'!$AF22&gt;0,'Weekly Summary'!W$135))),'Equipment List &amp; Usage'!$C$115*(('Weekly Summary'!W$134*'Equipment List &amp; Usage'!$AE22)+('Weekly Summary'!W$135*'Equipment List &amp; Usage'!$AF22)))),0)</f>
        <v>0</v>
      </c>
      <c r="AD20" s="1374">
        <f ca="1">MAX(IF($F20="Yes",(
IF($F20="yes",MMULT(--('Equipment List &amp; Usage'!$J22:$N22&gt;0),--('Weekly Summary'!X$112:X$116))*'Equipment List &amp; Usage'!$C$114,MMULT(--('Equipment List &amp; Usage'!$J22:$N22),--('Weekly Summary'!X$112:X$116))*'Equipment List &amp; Usage'!$C$115)+IF('Equipment List &amp; Usage'!$F21="yes",'Equipment List &amp; Usage'!$C$114,'Equipment List &amp; Usage'!$C$115)*(('Weekly Summary'!X$66*'Equipment List &amp; Usage'!$Q22)+('Weekly Summary'!X$64*'Equipment List &amp; Usage'!$O22)+('Weekly Summary'!X$65*'Equipment List &amp; Usage'!$P22)))+(IF('Equipment List &amp; Usage'!$F22="Yes",'Equipment List &amp; Usage'!$C$114*((('Weekly Summary'!X$131*SelfQuarantine_Mild)+('Weekly Summary'!X$100*SelfQuarantine_Mild)+('Weekly Summary'!X$101*SelfQuarantine_Moderate))),'Equipment List &amp; Usage'!$C$115)*((('Weekly Summary'!X$131*SelfQuarantine_Mild*'Equipment List &amp; Usage'!$W22)+('Weekly Summary'!X$100*SelfQuarantine_Mild*'Equipment List &amp; Usage'!$X22)+('Weekly Summary'!X$101*SelfQuarantine_Moderate*'Equipment List &amp; Usage'!$X22)))+IF('Equipment List &amp; Usage'!$F22="Yes",'Equipment List &amp; Usage'!$C$114*(IF('Equipment List &amp; Usage'!$AA22&gt;0,'Weekly Summary'!X$128,0)+IF('Equipment List &amp; Usage'!$AB22&gt;0,'Weekly Summary'!X$100+'Weekly Summary'!X$101,0)),'Equipment List &amp; Usage'!$C$115*(('Weekly Summary'!X$128*'Equipment List &amp; Usage'!$AA22)+('Weekly Summary'!X$100*'Equipment List &amp; Usage'!$AB22*SelfQuarantine_Mild)+('Weekly Summary'!X$101*'Equipment List &amp; Usage'!$AB22*SelfQuarantine_Moderate)))+IF('Equipment List &amp; Usage'!$F22="Yes",('Equipment List &amp; Usage'!$C$114*(IF('Equipment List &amp; Usage'!$AE22&gt;0,'Weekly Summary'!X$134,0)+IF('Equipment List &amp; Usage'!$AF22&gt;0,'Weekly Summary'!X$135))),'Equipment List &amp; Usage'!$C$115*(('Weekly Summary'!X$134*'Equipment List &amp; Usage'!$AE22)+('Weekly Summary'!X$135*'Equipment List &amp; Usage'!$AF22))))-SUM($I20:AC20),
IF($F20="yes",MMULT(--('Equipment List &amp; Usage'!$J22:$N22&gt;0),--('Weekly Summary'!X$112:X$116))*'Equipment List &amp; Usage'!$C$114,MMULT(--('Equipment List &amp; Usage'!$J22:$N22),--('Weekly Summary'!X$112:X$116))*'Equipment List &amp; Usage'!$C$115)+IF('Equipment List &amp; Usage'!$F21="yes",'Equipment List &amp; Usage'!$C$114,'Equipment List &amp; Usage'!$C$115)*(('Weekly Summary'!X$66*'Equipment List &amp; Usage'!$Q22)+('Weekly Summary'!X$64*'Equipment List &amp; Usage'!$O22)+('Weekly Summary'!X$65*'Equipment List &amp; Usage'!$P22))+(IF('Equipment List &amp; Usage'!$F22="Yes",'Equipment List &amp; Usage'!$C$114*((('Weekly Summary'!X$131*SelfQuarantine_Mild)+('Weekly Summary'!X$100*SelfQuarantine_Mild)+('Weekly Summary'!X$101*SelfQuarantine_Moderate))),'Equipment List &amp; Usage'!$C$115)*((('Weekly Summary'!X$131*SelfQuarantine_Mild*'Equipment List &amp; Usage'!$W22)+('Weekly Summary'!X$100*SelfQuarantine_Mild*'Equipment List &amp; Usage'!$X22)+('Weekly Summary'!X$101*SelfQuarantine_Moderate*'Equipment List &amp; Usage'!$X22))))+IF('Equipment List &amp; Usage'!$F22="Yes",'Equipment List &amp; Usage'!$C$114*(IF('Equipment List &amp; Usage'!$AA22&gt;0,'Weekly Summary'!X$128,0)+IF('Equipment List &amp; Usage'!$AB22&gt;0,'Weekly Summary'!X$100+'Weekly Summary'!X$101,0)),'Equipment List &amp; Usage'!$C$115*(('Weekly Summary'!X$128*'Equipment List &amp; Usage'!$AA22)+('Weekly Summary'!X$100*'Equipment List &amp; Usage'!$AB22*SelfQuarantine_Mild)+('Weekly Summary'!X$101*'Equipment List &amp; Usage'!$AB22*SelfQuarantine_Moderate)))+IF('Equipment List &amp; Usage'!$F22="Yes",('Equipment List &amp; Usage'!$C$114*(IF('Equipment List &amp; Usage'!$AE22&gt;0,'Weekly Summary'!X$134,0)+IF('Equipment List &amp; Usage'!$AF22&gt;0,'Weekly Summary'!X$135))),'Equipment List &amp; Usage'!$C$115*(('Weekly Summary'!X$134*'Equipment List &amp; Usage'!$AE22)+('Weekly Summary'!X$135*'Equipment List &amp; Usage'!$AF22)))),0)</f>
        <v>0</v>
      </c>
      <c r="AE20" s="1374">
        <f ca="1">MAX(IF($F20="Yes",(
IF($F20="yes",MMULT(--('Equipment List &amp; Usage'!$J22:$N22&gt;0),--('Weekly Summary'!Y$112:Y$116))*'Equipment List &amp; Usage'!$C$114,MMULT(--('Equipment List &amp; Usage'!$J22:$N22),--('Weekly Summary'!Y$112:Y$116))*'Equipment List &amp; Usage'!$C$115)+IF('Equipment List &amp; Usage'!$F21="yes",'Equipment List &amp; Usage'!$C$114,'Equipment List &amp; Usage'!$C$115)*(('Weekly Summary'!Y$66*'Equipment List &amp; Usage'!$Q22)+('Weekly Summary'!Y$64*'Equipment List &amp; Usage'!$O22)+('Weekly Summary'!Y$65*'Equipment List &amp; Usage'!$P22)))+(IF('Equipment List &amp; Usage'!$F22="Yes",'Equipment List &amp; Usage'!$C$114*((('Weekly Summary'!Y$131*SelfQuarantine_Mild)+('Weekly Summary'!Y$100*SelfQuarantine_Mild)+('Weekly Summary'!Y$101*SelfQuarantine_Moderate))),'Equipment List &amp; Usage'!$C$115)*((('Weekly Summary'!Y$131*SelfQuarantine_Mild*'Equipment List &amp; Usage'!$W22)+('Weekly Summary'!Y$100*SelfQuarantine_Mild*'Equipment List &amp; Usage'!$X22)+('Weekly Summary'!Y$101*SelfQuarantine_Moderate*'Equipment List &amp; Usage'!$X22)))+IF('Equipment List &amp; Usage'!$F22="Yes",'Equipment List &amp; Usage'!$C$114*(IF('Equipment List &amp; Usage'!$AA22&gt;0,'Weekly Summary'!Y$128,0)+IF('Equipment List &amp; Usage'!$AB22&gt;0,'Weekly Summary'!Y$100+'Weekly Summary'!Y$101,0)),'Equipment List &amp; Usage'!$C$115*(('Weekly Summary'!Y$128*'Equipment List &amp; Usage'!$AA22)+('Weekly Summary'!Y$100*'Equipment List &amp; Usage'!$AB22*SelfQuarantine_Mild)+('Weekly Summary'!Y$101*'Equipment List &amp; Usage'!$AB22*SelfQuarantine_Moderate)))+IF('Equipment List &amp; Usage'!$F22="Yes",('Equipment List &amp; Usage'!$C$114*(IF('Equipment List &amp; Usage'!$AE22&gt;0,'Weekly Summary'!Y$134,0)+IF('Equipment List &amp; Usage'!$AF22&gt;0,'Weekly Summary'!Y$135))),'Equipment List &amp; Usage'!$C$115*(('Weekly Summary'!Y$134*'Equipment List &amp; Usage'!$AE22)+('Weekly Summary'!Y$135*'Equipment List &amp; Usage'!$AF22))))-SUM($I20:AD20),
IF($F20="yes",MMULT(--('Equipment List &amp; Usage'!$J22:$N22&gt;0),--('Weekly Summary'!Y$112:Y$116))*'Equipment List &amp; Usage'!$C$114,MMULT(--('Equipment List &amp; Usage'!$J22:$N22),--('Weekly Summary'!Y$112:Y$116))*'Equipment List &amp; Usage'!$C$115)+IF('Equipment List &amp; Usage'!$F21="yes",'Equipment List &amp; Usage'!$C$114,'Equipment List &amp; Usage'!$C$115)*(('Weekly Summary'!Y$66*'Equipment List &amp; Usage'!$Q22)+('Weekly Summary'!Y$64*'Equipment List &amp; Usage'!$O22)+('Weekly Summary'!Y$65*'Equipment List &amp; Usage'!$P22))+(IF('Equipment List &amp; Usage'!$F22="Yes",'Equipment List &amp; Usage'!$C$114*((('Weekly Summary'!Y$131*SelfQuarantine_Mild)+('Weekly Summary'!Y$100*SelfQuarantine_Mild)+('Weekly Summary'!Y$101*SelfQuarantine_Moderate))),'Equipment List &amp; Usage'!$C$115)*((('Weekly Summary'!Y$131*SelfQuarantine_Mild*'Equipment List &amp; Usage'!$W22)+('Weekly Summary'!Y$100*SelfQuarantine_Mild*'Equipment List &amp; Usage'!$X22)+('Weekly Summary'!Y$101*SelfQuarantine_Moderate*'Equipment List &amp; Usage'!$X22))))+IF('Equipment List &amp; Usage'!$F22="Yes",'Equipment List &amp; Usage'!$C$114*(IF('Equipment List &amp; Usage'!$AA22&gt;0,'Weekly Summary'!Y$128,0)+IF('Equipment List &amp; Usage'!$AB22&gt;0,'Weekly Summary'!Y$100+'Weekly Summary'!Y$101,0)),'Equipment List &amp; Usage'!$C$115*(('Weekly Summary'!Y$128*'Equipment List &amp; Usage'!$AA22)+('Weekly Summary'!Y$100*'Equipment List &amp; Usage'!$AB22*SelfQuarantine_Mild)+('Weekly Summary'!Y$101*'Equipment List &amp; Usage'!$AB22*SelfQuarantine_Moderate)))+IF('Equipment List &amp; Usage'!$F22="Yes",('Equipment List &amp; Usage'!$C$114*(IF('Equipment List &amp; Usage'!$AE22&gt;0,'Weekly Summary'!Y$134,0)+IF('Equipment List &amp; Usage'!$AF22&gt;0,'Weekly Summary'!Y$135))),'Equipment List &amp; Usage'!$C$115*(('Weekly Summary'!Y$134*'Equipment List &amp; Usage'!$AE22)+('Weekly Summary'!Y$135*'Equipment List &amp; Usage'!$AF22)))),0)</f>
        <v>0</v>
      </c>
      <c r="AF20" s="1374">
        <f ca="1">MAX(IF($F20="Yes",(
IF($F20="yes",MMULT(--('Equipment List &amp; Usage'!$J22:$N22&gt;0),--('Weekly Summary'!Z$112:Z$116))*'Equipment List &amp; Usage'!$C$114,MMULT(--('Equipment List &amp; Usage'!$J22:$N22),--('Weekly Summary'!Z$112:Z$116))*'Equipment List &amp; Usage'!$C$115)+IF('Equipment List &amp; Usage'!$F21="yes",'Equipment List &amp; Usage'!$C$114,'Equipment List &amp; Usage'!$C$115)*(('Weekly Summary'!Z$66*'Equipment List &amp; Usage'!$Q22)+('Weekly Summary'!Z$64*'Equipment List &amp; Usage'!$O22)+('Weekly Summary'!Z$65*'Equipment List &amp; Usage'!$P22)))+(IF('Equipment List &amp; Usage'!$F22="Yes",'Equipment List &amp; Usage'!$C$114*((('Weekly Summary'!Z$131*SelfQuarantine_Mild)+('Weekly Summary'!Z$100*SelfQuarantine_Mild)+('Weekly Summary'!Z$101*SelfQuarantine_Moderate))),'Equipment List &amp; Usage'!$C$115)*((('Weekly Summary'!Z$131*SelfQuarantine_Mild*'Equipment List &amp; Usage'!$W22)+('Weekly Summary'!Z$100*SelfQuarantine_Mild*'Equipment List &amp; Usage'!$X22)+('Weekly Summary'!Z$101*SelfQuarantine_Moderate*'Equipment List &amp; Usage'!$X22)))+IF('Equipment List &amp; Usage'!$F22="Yes",'Equipment List &amp; Usage'!$C$114*(IF('Equipment List &amp; Usage'!$AA22&gt;0,'Weekly Summary'!Z$128,0)+IF('Equipment List &amp; Usage'!$AB22&gt;0,'Weekly Summary'!Z$100+'Weekly Summary'!Z$101,0)),'Equipment List &amp; Usage'!$C$115*(('Weekly Summary'!Z$128*'Equipment List &amp; Usage'!$AA22)+('Weekly Summary'!Z$100*'Equipment List &amp; Usage'!$AB22*SelfQuarantine_Mild)+('Weekly Summary'!Z$101*'Equipment List &amp; Usage'!$AB22*SelfQuarantine_Moderate)))+IF('Equipment List &amp; Usage'!$F22="Yes",('Equipment List &amp; Usage'!$C$114*(IF('Equipment List &amp; Usage'!$AE22&gt;0,'Weekly Summary'!Z$134,0)+IF('Equipment List &amp; Usage'!$AF22&gt;0,'Weekly Summary'!Z$135))),'Equipment List &amp; Usage'!$C$115*(('Weekly Summary'!Z$134*'Equipment List &amp; Usage'!$AE22)+('Weekly Summary'!Z$135*'Equipment List &amp; Usage'!$AF22))))-SUM($I20:AE20),
IF($F20="yes",MMULT(--('Equipment List &amp; Usage'!$J22:$N22&gt;0),--('Weekly Summary'!Z$112:Z$116))*'Equipment List &amp; Usage'!$C$114,MMULT(--('Equipment List &amp; Usage'!$J22:$N22),--('Weekly Summary'!Z$112:Z$116))*'Equipment List &amp; Usage'!$C$115)+IF('Equipment List &amp; Usage'!$F21="yes",'Equipment List &amp; Usage'!$C$114,'Equipment List &amp; Usage'!$C$115)*(('Weekly Summary'!Z$66*'Equipment List &amp; Usage'!$Q22)+('Weekly Summary'!Z$64*'Equipment List &amp; Usage'!$O22)+('Weekly Summary'!Z$65*'Equipment List &amp; Usage'!$P22))+(IF('Equipment List &amp; Usage'!$F22="Yes",'Equipment List &amp; Usage'!$C$114*((('Weekly Summary'!Z$131*SelfQuarantine_Mild)+('Weekly Summary'!Z$100*SelfQuarantine_Mild)+('Weekly Summary'!Z$101*SelfQuarantine_Moderate))),'Equipment List &amp; Usage'!$C$115)*((('Weekly Summary'!Z$131*SelfQuarantine_Mild*'Equipment List &amp; Usage'!$W22)+('Weekly Summary'!Z$100*SelfQuarantine_Mild*'Equipment List &amp; Usage'!$X22)+('Weekly Summary'!Z$101*SelfQuarantine_Moderate*'Equipment List &amp; Usage'!$X22))))+IF('Equipment List &amp; Usage'!$F22="Yes",'Equipment List &amp; Usage'!$C$114*(IF('Equipment List &amp; Usage'!$AA22&gt;0,'Weekly Summary'!Z$128,0)+IF('Equipment List &amp; Usage'!$AB22&gt;0,'Weekly Summary'!Z$100+'Weekly Summary'!Z$101,0)),'Equipment List &amp; Usage'!$C$115*(('Weekly Summary'!Z$128*'Equipment List &amp; Usage'!$AA22)+('Weekly Summary'!Z$100*'Equipment List &amp; Usage'!$AB22*SelfQuarantine_Mild)+('Weekly Summary'!Z$101*'Equipment List &amp; Usage'!$AB22*SelfQuarantine_Moderate)))+IF('Equipment List &amp; Usage'!$F22="Yes",('Equipment List &amp; Usage'!$C$114*(IF('Equipment List &amp; Usage'!$AE22&gt;0,'Weekly Summary'!Z$134,0)+IF('Equipment List &amp; Usage'!$AF22&gt;0,'Weekly Summary'!Z$135))),'Equipment List &amp; Usage'!$C$115*(('Weekly Summary'!Z$134*'Equipment List &amp; Usage'!$AE22)+('Weekly Summary'!Z$135*'Equipment List &amp; Usage'!$AF22)))),0)</f>
        <v>0</v>
      </c>
      <c r="AG20" s="1374">
        <f ca="1">MAX(IF($F20="Yes",(
IF($F20="yes",MMULT(--('Equipment List &amp; Usage'!$J22:$N22&gt;0),--('Weekly Summary'!AA$112:AA$116))*'Equipment List &amp; Usage'!$C$114,MMULT(--('Equipment List &amp; Usage'!$J22:$N22),--('Weekly Summary'!AA$112:AA$116))*'Equipment List &amp; Usage'!$C$115)+IF('Equipment List &amp; Usage'!$F21="yes",'Equipment List &amp; Usage'!$C$114,'Equipment List &amp; Usage'!$C$115)*(('Weekly Summary'!AA$66*'Equipment List &amp; Usage'!$Q22)+('Weekly Summary'!AA$64*'Equipment List &amp; Usage'!$O22)+('Weekly Summary'!AA$65*'Equipment List &amp; Usage'!$P22)))+(IF('Equipment List &amp; Usage'!$F22="Yes",'Equipment List &amp; Usage'!$C$114*((('Weekly Summary'!AA$131*SelfQuarantine_Mild)+('Weekly Summary'!AA$100*SelfQuarantine_Mild)+('Weekly Summary'!AA$101*SelfQuarantine_Moderate))),'Equipment List &amp; Usage'!$C$115)*((('Weekly Summary'!AA$131*SelfQuarantine_Mild*'Equipment List &amp; Usage'!$W22)+('Weekly Summary'!AA$100*SelfQuarantine_Mild*'Equipment List &amp; Usage'!$X22)+('Weekly Summary'!AA$101*SelfQuarantine_Moderate*'Equipment List &amp; Usage'!$X22)))+IF('Equipment List &amp; Usage'!$F22="Yes",'Equipment List &amp; Usage'!$C$114*(IF('Equipment List &amp; Usage'!$AA22&gt;0,'Weekly Summary'!AA$128,0)+IF('Equipment List &amp; Usage'!$AB22&gt;0,'Weekly Summary'!AA$100+'Weekly Summary'!AA$101,0)),'Equipment List &amp; Usage'!$C$115*(('Weekly Summary'!AA$128*'Equipment List &amp; Usage'!$AA22)+('Weekly Summary'!AA$100*'Equipment List &amp; Usage'!$AB22*SelfQuarantine_Mild)+('Weekly Summary'!AA$101*'Equipment List &amp; Usage'!$AB22*SelfQuarantine_Moderate)))+IF('Equipment List &amp; Usage'!$F22="Yes",('Equipment List &amp; Usage'!$C$114*(IF('Equipment List &amp; Usage'!$AE22&gt;0,'Weekly Summary'!AA$134,0)+IF('Equipment List &amp; Usage'!$AF22&gt;0,'Weekly Summary'!AA$135))),'Equipment List &amp; Usage'!$C$115*(('Weekly Summary'!AA$134*'Equipment List &amp; Usage'!$AE22)+('Weekly Summary'!AA$135*'Equipment List &amp; Usage'!$AF22))))-SUM($I20:AF20),
IF($F20="yes",MMULT(--('Equipment List &amp; Usage'!$J22:$N22&gt;0),--('Weekly Summary'!AA$112:AA$116))*'Equipment List &amp; Usage'!$C$114,MMULT(--('Equipment List &amp; Usage'!$J22:$N22),--('Weekly Summary'!AA$112:AA$116))*'Equipment List &amp; Usage'!$C$115)+IF('Equipment List &amp; Usage'!$F21="yes",'Equipment List &amp; Usage'!$C$114,'Equipment List &amp; Usage'!$C$115)*(('Weekly Summary'!AA$66*'Equipment List &amp; Usage'!$Q22)+('Weekly Summary'!AA$64*'Equipment List &amp; Usage'!$O22)+('Weekly Summary'!AA$65*'Equipment List &amp; Usage'!$P22))+(IF('Equipment List &amp; Usage'!$F22="Yes",'Equipment List &amp; Usage'!$C$114*((('Weekly Summary'!AA$131*SelfQuarantine_Mild)+('Weekly Summary'!AA$100*SelfQuarantine_Mild)+('Weekly Summary'!AA$101*SelfQuarantine_Moderate))),'Equipment List &amp; Usage'!$C$115)*((('Weekly Summary'!AA$131*SelfQuarantine_Mild*'Equipment List &amp; Usage'!$W22)+('Weekly Summary'!AA$100*SelfQuarantine_Mild*'Equipment List &amp; Usage'!$X22)+('Weekly Summary'!AA$101*SelfQuarantine_Moderate*'Equipment List &amp; Usage'!$X22))))+IF('Equipment List &amp; Usage'!$F22="Yes",'Equipment List &amp; Usage'!$C$114*(IF('Equipment List &amp; Usage'!$AA22&gt;0,'Weekly Summary'!AA$128,0)+IF('Equipment List &amp; Usage'!$AB22&gt;0,'Weekly Summary'!AA$100+'Weekly Summary'!AA$101,0)),'Equipment List &amp; Usage'!$C$115*(('Weekly Summary'!AA$128*'Equipment List &amp; Usage'!$AA22)+('Weekly Summary'!AA$100*'Equipment List &amp; Usage'!$AB22*SelfQuarantine_Mild)+('Weekly Summary'!AA$101*'Equipment List &amp; Usage'!$AB22*SelfQuarantine_Moderate)))+IF('Equipment List &amp; Usage'!$F22="Yes",('Equipment List &amp; Usage'!$C$114*(IF('Equipment List &amp; Usage'!$AE22&gt;0,'Weekly Summary'!AA$134,0)+IF('Equipment List &amp; Usage'!$AF22&gt;0,'Weekly Summary'!AA$135))),'Equipment List &amp; Usage'!$C$115*(('Weekly Summary'!AA$134*'Equipment List &amp; Usage'!$AE22)+('Weekly Summary'!AA$135*'Equipment List &amp; Usage'!$AF22)))),0)</f>
        <v>0</v>
      </c>
      <c r="AH20" s="1374">
        <f ca="1">MAX(IF($F20="Yes",(
IF($F20="yes",MMULT(--('Equipment List &amp; Usage'!$J22:$N22&gt;0),--('Weekly Summary'!AB$112:AB$116))*'Equipment List &amp; Usage'!$C$114,MMULT(--('Equipment List &amp; Usage'!$J22:$N22),--('Weekly Summary'!AB$112:AB$116))*'Equipment List &amp; Usage'!$C$115)+IF('Equipment List &amp; Usage'!$F21="yes",'Equipment List &amp; Usage'!$C$114,'Equipment List &amp; Usage'!$C$115)*(('Weekly Summary'!AB$66*'Equipment List &amp; Usage'!$Q22)+('Weekly Summary'!AB$64*'Equipment List &amp; Usage'!$O22)+('Weekly Summary'!AB$65*'Equipment List &amp; Usage'!$P22)))+(IF('Equipment List &amp; Usage'!$F22="Yes",'Equipment List &amp; Usage'!$C$114*((('Weekly Summary'!AB$131*SelfQuarantine_Mild)+('Weekly Summary'!AB$100*SelfQuarantine_Mild)+('Weekly Summary'!AB$101*SelfQuarantine_Moderate))),'Equipment List &amp; Usage'!$C$115)*((('Weekly Summary'!AB$131*SelfQuarantine_Mild*'Equipment List &amp; Usage'!$W22)+('Weekly Summary'!AB$100*SelfQuarantine_Mild*'Equipment List &amp; Usage'!$X22)+('Weekly Summary'!AB$101*SelfQuarantine_Moderate*'Equipment List &amp; Usage'!$X22)))+IF('Equipment List &amp; Usage'!$F22="Yes",'Equipment List &amp; Usage'!$C$114*(IF('Equipment List &amp; Usage'!$AA22&gt;0,'Weekly Summary'!AB$128,0)+IF('Equipment List &amp; Usage'!$AB22&gt;0,'Weekly Summary'!AB$100+'Weekly Summary'!AB$101,0)),'Equipment List &amp; Usage'!$C$115*(('Weekly Summary'!AB$128*'Equipment List &amp; Usage'!$AA22)+('Weekly Summary'!AB$100*'Equipment List &amp; Usage'!$AB22*SelfQuarantine_Mild)+('Weekly Summary'!AB$101*'Equipment List &amp; Usage'!$AB22*SelfQuarantine_Moderate)))+IF('Equipment List &amp; Usage'!$F22="Yes",('Equipment List &amp; Usage'!$C$114*(IF('Equipment List &amp; Usage'!$AE22&gt;0,'Weekly Summary'!AB$134,0)+IF('Equipment List &amp; Usage'!$AF22&gt;0,'Weekly Summary'!AB$135))),'Equipment List &amp; Usage'!$C$115*(('Weekly Summary'!AB$134*'Equipment List &amp; Usage'!$AE22)+('Weekly Summary'!AB$135*'Equipment List &amp; Usage'!$AF22))))-SUM($I20:AG20),
IF($F20="yes",MMULT(--('Equipment List &amp; Usage'!$J22:$N22&gt;0),--('Weekly Summary'!AB$112:AB$116))*'Equipment List &amp; Usage'!$C$114,MMULT(--('Equipment List &amp; Usage'!$J22:$N22),--('Weekly Summary'!AB$112:AB$116))*'Equipment List &amp; Usage'!$C$115)+IF('Equipment List &amp; Usage'!$F21="yes",'Equipment List &amp; Usage'!$C$114,'Equipment List &amp; Usage'!$C$115)*(('Weekly Summary'!AB$66*'Equipment List &amp; Usage'!$Q22)+('Weekly Summary'!AB$64*'Equipment List &amp; Usage'!$O22)+('Weekly Summary'!AB$65*'Equipment List &amp; Usage'!$P22))+(IF('Equipment List &amp; Usage'!$F22="Yes",'Equipment List &amp; Usage'!$C$114*((('Weekly Summary'!AB$131*SelfQuarantine_Mild)+('Weekly Summary'!AB$100*SelfQuarantine_Mild)+('Weekly Summary'!AB$101*SelfQuarantine_Moderate))),'Equipment List &amp; Usage'!$C$115)*((('Weekly Summary'!AB$131*SelfQuarantine_Mild*'Equipment List &amp; Usage'!$W22)+('Weekly Summary'!AB$100*SelfQuarantine_Mild*'Equipment List &amp; Usage'!$X22)+('Weekly Summary'!AB$101*SelfQuarantine_Moderate*'Equipment List &amp; Usage'!$X22))))+IF('Equipment List &amp; Usage'!$F22="Yes",'Equipment List &amp; Usage'!$C$114*(IF('Equipment List &amp; Usage'!$AA22&gt;0,'Weekly Summary'!AB$128,0)+IF('Equipment List &amp; Usage'!$AB22&gt;0,'Weekly Summary'!AB$100+'Weekly Summary'!AB$101,0)),'Equipment List &amp; Usage'!$C$115*(('Weekly Summary'!AB$128*'Equipment List &amp; Usage'!$AA22)+('Weekly Summary'!AB$100*'Equipment List &amp; Usage'!$AB22*SelfQuarantine_Mild)+('Weekly Summary'!AB$101*'Equipment List &amp; Usage'!$AB22*SelfQuarantine_Moderate)))+IF('Equipment List &amp; Usage'!$F22="Yes",('Equipment List &amp; Usage'!$C$114*(IF('Equipment List &amp; Usage'!$AE22&gt;0,'Weekly Summary'!AB$134,0)+IF('Equipment List &amp; Usage'!$AF22&gt;0,'Weekly Summary'!AB$135))),'Equipment List &amp; Usage'!$C$115*(('Weekly Summary'!AB$134*'Equipment List &amp; Usage'!$AE22)+('Weekly Summary'!AB$135*'Equipment List &amp; Usage'!$AF22)))),0)</f>
        <v>0</v>
      </c>
      <c r="AI20" s="1374">
        <f ca="1">MAX(IF($F20="Yes",(
IF($F20="yes",MMULT(--('Equipment List &amp; Usage'!$J22:$N22&gt;0),--('Weekly Summary'!AC$112:AC$116))*'Equipment List &amp; Usage'!$C$114,MMULT(--('Equipment List &amp; Usage'!$J22:$N22),--('Weekly Summary'!AC$112:AC$116))*'Equipment List &amp; Usage'!$C$115)+IF('Equipment List &amp; Usage'!$F21="yes",'Equipment List &amp; Usage'!$C$114,'Equipment List &amp; Usage'!$C$115)*(('Weekly Summary'!AC$66*'Equipment List &amp; Usage'!$Q22)+('Weekly Summary'!AC$64*'Equipment List &amp; Usage'!$O22)+('Weekly Summary'!AC$65*'Equipment List &amp; Usage'!$P22)))+(IF('Equipment List &amp; Usage'!$F22="Yes",'Equipment List &amp; Usage'!$C$114*((('Weekly Summary'!AC$131*SelfQuarantine_Mild)+('Weekly Summary'!AC$100*SelfQuarantine_Mild)+('Weekly Summary'!AC$101*SelfQuarantine_Moderate))),'Equipment List &amp; Usage'!$C$115)*((('Weekly Summary'!AC$131*SelfQuarantine_Mild*'Equipment List &amp; Usage'!$W22)+('Weekly Summary'!AC$100*SelfQuarantine_Mild*'Equipment List &amp; Usage'!$X22)+('Weekly Summary'!AC$101*SelfQuarantine_Moderate*'Equipment List &amp; Usage'!$X22)))+IF('Equipment List &amp; Usage'!$F22="Yes",'Equipment List &amp; Usage'!$C$114*(IF('Equipment List &amp; Usage'!$AA22&gt;0,'Weekly Summary'!AC$128,0)+IF('Equipment List &amp; Usage'!$AB22&gt;0,'Weekly Summary'!AC$100+'Weekly Summary'!AC$101,0)),'Equipment List &amp; Usage'!$C$115*(('Weekly Summary'!AC$128*'Equipment List &amp; Usage'!$AA22)+('Weekly Summary'!AC$100*'Equipment List &amp; Usage'!$AB22*SelfQuarantine_Mild)+('Weekly Summary'!AC$101*'Equipment List &amp; Usage'!$AB22*SelfQuarantine_Moderate)))+IF('Equipment List &amp; Usage'!$F22="Yes",('Equipment List &amp; Usage'!$C$114*(IF('Equipment List &amp; Usage'!$AE22&gt;0,'Weekly Summary'!AC$134,0)+IF('Equipment List &amp; Usage'!$AF22&gt;0,'Weekly Summary'!AC$135))),'Equipment List &amp; Usage'!$C$115*(('Weekly Summary'!AC$134*'Equipment List &amp; Usage'!$AE22)+('Weekly Summary'!AC$135*'Equipment List &amp; Usage'!$AF22))))-SUM($I20:AH20),
IF($F20="yes",MMULT(--('Equipment List &amp; Usage'!$J22:$N22&gt;0),--('Weekly Summary'!AC$112:AC$116))*'Equipment List &amp; Usage'!$C$114,MMULT(--('Equipment List &amp; Usage'!$J22:$N22),--('Weekly Summary'!AC$112:AC$116))*'Equipment List &amp; Usage'!$C$115)+IF('Equipment List &amp; Usage'!$F21="yes",'Equipment List &amp; Usage'!$C$114,'Equipment List &amp; Usage'!$C$115)*(('Weekly Summary'!AC$66*'Equipment List &amp; Usage'!$Q22)+('Weekly Summary'!AC$64*'Equipment List &amp; Usage'!$O22)+('Weekly Summary'!AC$65*'Equipment List &amp; Usage'!$P22))+(IF('Equipment List &amp; Usage'!$F22="Yes",'Equipment List &amp; Usage'!$C$114*((('Weekly Summary'!AC$131*SelfQuarantine_Mild)+('Weekly Summary'!AC$100*SelfQuarantine_Mild)+('Weekly Summary'!AC$101*SelfQuarantine_Moderate))),'Equipment List &amp; Usage'!$C$115)*((('Weekly Summary'!AC$131*SelfQuarantine_Mild*'Equipment List &amp; Usage'!$W22)+('Weekly Summary'!AC$100*SelfQuarantine_Mild*'Equipment List &amp; Usage'!$X22)+('Weekly Summary'!AC$101*SelfQuarantine_Moderate*'Equipment List &amp; Usage'!$X22))))+IF('Equipment List &amp; Usage'!$F22="Yes",'Equipment List &amp; Usage'!$C$114*(IF('Equipment List &amp; Usage'!$AA22&gt;0,'Weekly Summary'!AC$128,0)+IF('Equipment List &amp; Usage'!$AB22&gt;0,'Weekly Summary'!AC$100+'Weekly Summary'!AC$101,0)),'Equipment List &amp; Usage'!$C$115*(('Weekly Summary'!AC$128*'Equipment List &amp; Usage'!$AA22)+('Weekly Summary'!AC$100*'Equipment List &amp; Usage'!$AB22*SelfQuarantine_Mild)+('Weekly Summary'!AC$101*'Equipment List &amp; Usage'!$AB22*SelfQuarantine_Moderate)))+IF('Equipment List &amp; Usage'!$F22="Yes",('Equipment List &amp; Usage'!$C$114*(IF('Equipment List &amp; Usage'!$AE22&gt;0,'Weekly Summary'!AC$134,0)+IF('Equipment List &amp; Usage'!$AF22&gt;0,'Weekly Summary'!AC$135))),'Equipment List &amp; Usage'!$C$115*(('Weekly Summary'!AC$134*'Equipment List &amp; Usage'!$AE22)+('Weekly Summary'!AC$135*'Equipment List &amp; Usage'!$AF22)))),0)</f>
        <v>0</v>
      </c>
      <c r="AJ20" s="1374">
        <f ca="1">MAX(IF($F20="Yes",(
IF($F20="yes",MMULT(--('Equipment List &amp; Usage'!$J22:$N22&gt;0),--('Weekly Summary'!AD$112:AD$116))*'Equipment List &amp; Usage'!$C$114,MMULT(--('Equipment List &amp; Usage'!$J22:$N22),--('Weekly Summary'!AD$112:AD$116))*'Equipment List &amp; Usage'!$C$115)+IF('Equipment List &amp; Usage'!$F21="yes",'Equipment List &amp; Usage'!$C$114,'Equipment List &amp; Usage'!$C$115)*(('Weekly Summary'!AD$66*'Equipment List &amp; Usage'!$Q22)+('Weekly Summary'!AD$64*'Equipment List &amp; Usage'!$O22)+('Weekly Summary'!AD$65*'Equipment List &amp; Usage'!$P22)))+(IF('Equipment List &amp; Usage'!$F22="Yes",'Equipment List &amp; Usage'!$C$114*((('Weekly Summary'!AD$131*SelfQuarantine_Mild)+('Weekly Summary'!AD$100*SelfQuarantine_Mild)+('Weekly Summary'!AD$101*SelfQuarantine_Moderate))),'Equipment List &amp; Usage'!$C$115)*((('Weekly Summary'!AD$131*SelfQuarantine_Mild*'Equipment List &amp; Usage'!$W22)+('Weekly Summary'!AD$100*SelfQuarantine_Mild*'Equipment List &amp; Usage'!$X22)+('Weekly Summary'!AD$101*SelfQuarantine_Moderate*'Equipment List &amp; Usage'!$X22)))+IF('Equipment List &amp; Usage'!$F22="Yes",'Equipment List &amp; Usage'!$C$114*(IF('Equipment List &amp; Usage'!$AA22&gt;0,'Weekly Summary'!AD$128,0)+IF('Equipment List &amp; Usage'!$AB22&gt;0,'Weekly Summary'!AD$100+'Weekly Summary'!AD$101,0)),'Equipment List &amp; Usage'!$C$115*(('Weekly Summary'!AD$128*'Equipment List &amp; Usage'!$AA22)+('Weekly Summary'!AD$100*'Equipment List &amp; Usage'!$AB22*SelfQuarantine_Mild)+('Weekly Summary'!AD$101*'Equipment List &amp; Usage'!$AB22*SelfQuarantine_Moderate)))+IF('Equipment List &amp; Usage'!$F22="Yes",('Equipment List &amp; Usage'!$C$114*(IF('Equipment List &amp; Usage'!$AE22&gt;0,'Weekly Summary'!AD$134,0)+IF('Equipment List &amp; Usage'!$AF22&gt;0,'Weekly Summary'!AD$135))),'Equipment List &amp; Usage'!$C$115*(('Weekly Summary'!AD$134*'Equipment List &amp; Usage'!$AE22)+('Weekly Summary'!AD$135*'Equipment List &amp; Usage'!$AF22))))-SUM($I20:AI20),
IF($F20="yes",MMULT(--('Equipment List &amp; Usage'!$J22:$N22&gt;0),--('Weekly Summary'!AD$112:AD$116))*'Equipment List &amp; Usage'!$C$114,MMULT(--('Equipment List &amp; Usage'!$J22:$N22),--('Weekly Summary'!AD$112:AD$116))*'Equipment List &amp; Usage'!$C$115)+IF('Equipment List &amp; Usage'!$F21="yes",'Equipment List &amp; Usage'!$C$114,'Equipment List &amp; Usage'!$C$115)*(('Weekly Summary'!AD$66*'Equipment List &amp; Usage'!$Q22)+('Weekly Summary'!AD$64*'Equipment List &amp; Usage'!$O22)+('Weekly Summary'!AD$65*'Equipment List &amp; Usage'!$P22))+(IF('Equipment List &amp; Usage'!$F22="Yes",'Equipment List &amp; Usage'!$C$114*((('Weekly Summary'!AD$131*SelfQuarantine_Mild)+('Weekly Summary'!AD$100*SelfQuarantine_Mild)+('Weekly Summary'!AD$101*SelfQuarantine_Moderate))),'Equipment List &amp; Usage'!$C$115)*((('Weekly Summary'!AD$131*SelfQuarantine_Mild*'Equipment List &amp; Usage'!$W22)+('Weekly Summary'!AD$100*SelfQuarantine_Mild*'Equipment List &amp; Usage'!$X22)+('Weekly Summary'!AD$101*SelfQuarantine_Moderate*'Equipment List &amp; Usage'!$X22))))+IF('Equipment List &amp; Usage'!$F22="Yes",'Equipment List &amp; Usage'!$C$114*(IF('Equipment List &amp; Usage'!$AA22&gt;0,'Weekly Summary'!AD$128,0)+IF('Equipment List &amp; Usage'!$AB22&gt;0,'Weekly Summary'!AD$100+'Weekly Summary'!AD$101,0)),'Equipment List &amp; Usage'!$C$115*(('Weekly Summary'!AD$128*'Equipment List &amp; Usage'!$AA22)+('Weekly Summary'!AD$100*'Equipment List &amp; Usage'!$AB22*SelfQuarantine_Mild)+('Weekly Summary'!AD$101*'Equipment List &amp; Usage'!$AB22*SelfQuarantine_Moderate)))+IF('Equipment List &amp; Usage'!$F22="Yes",('Equipment List &amp; Usage'!$C$114*(IF('Equipment List &amp; Usage'!$AE22&gt;0,'Weekly Summary'!AD$134,0)+IF('Equipment List &amp; Usage'!$AF22&gt;0,'Weekly Summary'!AD$135))),'Equipment List &amp; Usage'!$C$115*(('Weekly Summary'!AD$134*'Equipment List &amp; Usage'!$AE22)+('Weekly Summary'!AD$135*'Equipment List &amp; Usage'!$AF22)))),0)</f>
        <v>0</v>
      </c>
      <c r="AK20" s="1374">
        <f ca="1">MAX(IF($F20="Yes",(
IF($F20="yes",MMULT(--('Equipment List &amp; Usage'!$J22:$N22&gt;0),--('Weekly Summary'!AE$112:AE$116))*'Equipment List &amp; Usage'!$C$114,MMULT(--('Equipment List &amp; Usage'!$J22:$N22),--('Weekly Summary'!AE$112:AE$116))*'Equipment List &amp; Usage'!$C$115)+IF('Equipment List &amp; Usage'!$F21="yes",'Equipment List &amp; Usage'!$C$114,'Equipment List &amp; Usage'!$C$115)*(('Weekly Summary'!AE$66*'Equipment List &amp; Usage'!$Q22)+('Weekly Summary'!AE$64*'Equipment List &amp; Usage'!$O22)+('Weekly Summary'!AE$65*'Equipment List &amp; Usage'!$P22)))+(IF('Equipment List &amp; Usage'!$F22="Yes",'Equipment List &amp; Usage'!$C$114*((('Weekly Summary'!AE$131*SelfQuarantine_Mild)+('Weekly Summary'!AE$100*SelfQuarantine_Mild)+('Weekly Summary'!AE$101*SelfQuarantine_Moderate))),'Equipment List &amp; Usage'!$C$115)*((('Weekly Summary'!AE$131*SelfQuarantine_Mild*'Equipment List &amp; Usage'!$W22)+('Weekly Summary'!AE$100*SelfQuarantine_Mild*'Equipment List &amp; Usage'!$X22)+('Weekly Summary'!AE$101*SelfQuarantine_Moderate*'Equipment List &amp; Usage'!$X22)))+IF('Equipment List &amp; Usage'!$F22="Yes",'Equipment List &amp; Usage'!$C$114*(IF('Equipment List &amp; Usage'!$AA22&gt;0,'Weekly Summary'!AE$128,0)+IF('Equipment List &amp; Usage'!$AB22&gt;0,'Weekly Summary'!AE$100+'Weekly Summary'!AE$101,0)),'Equipment List &amp; Usage'!$C$115*(('Weekly Summary'!AE$128*'Equipment List &amp; Usage'!$AA22)+('Weekly Summary'!AE$100*'Equipment List &amp; Usage'!$AB22*SelfQuarantine_Mild)+('Weekly Summary'!AE$101*'Equipment List &amp; Usage'!$AB22*SelfQuarantine_Moderate)))+IF('Equipment List &amp; Usage'!$F22="Yes",('Equipment List &amp; Usage'!$C$114*(IF('Equipment List &amp; Usage'!$AE22&gt;0,'Weekly Summary'!AE$134,0)+IF('Equipment List &amp; Usage'!$AF22&gt;0,'Weekly Summary'!AE$135))),'Equipment List &amp; Usage'!$C$115*(('Weekly Summary'!AE$134*'Equipment List &amp; Usage'!$AE22)+('Weekly Summary'!AE$135*'Equipment List &amp; Usage'!$AF22))))-SUM($I20:AJ20),
IF($F20="yes",MMULT(--('Equipment List &amp; Usage'!$J22:$N22&gt;0),--('Weekly Summary'!AE$112:AE$116))*'Equipment List &amp; Usage'!$C$114,MMULT(--('Equipment List &amp; Usage'!$J22:$N22),--('Weekly Summary'!AE$112:AE$116))*'Equipment List &amp; Usage'!$C$115)+IF('Equipment List &amp; Usage'!$F21="yes",'Equipment List &amp; Usage'!$C$114,'Equipment List &amp; Usage'!$C$115)*(('Weekly Summary'!AE$66*'Equipment List &amp; Usage'!$Q22)+('Weekly Summary'!AE$64*'Equipment List &amp; Usage'!$O22)+('Weekly Summary'!AE$65*'Equipment List &amp; Usage'!$P22))+(IF('Equipment List &amp; Usage'!$F22="Yes",'Equipment List &amp; Usage'!$C$114*((('Weekly Summary'!AE$131*SelfQuarantine_Mild)+('Weekly Summary'!AE$100*SelfQuarantine_Mild)+('Weekly Summary'!AE$101*SelfQuarantine_Moderate))),'Equipment List &amp; Usage'!$C$115)*((('Weekly Summary'!AE$131*SelfQuarantine_Mild*'Equipment List &amp; Usage'!$W22)+('Weekly Summary'!AE$100*SelfQuarantine_Mild*'Equipment List &amp; Usage'!$X22)+('Weekly Summary'!AE$101*SelfQuarantine_Moderate*'Equipment List &amp; Usage'!$X22))))+IF('Equipment List &amp; Usage'!$F22="Yes",'Equipment List &amp; Usage'!$C$114*(IF('Equipment List &amp; Usage'!$AA22&gt;0,'Weekly Summary'!AE$128,0)+IF('Equipment List &amp; Usage'!$AB22&gt;0,'Weekly Summary'!AE$100+'Weekly Summary'!AE$101,0)),'Equipment List &amp; Usage'!$C$115*(('Weekly Summary'!AE$128*'Equipment List &amp; Usage'!$AA22)+('Weekly Summary'!AE$100*'Equipment List &amp; Usage'!$AB22*SelfQuarantine_Mild)+('Weekly Summary'!AE$101*'Equipment List &amp; Usage'!$AB22*SelfQuarantine_Moderate)))+IF('Equipment List &amp; Usage'!$F22="Yes",('Equipment List &amp; Usage'!$C$114*(IF('Equipment List &amp; Usage'!$AE22&gt;0,'Weekly Summary'!AE$134,0)+IF('Equipment List &amp; Usage'!$AF22&gt;0,'Weekly Summary'!AE$135))),'Equipment List &amp; Usage'!$C$115*(('Weekly Summary'!AE$134*'Equipment List &amp; Usage'!$AE22)+('Weekly Summary'!AE$135*'Equipment List &amp; Usage'!$AF22)))),0)</f>
        <v>0</v>
      </c>
      <c r="AL20" s="1374">
        <f ca="1">MAX(IF($F20="Yes",(
IF($F20="yes",MMULT(--('Equipment List &amp; Usage'!$J22:$N22&gt;0),--('Weekly Summary'!AF$112:AF$116))*'Equipment List &amp; Usage'!$C$114,MMULT(--('Equipment List &amp; Usage'!$J22:$N22),--('Weekly Summary'!AF$112:AF$116))*'Equipment List &amp; Usage'!$C$115)+IF('Equipment List &amp; Usage'!$F21="yes",'Equipment List &amp; Usage'!$C$114,'Equipment List &amp; Usage'!$C$115)*(('Weekly Summary'!AF$66*'Equipment List &amp; Usage'!$Q22)+('Weekly Summary'!AF$64*'Equipment List &amp; Usage'!$O22)+('Weekly Summary'!AF$65*'Equipment List &amp; Usage'!$P22)))+(IF('Equipment List &amp; Usage'!$F22="Yes",'Equipment List &amp; Usage'!$C$114*((('Weekly Summary'!AF$131*SelfQuarantine_Mild)+('Weekly Summary'!AF$100*SelfQuarantine_Mild)+('Weekly Summary'!AF$101*SelfQuarantine_Moderate))),'Equipment List &amp; Usage'!$C$115)*((('Weekly Summary'!AF$131*SelfQuarantine_Mild*'Equipment List &amp; Usage'!$W22)+('Weekly Summary'!AF$100*SelfQuarantine_Mild*'Equipment List &amp; Usage'!$X22)+('Weekly Summary'!AF$101*SelfQuarantine_Moderate*'Equipment List &amp; Usage'!$X22)))+IF('Equipment List &amp; Usage'!$F22="Yes",'Equipment List &amp; Usage'!$C$114*(IF('Equipment List &amp; Usage'!$AA22&gt;0,'Weekly Summary'!AF$128,0)+IF('Equipment List &amp; Usage'!$AB22&gt;0,'Weekly Summary'!AF$100+'Weekly Summary'!AF$101,0)),'Equipment List &amp; Usage'!$C$115*(('Weekly Summary'!AF$128*'Equipment List &amp; Usage'!$AA22)+('Weekly Summary'!AF$100*'Equipment List &amp; Usage'!$AB22*SelfQuarantine_Mild)+('Weekly Summary'!AF$101*'Equipment List &amp; Usage'!$AB22*SelfQuarantine_Moderate)))+IF('Equipment List &amp; Usage'!$F22="Yes",('Equipment List &amp; Usage'!$C$114*(IF('Equipment List &amp; Usage'!$AE22&gt;0,'Weekly Summary'!AF$134,0)+IF('Equipment List &amp; Usage'!$AF22&gt;0,'Weekly Summary'!AF$135))),'Equipment List &amp; Usage'!$C$115*(('Weekly Summary'!AF$134*'Equipment List &amp; Usage'!$AE22)+('Weekly Summary'!AF$135*'Equipment List &amp; Usage'!$AF22))))-SUM($I20:AK20),
IF($F20="yes",MMULT(--('Equipment List &amp; Usage'!$J22:$N22&gt;0),--('Weekly Summary'!AF$112:AF$116))*'Equipment List &amp; Usage'!$C$114,MMULT(--('Equipment List &amp; Usage'!$J22:$N22),--('Weekly Summary'!AF$112:AF$116))*'Equipment List &amp; Usage'!$C$115)+IF('Equipment List &amp; Usage'!$F21="yes",'Equipment List &amp; Usage'!$C$114,'Equipment List &amp; Usage'!$C$115)*(('Weekly Summary'!AF$66*'Equipment List &amp; Usage'!$Q22)+('Weekly Summary'!AF$64*'Equipment List &amp; Usage'!$O22)+('Weekly Summary'!AF$65*'Equipment List &amp; Usage'!$P22))+(IF('Equipment List &amp; Usage'!$F22="Yes",'Equipment List &amp; Usage'!$C$114*((('Weekly Summary'!AF$131*SelfQuarantine_Mild)+('Weekly Summary'!AF$100*SelfQuarantine_Mild)+('Weekly Summary'!AF$101*SelfQuarantine_Moderate))),'Equipment List &amp; Usage'!$C$115)*((('Weekly Summary'!AF$131*SelfQuarantine_Mild*'Equipment List &amp; Usage'!$W22)+('Weekly Summary'!AF$100*SelfQuarantine_Mild*'Equipment List &amp; Usage'!$X22)+('Weekly Summary'!AF$101*SelfQuarantine_Moderate*'Equipment List &amp; Usage'!$X22))))+IF('Equipment List &amp; Usage'!$F22="Yes",'Equipment List &amp; Usage'!$C$114*(IF('Equipment List &amp; Usage'!$AA22&gt;0,'Weekly Summary'!AF$128,0)+IF('Equipment List &amp; Usage'!$AB22&gt;0,'Weekly Summary'!AF$100+'Weekly Summary'!AF$101,0)),'Equipment List &amp; Usage'!$C$115*(('Weekly Summary'!AF$128*'Equipment List &amp; Usage'!$AA22)+('Weekly Summary'!AF$100*'Equipment List &amp; Usage'!$AB22*SelfQuarantine_Mild)+('Weekly Summary'!AF$101*'Equipment List &amp; Usage'!$AB22*SelfQuarantine_Moderate)))+IF('Equipment List &amp; Usage'!$F22="Yes",('Equipment List &amp; Usage'!$C$114*(IF('Equipment List &amp; Usage'!$AE22&gt;0,'Weekly Summary'!AF$134,0)+IF('Equipment List &amp; Usage'!$AF22&gt;0,'Weekly Summary'!AF$135))),'Equipment List &amp; Usage'!$C$115*(('Weekly Summary'!AF$134*'Equipment List &amp; Usage'!$AE22)+('Weekly Summary'!AF$135*'Equipment List &amp; Usage'!$AF22)))),0)</f>
        <v>0</v>
      </c>
      <c r="AM20" s="1374">
        <f ca="1">MAX(IF($F20="Yes",(
IF($F20="yes",MMULT(--('Equipment List &amp; Usage'!$J22:$N22&gt;0),--('Weekly Summary'!AG$112:AG$116))*'Equipment List &amp; Usage'!$C$114,MMULT(--('Equipment List &amp; Usage'!$J22:$N22),--('Weekly Summary'!AG$112:AG$116))*'Equipment List &amp; Usage'!$C$115)+IF('Equipment List &amp; Usage'!$F21="yes",'Equipment List &amp; Usage'!$C$114,'Equipment List &amp; Usage'!$C$115)*(('Weekly Summary'!AG$66*'Equipment List &amp; Usage'!$Q22)+('Weekly Summary'!AG$64*'Equipment List &amp; Usage'!$O22)+('Weekly Summary'!AG$65*'Equipment List &amp; Usage'!$P22)))+(IF('Equipment List &amp; Usage'!$F22="Yes",'Equipment List &amp; Usage'!$C$114*((('Weekly Summary'!AG$131*SelfQuarantine_Mild)+('Weekly Summary'!AG$100*SelfQuarantine_Mild)+('Weekly Summary'!AG$101*SelfQuarantine_Moderate))),'Equipment List &amp; Usage'!$C$115)*((('Weekly Summary'!AG$131*SelfQuarantine_Mild*'Equipment List &amp; Usage'!$W22)+('Weekly Summary'!AG$100*SelfQuarantine_Mild*'Equipment List &amp; Usage'!$X22)+('Weekly Summary'!AG$101*SelfQuarantine_Moderate*'Equipment List &amp; Usage'!$X22)))+IF('Equipment List &amp; Usage'!$F22="Yes",'Equipment List &amp; Usage'!$C$114*(IF('Equipment List &amp; Usage'!$AA22&gt;0,'Weekly Summary'!AG$128,0)+IF('Equipment List &amp; Usage'!$AB22&gt;0,'Weekly Summary'!AG$100+'Weekly Summary'!AG$101,0)),'Equipment List &amp; Usage'!$C$115*(('Weekly Summary'!AG$128*'Equipment List &amp; Usage'!$AA22)+('Weekly Summary'!AG$100*'Equipment List &amp; Usage'!$AB22*SelfQuarantine_Mild)+('Weekly Summary'!AG$101*'Equipment List &amp; Usage'!$AB22*SelfQuarantine_Moderate)))+IF('Equipment List &amp; Usage'!$F22="Yes",('Equipment List &amp; Usage'!$C$114*(IF('Equipment List &amp; Usage'!$AE22&gt;0,'Weekly Summary'!AG$134,0)+IF('Equipment List &amp; Usage'!$AF22&gt;0,'Weekly Summary'!AG$135))),'Equipment List &amp; Usage'!$C$115*(('Weekly Summary'!AG$134*'Equipment List &amp; Usage'!$AE22)+('Weekly Summary'!AG$135*'Equipment List &amp; Usage'!$AF22))))-SUM($I20:AL20),
IF($F20="yes",MMULT(--('Equipment List &amp; Usage'!$J22:$N22&gt;0),--('Weekly Summary'!AG$112:AG$116))*'Equipment List &amp; Usage'!$C$114,MMULT(--('Equipment List &amp; Usage'!$J22:$N22),--('Weekly Summary'!AG$112:AG$116))*'Equipment List &amp; Usage'!$C$115)+IF('Equipment List &amp; Usage'!$F21="yes",'Equipment List &amp; Usage'!$C$114,'Equipment List &amp; Usage'!$C$115)*(('Weekly Summary'!AG$66*'Equipment List &amp; Usage'!$Q22)+('Weekly Summary'!AG$64*'Equipment List &amp; Usage'!$O22)+('Weekly Summary'!AG$65*'Equipment List &amp; Usage'!$P22))+(IF('Equipment List &amp; Usage'!$F22="Yes",'Equipment List &amp; Usage'!$C$114*((('Weekly Summary'!AG$131*SelfQuarantine_Mild)+('Weekly Summary'!AG$100*SelfQuarantine_Mild)+('Weekly Summary'!AG$101*SelfQuarantine_Moderate))),'Equipment List &amp; Usage'!$C$115)*((('Weekly Summary'!AG$131*SelfQuarantine_Mild*'Equipment List &amp; Usage'!$W22)+('Weekly Summary'!AG$100*SelfQuarantine_Mild*'Equipment List &amp; Usage'!$X22)+('Weekly Summary'!AG$101*SelfQuarantine_Moderate*'Equipment List &amp; Usage'!$X22))))+IF('Equipment List &amp; Usage'!$F22="Yes",'Equipment List &amp; Usage'!$C$114*(IF('Equipment List &amp; Usage'!$AA22&gt;0,'Weekly Summary'!AG$128,0)+IF('Equipment List &amp; Usage'!$AB22&gt;0,'Weekly Summary'!AG$100+'Weekly Summary'!AG$101,0)),'Equipment List &amp; Usage'!$C$115*(('Weekly Summary'!AG$128*'Equipment List &amp; Usage'!$AA22)+('Weekly Summary'!AG$100*'Equipment List &amp; Usage'!$AB22*SelfQuarantine_Mild)+('Weekly Summary'!AG$101*'Equipment List &amp; Usage'!$AB22*SelfQuarantine_Moderate)))+IF('Equipment List &amp; Usage'!$F22="Yes",('Equipment List &amp; Usage'!$C$114*(IF('Equipment List &amp; Usage'!$AE22&gt;0,'Weekly Summary'!AG$134,0)+IF('Equipment List &amp; Usage'!$AF22&gt;0,'Weekly Summary'!AG$135))),'Equipment List &amp; Usage'!$C$115*(('Weekly Summary'!AG$134*'Equipment List &amp; Usage'!$AE22)+('Weekly Summary'!AG$135*'Equipment List &amp; Usage'!$AF22)))),0)</f>
        <v>0</v>
      </c>
      <c r="AN20" s="1374">
        <f ca="1">MAX(IF($F20="Yes",(
IF($F20="yes",MMULT(--('Equipment List &amp; Usage'!$J22:$N22&gt;0),--('Weekly Summary'!AH$112:AH$116))*'Equipment List &amp; Usage'!$C$114,MMULT(--('Equipment List &amp; Usage'!$J22:$N22),--('Weekly Summary'!AH$112:AH$116))*'Equipment List &amp; Usage'!$C$115)+IF('Equipment List &amp; Usage'!$F21="yes",'Equipment List &amp; Usage'!$C$114,'Equipment List &amp; Usage'!$C$115)*(('Weekly Summary'!AH$66*'Equipment List &amp; Usage'!$Q22)+('Weekly Summary'!AH$64*'Equipment List &amp; Usage'!$O22)+('Weekly Summary'!AH$65*'Equipment List &amp; Usage'!$P22)))+(IF('Equipment List &amp; Usage'!$F22="Yes",'Equipment List &amp; Usage'!$C$114*((('Weekly Summary'!AH$131*SelfQuarantine_Mild)+('Weekly Summary'!AH$100*SelfQuarantine_Mild)+('Weekly Summary'!AH$101*SelfQuarantine_Moderate))),'Equipment List &amp; Usage'!$C$115)*((('Weekly Summary'!AH$131*SelfQuarantine_Mild*'Equipment List &amp; Usage'!$W22)+('Weekly Summary'!AH$100*SelfQuarantine_Mild*'Equipment List &amp; Usage'!$X22)+('Weekly Summary'!AH$101*SelfQuarantine_Moderate*'Equipment List &amp; Usage'!$X22)))+IF('Equipment List &amp; Usage'!$F22="Yes",'Equipment List &amp; Usage'!$C$114*(IF('Equipment List &amp; Usage'!$AA22&gt;0,'Weekly Summary'!AH$128,0)+IF('Equipment List &amp; Usage'!$AB22&gt;0,'Weekly Summary'!AH$100+'Weekly Summary'!AH$101,0)),'Equipment List &amp; Usage'!$C$115*(('Weekly Summary'!AH$128*'Equipment List &amp; Usage'!$AA22)+('Weekly Summary'!AH$100*'Equipment List &amp; Usage'!$AB22*SelfQuarantine_Mild)+('Weekly Summary'!AH$101*'Equipment List &amp; Usage'!$AB22*SelfQuarantine_Moderate)))+IF('Equipment List &amp; Usage'!$F22="Yes",('Equipment List &amp; Usage'!$C$114*(IF('Equipment List &amp; Usage'!$AE22&gt;0,'Weekly Summary'!AH$134,0)+IF('Equipment List &amp; Usage'!$AF22&gt;0,'Weekly Summary'!AH$135))),'Equipment List &amp; Usage'!$C$115*(('Weekly Summary'!AH$134*'Equipment List &amp; Usage'!$AE22)+('Weekly Summary'!AH$135*'Equipment List &amp; Usage'!$AF22))))-SUM($I20:AM20),
IF($F20="yes",MMULT(--('Equipment List &amp; Usage'!$J22:$N22&gt;0),--('Weekly Summary'!AH$112:AH$116))*'Equipment List &amp; Usage'!$C$114,MMULT(--('Equipment List &amp; Usage'!$J22:$N22),--('Weekly Summary'!AH$112:AH$116))*'Equipment List &amp; Usage'!$C$115)+IF('Equipment List &amp; Usage'!$F21="yes",'Equipment List &amp; Usage'!$C$114,'Equipment List &amp; Usage'!$C$115)*(('Weekly Summary'!AH$66*'Equipment List &amp; Usage'!$Q22)+('Weekly Summary'!AH$64*'Equipment List &amp; Usage'!$O22)+('Weekly Summary'!AH$65*'Equipment List &amp; Usage'!$P22))+(IF('Equipment List &amp; Usage'!$F22="Yes",'Equipment List &amp; Usage'!$C$114*((('Weekly Summary'!AH$131*SelfQuarantine_Mild)+('Weekly Summary'!AH$100*SelfQuarantine_Mild)+('Weekly Summary'!AH$101*SelfQuarantine_Moderate))),'Equipment List &amp; Usage'!$C$115)*((('Weekly Summary'!AH$131*SelfQuarantine_Mild*'Equipment List &amp; Usage'!$W22)+('Weekly Summary'!AH$100*SelfQuarantine_Mild*'Equipment List &amp; Usage'!$X22)+('Weekly Summary'!AH$101*SelfQuarantine_Moderate*'Equipment List &amp; Usage'!$X22))))+IF('Equipment List &amp; Usage'!$F22="Yes",'Equipment List &amp; Usage'!$C$114*(IF('Equipment List &amp; Usage'!$AA22&gt;0,'Weekly Summary'!AH$128,0)+IF('Equipment List &amp; Usage'!$AB22&gt;0,'Weekly Summary'!AH$100+'Weekly Summary'!AH$101,0)),'Equipment List &amp; Usage'!$C$115*(('Weekly Summary'!AH$128*'Equipment List &amp; Usage'!$AA22)+('Weekly Summary'!AH$100*'Equipment List &amp; Usage'!$AB22*SelfQuarantine_Mild)+('Weekly Summary'!AH$101*'Equipment List &amp; Usage'!$AB22*SelfQuarantine_Moderate)))+IF('Equipment List &amp; Usage'!$F22="Yes",('Equipment List &amp; Usage'!$C$114*(IF('Equipment List &amp; Usage'!$AE22&gt;0,'Weekly Summary'!AH$134,0)+IF('Equipment List &amp; Usage'!$AF22&gt;0,'Weekly Summary'!AH$135))),'Equipment List &amp; Usage'!$C$115*(('Weekly Summary'!AH$134*'Equipment List &amp; Usage'!$AE22)+('Weekly Summary'!AH$135*'Equipment List &amp; Usage'!$AF22)))),0)</f>
        <v>0</v>
      </c>
      <c r="AO20" s="1374">
        <f ca="1">MAX(IF($F20="Yes",(
IF($F20="yes",MMULT(--('Equipment List &amp; Usage'!$J22:$N22&gt;0),--('Weekly Summary'!AI$112:AI$116))*'Equipment List &amp; Usage'!$C$114,MMULT(--('Equipment List &amp; Usage'!$J22:$N22),--('Weekly Summary'!AI$112:AI$116))*'Equipment List &amp; Usage'!$C$115)+IF('Equipment List &amp; Usage'!$F21="yes",'Equipment List &amp; Usage'!$C$114,'Equipment List &amp; Usage'!$C$115)*(('Weekly Summary'!AI$66*'Equipment List &amp; Usage'!$Q22)+('Weekly Summary'!AI$64*'Equipment List &amp; Usage'!$O22)+('Weekly Summary'!AI$65*'Equipment List &amp; Usage'!$P22)))+(IF('Equipment List &amp; Usage'!$F22="Yes",'Equipment List &amp; Usage'!$C$114*((('Weekly Summary'!AI$131*SelfQuarantine_Mild)+('Weekly Summary'!AI$100*SelfQuarantine_Mild)+('Weekly Summary'!AI$101*SelfQuarantine_Moderate))),'Equipment List &amp; Usage'!$C$115)*((('Weekly Summary'!AI$131*SelfQuarantine_Mild*'Equipment List &amp; Usage'!$W22)+('Weekly Summary'!AI$100*SelfQuarantine_Mild*'Equipment List &amp; Usage'!$X22)+('Weekly Summary'!AI$101*SelfQuarantine_Moderate*'Equipment List &amp; Usage'!$X22)))+IF('Equipment List &amp; Usage'!$F22="Yes",'Equipment List &amp; Usage'!$C$114*(IF('Equipment List &amp; Usage'!$AA22&gt;0,'Weekly Summary'!AI$128,0)+IF('Equipment List &amp; Usage'!$AB22&gt;0,'Weekly Summary'!AI$100+'Weekly Summary'!AI$101,0)),'Equipment List &amp; Usage'!$C$115*(('Weekly Summary'!AI$128*'Equipment List &amp; Usage'!$AA22)+('Weekly Summary'!AI$100*'Equipment List &amp; Usage'!$AB22*SelfQuarantine_Mild)+('Weekly Summary'!AI$101*'Equipment List &amp; Usage'!$AB22*SelfQuarantine_Moderate)))+IF('Equipment List &amp; Usage'!$F22="Yes",('Equipment List &amp; Usage'!$C$114*(IF('Equipment List &amp; Usage'!$AE22&gt;0,'Weekly Summary'!AI$134,0)+IF('Equipment List &amp; Usage'!$AF22&gt;0,'Weekly Summary'!AI$135))),'Equipment List &amp; Usage'!$C$115*(('Weekly Summary'!AI$134*'Equipment List &amp; Usage'!$AE22)+('Weekly Summary'!AI$135*'Equipment List &amp; Usage'!$AF22))))-SUM($I20:AN20),
IF($F20="yes",MMULT(--('Equipment List &amp; Usage'!$J22:$N22&gt;0),--('Weekly Summary'!AI$112:AI$116))*'Equipment List &amp; Usage'!$C$114,MMULT(--('Equipment List &amp; Usage'!$J22:$N22),--('Weekly Summary'!AI$112:AI$116))*'Equipment List &amp; Usage'!$C$115)+IF('Equipment List &amp; Usage'!$F21="yes",'Equipment List &amp; Usage'!$C$114,'Equipment List &amp; Usage'!$C$115)*(('Weekly Summary'!AI$66*'Equipment List &amp; Usage'!$Q22)+('Weekly Summary'!AI$64*'Equipment List &amp; Usage'!$O22)+('Weekly Summary'!AI$65*'Equipment List &amp; Usage'!$P22))+(IF('Equipment List &amp; Usage'!$F22="Yes",'Equipment List &amp; Usage'!$C$114*((('Weekly Summary'!AI$131*SelfQuarantine_Mild)+('Weekly Summary'!AI$100*SelfQuarantine_Mild)+('Weekly Summary'!AI$101*SelfQuarantine_Moderate))),'Equipment List &amp; Usage'!$C$115)*((('Weekly Summary'!AI$131*SelfQuarantine_Mild*'Equipment List &amp; Usage'!$W22)+('Weekly Summary'!AI$100*SelfQuarantine_Mild*'Equipment List &amp; Usage'!$X22)+('Weekly Summary'!AI$101*SelfQuarantine_Moderate*'Equipment List &amp; Usage'!$X22))))+IF('Equipment List &amp; Usage'!$F22="Yes",'Equipment List &amp; Usage'!$C$114*(IF('Equipment List &amp; Usage'!$AA22&gt;0,'Weekly Summary'!AI$128,0)+IF('Equipment List &amp; Usage'!$AB22&gt;0,'Weekly Summary'!AI$100+'Weekly Summary'!AI$101,0)),'Equipment List &amp; Usage'!$C$115*(('Weekly Summary'!AI$128*'Equipment List &amp; Usage'!$AA22)+('Weekly Summary'!AI$100*'Equipment List &amp; Usage'!$AB22*SelfQuarantine_Mild)+('Weekly Summary'!AI$101*'Equipment List &amp; Usage'!$AB22*SelfQuarantine_Moderate)))+IF('Equipment List &amp; Usage'!$F22="Yes",('Equipment List &amp; Usage'!$C$114*(IF('Equipment List &amp; Usage'!$AE22&gt;0,'Weekly Summary'!AI$134,0)+IF('Equipment List &amp; Usage'!$AF22&gt;0,'Weekly Summary'!AI$135))),'Equipment List &amp; Usage'!$C$115*(('Weekly Summary'!AI$134*'Equipment List &amp; Usage'!$AE22)+('Weekly Summary'!AI$135*'Equipment List &amp; Usage'!$AF22)))),0)</f>
        <v>0</v>
      </c>
      <c r="AP20" s="1374">
        <f ca="1">MAX(IF($F20="Yes",(
IF($F20="yes",MMULT(--('Equipment List &amp; Usage'!$J22:$N22&gt;0),--('Weekly Summary'!AJ$112:AJ$116))*'Equipment List &amp; Usage'!$C$114,MMULT(--('Equipment List &amp; Usage'!$J22:$N22),--('Weekly Summary'!AJ$112:AJ$116))*'Equipment List &amp; Usage'!$C$115)+IF('Equipment List &amp; Usage'!$F21="yes",'Equipment List &amp; Usage'!$C$114,'Equipment List &amp; Usage'!$C$115)*(('Weekly Summary'!AJ$66*'Equipment List &amp; Usage'!$Q22)+('Weekly Summary'!AJ$64*'Equipment List &amp; Usage'!$O22)+('Weekly Summary'!AJ$65*'Equipment List &amp; Usage'!$P22)))+(IF('Equipment List &amp; Usage'!$F22="Yes",'Equipment List &amp; Usage'!$C$114*((('Weekly Summary'!AJ$131*SelfQuarantine_Mild)+('Weekly Summary'!AJ$100*SelfQuarantine_Mild)+('Weekly Summary'!AJ$101*SelfQuarantine_Moderate))),'Equipment List &amp; Usage'!$C$115)*((('Weekly Summary'!AJ$131*SelfQuarantine_Mild*'Equipment List &amp; Usage'!$W22)+('Weekly Summary'!AJ$100*SelfQuarantine_Mild*'Equipment List &amp; Usage'!$X22)+('Weekly Summary'!AJ$101*SelfQuarantine_Moderate*'Equipment List &amp; Usage'!$X22)))+IF('Equipment List &amp; Usage'!$F22="Yes",'Equipment List &amp; Usage'!$C$114*(IF('Equipment List &amp; Usage'!$AA22&gt;0,'Weekly Summary'!AJ$128,0)+IF('Equipment List &amp; Usage'!$AB22&gt;0,'Weekly Summary'!AJ$100+'Weekly Summary'!AJ$101,0)),'Equipment List &amp; Usage'!$C$115*(('Weekly Summary'!AJ$128*'Equipment List &amp; Usage'!$AA22)+('Weekly Summary'!AJ$100*'Equipment List &amp; Usage'!$AB22*SelfQuarantine_Mild)+('Weekly Summary'!AJ$101*'Equipment List &amp; Usage'!$AB22*SelfQuarantine_Moderate)))+IF('Equipment List &amp; Usage'!$F22="Yes",('Equipment List &amp; Usage'!$C$114*(IF('Equipment List &amp; Usage'!$AE22&gt;0,'Weekly Summary'!AJ$134,0)+IF('Equipment List &amp; Usage'!$AF22&gt;0,'Weekly Summary'!AJ$135))),'Equipment List &amp; Usage'!$C$115*(('Weekly Summary'!AJ$134*'Equipment List &amp; Usage'!$AE22)+('Weekly Summary'!AJ$135*'Equipment List &amp; Usage'!$AF22))))-SUM($I20:AO20),
IF($F20="yes",MMULT(--('Equipment List &amp; Usage'!$J22:$N22&gt;0),--('Weekly Summary'!AJ$112:AJ$116))*'Equipment List &amp; Usage'!$C$114,MMULT(--('Equipment List &amp; Usage'!$J22:$N22),--('Weekly Summary'!AJ$112:AJ$116))*'Equipment List &amp; Usage'!$C$115)+IF('Equipment List &amp; Usage'!$F21="yes",'Equipment List &amp; Usage'!$C$114,'Equipment List &amp; Usage'!$C$115)*(('Weekly Summary'!AJ$66*'Equipment List &amp; Usage'!$Q22)+('Weekly Summary'!AJ$64*'Equipment List &amp; Usage'!$O22)+('Weekly Summary'!AJ$65*'Equipment List &amp; Usage'!$P22))+(IF('Equipment List &amp; Usage'!$F22="Yes",'Equipment List &amp; Usage'!$C$114*((('Weekly Summary'!AJ$131*SelfQuarantine_Mild)+('Weekly Summary'!AJ$100*SelfQuarantine_Mild)+('Weekly Summary'!AJ$101*SelfQuarantine_Moderate))),'Equipment List &amp; Usage'!$C$115)*((('Weekly Summary'!AJ$131*SelfQuarantine_Mild*'Equipment List &amp; Usage'!$W22)+('Weekly Summary'!AJ$100*SelfQuarantine_Mild*'Equipment List &amp; Usage'!$X22)+('Weekly Summary'!AJ$101*SelfQuarantine_Moderate*'Equipment List &amp; Usage'!$X22))))+IF('Equipment List &amp; Usage'!$F22="Yes",'Equipment List &amp; Usage'!$C$114*(IF('Equipment List &amp; Usage'!$AA22&gt;0,'Weekly Summary'!AJ$128,0)+IF('Equipment List &amp; Usage'!$AB22&gt;0,'Weekly Summary'!AJ$100+'Weekly Summary'!AJ$101,0)),'Equipment List &amp; Usage'!$C$115*(('Weekly Summary'!AJ$128*'Equipment List &amp; Usage'!$AA22)+('Weekly Summary'!AJ$100*'Equipment List &amp; Usage'!$AB22*SelfQuarantine_Mild)+('Weekly Summary'!AJ$101*'Equipment List &amp; Usage'!$AB22*SelfQuarantine_Moderate)))+IF('Equipment List &amp; Usage'!$F22="Yes",('Equipment List &amp; Usage'!$C$114*(IF('Equipment List &amp; Usage'!$AE22&gt;0,'Weekly Summary'!AJ$134,0)+IF('Equipment List &amp; Usage'!$AF22&gt;0,'Weekly Summary'!AJ$135))),'Equipment List &amp; Usage'!$C$115*(('Weekly Summary'!AJ$134*'Equipment List &amp; Usage'!$AE22)+('Weekly Summary'!AJ$135*'Equipment List &amp; Usage'!$AF22)))),0)</f>
        <v>0</v>
      </c>
      <c r="AQ20" s="1374">
        <f ca="1">MAX(IF($F20="Yes",(
IF($F20="yes",MMULT(--('Equipment List &amp; Usage'!$J22:$N22&gt;0),--('Weekly Summary'!AK$112:AK$116))*'Equipment List &amp; Usage'!$C$114,MMULT(--('Equipment List &amp; Usage'!$J22:$N22),--('Weekly Summary'!AK$112:AK$116))*'Equipment List &amp; Usage'!$C$115)+IF('Equipment List &amp; Usage'!$F21="yes",'Equipment List &amp; Usage'!$C$114,'Equipment List &amp; Usage'!$C$115)*(('Weekly Summary'!AK$66*'Equipment List &amp; Usage'!$Q22)+('Weekly Summary'!AK$64*'Equipment List &amp; Usage'!$O22)+('Weekly Summary'!AK$65*'Equipment List &amp; Usage'!$P22)))+(IF('Equipment List &amp; Usage'!$F22="Yes",'Equipment List &amp; Usage'!$C$114*((('Weekly Summary'!AK$131*SelfQuarantine_Mild)+('Weekly Summary'!AK$100*SelfQuarantine_Mild)+('Weekly Summary'!AK$101*SelfQuarantine_Moderate))),'Equipment List &amp; Usage'!$C$115)*((('Weekly Summary'!AK$131*SelfQuarantine_Mild*'Equipment List &amp; Usage'!$W22)+('Weekly Summary'!AK$100*SelfQuarantine_Mild*'Equipment List &amp; Usage'!$X22)+('Weekly Summary'!AK$101*SelfQuarantine_Moderate*'Equipment List &amp; Usage'!$X22)))+IF('Equipment List &amp; Usage'!$F22="Yes",'Equipment List &amp; Usage'!$C$114*(IF('Equipment List &amp; Usage'!$AA22&gt;0,'Weekly Summary'!AK$128,0)+IF('Equipment List &amp; Usage'!$AB22&gt;0,'Weekly Summary'!AK$100+'Weekly Summary'!AK$101,0)),'Equipment List &amp; Usage'!$C$115*(('Weekly Summary'!AK$128*'Equipment List &amp; Usage'!$AA22)+('Weekly Summary'!AK$100*'Equipment List &amp; Usage'!$AB22*SelfQuarantine_Mild)+('Weekly Summary'!AK$101*'Equipment List &amp; Usage'!$AB22*SelfQuarantine_Moderate)))+IF('Equipment List &amp; Usage'!$F22="Yes",('Equipment List &amp; Usage'!$C$114*(IF('Equipment List &amp; Usage'!$AE22&gt;0,'Weekly Summary'!AK$134,0)+IF('Equipment List &amp; Usage'!$AF22&gt;0,'Weekly Summary'!AK$135))),'Equipment List &amp; Usage'!$C$115*(('Weekly Summary'!AK$134*'Equipment List &amp; Usage'!$AE22)+('Weekly Summary'!AK$135*'Equipment List &amp; Usage'!$AF22))))-SUM($I20:AP20),
IF($F20="yes",MMULT(--('Equipment List &amp; Usage'!$J22:$N22&gt;0),--('Weekly Summary'!AK$112:AK$116))*'Equipment List &amp; Usage'!$C$114,MMULT(--('Equipment List &amp; Usage'!$J22:$N22),--('Weekly Summary'!AK$112:AK$116))*'Equipment List &amp; Usage'!$C$115)+IF('Equipment List &amp; Usage'!$F21="yes",'Equipment List &amp; Usage'!$C$114,'Equipment List &amp; Usage'!$C$115)*(('Weekly Summary'!AK$66*'Equipment List &amp; Usage'!$Q22)+('Weekly Summary'!AK$64*'Equipment List &amp; Usage'!$O22)+('Weekly Summary'!AK$65*'Equipment List &amp; Usage'!$P22))+(IF('Equipment List &amp; Usage'!$F22="Yes",'Equipment List &amp; Usage'!$C$114*((('Weekly Summary'!AK$131*SelfQuarantine_Mild)+('Weekly Summary'!AK$100*SelfQuarantine_Mild)+('Weekly Summary'!AK$101*SelfQuarantine_Moderate))),'Equipment List &amp; Usage'!$C$115)*((('Weekly Summary'!AK$131*SelfQuarantine_Mild*'Equipment List &amp; Usage'!$W22)+('Weekly Summary'!AK$100*SelfQuarantine_Mild*'Equipment List &amp; Usage'!$X22)+('Weekly Summary'!AK$101*SelfQuarantine_Moderate*'Equipment List &amp; Usage'!$X22))))+IF('Equipment List &amp; Usage'!$F22="Yes",'Equipment List &amp; Usage'!$C$114*(IF('Equipment List &amp; Usage'!$AA22&gt;0,'Weekly Summary'!AK$128,0)+IF('Equipment List &amp; Usage'!$AB22&gt;0,'Weekly Summary'!AK$100+'Weekly Summary'!AK$101,0)),'Equipment List &amp; Usage'!$C$115*(('Weekly Summary'!AK$128*'Equipment List &amp; Usage'!$AA22)+('Weekly Summary'!AK$100*'Equipment List &amp; Usage'!$AB22*SelfQuarantine_Mild)+('Weekly Summary'!AK$101*'Equipment List &amp; Usage'!$AB22*SelfQuarantine_Moderate)))+IF('Equipment List &amp; Usage'!$F22="Yes",('Equipment List &amp; Usage'!$C$114*(IF('Equipment List &amp; Usage'!$AE22&gt;0,'Weekly Summary'!AK$134,0)+IF('Equipment List &amp; Usage'!$AF22&gt;0,'Weekly Summary'!AK$135))),'Equipment List &amp; Usage'!$C$115*(('Weekly Summary'!AK$134*'Equipment List &amp; Usage'!$AE22)+('Weekly Summary'!AK$135*'Equipment List &amp; Usage'!$AF22)))),0)</f>
        <v>0</v>
      </c>
      <c r="AR20" s="1374">
        <f ca="1">MAX(IF($F20="Yes",(
IF($F20="yes",MMULT(--('Equipment List &amp; Usage'!$J22:$N22&gt;0),--('Weekly Summary'!AL$112:AL$116))*'Equipment List &amp; Usage'!$C$114,MMULT(--('Equipment List &amp; Usage'!$J22:$N22),--('Weekly Summary'!AL$112:AL$116))*'Equipment List &amp; Usage'!$C$115)+IF('Equipment List &amp; Usage'!$F21="yes",'Equipment List &amp; Usage'!$C$114,'Equipment List &amp; Usage'!$C$115)*(('Weekly Summary'!AL$66*'Equipment List &amp; Usage'!$Q22)+('Weekly Summary'!AL$64*'Equipment List &amp; Usage'!$O22)+('Weekly Summary'!AL$65*'Equipment List &amp; Usage'!$P22)))+(IF('Equipment List &amp; Usage'!$F22="Yes",'Equipment List &amp; Usage'!$C$114*((('Weekly Summary'!AL$131*SelfQuarantine_Mild)+('Weekly Summary'!AL$100*SelfQuarantine_Mild)+('Weekly Summary'!AL$101*SelfQuarantine_Moderate))),'Equipment List &amp; Usage'!$C$115)*((('Weekly Summary'!AL$131*SelfQuarantine_Mild*'Equipment List &amp; Usage'!$W22)+('Weekly Summary'!AL$100*SelfQuarantine_Mild*'Equipment List &amp; Usage'!$X22)+('Weekly Summary'!AL$101*SelfQuarantine_Moderate*'Equipment List &amp; Usage'!$X22)))+IF('Equipment List &amp; Usage'!$F22="Yes",'Equipment List &amp; Usage'!$C$114*(IF('Equipment List &amp; Usage'!$AA22&gt;0,'Weekly Summary'!AL$128,0)+IF('Equipment List &amp; Usage'!$AB22&gt;0,'Weekly Summary'!AL$100+'Weekly Summary'!AL$101,0)),'Equipment List &amp; Usage'!$C$115*(('Weekly Summary'!AL$128*'Equipment List &amp; Usage'!$AA22)+('Weekly Summary'!AL$100*'Equipment List &amp; Usage'!$AB22*SelfQuarantine_Mild)+('Weekly Summary'!AL$101*'Equipment List &amp; Usage'!$AB22*SelfQuarantine_Moderate)))+IF('Equipment List &amp; Usage'!$F22="Yes",('Equipment List &amp; Usage'!$C$114*(IF('Equipment List &amp; Usage'!$AE22&gt;0,'Weekly Summary'!AL$134,0)+IF('Equipment List &amp; Usage'!$AF22&gt;0,'Weekly Summary'!AL$135))),'Equipment List &amp; Usage'!$C$115*(('Weekly Summary'!AL$134*'Equipment List &amp; Usage'!$AE22)+('Weekly Summary'!AL$135*'Equipment List &amp; Usage'!$AF22))))-SUM($I20:AQ20),
IF($F20="yes",MMULT(--('Equipment List &amp; Usage'!$J22:$N22&gt;0),--('Weekly Summary'!AL$112:AL$116))*'Equipment List &amp; Usage'!$C$114,MMULT(--('Equipment List &amp; Usage'!$J22:$N22),--('Weekly Summary'!AL$112:AL$116))*'Equipment List &amp; Usage'!$C$115)+IF('Equipment List &amp; Usage'!$F21="yes",'Equipment List &amp; Usage'!$C$114,'Equipment List &amp; Usage'!$C$115)*(('Weekly Summary'!AL$66*'Equipment List &amp; Usage'!$Q22)+('Weekly Summary'!AL$64*'Equipment List &amp; Usage'!$O22)+('Weekly Summary'!AL$65*'Equipment List &amp; Usage'!$P22))+(IF('Equipment List &amp; Usage'!$F22="Yes",'Equipment List &amp; Usage'!$C$114*((('Weekly Summary'!AL$131*SelfQuarantine_Mild)+('Weekly Summary'!AL$100*SelfQuarantine_Mild)+('Weekly Summary'!AL$101*SelfQuarantine_Moderate))),'Equipment List &amp; Usage'!$C$115)*((('Weekly Summary'!AL$131*SelfQuarantine_Mild*'Equipment List &amp; Usage'!$W22)+('Weekly Summary'!AL$100*SelfQuarantine_Mild*'Equipment List &amp; Usage'!$X22)+('Weekly Summary'!AL$101*SelfQuarantine_Moderate*'Equipment List &amp; Usage'!$X22))))+IF('Equipment List &amp; Usage'!$F22="Yes",'Equipment List &amp; Usage'!$C$114*(IF('Equipment List &amp; Usage'!$AA22&gt;0,'Weekly Summary'!AL$128,0)+IF('Equipment List &amp; Usage'!$AB22&gt;0,'Weekly Summary'!AL$100+'Weekly Summary'!AL$101,0)),'Equipment List &amp; Usage'!$C$115*(('Weekly Summary'!AL$128*'Equipment List &amp; Usage'!$AA22)+('Weekly Summary'!AL$100*'Equipment List &amp; Usage'!$AB22*SelfQuarantine_Mild)+('Weekly Summary'!AL$101*'Equipment List &amp; Usage'!$AB22*SelfQuarantine_Moderate)))+IF('Equipment List &amp; Usage'!$F22="Yes",('Equipment List &amp; Usage'!$C$114*(IF('Equipment List &amp; Usage'!$AE22&gt;0,'Weekly Summary'!AL$134,0)+IF('Equipment List &amp; Usage'!$AF22&gt;0,'Weekly Summary'!AL$135))),'Equipment List &amp; Usage'!$C$115*(('Weekly Summary'!AL$134*'Equipment List &amp; Usage'!$AE22)+('Weekly Summary'!AL$135*'Equipment List &amp; Usage'!$AF22)))),0)</f>
        <v>0</v>
      </c>
      <c r="AS20" s="1374">
        <f ca="1">MAX(IF($F20="Yes",(
IF($F20="yes",MMULT(--('Equipment List &amp; Usage'!$J22:$N22&gt;0),--('Weekly Summary'!AM$112:AM$116))*'Equipment List &amp; Usage'!$C$114,MMULT(--('Equipment List &amp; Usage'!$J22:$N22),--('Weekly Summary'!AM$112:AM$116))*'Equipment List &amp; Usage'!$C$115)+IF('Equipment List &amp; Usage'!$F21="yes",'Equipment List &amp; Usage'!$C$114,'Equipment List &amp; Usage'!$C$115)*(('Weekly Summary'!AM$66*'Equipment List &amp; Usage'!$Q22)+('Weekly Summary'!AM$64*'Equipment List &amp; Usage'!$O22)+('Weekly Summary'!AM$65*'Equipment List &amp; Usage'!$P22)))+(IF('Equipment List &amp; Usage'!$F22="Yes",'Equipment List &amp; Usage'!$C$114*((('Weekly Summary'!AM$131*SelfQuarantine_Mild)+('Weekly Summary'!AM$100*SelfQuarantine_Mild)+('Weekly Summary'!AM$101*SelfQuarantine_Moderate))),'Equipment List &amp; Usage'!$C$115)*((('Weekly Summary'!AM$131*SelfQuarantine_Mild*'Equipment List &amp; Usage'!$W22)+('Weekly Summary'!AM$100*SelfQuarantine_Mild*'Equipment List &amp; Usage'!$X22)+('Weekly Summary'!AM$101*SelfQuarantine_Moderate*'Equipment List &amp; Usage'!$X22)))+IF('Equipment List &amp; Usage'!$F22="Yes",'Equipment List &amp; Usage'!$C$114*(IF('Equipment List &amp; Usage'!$AA22&gt;0,'Weekly Summary'!AM$128,0)+IF('Equipment List &amp; Usage'!$AB22&gt;0,'Weekly Summary'!AM$100+'Weekly Summary'!AM$101,0)),'Equipment List &amp; Usage'!$C$115*(('Weekly Summary'!AM$128*'Equipment List &amp; Usage'!$AA22)+('Weekly Summary'!AM$100*'Equipment List &amp; Usage'!$AB22*SelfQuarantine_Mild)+('Weekly Summary'!AM$101*'Equipment List &amp; Usage'!$AB22*SelfQuarantine_Moderate)))+IF('Equipment List &amp; Usage'!$F22="Yes",('Equipment List &amp; Usage'!$C$114*(IF('Equipment List &amp; Usage'!$AE22&gt;0,'Weekly Summary'!AM$134,0)+IF('Equipment List &amp; Usage'!$AF22&gt;0,'Weekly Summary'!AM$135))),'Equipment List &amp; Usage'!$C$115*(('Weekly Summary'!AM$134*'Equipment List &amp; Usage'!$AE22)+('Weekly Summary'!AM$135*'Equipment List &amp; Usage'!$AF22))))-SUM($I20:AR20),
IF($F20="yes",MMULT(--('Equipment List &amp; Usage'!$J22:$N22&gt;0),--('Weekly Summary'!AM$112:AM$116))*'Equipment List &amp; Usage'!$C$114,MMULT(--('Equipment List &amp; Usage'!$J22:$N22),--('Weekly Summary'!AM$112:AM$116))*'Equipment List &amp; Usage'!$C$115)+IF('Equipment List &amp; Usage'!$F21="yes",'Equipment List &amp; Usage'!$C$114,'Equipment List &amp; Usage'!$C$115)*(('Weekly Summary'!AM$66*'Equipment List &amp; Usage'!$Q22)+('Weekly Summary'!AM$64*'Equipment List &amp; Usage'!$O22)+('Weekly Summary'!AM$65*'Equipment List &amp; Usage'!$P22))+(IF('Equipment List &amp; Usage'!$F22="Yes",'Equipment List &amp; Usage'!$C$114*((('Weekly Summary'!AM$131*SelfQuarantine_Mild)+('Weekly Summary'!AM$100*SelfQuarantine_Mild)+('Weekly Summary'!AM$101*SelfQuarantine_Moderate))),'Equipment List &amp; Usage'!$C$115)*((('Weekly Summary'!AM$131*SelfQuarantine_Mild*'Equipment List &amp; Usage'!$W22)+('Weekly Summary'!AM$100*SelfQuarantine_Mild*'Equipment List &amp; Usage'!$X22)+('Weekly Summary'!AM$101*SelfQuarantine_Moderate*'Equipment List &amp; Usage'!$X22))))+IF('Equipment List &amp; Usage'!$F22="Yes",'Equipment List &amp; Usage'!$C$114*(IF('Equipment List &amp; Usage'!$AA22&gt;0,'Weekly Summary'!AM$128,0)+IF('Equipment List &amp; Usage'!$AB22&gt;0,'Weekly Summary'!AM$100+'Weekly Summary'!AM$101,0)),'Equipment List &amp; Usage'!$C$115*(('Weekly Summary'!AM$128*'Equipment List &amp; Usage'!$AA22)+('Weekly Summary'!AM$100*'Equipment List &amp; Usage'!$AB22*SelfQuarantine_Mild)+('Weekly Summary'!AM$101*'Equipment List &amp; Usage'!$AB22*SelfQuarantine_Moderate)))+IF('Equipment List &amp; Usage'!$F22="Yes",('Equipment List &amp; Usage'!$C$114*(IF('Equipment List &amp; Usage'!$AE22&gt;0,'Weekly Summary'!AM$134,0)+IF('Equipment List &amp; Usage'!$AF22&gt;0,'Weekly Summary'!AM$135))),'Equipment List &amp; Usage'!$C$115*(('Weekly Summary'!AM$134*'Equipment List &amp; Usage'!$AE22)+('Weekly Summary'!AM$135*'Equipment List &amp; Usage'!$AF22)))),0)</f>
        <v>0</v>
      </c>
      <c r="AT20" s="1374">
        <f ca="1">MAX(IF($F20="Yes",(
IF($F20="yes",MMULT(--('Equipment List &amp; Usage'!$J22:$N22&gt;0),--('Weekly Summary'!AN$112:AN$116))*'Equipment List &amp; Usage'!$C$114,MMULT(--('Equipment List &amp; Usage'!$J22:$N22),--('Weekly Summary'!AN$112:AN$116))*'Equipment List &amp; Usage'!$C$115)+IF('Equipment List &amp; Usage'!$F21="yes",'Equipment List &amp; Usage'!$C$114,'Equipment List &amp; Usage'!$C$115)*(('Weekly Summary'!AN$66*'Equipment List &amp; Usage'!$Q22)+('Weekly Summary'!AN$64*'Equipment List &amp; Usage'!$O22)+('Weekly Summary'!AN$65*'Equipment List &amp; Usage'!$P22)))+(IF('Equipment List &amp; Usage'!$F22="Yes",'Equipment List &amp; Usage'!$C$114*((('Weekly Summary'!AN$131*SelfQuarantine_Mild)+('Weekly Summary'!AN$100*SelfQuarantine_Mild)+('Weekly Summary'!AN$101*SelfQuarantine_Moderate))),'Equipment List &amp; Usage'!$C$115)*((('Weekly Summary'!AN$131*SelfQuarantine_Mild*'Equipment List &amp; Usage'!$W22)+('Weekly Summary'!AN$100*SelfQuarantine_Mild*'Equipment List &amp; Usage'!$X22)+('Weekly Summary'!AN$101*SelfQuarantine_Moderate*'Equipment List &amp; Usage'!$X22)))+IF('Equipment List &amp; Usage'!$F22="Yes",'Equipment List &amp; Usage'!$C$114*(IF('Equipment List &amp; Usage'!$AA22&gt;0,'Weekly Summary'!AN$128,0)+IF('Equipment List &amp; Usage'!$AB22&gt;0,'Weekly Summary'!AN$100+'Weekly Summary'!AN$101,0)),'Equipment List &amp; Usage'!$C$115*(('Weekly Summary'!AN$128*'Equipment List &amp; Usage'!$AA22)+('Weekly Summary'!AN$100*'Equipment List &amp; Usage'!$AB22*SelfQuarantine_Mild)+('Weekly Summary'!AN$101*'Equipment List &amp; Usage'!$AB22*SelfQuarantine_Moderate)))+IF('Equipment List &amp; Usage'!$F22="Yes",('Equipment List &amp; Usage'!$C$114*(IF('Equipment List &amp; Usage'!$AE22&gt;0,'Weekly Summary'!AN$134,0)+IF('Equipment List &amp; Usage'!$AF22&gt;0,'Weekly Summary'!AN$135))),'Equipment List &amp; Usage'!$C$115*(('Weekly Summary'!AN$134*'Equipment List &amp; Usage'!$AE22)+('Weekly Summary'!AN$135*'Equipment List &amp; Usage'!$AF22))))-SUM($I20:AS20),
IF($F20="yes",MMULT(--('Equipment List &amp; Usage'!$J22:$N22&gt;0),--('Weekly Summary'!AN$112:AN$116))*'Equipment List &amp; Usage'!$C$114,MMULT(--('Equipment List &amp; Usage'!$J22:$N22),--('Weekly Summary'!AN$112:AN$116))*'Equipment List &amp; Usage'!$C$115)+IF('Equipment List &amp; Usage'!$F21="yes",'Equipment List &amp; Usage'!$C$114,'Equipment List &amp; Usage'!$C$115)*(('Weekly Summary'!AN$66*'Equipment List &amp; Usage'!$Q22)+('Weekly Summary'!AN$64*'Equipment List &amp; Usage'!$O22)+('Weekly Summary'!AN$65*'Equipment List &amp; Usage'!$P22))+(IF('Equipment List &amp; Usage'!$F22="Yes",'Equipment List &amp; Usage'!$C$114*((('Weekly Summary'!AN$131*SelfQuarantine_Mild)+('Weekly Summary'!AN$100*SelfQuarantine_Mild)+('Weekly Summary'!AN$101*SelfQuarantine_Moderate))),'Equipment List &amp; Usage'!$C$115)*((('Weekly Summary'!AN$131*SelfQuarantine_Mild*'Equipment List &amp; Usage'!$W22)+('Weekly Summary'!AN$100*SelfQuarantine_Mild*'Equipment List &amp; Usage'!$X22)+('Weekly Summary'!AN$101*SelfQuarantine_Moderate*'Equipment List &amp; Usage'!$X22))))+IF('Equipment List &amp; Usage'!$F22="Yes",'Equipment List &amp; Usage'!$C$114*(IF('Equipment List &amp; Usage'!$AA22&gt;0,'Weekly Summary'!AN$128,0)+IF('Equipment List &amp; Usage'!$AB22&gt;0,'Weekly Summary'!AN$100+'Weekly Summary'!AN$101,0)),'Equipment List &amp; Usage'!$C$115*(('Weekly Summary'!AN$128*'Equipment List &amp; Usage'!$AA22)+('Weekly Summary'!AN$100*'Equipment List &amp; Usage'!$AB22*SelfQuarantine_Mild)+('Weekly Summary'!AN$101*'Equipment List &amp; Usage'!$AB22*SelfQuarantine_Moderate)))+IF('Equipment List &amp; Usage'!$F22="Yes",('Equipment List &amp; Usage'!$C$114*(IF('Equipment List &amp; Usage'!$AE22&gt;0,'Weekly Summary'!AN$134,0)+IF('Equipment List &amp; Usage'!$AF22&gt;0,'Weekly Summary'!AN$135))),'Equipment List &amp; Usage'!$C$115*(('Weekly Summary'!AN$134*'Equipment List &amp; Usage'!$AE22)+('Weekly Summary'!AN$135*'Equipment List &amp; Usage'!$AF22)))),0)</f>
        <v>0</v>
      </c>
      <c r="AU20" s="1374">
        <f ca="1">MAX(IF($F20="Yes",(
IF($F20="yes",MMULT(--('Equipment List &amp; Usage'!$J22:$N22&gt;0),--('Weekly Summary'!AO$112:AO$116))*'Equipment List &amp; Usage'!$C$114,MMULT(--('Equipment List &amp; Usage'!$J22:$N22),--('Weekly Summary'!AO$112:AO$116))*'Equipment List &amp; Usage'!$C$115)+IF('Equipment List &amp; Usage'!$F21="yes",'Equipment List &amp; Usage'!$C$114,'Equipment List &amp; Usage'!$C$115)*(('Weekly Summary'!AO$66*'Equipment List &amp; Usage'!$Q22)+('Weekly Summary'!AO$64*'Equipment List &amp; Usage'!$O22)+('Weekly Summary'!AO$65*'Equipment List &amp; Usage'!$P22)))+(IF('Equipment List &amp; Usage'!$F22="Yes",'Equipment List &amp; Usage'!$C$114*((('Weekly Summary'!AO$131*SelfQuarantine_Mild)+('Weekly Summary'!AO$100*SelfQuarantine_Mild)+('Weekly Summary'!AO$101*SelfQuarantine_Moderate))),'Equipment List &amp; Usage'!$C$115)*((('Weekly Summary'!AO$131*SelfQuarantine_Mild*'Equipment List &amp; Usage'!$W22)+('Weekly Summary'!AO$100*SelfQuarantine_Mild*'Equipment List &amp; Usage'!$X22)+('Weekly Summary'!AO$101*SelfQuarantine_Moderate*'Equipment List &amp; Usage'!$X22)))+IF('Equipment List &amp; Usage'!$F22="Yes",'Equipment List &amp; Usage'!$C$114*(IF('Equipment List &amp; Usage'!$AA22&gt;0,'Weekly Summary'!AO$128,0)+IF('Equipment List &amp; Usage'!$AB22&gt;0,'Weekly Summary'!AO$100+'Weekly Summary'!AO$101,0)),'Equipment List &amp; Usage'!$C$115*(('Weekly Summary'!AO$128*'Equipment List &amp; Usage'!$AA22)+('Weekly Summary'!AO$100*'Equipment List &amp; Usage'!$AB22*SelfQuarantine_Mild)+('Weekly Summary'!AO$101*'Equipment List &amp; Usage'!$AB22*SelfQuarantine_Moderate)))+IF('Equipment List &amp; Usage'!$F22="Yes",('Equipment List &amp; Usage'!$C$114*(IF('Equipment List &amp; Usage'!$AE22&gt;0,'Weekly Summary'!AO$134,0)+IF('Equipment List &amp; Usage'!$AF22&gt;0,'Weekly Summary'!AO$135))),'Equipment List &amp; Usage'!$C$115*(('Weekly Summary'!AO$134*'Equipment List &amp; Usage'!$AE22)+('Weekly Summary'!AO$135*'Equipment List &amp; Usage'!$AF22))))-SUM($I20:AT20),
IF($F20="yes",MMULT(--('Equipment List &amp; Usage'!$J22:$N22&gt;0),--('Weekly Summary'!AO$112:AO$116))*'Equipment List &amp; Usage'!$C$114,MMULT(--('Equipment List &amp; Usage'!$J22:$N22),--('Weekly Summary'!AO$112:AO$116))*'Equipment List &amp; Usage'!$C$115)+IF('Equipment List &amp; Usage'!$F21="yes",'Equipment List &amp; Usage'!$C$114,'Equipment List &amp; Usage'!$C$115)*(('Weekly Summary'!AO$66*'Equipment List &amp; Usage'!$Q22)+('Weekly Summary'!AO$64*'Equipment List &amp; Usage'!$O22)+('Weekly Summary'!AO$65*'Equipment List &amp; Usage'!$P22))+(IF('Equipment List &amp; Usage'!$F22="Yes",'Equipment List &amp; Usage'!$C$114*((('Weekly Summary'!AO$131*SelfQuarantine_Mild)+('Weekly Summary'!AO$100*SelfQuarantine_Mild)+('Weekly Summary'!AO$101*SelfQuarantine_Moderate))),'Equipment List &amp; Usage'!$C$115)*((('Weekly Summary'!AO$131*SelfQuarantine_Mild*'Equipment List &amp; Usage'!$W22)+('Weekly Summary'!AO$100*SelfQuarantine_Mild*'Equipment List &amp; Usage'!$X22)+('Weekly Summary'!AO$101*SelfQuarantine_Moderate*'Equipment List &amp; Usage'!$X22))))+IF('Equipment List &amp; Usage'!$F22="Yes",'Equipment List &amp; Usage'!$C$114*(IF('Equipment List &amp; Usage'!$AA22&gt;0,'Weekly Summary'!AO$128,0)+IF('Equipment List &amp; Usage'!$AB22&gt;0,'Weekly Summary'!AO$100+'Weekly Summary'!AO$101,0)),'Equipment List &amp; Usage'!$C$115*(('Weekly Summary'!AO$128*'Equipment List &amp; Usage'!$AA22)+('Weekly Summary'!AO$100*'Equipment List &amp; Usage'!$AB22*SelfQuarantine_Mild)+('Weekly Summary'!AO$101*'Equipment List &amp; Usage'!$AB22*SelfQuarantine_Moderate)))+IF('Equipment List &amp; Usage'!$F22="Yes",('Equipment List &amp; Usage'!$C$114*(IF('Equipment List &amp; Usage'!$AE22&gt;0,'Weekly Summary'!AO$134,0)+IF('Equipment List &amp; Usage'!$AF22&gt;0,'Weekly Summary'!AO$135))),'Equipment List &amp; Usage'!$C$115*(('Weekly Summary'!AO$134*'Equipment List &amp; Usage'!$AE22)+('Weekly Summary'!AO$135*'Equipment List &amp; Usage'!$AF22)))),0)</f>
        <v>0</v>
      </c>
      <c r="AV20" s="1374">
        <f ca="1">MAX(IF($F20="Yes",(
IF($F20="yes",MMULT(--('Equipment List &amp; Usage'!$J22:$N22&gt;0),--('Weekly Summary'!AP$112:AP$116))*'Equipment List &amp; Usage'!$C$114,MMULT(--('Equipment List &amp; Usage'!$J22:$N22),--('Weekly Summary'!AP$112:AP$116))*'Equipment List &amp; Usage'!$C$115)+IF('Equipment List &amp; Usage'!$F21="yes",'Equipment List &amp; Usage'!$C$114,'Equipment List &amp; Usage'!$C$115)*(('Weekly Summary'!AP$66*'Equipment List &amp; Usage'!$Q22)+('Weekly Summary'!AP$64*'Equipment List &amp; Usage'!$O22)+('Weekly Summary'!AP$65*'Equipment List &amp; Usage'!$P22)))+(IF('Equipment List &amp; Usage'!$F22="Yes",'Equipment List &amp; Usage'!$C$114*((('Weekly Summary'!AP$131*SelfQuarantine_Mild)+('Weekly Summary'!AP$100*SelfQuarantine_Mild)+('Weekly Summary'!AP$101*SelfQuarantine_Moderate))),'Equipment List &amp; Usage'!$C$115)*((('Weekly Summary'!AP$131*SelfQuarantine_Mild*'Equipment List &amp; Usage'!$W22)+('Weekly Summary'!AP$100*SelfQuarantine_Mild*'Equipment List &amp; Usage'!$X22)+('Weekly Summary'!AP$101*SelfQuarantine_Moderate*'Equipment List &amp; Usage'!$X22)))+IF('Equipment List &amp; Usage'!$F22="Yes",'Equipment List &amp; Usage'!$C$114*(IF('Equipment List &amp; Usage'!$AA22&gt;0,'Weekly Summary'!AP$128,0)+IF('Equipment List &amp; Usage'!$AB22&gt;0,'Weekly Summary'!AP$100+'Weekly Summary'!AP$101,0)),'Equipment List &amp; Usage'!$C$115*(('Weekly Summary'!AP$128*'Equipment List &amp; Usage'!$AA22)+('Weekly Summary'!AP$100*'Equipment List &amp; Usage'!$AB22*SelfQuarantine_Mild)+('Weekly Summary'!AP$101*'Equipment List &amp; Usage'!$AB22*SelfQuarantine_Moderate)))+IF('Equipment List &amp; Usage'!$F22="Yes",('Equipment List &amp; Usage'!$C$114*(IF('Equipment List &amp; Usage'!$AE22&gt;0,'Weekly Summary'!AP$134,0)+IF('Equipment List &amp; Usage'!$AF22&gt;0,'Weekly Summary'!AP$135))),'Equipment List &amp; Usage'!$C$115*(('Weekly Summary'!AP$134*'Equipment List &amp; Usage'!$AE22)+('Weekly Summary'!AP$135*'Equipment List &amp; Usage'!$AF22))))-SUM($I20:AU20),
IF($F20="yes",MMULT(--('Equipment List &amp; Usage'!$J22:$N22&gt;0),--('Weekly Summary'!AP$112:AP$116))*'Equipment List &amp; Usage'!$C$114,MMULT(--('Equipment List &amp; Usage'!$J22:$N22),--('Weekly Summary'!AP$112:AP$116))*'Equipment List &amp; Usage'!$C$115)+IF('Equipment List &amp; Usage'!$F21="yes",'Equipment List &amp; Usage'!$C$114,'Equipment List &amp; Usage'!$C$115)*(('Weekly Summary'!AP$66*'Equipment List &amp; Usage'!$Q22)+('Weekly Summary'!AP$64*'Equipment List &amp; Usage'!$O22)+('Weekly Summary'!AP$65*'Equipment List &amp; Usage'!$P22))+(IF('Equipment List &amp; Usage'!$F22="Yes",'Equipment List &amp; Usage'!$C$114*((('Weekly Summary'!AP$131*SelfQuarantine_Mild)+('Weekly Summary'!AP$100*SelfQuarantine_Mild)+('Weekly Summary'!AP$101*SelfQuarantine_Moderate))),'Equipment List &amp; Usage'!$C$115)*((('Weekly Summary'!AP$131*SelfQuarantine_Mild*'Equipment List &amp; Usage'!$W22)+('Weekly Summary'!AP$100*SelfQuarantine_Mild*'Equipment List &amp; Usage'!$X22)+('Weekly Summary'!AP$101*SelfQuarantine_Moderate*'Equipment List &amp; Usage'!$X22))))+IF('Equipment List &amp; Usage'!$F22="Yes",'Equipment List &amp; Usage'!$C$114*(IF('Equipment List &amp; Usage'!$AA22&gt;0,'Weekly Summary'!AP$128,0)+IF('Equipment List &amp; Usage'!$AB22&gt;0,'Weekly Summary'!AP$100+'Weekly Summary'!AP$101,0)),'Equipment List &amp; Usage'!$C$115*(('Weekly Summary'!AP$128*'Equipment List &amp; Usage'!$AA22)+('Weekly Summary'!AP$100*'Equipment List &amp; Usage'!$AB22*SelfQuarantine_Mild)+('Weekly Summary'!AP$101*'Equipment List &amp; Usage'!$AB22*SelfQuarantine_Moderate)))+IF('Equipment List &amp; Usage'!$F22="Yes",('Equipment List &amp; Usage'!$C$114*(IF('Equipment List &amp; Usage'!$AE22&gt;0,'Weekly Summary'!AP$134,0)+IF('Equipment List &amp; Usage'!$AF22&gt;0,'Weekly Summary'!AP$135))),'Equipment List &amp; Usage'!$C$115*(('Weekly Summary'!AP$134*'Equipment List &amp; Usage'!$AE22)+('Weekly Summary'!AP$135*'Equipment List &amp; Usage'!$AF22)))),0)</f>
        <v>0</v>
      </c>
      <c r="AW20" s="1374">
        <f ca="1">MAX(IF($F20="Yes",(
IF($F20="yes",MMULT(--('Equipment List &amp; Usage'!$J22:$N22&gt;0),--('Weekly Summary'!AQ$112:AQ$116))*'Equipment List &amp; Usage'!$C$114,MMULT(--('Equipment List &amp; Usage'!$J22:$N22),--('Weekly Summary'!AQ$112:AQ$116))*'Equipment List &amp; Usage'!$C$115)+IF('Equipment List &amp; Usage'!$F21="yes",'Equipment List &amp; Usage'!$C$114,'Equipment List &amp; Usage'!$C$115)*(('Weekly Summary'!AQ$66*'Equipment List &amp; Usage'!$Q22)+('Weekly Summary'!AQ$64*'Equipment List &amp; Usage'!$O22)+('Weekly Summary'!AQ$65*'Equipment List &amp; Usage'!$P22)))+(IF('Equipment List &amp; Usage'!$F22="Yes",'Equipment List &amp; Usage'!$C$114*((('Weekly Summary'!AQ$131*SelfQuarantine_Mild)+('Weekly Summary'!AQ$100*SelfQuarantine_Mild)+('Weekly Summary'!AQ$101*SelfQuarantine_Moderate))),'Equipment List &amp; Usage'!$C$115)*((('Weekly Summary'!AQ$131*SelfQuarantine_Mild*'Equipment List &amp; Usage'!$W22)+('Weekly Summary'!AQ$100*SelfQuarantine_Mild*'Equipment List &amp; Usage'!$X22)+('Weekly Summary'!AQ$101*SelfQuarantine_Moderate*'Equipment List &amp; Usage'!$X22)))+IF('Equipment List &amp; Usage'!$F22="Yes",'Equipment List &amp; Usage'!$C$114*(IF('Equipment List &amp; Usage'!$AA22&gt;0,'Weekly Summary'!AQ$128,0)+IF('Equipment List &amp; Usage'!$AB22&gt;0,'Weekly Summary'!AQ$100+'Weekly Summary'!AQ$101,0)),'Equipment List &amp; Usage'!$C$115*(('Weekly Summary'!AQ$128*'Equipment List &amp; Usage'!$AA22)+('Weekly Summary'!AQ$100*'Equipment List &amp; Usage'!$AB22*SelfQuarantine_Mild)+('Weekly Summary'!AQ$101*'Equipment List &amp; Usage'!$AB22*SelfQuarantine_Moderate)))+IF('Equipment List &amp; Usage'!$F22="Yes",('Equipment List &amp; Usage'!$C$114*(IF('Equipment List &amp; Usage'!$AE22&gt;0,'Weekly Summary'!AQ$134,0)+IF('Equipment List &amp; Usage'!$AF22&gt;0,'Weekly Summary'!AQ$135))),'Equipment List &amp; Usage'!$C$115*(('Weekly Summary'!AQ$134*'Equipment List &amp; Usage'!$AE22)+('Weekly Summary'!AQ$135*'Equipment List &amp; Usage'!$AF22))))-SUM($I20:AV20),
IF($F20="yes",MMULT(--('Equipment List &amp; Usage'!$J22:$N22&gt;0),--('Weekly Summary'!AQ$112:AQ$116))*'Equipment List &amp; Usage'!$C$114,MMULT(--('Equipment List &amp; Usage'!$J22:$N22),--('Weekly Summary'!AQ$112:AQ$116))*'Equipment List &amp; Usage'!$C$115)+IF('Equipment List &amp; Usage'!$F21="yes",'Equipment List &amp; Usage'!$C$114,'Equipment List &amp; Usage'!$C$115)*(('Weekly Summary'!AQ$66*'Equipment List &amp; Usage'!$Q22)+('Weekly Summary'!AQ$64*'Equipment List &amp; Usage'!$O22)+('Weekly Summary'!AQ$65*'Equipment List &amp; Usage'!$P22))+(IF('Equipment List &amp; Usage'!$F22="Yes",'Equipment List &amp; Usage'!$C$114*((('Weekly Summary'!AQ$131*SelfQuarantine_Mild)+('Weekly Summary'!AQ$100*SelfQuarantine_Mild)+('Weekly Summary'!AQ$101*SelfQuarantine_Moderate))),'Equipment List &amp; Usage'!$C$115)*((('Weekly Summary'!AQ$131*SelfQuarantine_Mild*'Equipment List &amp; Usage'!$W22)+('Weekly Summary'!AQ$100*SelfQuarantine_Mild*'Equipment List &amp; Usage'!$X22)+('Weekly Summary'!AQ$101*SelfQuarantine_Moderate*'Equipment List &amp; Usage'!$X22))))+IF('Equipment List &amp; Usage'!$F22="Yes",'Equipment List &amp; Usage'!$C$114*(IF('Equipment List &amp; Usage'!$AA22&gt;0,'Weekly Summary'!AQ$128,0)+IF('Equipment List &amp; Usage'!$AB22&gt;0,'Weekly Summary'!AQ$100+'Weekly Summary'!AQ$101,0)),'Equipment List &amp; Usage'!$C$115*(('Weekly Summary'!AQ$128*'Equipment List &amp; Usage'!$AA22)+('Weekly Summary'!AQ$100*'Equipment List &amp; Usage'!$AB22*SelfQuarantine_Mild)+('Weekly Summary'!AQ$101*'Equipment List &amp; Usage'!$AB22*SelfQuarantine_Moderate)))+IF('Equipment List &amp; Usage'!$F22="Yes",('Equipment List &amp; Usage'!$C$114*(IF('Equipment List &amp; Usage'!$AE22&gt;0,'Weekly Summary'!AQ$134,0)+IF('Equipment List &amp; Usage'!$AF22&gt;0,'Weekly Summary'!AQ$135))),'Equipment List &amp; Usage'!$C$115*(('Weekly Summary'!AQ$134*'Equipment List &amp; Usage'!$AE22)+('Weekly Summary'!AQ$135*'Equipment List &amp; Usage'!$AF22)))),0)</f>
        <v>0</v>
      </c>
      <c r="AX20" s="1374">
        <f ca="1">MAX(IF($F20="Yes",(
IF($F20="yes",MMULT(--('Equipment List &amp; Usage'!$J22:$N22&gt;0),--('Weekly Summary'!AR$112:AR$116))*'Equipment List &amp; Usage'!$C$114,MMULT(--('Equipment List &amp; Usage'!$J22:$N22),--('Weekly Summary'!AR$112:AR$116))*'Equipment List &amp; Usage'!$C$115)+IF('Equipment List &amp; Usage'!$F21="yes",'Equipment List &amp; Usage'!$C$114,'Equipment List &amp; Usage'!$C$115)*(('Weekly Summary'!AR$66*'Equipment List &amp; Usage'!$Q22)+('Weekly Summary'!AR$64*'Equipment List &amp; Usage'!$O22)+('Weekly Summary'!AR$65*'Equipment List &amp; Usage'!$P22)))+(IF('Equipment List &amp; Usage'!$F22="Yes",'Equipment List &amp; Usage'!$C$114*((('Weekly Summary'!AR$131*SelfQuarantine_Mild)+('Weekly Summary'!AR$100*SelfQuarantine_Mild)+('Weekly Summary'!AR$101*SelfQuarantine_Moderate))),'Equipment List &amp; Usage'!$C$115)*((('Weekly Summary'!AR$131*SelfQuarantine_Mild*'Equipment List &amp; Usage'!$W22)+('Weekly Summary'!AR$100*SelfQuarantine_Mild*'Equipment List &amp; Usage'!$X22)+('Weekly Summary'!AR$101*SelfQuarantine_Moderate*'Equipment List &amp; Usage'!$X22)))+IF('Equipment List &amp; Usage'!$F22="Yes",'Equipment List &amp; Usage'!$C$114*(IF('Equipment List &amp; Usage'!$AA22&gt;0,'Weekly Summary'!AR$128,0)+IF('Equipment List &amp; Usage'!$AB22&gt;0,'Weekly Summary'!AR$100+'Weekly Summary'!AR$101,0)),'Equipment List &amp; Usage'!$C$115*(('Weekly Summary'!AR$128*'Equipment List &amp; Usage'!$AA22)+('Weekly Summary'!AR$100*'Equipment List &amp; Usage'!$AB22*SelfQuarantine_Mild)+('Weekly Summary'!AR$101*'Equipment List &amp; Usage'!$AB22*SelfQuarantine_Moderate)))+IF('Equipment List &amp; Usage'!$F22="Yes",('Equipment List &amp; Usage'!$C$114*(IF('Equipment List &amp; Usage'!$AE22&gt;0,'Weekly Summary'!AR$134,0)+IF('Equipment List &amp; Usage'!$AF22&gt;0,'Weekly Summary'!AR$135))),'Equipment List &amp; Usage'!$C$115*(('Weekly Summary'!AR$134*'Equipment List &amp; Usage'!$AE22)+('Weekly Summary'!AR$135*'Equipment List &amp; Usage'!$AF22))))-SUM($I20:AW20),
IF($F20="yes",MMULT(--('Equipment List &amp; Usage'!$J22:$N22&gt;0),--('Weekly Summary'!AR$112:AR$116))*'Equipment List &amp; Usage'!$C$114,MMULT(--('Equipment List &amp; Usage'!$J22:$N22),--('Weekly Summary'!AR$112:AR$116))*'Equipment List &amp; Usage'!$C$115)+IF('Equipment List &amp; Usage'!$F21="yes",'Equipment List &amp; Usage'!$C$114,'Equipment List &amp; Usage'!$C$115)*(('Weekly Summary'!AR$66*'Equipment List &amp; Usage'!$Q22)+('Weekly Summary'!AR$64*'Equipment List &amp; Usage'!$O22)+('Weekly Summary'!AR$65*'Equipment List &amp; Usage'!$P22))+(IF('Equipment List &amp; Usage'!$F22="Yes",'Equipment List &amp; Usage'!$C$114*((('Weekly Summary'!AR$131*SelfQuarantine_Mild)+('Weekly Summary'!AR$100*SelfQuarantine_Mild)+('Weekly Summary'!AR$101*SelfQuarantine_Moderate))),'Equipment List &amp; Usage'!$C$115)*((('Weekly Summary'!AR$131*SelfQuarantine_Mild*'Equipment List &amp; Usage'!$W22)+('Weekly Summary'!AR$100*SelfQuarantine_Mild*'Equipment List &amp; Usage'!$X22)+('Weekly Summary'!AR$101*SelfQuarantine_Moderate*'Equipment List &amp; Usage'!$X22))))+IF('Equipment List &amp; Usage'!$F22="Yes",'Equipment List &amp; Usage'!$C$114*(IF('Equipment List &amp; Usage'!$AA22&gt;0,'Weekly Summary'!AR$128,0)+IF('Equipment List &amp; Usage'!$AB22&gt;0,'Weekly Summary'!AR$100+'Weekly Summary'!AR$101,0)),'Equipment List &amp; Usage'!$C$115*(('Weekly Summary'!AR$128*'Equipment List &amp; Usage'!$AA22)+('Weekly Summary'!AR$100*'Equipment List &amp; Usage'!$AB22*SelfQuarantine_Mild)+('Weekly Summary'!AR$101*'Equipment List &amp; Usage'!$AB22*SelfQuarantine_Moderate)))+IF('Equipment List &amp; Usage'!$F22="Yes",('Equipment List &amp; Usage'!$C$114*(IF('Equipment List &amp; Usage'!$AE22&gt;0,'Weekly Summary'!AR$134,0)+IF('Equipment List &amp; Usage'!$AF22&gt;0,'Weekly Summary'!AR$135))),'Equipment List &amp; Usage'!$C$115*(('Weekly Summary'!AR$134*'Equipment List &amp; Usage'!$AE22)+('Weekly Summary'!AR$135*'Equipment List &amp; Usage'!$AF22)))),0)</f>
        <v>0</v>
      </c>
      <c r="AY20" s="1374">
        <f ca="1">MAX(IF($F20="Yes",(
IF($F20="yes",MMULT(--('Equipment List &amp; Usage'!$J22:$N22&gt;0),--('Weekly Summary'!AS$112:AS$116))*'Equipment List &amp; Usage'!$C$114,MMULT(--('Equipment List &amp; Usage'!$J22:$N22),--('Weekly Summary'!AS$112:AS$116))*'Equipment List &amp; Usage'!$C$115)+IF('Equipment List &amp; Usage'!$F21="yes",'Equipment List &amp; Usage'!$C$114,'Equipment List &amp; Usage'!$C$115)*(('Weekly Summary'!AS$66*'Equipment List &amp; Usage'!$Q22)+('Weekly Summary'!AS$64*'Equipment List &amp; Usage'!$O22)+('Weekly Summary'!AS$65*'Equipment List &amp; Usage'!$P22)))+(IF('Equipment List &amp; Usage'!$F22="Yes",'Equipment List &amp; Usage'!$C$114*((('Weekly Summary'!AS$131*SelfQuarantine_Mild)+('Weekly Summary'!AS$100*SelfQuarantine_Mild)+('Weekly Summary'!AS$101*SelfQuarantine_Moderate))),'Equipment List &amp; Usage'!$C$115)*((('Weekly Summary'!AS$131*SelfQuarantine_Mild*'Equipment List &amp; Usage'!$W22)+('Weekly Summary'!AS$100*SelfQuarantine_Mild*'Equipment List &amp; Usage'!$X22)+('Weekly Summary'!AS$101*SelfQuarantine_Moderate*'Equipment List &amp; Usage'!$X22)))+IF('Equipment List &amp; Usage'!$F22="Yes",'Equipment List &amp; Usage'!$C$114*(IF('Equipment List &amp; Usage'!$AA22&gt;0,'Weekly Summary'!AS$128,0)+IF('Equipment List &amp; Usage'!$AB22&gt;0,'Weekly Summary'!AS$100+'Weekly Summary'!AS$101,0)),'Equipment List &amp; Usage'!$C$115*(('Weekly Summary'!AS$128*'Equipment List &amp; Usage'!$AA22)+('Weekly Summary'!AS$100*'Equipment List &amp; Usage'!$AB22*SelfQuarantine_Mild)+('Weekly Summary'!AS$101*'Equipment List &amp; Usage'!$AB22*SelfQuarantine_Moderate)))+IF('Equipment List &amp; Usage'!$F22="Yes",('Equipment List &amp; Usage'!$C$114*(IF('Equipment List &amp; Usage'!$AE22&gt;0,'Weekly Summary'!AS$134,0)+IF('Equipment List &amp; Usage'!$AF22&gt;0,'Weekly Summary'!AS$135))),'Equipment List &amp; Usage'!$C$115*(('Weekly Summary'!AS$134*'Equipment List &amp; Usage'!$AE22)+('Weekly Summary'!AS$135*'Equipment List &amp; Usage'!$AF22))))-SUM($I20:AX20),
IF($F20="yes",MMULT(--('Equipment List &amp; Usage'!$J22:$N22&gt;0),--('Weekly Summary'!AS$112:AS$116))*'Equipment List &amp; Usage'!$C$114,MMULT(--('Equipment List &amp; Usage'!$J22:$N22),--('Weekly Summary'!AS$112:AS$116))*'Equipment List &amp; Usage'!$C$115)+IF('Equipment List &amp; Usage'!$F21="yes",'Equipment List &amp; Usage'!$C$114,'Equipment List &amp; Usage'!$C$115)*(('Weekly Summary'!AS$66*'Equipment List &amp; Usage'!$Q22)+('Weekly Summary'!AS$64*'Equipment List &amp; Usage'!$O22)+('Weekly Summary'!AS$65*'Equipment List &amp; Usage'!$P22))+(IF('Equipment List &amp; Usage'!$F22="Yes",'Equipment List &amp; Usage'!$C$114*((('Weekly Summary'!AS$131*SelfQuarantine_Mild)+('Weekly Summary'!AS$100*SelfQuarantine_Mild)+('Weekly Summary'!AS$101*SelfQuarantine_Moderate))),'Equipment List &amp; Usage'!$C$115)*((('Weekly Summary'!AS$131*SelfQuarantine_Mild*'Equipment List &amp; Usage'!$W22)+('Weekly Summary'!AS$100*SelfQuarantine_Mild*'Equipment List &amp; Usage'!$X22)+('Weekly Summary'!AS$101*SelfQuarantine_Moderate*'Equipment List &amp; Usage'!$X22))))+IF('Equipment List &amp; Usage'!$F22="Yes",'Equipment List &amp; Usage'!$C$114*(IF('Equipment List &amp; Usage'!$AA22&gt;0,'Weekly Summary'!AS$128,0)+IF('Equipment List &amp; Usage'!$AB22&gt;0,'Weekly Summary'!AS$100+'Weekly Summary'!AS$101,0)),'Equipment List &amp; Usage'!$C$115*(('Weekly Summary'!AS$128*'Equipment List &amp; Usage'!$AA22)+('Weekly Summary'!AS$100*'Equipment List &amp; Usage'!$AB22*SelfQuarantine_Mild)+('Weekly Summary'!AS$101*'Equipment List &amp; Usage'!$AB22*SelfQuarantine_Moderate)))+IF('Equipment List &amp; Usage'!$F22="Yes",('Equipment List &amp; Usage'!$C$114*(IF('Equipment List &amp; Usage'!$AE22&gt;0,'Weekly Summary'!AS$134,0)+IF('Equipment List &amp; Usage'!$AF22&gt;0,'Weekly Summary'!AS$135))),'Equipment List &amp; Usage'!$C$115*(('Weekly Summary'!AS$134*'Equipment List &amp; Usage'!$AE22)+('Weekly Summary'!AS$135*'Equipment List &amp; Usage'!$AF22)))),0)</f>
        <v>0</v>
      </c>
      <c r="AZ20" s="1374">
        <f ca="1">MAX(IF($F20="Yes",(
IF($F20="yes",MMULT(--('Equipment List &amp; Usage'!$J22:$N22&gt;0),--('Weekly Summary'!AT$112:AT$116))*'Equipment List &amp; Usage'!$C$114,MMULT(--('Equipment List &amp; Usage'!$J22:$N22),--('Weekly Summary'!AT$112:AT$116))*'Equipment List &amp; Usage'!$C$115)+IF('Equipment List &amp; Usage'!$F21="yes",'Equipment List &amp; Usage'!$C$114,'Equipment List &amp; Usage'!$C$115)*(('Weekly Summary'!AT$66*'Equipment List &amp; Usage'!$Q22)+('Weekly Summary'!AT$64*'Equipment List &amp; Usage'!$O22)+('Weekly Summary'!AT$65*'Equipment List &amp; Usage'!$P22)))+(IF('Equipment List &amp; Usage'!$F22="Yes",'Equipment List &amp; Usage'!$C$114*((('Weekly Summary'!AT$131*SelfQuarantine_Mild)+('Weekly Summary'!AT$100*SelfQuarantine_Mild)+('Weekly Summary'!AT$101*SelfQuarantine_Moderate))),'Equipment List &amp; Usage'!$C$115)*((('Weekly Summary'!AT$131*SelfQuarantine_Mild*'Equipment List &amp; Usage'!$W22)+('Weekly Summary'!AT$100*SelfQuarantine_Mild*'Equipment List &amp; Usage'!$X22)+('Weekly Summary'!AT$101*SelfQuarantine_Moderate*'Equipment List &amp; Usage'!$X22)))+IF('Equipment List &amp; Usage'!$F22="Yes",'Equipment List &amp; Usage'!$C$114*(IF('Equipment List &amp; Usage'!$AA22&gt;0,'Weekly Summary'!AT$128,0)+IF('Equipment List &amp; Usage'!$AB22&gt;0,'Weekly Summary'!AT$100+'Weekly Summary'!AT$101,0)),'Equipment List &amp; Usage'!$C$115*(('Weekly Summary'!AT$128*'Equipment List &amp; Usage'!$AA22)+('Weekly Summary'!AT$100*'Equipment List &amp; Usage'!$AB22*SelfQuarantine_Mild)+('Weekly Summary'!AT$101*'Equipment List &amp; Usage'!$AB22*SelfQuarantine_Moderate)))+IF('Equipment List &amp; Usage'!$F22="Yes",('Equipment List &amp; Usage'!$C$114*(IF('Equipment List &amp; Usage'!$AE22&gt;0,'Weekly Summary'!AT$134,0)+IF('Equipment List &amp; Usage'!$AF22&gt;0,'Weekly Summary'!AT$135))),'Equipment List &amp; Usage'!$C$115*(('Weekly Summary'!AT$134*'Equipment List &amp; Usage'!$AE22)+('Weekly Summary'!AT$135*'Equipment List &amp; Usage'!$AF22))))-SUM($I20:AY20),
IF($F20="yes",MMULT(--('Equipment List &amp; Usage'!$J22:$N22&gt;0),--('Weekly Summary'!AT$112:AT$116))*'Equipment List &amp; Usage'!$C$114,MMULT(--('Equipment List &amp; Usage'!$J22:$N22),--('Weekly Summary'!AT$112:AT$116))*'Equipment List &amp; Usage'!$C$115)+IF('Equipment List &amp; Usage'!$F21="yes",'Equipment List &amp; Usage'!$C$114,'Equipment List &amp; Usage'!$C$115)*(('Weekly Summary'!AT$66*'Equipment List &amp; Usage'!$Q22)+('Weekly Summary'!AT$64*'Equipment List &amp; Usage'!$O22)+('Weekly Summary'!AT$65*'Equipment List &amp; Usage'!$P22))+(IF('Equipment List &amp; Usage'!$F22="Yes",'Equipment List &amp; Usage'!$C$114*((('Weekly Summary'!AT$131*SelfQuarantine_Mild)+('Weekly Summary'!AT$100*SelfQuarantine_Mild)+('Weekly Summary'!AT$101*SelfQuarantine_Moderate))),'Equipment List &amp; Usage'!$C$115)*((('Weekly Summary'!AT$131*SelfQuarantine_Mild*'Equipment List &amp; Usage'!$W22)+('Weekly Summary'!AT$100*SelfQuarantine_Mild*'Equipment List &amp; Usage'!$X22)+('Weekly Summary'!AT$101*SelfQuarantine_Moderate*'Equipment List &amp; Usage'!$X22))))+IF('Equipment List &amp; Usage'!$F22="Yes",'Equipment List &amp; Usage'!$C$114*(IF('Equipment List &amp; Usage'!$AA22&gt;0,'Weekly Summary'!AT$128,0)+IF('Equipment List &amp; Usage'!$AB22&gt;0,'Weekly Summary'!AT$100+'Weekly Summary'!AT$101,0)),'Equipment List &amp; Usage'!$C$115*(('Weekly Summary'!AT$128*'Equipment List &amp; Usage'!$AA22)+('Weekly Summary'!AT$100*'Equipment List &amp; Usage'!$AB22*SelfQuarantine_Mild)+('Weekly Summary'!AT$101*'Equipment List &amp; Usage'!$AB22*SelfQuarantine_Moderate)))+IF('Equipment List &amp; Usage'!$F22="Yes",('Equipment List &amp; Usage'!$C$114*(IF('Equipment List &amp; Usage'!$AE22&gt;0,'Weekly Summary'!AT$134,0)+IF('Equipment List &amp; Usage'!$AF22&gt;0,'Weekly Summary'!AT$135))),'Equipment List &amp; Usage'!$C$115*(('Weekly Summary'!AT$134*'Equipment List &amp; Usage'!$AE22)+('Weekly Summary'!AT$135*'Equipment List &amp; Usage'!$AF22)))),0)</f>
        <v>0</v>
      </c>
      <c r="BA20" s="1374">
        <f ca="1">MAX(IF($F20="Yes",(
IF($F20="yes",MMULT(--('Equipment List &amp; Usage'!$J22:$N22&gt;0),--('Weekly Summary'!AU$112:AU$116))*'Equipment List &amp; Usage'!$C$114,MMULT(--('Equipment List &amp; Usage'!$J22:$N22),--('Weekly Summary'!AU$112:AU$116))*'Equipment List &amp; Usage'!$C$115)+IF('Equipment List &amp; Usage'!$F21="yes",'Equipment List &amp; Usage'!$C$114,'Equipment List &amp; Usage'!$C$115)*(('Weekly Summary'!AU$66*'Equipment List &amp; Usage'!$Q22)+('Weekly Summary'!AU$64*'Equipment List &amp; Usage'!$O22)+('Weekly Summary'!AU$65*'Equipment List &amp; Usage'!$P22)))+(IF('Equipment List &amp; Usage'!$F22="Yes",'Equipment List &amp; Usage'!$C$114*((('Weekly Summary'!AU$131*SelfQuarantine_Mild)+('Weekly Summary'!AU$100*SelfQuarantine_Mild)+('Weekly Summary'!AU$101*SelfQuarantine_Moderate))),'Equipment List &amp; Usage'!$C$115)*((('Weekly Summary'!AU$131*SelfQuarantine_Mild*'Equipment List &amp; Usage'!$W22)+('Weekly Summary'!AU$100*SelfQuarantine_Mild*'Equipment List &amp; Usage'!$X22)+('Weekly Summary'!AU$101*SelfQuarantine_Moderate*'Equipment List &amp; Usage'!$X22)))+IF('Equipment List &amp; Usage'!$F22="Yes",'Equipment List &amp; Usage'!$C$114*(IF('Equipment List &amp; Usage'!$AA22&gt;0,'Weekly Summary'!AU$128,0)+IF('Equipment List &amp; Usage'!$AB22&gt;0,'Weekly Summary'!AU$100+'Weekly Summary'!AU$101,0)),'Equipment List &amp; Usage'!$C$115*(('Weekly Summary'!AU$128*'Equipment List &amp; Usage'!$AA22)+('Weekly Summary'!AU$100*'Equipment List &amp; Usage'!$AB22*SelfQuarantine_Mild)+('Weekly Summary'!AU$101*'Equipment List &amp; Usage'!$AB22*SelfQuarantine_Moderate)))+IF('Equipment List &amp; Usage'!$F22="Yes",('Equipment List &amp; Usage'!$C$114*(IF('Equipment List &amp; Usage'!$AE22&gt;0,'Weekly Summary'!AU$134,0)+IF('Equipment List &amp; Usage'!$AF22&gt;0,'Weekly Summary'!AU$135))),'Equipment List &amp; Usage'!$C$115*(('Weekly Summary'!AU$134*'Equipment List &amp; Usage'!$AE22)+('Weekly Summary'!AU$135*'Equipment List &amp; Usage'!$AF22))))-SUM($I20:AZ20),
IF($F20="yes",MMULT(--('Equipment List &amp; Usage'!$J22:$N22&gt;0),--('Weekly Summary'!AU$112:AU$116))*'Equipment List &amp; Usage'!$C$114,MMULT(--('Equipment List &amp; Usage'!$J22:$N22),--('Weekly Summary'!AU$112:AU$116))*'Equipment List &amp; Usage'!$C$115)+IF('Equipment List &amp; Usage'!$F21="yes",'Equipment List &amp; Usage'!$C$114,'Equipment List &amp; Usage'!$C$115)*(('Weekly Summary'!AU$66*'Equipment List &amp; Usage'!$Q22)+('Weekly Summary'!AU$64*'Equipment List &amp; Usage'!$O22)+('Weekly Summary'!AU$65*'Equipment List &amp; Usage'!$P22))+(IF('Equipment List &amp; Usage'!$F22="Yes",'Equipment List &amp; Usage'!$C$114*((('Weekly Summary'!AU$131*SelfQuarantine_Mild)+('Weekly Summary'!AU$100*SelfQuarantine_Mild)+('Weekly Summary'!AU$101*SelfQuarantine_Moderate))),'Equipment List &amp; Usage'!$C$115)*((('Weekly Summary'!AU$131*SelfQuarantine_Mild*'Equipment List &amp; Usage'!$W22)+('Weekly Summary'!AU$100*SelfQuarantine_Mild*'Equipment List &amp; Usage'!$X22)+('Weekly Summary'!AU$101*SelfQuarantine_Moderate*'Equipment List &amp; Usage'!$X22))))+IF('Equipment List &amp; Usage'!$F22="Yes",'Equipment List &amp; Usage'!$C$114*(IF('Equipment List &amp; Usage'!$AA22&gt;0,'Weekly Summary'!AU$128,0)+IF('Equipment List &amp; Usage'!$AB22&gt;0,'Weekly Summary'!AU$100+'Weekly Summary'!AU$101,0)),'Equipment List &amp; Usage'!$C$115*(('Weekly Summary'!AU$128*'Equipment List &amp; Usage'!$AA22)+('Weekly Summary'!AU$100*'Equipment List &amp; Usage'!$AB22*SelfQuarantine_Mild)+('Weekly Summary'!AU$101*'Equipment List &amp; Usage'!$AB22*SelfQuarantine_Moderate)))+IF('Equipment List &amp; Usage'!$F22="Yes",('Equipment List &amp; Usage'!$C$114*(IF('Equipment List &amp; Usage'!$AE22&gt;0,'Weekly Summary'!AU$134,0)+IF('Equipment List &amp; Usage'!$AF22&gt;0,'Weekly Summary'!AU$135))),'Equipment List &amp; Usage'!$C$115*(('Weekly Summary'!AU$134*'Equipment List &amp; Usage'!$AE22)+('Weekly Summary'!AU$135*'Equipment List &amp; Usage'!$AF22)))),0)</f>
        <v>0</v>
      </c>
      <c r="BB20" s="1374">
        <f ca="1">MAX(IF($F20="Yes",(
IF($F20="yes",MMULT(--('Equipment List &amp; Usage'!$J22:$N22&gt;0),--('Weekly Summary'!AV$112:AV$116))*'Equipment List &amp; Usage'!$C$114,MMULT(--('Equipment List &amp; Usage'!$J22:$N22),--('Weekly Summary'!AV$112:AV$116))*'Equipment List &amp; Usage'!$C$115)+IF('Equipment List &amp; Usage'!$F21="yes",'Equipment List &amp; Usage'!$C$114,'Equipment List &amp; Usage'!$C$115)*(('Weekly Summary'!AV$66*'Equipment List &amp; Usage'!$Q22)+('Weekly Summary'!AV$64*'Equipment List &amp; Usage'!$O22)+('Weekly Summary'!AV$65*'Equipment List &amp; Usage'!$P22)))+(IF('Equipment List &amp; Usage'!$F22="Yes",'Equipment List &amp; Usage'!$C$114*((('Weekly Summary'!AV$131*SelfQuarantine_Mild)+('Weekly Summary'!AV$100*SelfQuarantine_Mild)+('Weekly Summary'!AV$101*SelfQuarantine_Moderate))),'Equipment List &amp; Usage'!$C$115)*((('Weekly Summary'!AV$131*SelfQuarantine_Mild*'Equipment List &amp; Usage'!$W22)+('Weekly Summary'!AV$100*SelfQuarantine_Mild*'Equipment List &amp; Usage'!$X22)+('Weekly Summary'!AV$101*SelfQuarantine_Moderate*'Equipment List &amp; Usage'!$X22)))+IF('Equipment List &amp; Usage'!$F22="Yes",'Equipment List &amp; Usage'!$C$114*(IF('Equipment List &amp; Usage'!$AA22&gt;0,'Weekly Summary'!AV$128,0)+IF('Equipment List &amp; Usage'!$AB22&gt;0,'Weekly Summary'!AV$100+'Weekly Summary'!AV$101,0)),'Equipment List &amp; Usage'!$C$115*(('Weekly Summary'!AV$128*'Equipment List &amp; Usage'!$AA22)+('Weekly Summary'!AV$100*'Equipment List &amp; Usage'!$AB22*SelfQuarantine_Mild)+('Weekly Summary'!AV$101*'Equipment List &amp; Usage'!$AB22*SelfQuarantine_Moderate)))+IF('Equipment List &amp; Usage'!$F22="Yes",('Equipment List &amp; Usage'!$C$114*(IF('Equipment List &amp; Usage'!$AE22&gt;0,'Weekly Summary'!AV$134,0)+IF('Equipment List &amp; Usage'!$AF22&gt;0,'Weekly Summary'!AV$135))),'Equipment List &amp; Usage'!$C$115*(('Weekly Summary'!AV$134*'Equipment List &amp; Usage'!$AE22)+('Weekly Summary'!AV$135*'Equipment List &amp; Usage'!$AF22))))-SUM($I20:BA20),
IF($F20="yes",MMULT(--('Equipment List &amp; Usage'!$J22:$N22&gt;0),--('Weekly Summary'!AV$112:AV$116))*'Equipment List &amp; Usage'!$C$114,MMULT(--('Equipment List &amp; Usage'!$J22:$N22),--('Weekly Summary'!AV$112:AV$116))*'Equipment List &amp; Usage'!$C$115)+IF('Equipment List &amp; Usage'!$F21="yes",'Equipment List &amp; Usage'!$C$114,'Equipment List &amp; Usage'!$C$115)*(('Weekly Summary'!AV$66*'Equipment List &amp; Usage'!$Q22)+('Weekly Summary'!AV$64*'Equipment List &amp; Usage'!$O22)+('Weekly Summary'!AV$65*'Equipment List &amp; Usage'!$P22))+(IF('Equipment List &amp; Usage'!$F22="Yes",'Equipment List &amp; Usage'!$C$114*((('Weekly Summary'!AV$131*SelfQuarantine_Mild)+('Weekly Summary'!AV$100*SelfQuarantine_Mild)+('Weekly Summary'!AV$101*SelfQuarantine_Moderate))),'Equipment List &amp; Usage'!$C$115)*((('Weekly Summary'!AV$131*SelfQuarantine_Mild*'Equipment List &amp; Usage'!$W22)+('Weekly Summary'!AV$100*SelfQuarantine_Mild*'Equipment List &amp; Usage'!$X22)+('Weekly Summary'!AV$101*SelfQuarantine_Moderate*'Equipment List &amp; Usage'!$X22))))+IF('Equipment List &amp; Usage'!$F22="Yes",'Equipment List &amp; Usage'!$C$114*(IF('Equipment List &amp; Usage'!$AA22&gt;0,'Weekly Summary'!AV$128,0)+IF('Equipment List &amp; Usage'!$AB22&gt;0,'Weekly Summary'!AV$100+'Weekly Summary'!AV$101,0)),'Equipment List &amp; Usage'!$C$115*(('Weekly Summary'!AV$128*'Equipment List &amp; Usage'!$AA22)+('Weekly Summary'!AV$100*'Equipment List &amp; Usage'!$AB22*SelfQuarantine_Mild)+('Weekly Summary'!AV$101*'Equipment List &amp; Usage'!$AB22*SelfQuarantine_Moderate)))+IF('Equipment List &amp; Usage'!$F22="Yes",('Equipment List &amp; Usage'!$C$114*(IF('Equipment List &amp; Usage'!$AE22&gt;0,'Weekly Summary'!AV$134,0)+IF('Equipment List &amp; Usage'!$AF22&gt;0,'Weekly Summary'!AV$135))),'Equipment List &amp; Usage'!$C$115*(('Weekly Summary'!AV$134*'Equipment List &amp; Usage'!$AE22)+('Weekly Summary'!AV$135*'Equipment List &amp; Usage'!$AF22)))),0)</f>
        <v>0</v>
      </c>
      <c r="BC20" s="1374">
        <f ca="1">MAX(IF($F20="Yes",(
IF($F20="yes",MMULT(--('Equipment List &amp; Usage'!$J22:$N22&gt;0),--('Weekly Summary'!AW$112:AW$116))*'Equipment List &amp; Usage'!$C$114,MMULT(--('Equipment List &amp; Usage'!$J22:$N22),--('Weekly Summary'!AW$112:AW$116))*'Equipment List &amp; Usage'!$C$115)+IF('Equipment List &amp; Usage'!$F21="yes",'Equipment List &amp; Usage'!$C$114,'Equipment List &amp; Usage'!$C$115)*(('Weekly Summary'!AW$66*'Equipment List &amp; Usage'!$Q22)+('Weekly Summary'!AW$64*'Equipment List &amp; Usage'!$O22)+('Weekly Summary'!AW$65*'Equipment List &amp; Usage'!$P22)))+(IF('Equipment List &amp; Usage'!$F22="Yes",'Equipment List &amp; Usage'!$C$114*((('Weekly Summary'!AW$131*SelfQuarantine_Mild)+('Weekly Summary'!AW$100*SelfQuarantine_Mild)+('Weekly Summary'!AW$101*SelfQuarantine_Moderate))),'Equipment List &amp; Usage'!$C$115)*((('Weekly Summary'!AW$131*SelfQuarantine_Mild*'Equipment List &amp; Usage'!$W22)+('Weekly Summary'!AW$100*SelfQuarantine_Mild*'Equipment List &amp; Usage'!$X22)+('Weekly Summary'!AW$101*SelfQuarantine_Moderate*'Equipment List &amp; Usage'!$X22)))+IF('Equipment List &amp; Usage'!$F22="Yes",'Equipment List &amp; Usage'!$C$114*(IF('Equipment List &amp; Usage'!$AA22&gt;0,'Weekly Summary'!AW$128,0)+IF('Equipment List &amp; Usage'!$AB22&gt;0,'Weekly Summary'!AW$100+'Weekly Summary'!AW$101,0)),'Equipment List &amp; Usage'!$C$115*(('Weekly Summary'!AW$128*'Equipment List &amp; Usage'!$AA22)+('Weekly Summary'!AW$100*'Equipment List &amp; Usage'!$AB22*SelfQuarantine_Mild)+('Weekly Summary'!AW$101*'Equipment List &amp; Usage'!$AB22*SelfQuarantine_Moderate)))+IF('Equipment List &amp; Usage'!$F22="Yes",('Equipment List &amp; Usage'!$C$114*(IF('Equipment List &amp; Usage'!$AE22&gt;0,'Weekly Summary'!AW$134,0)+IF('Equipment List &amp; Usage'!$AF22&gt;0,'Weekly Summary'!AW$135))),'Equipment List &amp; Usage'!$C$115*(('Weekly Summary'!AW$134*'Equipment List &amp; Usage'!$AE22)+('Weekly Summary'!AW$135*'Equipment List &amp; Usage'!$AF22))))-SUM($I20:BB20),
IF($F20="yes",MMULT(--('Equipment List &amp; Usage'!$J22:$N22&gt;0),--('Weekly Summary'!AW$112:AW$116))*'Equipment List &amp; Usage'!$C$114,MMULT(--('Equipment List &amp; Usage'!$J22:$N22),--('Weekly Summary'!AW$112:AW$116))*'Equipment List &amp; Usage'!$C$115)+IF('Equipment List &amp; Usage'!$F21="yes",'Equipment List &amp; Usage'!$C$114,'Equipment List &amp; Usage'!$C$115)*(('Weekly Summary'!AW$66*'Equipment List &amp; Usage'!$Q22)+('Weekly Summary'!AW$64*'Equipment List &amp; Usage'!$O22)+('Weekly Summary'!AW$65*'Equipment List &amp; Usage'!$P22))+(IF('Equipment List &amp; Usage'!$F22="Yes",'Equipment List &amp; Usage'!$C$114*((('Weekly Summary'!AW$131*SelfQuarantine_Mild)+('Weekly Summary'!AW$100*SelfQuarantine_Mild)+('Weekly Summary'!AW$101*SelfQuarantine_Moderate))),'Equipment List &amp; Usage'!$C$115)*((('Weekly Summary'!AW$131*SelfQuarantine_Mild*'Equipment List &amp; Usage'!$W22)+('Weekly Summary'!AW$100*SelfQuarantine_Mild*'Equipment List &amp; Usage'!$X22)+('Weekly Summary'!AW$101*SelfQuarantine_Moderate*'Equipment List &amp; Usage'!$X22))))+IF('Equipment List &amp; Usage'!$F22="Yes",'Equipment List &amp; Usage'!$C$114*(IF('Equipment List &amp; Usage'!$AA22&gt;0,'Weekly Summary'!AW$128,0)+IF('Equipment List &amp; Usage'!$AB22&gt;0,'Weekly Summary'!AW$100+'Weekly Summary'!AW$101,0)),'Equipment List &amp; Usage'!$C$115*(('Weekly Summary'!AW$128*'Equipment List &amp; Usage'!$AA22)+('Weekly Summary'!AW$100*'Equipment List &amp; Usage'!$AB22*SelfQuarantine_Mild)+('Weekly Summary'!AW$101*'Equipment List &amp; Usage'!$AB22*SelfQuarantine_Moderate)))+IF('Equipment List &amp; Usage'!$F22="Yes",('Equipment List &amp; Usage'!$C$114*(IF('Equipment List &amp; Usage'!$AE22&gt;0,'Weekly Summary'!AW$134,0)+IF('Equipment List &amp; Usage'!$AF22&gt;0,'Weekly Summary'!AW$135))),'Equipment List &amp; Usage'!$C$115*(('Weekly Summary'!AW$134*'Equipment List &amp; Usage'!$AE22)+('Weekly Summary'!AW$135*'Equipment List &amp; Usage'!$AF22)))),0)</f>
        <v>0</v>
      </c>
      <c r="BD20" s="1374">
        <f ca="1">MAX(IF($F20="Yes",(
IF($F20="yes",MMULT(--('Equipment List &amp; Usage'!$J22:$N22&gt;0),--('Weekly Summary'!AX$112:AX$116))*'Equipment List &amp; Usage'!$C$114,MMULT(--('Equipment List &amp; Usage'!$J22:$N22),--('Weekly Summary'!AX$112:AX$116))*'Equipment List &amp; Usage'!$C$115)+IF('Equipment List &amp; Usage'!$F21="yes",'Equipment List &amp; Usage'!$C$114,'Equipment List &amp; Usage'!$C$115)*(('Weekly Summary'!AX$66*'Equipment List &amp; Usage'!$Q22)+('Weekly Summary'!AX$64*'Equipment List &amp; Usage'!$O22)+('Weekly Summary'!AX$65*'Equipment List &amp; Usage'!$P22)))+(IF('Equipment List &amp; Usage'!$F22="Yes",'Equipment List &amp; Usage'!$C$114*((('Weekly Summary'!AX$131*SelfQuarantine_Mild)+('Weekly Summary'!AX$100*SelfQuarantine_Mild)+('Weekly Summary'!AX$101*SelfQuarantine_Moderate))),'Equipment List &amp; Usage'!$C$115)*((('Weekly Summary'!AX$131*SelfQuarantine_Mild*'Equipment List &amp; Usage'!$W22)+('Weekly Summary'!AX$100*SelfQuarantine_Mild*'Equipment List &amp; Usage'!$X22)+('Weekly Summary'!AX$101*SelfQuarantine_Moderate*'Equipment List &amp; Usage'!$X22)))+IF('Equipment List &amp; Usage'!$F22="Yes",'Equipment List &amp; Usage'!$C$114*(IF('Equipment List &amp; Usage'!$AA22&gt;0,'Weekly Summary'!AX$128,0)+IF('Equipment List &amp; Usage'!$AB22&gt;0,'Weekly Summary'!AX$100+'Weekly Summary'!AX$101,0)),'Equipment List &amp; Usage'!$C$115*(('Weekly Summary'!AX$128*'Equipment List &amp; Usage'!$AA22)+('Weekly Summary'!AX$100*'Equipment List &amp; Usage'!$AB22*SelfQuarantine_Mild)+('Weekly Summary'!AX$101*'Equipment List &amp; Usage'!$AB22*SelfQuarantine_Moderate)))+IF('Equipment List &amp; Usage'!$F22="Yes",('Equipment List &amp; Usage'!$C$114*(IF('Equipment List &amp; Usage'!$AE22&gt;0,'Weekly Summary'!AX$134,0)+IF('Equipment List &amp; Usage'!$AF22&gt;0,'Weekly Summary'!AX$135))),'Equipment List &amp; Usage'!$C$115*(('Weekly Summary'!AX$134*'Equipment List &amp; Usage'!$AE22)+('Weekly Summary'!AX$135*'Equipment List &amp; Usage'!$AF22))))-SUM($I20:BC20),
IF($F20="yes",MMULT(--('Equipment List &amp; Usage'!$J22:$N22&gt;0),--('Weekly Summary'!AX$112:AX$116))*'Equipment List &amp; Usage'!$C$114,MMULT(--('Equipment List &amp; Usage'!$J22:$N22),--('Weekly Summary'!AX$112:AX$116))*'Equipment List &amp; Usage'!$C$115)+IF('Equipment List &amp; Usage'!$F21="yes",'Equipment List &amp; Usage'!$C$114,'Equipment List &amp; Usage'!$C$115)*(('Weekly Summary'!AX$66*'Equipment List &amp; Usage'!$Q22)+('Weekly Summary'!AX$64*'Equipment List &amp; Usage'!$O22)+('Weekly Summary'!AX$65*'Equipment List &amp; Usage'!$P22))+(IF('Equipment List &amp; Usage'!$F22="Yes",'Equipment List &amp; Usage'!$C$114*((('Weekly Summary'!AX$131*SelfQuarantine_Mild)+('Weekly Summary'!AX$100*SelfQuarantine_Mild)+('Weekly Summary'!AX$101*SelfQuarantine_Moderate))),'Equipment List &amp; Usage'!$C$115)*((('Weekly Summary'!AX$131*SelfQuarantine_Mild*'Equipment List &amp; Usage'!$W22)+('Weekly Summary'!AX$100*SelfQuarantine_Mild*'Equipment List &amp; Usage'!$X22)+('Weekly Summary'!AX$101*SelfQuarantine_Moderate*'Equipment List &amp; Usage'!$X22))))+IF('Equipment List &amp; Usage'!$F22="Yes",'Equipment List &amp; Usage'!$C$114*(IF('Equipment List &amp; Usage'!$AA22&gt;0,'Weekly Summary'!AX$128,0)+IF('Equipment List &amp; Usage'!$AB22&gt;0,'Weekly Summary'!AX$100+'Weekly Summary'!AX$101,0)),'Equipment List &amp; Usage'!$C$115*(('Weekly Summary'!AX$128*'Equipment List &amp; Usage'!$AA22)+('Weekly Summary'!AX$100*'Equipment List &amp; Usage'!$AB22*SelfQuarantine_Mild)+('Weekly Summary'!AX$101*'Equipment List &amp; Usage'!$AB22*SelfQuarantine_Moderate)))+IF('Equipment List &amp; Usage'!$F22="Yes",('Equipment List &amp; Usage'!$C$114*(IF('Equipment List &amp; Usage'!$AE22&gt;0,'Weekly Summary'!AX$134,0)+IF('Equipment List &amp; Usage'!$AF22&gt;0,'Weekly Summary'!AX$135))),'Equipment List &amp; Usage'!$C$115*(('Weekly Summary'!AX$134*'Equipment List &amp; Usage'!$AE22)+('Weekly Summary'!AX$135*'Equipment List &amp; Usage'!$AF22)))),0)</f>
        <v>0</v>
      </c>
      <c r="BE20" s="1374">
        <f ca="1">MAX(IF($F20="Yes",(
IF($F20="yes",MMULT(--('Equipment List &amp; Usage'!$J22:$N22&gt;0),--('Weekly Summary'!AY$112:AY$116))*'Equipment List &amp; Usage'!$C$114,MMULT(--('Equipment List &amp; Usage'!$J22:$N22),--('Weekly Summary'!AY$112:AY$116))*'Equipment List &amp; Usage'!$C$115)+IF('Equipment List &amp; Usage'!$F21="yes",'Equipment List &amp; Usage'!$C$114,'Equipment List &amp; Usage'!$C$115)*(('Weekly Summary'!AY$66*'Equipment List &amp; Usage'!$Q22)+('Weekly Summary'!AY$64*'Equipment List &amp; Usage'!$O22)+('Weekly Summary'!AY$65*'Equipment List &amp; Usage'!$P22)))+(IF('Equipment List &amp; Usage'!$F22="Yes",'Equipment List &amp; Usage'!$C$114*((('Weekly Summary'!AY$131*SelfQuarantine_Mild)+('Weekly Summary'!AY$100*SelfQuarantine_Mild)+('Weekly Summary'!AY$101*SelfQuarantine_Moderate))),'Equipment List &amp; Usage'!$C$115)*((('Weekly Summary'!AY$131*SelfQuarantine_Mild*'Equipment List &amp; Usage'!$W22)+('Weekly Summary'!AY$100*SelfQuarantine_Mild*'Equipment List &amp; Usage'!$X22)+('Weekly Summary'!AY$101*SelfQuarantine_Moderate*'Equipment List &amp; Usage'!$X22)))+IF('Equipment List &amp; Usage'!$F22="Yes",'Equipment List &amp; Usage'!$C$114*(IF('Equipment List &amp; Usage'!$AA22&gt;0,'Weekly Summary'!AY$128,0)+IF('Equipment List &amp; Usage'!$AB22&gt;0,'Weekly Summary'!AY$100+'Weekly Summary'!AY$101,0)),'Equipment List &amp; Usage'!$C$115*(('Weekly Summary'!AY$128*'Equipment List &amp; Usage'!$AA22)+('Weekly Summary'!AY$100*'Equipment List &amp; Usage'!$AB22*SelfQuarantine_Mild)+('Weekly Summary'!AY$101*'Equipment List &amp; Usage'!$AB22*SelfQuarantine_Moderate)))+IF('Equipment List &amp; Usage'!$F22="Yes",('Equipment List &amp; Usage'!$C$114*(IF('Equipment List &amp; Usage'!$AE22&gt;0,'Weekly Summary'!AY$134,0)+IF('Equipment List &amp; Usage'!$AF22&gt;0,'Weekly Summary'!AY$135))),'Equipment List &amp; Usage'!$C$115*(('Weekly Summary'!AY$134*'Equipment List &amp; Usage'!$AE22)+('Weekly Summary'!AY$135*'Equipment List &amp; Usage'!$AF22))))-SUM($I20:BD20),
IF($F20="yes",MMULT(--('Equipment List &amp; Usage'!$J22:$N22&gt;0),--('Weekly Summary'!AY$112:AY$116))*'Equipment List &amp; Usage'!$C$114,MMULT(--('Equipment List &amp; Usage'!$J22:$N22),--('Weekly Summary'!AY$112:AY$116))*'Equipment List &amp; Usage'!$C$115)+IF('Equipment List &amp; Usage'!$F21="yes",'Equipment List &amp; Usage'!$C$114,'Equipment List &amp; Usage'!$C$115)*(('Weekly Summary'!AY$66*'Equipment List &amp; Usage'!$Q22)+('Weekly Summary'!AY$64*'Equipment List &amp; Usage'!$O22)+('Weekly Summary'!AY$65*'Equipment List &amp; Usage'!$P22))+(IF('Equipment List &amp; Usage'!$F22="Yes",'Equipment List &amp; Usage'!$C$114*((('Weekly Summary'!AY$131*SelfQuarantine_Mild)+('Weekly Summary'!AY$100*SelfQuarantine_Mild)+('Weekly Summary'!AY$101*SelfQuarantine_Moderate))),'Equipment List &amp; Usage'!$C$115)*((('Weekly Summary'!AY$131*SelfQuarantine_Mild*'Equipment List &amp; Usage'!$W22)+('Weekly Summary'!AY$100*SelfQuarantine_Mild*'Equipment List &amp; Usage'!$X22)+('Weekly Summary'!AY$101*SelfQuarantine_Moderate*'Equipment List &amp; Usage'!$X22))))+IF('Equipment List &amp; Usage'!$F22="Yes",'Equipment List &amp; Usage'!$C$114*(IF('Equipment List &amp; Usage'!$AA22&gt;0,'Weekly Summary'!AY$128,0)+IF('Equipment List &amp; Usage'!$AB22&gt;0,'Weekly Summary'!AY$100+'Weekly Summary'!AY$101,0)),'Equipment List &amp; Usage'!$C$115*(('Weekly Summary'!AY$128*'Equipment List &amp; Usage'!$AA22)+('Weekly Summary'!AY$100*'Equipment List &amp; Usage'!$AB22*SelfQuarantine_Mild)+('Weekly Summary'!AY$101*'Equipment List &amp; Usage'!$AB22*SelfQuarantine_Moderate)))+IF('Equipment List &amp; Usage'!$F22="Yes",('Equipment List &amp; Usage'!$C$114*(IF('Equipment List &amp; Usage'!$AE22&gt;0,'Weekly Summary'!AY$134,0)+IF('Equipment List &amp; Usage'!$AF22&gt;0,'Weekly Summary'!AY$135))),'Equipment List &amp; Usage'!$C$115*(('Weekly Summary'!AY$134*'Equipment List &amp; Usage'!$AE22)+('Weekly Summary'!AY$135*'Equipment List &amp; Usage'!$AF22)))),0)</f>
        <v>0</v>
      </c>
      <c r="BF20" s="1374">
        <f ca="1">MAX(IF($F20="Yes",(
IF($F20="yes",MMULT(--('Equipment List &amp; Usage'!$J22:$N22&gt;0),--('Weekly Summary'!AZ$112:AZ$116))*'Equipment List &amp; Usage'!$C$114,MMULT(--('Equipment List &amp; Usage'!$J22:$N22),--('Weekly Summary'!AZ$112:AZ$116))*'Equipment List &amp; Usage'!$C$115)+IF('Equipment List &amp; Usage'!$F21="yes",'Equipment List &amp; Usage'!$C$114,'Equipment List &amp; Usage'!$C$115)*(('Weekly Summary'!AZ$66*'Equipment List &amp; Usage'!$Q22)+('Weekly Summary'!AZ$64*'Equipment List &amp; Usage'!$O22)+('Weekly Summary'!AZ$65*'Equipment List &amp; Usage'!$P22)))+(IF('Equipment List &amp; Usage'!$F22="Yes",'Equipment List &amp; Usage'!$C$114*((('Weekly Summary'!AZ$131*SelfQuarantine_Mild)+('Weekly Summary'!AZ$100*SelfQuarantine_Mild)+('Weekly Summary'!AZ$101*SelfQuarantine_Moderate))),'Equipment List &amp; Usage'!$C$115)*((('Weekly Summary'!AZ$131*SelfQuarantine_Mild*'Equipment List &amp; Usage'!$W22)+('Weekly Summary'!AZ$100*SelfQuarantine_Mild*'Equipment List &amp; Usage'!$X22)+('Weekly Summary'!AZ$101*SelfQuarantine_Moderate*'Equipment List &amp; Usage'!$X22)))+IF('Equipment List &amp; Usage'!$F22="Yes",'Equipment List &amp; Usage'!$C$114*(IF('Equipment List &amp; Usage'!$AA22&gt;0,'Weekly Summary'!AZ$128,0)+IF('Equipment List &amp; Usage'!$AB22&gt;0,'Weekly Summary'!AZ$100+'Weekly Summary'!AZ$101,0)),'Equipment List &amp; Usage'!$C$115*(('Weekly Summary'!AZ$128*'Equipment List &amp; Usage'!$AA22)+('Weekly Summary'!AZ$100*'Equipment List &amp; Usage'!$AB22*SelfQuarantine_Mild)+('Weekly Summary'!AZ$101*'Equipment List &amp; Usage'!$AB22*SelfQuarantine_Moderate)))+IF('Equipment List &amp; Usage'!$F22="Yes",('Equipment List &amp; Usage'!$C$114*(IF('Equipment List &amp; Usage'!$AE22&gt;0,'Weekly Summary'!AZ$134,0)+IF('Equipment List &amp; Usage'!$AF22&gt;0,'Weekly Summary'!AZ$135))),'Equipment List &amp; Usage'!$C$115*(('Weekly Summary'!AZ$134*'Equipment List &amp; Usage'!$AE22)+('Weekly Summary'!AZ$135*'Equipment List &amp; Usage'!$AF22))))-SUM($I20:BE20),
IF($F20="yes",MMULT(--('Equipment List &amp; Usage'!$J22:$N22&gt;0),--('Weekly Summary'!AZ$112:AZ$116))*'Equipment List &amp; Usage'!$C$114,MMULT(--('Equipment List &amp; Usage'!$J22:$N22),--('Weekly Summary'!AZ$112:AZ$116))*'Equipment List &amp; Usage'!$C$115)+IF('Equipment List &amp; Usage'!$F21="yes",'Equipment List &amp; Usage'!$C$114,'Equipment List &amp; Usage'!$C$115)*(('Weekly Summary'!AZ$66*'Equipment List &amp; Usage'!$Q22)+('Weekly Summary'!AZ$64*'Equipment List &amp; Usage'!$O22)+('Weekly Summary'!AZ$65*'Equipment List &amp; Usage'!$P22))+(IF('Equipment List &amp; Usage'!$F22="Yes",'Equipment List &amp; Usage'!$C$114*((('Weekly Summary'!AZ$131*SelfQuarantine_Mild)+('Weekly Summary'!AZ$100*SelfQuarantine_Mild)+('Weekly Summary'!AZ$101*SelfQuarantine_Moderate))),'Equipment List &amp; Usage'!$C$115)*((('Weekly Summary'!AZ$131*SelfQuarantine_Mild*'Equipment List &amp; Usage'!$W22)+('Weekly Summary'!AZ$100*SelfQuarantine_Mild*'Equipment List &amp; Usage'!$X22)+('Weekly Summary'!AZ$101*SelfQuarantine_Moderate*'Equipment List &amp; Usage'!$X22))))+IF('Equipment List &amp; Usage'!$F22="Yes",'Equipment List &amp; Usage'!$C$114*(IF('Equipment List &amp; Usage'!$AA22&gt;0,'Weekly Summary'!AZ$128,0)+IF('Equipment List &amp; Usage'!$AB22&gt;0,'Weekly Summary'!AZ$100+'Weekly Summary'!AZ$101,0)),'Equipment List &amp; Usage'!$C$115*(('Weekly Summary'!AZ$128*'Equipment List &amp; Usage'!$AA22)+('Weekly Summary'!AZ$100*'Equipment List &amp; Usage'!$AB22*SelfQuarantine_Mild)+('Weekly Summary'!AZ$101*'Equipment List &amp; Usage'!$AB22*SelfQuarantine_Moderate)))+IF('Equipment List &amp; Usage'!$F22="Yes",('Equipment List &amp; Usage'!$C$114*(IF('Equipment List &amp; Usage'!$AE22&gt;0,'Weekly Summary'!AZ$134,0)+IF('Equipment List &amp; Usage'!$AF22&gt;0,'Weekly Summary'!AZ$135))),'Equipment List &amp; Usage'!$C$115*(('Weekly Summary'!AZ$134*'Equipment List &amp; Usage'!$AE22)+('Weekly Summary'!AZ$135*'Equipment List &amp; Usage'!$AF22)))),0)</f>
        <v>0</v>
      </c>
      <c r="BG20" s="1374">
        <f ca="1">MAX(IF($F20="Yes",(
IF($F20="yes",MMULT(--('Equipment List &amp; Usage'!$J22:$N22&gt;0),--('Weekly Summary'!BA$112:BA$116))*'Equipment List &amp; Usage'!$C$114,MMULT(--('Equipment List &amp; Usage'!$J22:$N22),--('Weekly Summary'!BA$112:BA$116))*'Equipment List &amp; Usage'!$C$115)+IF('Equipment List &amp; Usage'!$F21="yes",'Equipment List &amp; Usage'!$C$114,'Equipment List &amp; Usage'!$C$115)*(('Weekly Summary'!BA$66*'Equipment List &amp; Usage'!$Q22)+('Weekly Summary'!BA$64*'Equipment List &amp; Usage'!$O22)+('Weekly Summary'!BA$65*'Equipment List &amp; Usage'!$P22)))+(IF('Equipment List &amp; Usage'!$F22="Yes",'Equipment List &amp; Usage'!$C$114*((('Weekly Summary'!BA$131*SelfQuarantine_Mild)+('Weekly Summary'!BA$100*SelfQuarantine_Mild)+('Weekly Summary'!BA$101*SelfQuarantine_Moderate))),'Equipment List &amp; Usage'!$C$115)*((('Weekly Summary'!BA$131*SelfQuarantine_Mild*'Equipment List &amp; Usage'!$W22)+('Weekly Summary'!BA$100*SelfQuarantine_Mild*'Equipment List &amp; Usage'!$X22)+('Weekly Summary'!BA$101*SelfQuarantine_Moderate*'Equipment List &amp; Usage'!$X22)))+IF('Equipment List &amp; Usage'!$F22="Yes",'Equipment List &amp; Usage'!$C$114*(IF('Equipment List &amp; Usage'!$AA22&gt;0,'Weekly Summary'!BA$128,0)+IF('Equipment List &amp; Usage'!$AB22&gt;0,'Weekly Summary'!BA$100+'Weekly Summary'!BA$101,0)),'Equipment List &amp; Usage'!$C$115*(('Weekly Summary'!BA$128*'Equipment List &amp; Usage'!$AA22)+('Weekly Summary'!BA$100*'Equipment List &amp; Usage'!$AB22*SelfQuarantine_Mild)+('Weekly Summary'!BA$101*'Equipment List &amp; Usage'!$AB22*SelfQuarantine_Moderate)))+IF('Equipment List &amp; Usage'!$F22="Yes",('Equipment List &amp; Usage'!$C$114*(IF('Equipment List &amp; Usage'!$AE22&gt;0,'Weekly Summary'!BA$134,0)+IF('Equipment List &amp; Usage'!$AF22&gt;0,'Weekly Summary'!BA$135))),'Equipment List &amp; Usage'!$C$115*(('Weekly Summary'!BA$134*'Equipment List &amp; Usage'!$AE22)+('Weekly Summary'!BA$135*'Equipment List &amp; Usage'!$AF22))))-SUM($I20:BF20),
IF($F20="yes",MMULT(--('Equipment List &amp; Usage'!$J22:$N22&gt;0),--('Weekly Summary'!BA$112:BA$116))*'Equipment List &amp; Usage'!$C$114,MMULT(--('Equipment List &amp; Usage'!$J22:$N22),--('Weekly Summary'!BA$112:BA$116))*'Equipment List &amp; Usage'!$C$115)+IF('Equipment List &amp; Usage'!$F21="yes",'Equipment List &amp; Usage'!$C$114,'Equipment List &amp; Usage'!$C$115)*(('Weekly Summary'!BA$66*'Equipment List &amp; Usage'!$Q22)+('Weekly Summary'!BA$64*'Equipment List &amp; Usage'!$O22)+('Weekly Summary'!BA$65*'Equipment List &amp; Usage'!$P22))+(IF('Equipment List &amp; Usage'!$F22="Yes",'Equipment List &amp; Usage'!$C$114*((('Weekly Summary'!BA$131*SelfQuarantine_Mild)+('Weekly Summary'!BA$100*SelfQuarantine_Mild)+('Weekly Summary'!BA$101*SelfQuarantine_Moderate))),'Equipment List &amp; Usage'!$C$115)*((('Weekly Summary'!BA$131*SelfQuarantine_Mild*'Equipment List &amp; Usage'!$W22)+('Weekly Summary'!BA$100*SelfQuarantine_Mild*'Equipment List &amp; Usage'!$X22)+('Weekly Summary'!BA$101*SelfQuarantine_Moderate*'Equipment List &amp; Usage'!$X22))))+IF('Equipment List &amp; Usage'!$F22="Yes",'Equipment List &amp; Usage'!$C$114*(IF('Equipment List &amp; Usage'!$AA22&gt;0,'Weekly Summary'!BA$128,0)+IF('Equipment List &amp; Usage'!$AB22&gt;0,'Weekly Summary'!BA$100+'Weekly Summary'!BA$101,0)),'Equipment List &amp; Usage'!$C$115*(('Weekly Summary'!BA$128*'Equipment List &amp; Usage'!$AA22)+('Weekly Summary'!BA$100*'Equipment List &amp; Usage'!$AB22*SelfQuarantine_Mild)+('Weekly Summary'!BA$101*'Equipment List &amp; Usage'!$AB22*SelfQuarantine_Moderate)))+IF('Equipment List &amp; Usage'!$F22="Yes",('Equipment List &amp; Usage'!$C$114*(IF('Equipment List &amp; Usage'!$AE22&gt;0,'Weekly Summary'!BA$134,0)+IF('Equipment List &amp; Usage'!$AF22&gt;0,'Weekly Summary'!BA$135))),'Equipment List &amp; Usage'!$C$115*(('Weekly Summary'!BA$134*'Equipment List &amp; Usage'!$AE22)+('Weekly Summary'!BA$135*'Equipment List &amp; Usage'!$AF22)))),0)</f>
        <v>0</v>
      </c>
      <c r="BH20" s="1374">
        <f ca="1">MAX(IF($F20="Yes",(
IF($F20="yes",MMULT(--('Equipment List &amp; Usage'!$J22:$N22&gt;0),--('Weekly Summary'!BB$112:BB$116))*'Equipment List &amp; Usage'!$C$114,MMULT(--('Equipment List &amp; Usage'!$J22:$N22),--('Weekly Summary'!BB$112:BB$116))*'Equipment List &amp; Usage'!$C$115)+IF('Equipment List &amp; Usage'!$F21="yes",'Equipment List &amp; Usage'!$C$114,'Equipment List &amp; Usage'!$C$115)*(('Weekly Summary'!BB$66*'Equipment List &amp; Usage'!$Q22)+('Weekly Summary'!BB$64*'Equipment List &amp; Usage'!$O22)+('Weekly Summary'!BB$65*'Equipment List &amp; Usage'!$P22)))+(IF('Equipment List &amp; Usage'!$F22="Yes",'Equipment List &amp; Usage'!$C$114*((('Weekly Summary'!BB$131*SelfQuarantine_Mild)+('Weekly Summary'!BB$100*SelfQuarantine_Mild)+('Weekly Summary'!BB$101*SelfQuarantine_Moderate))),'Equipment List &amp; Usage'!$C$115)*((('Weekly Summary'!BB$131*SelfQuarantine_Mild*'Equipment List &amp; Usage'!$W22)+('Weekly Summary'!BB$100*SelfQuarantine_Mild*'Equipment List &amp; Usage'!$X22)+('Weekly Summary'!BB$101*SelfQuarantine_Moderate*'Equipment List &amp; Usage'!$X22)))+IF('Equipment List &amp; Usage'!$F22="Yes",'Equipment List &amp; Usage'!$C$114*(IF('Equipment List &amp; Usage'!$AA22&gt;0,'Weekly Summary'!BB$128,0)+IF('Equipment List &amp; Usage'!$AB22&gt;0,'Weekly Summary'!BB$100+'Weekly Summary'!BB$101,0)),'Equipment List &amp; Usage'!$C$115*(('Weekly Summary'!BB$128*'Equipment List &amp; Usage'!$AA22)+('Weekly Summary'!BB$100*'Equipment List &amp; Usage'!$AB22*SelfQuarantine_Mild)+('Weekly Summary'!BB$101*'Equipment List &amp; Usage'!$AB22*SelfQuarantine_Moderate)))+IF('Equipment List &amp; Usage'!$F22="Yes",('Equipment List &amp; Usage'!$C$114*(IF('Equipment List &amp; Usage'!$AE22&gt;0,'Weekly Summary'!BB$134,0)+IF('Equipment List &amp; Usage'!$AF22&gt;0,'Weekly Summary'!BB$135))),'Equipment List &amp; Usage'!$C$115*(('Weekly Summary'!BB$134*'Equipment List &amp; Usage'!$AE22)+('Weekly Summary'!BB$135*'Equipment List &amp; Usage'!$AF22))))-SUM($I20:BG20),
IF($F20="yes",MMULT(--('Equipment List &amp; Usage'!$J22:$N22&gt;0),--('Weekly Summary'!BB$112:BB$116))*'Equipment List &amp; Usage'!$C$114,MMULT(--('Equipment List &amp; Usage'!$J22:$N22),--('Weekly Summary'!BB$112:BB$116))*'Equipment List &amp; Usage'!$C$115)+IF('Equipment List &amp; Usage'!$F21="yes",'Equipment List &amp; Usage'!$C$114,'Equipment List &amp; Usage'!$C$115)*(('Weekly Summary'!BB$66*'Equipment List &amp; Usage'!$Q22)+('Weekly Summary'!BB$64*'Equipment List &amp; Usage'!$O22)+('Weekly Summary'!BB$65*'Equipment List &amp; Usage'!$P22))+(IF('Equipment List &amp; Usage'!$F22="Yes",'Equipment List &amp; Usage'!$C$114*((('Weekly Summary'!BB$131*SelfQuarantine_Mild)+('Weekly Summary'!BB$100*SelfQuarantine_Mild)+('Weekly Summary'!BB$101*SelfQuarantine_Moderate))),'Equipment List &amp; Usage'!$C$115)*((('Weekly Summary'!BB$131*SelfQuarantine_Mild*'Equipment List &amp; Usage'!$W22)+('Weekly Summary'!BB$100*SelfQuarantine_Mild*'Equipment List &amp; Usage'!$X22)+('Weekly Summary'!BB$101*SelfQuarantine_Moderate*'Equipment List &amp; Usage'!$X22))))+IF('Equipment List &amp; Usage'!$F22="Yes",'Equipment List &amp; Usage'!$C$114*(IF('Equipment List &amp; Usage'!$AA22&gt;0,'Weekly Summary'!BB$128,0)+IF('Equipment List &amp; Usage'!$AB22&gt;0,'Weekly Summary'!BB$100+'Weekly Summary'!BB$101,0)),'Equipment List &amp; Usage'!$C$115*(('Weekly Summary'!BB$128*'Equipment List &amp; Usage'!$AA22)+('Weekly Summary'!BB$100*'Equipment List &amp; Usage'!$AB22*SelfQuarantine_Mild)+('Weekly Summary'!BB$101*'Equipment List &amp; Usage'!$AB22*SelfQuarantine_Moderate)))+IF('Equipment List &amp; Usage'!$F22="Yes",('Equipment List &amp; Usage'!$C$114*(IF('Equipment List &amp; Usage'!$AE22&gt;0,'Weekly Summary'!BB$134,0)+IF('Equipment List &amp; Usage'!$AF22&gt;0,'Weekly Summary'!BB$135))),'Equipment List &amp; Usage'!$C$115*(('Weekly Summary'!BB$134*'Equipment List &amp; Usage'!$AE22)+('Weekly Summary'!BB$135*'Equipment List &amp; Usage'!$AF22)))),0)</f>
        <v>0</v>
      </c>
      <c r="BI20" s="1374">
        <f ca="1">MAX(IF($F20="Yes",(
IF($F20="yes",MMULT(--('Equipment List &amp; Usage'!$J22:$N22&gt;0),--('Weekly Summary'!BC$112:BC$116))*'Equipment List &amp; Usage'!$C$114,MMULT(--('Equipment List &amp; Usage'!$J22:$N22),--('Weekly Summary'!BC$112:BC$116))*'Equipment List &amp; Usage'!$C$115)+IF('Equipment List &amp; Usage'!$F21="yes",'Equipment List &amp; Usage'!$C$114,'Equipment List &amp; Usage'!$C$115)*(('Weekly Summary'!BC$66*'Equipment List &amp; Usage'!$Q22)+('Weekly Summary'!BC$64*'Equipment List &amp; Usage'!$O22)+('Weekly Summary'!BC$65*'Equipment List &amp; Usage'!$P22)))+(IF('Equipment List &amp; Usage'!$F22="Yes",'Equipment List &amp; Usage'!$C$114*((('Weekly Summary'!BC$131*SelfQuarantine_Mild)+('Weekly Summary'!BC$100*SelfQuarantine_Mild)+('Weekly Summary'!BC$101*SelfQuarantine_Moderate))),'Equipment List &amp; Usage'!$C$115)*((('Weekly Summary'!BC$131*SelfQuarantine_Mild*'Equipment List &amp; Usage'!$W22)+('Weekly Summary'!BC$100*SelfQuarantine_Mild*'Equipment List &amp; Usage'!$X22)+('Weekly Summary'!BC$101*SelfQuarantine_Moderate*'Equipment List &amp; Usage'!$X22)))+IF('Equipment List &amp; Usage'!$F22="Yes",'Equipment List &amp; Usage'!$C$114*(IF('Equipment List &amp; Usage'!$AA22&gt;0,'Weekly Summary'!BC$128,0)+IF('Equipment List &amp; Usage'!$AB22&gt;0,'Weekly Summary'!BC$100+'Weekly Summary'!BC$101,0)),'Equipment List &amp; Usage'!$C$115*(('Weekly Summary'!BC$128*'Equipment List &amp; Usage'!$AA22)+('Weekly Summary'!BC$100*'Equipment List &amp; Usage'!$AB22*SelfQuarantine_Mild)+('Weekly Summary'!BC$101*'Equipment List &amp; Usage'!$AB22*SelfQuarantine_Moderate)))+IF('Equipment List &amp; Usage'!$F22="Yes",('Equipment List &amp; Usage'!$C$114*(IF('Equipment List &amp; Usage'!$AE22&gt;0,'Weekly Summary'!BC$134,0)+IF('Equipment List &amp; Usage'!$AF22&gt;0,'Weekly Summary'!BC$135))),'Equipment List &amp; Usage'!$C$115*(('Weekly Summary'!BC$134*'Equipment List &amp; Usage'!$AE22)+('Weekly Summary'!BC$135*'Equipment List &amp; Usage'!$AF22))))-SUM($I20:BH20),
IF($F20="yes",MMULT(--('Equipment List &amp; Usage'!$J22:$N22&gt;0),--('Weekly Summary'!BC$112:BC$116))*'Equipment List &amp; Usage'!$C$114,MMULT(--('Equipment List &amp; Usage'!$J22:$N22),--('Weekly Summary'!BC$112:BC$116))*'Equipment List &amp; Usage'!$C$115)+IF('Equipment List &amp; Usage'!$F21="yes",'Equipment List &amp; Usage'!$C$114,'Equipment List &amp; Usage'!$C$115)*(('Weekly Summary'!BC$66*'Equipment List &amp; Usage'!$Q22)+('Weekly Summary'!BC$64*'Equipment List &amp; Usage'!$O22)+('Weekly Summary'!BC$65*'Equipment List &amp; Usage'!$P22))+(IF('Equipment List &amp; Usage'!$F22="Yes",'Equipment List &amp; Usage'!$C$114*((('Weekly Summary'!BC$131*SelfQuarantine_Mild)+('Weekly Summary'!BC$100*SelfQuarantine_Mild)+('Weekly Summary'!BC$101*SelfQuarantine_Moderate))),'Equipment List &amp; Usage'!$C$115)*((('Weekly Summary'!BC$131*SelfQuarantine_Mild*'Equipment List &amp; Usage'!$W22)+('Weekly Summary'!BC$100*SelfQuarantine_Mild*'Equipment List &amp; Usage'!$X22)+('Weekly Summary'!BC$101*SelfQuarantine_Moderate*'Equipment List &amp; Usage'!$X22))))+IF('Equipment List &amp; Usage'!$F22="Yes",'Equipment List &amp; Usage'!$C$114*(IF('Equipment List &amp; Usage'!$AA22&gt;0,'Weekly Summary'!BC$128,0)+IF('Equipment List &amp; Usage'!$AB22&gt;0,'Weekly Summary'!BC$100+'Weekly Summary'!BC$101,0)),'Equipment List &amp; Usage'!$C$115*(('Weekly Summary'!BC$128*'Equipment List &amp; Usage'!$AA22)+('Weekly Summary'!BC$100*'Equipment List &amp; Usage'!$AB22*SelfQuarantine_Mild)+('Weekly Summary'!BC$101*'Equipment List &amp; Usage'!$AB22*SelfQuarantine_Moderate)))+IF('Equipment List &amp; Usage'!$F22="Yes",('Equipment List &amp; Usage'!$C$114*(IF('Equipment List &amp; Usage'!$AE22&gt;0,'Weekly Summary'!BC$134,0)+IF('Equipment List &amp; Usage'!$AF22&gt;0,'Weekly Summary'!BC$135))),'Equipment List &amp; Usage'!$C$115*(('Weekly Summary'!BC$134*'Equipment List &amp; Usage'!$AE22)+('Weekly Summary'!BC$135*'Equipment List &amp; Usage'!$AF22)))),0)</f>
        <v>0</v>
      </c>
      <c r="BJ20" s="1377">
        <f ca="1">MAX(IF($F20="Yes",(
IF($F20="yes",MMULT(--('Equipment List &amp; Usage'!$J22:$N22&gt;0),--('Weekly Summary'!BD$112:BD$116))*'Equipment List &amp; Usage'!$C$114,MMULT(--('Equipment List &amp; Usage'!$J22:$N22),--('Weekly Summary'!BD$112:BD$116))*'Equipment List &amp; Usage'!$C$115)+IF('Equipment List &amp; Usage'!$F21="yes",'Equipment List &amp; Usage'!$C$114,'Equipment List &amp; Usage'!$C$115)*(('Weekly Summary'!BD$66*'Equipment List &amp; Usage'!$Q22)+('Weekly Summary'!BD$64*'Equipment List &amp; Usage'!$O22)+('Weekly Summary'!BD$65*'Equipment List &amp; Usage'!$P22)))+(IF('Equipment List &amp; Usage'!$F22="Yes",'Equipment List &amp; Usage'!$C$114*((('Weekly Summary'!BD$131*SelfQuarantine_Mild)+('Weekly Summary'!BD$100*SelfQuarantine_Mild)+('Weekly Summary'!BD$101*SelfQuarantine_Moderate))),'Equipment List &amp; Usage'!$C$115)*((('Weekly Summary'!BD$131*SelfQuarantine_Mild*'Equipment List &amp; Usage'!$W22)+('Weekly Summary'!BD$100*SelfQuarantine_Mild*'Equipment List &amp; Usage'!$X22)+('Weekly Summary'!BD$101*SelfQuarantine_Moderate*'Equipment List &amp; Usage'!$X22)))+IF('Equipment List &amp; Usage'!$F22="Yes",'Equipment List &amp; Usage'!$C$114*(IF('Equipment List &amp; Usage'!$AA22&gt;0,'Weekly Summary'!BD$128,0)+IF('Equipment List &amp; Usage'!$AB22&gt;0,'Weekly Summary'!BD$100+'Weekly Summary'!BD$101,0)),'Equipment List &amp; Usage'!$C$115*(('Weekly Summary'!BD$128*'Equipment List &amp; Usage'!$AA22)+('Weekly Summary'!BD$100*'Equipment List &amp; Usage'!$AB22*SelfQuarantine_Mild)+('Weekly Summary'!BD$101*'Equipment List &amp; Usage'!$AB22*SelfQuarantine_Moderate)))+IF('Equipment List &amp; Usage'!$F22="Yes",('Equipment List &amp; Usage'!$C$114*(IF('Equipment List &amp; Usage'!$AE22&gt;0,'Weekly Summary'!BD$134,0)+IF('Equipment List &amp; Usage'!$AF22&gt;0,'Weekly Summary'!BD$135))),'Equipment List &amp; Usage'!$C$115*(('Weekly Summary'!BD$134*'Equipment List &amp; Usage'!$AE22)+('Weekly Summary'!BD$135*'Equipment List &amp; Usage'!$AF22))))-SUM($I20:BI20),
IF($F20="yes",MMULT(--('Equipment List &amp; Usage'!$J22:$N22&gt;0),--('Weekly Summary'!BD$112:BD$116))*'Equipment List &amp; Usage'!$C$114,MMULT(--('Equipment List &amp; Usage'!$J22:$N22),--('Weekly Summary'!BD$112:BD$116))*'Equipment List &amp; Usage'!$C$115)+IF('Equipment List &amp; Usage'!$F21="yes",'Equipment List &amp; Usage'!$C$114,'Equipment List &amp; Usage'!$C$115)*(('Weekly Summary'!BD$66*'Equipment List &amp; Usage'!$Q22)+('Weekly Summary'!BD$64*'Equipment List &amp; Usage'!$O22)+('Weekly Summary'!BD$65*'Equipment List &amp; Usage'!$P22))+(IF('Equipment List &amp; Usage'!$F22="Yes",'Equipment List &amp; Usage'!$C$114*((('Weekly Summary'!BD$131*SelfQuarantine_Mild)+('Weekly Summary'!BD$100*SelfQuarantine_Mild)+('Weekly Summary'!BD$101*SelfQuarantine_Moderate))),'Equipment List &amp; Usage'!$C$115)*((('Weekly Summary'!BD$131*SelfQuarantine_Mild*'Equipment List &amp; Usage'!$W22)+('Weekly Summary'!BD$100*SelfQuarantine_Mild*'Equipment List &amp; Usage'!$X22)+('Weekly Summary'!BD$101*SelfQuarantine_Moderate*'Equipment List &amp; Usage'!$X22))))+IF('Equipment List &amp; Usage'!$F22="Yes",'Equipment List &amp; Usage'!$C$114*(IF('Equipment List &amp; Usage'!$AA22&gt;0,'Weekly Summary'!BD$128,0)+IF('Equipment List &amp; Usage'!$AB22&gt;0,'Weekly Summary'!BD$100+'Weekly Summary'!BD$101,0)),'Equipment List &amp; Usage'!$C$115*(('Weekly Summary'!BD$128*'Equipment List &amp; Usage'!$AA22)+('Weekly Summary'!BD$100*'Equipment List &amp; Usage'!$AB22*SelfQuarantine_Mild)+('Weekly Summary'!BD$101*'Equipment List &amp; Usage'!$AB22*SelfQuarantine_Moderate)))+IF('Equipment List &amp; Usage'!$F22="Yes",('Equipment List &amp; Usage'!$C$114*(IF('Equipment List &amp; Usage'!$AE22&gt;0,'Weekly Summary'!BD$134,0)+IF('Equipment List &amp; Usage'!$AF22&gt;0,'Weekly Summary'!BD$135))),'Equipment List &amp; Usage'!$C$115*(('Weekly Summary'!BD$134*'Equipment List &amp; Usage'!$AE22)+('Weekly Summary'!BD$135*'Equipment List &amp; Usage'!$AF22)))),0)</f>
        <v>0</v>
      </c>
    </row>
    <row r="21" spans="2:62" x14ac:dyDescent="0.35">
      <c r="B21" s="949" t="str">
        <f>'Equipment List &amp; Usage'!B23</f>
        <v>IPC</v>
      </c>
      <c r="C21" s="948" t="str">
        <f>'Equipment List &amp; Usage'!C23</f>
        <v>PPE</v>
      </c>
      <c r="D21" s="948" t="str">
        <f>'Equipment List &amp; Usage'!D23</f>
        <v>Apron, disposable</v>
      </c>
      <c r="E21" s="948" t="str">
        <f>'Equipment List &amp; Usage'!E23</f>
        <v>Each</v>
      </c>
      <c r="F21" s="948" t="str">
        <f>'Equipment List &amp; Usage'!F23</f>
        <v>No</v>
      </c>
      <c r="G21" s="948" t="str">
        <f>'Equipment List &amp; Usage'!G23</f>
        <v>N/A</v>
      </c>
      <c r="H21" s="1365">
        <f t="shared" ca="1" si="2"/>
        <v>8529.1479905391716</v>
      </c>
      <c r="J21" s="1341"/>
      <c r="K21" s="1374">
        <f ca="1">IF('User Dashboard'!$H$13=1,0,IF($F21="Yes",(
IF($F21="yes",MMULT(--('Equipment List &amp; Usage'!$J23:$N23&gt;0),--('Weekly Summary'!E$112:E$116))*'Equipment List &amp; Usage'!$C$114,MMULT(--('Equipment List &amp; Usage'!$J23:$N23),--('Weekly Summary'!E$112:E$116))*'Equipment List &amp; Usage'!$C$115)+IF('Equipment List &amp; Usage'!$F22="yes",'Equipment List &amp; Usage'!$C$114,'Equipment List &amp; Usage'!$C$115)*(('Weekly Summary'!E$66*'Equipment List &amp; Usage'!$Q23)+('Weekly Summary'!E$64*'Equipment List &amp; Usage'!$O23)+('Weekly Summary'!E$65*'Equipment List &amp; Usage'!$P23)))+(IF('Equipment List &amp; Usage'!$F23="Yes",'Equipment List &amp; Usage'!$C$114*((('Weekly Summary'!E$131*SelfQuarantine_Mild)+('Weekly Summary'!E$100*SelfQuarantine_Mild)+('Weekly Summary'!E$101*SelfQuarantine_Moderate))),'Equipment List &amp; Usage'!$C$115)*((('Weekly Summary'!E$131*SelfQuarantine_Mild*'Equipment List &amp; Usage'!$W23)+('Weekly Summary'!E$100*SelfQuarantine_Mild*'Equipment List &amp; Usage'!$X23)+('Weekly Summary'!E$101*SelfQuarantine_Moderate*'Equipment List &amp; Usage'!$X23)))+IF('Equipment List &amp; Usage'!$F23="Yes",'Equipment List &amp; Usage'!$C$114*(IF('Equipment List &amp; Usage'!$AA23&gt;0,'Weekly Summary'!E$128,0)+IF('Equipment List &amp; Usage'!$AB23&gt;0,'Weekly Summary'!E$100+'Weekly Summary'!E$101,0)),'Equipment List &amp; Usage'!$C$115*(('Weekly Summary'!E$128*'Equipment List &amp; Usage'!$AA23)+('Weekly Summary'!E$100*'Equipment List &amp; Usage'!$AB23*SelfQuarantine_Mild)+('Weekly Summary'!E$101*'Equipment List &amp; Usage'!$AB23*SelfQuarantine_Moderate)))+IF('Equipment List &amp; Usage'!$F23="Yes",('Equipment List &amp; Usage'!$C$114*(IF('Equipment List &amp; Usage'!$AE23&gt;0,'Weekly Summary'!E$134,0)+IF('Equipment List &amp; Usage'!$AF23&gt;0,'Weekly Summary'!E$135))),'Equipment List &amp; Usage'!$C$115*(('Weekly Summary'!E$134*'Equipment List &amp; Usage'!$AE23)+('Weekly Summary'!E$135*'Equipment List &amp; Usage'!$AF23)))),
IF($F21="yes",MMULT(--('Equipment List &amp; Usage'!$J23:$N23&gt;0),--('Weekly Summary'!E$112:E$116))*'Equipment List &amp; Usage'!$C$114,MMULT(--('Equipment List &amp; Usage'!$J23:$N23),--('Weekly Summary'!E$112:E$116))*'Equipment List &amp; Usage'!$C$115)+IF('Equipment List &amp; Usage'!$F22="yes",'Equipment List &amp; Usage'!$C$114,'Equipment List &amp; Usage'!$C$115)*(('Weekly Summary'!E$66*'Equipment List &amp; Usage'!$Q23)+('Weekly Summary'!E$64*'Equipment List &amp; Usage'!$O23)+('Weekly Summary'!E$65*'Equipment List &amp; Usage'!$P23))+(IF('Equipment List &amp; Usage'!$F23="Yes",'Equipment List &amp; Usage'!$C$114*((('Weekly Summary'!E$131*SelfQuarantine_Mild)+('Weekly Summary'!E$100*SelfQuarantine_Mild)+('Weekly Summary'!E$101*SelfQuarantine_Moderate))),'Equipment List &amp; Usage'!$C$115)*((('Weekly Summary'!E$131*SelfQuarantine_Mild*'Equipment List &amp; Usage'!$W23)+('Weekly Summary'!E$100*SelfQuarantine_Mild*'Equipment List &amp; Usage'!$X23)+('Weekly Summary'!E$101*SelfQuarantine_Moderate*'Equipment List &amp; Usage'!$X23))))+IF('Equipment List &amp; Usage'!$F23="Yes",'Equipment List &amp; Usage'!$C$114*(IF('Equipment List &amp; Usage'!$AA23&gt;0,'Weekly Summary'!E$128,0)+IF('Equipment List &amp; Usage'!$AB23&gt;0,'Weekly Summary'!E$100+'Weekly Summary'!E$101,0)),'Equipment List &amp; Usage'!$C$115*(('Weekly Summary'!E$128*'Equipment List &amp; Usage'!$AA23)+('Weekly Summary'!E$100*'Equipment List &amp; Usage'!$AB23*SelfQuarantine_Mild)+('Weekly Summary'!E$101*'Equipment List &amp; Usage'!$AB23*SelfQuarantine_Moderate)))+IF('Equipment List &amp; Usage'!$F23="Yes",('Equipment List &amp; Usage'!$C$114*(IF('Equipment List &amp; Usage'!$AE23&gt;0,'Weekly Summary'!E$134,0)+IF('Equipment List &amp; Usage'!$AF23&gt;0,'Weekly Summary'!E$135))),'Equipment List &amp; Usage'!$C$115*(('Weekly Summary'!E$134*'Equipment List &amp; Usage'!$AE23)+('Weekly Summary'!E$135*'Equipment List &amp; Usage'!$AF23)))))</f>
        <v>12.762978349261932</v>
      </c>
      <c r="L21" s="1374">
        <f ca="1">MAX(IF($F21="Yes",(
IF($F21="yes",MMULT(--('Equipment List &amp; Usage'!$J23:$N23&gt;0),--('Weekly Summary'!F$112:F$116))*'Equipment List &amp; Usage'!$C$114,MMULT(--('Equipment List &amp; Usage'!$J23:$N23),--('Weekly Summary'!F$112:F$116))*'Equipment List &amp; Usage'!$C$115)+IF('Equipment List &amp; Usage'!$F22="yes",'Equipment List &amp; Usage'!$C$114,'Equipment List &amp; Usage'!$C$115)*(('Weekly Summary'!F$66*'Equipment List &amp; Usage'!$Q23)+('Weekly Summary'!F$64*'Equipment List &amp; Usage'!$O23)+('Weekly Summary'!F$65*'Equipment List &amp; Usage'!$P23)))+(IF('Equipment List &amp; Usage'!$F23="Yes",'Equipment List &amp; Usage'!$C$114*((('Weekly Summary'!F$131*SelfQuarantine_Mild)+('Weekly Summary'!F$100*SelfQuarantine_Mild)+('Weekly Summary'!F$101*SelfQuarantine_Moderate))),'Equipment List &amp; Usage'!$C$115)*((('Weekly Summary'!F$131*SelfQuarantine_Mild*'Equipment List &amp; Usage'!$W23)+('Weekly Summary'!F$100*SelfQuarantine_Mild*'Equipment List &amp; Usage'!$X23)+('Weekly Summary'!F$101*SelfQuarantine_Moderate*'Equipment List &amp; Usage'!$X23)))+IF('Equipment List &amp; Usage'!$F23="Yes",'Equipment List &amp; Usage'!$C$114*(IF('Equipment List &amp; Usage'!$AA23&gt;0,'Weekly Summary'!F$128,0)+IF('Equipment List &amp; Usage'!$AB23&gt;0,'Weekly Summary'!F$100+'Weekly Summary'!F$101,0)),'Equipment List &amp; Usage'!$C$115*(('Weekly Summary'!F$128*'Equipment List &amp; Usage'!$AA23)+('Weekly Summary'!F$100*'Equipment List &amp; Usage'!$AB23*SelfQuarantine_Mild)+('Weekly Summary'!F$101*'Equipment List &amp; Usage'!$AB23*SelfQuarantine_Moderate)))+IF('Equipment List &amp; Usage'!$F23="Yes",('Equipment List &amp; Usage'!$C$114*(IF('Equipment List &amp; Usage'!$AE23&gt;0,'Weekly Summary'!F$134,0)+IF('Equipment List &amp; Usage'!$AF23&gt;0,'Weekly Summary'!F$135))),'Equipment List &amp; Usage'!$C$115*(('Weekly Summary'!F$134*'Equipment List &amp; Usage'!$AE23)+('Weekly Summary'!F$135*'Equipment List &amp; Usage'!$AF23))))-SUM($I21:K21),
IF($F21="yes",MMULT(--('Equipment List &amp; Usage'!$J23:$N23&gt;0),--('Weekly Summary'!F$112:F$116))*'Equipment List &amp; Usage'!$C$114,MMULT(--('Equipment List &amp; Usage'!$J23:$N23),--('Weekly Summary'!F$112:F$116))*'Equipment List &amp; Usage'!$C$115)+IF('Equipment List &amp; Usage'!$F22="yes",'Equipment List &amp; Usage'!$C$114,'Equipment List &amp; Usage'!$C$115)*(('Weekly Summary'!F$66*'Equipment List &amp; Usage'!$Q23)+('Weekly Summary'!F$64*'Equipment List &amp; Usage'!$O23)+('Weekly Summary'!F$65*'Equipment List &amp; Usage'!$P23))+(IF('Equipment List &amp; Usage'!$F23="Yes",'Equipment List &amp; Usage'!$C$114*((('Weekly Summary'!F$131*SelfQuarantine_Mild)+('Weekly Summary'!F$100*SelfQuarantine_Mild)+('Weekly Summary'!F$101*SelfQuarantine_Moderate))),'Equipment List &amp; Usage'!$C$115)*((('Weekly Summary'!F$131*SelfQuarantine_Mild*'Equipment List &amp; Usage'!$W23)+('Weekly Summary'!F$100*SelfQuarantine_Mild*'Equipment List &amp; Usage'!$X23)+('Weekly Summary'!F$101*SelfQuarantine_Moderate*'Equipment List &amp; Usage'!$X23))))+IF('Equipment List &amp; Usage'!$F23="Yes",'Equipment List &amp; Usage'!$C$114*(IF('Equipment List &amp; Usage'!$AA23&gt;0,'Weekly Summary'!F$128,0)+IF('Equipment List &amp; Usage'!$AB23&gt;0,'Weekly Summary'!F$100+'Weekly Summary'!F$101,0)),'Equipment List &amp; Usage'!$C$115*(('Weekly Summary'!F$128*'Equipment List &amp; Usage'!$AA23)+('Weekly Summary'!F$100*'Equipment List &amp; Usage'!$AB23*SelfQuarantine_Mild)+('Weekly Summary'!F$101*'Equipment List &amp; Usage'!$AB23*SelfQuarantine_Moderate)))+IF('Equipment List &amp; Usage'!$F23="Yes",('Equipment List &amp; Usage'!$C$114*(IF('Equipment List &amp; Usage'!$AE23&gt;0,'Weekly Summary'!F$134,0)+IF('Equipment List &amp; Usage'!$AF23&gt;0,'Weekly Summary'!F$135))),'Equipment List &amp; Usage'!$C$115*(('Weekly Summary'!F$134*'Equipment List &amp; Usage'!$AE23)+('Weekly Summary'!F$135*'Equipment List &amp; Usage'!$AF23)))),0)</f>
        <v>43.40955560332084</v>
      </c>
      <c r="M21" s="1374">
        <f ca="1">MAX(IF($F21="Yes",(
IF($F21="yes",MMULT(--('Equipment List &amp; Usage'!$J23:$N23&gt;0),--('Weekly Summary'!G$112:G$116))*'Equipment List &amp; Usage'!$C$114,MMULT(--('Equipment List &amp; Usage'!$J23:$N23),--('Weekly Summary'!G$112:G$116))*'Equipment List &amp; Usage'!$C$115)+IF('Equipment List &amp; Usage'!$F22="yes",'Equipment List &amp; Usage'!$C$114,'Equipment List &amp; Usage'!$C$115)*(('Weekly Summary'!G$66*'Equipment List &amp; Usage'!$Q23)+('Weekly Summary'!G$64*'Equipment List &amp; Usage'!$O23)+('Weekly Summary'!G$65*'Equipment List &amp; Usage'!$P23)))+(IF('Equipment List &amp; Usage'!$F23="Yes",'Equipment List &amp; Usage'!$C$114*((('Weekly Summary'!G$131*SelfQuarantine_Mild)+('Weekly Summary'!G$100*SelfQuarantine_Mild)+('Weekly Summary'!G$101*SelfQuarantine_Moderate))),'Equipment List &amp; Usage'!$C$115)*((('Weekly Summary'!G$131*SelfQuarantine_Mild*'Equipment List &amp; Usage'!$W23)+('Weekly Summary'!G$100*SelfQuarantine_Mild*'Equipment List &amp; Usage'!$X23)+('Weekly Summary'!G$101*SelfQuarantine_Moderate*'Equipment List &amp; Usage'!$X23)))+IF('Equipment List &amp; Usage'!$F23="Yes",'Equipment List &amp; Usage'!$C$114*(IF('Equipment List &amp; Usage'!$AA23&gt;0,'Weekly Summary'!G$128,0)+IF('Equipment List &amp; Usage'!$AB23&gt;0,'Weekly Summary'!G$100+'Weekly Summary'!G$101,0)),'Equipment List &amp; Usage'!$C$115*(('Weekly Summary'!G$128*'Equipment List &amp; Usage'!$AA23)+('Weekly Summary'!G$100*'Equipment List &amp; Usage'!$AB23*SelfQuarantine_Mild)+('Weekly Summary'!G$101*'Equipment List &amp; Usage'!$AB23*SelfQuarantine_Moderate)))+IF('Equipment List &amp; Usage'!$F23="Yes",('Equipment List &amp; Usage'!$C$114*(IF('Equipment List &amp; Usage'!$AE23&gt;0,'Weekly Summary'!G$134,0)+IF('Equipment List &amp; Usage'!$AF23&gt;0,'Weekly Summary'!G$135))),'Equipment List &amp; Usage'!$C$115*(('Weekly Summary'!G$134*'Equipment List &amp; Usage'!$AE23)+('Weekly Summary'!G$135*'Equipment List &amp; Usage'!$AF23))))-SUM($I21:L21),
IF($F21="yes",MMULT(--('Equipment List &amp; Usage'!$J23:$N23&gt;0),--('Weekly Summary'!G$112:G$116))*'Equipment List &amp; Usage'!$C$114,MMULT(--('Equipment List &amp; Usage'!$J23:$N23),--('Weekly Summary'!G$112:G$116))*'Equipment List &amp; Usage'!$C$115)+IF('Equipment List &amp; Usage'!$F22="yes",'Equipment List &amp; Usage'!$C$114,'Equipment List &amp; Usage'!$C$115)*(('Weekly Summary'!G$66*'Equipment List &amp; Usage'!$Q23)+('Weekly Summary'!G$64*'Equipment List &amp; Usage'!$O23)+('Weekly Summary'!G$65*'Equipment List &amp; Usage'!$P23))+(IF('Equipment List &amp; Usage'!$F23="Yes",'Equipment List &amp; Usage'!$C$114*((('Weekly Summary'!G$131*SelfQuarantine_Mild)+('Weekly Summary'!G$100*SelfQuarantine_Mild)+('Weekly Summary'!G$101*SelfQuarantine_Moderate))),'Equipment List &amp; Usage'!$C$115)*((('Weekly Summary'!G$131*SelfQuarantine_Mild*'Equipment List &amp; Usage'!$W23)+('Weekly Summary'!G$100*SelfQuarantine_Mild*'Equipment List &amp; Usage'!$X23)+('Weekly Summary'!G$101*SelfQuarantine_Moderate*'Equipment List &amp; Usage'!$X23))))+IF('Equipment List &amp; Usage'!$F23="Yes",'Equipment List &amp; Usage'!$C$114*(IF('Equipment List &amp; Usage'!$AA23&gt;0,'Weekly Summary'!G$128,0)+IF('Equipment List &amp; Usage'!$AB23&gt;0,'Weekly Summary'!G$100+'Weekly Summary'!G$101,0)),'Equipment List &amp; Usage'!$C$115*(('Weekly Summary'!G$128*'Equipment List &amp; Usage'!$AA23)+('Weekly Summary'!G$100*'Equipment List &amp; Usage'!$AB23*SelfQuarantine_Mild)+('Weekly Summary'!G$101*'Equipment List &amp; Usage'!$AB23*SelfQuarantine_Moderate)))+IF('Equipment List &amp; Usage'!$F23="Yes",('Equipment List &amp; Usage'!$C$114*(IF('Equipment List &amp; Usage'!$AE23&gt;0,'Weekly Summary'!G$134,0)+IF('Equipment List &amp; Usage'!$AF23&gt;0,'Weekly Summary'!G$135))),'Equipment List &amp; Usage'!$C$115*(('Weekly Summary'!G$134*'Equipment List &amp; Usage'!$AE23)+('Weekly Summary'!G$135*'Equipment List &amp; Usage'!$AF23)))),0)</f>
        <v>149.17594576710795</v>
      </c>
      <c r="N21" s="1374">
        <f ca="1">MAX(IF($F21="Yes",(
IF($F21="yes",MMULT(--('Equipment List &amp; Usage'!$J23:$N23&gt;0),--('Weekly Summary'!H$112:H$116))*'Equipment List &amp; Usage'!$C$114,MMULT(--('Equipment List &amp; Usage'!$J23:$N23),--('Weekly Summary'!H$112:H$116))*'Equipment List &amp; Usage'!$C$115)+IF('Equipment List &amp; Usage'!$F22="yes",'Equipment List &amp; Usage'!$C$114,'Equipment List &amp; Usage'!$C$115)*(('Weekly Summary'!H$66*'Equipment List &amp; Usage'!$Q23)+('Weekly Summary'!H$64*'Equipment List &amp; Usage'!$O23)+('Weekly Summary'!H$65*'Equipment List &amp; Usage'!$P23)))+(IF('Equipment List &amp; Usage'!$F23="Yes",'Equipment List &amp; Usage'!$C$114*((('Weekly Summary'!H$131*SelfQuarantine_Mild)+('Weekly Summary'!H$100*SelfQuarantine_Mild)+('Weekly Summary'!H$101*SelfQuarantine_Moderate))),'Equipment List &amp; Usage'!$C$115)*((('Weekly Summary'!H$131*SelfQuarantine_Mild*'Equipment List &amp; Usage'!$W23)+('Weekly Summary'!H$100*SelfQuarantine_Mild*'Equipment List &amp; Usage'!$X23)+('Weekly Summary'!H$101*SelfQuarantine_Moderate*'Equipment List &amp; Usage'!$X23)))+IF('Equipment List &amp; Usage'!$F23="Yes",'Equipment List &amp; Usage'!$C$114*(IF('Equipment List &amp; Usage'!$AA23&gt;0,'Weekly Summary'!H$128,0)+IF('Equipment List &amp; Usage'!$AB23&gt;0,'Weekly Summary'!H$100+'Weekly Summary'!H$101,0)),'Equipment List &amp; Usage'!$C$115*(('Weekly Summary'!H$128*'Equipment List &amp; Usage'!$AA23)+('Weekly Summary'!H$100*'Equipment List &amp; Usage'!$AB23*SelfQuarantine_Mild)+('Weekly Summary'!H$101*'Equipment List &amp; Usage'!$AB23*SelfQuarantine_Moderate)))+IF('Equipment List &amp; Usage'!$F23="Yes",('Equipment List &amp; Usage'!$C$114*(IF('Equipment List &amp; Usage'!$AE23&gt;0,'Weekly Summary'!H$134,0)+IF('Equipment List &amp; Usage'!$AF23&gt;0,'Weekly Summary'!H$135))),'Equipment List &amp; Usage'!$C$115*(('Weekly Summary'!H$134*'Equipment List &amp; Usage'!$AE23)+('Weekly Summary'!H$135*'Equipment List &amp; Usage'!$AF23))))-SUM($I21:M21),
IF($F21="yes",MMULT(--('Equipment List &amp; Usage'!$J23:$N23&gt;0),--('Weekly Summary'!H$112:H$116))*'Equipment List &amp; Usage'!$C$114,MMULT(--('Equipment List &amp; Usage'!$J23:$N23),--('Weekly Summary'!H$112:H$116))*'Equipment List &amp; Usage'!$C$115)+IF('Equipment List &amp; Usage'!$F22="yes",'Equipment List &amp; Usage'!$C$114,'Equipment List &amp; Usage'!$C$115)*(('Weekly Summary'!H$66*'Equipment List &amp; Usage'!$Q23)+('Weekly Summary'!H$64*'Equipment List &amp; Usage'!$O23)+('Weekly Summary'!H$65*'Equipment List &amp; Usage'!$P23))+(IF('Equipment List &amp; Usage'!$F23="Yes",'Equipment List &amp; Usage'!$C$114*((('Weekly Summary'!H$131*SelfQuarantine_Mild)+('Weekly Summary'!H$100*SelfQuarantine_Mild)+('Weekly Summary'!H$101*SelfQuarantine_Moderate))),'Equipment List &amp; Usage'!$C$115)*((('Weekly Summary'!H$131*SelfQuarantine_Mild*'Equipment List &amp; Usage'!$W23)+('Weekly Summary'!H$100*SelfQuarantine_Mild*'Equipment List &amp; Usage'!$X23)+('Weekly Summary'!H$101*SelfQuarantine_Moderate*'Equipment List &amp; Usage'!$X23))))+IF('Equipment List &amp; Usage'!$F23="Yes",'Equipment List &amp; Usage'!$C$114*(IF('Equipment List &amp; Usage'!$AA23&gt;0,'Weekly Summary'!H$128,0)+IF('Equipment List &amp; Usage'!$AB23&gt;0,'Weekly Summary'!H$100+'Weekly Summary'!H$101,0)),'Equipment List &amp; Usage'!$C$115*(('Weekly Summary'!H$128*'Equipment List &amp; Usage'!$AA23)+('Weekly Summary'!H$100*'Equipment List &amp; Usage'!$AB23*SelfQuarantine_Mild)+('Weekly Summary'!H$101*'Equipment List &amp; Usage'!$AB23*SelfQuarantine_Moderate)))+IF('Equipment List &amp; Usage'!$F23="Yes",('Equipment List &amp; Usage'!$C$114*(IF('Equipment List &amp; Usage'!$AE23&gt;0,'Weekly Summary'!H$134,0)+IF('Equipment List &amp; Usage'!$AF23&gt;0,'Weekly Summary'!H$135))),'Equipment List &amp; Usage'!$C$115*(('Weekly Summary'!H$134*'Equipment List &amp; Usage'!$AE23)+('Weekly Summary'!H$135*'Equipment List &amp; Usage'!$AF23)))),0)</f>
        <v>512.62351000324225</v>
      </c>
      <c r="O21" s="1374">
        <f ca="1">MAX(IF($F21="Yes",(
IF($F21="yes",MMULT(--('Equipment List &amp; Usage'!$J23:$N23&gt;0),--('Weekly Summary'!I$112:I$116))*'Equipment List &amp; Usage'!$C$114,MMULT(--('Equipment List &amp; Usage'!$J23:$N23),--('Weekly Summary'!I$112:I$116))*'Equipment List &amp; Usage'!$C$115)+IF('Equipment List &amp; Usage'!$F22="yes",'Equipment List &amp; Usage'!$C$114,'Equipment List &amp; Usage'!$C$115)*(('Weekly Summary'!I$66*'Equipment List &amp; Usage'!$Q23)+('Weekly Summary'!I$64*'Equipment List &amp; Usage'!$O23)+('Weekly Summary'!I$65*'Equipment List &amp; Usage'!$P23)))+(IF('Equipment List &amp; Usage'!$F23="Yes",'Equipment List &amp; Usage'!$C$114*((('Weekly Summary'!I$131*SelfQuarantine_Mild)+('Weekly Summary'!I$100*SelfQuarantine_Mild)+('Weekly Summary'!I$101*SelfQuarantine_Moderate))),'Equipment List &amp; Usage'!$C$115)*((('Weekly Summary'!I$131*SelfQuarantine_Mild*'Equipment List &amp; Usage'!$W23)+('Weekly Summary'!I$100*SelfQuarantine_Mild*'Equipment List &amp; Usage'!$X23)+('Weekly Summary'!I$101*SelfQuarantine_Moderate*'Equipment List &amp; Usage'!$X23)))+IF('Equipment List &amp; Usage'!$F23="Yes",'Equipment List &amp; Usage'!$C$114*(IF('Equipment List &amp; Usage'!$AA23&gt;0,'Weekly Summary'!I$128,0)+IF('Equipment List &amp; Usage'!$AB23&gt;0,'Weekly Summary'!I$100+'Weekly Summary'!I$101,0)),'Equipment List &amp; Usage'!$C$115*(('Weekly Summary'!I$128*'Equipment List &amp; Usage'!$AA23)+('Weekly Summary'!I$100*'Equipment List &amp; Usage'!$AB23*SelfQuarantine_Mild)+('Weekly Summary'!I$101*'Equipment List &amp; Usage'!$AB23*SelfQuarantine_Moderate)))+IF('Equipment List &amp; Usage'!$F23="Yes",('Equipment List &amp; Usage'!$C$114*(IF('Equipment List &amp; Usage'!$AE23&gt;0,'Weekly Summary'!I$134,0)+IF('Equipment List &amp; Usage'!$AF23&gt;0,'Weekly Summary'!I$135))),'Equipment List &amp; Usage'!$C$115*(('Weekly Summary'!I$134*'Equipment List &amp; Usage'!$AE23)+('Weekly Summary'!I$135*'Equipment List &amp; Usage'!$AF23))))-SUM($I21:N21),
IF($F21="yes",MMULT(--('Equipment List &amp; Usage'!$J23:$N23&gt;0),--('Weekly Summary'!I$112:I$116))*'Equipment List &amp; Usage'!$C$114,MMULT(--('Equipment List &amp; Usage'!$J23:$N23),--('Weekly Summary'!I$112:I$116))*'Equipment List &amp; Usage'!$C$115)+IF('Equipment List &amp; Usage'!$F22="yes",'Equipment List &amp; Usage'!$C$114,'Equipment List &amp; Usage'!$C$115)*(('Weekly Summary'!I$66*'Equipment List &amp; Usage'!$Q23)+('Weekly Summary'!I$64*'Equipment List &amp; Usage'!$O23)+('Weekly Summary'!I$65*'Equipment List &amp; Usage'!$P23))+(IF('Equipment List &amp; Usage'!$F23="Yes",'Equipment List &amp; Usage'!$C$114*((('Weekly Summary'!I$131*SelfQuarantine_Mild)+('Weekly Summary'!I$100*SelfQuarantine_Mild)+('Weekly Summary'!I$101*SelfQuarantine_Moderate))),'Equipment List &amp; Usage'!$C$115)*((('Weekly Summary'!I$131*SelfQuarantine_Mild*'Equipment List &amp; Usage'!$W23)+('Weekly Summary'!I$100*SelfQuarantine_Mild*'Equipment List &amp; Usage'!$X23)+('Weekly Summary'!I$101*SelfQuarantine_Moderate*'Equipment List &amp; Usage'!$X23))))+IF('Equipment List &amp; Usage'!$F23="Yes",'Equipment List &amp; Usage'!$C$114*(IF('Equipment List &amp; Usage'!$AA23&gt;0,'Weekly Summary'!I$128,0)+IF('Equipment List &amp; Usage'!$AB23&gt;0,'Weekly Summary'!I$100+'Weekly Summary'!I$101,0)),'Equipment List &amp; Usage'!$C$115*(('Weekly Summary'!I$128*'Equipment List &amp; Usage'!$AA23)+('Weekly Summary'!I$100*'Equipment List &amp; Usage'!$AB23*SelfQuarantine_Mild)+('Weekly Summary'!I$101*'Equipment List &amp; Usage'!$AB23*SelfQuarantine_Moderate)))+IF('Equipment List &amp; Usage'!$F23="Yes",('Equipment List &amp; Usage'!$C$114*(IF('Equipment List &amp; Usage'!$AE23&gt;0,'Weekly Summary'!I$134,0)+IF('Equipment List &amp; Usage'!$AF23&gt;0,'Weekly Summary'!I$135))),'Equipment List &amp; Usage'!$C$115*(('Weekly Summary'!I$134*'Equipment List &amp; Usage'!$AE23)+('Weekly Summary'!I$135*'Equipment List &amp; Usage'!$AF23)))),0)</f>
        <v>1761.3717470143415</v>
      </c>
      <c r="P21" s="1374">
        <f ca="1">MAX(IF($F21="Yes",(
IF($F21="yes",MMULT(--('Equipment List &amp; Usage'!$J23:$N23&gt;0),--('Weekly Summary'!J$112:J$116))*'Equipment List &amp; Usage'!$C$114,MMULT(--('Equipment List &amp; Usage'!$J23:$N23),--('Weekly Summary'!J$112:J$116))*'Equipment List &amp; Usage'!$C$115)+IF('Equipment List &amp; Usage'!$F22="yes",'Equipment List &amp; Usage'!$C$114,'Equipment List &amp; Usage'!$C$115)*(('Weekly Summary'!J$66*'Equipment List &amp; Usage'!$Q23)+('Weekly Summary'!J$64*'Equipment List &amp; Usage'!$O23)+('Weekly Summary'!J$65*'Equipment List &amp; Usage'!$P23)))+(IF('Equipment List &amp; Usage'!$F23="Yes",'Equipment List &amp; Usage'!$C$114*((('Weekly Summary'!J$131*SelfQuarantine_Mild)+('Weekly Summary'!J$100*SelfQuarantine_Mild)+('Weekly Summary'!J$101*SelfQuarantine_Moderate))),'Equipment List &amp; Usage'!$C$115)*((('Weekly Summary'!J$131*SelfQuarantine_Mild*'Equipment List &amp; Usage'!$W23)+('Weekly Summary'!J$100*SelfQuarantine_Mild*'Equipment List &amp; Usage'!$X23)+('Weekly Summary'!J$101*SelfQuarantine_Moderate*'Equipment List &amp; Usage'!$X23)))+IF('Equipment List &amp; Usage'!$F23="Yes",'Equipment List &amp; Usage'!$C$114*(IF('Equipment List &amp; Usage'!$AA23&gt;0,'Weekly Summary'!J$128,0)+IF('Equipment List &amp; Usage'!$AB23&gt;0,'Weekly Summary'!J$100+'Weekly Summary'!J$101,0)),'Equipment List &amp; Usage'!$C$115*(('Weekly Summary'!J$128*'Equipment List &amp; Usage'!$AA23)+('Weekly Summary'!J$100*'Equipment List &amp; Usage'!$AB23*SelfQuarantine_Mild)+('Weekly Summary'!J$101*'Equipment List &amp; Usage'!$AB23*SelfQuarantine_Moderate)))+IF('Equipment List &amp; Usage'!$F23="Yes",('Equipment List &amp; Usage'!$C$114*(IF('Equipment List &amp; Usage'!$AE23&gt;0,'Weekly Summary'!J$134,0)+IF('Equipment List &amp; Usage'!$AF23&gt;0,'Weekly Summary'!J$135))),'Equipment List &amp; Usage'!$C$115*(('Weekly Summary'!J$134*'Equipment List &amp; Usage'!$AE23)+('Weekly Summary'!J$135*'Equipment List &amp; Usage'!$AF23))))-SUM($I21:O21),
IF($F21="yes",MMULT(--('Equipment List &amp; Usage'!$J23:$N23&gt;0),--('Weekly Summary'!J$112:J$116))*'Equipment List &amp; Usage'!$C$114,MMULT(--('Equipment List &amp; Usage'!$J23:$N23),--('Weekly Summary'!J$112:J$116))*'Equipment List &amp; Usage'!$C$115)+IF('Equipment List &amp; Usage'!$F22="yes",'Equipment List &amp; Usage'!$C$114,'Equipment List &amp; Usage'!$C$115)*(('Weekly Summary'!J$66*'Equipment List &amp; Usage'!$Q23)+('Weekly Summary'!J$64*'Equipment List &amp; Usage'!$O23)+('Weekly Summary'!J$65*'Equipment List &amp; Usage'!$P23))+(IF('Equipment List &amp; Usage'!$F23="Yes",'Equipment List &amp; Usage'!$C$114*((('Weekly Summary'!J$131*SelfQuarantine_Mild)+('Weekly Summary'!J$100*SelfQuarantine_Mild)+('Weekly Summary'!J$101*SelfQuarantine_Moderate))),'Equipment List &amp; Usage'!$C$115)*((('Weekly Summary'!J$131*SelfQuarantine_Mild*'Equipment List &amp; Usage'!$W23)+('Weekly Summary'!J$100*SelfQuarantine_Mild*'Equipment List &amp; Usage'!$X23)+('Weekly Summary'!J$101*SelfQuarantine_Moderate*'Equipment List &amp; Usage'!$X23))))+IF('Equipment List &amp; Usage'!$F23="Yes",'Equipment List &amp; Usage'!$C$114*(IF('Equipment List &amp; Usage'!$AA23&gt;0,'Weekly Summary'!J$128,0)+IF('Equipment List &amp; Usage'!$AB23&gt;0,'Weekly Summary'!J$100+'Weekly Summary'!J$101,0)),'Equipment List &amp; Usage'!$C$115*(('Weekly Summary'!J$128*'Equipment List &amp; Usage'!$AA23)+('Weekly Summary'!J$100*'Equipment List &amp; Usage'!$AB23*SelfQuarantine_Mild)+('Weekly Summary'!J$101*'Equipment List &amp; Usage'!$AB23*SelfQuarantine_Moderate)))+IF('Equipment List &amp; Usage'!$F23="Yes",('Equipment List &amp; Usage'!$C$114*(IF('Equipment List &amp; Usage'!$AE23&gt;0,'Weekly Summary'!J$134,0)+IF('Equipment List &amp; Usage'!$AF23&gt;0,'Weekly Summary'!J$135))),'Equipment List &amp; Usage'!$C$115*(('Weekly Summary'!J$134*'Equipment List &amp; Usage'!$AE23)+('Weekly Summary'!J$135*'Equipment List &amp; Usage'!$AF23)))),0)</f>
        <v>6049.8042538018981</v>
      </c>
      <c r="Q21" s="1374">
        <f ca="1">MAX(IF($F21="Yes",(
IF($F21="yes",MMULT(--('Equipment List &amp; Usage'!$J23:$N23&gt;0),--('Weekly Summary'!K$112:K$116))*'Equipment List &amp; Usage'!$C$114,MMULT(--('Equipment List &amp; Usage'!$J23:$N23),--('Weekly Summary'!K$112:K$116))*'Equipment List &amp; Usage'!$C$115)+IF('Equipment List &amp; Usage'!$F22="yes",'Equipment List &amp; Usage'!$C$114,'Equipment List &amp; Usage'!$C$115)*(('Weekly Summary'!K$66*'Equipment List &amp; Usage'!$Q23)+('Weekly Summary'!K$64*'Equipment List &amp; Usage'!$O23)+('Weekly Summary'!K$65*'Equipment List &amp; Usage'!$P23)))+(IF('Equipment List &amp; Usage'!$F23="Yes",'Equipment List &amp; Usage'!$C$114*((('Weekly Summary'!K$131*SelfQuarantine_Mild)+('Weekly Summary'!K$100*SelfQuarantine_Mild)+('Weekly Summary'!K$101*SelfQuarantine_Moderate))),'Equipment List &amp; Usage'!$C$115)*((('Weekly Summary'!K$131*SelfQuarantine_Mild*'Equipment List &amp; Usage'!$W23)+('Weekly Summary'!K$100*SelfQuarantine_Mild*'Equipment List &amp; Usage'!$X23)+('Weekly Summary'!K$101*SelfQuarantine_Moderate*'Equipment List &amp; Usage'!$X23)))+IF('Equipment List &amp; Usage'!$F23="Yes",'Equipment List &amp; Usage'!$C$114*(IF('Equipment List &amp; Usage'!$AA23&gt;0,'Weekly Summary'!K$128,0)+IF('Equipment List &amp; Usage'!$AB23&gt;0,'Weekly Summary'!K$100+'Weekly Summary'!K$101,0)),'Equipment List &amp; Usage'!$C$115*(('Weekly Summary'!K$128*'Equipment List &amp; Usage'!$AA23)+('Weekly Summary'!K$100*'Equipment List &amp; Usage'!$AB23*SelfQuarantine_Mild)+('Weekly Summary'!K$101*'Equipment List &amp; Usage'!$AB23*SelfQuarantine_Moderate)))+IF('Equipment List &amp; Usage'!$F23="Yes",('Equipment List &amp; Usage'!$C$114*(IF('Equipment List &amp; Usage'!$AE23&gt;0,'Weekly Summary'!K$134,0)+IF('Equipment List &amp; Usage'!$AF23&gt;0,'Weekly Summary'!K$135))),'Equipment List &amp; Usage'!$C$115*(('Weekly Summary'!K$134*'Equipment List &amp; Usage'!$AE23)+('Weekly Summary'!K$135*'Equipment List &amp; Usage'!$AF23))))-SUM($I21:P21),
IF($F21="yes",MMULT(--('Equipment List &amp; Usage'!$J23:$N23&gt;0),--('Weekly Summary'!K$112:K$116))*'Equipment List &amp; Usage'!$C$114,MMULT(--('Equipment List &amp; Usage'!$J23:$N23),--('Weekly Summary'!K$112:K$116))*'Equipment List &amp; Usage'!$C$115)+IF('Equipment List &amp; Usage'!$F22="yes",'Equipment List &amp; Usage'!$C$114,'Equipment List &amp; Usage'!$C$115)*(('Weekly Summary'!K$66*'Equipment List &amp; Usage'!$Q23)+('Weekly Summary'!K$64*'Equipment List &amp; Usage'!$O23)+('Weekly Summary'!K$65*'Equipment List &amp; Usage'!$P23))+(IF('Equipment List &amp; Usage'!$F23="Yes",'Equipment List &amp; Usage'!$C$114*((('Weekly Summary'!K$131*SelfQuarantine_Mild)+('Weekly Summary'!K$100*SelfQuarantine_Mild)+('Weekly Summary'!K$101*SelfQuarantine_Moderate))),'Equipment List &amp; Usage'!$C$115)*((('Weekly Summary'!K$131*SelfQuarantine_Mild*'Equipment List &amp; Usage'!$W23)+('Weekly Summary'!K$100*SelfQuarantine_Mild*'Equipment List &amp; Usage'!$X23)+('Weekly Summary'!K$101*SelfQuarantine_Moderate*'Equipment List &amp; Usage'!$X23))))+IF('Equipment List &amp; Usage'!$F23="Yes",'Equipment List &amp; Usage'!$C$114*(IF('Equipment List &amp; Usage'!$AA23&gt;0,'Weekly Summary'!K$128,0)+IF('Equipment List &amp; Usage'!$AB23&gt;0,'Weekly Summary'!K$100+'Weekly Summary'!K$101,0)),'Equipment List &amp; Usage'!$C$115*(('Weekly Summary'!K$128*'Equipment List &amp; Usage'!$AA23)+('Weekly Summary'!K$100*'Equipment List &amp; Usage'!$AB23*SelfQuarantine_Mild)+('Weekly Summary'!K$101*'Equipment List &amp; Usage'!$AB23*SelfQuarantine_Moderate)))+IF('Equipment List &amp; Usage'!$F23="Yes",('Equipment List &amp; Usage'!$C$114*(IF('Equipment List &amp; Usage'!$AE23&gt;0,'Weekly Summary'!K$134,0)+IF('Equipment List &amp; Usage'!$AF23&gt;0,'Weekly Summary'!K$135))),'Equipment List &amp; Usage'!$C$115*(('Weekly Summary'!K$134*'Equipment List &amp; Usage'!$AE23)+('Weekly Summary'!K$135*'Equipment List &amp; Usage'!$AF23)))),0)</f>
        <v>0</v>
      </c>
      <c r="R21" s="1374">
        <f ca="1">MAX(IF($F21="Yes",(
IF($F21="yes",MMULT(--('Equipment List &amp; Usage'!$J23:$N23&gt;0),--('Weekly Summary'!L$112:L$116))*'Equipment List &amp; Usage'!$C$114,MMULT(--('Equipment List &amp; Usage'!$J23:$N23),--('Weekly Summary'!L$112:L$116))*'Equipment List &amp; Usage'!$C$115)+IF('Equipment List &amp; Usage'!$F22="yes",'Equipment List &amp; Usage'!$C$114,'Equipment List &amp; Usage'!$C$115)*(('Weekly Summary'!L$66*'Equipment List &amp; Usage'!$Q23)+('Weekly Summary'!L$64*'Equipment List &amp; Usage'!$O23)+('Weekly Summary'!L$65*'Equipment List &amp; Usage'!$P23)))+(IF('Equipment List &amp; Usage'!$F23="Yes",'Equipment List &amp; Usage'!$C$114*((('Weekly Summary'!L$131*SelfQuarantine_Mild)+('Weekly Summary'!L$100*SelfQuarantine_Mild)+('Weekly Summary'!L$101*SelfQuarantine_Moderate))),'Equipment List &amp; Usage'!$C$115)*((('Weekly Summary'!L$131*SelfQuarantine_Mild*'Equipment List &amp; Usage'!$W23)+('Weekly Summary'!L$100*SelfQuarantine_Mild*'Equipment List &amp; Usage'!$X23)+('Weekly Summary'!L$101*SelfQuarantine_Moderate*'Equipment List &amp; Usage'!$X23)))+IF('Equipment List &amp; Usage'!$F23="Yes",'Equipment List &amp; Usage'!$C$114*(IF('Equipment List &amp; Usage'!$AA23&gt;0,'Weekly Summary'!L$128,0)+IF('Equipment List &amp; Usage'!$AB23&gt;0,'Weekly Summary'!L$100+'Weekly Summary'!L$101,0)),'Equipment List &amp; Usage'!$C$115*(('Weekly Summary'!L$128*'Equipment List &amp; Usage'!$AA23)+('Weekly Summary'!L$100*'Equipment List &amp; Usage'!$AB23*SelfQuarantine_Mild)+('Weekly Summary'!L$101*'Equipment List &amp; Usage'!$AB23*SelfQuarantine_Moderate)))+IF('Equipment List &amp; Usage'!$F23="Yes",('Equipment List &amp; Usage'!$C$114*(IF('Equipment List &amp; Usage'!$AE23&gt;0,'Weekly Summary'!L$134,0)+IF('Equipment List &amp; Usage'!$AF23&gt;0,'Weekly Summary'!L$135))),'Equipment List &amp; Usage'!$C$115*(('Weekly Summary'!L$134*'Equipment List &amp; Usage'!$AE23)+('Weekly Summary'!L$135*'Equipment List &amp; Usage'!$AF23))))-SUM($I21:Q21),
IF($F21="yes",MMULT(--('Equipment List &amp; Usage'!$J23:$N23&gt;0),--('Weekly Summary'!L$112:L$116))*'Equipment List &amp; Usage'!$C$114,MMULT(--('Equipment List &amp; Usage'!$J23:$N23),--('Weekly Summary'!L$112:L$116))*'Equipment List &amp; Usage'!$C$115)+IF('Equipment List &amp; Usage'!$F22="yes",'Equipment List &amp; Usage'!$C$114,'Equipment List &amp; Usage'!$C$115)*(('Weekly Summary'!L$66*'Equipment List &amp; Usage'!$Q23)+('Weekly Summary'!L$64*'Equipment List &amp; Usage'!$O23)+('Weekly Summary'!L$65*'Equipment List &amp; Usage'!$P23))+(IF('Equipment List &amp; Usage'!$F23="Yes",'Equipment List &amp; Usage'!$C$114*((('Weekly Summary'!L$131*SelfQuarantine_Mild)+('Weekly Summary'!L$100*SelfQuarantine_Mild)+('Weekly Summary'!L$101*SelfQuarantine_Moderate))),'Equipment List &amp; Usage'!$C$115)*((('Weekly Summary'!L$131*SelfQuarantine_Mild*'Equipment List &amp; Usage'!$W23)+('Weekly Summary'!L$100*SelfQuarantine_Mild*'Equipment List &amp; Usage'!$X23)+('Weekly Summary'!L$101*SelfQuarantine_Moderate*'Equipment List &amp; Usage'!$X23))))+IF('Equipment List &amp; Usage'!$F23="Yes",'Equipment List &amp; Usage'!$C$114*(IF('Equipment List &amp; Usage'!$AA23&gt;0,'Weekly Summary'!L$128,0)+IF('Equipment List &amp; Usage'!$AB23&gt;0,'Weekly Summary'!L$100+'Weekly Summary'!L$101,0)),'Equipment List &amp; Usage'!$C$115*(('Weekly Summary'!L$128*'Equipment List &amp; Usage'!$AA23)+('Weekly Summary'!L$100*'Equipment List &amp; Usage'!$AB23*SelfQuarantine_Mild)+('Weekly Summary'!L$101*'Equipment List &amp; Usage'!$AB23*SelfQuarantine_Moderate)))+IF('Equipment List &amp; Usage'!$F23="Yes",('Equipment List &amp; Usage'!$C$114*(IF('Equipment List &amp; Usage'!$AE23&gt;0,'Weekly Summary'!L$134,0)+IF('Equipment List &amp; Usage'!$AF23&gt;0,'Weekly Summary'!L$135))),'Equipment List &amp; Usage'!$C$115*(('Weekly Summary'!L$134*'Equipment List &amp; Usage'!$AE23)+('Weekly Summary'!L$135*'Equipment List &amp; Usage'!$AF23)))),0)</f>
        <v>0</v>
      </c>
      <c r="S21" s="1374">
        <f ca="1">MAX(IF($F21="Yes",(
IF($F21="yes",MMULT(--('Equipment List &amp; Usage'!$J23:$N23&gt;0),--('Weekly Summary'!M$112:M$116))*'Equipment List &amp; Usage'!$C$114,MMULT(--('Equipment List &amp; Usage'!$J23:$N23),--('Weekly Summary'!M$112:M$116))*'Equipment List &amp; Usage'!$C$115)+IF('Equipment List &amp; Usage'!$F22="yes",'Equipment List &amp; Usage'!$C$114,'Equipment List &amp; Usage'!$C$115)*(('Weekly Summary'!M$66*'Equipment List &amp; Usage'!$Q23)+('Weekly Summary'!M$64*'Equipment List &amp; Usage'!$O23)+('Weekly Summary'!M$65*'Equipment List &amp; Usage'!$P23)))+(IF('Equipment List &amp; Usage'!$F23="Yes",'Equipment List &amp; Usage'!$C$114*((('Weekly Summary'!M$131*SelfQuarantine_Mild)+('Weekly Summary'!M$100*SelfQuarantine_Mild)+('Weekly Summary'!M$101*SelfQuarantine_Moderate))),'Equipment List &amp; Usage'!$C$115)*((('Weekly Summary'!M$131*SelfQuarantine_Mild*'Equipment List &amp; Usage'!$W23)+('Weekly Summary'!M$100*SelfQuarantine_Mild*'Equipment List &amp; Usage'!$X23)+('Weekly Summary'!M$101*SelfQuarantine_Moderate*'Equipment List &amp; Usage'!$X23)))+IF('Equipment List &amp; Usage'!$F23="Yes",'Equipment List &amp; Usage'!$C$114*(IF('Equipment List &amp; Usage'!$AA23&gt;0,'Weekly Summary'!M$128,0)+IF('Equipment List &amp; Usage'!$AB23&gt;0,'Weekly Summary'!M$100+'Weekly Summary'!M$101,0)),'Equipment List &amp; Usage'!$C$115*(('Weekly Summary'!M$128*'Equipment List &amp; Usage'!$AA23)+('Weekly Summary'!M$100*'Equipment List &amp; Usage'!$AB23*SelfQuarantine_Mild)+('Weekly Summary'!M$101*'Equipment List &amp; Usage'!$AB23*SelfQuarantine_Moderate)))+IF('Equipment List &amp; Usage'!$F23="Yes",('Equipment List &amp; Usage'!$C$114*(IF('Equipment List &amp; Usage'!$AE23&gt;0,'Weekly Summary'!M$134,0)+IF('Equipment List &amp; Usage'!$AF23&gt;0,'Weekly Summary'!M$135))),'Equipment List &amp; Usage'!$C$115*(('Weekly Summary'!M$134*'Equipment List &amp; Usage'!$AE23)+('Weekly Summary'!M$135*'Equipment List &amp; Usage'!$AF23))))-SUM($I21:R21),
IF($F21="yes",MMULT(--('Equipment List &amp; Usage'!$J23:$N23&gt;0),--('Weekly Summary'!M$112:M$116))*'Equipment List &amp; Usage'!$C$114,MMULT(--('Equipment List &amp; Usage'!$J23:$N23),--('Weekly Summary'!M$112:M$116))*'Equipment List &amp; Usage'!$C$115)+IF('Equipment List &amp; Usage'!$F22="yes",'Equipment List &amp; Usage'!$C$114,'Equipment List &amp; Usage'!$C$115)*(('Weekly Summary'!M$66*'Equipment List &amp; Usage'!$Q23)+('Weekly Summary'!M$64*'Equipment List &amp; Usage'!$O23)+('Weekly Summary'!M$65*'Equipment List &amp; Usage'!$P23))+(IF('Equipment List &amp; Usage'!$F23="Yes",'Equipment List &amp; Usage'!$C$114*((('Weekly Summary'!M$131*SelfQuarantine_Mild)+('Weekly Summary'!M$100*SelfQuarantine_Mild)+('Weekly Summary'!M$101*SelfQuarantine_Moderate))),'Equipment List &amp; Usage'!$C$115)*((('Weekly Summary'!M$131*SelfQuarantine_Mild*'Equipment List &amp; Usage'!$W23)+('Weekly Summary'!M$100*SelfQuarantine_Mild*'Equipment List &amp; Usage'!$X23)+('Weekly Summary'!M$101*SelfQuarantine_Moderate*'Equipment List &amp; Usage'!$X23))))+IF('Equipment List &amp; Usage'!$F23="Yes",'Equipment List &amp; Usage'!$C$114*(IF('Equipment List &amp; Usage'!$AA23&gt;0,'Weekly Summary'!M$128,0)+IF('Equipment List &amp; Usage'!$AB23&gt;0,'Weekly Summary'!M$100+'Weekly Summary'!M$101,0)),'Equipment List &amp; Usage'!$C$115*(('Weekly Summary'!M$128*'Equipment List &amp; Usage'!$AA23)+('Weekly Summary'!M$100*'Equipment List &amp; Usage'!$AB23*SelfQuarantine_Mild)+('Weekly Summary'!M$101*'Equipment List &amp; Usage'!$AB23*SelfQuarantine_Moderate)))+IF('Equipment List &amp; Usage'!$F23="Yes",('Equipment List &amp; Usage'!$C$114*(IF('Equipment List &amp; Usage'!$AE23&gt;0,'Weekly Summary'!M$134,0)+IF('Equipment List &amp; Usage'!$AF23&gt;0,'Weekly Summary'!M$135))),'Equipment List &amp; Usage'!$C$115*(('Weekly Summary'!M$134*'Equipment List &amp; Usage'!$AE23)+('Weekly Summary'!M$135*'Equipment List &amp; Usage'!$AF23)))),0)</f>
        <v>0</v>
      </c>
      <c r="T21" s="1374">
        <f ca="1">MAX(IF($F21="Yes",(
IF($F21="yes",MMULT(--('Equipment List &amp; Usage'!$J23:$N23&gt;0),--('Weekly Summary'!N$112:N$116))*'Equipment List &amp; Usage'!$C$114,MMULT(--('Equipment List &amp; Usage'!$J23:$N23),--('Weekly Summary'!N$112:N$116))*'Equipment List &amp; Usage'!$C$115)+IF('Equipment List &amp; Usage'!$F22="yes",'Equipment List &amp; Usage'!$C$114,'Equipment List &amp; Usage'!$C$115)*(('Weekly Summary'!N$66*'Equipment List &amp; Usage'!$Q23)+('Weekly Summary'!N$64*'Equipment List &amp; Usage'!$O23)+('Weekly Summary'!N$65*'Equipment List &amp; Usage'!$P23)))+(IF('Equipment List &amp; Usage'!$F23="Yes",'Equipment List &amp; Usage'!$C$114*((('Weekly Summary'!N$131*SelfQuarantine_Mild)+('Weekly Summary'!N$100*SelfQuarantine_Mild)+('Weekly Summary'!N$101*SelfQuarantine_Moderate))),'Equipment List &amp; Usage'!$C$115)*((('Weekly Summary'!N$131*SelfQuarantine_Mild*'Equipment List &amp; Usage'!$W23)+('Weekly Summary'!N$100*SelfQuarantine_Mild*'Equipment List &amp; Usage'!$X23)+('Weekly Summary'!N$101*SelfQuarantine_Moderate*'Equipment List &amp; Usage'!$X23)))+IF('Equipment List &amp; Usage'!$F23="Yes",'Equipment List &amp; Usage'!$C$114*(IF('Equipment List &amp; Usage'!$AA23&gt;0,'Weekly Summary'!N$128,0)+IF('Equipment List &amp; Usage'!$AB23&gt;0,'Weekly Summary'!N$100+'Weekly Summary'!N$101,0)),'Equipment List &amp; Usage'!$C$115*(('Weekly Summary'!N$128*'Equipment List &amp; Usage'!$AA23)+('Weekly Summary'!N$100*'Equipment List &amp; Usage'!$AB23*SelfQuarantine_Mild)+('Weekly Summary'!N$101*'Equipment List &amp; Usage'!$AB23*SelfQuarantine_Moderate)))+IF('Equipment List &amp; Usage'!$F23="Yes",('Equipment List &amp; Usage'!$C$114*(IF('Equipment List &amp; Usage'!$AE23&gt;0,'Weekly Summary'!N$134,0)+IF('Equipment List &amp; Usage'!$AF23&gt;0,'Weekly Summary'!N$135))),'Equipment List &amp; Usage'!$C$115*(('Weekly Summary'!N$134*'Equipment List &amp; Usage'!$AE23)+('Weekly Summary'!N$135*'Equipment List &amp; Usage'!$AF23))))-SUM($I21:S21),
IF($F21="yes",MMULT(--('Equipment List &amp; Usage'!$J23:$N23&gt;0),--('Weekly Summary'!N$112:N$116))*'Equipment List &amp; Usage'!$C$114,MMULT(--('Equipment List &amp; Usage'!$J23:$N23),--('Weekly Summary'!N$112:N$116))*'Equipment List &amp; Usage'!$C$115)+IF('Equipment List &amp; Usage'!$F22="yes",'Equipment List &amp; Usage'!$C$114,'Equipment List &amp; Usage'!$C$115)*(('Weekly Summary'!N$66*'Equipment List &amp; Usage'!$Q23)+('Weekly Summary'!N$64*'Equipment List &amp; Usage'!$O23)+('Weekly Summary'!N$65*'Equipment List &amp; Usage'!$P23))+(IF('Equipment List &amp; Usage'!$F23="Yes",'Equipment List &amp; Usage'!$C$114*((('Weekly Summary'!N$131*SelfQuarantine_Mild)+('Weekly Summary'!N$100*SelfQuarantine_Mild)+('Weekly Summary'!N$101*SelfQuarantine_Moderate))),'Equipment List &amp; Usage'!$C$115)*((('Weekly Summary'!N$131*SelfQuarantine_Mild*'Equipment List &amp; Usage'!$W23)+('Weekly Summary'!N$100*SelfQuarantine_Mild*'Equipment List &amp; Usage'!$X23)+('Weekly Summary'!N$101*SelfQuarantine_Moderate*'Equipment List &amp; Usage'!$X23))))+IF('Equipment List &amp; Usage'!$F23="Yes",'Equipment List &amp; Usage'!$C$114*(IF('Equipment List &amp; Usage'!$AA23&gt;0,'Weekly Summary'!N$128,0)+IF('Equipment List &amp; Usage'!$AB23&gt;0,'Weekly Summary'!N$100+'Weekly Summary'!N$101,0)),'Equipment List &amp; Usage'!$C$115*(('Weekly Summary'!N$128*'Equipment List &amp; Usage'!$AA23)+('Weekly Summary'!N$100*'Equipment List &amp; Usage'!$AB23*SelfQuarantine_Mild)+('Weekly Summary'!N$101*'Equipment List &amp; Usage'!$AB23*SelfQuarantine_Moderate)))+IF('Equipment List &amp; Usage'!$F23="Yes",('Equipment List &amp; Usage'!$C$114*(IF('Equipment List &amp; Usage'!$AE23&gt;0,'Weekly Summary'!N$134,0)+IF('Equipment List &amp; Usage'!$AF23&gt;0,'Weekly Summary'!N$135))),'Equipment List &amp; Usage'!$C$115*(('Weekly Summary'!N$134*'Equipment List &amp; Usage'!$AE23)+('Weekly Summary'!N$135*'Equipment List &amp; Usage'!$AF23)))),0)</f>
        <v>0</v>
      </c>
      <c r="U21" s="1374">
        <f ca="1">MAX(IF($F21="Yes",(
IF($F21="yes",MMULT(--('Equipment List &amp; Usage'!$J23:$N23&gt;0),--('Weekly Summary'!O$112:O$116))*'Equipment List &amp; Usage'!$C$114,MMULT(--('Equipment List &amp; Usage'!$J23:$N23),--('Weekly Summary'!O$112:O$116))*'Equipment List &amp; Usage'!$C$115)+IF('Equipment List &amp; Usage'!$F22="yes",'Equipment List &amp; Usage'!$C$114,'Equipment List &amp; Usage'!$C$115)*(('Weekly Summary'!O$66*'Equipment List &amp; Usage'!$Q23)+('Weekly Summary'!O$64*'Equipment List &amp; Usage'!$O23)+('Weekly Summary'!O$65*'Equipment List &amp; Usage'!$P23)))+(IF('Equipment List &amp; Usage'!$F23="Yes",'Equipment List &amp; Usage'!$C$114*((('Weekly Summary'!O$131*SelfQuarantine_Mild)+('Weekly Summary'!O$100*SelfQuarantine_Mild)+('Weekly Summary'!O$101*SelfQuarantine_Moderate))),'Equipment List &amp; Usage'!$C$115)*((('Weekly Summary'!O$131*SelfQuarantine_Mild*'Equipment List &amp; Usage'!$W23)+('Weekly Summary'!O$100*SelfQuarantine_Mild*'Equipment List &amp; Usage'!$X23)+('Weekly Summary'!O$101*SelfQuarantine_Moderate*'Equipment List &amp; Usage'!$X23)))+IF('Equipment List &amp; Usage'!$F23="Yes",'Equipment List &amp; Usage'!$C$114*(IF('Equipment List &amp; Usage'!$AA23&gt;0,'Weekly Summary'!O$128,0)+IF('Equipment List &amp; Usage'!$AB23&gt;0,'Weekly Summary'!O$100+'Weekly Summary'!O$101,0)),'Equipment List &amp; Usage'!$C$115*(('Weekly Summary'!O$128*'Equipment List &amp; Usage'!$AA23)+('Weekly Summary'!O$100*'Equipment List &amp; Usage'!$AB23*SelfQuarantine_Mild)+('Weekly Summary'!O$101*'Equipment List &amp; Usage'!$AB23*SelfQuarantine_Moderate)))+IF('Equipment List &amp; Usage'!$F23="Yes",('Equipment List &amp; Usage'!$C$114*(IF('Equipment List &amp; Usage'!$AE23&gt;0,'Weekly Summary'!O$134,0)+IF('Equipment List &amp; Usage'!$AF23&gt;0,'Weekly Summary'!O$135))),'Equipment List &amp; Usage'!$C$115*(('Weekly Summary'!O$134*'Equipment List &amp; Usage'!$AE23)+('Weekly Summary'!O$135*'Equipment List &amp; Usage'!$AF23))))-SUM($I21:T21),
IF($F21="yes",MMULT(--('Equipment List &amp; Usage'!$J23:$N23&gt;0),--('Weekly Summary'!O$112:O$116))*'Equipment List &amp; Usage'!$C$114,MMULT(--('Equipment List &amp; Usage'!$J23:$N23),--('Weekly Summary'!O$112:O$116))*'Equipment List &amp; Usage'!$C$115)+IF('Equipment List &amp; Usage'!$F22="yes",'Equipment List &amp; Usage'!$C$114,'Equipment List &amp; Usage'!$C$115)*(('Weekly Summary'!O$66*'Equipment List &amp; Usage'!$Q23)+('Weekly Summary'!O$64*'Equipment List &amp; Usage'!$O23)+('Weekly Summary'!O$65*'Equipment List &amp; Usage'!$P23))+(IF('Equipment List &amp; Usage'!$F23="Yes",'Equipment List &amp; Usage'!$C$114*((('Weekly Summary'!O$131*SelfQuarantine_Mild)+('Weekly Summary'!O$100*SelfQuarantine_Mild)+('Weekly Summary'!O$101*SelfQuarantine_Moderate))),'Equipment List &amp; Usage'!$C$115)*((('Weekly Summary'!O$131*SelfQuarantine_Mild*'Equipment List &amp; Usage'!$W23)+('Weekly Summary'!O$100*SelfQuarantine_Mild*'Equipment List &amp; Usage'!$X23)+('Weekly Summary'!O$101*SelfQuarantine_Moderate*'Equipment List &amp; Usage'!$X23))))+IF('Equipment List &amp; Usage'!$F23="Yes",'Equipment List &amp; Usage'!$C$114*(IF('Equipment List &amp; Usage'!$AA23&gt;0,'Weekly Summary'!O$128,0)+IF('Equipment List &amp; Usage'!$AB23&gt;0,'Weekly Summary'!O$100+'Weekly Summary'!O$101,0)),'Equipment List &amp; Usage'!$C$115*(('Weekly Summary'!O$128*'Equipment List &amp; Usage'!$AA23)+('Weekly Summary'!O$100*'Equipment List &amp; Usage'!$AB23*SelfQuarantine_Mild)+('Weekly Summary'!O$101*'Equipment List &amp; Usage'!$AB23*SelfQuarantine_Moderate)))+IF('Equipment List &amp; Usage'!$F23="Yes",('Equipment List &amp; Usage'!$C$114*(IF('Equipment List &amp; Usage'!$AE23&gt;0,'Weekly Summary'!O$134,0)+IF('Equipment List &amp; Usage'!$AF23&gt;0,'Weekly Summary'!O$135))),'Equipment List &amp; Usage'!$C$115*(('Weekly Summary'!O$134*'Equipment List &amp; Usage'!$AE23)+('Weekly Summary'!O$135*'Equipment List &amp; Usage'!$AF23)))),0)</f>
        <v>0</v>
      </c>
      <c r="V21" s="1374">
        <f ca="1">MAX(IF($F21="Yes",(
IF($F21="yes",MMULT(--('Equipment List &amp; Usage'!$J23:$N23&gt;0),--('Weekly Summary'!P$112:P$116))*'Equipment List &amp; Usage'!$C$114,MMULT(--('Equipment List &amp; Usage'!$J23:$N23),--('Weekly Summary'!P$112:P$116))*'Equipment List &amp; Usage'!$C$115)+IF('Equipment List &amp; Usage'!$F22="yes",'Equipment List &amp; Usage'!$C$114,'Equipment List &amp; Usage'!$C$115)*(('Weekly Summary'!P$66*'Equipment List &amp; Usage'!$Q23)+('Weekly Summary'!P$64*'Equipment List &amp; Usage'!$O23)+('Weekly Summary'!P$65*'Equipment List &amp; Usage'!$P23)))+(IF('Equipment List &amp; Usage'!$F23="Yes",'Equipment List &amp; Usage'!$C$114*((('Weekly Summary'!P$131*SelfQuarantine_Mild)+('Weekly Summary'!P$100*SelfQuarantine_Mild)+('Weekly Summary'!P$101*SelfQuarantine_Moderate))),'Equipment List &amp; Usage'!$C$115)*((('Weekly Summary'!P$131*SelfQuarantine_Mild*'Equipment List &amp; Usage'!$W23)+('Weekly Summary'!P$100*SelfQuarantine_Mild*'Equipment List &amp; Usage'!$X23)+('Weekly Summary'!P$101*SelfQuarantine_Moderate*'Equipment List &amp; Usage'!$X23)))+IF('Equipment List &amp; Usage'!$F23="Yes",'Equipment List &amp; Usage'!$C$114*(IF('Equipment List &amp; Usage'!$AA23&gt;0,'Weekly Summary'!P$128,0)+IF('Equipment List &amp; Usage'!$AB23&gt;0,'Weekly Summary'!P$100+'Weekly Summary'!P$101,0)),'Equipment List &amp; Usage'!$C$115*(('Weekly Summary'!P$128*'Equipment List &amp; Usage'!$AA23)+('Weekly Summary'!P$100*'Equipment List &amp; Usage'!$AB23*SelfQuarantine_Mild)+('Weekly Summary'!P$101*'Equipment List &amp; Usage'!$AB23*SelfQuarantine_Moderate)))+IF('Equipment List &amp; Usage'!$F23="Yes",('Equipment List &amp; Usage'!$C$114*(IF('Equipment List &amp; Usage'!$AE23&gt;0,'Weekly Summary'!P$134,0)+IF('Equipment List &amp; Usage'!$AF23&gt;0,'Weekly Summary'!P$135))),'Equipment List &amp; Usage'!$C$115*(('Weekly Summary'!P$134*'Equipment List &amp; Usage'!$AE23)+('Weekly Summary'!P$135*'Equipment List &amp; Usage'!$AF23))))-SUM($I21:U21),
IF($F21="yes",MMULT(--('Equipment List &amp; Usage'!$J23:$N23&gt;0),--('Weekly Summary'!P$112:P$116))*'Equipment List &amp; Usage'!$C$114,MMULT(--('Equipment List &amp; Usage'!$J23:$N23),--('Weekly Summary'!P$112:P$116))*'Equipment List &amp; Usage'!$C$115)+IF('Equipment List &amp; Usage'!$F22="yes",'Equipment List &amp; Usage'!$C$114,'Equipment List &amp; Usage'!$C$115)*(('Weekly Summary'!P$66*'Equipment List &amp; Usage'!$Q23)+('Weekly Summary'!P$64*'Equipment List &amp; Usage'!$O23)+('Weekly Summary'!P$65*'Equipment List &amp; Usage'!$P23))+(IF('Equipment List &amp; Usage'!$F23="Yes",'Equipment List &amp; Usage'!$C$114*((('Weekly Summary'!P$131*SelfQuarantine_Mild)+('Weekly Summary'!P$100*SelfQuarantine_Mild)+('Weekly Summary'!P$101*SelfQuarantine_Moderate))),'Equipment List &amp; Usage'!$C$115)*((('Weekly Summary'!P$131*SelfQuarantine_Mild*'Equipment List &amp; Usage'!$W23)+('Weekly Summary'!P$100*SelfQuarantine_Mild*'Equipment List &amp; Usage'!$X23)+('Weekly Summary'!P$101*SelfQuarantine_Moderate*'Equipment List &amp; Usage'!$X23))))+IF('Equipment List &amp; Usage'!$F23="Yes",'Equipment List &amp; Usage'!$C$114*(IF('Equipment List &amp; Usage'!$AA23&gt;0,'Weekly Summary'!P$128,0)+IF('Equipment List &amp; Usage'!$AB23&gt;0,'Weekly Summary'!P$100+'Weekly Summary'!P$101,0)),'Equipment List &amp; Usage'!$C$115*(('Weekly Summary'!P$128*'Equipment List &amp; Usage'!$AA23)+('Weekly Summary'!P$100*'Equipment List &amp; Usage'!$AB23*SelfQuarantine_Mild)+('Weekly Summary'!P$101*'Equipment List &amp; Usage'!$AB23*SelfQuarantine_Moderate)))+IF('Equipment List &amp; Usage'!$F23="Yes",('Equipment List &amp; Usage'!$C$114*(IF('Equipment List &amp; Usage'!$AE23&gt;0,'Weekly Summary'!P$134,0)+IF('Equipment List &amp; Usage'!$AF23&gt;0,'Weekly Summary'!P$135))),'Equipment List &amp; Usage'!$C$115*(('Weekly Summary'!P$134*'Equipment List &amp; Usage'!$AE23)+('Weekly Summary'!P$135*'Equipment List &amp; Usage'!$AF23)))),0)</f>
        <v>0</v>
      </c>
      <c r="W21" s="1374">
        <f ca="1">MAX(IF($F21="Yes",(
IF($F21="yes",MMULT(--('Equipment List &amp; Usage'!$J23:$N23&gt;0),--('Weekly Summary'!Q$112:Q$116))*'Equipment List &amp; Usage'!$C$114,MMULT(--('Equipment List &amp; Usage'!$J23:$N23),--('Weekly Summary'!Q$112:Q$116))*'Equipment List &amp; Usage'!$C$115)+IF('Equipment List &amp; Usage'!$F22="yes",'Equipment List &amp; Usage'!$C$114,'Equipment List &amp; Usage'!$C$115)*(('Weekly Summary'!Q$66*'Equipment List &amp; Usage'!$Q23)+('Weekly Summary'!Q$64*'Equipment List &amp; Usage'!$O23)+('Weekly Summary'!Q$65*'Equipment List &amp; Usage'!$P23)))+(IF('Equipment List &amp; Usage'!$F23="Yes",'Equipment List &amp; Usage'!$C$114*((('Weekly Summary'!Q$131*SelfQuarantine_Mild)+('Weekly Summary'!Q$100*SelfQuarantine_Mild)+('Weekly Summary'!Q$101*SelfQuarantine_Moderate))),'Equipment List &amp; Usage'!$C$115)*((('Weekly Summary'!Q$131*SelfQuarantine_Mild*'Equipment List &amp; Usage'!$W23)+('Weekly Summary'!Q$100*SelfQuarantine_Mild*'Equipment List &amp; Usage'!$X23)+('Weekly Summary'!Q$101*SelfQuarantine_Moderate*'Equipment List &amp; Usage'!$X23)))+IF('Equipment List &amp; Usage'!$F23="Yes",'Equipment List &amp; Usage'!$C$114*(IF('Equipment List &amp; Usage'!$AA23&gt;0,'Weekly Summary'!Q$128,0)+IF('Equipment List &amp; Usage'!$AB23&gt;0,'Weekly Summary'!Q$100+'Weekly Summary'!Q$101,0)),'Equipment List &amp; Usage'!$C$115*(('Weekly Summary'!Q$128*'Equipment List &amp; Usage'!$AA23)+('Weekly Summary'!Q$100*'Equipment List &amp; Usage'!$AB23*SelfQuarantine_Mild)+('Weekly Summary'!Q$101*'Equipment List &amp; Usage'!$AB23*SelfQuarantine_Moderate)))+IF('Equipment List &amp; Usage'!$F23="Yes",('Equipment List &amp; Usage'!$C$114*(IF('Equipment List &amp; Usage'!$AE23&gt;0,'Weekly Summary'!Q$134,0)+IF('Equipment List &amp; Usage'!$AF23&gt;0,'Weekly Summary'!Q$135))),'Equipment List &amp; Usage'!$C$115*(('Weekly Summary'!Q$134*'Equipment List &amp; Usage'!$AE23)+('Weekly Summary'!Q$135*'Equipment List &amp; Usage'!$AF23))))-SUM($I21:V21),
IF($F21="yes",MMULT(--('Equipment List &amp; Usage'!$J23:$N23&gt;0),--('Weekly Summary'!Q$112:Q$116))*'Equipment List &amp; Usage'!$C$114,MMULT(--('Equipment List &amp; Usage'!$J23:$N23),--('Weekly Summary'!Q$112:Q$116))*'Equipment List &amp; Usage'!$C$115)+IF('Equipment List &amp; Usage'!$F22="yes",'Equipment List &amp; Usage'!$C$114,'Equipment List &amp; Usage'!$C$115)*(('Weekly Summary'!Q$66*'Equipment List &amp; Usage'!$Q23)+('Weekly Summary'!Q$64*'Equipment List &amp; Usage'!$O23)+('Weekly Summary'!Q$65*'Equipment List &amp; Usage'!$P23))+(IF('Equipment List &amp; Usage'!$F23="Yes",'Equipment List &amp; Usage'!$C$114*((('Weekly Summary'!Q$131*SelfQuarantine_Mild)+('Weekly Summary'!Q$100*SelfQuarantine_Mild)+('Weekly Summary'!Q$101*SelfQuarantine_Moderate))),'Equipment List &amp; Usage'!$C$115)*((('Weekly Summary'!Q$131*SelfQuarantine_Mild*'Equipment List &amp; Usage'!$W23)+('Weekly Summary'!Q$100*SelfQuarantine_Mild*'Equipment List &amp; Usage'!$X23)+('Weekly Summary'!Q$101*SelfQuarantine_Moderate*'Equipment List &amp; Usage'!$X23))))+IF('Equipment List &amp; Usage'!$F23="Yes",'Equipment List &amp; Usage'!$C$114*(IF('Equipment List &amp; Usage'!$AA23&gt;0,'Weekly Summary'!Q$128,0)+IF('Equipment List &amp; Usage'!$AB23&gt;0,'Weekly Summary'!Q$100+'Weekly Summary'!Q$101,0)),'Equipment List &amp; Usage'!$C$115*(('Weekly Summary'!Q$128*'Equipment List &amp; Usage'!$AA23)+('Weekly Summary'!Q$100*'Equipment List &amp; Usage'!$AB23*SelfQuarantine_Mild)+('Weekly Summary'!Q$101*'Equipment List &amp; Usage'!$AB23*SelfQuarantine_Moderate)))+IF('Equipment List &amp; Usage'!$F23="Yes",('Equipment List &amp; Usage'!$C$114*(IF('Equipment List &amp; Usage'!$AE23&gt;0,'Weekly Summary'!Q$134,0)+IF('Equipment List &amp; Usage'!$AF23&gt;0,'Weekly Summary'!Q$135))),'Equipment List &amp; Usage'!$C$115*(('Weekly Summary'!Q$134*'Equipment List &amp; Usage'!$AE23)+('Weekly Summary'!Q$135*'Equipment List &amp; Usage'!$AF23)))),0)</f>
        <v>0</v>
      </c>
      <c r="X21" s="1374">
        <f ca="1">MAX(IF($F21="Yes",(
IF($F21="yes",MMULT(--('Equipment List &amp; Usage'!$J23:$N23&gt;0),--('Weekly Summary'!R$112:R$116))*'Equipment List &amp; Usage'!$C$114,MMULT(--('Equipment List &amp; Usage'!$J23:$N23),--('Weekly Summary'!R$112:R$116))*'Equipment List &amp; Usage'!$C$115)+IF('Equipment List &amp; Usage'!$F22="yes",'Equipment List &amp; Usage'!$C$114,'Equipment List &amp; Usage'!$C$115)*(('Weekly Summary'!R$66*'Equipment List &amp; Usage'!$Q23)+('Weekly Summary'!R$64*'Equipment List &amp; Usage'!$O23)+('Weekly Summary'!R$65*'Equipment List &amp; Usage'!$P23)))+(IF('Equipment List &amp; Usage'!$F23="Yes",'Equipment List &amp; Usage'!$C$114*((('Weekly Summary'!R$131*SelfQuarantine_Mild)+('Weekly Summary'!R$100*SelfQuarantine_Mild)+('Weekly Summary'!R$101*SelfQuarantine_Moderate))),'Equipment List &amp; Usage'!$C$115)*((('Weekly Summary'!R$131*SelfQuarantine_Mild*'Equipment List &amp; Usage'!$W23)+('Weekly Summary'!R$100*SelfQuarantine_Mild*'Equipment List &amp; Usage'!$X23)+('Weekly Summary'!R$101*SelfQuarantine_Moderate*'Equipment List &amp; Usage'!$X23)))+IF('Equipment List &amp; Usage'!$F23="Yes",'Equipment List &amp; Usage'!$C$114*(IF('Equipment List &amp; Usage'!$AA23&gt;0,'Weekly Summary'!R$128,0)+IF('Equipment List &amp; Usage'!$AB23&gt;0,'Weekly Summary'!R$100+'Weekly Summary'!R$101,0)),'Equipment List &amp; Usage'!$C$115*(('Weekly Summary'!R$128*'Equipment List &amp; Usage'!$AA23)+('Weekly Summary'!R$100*'Equipment List &amp; Usage'!$AB23*SelfQuarantine_Mild)+('Weekly Summary'!R$101*'Equipment List &amp; Usage'!$AB23*SelfQuarantine_Moderate)))+IF('Equipment List &amp; Usage'!$F23="Yes",('Equipment List &amp; Usage'!$C$114*(IF('Equipment List &amp; Usage'!$AE23&gt;0,'Weekly Summary'!R$134,0)+IF('Equipment List &amp; Usage'!$AF23&gt;0,'Weekly Summary'!R$135))),'Equipment List &amp; Usage'!$C$115*(('Weekly Summary'!R$134*'Equipment List &amp; Usage'!$AE23)+('Weekly Summary'!R$135*'Equipment List &amp; Usage'!$AF23))))-SUM($I21:W21),
IF($F21="yes",MMULT(--('Equipment List &amp; Usage'!$J23:$N23&gt;0),--('Weekly Summary'!R$112:R$116))*'Equipment List &amp; Usage'!$C$114,MMULT(--('Equipment List &amp; Usage'!$J23:$N23),--('Weekly Summary'!R$112:R$116))*'Equipment List &amp; Usage'!$C$115)+IF('Equipment List &amp; Usage'!$F22="yes",'Equipment List &amp; Usage'!$C$114,'Equipment List &amp; Usage'!$C$115)*(('Weekly Summary'!R$66*'Equipment List &amp; Usage'!$Q23)+('Weekly Summary'!R$64*'Equipment List &amp; Usage'!$O23)+('Weekly Summary'!R$65*'Equipment List &amp; Usage'!$P23))+(IF('Equipment List &amp; Usage'!$F23="Yes",'Equipment List &amp; Usage'!$C$114*((('Weekly Summary'!R$131*SelfQuarantine_Mild)+('Weekly Summary'!R$100*SelfQuarantine_Mild)+('Weekly Summary'!R$101*SelfQuarantine_Moderate))),'Equipment List &amp; Usage'!$C$115)*((('Weekly Summary'!R$131*SelfQuarantine_Mild*'Equipment List &amp; Usage'!$W23)+('Weekly Summary'!R$100*SelfQuarantine_Mild*'Equipment List &amp; Usage'!$X23)+('Weekly Summary'!R$101*SelfQuarantine_Moderate*'Equipment List &amp; Usage'!$X23))))+IF('Equipment List &amp; Usage'!$F23="Yes",'Equipment List &amp; Usage'!$C$114*(IF('Equipment List &amp; Usage'!$AA23&gt;0,'Weekly Summary'!R$128,0)+IF('Equipment List &amp; Usage'!$AB23&gt;0,'Weekly Summary'!R$100+'Weekly Summary'!R$101,0)),'Equipment List &amp; Usage'!$C$115*(('Weekly Summary'!R$128*'Equipment List &amp; Usage'!$AA23)+('Weekly Summary'!R$100*'Equipment List &amp; Usage'!$AB23*SelfQuarantine_Mild)+('Weekly Summary'!R$101*'Equipment List &amp; Usage'!$AB23*SelfQuarantine_Moderate)))+IF('Equipment List &amp; Usage'!$F23="Yes",('Equipment List &amp; Usage'!$C$114*(IF('Equipment List &amp; Usage'!$AE23&gt;0,'Weekly Summary'!R$134,0)+IF('Equipment List &amp; Usage'!$AF23&gt;0,'Weekly Summary'!R$135))),'Equipment List &amp; Usage'!$C$115*(('Weekly Summary'!R$134*'Equipment List &amp; Usage'!$AE23)+('Weekly Summary'!R$135*'Equipment List &amp; Usage'!$AF23)))),0)</f>
        <v>0</v>
      </c>
      <c r="Y21" s="1374">
        <f ca="1">MAX(IF($F21="Yes",(
IF($F21="yes",MMULT(--('Equipment List &amp; Usage'!$J23:$N23&gt;0),--('Weekly Summary'!S$112:S$116))*'Equipment List &amp; Usage'!$C$114,MMULT(--('Equipment List &amp; Usage'!$J23:$N23),--('Weekly Summary'!S$112:S$116))*'Equipment List &amp; Usage'!$C$115)+IF('Equipment List &amp; Usage'!$F22="yes",'Equipment List &amp; Usage'!$C$114,'Equipment List &amp; Usage'!$C$115)*(('Weekly Summary'!S$66*'Equipment List &amp; Usage'!$Q23)+('Weekly Summary'!S$64*'Equipment List &amp; Usage'!$O23)+('Weekly Summary'!S$65*'Equipment List &amp; Usage'!$P23)))+(IF('Equipment List &amp; Usage'!$F23="Yes",'Equipment List &amp; Usage'!$C$114*((('Weekly Summary'!S$131*SelfQuarantine_Mild)+('Weekly Summary'!S$100*SelfQuarantine_Mild)+('Weekly Summary'!S$101*SelfQuarantine_Moderate))),'Equipment List &amp; Usage'!$C$115)*((('Weekly Summary'!S$131*SelfQuarantine_Mild*'Equipment List &amp; Usage'!$W23)+('Weekly Summary'!S$100*SelfQuarantine_Mild*'Equipment List &amp; Usage'!$X23)+('Weekly Summary'!S$101*SelfQuarantine_Moderate*'Equipment List &amp; Usage'!$X23)))+IF('Equipment List &amp; Usage'!$F23="Yes",'Equipment List &amp; Usage'!$C$114*(IF('Equipment List &amp; Usage'!$AA23&gt;0,'Weekly Summary'!S$128,0)+IF('Equipment List &amp; Usage'!$AB23&gt;0,'Weekly Summary'!S$100+'Weekly Summary'!S$101,0)),'Equipment List &amp; Usage'!$C$115*(('Weekly Summary'!S$128*'Equipment List &amp; Usage'!$AA23)+('Weekly Summary'!S$100*'Equipment List &amp; Usage'!$AB23*SelfQuarantine_Mild)+('Weekly Summary'!S$101*'Equipment List &amp; Usage'!$AB23*SelfQuarantine_Moderate)))+IF('Equipment List &amp; Usage'!$F23="Yes",('Equipment List &amp; Usage'!$C$114*(IF('Equipment List &amp; Usage'!$AE23&gt;0,'Weekly Summary'!S$134,0)+IF('Equipment List &amp; Usage'!$AF23&gt;0,'Weekly Summary'!S$135))),'Equipment List &amp; Usage'!$C$115*(('Weekly Summary'!S$134*'Equipment List &amp; Usage'!$AE23)+('Weekly Summary'!S$135*'Equipment List &amp; Usage'!$AF23))))-SUM($I21:X21),
IF($F21="yes",MMULT(--('Equipment List &amp; Usage'!$J23:$N23&gt;0),--('Weekly Summary'!S$112:S$116))*'Equipment List &amp; Usage'!$C$114,MMULT(--('Equipment List &amp; Usage'!$J23:$N23),--('Weekly Summary'!S$112:S$116))*'Equipment List &amp; Usage'!$C$115)+IF('Equipment List &amp; Usage'!$F22="yes",'Equipment List &amp; Usage'!$C$114,'Equipment List &amp; Usage'!$C$115)*(('Weekly Summary'!S$66*'Equipment List &amp; Usage'!$Q23)+('Weekly Summary'!S$64*'Equipment List &amp; Usage'!$O23)+('Weekly Summary'!S$65*'Equipment List &amp; Usage'!$P23))+(IF('Equipment List &amp; Usage'!$F23="Yes",'Equipment List &amp; Usage'!$C$114*((('Weekly Summary'!S$131*SelfQuarantine_Mild)+('Weekly Summary'!S$100*SelfQuarantine_Mild)+('Weekly Summary'!S$101*SelfQuarantine_Moderate))),'Equipment List &amp; Usage'!$C$115)*((('Weekly Summary'!S$131*SelfQuarantine_Mild*'Equipment List &amp; Usage'!$W23)+('Weekly Summary'!S$100*SelfQuarantine_Mild*'Equipment List &amp; Usage'!$X23)+('Weekly Summary'!S$101*SelfQuarantine_Moderate*'Equipment List &amp; Usage'!$X23))))+IF('Equipment List &amp; Usage'!$F23="Yes",'Equipment List &amp; Usage'!$C$114*(IF('Equipment List &amp; Usage'!$AA23&gt;0,'Weekly Summary'!S$128,0)+IF('Equipment List &amp; Usage'!$AB23&gt;0,'Weekly Summary'!S$100+'Weekly Summary'!S$101,0)),'Equipment List &amp; Usage'!$C$115*(('Weekly Summary'!S$128*'Equipment List &amp; Usage'!$AA23)+('Weekly Summary'!S$100*'Equipment List &amp; Usage'!$AB23*SelfQuarantine_Mild)+('Weekly Summary'!S$101*'Equipment List &amp; Usage'!$AB23*SelfQuarantine_Moderate)))+IF('Equipment List &amp; Usage'!$F23="Yes",('Equipment List &amp; Usage'!$C$114*(IF('Equipment List &amp; Usage'!$AE23&gt;0,'Weekly Summary'!S$134,0)+IF('Equipment List &amp; Usage'!$AF23&gt;0,'Weekly Summary'!S$135))),'Equipment List &amp; Usage'!$C$115*(('Weekly Summary'!S$134*'Equipment List &amp; Usage'!$AE23)+('Weekly Summary'!S$135*'Equipment List &amp; Usage'!$AF23)))),0)</f>
        <v>0</v>
      </c>
      <c r="Z21" s="1374">
        <f ca="1">MAX(IF($F21="Yes",(
IF($F21="yes",MMULT(--('Equipment List &amp; Usage'!$J23:$N23&gt;0),--('Weekly Summary'!T$112:T$116))*'Equipment List &amp; Usage'!$C$114,MMULT(--('Equipment List &amp; Usage'!$J23:$N23),--('Weekly Summary'!T$112:T$116))*'Equipment List &amp; Usage'!$C$115)+IF('Equipment List &amp; Usage'!$F22="yes",'Equipment List &amp; Usage'!$C$114,'Equipment List &amp; Usage'!$C$115)*(('Weekly Summary'!T$66*'Equipment List &amp; Usage'!$Q23)+('Weekly Summary'!T$64*'Equipment List &amp; Usage'!$O23)+('Weekly Summary'!T$65*'Equipment List &amp; Usage'!$P23)))+(IF('Equipment List &amp; Usage'!$F23="Yes",'Equipment List &amp; Usage'!$C$114*((('Weekly Summary'!T$131*SelfQuarantine_Mild)+('Weekly Summary'!T$100*SelfQuarantine_Mild)+('Weekly Summary'!T$101*SelfQuarantine_Moderate))),'Equipment List &amp; Usage'!$C$115)*((('Weekly Summary'!T$131*SelfQuarantine_Mild*'Equipment List &amp; Usage'!$W23)+('Weekly Summary'!T$100*SelfQuarantine_Mild*'Equipment List &amp; Usage'!$X23)+('Weekly Summary'!T$101*SelfQuarantine_Moderate*'Equipment List &amp; Usage'!$X23)))+IF('Equipment List &amp; Usage'!$F23="Yes",'Equipment List &amp; Usage'!$C$114*(IF('Equipment List &amp; Usage'!$AA23&gt;0,'Weekly Summary'!T$128,0)+IF('Equipment List &amp; Usage'!$AB23&gt;0,'Weekly Summary'!T$100+'Weekly Summary'!T$101,0)),'Equipment List &amp; Usage'!$C$115*(('Weekly Summary'!T$128*'Equipment List &amp; Usage'!$AA23)+('Weekly Summary'!T$100*'Equipment List &amp; Usage'!$AB23*SelfQuarantine_Mild)+('Weekly Summary'!T$101*'Equipment List &amp; Usage'!$AB23*SelfQuarantine_Moderate)))+IF('Equipment List &amp; Usage'!$F23="Yes",('Equipment List &amp; Usage'!$C$114*(IF('Equipment List &amp; Usage'!$AE23&gt;0,'Weekly Summary'!T$134,0)+IF('Equipment List &amp; Usage'!$AF23&gt;0,'Weekly Summary'!T$135))),'Equipment List &amp; Usage'!$C$115*(('Weekly Summary'!T$134*'Equipment List &amp; Usage'!$AE23)+('Weekly Summary'!T$135*'Equipment List &amp; Usage'!$AF23))))-SUM($I21:Y21),
IF($F21="yes",MMULT(--('Equipment List &amp; Usage'!$J23:$N23&gt;0),--('Weekly Summary'!T$112:T$116))*'Equipment List &amp; Usage'!$C$114,MMULT(--('Equipment List &amp; Usage'!$J23:$N23),--('Weekly Summary'!T$112:T$116))*'Equipment List &amp; Usage'!$C$115)+IF('Equipment List &amp; Usage'!$F22="yes",'Equipment List &amp; Usage'!$C$114,'Equipment List &amp; Usage'!$C$115)*(('Weekly Summary'!T$66*'Equipment List &amp; Usage'!$Q23)+('Weekly Summary'!T$64*'Equipment List &amp; Usage'!$O23)+('Weekly Summary'!T$65*'Equipment List &amp; Usage'!$P23))+(IF('Equipment List &amp; Usage'!$F23="Yes",'Equipment List &amp; Usage'!$C$114*((('Weekly Summary'!T$131*SelfQuarantine_Mild)+('Weekly Summary'!T$100*SelfQuarantine_Mild)+('Weekly Summary'!T$101*SelfQuarantine_Moderate))),'Equipment List &amp; Usage'!$C$115)*((('Weekly Summary'!T$131*SelfQuarantine_Mild*'Equipment List &amp; Usage'!$W23)+('Weekly Summary'!T$100*SelfQuarantine_Mild*'Equipment List &amp; Usage'!$X23)+('Weekly Summary'!T$101*SelfQuarantine_Moderate*'Equipment List &amp; Usage'!$X23))))+IF('Equipment List &amp; Usage'!$F23="Yes",'Equipment List &amp; Usage'!$C$114*(IF('Equipment List &amp; Usage'!$AA23&gt;0,'Weekly Summary'!T$128,0)+IF('Equipment List &amp; Usage'!$AB23&gt;0,'Weekly Summary'!T$100+'Weekly Summary'!T$101,0)),'Equipment List &amp; Usage'!$C$115*(('Weekly Summary'!T$128*'Equipment List &amp; Usage'!$AA23)+('Weekly Summary'!T$100*'Equipment List &amp; Usage'!$AB23*SelfQuarantine_Mild)+('Weekly Summary'!T$101*'Equipment List &amp; Usage'!$AB23*SelfQuarantine_Moderate)))+IF('Equipment List &amp; Usage'!$F23="Yes",('Equipment List &amp; Usage'!$C$114*(IF('Equipment List &amp; Usage'!$AE23&gt;0,'Weekly Summary'!T$134,0)+IF('Equipment List &amp; Usage'!$AF23&gt;0,'Weekly Summary'!T$135))),'Equipment List &amp; Usage'!$C$115*(('Weekly Summary'!T$134*'Equipment List &amp; Usage'!$AE23)+('Weekly Summary'!T$135*'Equipment List &amp; Usage'!$AF23)))),0)</f>
        <v>0</v>
      </c>
      <c r="AA21" s="1374">
        <f ca="1">MAX(IF($F21="Yes",(
IF($F21="yes",MMULT(--('Equipment List &amp; Usage'!$J23:$N23&gt;0),--('Weekly Summary'!U$112:U$116))*'Equipment List &amp; Usage'!$C$114,MMULT(--('Equipment List &amp; Usage'!$J23:$N23),--('Weekly Summary'!U$112:U$116))*'Equipment List &amp; Usage'!$C$115)+IF('Equipment List &amp; Usage'!$F22="yes",'Equipment List &amp; Usage'!$C$114,'Equipment List &amp; Usage'!$C$115)*(('Weekly Summary'!U$66*'Equipment List &amp; Usage'!$Q23)+('Weekly Summary'!U$64*'Equipment List &amp; Usage'!$O23)+('Weekly Summary'!U$65*'Equipment List &amp; Usage'!$P23)))+(IF('Equipment List &amp; Usage'!$F23="Yes",'Equipment List &amp; Usage'!$C$114*((('Weekly Summary'!U$131*SelfQuarantine_Mild)+('Weekly Summary'!U$100*SelfQuarantine_Mild)+('Weekly Summary'!U$101*SelfQuarantine_Moderate))),'Equipment List &amp; Usage'!$C$115)*((('Weekly Summary'!U$131*SelfQuarantine_Mild*'Equipment List &amp; Usage'!$W23)+('Weekly Summary'!U$100*SelfQuarantine_Mild*'Equipment List &amp; Usage'!$X23)+('Weekly Summary'!U$101*SelfQuarantine_Moderate*'Equipment List &amp; Usage'!$X23)))+IF('Equipment List &amp; Usage'!$F23="Yes",'Equipment List &amp; Usage'!$C$114*(IF('Equipment List &amp; Usage'!$AA23&gt;0,'Weekly Summary'!U$128,0)+IF('Equipment List &amp; Usage'!$AB23&gt;0,'Weekly Summary'!U$100+'Weekly Summary'!U$101,0)),'Equipment List &amp; Usage'!$C$115*(('Weekly Summary'!U$128*'Equipment List &amp; Usage'!$AA23)+('Weekly Summary'!U$100*'Equipment List &amp; Usage'!$AB23*SelfQuarantine_Mild)+('Weekly Summary'!U$101*'Equipment List &amp; Usage'!$AB23*SelfQuarantine_Moderate)))+IF('Equipment List &amp; Usage'!$F23="Yes",('Equipment List &amp; Usage'!$C$114*(IF('Equipment List &amp; Usage'!$AE23&gt;0,'Weekly Summary'!U$134,0)+IF('Equipment List &amp; Usage'!$AF23&gt;0,'Weekly Summary'!U$135))),'Equipment List &amp; Usage'!$C$115*(('Weekly Summary'!U$134*'Equipment List &amp; Usage'!$AE23)+('Weekly Summary'!U$135*'Equipment List &amp; Usage'!$AF23))))-SUM($I21:Z21),
IF($F21="yes",MMULT(--('Equipment List &amp; Usage'!$J23:$N23&gt;0),--('Weekly Summary'!U$112:U$116))*'Equipment List &amp; Usage'!$C$114,MMULT(--('Equipment List &amp; Usage'!$J23:$N23),--('Weekly Summary'!U$112:U$116))*'Equipment List &amp; Usage'!$C$115)+IF('Equipment List &amp; Usage'!$F22="yes",'Equipment List &amp; Usage'!$C$114,'Equipment List &amp; Usage'!$C$115)*(('Weekly Summary'!U$66*'Equipment List &amp; Usage'!$Q23)+('Weekly Summary'!U$64*'Equipment List &amp; Usage'!$O23)+('Weekly Summary'!U$65*'Equipment List &amp; Usage'!$P23))+(IF('Equipment List &amp; Usage'!$F23="Yes",'Equipment List &amp; Usage'!$C$114*((('Weekly Summary'!U$131*SelfQuarantine_Mild)+('Weekly Summary'!U$100*SelfQuarantine_Mild)+('Weekly Summary'!U$101*SelfQuarantine_Moderate))),'Equipment List &amp; Usage'!$C$115)*((('Weekly Summary'!U$131*SelfQuarantine_Mild*'Equipment List &amp; Usage'!$W23)+('Weekly Summary'!U$100*SelfQuarantine_Mild*'Equipment List &amp; Usage'!$X23)+('Weekly Summary'!U$101*SelfQuarantine_Moderate*'Equipment List &amp; Usage'!$X23))))+IF('Equipment List &amp; Usage'!$F23="Yes",'Equipment List &amp; Usage'!$C$114*(IF('Equipment List &amp; Usage'!$AA23&gt;0,'Weekly Summary'!U$128,0)+IF('Equipment List &amp; Usage'!$AB23&gt;0,'Weekly Summary'!U$100+'Weekly Summary'!U$101,0)),'Equipment List &amp; Usage'!$C$115*(('Weekly Summary'!U$128*'Equipment List &amp; Usage'!$AA23)+('Weekly Summary'!U$100*'Equipment List &amp; Usage'!$AB23*SelfQuarantine_Mild)+('Weekly Summary'!U$101*'Equipment List &amp; Usage'!$AB23*SelfQuarantine_Moderate)))+IF('Equipment List &amp; Usage'!$F23="Yes",('Equipment List &amp; Usage'!$C$114*(IF('Equipment List &amp; Usage'!$AE23&gt;0,'Weekly Summary'!U$134,0)+IF('Equipment List &amp; Usage'!$AF23&gt;0,'Weekly Summary'!U$135))),'Equipment List &amp; Usage'!$C$115*(('Weekly Summary'!U$134*'Equipment List &amp; Usage'!$AE23)+('Weekly Summary'!U$135*'Equipment List &amp; Usage'!$AF23)))),0)</f>
        <v>0</v>
      </c>
      <c r="AB21" s="1374">
        <f ca="1">MAX(IF($F21="Yes",(
IF($F21="yes",MMULT(--('Equipment List &amp; Usage'!$J23:$N23&gt;0),--('Weekly Summary'!V$112:V$116))*'Equipment List &amp; Usage'!$C$114,MMULT(--('Equipment List &amp; Usage'!$J23:$N23),--('Weekly Summary'!V$112:V$116))*'Equipment List &amp; Usage'!$C$115)+IF('Equipment List &amp; Usage'!$F22="yes",'Equipment List &amp; Usage'!$C$114,'Equipment List &amp; Usage'!$C$115)*(('Weekly Summary'!V$66*'Equipment List &amp; Usage'!$Q23)+('Weekly Summary'!V$64*'Equipment List &amp; Usage'!$O23)+('Weekly Summary'!V$65*'Equipment List &amp; Usage'!$P23)))+(IF('Equipment List &amp; Usage'!$F23="Yes",'Equipment List &amp; Usage'!$C$114*((('Weekly Summary'!V$131*SelfQuarantine_Mild)+('Weekly Summary'!V$100*SelfQuarantine_Mild)+('Weekly Summary'!V$101*SelfQuarantine_Moderate))),'Equipment List &amp; Usage'!$C$115)*((('Weekly Summary'!V$131*SelfQuarantine_Mild*'Equipment List &amp; Usage'!$W23)+('Weekly Summary'!V$100*SelfQuarantine_Mild*'Equipment List &amp; Usage'!$X23)+('Weekly Summary'!V$101*SelfQuarantine_Moderate*'Equipment List &amp; Usage'!$X23)))+IF('Equipment List &amp; Usage'!$F23="Yes",'Equipment List &amp; Usage'!$C$114*(IF('Equipment List &amp; Usage'!$AA23&gt;0,'Weekly Summary'!V$128,0)+IF('Equipment List &amp; Usage'!$AB23&gt;0,'Weekly Summary'!V$100+'Weekly Summary'!V$101,0)),'Equipment List &amp; Usage'!$C$115*(('Weekly Summary'!V$128*'Equipment List &amp; Usage'!$AA23)+('Weekly Summary'!V$100*'Equipment List &amp; Usage'!$AB23*SelfQuarantine_Mild)+('Weekly Summary'!V$101*'Equipment List &amp; Usage'!$AB23*SelfQuarantine_Moderate)))+IF('Equipment List &amp; Usage'!$F23="Yes",('Equipment List &amp; Usage'!$C$114*(IF('Equipment List &amp; Usage'!$AE23&gt;0,'Weekly Summary'!V$134,0)+IF('Equipment List &amp; Usage'!$AF23&gt;0,'Weekly Summary'!V$135))),'Equipment List &amp; Usage'!$C$115*(('Weekly Summary'!V$134*'Equipment List &amp; Usage'!$AE23)+('Weekly Summary'!V$135*'Equipment List &amp; Usage'!$AF23))))-SUM($I21:AA21),
IF($F21="yes",MMULT(--('Equipment List &amp; Usage'!$J23:$N23&gt;0),--('Weekly Summary'!V$112:V$116))*'Equipment List &amp; Usage'!$C$114,MMULT(--('Equipment List &amp; Usage'!$J23:$N23),--('Weekly Summary'!V$112:V$116))*'Equipment List &amp; Usage'!$C$115)+IF('Equipment List &amp; Usage'!$F22="yes",'Equipment List &amp; Usage'!$C$114,'Equipment List &amp; Usage'!$C$115)*(('Weekly Summary'!V$66*'Equipment List &amp; Usage'!$Q23)+('Weekly Summary'!V$64*'Equipment List &amp; Usage'!$O23)+('Weekly Summary'!V$65*'Equipment List &amp; Usage'!$P23))+(IF('Equipment List &amp; Usage'!$F23="Yes",'Equipment List &amp; Usage'!$C$114*((('Weekly Summary'!V$131*SelfQuarantine_Mild)+('Weekly Summary'!V$100*SelfQuarantine_Mild)+('Weekly Summary'!V$101*SelfQuarantine_Moderate))),'Equipment List &amp; Usage'!$C$115)*((('Weekly Summary'!V$131*SelfQuarantine_Mild*'Equipment List &amp; Usage'!$W23)+('Weekly Summary'!V$100*SelfQuarantine_Mild*'Equipment List &amp; Usage'!$X23)+('Weekly Summary'!V$101*SelfQuarantine_Moderate*'Equipment List &amp; Usage'!$X23))))+IF('Equipment List &amp; Usage'!$F23="Yes",'Equipment List &amp; Usage'!$C$114*(IF('Equipment List &amp; Usage'!$AA23&gt;0,'Weekly Summary'!V$128,0)+IF('Equipment List &amp; Usage'!$AB23&gt;0,'Weekly Summary'!V$100+'Weekly Summary'!V$101,0)),'Equipment List &amp; Usage'!$C$115*(('Weekly Summary'!V$128*'Equipment List &amp; Usage'!$AA23)+('Weekly Summary'!V$100*'Equipment List &amp; Usage'!$AB23*SelfQuarantine_Mild)+('Weekly Summary'!V$101*'Equipment List &amp; Usage'!$AB23*SelfQuarantine_Moderate)))+IF('Equipment List &amp; Usage'!$F23="Yes",('Equipment List &amp; Usage'!$C$114*(IF('Equipment List &amp; Usage'!$AE23&gt;0,'Weekly Summary'!V$134,0)+IF('Equipment List &amp; Usage'!$AF23&gt;0,'Weekly Summary'!V$135))),'Equipment List &amp; Usage'!$C$115*(('Weekly Summary'!V$134*'Equipment List &amp; Usage'!$AE23)+('Weekly Summary'!V$135*'Equipment List &amp; Usage'!$AF23)))),0)</f>
        <v>0</v>
      </c>
      <c r="AC21" s="1374">
        <f ca="1">MAX(IF($F21="Yes",(
IF($F21="yes",MMULT(--('Equipment List &amp; Usage'!$J23:$N23&gt;0),--('Weekly Summary'!W$112:W$116))*'Equipment List &amp; Usage'!$C$114,MMULT(--('Equipment List &amp; Usage'!$J23:$N23),--('Weekly Summary'!W$112:W$116))*'Equipment List &amp; Usage'!$C$115)+IF('Equipment List &amp; Usage'!$F22="yes",'Equipment List &amp; Usage'!$C$114,'Equipment List &amp; Usage'!$C$115)*(('Weekly Summary'!W$66*'Equipment List &amp; Usage'!$Q23)+('Weekly Summary'!W$64*'Equipment List &amp; Usage'!$O23)+('Weekly Summary'!W$65*'Equipment List &amp; Usage'!$P23)))+(IF('Equipment List &amp; Usage'!$F23="Yes",'Equipment List &amp; Usage'!$C$114*((('Weekly Summary'!W$131*SelfQuarantine_Mild)+('Weekly Summary'!W$100*SelfQuarantine_Mild)+('Weekly Summary'!W$101*SelfQuarantine_Moderate))),'Equipment List &amp; Usage'!$C$115)*((('Weekly Summary'!W$131*SelfQuarantine_Mild*'Equipment List &amp; Usage'!$W23)+('Weekly Summary'!W$100*SelfQuarantine_Mild*'Equipment List &amp; Usage'!$X23)+('Weekly Summary'!W$101*SelfQuarantine_Moderate*'Equipment List &amp; Usage'!$X23)))+IF('Equipment List &amp; Usage'!$F23="Yes",'Equipment List &amp; Usage'!$C$114*(IF('Equipment List &amp; Usage'!$AA23&gt;0,'Weekly Summary'!W$128,0)+IF('Equipment List &amp; Usage'!$AB23&gt;0,'Weekly Summary'!W$100+'Weekly Summary'!W$101,0)),'Equipment List &amp; Usage'!$C$115*(('Weekly Summary'!W$128*'Equipment List &amp; Usage'!$AA23)+('Weekly Summary'!W$100*'Equipment List &amp; Usage'!$AB23*SelfQuarantine_Mild)+('Weekly Summary'!W$101*'Equipment List &amp; Usage'!$AB23*SelfQuarantine_Moderate)))+IF('Equipment List &amp; Usage'!$F23="Yes",('Equipment List &amp; Usage'!$C$114*(IF('Equipment List &amp; Usage'!$AE23&gt;0,'Weekly Summary'!W$134,0)+IF('Equipment List &amp; Usage'!$AF23&gt;0,'Weekly Summary'!W$135))),'Equipment List &amp; Usage'!$C$115*(('Weekly Summary'!W$134*'Equipment List &amp; Usage'!$AE23)+('Weekly Summary'!W$135*'Equipment List &amp; Usage'!$AF23))))-SUM($I21:AB21),
IF($F21="yes",MMULT(--('Equipment List &amp; Usage'!$J23:$N23&gt;0),--('Weekly Summary'!W$112:W$116))*'Equipment List &amp; Usage'!$C$114,MMULT(--('Equipment List &amp; Usage'!$J23:$N23),--('Weekly Summary'!W$112:W$116))*'Equipment List &amp; Usage'!$C$115)+IF('Equipment List &amp; Usage'!$F22="yes",'Equipment List &amp; Usage'!$C$114,'Equipment List &amp; Usage'!$C$115)*(('Weekly Summary'!W$66*'Equipment List &amp; Usage'!$Q23)+('Weekly Summary'!W$64*'Equipment List &amp; Usage'!$O23)+('Weekly Summary'!W$65*'Equipment List &amp; Usage'!$P23))+(IF('Equipment List &amp; Usage'!$F23="Yes",'Equipment List &amp; Usage'!$C$114*((('Weekly Summary'!W$131*SelfQuarantine_Mild)+('Weekly Summary'!W$100*SelfQuarantine_Mild)+('Weekly Summary'!W$101*SelfQuarantine_Moderate))),'Equipment List &amp; Usage'!$C$115)*((('Weekly Summary'!W$131*SelfQuarantine_Mild*'Equipment List &amp; Usage'!$W23)+('Weekly Summary'!W$100*SelfQuarantine_Mild*'Equipment List &amp; Usage'!$X23)+('Weekly Summary'!W$101*SelfQuarantine_Moderate*'Equipment List &amp; Usage'!$X23))))+IF('Equipment List &amp; Usage'!$F23="Yes",'Equipment List &amp; Usage'!$C$114*(IF('Equipment List &amp; Usage'!$AA23&gt;0,'Weekly Summary'!W$128,0)+IF('Equipment List &amp; Usage'!$AB23&gt;0,'Weekly Summary'!W$100+'Weekly Summary'!W$101,0)),'Equipment List &amp; Usage'!$C$115*(('Weekly Summary'!W$128*'Equipment List &amp; Usage'!$AA23)+('Weekly Summary'!W$100*'Equipment List &amp; Usage'!$AB23*SelfQuarantine_Mild)+('Weekly Summary'!W$101*'Equipment List &amp; Usage'!$AB23*SelfQuarantine_Moderate)))+IF('Equipment List &amp; Usage'!$F23="Yes",('Equipment List &amp; Usage'!$C$114*(IF('Equipment List &amp; Usage'!$AE23&gt;0,'Weekly Summary'!W$134,0)+IF('Equipment List &amp; Usage'!$AF23&gt;0,'Weekly Summary'!W$135))),'Equipment List &amp; Usage'!$C$115*(('Weekly Summary'!W$134*'Equipment List &amp; Usage'!$AE23)+('Weekly Summary'!W$135*'Equipment List &amp; Usage'!$AF23)))),0)</f>
        <v>0</v>
      </c>
      <c r="AD21" s="1374">
        <f ca="1">MAX(IF($F21="Yes",(
IF($F21="yes",MMULT(--('Equipment List &amp; Usage'!$J23:$N23&gt;0),--('Weekly Summary'!X$112:X$116))*'Equipment List &amp; Usage'!$C$114,MMULT(--('Equipment List &amp; Usage'!$J23:$N23),--('Weekly Summary'!X$112:X$116))*'Equipment List &amp; Usage'!$C$115)+IF('Equipment List &amp; Usage'!$F22="yes",'Equipment List &amp; Usage'!$C$114,'Equipment List &amp; Usage'!$C$115)*(('Weekly Summary'!X$66*'Equipment List &amp; Usage'!$Q23)+('Weekly Summary'!X$64*'Equipment List &amp; Usage'!$O23)+('Weekly Summary'!X$65*'Equipment List &amp; Usage'!$P23)))+(IF('Equipment List &amp; Usage'!$F23="Yes",'Equipment List &amp; Usage'!$C$114*((('Weekly Summary'!X$131*SelfQuarantine_Mild)+('Weekly Summary'!X$100*SelfQuarantine_Mild)+('Weekly Summary'!X$101*SelfQuarantine_Moderate))),'Equipment List &amp; Usage'!$C$115)*((('Weekly Summary'!X$131*SelfQuarantine_Mild*'Equipment List &amp; Usage'!$W23)+('Weekly Summary'!X$100*SelfQuarantine_Mild*'Equipment List &amp; Usage'!$X23)+('Weekly Summary'!X$101*SelfQuarantine_Moderate*'Equipment List &amp; Usage'!$X23)))+IF('Equipment List &amp; Usage'!$F23="Yes",'Equipment List &amp; Usage'!$C$114*(IF('Equipment List &amp; Usage'!$AA23&gt;0,'Weekly Summary'!X$128,0)+IF('Equipment List &amp; Usage'!$AB23&gt;0,'Weekly Summary'!X$100+'Weekly Summary'!X$101,0)),'Equipment List &amp; Usage'!$C$115*(('Weekly Summary'!X$128*'Equipment List &amp; Usage'!$AA23)+('Weekly Summary'!X$100*'Equipment List &amp; Usage'!$AB23*SelfQuarantine_Mild)+('Weekly Summary'!X$101*'Equipment List &amp; Usage'!$AB23*SelfQuarantine_Moderate)))+IF('Equipment List &amp; Usage'!$F23="Yes",('Equipment List &amp; Usage'!$C$114*(IF('Equipment List &amp; Usage'!$AE23&gt;0,'Weekly Summary'!X$134,0)+IF('Equipment List &amp; Usage'!$AF23&gt;0,'Weekly Summary'!X$135))),'Equipment List &amp; Usage'!$C$115*(('Weekly Summary'!X$134*'Equipment List &amp; Usage'!$AE23)+('Weekly Summary'!X$135*'Equipment List &amp; Usage'!$AF23))))-SUM($I21:AC21),
IF($F21="yes",MMULT(--('Equipment List &amp; Usage'!$J23:$N23&gt;0),--('Weekly Summary'!X$112:X$116))*'Equipment List &amp; Usage'!$C$114,MMULT(--('Equipment List &amp; Usage'!$J23:$N23),--('Weekly Summary'!X$112:X$116))*'Equipment List &amp; Usage'!$C$115)+IF('Equipment List &amp; Usage'!$F22="yes",'Equipment List &amp; Usage'!$C$114,'Equipment List &amp; Usage'!$C$115)*(('Weekly Summary'!X$66*'Equipment List &amp; Usage'!$Q23)+('Weekly Summary'!X$64*'Equipment List &amp; Usage'!$O23)+('Weekly Summary'!X$65*'Equipment List &amp; Usage'!$P23))+(IF('Equipment List &amp; Usage'!$F23="Yes",'Equipment List &amp; Usage'!$C$114*((('Weekly Summary'!X$131*SelfQuarantine_Mild)+('Weekly Summary'!X$100*SelfQuarantine_Mild)+('Weekly Summary'!X$101*SelfQuarantine_Moderate))),'Equipment List &amp; Usage'!$C$115)*((('Weekly Summary'!X$131*SelfQuarantine_Mild*'Equipment List &amp; Usage'!$W23)+('Weekly Summary'!X$100*SelfQuarantine_Mild*'Equipment List &amp; Usage'!$X23)+('Weekly Summary'!X$101*SelfQuarantine_Moderate*'Equipment List &amp; Usage'!$X23))))+IF('Equipment List &amp; Usage'!$F23="Yes",'Equipment List &amp; Usage'!$C$114*(IF('Equipment List &amp; Usage'!$AA23&gt;0,'Weekly Summary'!X$128,0)+IF('Equipment List &amp; Usage'!$AB23&gt;0,'Weekly Summary'!X$100+'Weekly Summary'!X$101,0)),'Equipment List &amp; Usage'!$C$115*(('Weekly Summary'!X$128*'Equipment List &amp; Usage'!$AA23)+('Weekly Summary'!X$100*'Equipment List &amp; Usage'!$AB23*SelfQuarantine_Mild)+('Weekly Summary'!X$101*'Equipment List &amp; Usage'!$AB23*SelfQuarantine_Moderate)))+IF('Equipment List &amp; Usage'!$F23="Yes",('Equipment List &amp; Usage'!$C$114*(IF('Equipment List &amp; Usage'!$AE23&gt;0,'Weekly Summary'!X$134,0)+IF('Equipment List &amp; Usage'!$AF23&gt;0,'Weekly Summary'!X$135))),'Equipment List &amp; Usage'!$C$115*(('Weekly Summary'!X$134*'Equipment List &amp; Usage'!$AE23)+('Weekly Summary'!X$135*'Equipment List &amp; Usage'!$AF23)))),0)</f>
        <v>0</v>
      </c>
      <c r="AE21" s="1374">
        <f ca="1">MAX(IF($F21="Yes",(
IF($F21="yes",MMULT(--('Equipment List &amp; Usage'!$J23:$N23&gt;0),--('Weekly Summary'!Y$112:Y$116))*'Equipment List &amp; Usage'!$C$114,MMULT(--('Equipment List &amp; Usage'!$J23:$N23),--('Weekly Summary'!Y$112:Y$116))*'Equipment List &amp; Usage'!$C$115)+IF('Equipment List &amp; Usage'!$F22="yes",'Equipment List &amp; Usage'!$C$114,'Equipment List &amp; Usage'!$C$115)*(('Weekly Summary'!Y$66*'Equipment List &amp; Usage'!$Q23)+('Weekly Summary'!Y$64*'Equipment List &amp; Usage'!$O23)+('Weekly Summary'!Y$65*'Equipment List &amp; Usage'!$P23)))+(IF('Equipment List &amp; Usage'!$F23="Yes",'Equipment List &amp; Usage'!$C$114*((('Weekly Summary'!Y$131*SelfQuarantine_Mild)+('Weekly Summary'!Y$100*SelfQuarantine_Mild)+('Weekly Summary'!Y$101*SelfQuarantine_Moderate))),'Equipment List &amp; Usage'!$C$115)*((('Weekly Summary'!Y$131*SelfQuarantine_Mild*'Equipment List &amp; Usage'!$W23)+('Weekly Summary'!Y$100*SelfQuarantine_Mild*'Equipment List &amp; Usage'!$X23)+('Weekly Summary'!Y$101*SelfQuarantine_Moderate*'Equipment List &amp; Usage'!$X23)))+IF('Equipment List &amp; Usage'!$F23="Yes",'Equipment List &amp; Usage'!$C$114*(IF('Equipment List &amp; Usage'!$AA23&gt;0,'Weekly Summary'!Y$128,0)+IF('Equipment List &amp; Usage'!$AB23&gt;0,'Weekly Summary'!Y$100+'Weekly Summary'!Y$101,0)),'Equipment List &amp; Usage'!$C$115*(('Weekly Summary'!Y$128*'Equipment List &amp; Usage'!$AA23)+('Weekly Summary'!Y$100*'Equipment List &amp; Usage'!$AB23*SelfQuarantine_Mild)+('Weekly Summary'!Y$101*'Equipment List &amp; Usage'!$AB23*SelfQuarantine_Moderate)))+IF('Equipment List &amp; Usage'!$F23="Yes",('Equipment List &amp; Usage'!$C$114*(IF('Equipment List &amp; Usage'!$AE23&gt;0,'Weekly Summary'!Y$134,0)+IF('Equipment List &amp; Usage'!$AF23&gt;0,'Weekly Summary'!Y$135))),'Equipment List &amp; Usage'!$C$115*(('Weekly Summary'!Y$134*'Equipment List &amp; Usage'!$AE23)+('Weekly Summary'!Y$135*'Equipment List &amp; Usage'!$AF23))))-SUM($I21:AD21),
IF($F21="yes",MMULT(--('Equipment List &amp; Usage'!$J23:$N23&gt;0),--('Weekly Summary'!Y$112:Y$116))*'Equipment List &amp; Usage'!$C$114,MMULT(--('Equipment List &amp; Usage'!$J23:$N23),--('Weekly Summary'!Y$112:Y$116))*'Equipment List &amp; Usage'!$C$115)+IF('Equipment List &amp; Usage'!$F22="yes",'Equipment List &amp; Usage'!$C$114,'Equipment List &amp; Usage'!$C$115)*(('Weekly Summary'!Y$66*'Equipment List &amp; Usage'!$Q23)+('Weekly Summary'!Y$64*'Equipment List &amp; Usage'!$O23)+('Weekly Summary'!Y$65*'Equipment List &amp; Usage'!$P23))+(IF('Equipment List &amp; Usage'!$F23="Yes",'Equipment List &amp; Usage'!$C$114*((('Weekly Summary'!Y$131*SelfQuarantine_Mild)+('Weekly Summary'!Y$100*SelfQuarantine_Mild)+('Weekly Summary'!Y$101*SelfQuarantine_Moderate))),'Equipment List &amp; Usage'!$C$115)*((('Weekly Summary'!Y$131*SelfQuarantine_Mild*'Equipment List &amp; Usage'!$W23)+('Weekly Summary'!Y$100*SelfQuarantine_Mild*'Equipment List &amp; Usage'!$X23)+('Weekly Summary'!Y$101*SelfQuarantine_Moderate*'Equipment List &amp; Usage'!$X23))))+IF('Equipment List &amp; Usage'!$F23="Yes",'Equipment List &amp; Usage'!$C$114*(IF('Equipment List &amp; Usage'!$AA23&gt;0,'Weekly Summary'!Y$128,0)+IF('Equipment List &amp; Usage'!$AB23&gt;0,'Weekly Summary'!Y$100+'Weekly Summary'!Y$101,0)),'Equipment List &amp; Usage'!$C$115*(('Weekly Summary'!Y$128*'Equipment List &amp; Usage'!$AA23)+('Weekly Summary'!Y$100*'Equipment List &amp; Usage'!$AB23*SelfQuarantine_Mild)+('Weekly Summary'!Y$101*'Equipment List &amp; Usage'!$AB23*SelfQuarantine_Moderate)))+IF('Equipment List &amp; Usage'!$F23="Yes",('Equipment List &amp; Usage'!$C$114*(IF('Equipment List &amp; Usage'!$AE23&gt;0,'Weekly Summary'!Y$134,0)+IF('Equipment List &amp; Usage'!$AF23&gt;0,'Weekly Summary'!Y$135))),'Equipment List &amp; Usage'!$C$115*(('Weekly Summary'!Y$134*'Equipment List &amp; Usage'!$AE23)+('Weekly Summary'!Y$135*'Equipment List &amp; Usage'!$AF23)))),0)</f>
        <v>0</v>
      </c>
      <c r="AF21" s="1374">
        <f ca="1">MAX(IF($F21="Yes",(
IF($F21="yes",MMULT(--('Equipment List &amp; Usage'!$J23:$N23&gt;0),--('Weekly Summary'!Z$112:Z$116))*'Equipment List &amp; Usage'!$C$114,MMULT(--('Equipment List &amp; Usage'!$J23:$N23),--('Weekly Summary'!Z$112:Z$116))*'Equipment List &amp; Usage'!$C$115)+IF('Equipment List &amp; Usage'!$F22="yes",'Equipment List &amp; Usage'!$C$114,'Equipment List &amp; Usage'!$C$115)*(('Weekly Summary'!Z$66*'Equipment List &amp; Usage'!$Q23)+('Weekly Summary'!Z$64*'Equipment List &amp; Usage'!$O23)+('Weekly Summary'!Z$65*'Equipment List &amp; Usage'!$P23)))+(IF('Equipment List &amp; Usage'!$F23="Yes",'Equipment List &amp; Usage'!$C$114*((('Weekly Summary'!Z$131*SelfQuarantine_Mild)+('Weekly Summary'!Z$100*SelfQuarantine_Mild)+('Weekly Summary'!Z$101*SelfQuarantine_Moderate))),'Equipment List &amp; Usage'!$C$115)*((('Weekly Summary'!Z$131*SelfQuarantine_Mild*'Equipment List &amp; Usage'!$W23)+('Weekly Summary'!Z$100*SelfQuarantine_Mild*'Equipment List &amp; Usage'!$X23)+('Weekly Summary'!Z$101*SelfQuarantine_Moderate*'Equipment List &amp; Usage'!$X23)))+IF('Equipment List &amp; Usage'!$F23="Yes",'Equipment List &amp; Usage'!$C$114*(IF('Equipment List &amp; Usage'!$AA23&gt;0,'Weekly Summary'!Z$128,0)+IF('Equipment List &amp; Usage'!$AB23&gt;0,'Weekly Summary'!Z$100+'Weekly Summary'!Z$101,0)),'Equipment List &amp; Usage'!$C$115*(('Weekly Summary'!Z$128*'Equipment List &amp; Usage'!$AA23)+('Weekly Summary'!Z$100*'Equipment List &amp; Usage'!$AB23*SelfQuarantine_Mild)+('Weekly Summary'!Z$101*'Equipment List &amp; Usage'!$AB23*SelfQuarantine_Moderate)))+IF('Equipment List &amp; Usage'!$F23="Yes",('Equipment List &amp; Usage'!$C$114*(IF('Equipment List &amp; Usage'!$AE23&gt;0,'Weekly Summary'!Z$134,0)+IF('Equipment List &amp; Usage'!$AF23&gt;0,'Weekly Summary'!Z$135))),'Equipment List &amp; Usage'!$C$115*(('Weekly Summary'!Z$134*'Equipment List &amp; Usage'!$AE23)+('Weekly Summary'!Z$135*'Equipment List &amp; Usage'!$AF23))))-SUM($I21:AE21),
IF($F21="yes",MMULT(--('Equipment List &amp; Usage'!$J23:$N23&gt;0),--('Weekly Summary'!Z$112:Z$116))*'Equipment List &amp; Usage'!$C$114,MMULT(--('Equipment List &amp; Usage'!$J23:$N23),--('Weekly Summary'!Z$112:Z$116))*'Equipment List &amp; Usage'!$C$115)+IF('Equipment List &amp; Usage'!$F22="yes",'Equipment List &amp; Usage'!$C$114,'Equipment List &amp; Usage'!$C$115)*(('Weekly Summary'!Z$66*'Equipment List &amp; Usage'!$Q23)+('Weekly Summary'!Z$64*'Equipment List &amp; Usage'!$O23)+('Weekly Summary'!Z$65*'Equipment List &amp; Usage'!$P23))+(IF('Equipment List &amp; Usage'!$F23="Yes",'Equipment List &amp; Usage'!$C$114*((('Weekly Summary'!Z$131*SelfQuarantine_Mild)+('Weekly Summary'!Z$100*SelfQuarantine_Mild)+('Weekly Summary'!Z$101*SelfQuarantine_Moderate))),'Equipment List &amp; Usage'!$C$115)*((('Weekly Summary'!Z$131*SelfQuarantine_Mild*'Equipment List &amp; Usage'!$W23)+('Weekly Summary'!Z$100*SelfQuarantine_Mild*'Equipment List &amp; Usage'!$X23)+('Weekly Summary'!Z$101*SelfQuarantine_Moderate*'Equipment List &amp; Usage'!$X23))))+IF('Equipment List &amp; Usage'!$F23="Yes",'Equipment List &amp; Usage'!$C$114*(IF('Equipment List &amp; Usage'!$AA23&gt;0,'Weekly Summary'!Z$128,0)+IF('Equipment List &amp; Usage'!$AB23&gt;0,'Weekly Summary'!Z$100+'Weekly Summary'!Z$101,0)),'Equipment List &amp; Usage'!$C$115*(('Weekly Summary'!Z$128*'Equipment List &amp; Usage'!$AA23)+('Weekly Summary'!Z$100*'Equipment List &amp; Usage'!$AB23*SelfQuarantine_Mild)+('Weekly Summary'!Z$101*'Equipment List &amp; Usage'!$AB23*SelfQuarantine_Moderate)))+IF('Equipment List &amp; Usage'!$F23="Yes",('Equipment List &amp; Usage'!$C$114*(IF('Equipment List &amp; Usage'!$AE23&gt;0,'Weekly Summary'!Z$134,0)+IF('Equipment List &amp; Usage'!$AF23&gt;0,'Weekly Summary'!Z$135))),'Equipment List &amp; Usage'!$C$115*(('Weekly Summary'!Z$134*'Equipment List &amp; Usage'!$AE23)+('Weekly Summary'!Z$135*'Equipment List &amp; Usage'!$AF23)))),0)</f>
        <v>0</v>
      </c>
      <c r="AG21" s="1374">
        <f ca="1">MAX(IF($F21="Yes",(
IF($F21="yes",MMULT(--('Equipment List &amp; Usage'!$J23:$N23&gt;0),--('Weekly Summary'!AA$112:AA$116))*'Equipment List &amp; Usage'!$C$114,MMULT(--('Equipment List &amp; Usage'!$J23:$N23),--('Weekly Summary'!AA$112:AA$116))*'Equipment List &amp; Usage'!$C$115)+IF('Equipment List &amp; Usage'!$F22="yes",'Equipment List &amp; Usage'!$C$114,'Equipment List &amp; Usage'!$C$115)*(('Weekly Summary'!AA$66*'Equipment List &amp; Usage'!$Q23)+('Weekly Summary'!AA$64*'Equipment List &amp; Usage'!$O23)+('Weekly Summary'!AA$65*'Equipment List &amp; Usage'!$P23)))+(IF('Equipment List &amp; Usage'!$F23="Yes",'Equipment List &amp; Usage'!$C$114*((('Weekly Summary'!AA$131*SelfQuarantine_Mild)+('Weekly Summary'!AA$100*SelfQuarantine_Mild)+('Weekly Summary'!AA$101*SelfQuarantine_Moderate))),'Equipment List &amp; Usage'!$C$115)*((('Weekly Summary'!AA$131*SelfQuarantine_Mild*'Equipment List &amp; Usage'!$W23)+('Weekly Summary'!AA$100*SelfQuarantine_Mild*'Equipment List &amp; Usage'!$X23)+('Weekly Summary'!AA$101*SelfQuarantine_Moderate*'Equipment List &amp; Usage'!$X23)))+IF('Equipment List &amp; Usage'!$F23="Yes",'Equipment List &amp; Usage'!$C$114*(IF('Equipment List &amp; Usage'!$AA23&gt;0,'Weekly Summary'!AA$128,0)+IF('Equipment List &amp; Usage'!$AB23&gt;0,'Weekly Summary'!AA$100+'Weekly Summary'!AA$101,0)),'Equipment List &amp; Usage'!$C$115*(('Weekly Summary'!AA$128*'Equipment List &amp; Usage'!$AA23)+('Weekly Summary'!AA$100*'Equipment List &amp; Usage'!$AB23*SelfQuarantine_Mild)+('Weekly Summary'!AA$101*'Equipment List &amp; Usage'!$AB23*SelfQuarantine_Moderate)))+IF('Equipment List &amp; Usage'!$F23="Yes",('Equipment List &amp; Usage'!$C$114*(IF('Equipment List &amp; Usage'!$AE23&gt;0,'Weekly Summary'!AA$134,0)+IF('Equipment List &amp; Usage'!$AF23&gt;0,'Weekly Summary'!AA$135))),'Equipment List &amp; Usage'!$C$115*(('Weekly Summary'!AA$134*'Equipment List &amp; Usage'!$AE23)+('Weekly Summary'!AA$135*'Equipment List &amp; Usage'!$AF23))))-SUM($I21:AF21),
IF($F21="yes",MMULT(--('Equipment List &amp; Usage'!$J23:$N23&gt;0),--('Weekly Summary'!AA$112:AA$116))*'Equipment List &amp; Usage'!$C$114,MMULT(--('Equipment List &amp; Usage'!$J23:$N23),--('Weekly Summary'!AA$112:AA$116))*'Equipment List &amp; Usage'!$C$115)+IF('Equipment List &amp; Usage'!$F22="yes",'Equipment List &amp; Usage'!$C$114,'Equipment List &amp; Usage'!$C$115)*(('Weekly Summary'!AA$66*'Equipment List &amp; Usage'!$Q23)+('Weekly Summary'!AA$64*'Equipment List &amp; Usage'!$O23)+('Weekly Summary'!AA$65*'Equipment List &amp; Usage'!$P23))+(IF('Equipment List &amp; Usage'!$F23="Yes",'Equipment List &amp; Usage'!$C$114*((('Weekly Summary'!AA$131*SelfQuarantine_Mild)+('Weekly Summary'!AA$100*SelfQuarantine_Mild)+('Weekly Summary'!AA$101*SelfQuarantine_Moderate))),'Equipment List &amp; Usage'!$C$115)*((('Weekly Summary'!AA$131*SelfQuarantine_Mild*'Equipment List &amp; Usage'!$W23)+('Weekly Summary'!AA$100*SelfQuarantine_Mild*'Equipment List &amp; Usage'!$X23)+('Weekly Summary'!AA$101*SelfQuarantine_Moderate*'Equipment List &amp; Usage'!$X23))))+IF('Equipment List &amp; Usage'!$F23="Yes",'Equipment List &amp; Usage'!$C$114*(IF('Equipment List &amp; Usage'!$AA23&gt;0,'Weekly Summary'!AA$128,0)+IF('Equipment List &amp; Usage'!$AB23&gt;0,'Weekly Summary'!AA$100+'Weekly Summary'!AA$101,0)),'Equipment List &amp; Usage'!$C$115*(('Weekly Summary'!AA$128*'Equipment List &amp; Usage'!$AA23)+('Weekly Summary'!AA$100*'Equipment List &amp; Usage'!$AB23*SelfQuarantine_Mild)+('Weekly Summary'!AA$101*'Equipment List &amp; Usage'!$AB23*SelfQuarantine_Moderate)))+IF('Equipment List &amp; Usage'!$F23="Yes",('Equipment List &amp; Usage'!$C$114*(IF('Equipment List &amp; Usage'!$AE23&gt;0,'Weekly Summary'!AA$134,0)+IF('Equipment List &amp; Usage'!$AF23&gt;0,'Weekly Summary'!AA$135))),'Equipment List &amp; Usage'!$C$115*(('Weekly Summary'!AA$134*'Equipment List &amp; Usage'!$AE23)+('Weekly Summary'!AA$135*'Equipment List &amp; Usage'!$AF23)))),0)</f>
        <v>0</v>
      </c>
      <c r="AH21" s="1374">
        <f ca="1">MAX(IF($F21="Yes",(
IF($F21="yes",MMULT(--('Equipment List &amp; Usage'!$J23:$N23&gt;0),--('Weekly Summary'!AB$112:AB$116))*'Equipment List &amp; Usage'!$C$114,MMULT(--('Equipment List &amp; Usage'!$J23:$N23),--('Weekly Summary'!AB$112:AB$116))*'Equipment List &amp; Usage'!$C$115)+IF('Equipment List &amp; Usage'!$F22="yes",'Equipment List &amp; Usage'!$C$114,'Equipment List &amp; Usage'!$C$115)*(('Weekly Summary'!AB$66*'Equipment List &amp; Usage'!$Q23)+('Weekly Summary'!AB$64*'Equipment List &amp; Usage'!$O23)+('Weekly Summary'!AB$65*'Equipment List &amp; Usage'!$P23)))+(IF('Equipment List &amp; Usage'!$F23="Yes",'Equipment List &amp; Usage'!$C$114*((('Weekly Summary'!AB$131*SelfQuarantine_Mild)+('Weekly Summary'!AB$100*SelfQuarantine_Mild)+('Weekly Summary'!AB$101*SelfQuarantine_Moderate))),'Equipment List &amp; Usage'!$C$115)*((('Weekly Summary'!AB$131*SelfQuarantine_Mild*'Equipment List &amp; Usage'!$W23)+('Weekly Summary'!AB$100*SelfQuarantine_Mild*'Equipment List &amp; Usage'!$X23)+('Weekly Summary'!AB$101*SelfQuarantine_Moderate*'Equipment List &amp; Usage'!$X23)))+IF('Equipment List &amp; Usage'!$F23="Yes",'Equipment List &amp; Usage'!$C$114*(IF('Equipment List &amp; Usage'!$AA23&gt;0,'Weekly Summary'!AB$128,0)+IF('Equipment List &amp; Usage'!$AB23&gt;0,'Weekly Summary'!AB$100+'Weekly Summary'!AB$101,0)),'Equipment List &amp; Usage'!$C$115*(('Weekly Summary'!AB$128*'Equipment List &amp; Usage'!$AA23)+('Weekly Summary'!AB$100*'Equipment List &amp; Usage'!$AB23*SelfQuarantine_Mild)+('Weekly Summary'!AB$101*'Equipment List &amp; Usage'!$AB23*SelfQuarantine_Moderate)))+IF('Equipment List &amp; Usage'!$F23="Yes",('Equipment List &amp; Usage'!$C$114*(IF('Equipment List &amp; Usage'!$AE23&gt;0,'Weekly Summary'!AB$134,0)+IF('Equipment List &amp; Usage'!$AF23&gt;0,'Weekly Summary'!AB$135))),'Equipment List &amp; Usage'!$C$115*(('Weekly Summary'!AB$134*'Equipment List &amp; Usage'!$AE23)+('Weekly Summary'!AB$135*'Equipment List &amp; Usage'!$AF23))))-SUM($I21:AG21),
IF($F21="yes",MMULT(--('Equipment List &amp; Usage'!$J23:$N23&gt;0),--('Weekly Summary'!AB$112:AB$116))*'Equipment List &amp; Usage'!$C$114,MMULT(--('Equipment List &amp; Usage'!$J23:$N23),--('Weekly Summary'!AB$112:AB$116))*'Equipment List &amp; Usage'!$C$115)+IF('Equipment List &amp; Usage'!$F22="yes",'Equipment List &amp; Usage'!$C$114,'Equipment List &amp; Usage'!$C$115)*(('Weekly Summary'!AB$66*'Equipment List &amp; Usage'!$Q23)+('Weekly Summary'!AB$64*'Equipment List &amp; Usage'!$O23)+('Weekly Summary'!AB$65*'Equipment List &amp; Usage'!$P23))+(IF('Equipment List &amp; Usage'!$F23="Yes",'Equipment List &amp; Usage'!$C$114*((('Weekly Summary'!AB$131*SelfQuarantine_Mild)+('Weekly Summary'!AB$100*SelfQuarantine_Mild)+('Weekly Summary'!AB$101*SelfQuarantine_Moderate))),'Equipment List &amp; Usage'!$C$115)*((('Weekly Summary'!AB$131*SelfQuarantine_Mild*'Equipment List &amp; Usage'!$W23)+('Weekly Summary'!AB$100*SelfQuarantine_Mild*'Equipment List &amp; Usage'!$X23)+('Weekly Summary'!AB$101*SelfQuarantine_Moderate*'Equipment List &amp; Usage'!$X23))))+IF('Equipment List &amp; Usage'!$F23="Yes",'Equipment List &amp; Usage'!$C$114*(IF('Equipment List &amp; Usage'!$AA23&gt;0,'Weekly Summary'!AB$128,0)+IF('Equipment List &amp; Usage'!$AB23&gt;0,'Weekly Summary'!AB$100+'Weekly Summary'!AB$101,0)),'Equipment List &amp; Usage'!$C$115*(('Weekly Summary'!AB$128*'Equipment List &amp; Usage'!$AA23)+('Weekly Summary'!AB$100*'Equipment List &amp; Usage'!$AB23*SelfQuarantine_Mild)+('Weekly Summary'!AB$101*'Equipment List &amp; Usage'!$AB23*SelfQuarantine_Moderate)))+IF('Equipment List &amp; Usage'!$F23="Yes",('Equipment List &amp; Usage'!$C$114*(IF('Equipment List &amp; Usage'!$AE23&gt;0,'Weekly Summary'!AB$134,0)+IF('Equipment List &amp; Usage'!$AF23&gt;0,'Weekly Summary'!AB$135))),'Equipment List &amp; Usage'!$C$115*(('Weekly Summary'!AB$134*'Equipment List &amp; Usage'!$AE23)+('Weekly Summary'!AB$135*'Equipment List &amp; Usage'!$AF23)))),0)</f>
        <v>0</v>
      </c>
      <c r="AI21" s="1374">
        <f ca="1">MAX(IF($F21="Yes",(
IF($F21="yes",MMULT(--('Equipment List &amp; Usage'!$J23:$N23&gt;0),--('Weekly Summary'!AC$112:AC$116))*'Equipment List &amp; Usage'!$C$114,MMULT(--('Equipment List &amp; Usage'!$J23:$N23),--('Weekly Summary'!AC$112:AC$116))*'Equipment List &amp; Usage'!$C$115)+IF('Equipment List &amp; Usage'!$F22="yes",'Equipment List &amp; Usage'!$C$114,'Equipment List &amp; Usage'!$C$115)*(('Weekly Summary'!AC$66*'Equipment List &amp; Usage'!$Q23)+('Weekly Summary'!AC$64*'Equipment List &amp; Usage'!$O23)+('Weekly Summary'!AC$65*'Equipment List &amp; Usage'!$P23)))+(IF('Equipment List &amp; Usage'!$F23="Yes",'Equipment List &amp; Usage'!$C$114*((('Weekly Summary'!AC$131*SelfQuarantine_Mild)+('Weekly Summary'!AC$100*SelfQuarantine_Mild)+('Weekly Summary'!AC$101*SelfQuarantine_Moderate))),'Equipment List &amp; Usage'!$C$115)*((('Weekly Summary'!AC$131*SelfQuarantine_Mild*'Equipment List &amp; Usage'!$W23)+('Weekly Summary'!AC$100*SelfQuarantine_Mild*'Equipment List &amp; Usage'!$X23)+('Weekly Summary'!AC$101*SelfQuarantine_Moderate*'Equipment List &amp; Usage'!$X23)))+IF('Equipment List &amp; Usage'!$F23="Yes",'Equipment List &amp; Usage'!$C$114*(IF('Equipment List &amp; Usage'!$AA23&gt;0,'Weekly Summary'!AC$128,0)+IF('Equipment List &amp; Usage'!$AB23&gt;0,'Weekly Summary'!AC$100+'Weekly Summary'!AC$101,0)),'Equipment List &amp; Usage'!$C$115*(('Weekly Summary'!AC$128*'Equipment List &amp; Usage'!$AA23)+('Weekly Summary'!AC$100*'Equipment List &amp; Usage'!$AB23*SelfQuarantine_Mild)+('Weekly Summary'!AC$101*'Equipment List &amp; Usage'!$AB23*SelfQuarantine_Moderate)))+IF('Equipment List &amp; Usage'!$F23="Yes",('Equipment List &amp; Usage'!$C$114*(IF('Equipment List &amp; Usage'!$AE23&gt;0,'Weekly Summary'!AC$134,0)+IF('Equipment List &amp; Usage'!$AF23&gt;0,'Weekly Summary'!AC$135))),'Equipment List &amp; Usage'!$C$115*(('Weekly Summary'!AC$134*'Equipment List &amp; Usage'!$AE23)+('Weekly Summary'!AC$135*'Equipment List &amp; Usage'!$AF23))))-SUM($I21:AH21),
IF($F21="yes",MMULT(--('Equipment List &amp; Usage'!$J23:$N23&gt;0),--('Weekly Summary'!AC$112:AC$116))*'Equipment List &amp; Usage'!$C$114,MMULT(--('Equipment List &amp; Usage'!$J23:$N23),--('Weekly Summary'!AC$112:AC$116))*'Equipment List &amp; Usage'!$C$115)+IF('Equipment List &amp; Usage'!$F22="yes",'Equipment List &amp; Usage'!$C$114,'Equipment List &amp; Usage'!$C$115)*(('Weekly Summary'!AC$66*'Equipment List &amp; Usage'!$Q23)+('Weekly Summary'!AC$64*'Equipment List &amp; Usage'!$O23)+('Weekly Summary'!AC$65*'Equipment List &amp; Usage'!$P23))+(IF('Equipment List &amp; Usage'!$F23="Yes",'Equipment List &amp; Usage'!$C$114*((('Weekly Summary'!AC$131*SelfQuarantine_Mild)+('Weekly Summary'!AC$100*SelfQuarantine_Mild)+('Weekly Summary'!AC$101*SelfQuarantine_Moderate))),'Equipment List &amp; Usage'!$C$115)*((('Weekly Summary'!AC$131*SelfQuarantine_Mild*'Equipment List &amp; Usage'!$W23)+('Weekly Summary'!AC$100*SelfQuarantine_Mild*'Equipment List &amp; Usage'!$X23)+('Weekly Summary'!AC$101*SelfQuarantine_Moderate*'Equipment List &amp; Usage'!$X23))))+IF('Equipment List &amp; Usage'!$F23="Yes",'Equipment List &amp; Usage'!$C$114*(IF('Equipment List &amp; Usage'!$AA23&gt;0,'Weekly Summary'!AC$128,0)+IF('Equipment List &amp; Usage'!$AB23&gt;0,'Weekly Summary'!AC$100+'Weekly Summary'!AC$101,0)),'Equipment List &amp; Usage'!$C$115*(('Weekly Summary'!AC$128*'Equipment List &amp; Usage'!$AA23)+('Weekly Summary'!AC$100*'Equipment List &amp; Usage'!$AB23*SelfQuarantine_Mild)+('Weekly Summary'!AC$101*'Equipment List &amp; Usage'!$AB23*SelfQuarantine_Moderate)))+IF('Equipment List &amp; Usage'!$F23="Yes",('Equipment List &amp; Usage'!$C$114*(IF('Equipment List &amp; Usage'!$AE23&gt;0,'Weekly Summary'!AC$134,0)+IF('Equipment List &amp; Usage'!$AF23&gt;0,'Weekly Summary'!AC$135))),'Equipment List &amp; Usage'!$C$115*(('Weekly Summary'!AC$134*'Equipment List &amp; Usage'!$AE23)+('Weekly Summary'!AC$135*'Equipment List &amp; Usage'!$AF23)))),0)</f>
        <v>0</v>
      </c>
      <c r="AJ21" s="1374">
        <f ca="1">MAX(IF($F21="Yes",(
IF($F21="yes",MMULT(--('Equipment List &amp; Usage'!$J23:$N23&gt;0),--('Weekly Summary'!AD$112:AD$116))*'Equipment List &amp; Usage'!$C$114,MMULT(--('Equipment List &amp; Usage'!$J23:$N23),--('Weekly Summary'!AD$112:AD$116))*'Equipment List &amp; Usage'!$C$115)+IF('Equipment List &amp; Usage'!$F22="yes",'Equipment List &amp; Usage'!$C$114,'Equipment List &amp; Usage'!$C$115)*(('Weekly Summary'!AD$66*'Equipment List &amp; Usage'!$Q23)+('Weekly Summary'!AD$64*'Equipment List &amp; Usage'!$O23)+('Weekly Summary'!AD$65*'Equipment List &amp; Usage'!$P23)))+(IF('Equipment List &amp; Usage'!$F23="Yes",'Equipment List &amp; Usage'!$C$114*((('Weekly Summary'!AD$131*SelfQuarantine_Mild)+('Weekly Summary'!AD$100*SelfQuarantine_Mild)+('Weekly Summary'!AD$101*SelfQuarantine_Moderate))),'Equipment List &amp; Usage'!$C$115)*((('Weekly Summary'!AD$131*SelfQuarantine_Mild*'Equipment List &amp; Usage'!$W23)+('Weekly Summary'!AD$100*SelfQuarantine_Mild*'Equipment List &amp; Usage'!$X23)+('Weekly Summary'!AD$101*SelfQuarantine_Moderate*'Equipment List &amp; Usage'!$X23)))+IF('Equipment List &amp; Usage'!$F23="Yes",'Equipment List &amp; Usage'!$C$114*(IF('Equipment List &amp; Usage'!$AA23&gt;0,'Weekly Summary'!AD$128,0)+IF('Equipment List &amp; Usage'!$AB23&gt;0,'Weekly Summary'!AD$100+'Weekly Summary'!AD$101,0)),'Equipment List &amp; Usage'!$C$115*(('Weekly Summary'!AD$128*'Equipment List &amp; Usage'!$AA23)+('Weekly Summary'!AD$100*'Equipment List &amp; Usage'!$AB23*SelfQuarantine_Mild)+('Weekly Summary'!AD$101*'Equipment List &amp; Usage'!$AB23*SelfQuarantine_Moderate)))+IF('Equipment List &amp; Usage'!$F23="Yes",('Equipment List &amp; Usage'!$C$114*(IF('Equipment List &amp; Usage'!$AE23&gt;0,'Weekly Summary'!AD$134,0)+IF('Equipment List &amp; Usage'!$AF23&gt;0,'Weekly Summary'!AD$135))),'Equipment List &amp; Usage'!$C$115*(('Weekly Summary'!AD$134*'Equipment List &amp; Usage'!$AE23)+('Weekly Summary'!AD$135*'Equipment List &amp; Usage'!$AF23))))-SUM($I21:AI21),
IF($F21="yes",MMULT(--('Equipment List &amp; Usage'!$J23:$N23&gt;0),--('Weekly Summary'!AD$112:AD$116))*'Equipment List &amp; Usage'!$C$114,MMULT(--('Equipment List &amp; Usage'!$J23:$N23),--('Weekly Summary'!AD$112:AD$116))*'Equipment List &amp; Usage'!$C$115)+IF('Equipment List &amp; Usage'!$F22="yes",'Equipment List &amp; Usage'!$C$114,'Equipment List &amp; Usage'!$C$115)*(('Weekly Summary'!AD$66*'Equipment List &amp; Usage'!$Q23)+('Weekly Summary'!AD$64*'Equipment List &amp; Usage'!$O23)+('Weekly Summary'!AD$65*'Equipment List &amp; Usage'!$P23))+(IF('Equipment List &amp; Usage'!$F23="Yes",'Equipment List &amp; Usage'!$C$114*((('Weekly Summary'!AD$131*SelfQuarantine_Mild)+('Weekly Summary'!AD$100*SelfQuarantine_Mild)+('Weekly Summary'!AD$101*SelfQuarantine_Moderate))),'Equipment List &amp; Usage'!$C$115)*((('Weekly Summary'!AD$131*SelfQuarantine_Mild*'Equipment List &amp; Usage'!$W23)+('Weekly Summary'!AD$100*SelfQuarantine_Mild*'Equipment List &amp; Usage'!$X23)+('Weekly Summary'!AD$101*SelfQuarantine_Moderate*'Equipment List &amp; Usage'!$X23))))+IF('Equipment List &amp; Usage'!$F23="Yes",'Equipment List &amp; Usage'!$C$114*(IF('Equipment List &amp; Usage'!$AA23&gt;0,'Weekly Summary'!AD$128,0)+IF('Equipment List &amp; Usage'!$AB23&gt;0,'Weekly Summary'!AD$100+'Weekly Summary'!AD$101,0)),'Equipment List &amp; Usage'!$C$115*(('Weekly Summary'!AD$128*'Equipment List &amp; Usage'!$AA23)+('Weekly Summary'!AD$100*'Equipment List &amp; Usage'!$AB23*SelfQuarantine_Mild)+('Weekly Summary'!AD$101*'Equipment List &amp; Usage'!$AB23*SelfQuarantine_Moderate)))+IF('Equipment List &amp; Usage'!$F23="Yes",('Equipment List &amp; Usage'!$C$114*(IF('Equipment List &amp; Usage'!$AE23&gt;0,'Weekly Summary'!AD$134,0)+IF('Equipment List &amp; Usage'!$AF23&gt;0,'Weekly Summary'!AD$135))),'Equipment List &amp; Usage'!$C$115*(('Weekly Summary'!AD$134*'Equipment List &amp; Usage'!$AE23)+('Weekly Summary'!AD$135*'Equipment List &amp; Usage'!$AF23)))),0)</f>
        <v>0</v>
      </c>
      <c r="AK21" s="1374">
        <f ca="1">MAX(IF($F21="Yes",(
IF($F21="yes",MMULT(--('Equipment List &amp; Usage'!$J23:$N23&gt;0),--('Weekly Summary'!AE$112:AE$116))*'Equipment List &amp; Usage'!$C$114,MMULT(--('Equipment List &amp; Usage'!$J23:$N23),--('Weekly Summary'!AE$112:AE$116))*'Equipment List &amp; Usage'!$C$115)+IF('Equipment List &amp; Usage'!$F22="yes",'Equipment List &amp; Usage'!$C$114,'Equipment List &amp; Usage'!$C$115)*(('Weekly Summary'!AE$66*'Equipment List &amp; Usage'!$Q23)+('Weekly Summary'!AE$64*'Equipment List &amp; Usage'!$O23)+('Weekly Summary'!AE$65*'Equipment List &amp; Usage'!$P23)))+(IF('Equipment List &amp; Usage'!$F23="Yes",'Equipment List &amp; Usage'!$C$114*((('Weekly Summary'!AE$131*SelfQuarantine_Mild)+('Weekly Summary'!AE$100*SelfQuarantine_Mild)+('Weekly Summary'!AE$101*SelfQuarantine_Moderate))),'Equipment List &amp; Usage'!$C$115)*((('Weekly Summary'!AE$131*SelfQuarantine_Mild*'Equipment List &amp; Usage'!$W23)+('Weekly Summary'!AE$100*SelfQuarantine_Mild*'Equipment List &amp; Usage'!$X23)+('Weekly Summary'!AE$101*SelfQuarantine_Moderate*'Equipment List &amp; Usage'!$X23)))+IF('Equipment List &amp; Usage'!$F23="Yes",'Equipment List &amp; Usage'!$C$114*(IF('Equipment List &amp; Usage'!$AA23&gt;0,'Weekly Summary'!AE$128,0)+IF('Equipment List &amp; Usage'!$AB23&gt;0,'Weekly Summary'!AE$100+'Weekly Summary'!AE$101,0)),'Equipment List &amp; Usage'!$C$115*(('Weekly Summary'!AE$128*'Equipment List &amp; Usage'!$AA23)+('Weekly Summary'!AE$100*'Equipment List &amp; Usage'!$AB23*SelfQuarantine_Mild)+('Weekly Summary'!AE$101*'Equipment List &amp; Usage'!$AB23*SelfQuarantine_Moderate)))+IF('Equipment List &amp; Usage'!$F23="Yes",('Equipment List &amp; Usage'!$C$114*(IF('Equipment List &amp; Usage'!$AE23&gt;0,'Weekly Summary'!AE$134,0)+IF('Equipment List &amp; Usage'!$AF23&gt;0,'Weekly Summary'!AE$135))),'Equipment List &amp; Usage'!$C$115*(('Weekly Summary'!AE$134*'Equipment List &amp; Usage'!$AE23)+('Weekly Summary'!AE$135*'Equipment List &amp; Usage'!$AF23))))-SUM($I21:AJ21),
IF($F21="yes",MMULT(--('Equipment List &amp; Usage'!$J23:$N23&gt;0),--('Weekly Summary'!AE$112:AE$116))*'Equipment List &amp; Usage'!$C$114,MMULT(--('Equipment List &amp; Usage'!$J23:$N23),--('Weekly Summary'!AE$112:AE$116))*'Equipment List &amp; Usage'!$C$115)+IF('Equipment List &amp; Usage'!$F22="yes",'Equipment List &amp; Usage'!$C$114,'Equipment List &amp; Usage'!$C$115)*(('Weekly Summary'!AE$66*'Equipment List &amp; Usage'!$Q23)+('Weekly Summary'!AE$64*'Equipment List &amp; Usage'!$O23)+('Weekly Summary'!AE$65*'Equipment List &amp; Usage'!$P23))+(IF('Equipment List &amp; Usage'!$F23="Yes",'Equipment List &amp; Usage'!$C$114*((('Weekly Summary'!AE$131*SelfQuarantine_Mild)+('Weekly Summary'!AE$100*SelfQuarantine_Mild)+('Weekly Summary'!AE$101*SelfQuarantine_Moderate))),'Equipment List &amp; Usage'!$C$115)*((('Weekly Summary'!AE$131*SelfQuarantine_Mild*'Equipment List &amp; Usage'!$W23)+('Weekly Summary'!AE$100*SelfQuarantine_Mild*'Equipment List &amp; Usage'!$X23)+('Weekly Summary'!AE$101*SelfQuarantine_Moderate*'Equipment List &amp; Usage'!$X23))))+IF('Equipment List &amp; Usage'!$F23="Yes",'Equipment List &amp; Usage'!$C$114*(IF('Equipment List &amp; Usage'!$AA23&gt;0,'Weekly Summary'!AE$128,0)+IF('Equipment List &amp; Usage'!$AB23&gt;0,'Weekly Summary'!AE$100+'Weekly Summary'!AE$101,0)),'Equipment List &amp; Usage'!$C$115*(('Weekly Summary'!AE$128*'Equipment List &amp; Usage'!$AA23)+('Weekly Summary'!AE$100*'Equipment List &amp; Usage'!$AB23*SelfQuarantine_Mild)+('Weekly Summary'!AE$101*'Equipment List &amp; Usage'!$AB23*SelfQuarantine_Moderate)))+IF('Equipment List &amp; Usage'!$F23="Yes",('Equipment List &amp; Usage'!$C$114*(IF('Equipment List &amp; Usage'!$AE23&gt;0,'Weekly Summary'!AE$134,0)+IF('Equipment List &amp; Usage'!$AF23&gt;0,'Weekly Summary'!AE$135))),'Equipment List &amp; Usage'!$C$115*(('Weekly Summary'!AE$134*'Equipment List &amp; Usage'!$AE23)+('Weekly Summary'!AE$135*'Equipment List &amp; Usage'!$AF23)))),0)</f>
        <v>0</v>
      </c>
      <c r="AL21" s="1374">
        <f ca="1">MAX(IF($F21="Yes",(
IF($F21="yes",MMULT(--('Equipment List &amp; Usage'!$J23:$N23&gt;0),--('Weekly Summary'!AF$112:AF$116))*'Equipment List &amp; Usage'!$C$114,MMULT(--('Equipment List &amp; Usage'!$J23:$N23),--('Weekly Summary'!AF$112:AF$116))*'Equipment List &amp; Usage'!$C$115)+IF('Equipment List &amp; Usage'!$F22="yes",'Equipment List &amp; Usage'!$C$114,'Equipment List &amp; Usage'!$C$115)*(('Weekly Summary'!AF$66*'Equipment List &amp; Usage'!$Q23)+('Weekly Summary'!AF$64*'Equipment List &amp; Usage'!$O23)+('Weekly Summary'!AF$65*'Equipment List &amp; Usage'!$P23)))+(IF('Equipment List &amp; Usage'!$F23="Yes",'Equipment List &amp; Usage'!$C$114*((('Weekly Summary'!AF$131*SelfQuarantine_Mild)+('Weekly Summary'!AF$100*SelfQuarantine_Mild)+('Weekly Summary'!AF$101*SelfQuarantine_Moderate))),'Equipment List &amp; Usage'!$C$115)*((('Weekly Summary'!AF$131*SelfQuarantine_Mild*'Equipment List &amp; Usage'!$W23)+('Weekly Summary'!AF$100*SelfQuarantine_Mild*'Equipment List &amp; Usage'!$X23)+('Weekly Summary'!AF$101*SelfQuarantine_Moderate*'Equipment List &amp; Usage'!$X23)))+IF('Equipment List &amp; Usage'!$F23="Yes",'Equipment List &amp; Usage'!$C$114*(IF('Equipment List &amp; Usage'!$AA23&gt;0,'Weekly Summary'!AF$128,0)+IF('Equipment List &amp; Usage'!$AB23&gt;0,'Weekly Summary'!AF$100+'Weekly Summary'!AF$101,0)),'Equipment List &amp; Usage'!$C$115*(('Weekly Summary'!AF$128*'Equipment List &amp; Usage'!$AA23)+('Weekly Summary'!AF$100*'Equipment List &amp; Usage'!$AB23*SelfQuarantine_Mild)+('Weekly Summary'!AF$101*'Equipment List &amp; Usage'!$AB23*SelfQuarantine_Moderate)))+IF('Equipment List &amp; Usage'!$F23="Yes",('Equipment List &amp; Usage'!$C$114*(IF('Equipment List &amp; Usage'!$AE23&gt;0,'Weekly Summary'!AF$134,0)+IF('Equipment List &amp; Usage'!$AF23&gt;0,'Weekly Summary'!AF$135))),'Equipment List &amp; Usage'!$C$115*(('Weekly Summary'!AF$134*'Equipment List &amp; Usage'!$AE23)+('Weekly Summary'!AF$135*'Equipment List &amp; Usage'!$AF23))))-SUM($I21:AK21),
IF($F21="yes",MMULT(--('Equipment List &amp; Usage'!$J23:$N23&gt;0),--('Weekly Summary'!AF$112:AF$116))*'Equipment List &amp; Usage'!$C$114,MMULT(--('Equipment List &amp; Usage'!$J23:$N23),--('Weekly Summary'!AF$112:AF$116))*'Equipment List &amp; Usage'!$C$115)+IF('Equipment List &amp; Usage'!$F22="yes",'Equipment List &amp; Usage'!$C$114,'Equipment List &amp; Usage'!$C$115)*(('Weekly Summary'!AF$66*'Equipment List &amp; Usage'!$Q23)+('Weekly Summary'!AF$64*'Equipment List &amp; Usage'!$O23)+('Weekly Summary'!AF$65*'Equipment List &amp; Usage'!$P23))+(IF('Equipment List &amp; Usage'!$F23="Yes",'Equipment List &amp; Usage'!$C$114*((('Weekly Summary'!AF$131*SelfQuarantine_Mild)+('Weekly Summary'!AF$100*SelfQuarantine_Mild)+('Weekly Summary'!AF$101*SelfQuarantine_Moderate))),'Equipment List &amp; Usage'!$C$115)*((('Weekly Summary'!AF$131*SelfQuarantine_Mild*'Equipment List &amp; Usage'!$W23)+('Weekly Summary'!AF$100*SelfQuarantine_Mild*'Equipment List &amp; Usage'!$X23)+('Weekly Summary'!AF$101*SelfQuarantine_Moderate*'Equipment List &amp; Usage'!$X23))))+IF('Equipment List &amp; Usage'!$F23="Yes",'Equipment List &amp; Usage'!$C$114*(IF('Equipment List &amp; Usage'!$AA23&gt;0,'Weekly Summary'!AF$128,0)+IF('Equipment List &amp; Usage'!$AB23&gt;0,'Weekly Summary'!AF$100+'Weekly Summary'!AF$101,0)),'Equipment List &amp; Usage'!$C$115*(('Weekly Summary'!AF$128*'Equipment List &amp; Usage'!$AA23)+('Weekly Summary'!AF$100*'Equipment List &amp; Usage'!$AB23*SelfQuarantine_Mild)+('Weekly Summary'!AF$101*'Equipment List &amp; Usage'!$AB23*SelfQuarantine_Moderate)))+IF('Equipment List &amp; Usage'!$F23="Yes",('Equipment List &amp; Usage'!$C$114*(IF('Equipment List &amp; Usage'!$AE23&gt;0,'Weekly Summary'!AF$134,0)+IF('Equipment List &amp; Usage'!$AF23&gt;0,'Weekly Summary'!AF$135))),'Equipment List &amp; Usage'!$C$115*(('Weekly Summary'!AF$134*'Equipment List &amp; Usage'!$AE23)+('Weekly Summary'!AF$135*'Equipment List &amp; Usage'!$AF23)))),0)</f>
        <v>0</v>
      </c>
      <c r="AM21" s="1374">
        <f ca="1">MAX(IF($F21="Yes",(
IF($F21="yes",MMULT(--('Equipment List &amp; Usage'!$J23:$N23&gt;0),--('Weekly Summary'!AG$112:AG$116))*'Equipment List &amp; Usage'!$C$114,MMULT(--('Equipment List &amp; Usage'!$J23:$N23),--('Weekly Summary'!AG$112:AG$116))*'Equipment List &amp; Usage'!$C$115)+IF('Equipment List &amp; Usage'!$F22="yes",'Equipment List &amp; Usage'!$C$114,'Equipment List &amp; Usage'!$C$115)*(('Weekly Summary'!AG$66*'Equipment List &amp; Usage'!$Q23)+('Weekly Summary'!AG$64*'Equipment List &amp; Usage'!$O23)+('Weekly Summary'!AG$65*'Equipment List &amp; Usage'!$P23)))+(IF('Equipment List &amp; Usage'!$F23="Yes",'Equipment List &amp; Usage'!$C$114*((('Weekly Summary'!AG$131*SelfQuarantine_Mild)+('Weekly Summary'!AG$100*SelfQuarantine_Mild)+('Weekly Summary'!AG$101*SelfQuarantine_Moderate))),'Equipment List &amp; Usage'!$C$115)*((('Weekly Summary'!AG$131*SelfQuarantine_Mild*'Equipment List &amp; Usage'!$W23)+('Weekly Summary'!AG$100*SelfQuarantine_Mild*'Equipment List &amp; Usage'!$X23)+('Weekly Summary'!AG$101*SelfQuarantine_Moderate*'Equipment List &amp; Usage'!$X23)))+IF('Equipment List &amp; Usage'!$F23="Yes",'Equipment List &amp; Usage'!$C$114*(IF('Equipment List &amp; Usage'!$AA23&gt;0,'Weekly Summary'!AG$128,0)+IF('Equipment List &amp; Usage'!$AB23&gt;0,'Weekly Summary'!AG$100+'Weekly Summary'!AG$101,0)),'Equipment List &amp; Usage'!$C$115*(('Weekly Summary'!AG$128*'Equipment List &amp; Usage'!$AA23)+('Weekly Summary'!AG$100*'Equipment List &amp; Usage'!$AB23*SelfQuarantine_Mild)+('Weekly Summary'!AG$101*'Equipment List &amp; Usage'!$AB23*SelfQuarantine_Moderate)))+IF('Equipment List &amp; Usage'!$F23="Yes",('Equipment List &amp; Usage'!$C$114*(IF('Equipment List &amp; Usage'!$AE23&gt;0,'Weekly Summary'!AG$134,0)+IF('Equipment List &amp; Usage'!$AF23&gt;0,'Weekly Summary'!AG$135))),'Equipment List &amp; Usage'!$C$115*(('Weekly Summary'!AG$134*'Equipment List &amp; Usage'!$AE23)+('Weekly Summary'!AG$135*'Equipment List &amp; Usage'!$AF23))))-SUM($I21:AL21),
IF($F21="yes",MMULT(--('Equipment List &amp; Usage'!$J23:$N23&gt;0),--('Weekly Summary'!AG$112:AG$116))*'Equipment List &amp; Usage'!$C$114,MMULT(--('Equipment List &amp; Usage'!$J23:$N23),--('Weekly Summary'!AG$112:AG$116))*'Equipment List &amp; Usage'!$C$115)+IF('Equipment List &amp; Usage'!$F22="yes",'Equipment List &amp; Usage'!$C$114,'Equipment List &amp; Usage'!$C$115)*(('Weekly Summary'!AG$66*'Equipment List &amp; Usage'!$Q23)+('Weekly Summary'!AG$64*'Equipment List &amp; Usage'!$O23)+('Weekly Summary'!AG$65*'Equipment List &amp; Usage'!$P23))+(IF('Equipment List &amp; Usage'!$F23="Yes",'Equipment List &amp; Usage'!$C$114*((('Weekly Summary'!AG$131*SelfQuarantine_Mild)+('Weekly Summary'!AG$100*SelfQuarantine_Mild)+('Weekly Summary'!AG$101*SelfQuarantine_Moderate))),'Equipment List &amp; Usage'!$C$115)*((('Weekly Summary'!AG$131*SelfQuarantine_Mild*'Equipment List &amp; Usage'!$W23)+('Weekly Summary'!AG$100*SelfQuarantine_Mild*'Equipment List &amp; Usage'!$X23)+('Weekly Summary'!AG$101*SelfQuarantine_Moderate*'Equipment List &amp; Usage'!$X23))))+IF('Equipment List &amp; Usage'!$F23="Yes",'Equipment List &amp; Usage'!$C$114*(IF('Equipment List &amp; Usage'!$AA23&gt;0,'Weekly Summary'!AG$128,0)+IF('Equipment List &amp; Usage'!$AB23&gt;0,'Weekly Summary'!AG$100+'Weekly Summary'!AG$101,0)),'Equipment List &amp; Usage'!$C$115*(('Weekly Summary'!AG$128*'Equipment List &amp; Usage'!$AA23)+('Weekly Summary'!AG$100*'Equipment List &amp; Usage'!$AB23*SelfQuarantine_Mild)+('Weekly Summary'!AG$101*'Equipment List &amp; Usage'!$AB23*SelfQuarantine_Moderate)))+IF('Equipment List &amp; Usage'!$F23="Yes",('Equipment List &amp; Usage'!$C$114*(IF('Equipment List &amp; Usage'!$AE23&gt;0,'Weekly Summary'!AG$134,0)+IF('Equipment List &amp; Usage'!$AF23&gt;0,'Weekly Summary'!AG$135))),'Equipment List &amp; Usage'!$C$115*(('Weekly Summary'!AG$134*'Equipment List &amp; Usage'!$AE23)+('Weekly Summary'!AG$135*'Equipment List &amp; Usage'!$AF23)))),0)</f>
        <v>0</v>
      </c>
      <c r="AN21" s="1374">
        <f ca="1">MAX(IF($F21="Yes",(
IF($F21="yes",MMULT(--('Equipment List &amp; Usage'!$J23:$N23&gt;0),--('Weekly Summary'!AH$112:AH$116))*'Equipment List &amp; Usage'!$C$114,MMULT(--('Equipment List &amp; Usage'!$J23:$N23),--('Weekly Summary'!AH$112:AH$116))*'Equipment List &amp; Usage'!$C$115)+IF('Equipment List &amp; Usage'!$F22="yes",'Equipment List &amp; Usage'!$C$114,'Equipment List &amp; Usage'!$C$115)*(('Weekly Summary'!AH$66*'Equipment List &amp; Usage'!$Q23)+('Weekly Summary'!AH$64*'Equipment List &amp; Usage'!$O23)+('Weekly Summary'!AH$65*'Equipment List &amp; Usage'!$P23)))+(IF('Equipment List &amp; Usage'!$F23="Yes",'Equipment List &amp; Usage'!$C$114*((('Weekly Summary'!AH$131*SelfQuarantine_Mild)+('Weekly Summary'!AH$100*SelfQuarantine_Mild)+('Weekly Summary'!AH$101*SelfQuarantine_Moderate))),'Equipment List &amp; Usage'!$C$115)*((('Weekly Summary'!AH$131*SelfQuarantine_Mild*'Equipment List &amp; Usage'!$W23)+('Weekly Summary'!AH$100*SelfQuarantine_Mild*'Equipment List &amp; Usage'!$X23)+('Weekly Summary'!AH$101*SelfQuarantine_Moderate*'Equipment List &amp; Usage'!$X23)))+IF('Equipment List &amp; Usage'!$F23="Yes",'Equipment List &amp; Usage'!$C$114*(IF('Equipment List &amp; Usage'!$AA23&gt;0,'Weekly Summary'!AH$128,0)+IF('Equipment List &amp; Usage'!$AB23&gt;0,'Weekly Summary'!AH$100+'Weekly Summary'!AH$101,0)),'Equipment List &amp; Usage'!$C$115*(('Weekly Summary'!AH$128*'Equipment List &amp; Usage'!$AA23)+('Weekly Summary'!AH$100*'Equipment List &amp; Usage'!$AB23*SelfQuarantine_Mild)+('Weekly Summary'!AH$101*'Equipment List &amp; Usage'!$AB23*SelfQuarantine_Moderate)))+IF('Equipment List &amp; Usage'!$F23="Yes",('Equipment List &amp; Usage'!$C$114*(IF('Equipment List &amp; Usage'!$AE23&gt;0,'Weekly Summary'!AH$134,0)+IF('Equipment List &amp; Usage'!$AF23&gt;0,'Weekly Summary'!AH$135))),'Equipment List &amp; Usage'!$C$115*(('Weekly Summary'!AH$134*'Equipment List &amp; Usage'!$AE23)+('Weekly Summary'!AH$135*'Equipment List &amp; Usage'!$AF23))))-SUM($I21:AM21),
IF($F21="yes",MMULT(--('Equipment List &amp; Usage'!$J23:$N23&gt;0),--('Weekly Summary'!AH$112:AH$116))*'Equipment List &amp; Usage'!$C$114,MMULT(--('Equipment List &amp; Usage'!$J23:$N23),--('Weekly Summary'!AH$112:AH$116))*'Equipment List &amp; Usage'!$C$115)+IF('Equipment List &amp; Usage'!$F22="yes",'Equipment List &amp; Usage'!$C$114,'Equipment List &amp; Usage'!$C$115)*(('Weekly Summary'!AH$66*'Equipment List &amp; Usage'!$Q23)+('Weekly Summary'!AH$64*'Equipment List &amp; Usage'!$O23)+('Weekly Summary'!AH$65*'Equipment List &amp; Usage'!$P23))+(IF('Equipment List &amp; Usage'!$F23="Yes",'Equipment List &amp; Usage'!$C$114*((('Weekly Summary'!AH$131*SelfQuarantine_Mild)+('Weekly Summary'!AH$100*SelfQuarantine_Mild)+('Weekly Summary'!AH$101*SelfQuarantine_Moderate))),'Equipment List &amp; Usage'!$C$115)*((('Weekly Summary'!AH$131*SelfQuarantine_Mild*'Equipment List &amp; Usage'!$W23)+('Weekly Summary'!AH$100*SelfQuarantine_Mild*'Equipment List &amp; Usage'!$X23)+('Weekly Summary'!AH$101*SelfQuarantine_Moderate*'Equipment List &amp; Usage'!$X23))))+IF('Equipment List &amp; Usage'!$F23="Yes",'Equipment List &amp; Usage'!$C$114*(IF('Equipment List &amp; Usage'!$AA23&gt;0,'Weekly Summary'!AH$128,0)+IF('Equipment List &amp; Usage'!$AB23&gt;0,'Weekly Summary'!AH$100+'Weekly Summary'!AH$101,0)),'Equipment List &amp; Usage'!$C$115*(('Weekly Summary'!AH$128*'Equipment List &amp; Usage'!$AA23)+('Weekly Summary'!AH$100*'Equipment List &amp; Usage'!$AB23*SelfQuarantine_Mild)+('Weekly Summary'!AH$101*'Equipment List &amp; Usage'!$AB23*SelfQuarantine_Moderate)))+IF('Equipment List &amp; Usage'!$F23="Yes",('Equipment List &amp; Usage'!$C$114*(IF('Equipment List &amp; Usage'!$AE23&gt;0,'Weekly Summary'!AH$134,0)+IF('Equipment List &amp; Usage'!$AF23&gt;0,'Weekly Summary'!AH$135))),'Equipment List &amp; Usage'!$C$115*(('Weekly Summary'!AH$134*'Equipment List &amp; Usage'!$AE23)+('Weekly Summary'!AH$135*'Equipment List &amp; Usage'!$AF23)))),0)</f>
        <v>0</v>
      </c>
      <c r="AO21" s="1374">
        <f ca="1">MAX(IF($F21="Yes",(
IF($F21="yes",MMULT(--('Equipment List &amp; Usage'!$J23:$N23&gt;0),--('Weekly Summary'!AI$112:AI$116))*'Equipment List &amp; Usage'!$C$114,MMULT(--('Equipment List &amp; Usage'!$J23:$N23),--('Weekly Summary'!AI$112:AI$116))*'Equipment List &amp; Usage'!$C$115)+IF('Equipment List &amp; Usage'!$F22="yes",'Equipment List &amp; Usage'!$C$114,'Equipment List &amp; Usage'!$C$115)*(('Weekly Summary'!AI$66*'Equipment List &amp; Usage'!$Q23)+('Weekly Summary'!AI$64*'Equipment List &amp; Usage'!$O23)+('Weekly Summary'!AI$65*'Equipment List &amp; Usage'!$P23)))+(IF('Equipment List &amp; Usage'!$F23="Yes",'Equipment List &amp; Usage'!$C$114*((('Weekly Summary'!AI$131*SelfQuarantine_Mild)+('Weekly Summary'!AI$100*SelfQuarantine_Mild)+('Weekly Summary'!AI$101*SelfQuarantine_Moderate))),'Equipment List &amp; Usage'!$C$115)*((('Weekly Summary'!AI$131*SelfQuarantine_Mild*'Equipment List &amp; Usage'!$W23)+('Weekly Summary'!AI$100*SelfQuarantine_Mild*'Equipment List &amp; Usage'!$X23)+('Weekly Summary'!AI$101*SelfQuarantine_Moderate*'Equipment List &amp; Usage'!$X23)))+IF('Equipment List &amp; Usage'!$F23="Yes",'Equipment List &amp; Usage'!$C$114*(IF('Equipment List &amp; Usage'!$AA23&gt;0,'Weekly Summary'!AI$128,0)+IF('Equipment List &amp; Usage'!$AB23&gt;0,'Weekly Summary'!AI$100+'Weekly Summary'!AI$101,0)),'Equipment List &amp; Usage'!$C$115*(('Weekly Summary'!AI$128*'Equipment List &amp; Usage'!$AA23)+('Weekly Summary'!AI$100*'Equipment List &amp; Usage'!$AB23*SelfQuarantine_Mild)+('Weekly Summary'!AI$101*'Equipment List &amp; Usage'!$AB23*SelfQuarantine_Moderate)))+IF('Equipment List &amp; Usage'!$F23="Yes",('Equipment List &amp; Usage'!$C$114*(IF('Equipment List &amp; Usage'!$AE23&gt;0,'Weekly Summary'!AI$134,0)+IF('Equipment List &amp; Usage'!$AF23&gt;0,'Weekly Summary'!AI$135))),'Equipment List &amp; Usage'!$C$115*(('Weekly Summary'!AI$134*'Equipment List &amp; Usage'!$AE23)+('Weekly Summary'!AI$135*'Equipment List &amp; Usage'!$AF23))))-SUM($I21:AN21),
IF($F21="yes",MMULT(--('Equipment List &amp; Usage'!$J23:$N23&gt;0),--('Weekly Summary'!AI$112:AI$116))*'Equipment List &amp; Usage'!$C$114,MMULT(--('Equipment List &amp; Usage'!$J23:$N23),--('Weekly Summary'!AI$112:AI$116))*'Equipment List &amp; Usage'!$C$115)+IF('Equipment List &amp; Usage'!$F22="yes",'Equipment List &amp; Usage'!$C$114,'Equipment List &amp; Usage'!$C$115)*(('Weekly Summary'!AI$66*'Equipment List &amp; Usage'!$Q23)+('Weekly Summary'!AI$64*'Equipment List &amp; Usage'!$O23)+('Weekly Summary'!AI$65*'Equipment List &amp; Usage'!$P23))+(IF('Equipment List &amp; Usage'!$F23="Yes",'Equipment List &amp; Usage'!$C$114*((('Weekly Summary'!AI$131*SelfQuarantine_Mild)+('Weekly Summary'!AI$100*SelfQuarantine_Mild)+('Weekly Summary'!AI$101*SelfQuarantine_Moderate))),'Equipment List &amp; Usage'!$C$115)*((('Weekly Summary'!AI$131*SelfQuarantine_Mild*'Equipment List &amp; Usage'!$W23)+('Weekly Summary'!AI$100*SelfQuarantine_Mild*'Equipment List &amp; Usage'!$X23)+('Weekly Summary'!AI$101*SelfQuarantine_Moderate*'Equipment List &amp; Usage'!$X23))))+IF('Equipment List &amp; Usage'!$F23="Yes",'Equipment List &amp; Usage'!$C$114*(IF('Equipment List &amp; Usage'!$AA23&gt;0,'Weekly Summary'!AI$128,0)+IF('Equipment List &amp; Usage'!$AB23&gt;0,'Weekly Summary'!AI$100+'Weekly Summary'!AI$101,0)),'Equipment List &amp; Usage'!$C$115*(('Weekly Summary'!AI$128*'Equipment List &amp; Usage'!$AA23)+('Weekly Summary'!AI$100*'Equipment List &amp; Usage'!$AB23*SelfQuarantine_Mild)+('Weekly Summary'!AI$101*'Equipment List &amp; Usage'!$AB23*SelfQuarantine_Moderate)))+IF('Equipment List &amp; Usage'!$F23="Yes",('Equipment List &amp; Usage'!$C$114*(IF('Equipment List &amp; Usage'!$AE23&gt;0,'Weekly Summary'!AI$134,0)+IF('Equipment List &amp; Usage'!$AF23&gt;0,'Weekly Summary'!AI$135))),'Equipment List &amp; Usage'!$C$115*(('Weekly Summary'!AI$134*'Equipment List &amp; Usage'!$AE23)+('Weekly Summary'!AI$135*'Equipment List &amp; Usage'!$AF23)))),0)</f>
        <v>0</v>
      </c>
      <c r="AP21" s="1374">
        <f ca="1">MAX(IF($F21="Yes",(
IF($F21="yes",MMULT(--('Equipment List &amp; Usage'!$J23:$N23&gt;0),--('Weekly Summary'!AJ$112:AJ$116))*'Equipment List &amp; Usage'!$C$114,MMULT(--('Equipment List &amp; Usage'!$J23:$N23),--('Weekly Summary'!AJ$112:AJ$116))*'Equipment List &amp; Usage'!$C$115)+IF('Equipment List &amp; Usage'!$F22="yes",'Equipment List &amp; Usage'!$C$114,'Equipment List &amp; Usage'!$C$115)*(('Weekly Summary'!AJ$66*'Equipment List &amp; Usage'!$Q23)+('Weekly Summary'!AJ$64*'Equipment List &amp; Usage'!$O23)+('Weekly Summary'!AJ$65*'Equipment List &amp; Usage'!$P23)))+(IF('Equipment List &amp; Usage'!$F23="Yes",'Equipment List &amp; Usage'!$C$114*((('Weekly Summary'!AJ$131*SelfQuarantine_Mild)+('Weekly Summary'!AJ$100*SelfQuarantine_Mild)+('Weekly Summary'!AJ$101*SelfQuarantine_Moderate))),'Equipment List &amp; Usage'!$C$115)*((('Weekly Summary'!AJ$131*SelfQuarantine_Mild*'Equipment List &amp; Usage'!$W23)+('Weekly Summary'!AJ$100*SelfQuarantine_Mild*'Equipment List &amp; Usage'!$X23)+('Weekly Summary'!AJ$101*SelfQuarantine_Moderate*'Equipment List &amp; Usage'!$X23)))+IF('Equipment List &amp; Usage'!$F23="Yes",'Equipment List &amp; Usage'!$C$114*(IF('Equipment List &amp; Usage'!$AA23&gt;0,'Weekly Summary'!AJ$128,0)+IF('Equipment List &amp; Usage'!$AB23&gt;0,'Weekly Summary'!AJ$100+'Weekly Summary'!AJ$101,0)),'Equipment List &amp; Usage'!$C$115*(('Weekly Summary'!AJ$128*'Equipment List &amp; Usage'!$AA23)+('Weekly Summary'!AJ$100*'Equipment List &amp; Usage'!$AB23*SelfQuarantine_Mild)+('Weekly Summary'!AJ$101*'Equipment List &amp; Usage'!$AB23*SelfQuarantine_Moderate)))+IF('Equipment List &amp; Usage'!$F23="Yes",('Equipment List &amp; Usage'!$C$114*(IF('Equipment List &amp; Usage'!$AE23&gt;0,'Weekly Summary'!AJ$134,0)+IF('Equipment List &amp; Usage'!$AF23&gt;0,'Weekly Summary'!AJ$135))),'Equipment List &amp; Usage'!$C$115*(('Weekly Summary'!AJ$134*'Equipment List &amp; Usage'!$AE23)+('Weekly Summary'!AJ$135*'Equipment List &amp; Usage'!$AF23))))-SUM($I21:AO21),
IF($F21="yes",MMULT(--('Equipment List &amp; Usage'!$J23:$N23&gt;0),--('Weekly Summary'!AJ$112:AJ$116))*'Equipment List &amp; Usage'!$C$114,MMULT(--('Equipment List &amp; Usage'!$J23:$N23),--('Weekly Summary'!AJ$112:AJ$116))*'Equipment List &amp; Usage'!$C$115)+IF('Equipment List &amp; Usage'!$F22="yes",'Equipment List &amp; Usage'!$C$114,'Equipment List &amp; Usage'!$C$115)*(('Weekly Summary'!AJ$66*'Equipment List &amp; Usage'!$Q23)+('Weekly Summary'!AJ$64*'Equipment List &amp; Usage'!$O23)+('Weekly Summary'!AJ$65*'Equipment List &amp; Usage'!$P23))+(IF('Equipment List &amp; Usage'!$F23="Yes",'Equipment List &amp; Usage'!$C$114*((('Weekly Summary'!AJ$131*SelfQuarantine_Mild)+('Weekly Summary'!AJ$100*SelfQuarantine_Mild)+('Weekly Summary'!AJ$101*SelfQuarantine_Moderate))),'Equipment List &amp; Usage'!$C$115)*((('Weekly Summary'!AJ$131*SelfQuarantine_Mild*'Equipment List &amp; Usage'!$W23)+('Weekly Summary'!AJ$100*SelfQuarantine_Mild*'Equipment List &amp; Usage'!$X23)+('Weekly Summary'!AJ$101*SelfQuarantine_Moderate*'Equipment List &amp; Usage'!$X23))))+IF('Equipment List &amp; Usage'!$F23="Yes",'Equipment List &amp; Usage'!$C$114*(IF('Equipment List &amp; Usage'!$AA23&gt;0,'Weekly Summary'!AJ$128,0)+IF('Equipment List &amp; Usage'!$AB23&gt;0,'Weekly Summary'!AJ$100+'Weekly Summary'!AJ$101,0)),'Equipment List &amp; Usage'!$C$115*(('Weekly Summary'!AJ$128*'Equipment List &amp; Usage'!$AA23)+('Weekly Summary'!AJ$100*'Equipment List &amp; Usage'!$AB23*SelfQuarantine_Mild)+('Weekly Summary'!AJ$101*'Equipment List &amp; Usage'!$AB23*SelfQuarantine_Moderate)))+IF('Equipment List &amp; Usage'!$F23="Yes",('Equipment List &amp; Usage'!$C$114*(IF('Equipment List &amp; Usage'!$AE23&gt;0,'Weekly Summary'!AJ$134,0)+IF('Equipment List &amp; Usage'!$AF23&gt;0,'Weekly Summary'!AJ$135))),'Equipment List &amp; Usage'!$C$115*(('Weekly Summary'!AJ$134*'Equipment List &amp; Usage'!$AE23)+('Weekly Summary'!AJ$135*'Equipment List &amp; Usage'!$AF23)))),0)</f>
        <v>0</v>
      </c>
      <c r="AQ21" s="1374">
        <f ca="1">MAX(IF($F21="Yes",(
IF($F21="yes",MMULT(--('Equipment List &amp; Usage'!$J23:$N23&gt;0),--('Weekly Summary'!AK$112:AK$116))*'Equipment List &amp; Usage'!$C$114,MMULT(--('Equipment List &amp; Usage'!$J23:$N23),--('Weekly Summary'!AK$112:AK$116))*'Equipment List &amp; Usage'!$C$115)+IF('Equipment List &amp; Usage'!$F22="yes",'Equipment List &amp; Usage'!$C$114,'Equipment List &amp; Usage'!$C$115)*(('Weekly Summary'!AK$66*'Equipment List &amp; Usage'!$Q23)+('Weekly Summary'!AK$64*'Equipment List &amp; Usage'!$O23)+('Weekly Summary'!AK$65*'Equipment List &amp; Usage'!$P23)))+(IF('Equipment List &amp; Usage'!$F23="Yes",'Equipment List &amp; Usage'!$C$114*((('Weekly Summary'!AK$131*SelfQuarantine_Mild)+('Weekly Summary'!AK$100*SelfQuarantine_Mild)+('Weekly Summary'!AK$101*SelfQuarantine_Moderate))),'Equipment List &amp; Usage'!$C$115)*((('Weekly Summary'!AK$131*SelfQuarantine_Mild*'Equipment List &amp; Usage'!$W23)+('Weekly Summary'!AK$100*SelfQuarantine_Mild*'Equipment List &amp; Usage'!$X23)+('Weekly Summary'!AK$101*SelfQuarantine_Moderate*'Equipment List &amp; Usage'!$X23)))+IF('Equipment List &amp; Usage'!$F23="Yes",'Equipment List &amp; Usage'!$C$114*(IF('Equipment List &amp; Usage'!$AA23&gt;0,'Weekly Summary'!AK$128,0)+IF('Equipment List &amp; Usage'!$AB23&gt;0,'Weekly Summary'!AK$100+'Weekly Summary'!AK$101,0)),'Equipment List &amp; Usage'!$C$115*(('Weekly Summary'!AK$128*'Equipment List &amp; Usage'!$AA23)+('Weekly Summary'!AK$100*'Equipment List &amp; Usage'!$AB23*SelfQuarantine_Mild)+('Weekly Summary'!AK$101*'Equipment List &amp; Usage'!$AB23*SelfQuarantine_Moderate)))+IF('Equipment List &amp; Usage'!$F23="Yes",('Equipment List &amp; Usage'!$C$114*(IF('Equipment List &amp; Usage'!$AE23&gt;0,'Weekly Summary'!AK$134,0)+IF('Equipment List &amp; Usage'!$AF23&gt;0,'Weekly Summary'!AK$135))),'Equipment List &amp; Usage'!$C$115*(('Weekly Summary'!AK$134*'Equipment List &amp; Usage'!$AE23)+('Weekly Summary'!AK$135*'Equipment List &amp; Usage'!$AF23))))-SUM($I21:AP21),
IF($F21="yes",MMULT(--('Equipment List &amp; Usage'!$J23:$N23&gt;0),--('Weekly Summary'!AK$112:AK$116))*'Equipment List &amp; Usage'!$C$114,MMULT(--('Equipment List &amp; Usage'!$J23:$N23),--('Weekly Summary'!AK$112:AK$116))*'Equipment List &amp; Usage'!$C$115)+IF('Equipment List &amp; Usage'!$F22="yes",'Equipment List &amp; Usage'!$C$114,'Equipment List &amp; Usage'!$C$115)*(('Weekly Summary'!AK$66*'Equipment List &amp; Usage'!$Q23)+('Weekly Summary'!AK$64*'Equipment List &amp; Usage'!$O23)+('Weekly Summary'!AK$65*'Equipment List &amp; Usage'!$P23))+(IF('Equipment List &amp; Usage'!$F23="Yes",'Equipment List &amp; Usage'!$C$114*((('Weekly Summary'!AK$131*SelfQuarantine_Mild)+('Weekly Summary'!AK$100*SelfQuarantine_Mild)+('Weekly Summary'!AK$101*SelfQuarantine_Moderate))),'Equipment List &amp; Usage'!$C$115)*((('Weekly Summary'!AK$131*SelfQuarantine_Mild*'Equipment List &amp; Usage'!$W23)+('Weekly Summary'!AK$100*SelfQuarantine_Mild*'Equipment List &amp; Usage'!$X23)+('Weekly Summary'!AK$101*SelfQuarantine_Moderate*'Equipment List &amp; Usage'!$X23))))+IF('Equipment List &amp; Usage'!$F23="Yes",'Equipment List &amp; Usage'!$C$114*(IF('Equipment List &amp; Usage'!$AA23&gt;0,'Weekly Summary'!AK$128,0)+IF('Equipment List &amp; Usage'!$AB23&gt;0,'Weekly Summary'!AK$100+'Weekly Summary'!AK$101,0)),'Equipment List &amp; Usage'!$C$115*(('Weekly Summary'!AK$128*'Equipment List &amp; Usage'!$AA23)+('Weekly Summary'!AK$100*'Equipment List &amp; Usage'!$AB23*SelfQuarantine_Mild)+('Weekly Summary'!AK$101*'Equipment List &amp; Usage'!$AB23*SelfQuarantine_Moderate)))+IF('Equipment List &amp; Usage'!$F23="Yes",('Equipment List &amp; Usage'!$C$114*(IF('Equipment List &amp; Usage'!$AE23&gt;0,'Weekly Summary'!AK$134,0)+IF('Equipment List &amp; Usage'!$AF23&gt;0,'Weekly Summary'!AK$135))),'Equipment List &amp; Usage'!$C$115*(('Weekly Summary'!AK$134*'Equipment List &amp; Usage'!$AE23)+('Weekly Summary'!AK$135*'Equipment List &amp; Usage'!$AF23)))),0)</f>
        <v>0</v>
      </c>
      <c r="AR21" s="1374">
        <f ca="1">MAX(IF($F21="Yes",(
IF($F21="yes",MMULT(--('Equipment List &amp; Usage'!$J23:$N23&gt;0),--('Weekly Summary'!AL$112:AL$116))*'Equipment List &amp; Usage'!$C$114,MMULT(--('Equipment List &amp; Usage'!$J23:$N23),--('Weekly Summary'!AL$112:AL$116))*'Equipment List &amp; Usage'!$C$115)+IF('Equipment List &amp; Usage'!$F22="yes",'Equipment List &amp; Usage'!$C$114,'Equipment List &amp; Usage'!$C$115)*(('Weekly Summary'!AL$66*'Equipment List &amp; Usage'!$Q23)+('Weekly Summary'!AL$64*'Equipment List &amp; Usage'!$O23)+('Weekly Summary'!AL$65*'Equipment List &amp; Usage'!$P23)))+(IF('Equipment List &amp; Usage'!$F23="Yes",'Equipment List &amp; Usage'!$C$114*((('Weekly Summary'!AL$131*SelfQuarantine_Mild)+('Weekly Summary'!AL$100*SelfQuarantine_Mild)+('Weekly Summary'!AL$101*SelfQuarantine_Moderate))),'Equipment List &amp; Usage'!$C$115)*((('Weekly Summary'!AL$131*SelfQuarantine_Mild*'Equipment List &amp; Usage'!$W23)+('Weekly Summary'!AL$100*SelfQuarantine_Mild*'Equipment List &amp; Usage'!$X23)+('Weekly Summary'!AL$101*SelfQuarantine_Moderate*'Equipment List &amp; Usage'!$X23)))+IF('Equipment List &amp; Usage'!$F23="Yes",'Equipment List &amp; Usage'!$C$114*(IF('Equipment List &amp; Usage'!$AA23&gt;0,'Weekly Summary'!AL$128,0)+IF('Equipment List &amp; Usage'!$AB23&gt;0,'Weekly Summary'!AL$100+'Weekly Summary'!AL$101,0)),'Equipment List &amp; Usage'!$C$115*(('Weekly Summary'!AL$128*'Equipment List &amp; Usage'!$AA23)+('Weekly Summary'!AL$100*'Equipment List &amp; Usage'!$AB23*SelfQuarantine_Mild)+('Weekly Summary'!AL$101*'Equipment List &amp; Usage'!$AB23*SelfQuarantine_Moderate)))+IF('Equipment List &amp; Usage'!$F23="Yes",('Equipment List &amp; Usage'!$C$114*(IF('Equipment List &amp; Usage'!$AE23&gt;0,'Weekly Summary'!AL$134,0)+IF('Equipment List &amp; Usage'!$AF23&gt;0,'Weekly Summary'!AL$135))),'Equipment List &amp; Usage'!$C$115*(('Weekly Summary'!AL$134*'Equipment List &amp; Usage'!$AE23)+('Weekly Summary'!AL$135*'Equipment List &amp; Usage'!$AF23))))-SUM($I21:AQ21),
IF($F21="yes",MMULT(--('Equipment List &amp; Usage'!$J23:$N23&gt;0),--('Weekly Summary'!AL$112:AL$116))*'Equipment List &amp; Usage'!$C$114,MMULT(--('Equipment List &amp; Usage'!$J23:$N23),--('Weekly Summary'!AL$112:AL$116))*'Equipment List &amp; Usage'!$C$115)+IF('Equipment List &amp; Usage'!$F22="yes",'Equipment List &amp; Usage'!$C$114,'Equipment List &amp; Usage'!$C$115)*(('Weekly Summary'!AL$66*'Equipment List &amp; Usage'!$Q23)+('Weekly Summary'!AL$64*'Equipment List &amp; Usage'!$O23)+('Weekly Summary'!AL$65*'Equipment List &amp; Usage'!$P23))+(IF('Equipment List &amp; Usage'!$F23="Yes",'Equipment List &amp; Usage'!$C$114*((('Weekly Summary'!AL$131*SelfQuarantine_Mild)+('Weekly Summary'!AL$100*SelfQuarantine_Mild)+('Weekly Summary'!AL$101*SelfQuarantine_Moderate))),'Equipment List &amp; Usage'!$C$115)*((('Weekly Summary'!AL$131*SelfQuarantine_Mild*'Equipment List &amp; Usage'!$W23)+('Weekly Summary'!AL$100*SelfQuarantine_Mild*'Equipment List &amp; Usage'!$X23)+('Weekly Summary'!AL$101*SelfQuarantine_Moderate*'Equipment List &amp; Usage'!$X23))))+IF('Equipment List &amp; Usage'!$F23="Yes",'Equipment List &amp; Usage'!$C$114*(IF('Equipment List &amp; Usage'!$AA23&gt;0,'Weekly Summary'!AL$128,0)+IF('Equipment List &amp; Usage'!$AB23&gt;0,'Weekly Summary'!AL$100+'Weekly Summary'!AL$101,0)),'Equipment List &amp; Usage'!$C$115*(('Weekly Summary'!AL$128*'Equipment List &amp; Usage'!$AA23)+('Weekly Summary'!AL$100*'Equipment List &amp; Usage'!$AB23*SelfQuarantine_Mild)+('Weekly Summary'!AL$101*'Equipment List &amp; Usage'!$AB23*SelfQuarantine_Moderate)))+IF('Equipment List &amp; Usage'!$F23="Yes",('Equipment List &amp; Usage'!$C$114*(IF('Equipment List &amp; Usage'!$AE23&gt;0,'Weekly Summary'!AL$134,0)+IF('Equipment List &amp; Usage'!$AF23&gt;0,'Weekly Summary'!AL$135))),'Equipment List &amp; Usage'!$C$115*(('Weekly Summary'!AL$134*'Equipment List &amp; Usage'!$AE23)+('Weekly Summary'!AL$135*'Equipment List &amp; Usage'!$AF23)))),0)</f>
        <v>0</v>
      </c>
      <c r="AS21" s="1374">
        <f ca="1">MAX(IF($F21="Yes",(
IF($F21="yes",MMULT(--('Equipment List &amp; Usage'!$J23:$N23&gt;0),--('Weekly Summary'!AM$112:AM$116))*'Equipment List &amp; Usage'!$C$114,MMULT(--('Equipment List &amp; Usage'!$J23:$N23),--('Weekly Summary'!AM$112:AM$116))*'Equipment List &amp; Usage'!$C$115)+IF('Equipment List &amp; Usage'!$F22="yes",'Equipment List &amp; Usage'!$C$114,'Equipment List &amp; Usage'!$C$115)*(('Weekly Summary'!AM$66*'Equipment List &amp; Usage'!$Q23)+('Weekly Summary'!AM$64*'Equipment List &amp; Usage'!$O23)+('Weekly Summary'!AM$65*'Equipment List &amp; Usage'!$P23)))+(IF('Equipment List &amp; Usage'!$F23="Yes",'Equipment List &amp; Usage'!$C$114*((('Weekly Summary'!AM$131*SelfQuarantine_Mild)+('Weekly Summary'!AM$100*SelfQuarantine_Mild)+('Weekly Summary'!AM$101*SelfQuarantine_Moderate))),'Equipment List &amp; Usage'!$C$115)*((('Weekly Summary'!AM$131*SelfQuarantine_Mild*'Equipment List &amp; Usage'!$W23)+('Weekly Summary'!AM$100*SelfQuarantine_Mild*'Equipment List &amp; Usage'!$X23)+('Weekly Summary'!AM$101*SelfQuarantine_Moderate*'Equipment List &amp; Usage'!$X23)))+IF('Equipment List &amp; Usage'!$F23="Yes",'Equipment List &amp; Usage'!$C$114*(IF('Equipment List &amp; Usage'!$AA23&gt;0,'Weekly Summary'!AM$128,0)+IF('Equipment List &amp; Usage'!$AB23&gt;0,'Weekly Summary'!AM$100+'Weekly Summary'!AM$101,0)),'Equipment List &amp; Usage'!$C$115*(('Weekly Summary'!AM$128*'Equipment List &amp; Usage'!$AA23)+('Weekly Summary'!AM$100*'Equipment List &amp; Usage'!$AB23*SelfQuarantine_Mild)+('Weekly Summary'!AM$101*'Equipment List &amp; Usage'!$AB23*SelfQuarantine_Moderate)))+IF('Equipment List &amp; Usage'!$F23="Yes",('Equipment List &amp; Usage'!$C$114*(IF('Equipment List &amp; Usage'!$AE23&gt;0,'Weekly Summary'!AM$134,0)+IF('Equipment List &amp; Usage'!$AF23&gt;0,'Weekly Summary'!AM$135))),'Equipment List &amp; Usage'!$C$115*(('Weekly Summary'!AM$134*'Equipment List &amp; Usage'!$AE23)+('Weekly Summary'!AM$135*'Equipment List &amp; Usage'!$AF23))))-SUM($I21:AR21),
IF($F21="yes",MMULT(--('Equipment List &amp; Usage'!$J23:$N23&gt;0),--('Weekly Summary'!AM$112:AM$116))*'Equipment List &amp; Usage'!$C$114,MMULT(--('Equipment List &amp; Usage'!$J23:$N23),--('Weekly Summary'!AM$112:AM$116))*'Equipment List &amp; Usage'!$C$115)+IF('Equipment List &amp; Usage'!$F22="yes",'Equipment List &amp; Usage'!$C$114,'Equipment List &amp; Usage'!$C$115)*(('Weekly Summary'!AM$66*'Equipment List &amp; Usage'!$Q23)+('Weekly Summary'!AM$64*'Equipment List &amp; Usage'!$O23)+('Weekly Summary'!AM$65*'Equipment List &amp; Usage'!$P23))+(IF('Equipment List &amp; Usage'!$F23="Yes",'Equipment List &amp; Usage'!$C$114*((('Weekly Summary'!AM$131*SelfQuarantine_Mild)+('Weekly Summary'!AM$100*SelfQuarantine_Mild)+('Weekly Summary'!AM$101*SelfQuarantine_Moderate))),'Equipment List &amp; Usage'!$C$115)*((('Weekly Summary'!AM$131*SelfQuarantine_Mild*'Equipment List &amp; Usage'!$W23)+('Weekly Summary'!AM$100*SelfQuarantine_Mild*'Equipment List &amp; Usage'!$X23)+('Weekly Summary'!AM$101*SelfQuarantine_Moderate*'Equipment List &amp; Usage'!$X23))))+IF('Equipment List &amp; Usage'!$F23="Yes",'Equipment List &amp; Usage'!$C$114*(IF('Equipment List &amp; Usage'!$AA23&gt;0,'Weekly Summary'!AM$128,0)+IF('Equipment List &amp; Usage'!$AB23&gt;0,'Weekly Summary'!AM$100+'Weekly Summary'!AM$101,0)),'Equipment List &amp; Usage'!$C$115*(('Weekly Summary'!AM$128*'Equipment List &amp; Usage'!$AA23)+('Weekly Summary'!AM$100*'Equipment List &amp; Usage'!$AB23*SelfQuarantine_Mild)+('Weekly Summary'!AM$101*'Equipment List &amp; Usage'!$AB23*SelfQuarantine_Moderate)))+IF('Equipment List &amp; Usage'!$F23="Yes",('Equipment List &amp; Usage'!$C$114*(IF('Equipment List &amp; Usage'!$AE23&gt;0,'Weekly Summary'!AM$134,0)+IF('Equipment List &amp; Usage'!$AF23&gt;0,'Weekly Summary'!AM$135))),'Equipment List &amp; Usage'!$C$115*(('Weekly Summary'!AM$134*'Equipment List &amp; Usage'!$AE23)+('Weekly Summary'!AM$135*'Equipment List &amp; Usage'!$AF23)))),0)</f>
        <v>0</v>
      </c>
      <c r="AT21" s="1374">
        <f ca="1">MAX(IF($F21="Yes",(
IF($F21="yes",MMULT(--('Equipment List &amp; Usage'!$J23:$N23&gt;0),--('Weekly Summary'!AN$112:AN$116))*'Equipment List &amp; Usage'!$C$114,MMULT(--('Equipment List &amp; Usage'!$J23:$N23),--('Weekly Summary'!AN$112:AN$116))*'Equipment List &amp; Usage'!$C$115)+IF('Equipment List &amp; Usage'!$F22="yes",'Equipment List &amp; Usage'!$C$114,'Equipment List &amp; Usage'!$C$115)*(('Weekly Summary'!AN$66*'Equipment List &amp; Usage'!$Q23)+('Weekly Summary'!AN$64*'Equipment List &amp; Usage'!$O23)+('Weekly Summary'!AN$65*'Equipment List &amp; Usage'!$P23)))+(IF('Equipment List &amp; Usage'!$F23="Yes",'Equipment List &amp; Usage'!$C$114*((('Weekly Summary'!AN$131*SelfQuarantine_Mild)+('Weekly Summary'!AN$100*SelfQuarantine_Mild)+('Weekly Summary'!AN$101*SelfQuarantine_Moderate))),'Equipment List &amp; Usage'!$C$115)*((('Weekly Summary'!AN$131*SelfQuarantine_Mild*'Equipment List &amp; Usage'!$W23)+('Weekly Summary'!AN$100*SelfQuarantine_Mild*'Equipment List &amp; Usage'!$X23)+('Weekly Summary'!AN$101*SelfQuarantine_Moderate*'Equipment List &amp; Usage'!$X23)))+IF('Equipment List &amp; Usage'!$F23="Yes",'Equipment List &amp; Usage'!$C$114*(IF('Equipment List &amp; Usage'!$AA23&gt;0,'Weekly Summary'!AN$128,0)+IF('Equipment List &amp; Usage'!$AB23&gt;0,'Weekly Summary'!AN$100+'Weekly Summary'!AN$101,0)),'Equipment List &amp; Usage'!$C$115*(('Weekly Summary'!AN$128*'Equipment List &amp; Usage'!$AA23)+('Weekly Summary'!AN$100*'Equipment List &amp; Usage'!$AB23*SelfQuarantine_Mild)+('Weekly Summary'!AN$101*'Equipment List &amp; Usage'!$AB23*SelfQuarantine_Moderate)))+IF('Equipment List &amp; Usage'!$F23="Yes",('Equipment List &amp; Usage'!$C$114*(IF('Equipment List &amp; Usage'!$AE23&gt;0,'Weekly Summary'!AN$134,0)+IF('Equipment List &amp; Usage'!$AF23&gt;0,'Weekly Summary'!AN$135))),'Equipment List &amp; Usage'!$C$115*(('Weekly Summary'!AN$134*'Equipment List &amp; Usage'!$AE23)+('Weekly Summary'!AN$135*'Equipment List &amp; Usage'!$AF23))))-SUM($I21:AS21),
IF($F21="yes",MMULT(--('Equipment List &amp; Usage'!$J23:$N23&gt;0),--('Weekly Summary'!AN$112:AN$116))*'Equipment List &amp; Usage'!$C$114,MMULT(--('Equipment List &amp; Usage'!$J23:$N23),--('Weekly Summary'!AN$112:AN$116))*'Equipment List &amp; Usage'!$C$115)+IF('Equipment List &amp; Usage'!$F22="yes",'Equipment List &amp; Usage'!$C$114,'Equipment List &amp; Usage'!$C$115)*(('Weekly Summary'!AN$66*'Equipment List &amp; Usage'!$Q23)+('Weekly Summary'!AN$64*'Equipment List &amp; Usage'!$O23)+('Weekly Summary'!AN$65*'Equipment List &amp; Usage'!$P23))+(IF('Equipment List &amp; Usage'!$F23="Yes",'Equipment List &amp; Usage'!$C$114*((('Weekly Summary'!AN$131*SelfQuarantine_Mild)+('Weekly Summary'!AN$100*SelfQuarantine_Mild)+('Weekly Summary'!AN$101*SelfQuarantine_Moderate))),'Equipment List &amp; Usage'!$C$115)*((('Weekly Summary'!AN$131*SelfQuarantine_Mild*'Equipment List &amp; Usage'!$W23)+('Weekly Summary'!AN$100*SelfQuarantine_Mild*'Equipment List &amp; Usage'!$X23)+('Weekly Summary'!AN$101*SelfQuarantine_Moderate*'Equipment List &amp; Usage'!$X23))))+IF('Equipment List &amp; Usage'!$F23="Yes",'Equipment List &amp; Usage'!$C$114*(IF('Equipment List &amp; Usage'!$AA23&gt;0,'Weekly Summary'!AN$128,0)+IF('Equipment List &amp; Usage'!$AB23&gt;0,'Weekly Summary'!AN$100+'Weekly Summary'!AN$101,0)),'Equipment List &amp; Usage'!$C$115*(('Weekly Summary'!AN$128*'Equipment List &amp; Usage'!$AA23)+('Weekly Summary'!AN$100*'Equipment List &amp; Usage'!$AB23*SelfQuarantine_Mild)+('Weekly Summary'!AN$101*'Equipment List &amp; Usage'!$AB23*SelfQuarantine_Moderate)))+IF('Equipment List &amp; Usage'!$F23="Yes",('Equipment List &amp; Usage'!$C$114*(IF('Equipment List &amp; Usage'!$AE23&gt;0,'Weekly Summary'!AN$134,0)+IF('Equipment List &amp; Usage'!$AF23&gt;0,'Weekly Summary'!AN$135))),'Equipment List &amp; Usage'!$C$115*(('Weekly Summary'!AN$134*'Equipment List &amp; Usage'!$AE23)+('Weekly Summary'!AN$135*'Equipment List &amp; Usage'!$AF23)))),0)</f>
        <v>0</v>
      </c>
      <c r="AU21" s="1374">
        <f ca="1">MAX(IF($F21="Yes",(
IF($F21="yes",MMULT(--('Equipment List &amp; Usage'!$J23:$N23&gt;0),--('Weekly Summary'!AO$112:AO$116))*'Equipment List &amp; Usage'!$C$114,MMULT(--('Equipment List &amp; Usage'!$J23:$N23),--('Weekly Summary'!AO$112:AO$116))*'Equipment List &amp; Usage'!$C$115)+IF('Equipment List &amp; Usage'!$F22="yes",'Equipment List &amp; Usage'!$C$114,'Equipment List &amp; Usage'!$C$115)*(('Weekly Summary'!AO$66*'Equipment List &amp; Usage'!$Q23)+('Weekly Summary'!AO$64*'Equipment List &amp; Usage'!$O23)+('Weekly Summary'!AO$65*'Equipment List &amp; Usage'!$P23)))+(IF('Equipment List &amp; Usage'!$F23="Yes",'Equipment List &amp; Usage'!$C$114*((('Weekly Summary'!AO$131*SelfQuarantine_Mild)+('Weekly Summary'!AO$100*SelfQuarantine_Mild)+('Weekly Summary'!AO$101*SelfQuarantine_Moderate))),'Equipment List &amp; Usage'!$C$115)*((('Weekly Summary'!AO$131*SelfQuarantine_Mild*'Equipment List &amp; Usage'!$W23)+('Weekly Summary'!AO$100*SelfQuarantine_Mild*'Equipment List &amp; Usage'!$X23)+('Weekly Summary'!AO$101*SelfQuarantine_Moderate*'Equipment List &amp; Usage'!$X23)))+IF('Equipment List &amp; Usage'!$F23="Yes",'Equipment List &amp; Usage'!$C$114*(IF('Equipment List &amp; Usage'!$AA23&gt;0,'Weekly Summary'!AO$128,0)+IF('Equipment List &amp; Usage'!$AB23&gt;0,'Weekly Summary'!AO$100+'Weekly Summary'!AO$101,0)),'Equipment List &amp; Usage'!$C$115*(('Weekly Summary'!AO$128*'Equipment List &amp; Usage'!$AA23)+('Weekly Summary'!AO$100*'Equipment List &amp; Usage'!$AB23*SelfQuarantine_Mild)+('Weekly Summary'!AO$101*'Equipment List &amp; Usage'!$AB23*SelfQuarantine_Moderate)))+IF('Equipment List &amp; Usage'!$F23="Yes",('Equipment List &amp; Usage'!$C$114*(IF('Equipment List &amp; Usage'!$AE23&gt;0,'Weekly Summary'!AO$134,0)+IF('Equipment List &amp; Usage'!$AF23&gt;0,'Weekly Summary'!AO$135))),'Equipment List &amp; Usage'!$C$115*(('Weekly Summary'!AO$134*'Equipment List &amp; Usage'!$AE23)+('Weekly Summary'!AO$135*'Equipment List &amp; Usage'!$AF23))))-SUM($I21:AT21),
IF($F21="yes",MMULT(--('Equipment List &amp; Usage'!$J23:$N23&gt;0),--('Weekly Summary'!AO$112:AO$116))*'Equipment List &amp; Usage'!$C$114,MMULT(--('Equipment List &amp; Usage'!$J23:$N23),--('Weekly Summary'!AO$112:AO$116))*'Equipment List &amp; Usage'!$C$115)+IF('Equipment List &amp; Usage'!$F22="yes",'Equipment List &amp; Usage'!$C$114,'Equipment List &amp; Usage'!$C$115)*(('Weekly Summary'!AO$66*'Equipment List &amp; Usage'!$Q23)+('Weekly Summary'!AO$64*'Equipment List &amp; Usage'!$O23)+('Weekly Summary'!AO$65*'Equipment List &amp; Usage'!$P23))+(IF('Equipment List &amp; Usage'!$F23="Yes",'Equipment List &amp; Usage'!$C$114*((('Weekly Summary'!AO$131*SelfQuarantine_Mild)+('Weekly Summary'!AO$100*SelfQuarantine_Mild)+('Weekly Summary'!AO$101*SelfQuarantine_Moderate))),'Equipment List &amp; Usage'!$C$115)*((('Weekly Summary'!AO$131*SelfQuarantine_Mild*'Equipment List &amp; Usage'!$W23)+('Weekly Summary'!AO$100*SelfQuarantine_Mild*'Equipment List &amp; Usage'!$X23)+('Weekly Summary'!AO$101*SelfQuarantine_Moderate*'Equipment List &amp; Usage'!$X23))))+IF('Equipment List &amp; Usage'!$F23="Yes",'Equipment List &amp; Usage'!$C$114*(IF('Equipment List &amp; Usage'!$AA23&gt;0,'Weekly Summary'!AO$128,0)+IF('Equipment List &amp; Usage'!$AB23&gt;0,'Weekly Summary'!AO$100+'Weekly Summary'!AO$101,0)),'Equipment List &amp; Usage'!$C$115*(('Weekly Summary'!AO$128*'Equipment List &amp; Usage'!$AA23)+('Weekly Summary'!AO$100*'Equipment List &amp; Usage'!$AB23*SelfQuarantine_Mild)+('Weekly Summary'!AO$101*'Equipment List &amp; Usage'!$AB23*SelfQuarantine_Moderate)))+IF('Equipment List &amp; Usage'!$F23="Yes",('Equipment List &amp; Usage'!$C$114*(IF('Equipment List &amp; Usage'!$AE23&gt;0,'Weekly Summary'!AO$134,0)+IF('Equipment List &amp; Usage'!$AF23&gt;0,'Weekly Summary'!AO$135))),'Equipment List &amp; Usage'!$C$115*(('Weekly Summary'!AO$134*'Equipment List &amp; Usage'!$AE23)+('Weekly Summary'!AO$135*'Equipment List &amp; Usage'!$AF23)))),0)</f>
        <v>0</v>
      </c>
      <c r="AV21" s="1374">
        <f ca="1">MAX(IF($F21="Yes",(
IF($F21="yes",MMULT(--('Equipment List &amp; Usage'!$J23:$N23&gt;0),--('Weekly Summary'!AP$112:AP$116))*'Equipment List &amp; Usage'!$C$114,MMULT(--('Equipment List &amp; Usage'!$J23:$N23),--('Weekly Summary'!AP$112:AP$116))*'Equipment List &amp; Usage'!$C$115)+IF('Equipment List &amp; Usage'!$F22="yes",'Equipment List &amp; Usage'!$C$114,'Equipment List &amp; Usage'!$C$115)*(('Weekly Summary'!AP$66*'Equipment List &amp; Usage'!$Q23)+('Weekly Summary'!AP$64*'Equipment List &amp; Usage'!$O23)+('Weekly Summary'!AP$65*'Equipment List &amp; Usage'!$P23)))+(IF('Equipment List &amp; Usage'!$F23="Yes",'Equipment List &amp; Usage'!$C$114*((('Weekly Summary'!AP$131*SelfQuarantine_Mild)+('Weekly Summary'!AP$100*SelfQuarantine_Mild)+('Weekly Summary'!AP$101*SelfQuarantine_Moderate))),'Equipment List &amp; Usage'!$C$115)*((('Weekly Summary'!AP$131*SelfQuarantine_Mild*'Equipment List &amp; Usage'!$W23)+('Weekly Summary'!AP$100*SelfQuarantine_Mild*'Equipment List &amp; Usage'!$X23)+('Weekly Summary'!AP$101*SelfQuarantine_Moderate*'Equipment List &amp; Usage'!$X23)))+IF('Equipment List &amp; Usage'!$F23="Yes",'Equipment List &amp; Usage'!$C$114*(IF('Equipment List &amp; Usage'!$AA23&gt;0,'Weekly Summary'!AP$128,0)+IF('Equipment List &amp; Usage'!$AB23&gt;0,'Weekly Summary'!AP$100+'Weekly Summary'!AP$101,0)),'Equipment List &amp; Usage'!$C$115*(('Weekly Summary'!AP$128*'Equipment List &amp; Usage'!$AA23)+('Weekly Summary'!AP$100*'Equipment List &amp; Usage'!$AB23*SelfQuarantine_Mild)+('Weekly Summary'!AP$101*'Equipment List &amp; Usage'!$AB23*SelfQuarantine_Moderate)))+IF('Equipment List &amp; Usage'!$F23="Yes",('Equipment List &amp; Usage'!$C$114*(IF('Equipment List &amp; Usage'!$AE23&gt;0,'Weekly Summary'!AP$134,0)+IF('Equipment List &amp; Usage'!$AF23&gt;0,'Weekly Summary'!AP$135))),'Equipment List &amp; Usage'!$C$115*(('Weekly Summary'!AP$134*'Equipment List &amp; Usage'!$AE23)+('Weekly Summary'!AP$135*'Equipment List &amp; Usage'!$AF23))))-SUM($I21:AU21),
IF($F21="yes",MMULT(--('Equipment List &amp; Usage'!$J23:$N23&gt;0),--('Weekly Summary'!AP$112:AP$116))*'Equipment List &amp; Usage'!$C$114,MMULT(--('Equipment List &amp; Usage'!$J23:$N23),--('Weekly Summary'!AP$112:AP$116))*'Equipment List &amp; Usage'!$C$115)+IF('Equipment List &amp; Usage'!$F22="yes",'Equipment List &amp; Usage'!$C$114,'Equipment List &amp; Usage'!$C$115)*(('Weekly Summary'!AP$66*'Equipment List &amp; Usage'!$Q23)+('Weekly Summary'!AP$64*'Equipment List &amp; Usage'!$O23)+('Weekly Summary'!AP$65*'Equipment List &amp; Usage'!$P23))+(IF('Equipment List &amp; Usage'!$F23="Yes",'Equipment List &amp; Usage'!$C$114*((('Weekly Summary'!AP$131*SelfQuarantine_Mild)+('Weekly Summary'!AP$100*SelfQuarantine_Mild)+('Weekly Summary'!AP$101*SelfQuarantine_Moderate))),'Equipment List &amp; Usage'!$C$115)*((('Weekly Summary'!AP$131*SelfQuarantine_Mild*'Equipment List &amp; Usage'!$W23)+('Weekly Summary'!AP$100*SelfQuarantine_Mild*'Equipment List &amp; Usage'!$X23)+('Weekly Summary'!AP$101*SelfQuarantine_Moderate*'Equipment List &amp; Usage'!$X23))))+IF('Equipment List &amp; Usage'!$F23="Yes",'Equipment List &amp; Usage'!$C$114*(IF('Equipment List &amp; Usage'!$AA23&gt;0,'Weekly Summary'!AP$128,0)+IF('Equipment List &amp; Usage'!$AB23&gt;0,'Weekly Summary'!AP$100+'Weekly Summary'!AP$101,0)),'Equipment List &amp; Usage'!$C$115*(('Weekly Summary'!AP$128*'Equipment List &amp; Usage'!$AA23)+('Weekly Summary'!AP$100*'Equipment List &amp; Usage'!$AB23*SelfQuarantine_Mild)+('Weekly Summary'!AP$101*'Equipment List &amp; Usage'!$AB23*SelfQuarantine_Moderate)))+IF('Equipment List &amp; Usage'!$F23="Yes",('Equipment List &amp; Usage'!$C$114*(IF('Equipment List &amp; Usage'!$AE23&gt;0,'Weekly Summary'!AP$134,0)+IF('Equipment List &amp; Usage'!$AF23&gt;0,'Weekly Summary'!AP$135))),'Equipment List &amp; Usage'!$C$115*(('Weekly Summary'!AP$134*'Equipment List &amp; Usage'!$AE23)+('Weekly Summary'!AP$135*'Equipment List &amp; Usage'!$AF23)))),0)</f>
        <v>0</v>
      </c>
      <c r="AW21" s="1374">
        <f ca="1">MAX(IF($F21="Yes",(
IF($F21="yes",MMULT(--('Equipment List &amp; Usage'!$J23:$N23&gt;0),--('Weekly Summary'!AQ$112:AQ$116))*'Equipment List &amp; Usage'!$C$114,MMULT(--('Equipment List &amp; Usage'!$J23:$N23),--('Weekly Summary'!AQ$112:AQ$116))*'Equipment List &amp; Usage'!$C$115)+IF('Equipment List &amp; Usage'!$F22="yes",'Equipment List &amp; Usage'!$C$114,'Equipment List &amp; Usage'!$C$115)*(('Weekly Summary'!AQ$66*'Equipment List &amp; Usage'!$Q23)+('Weekly Summary'!AQ$64*'Equipment List &amp; Usage'!$O23)+('Weekly Summary'!AQ$65*'Equipment List &amp; Usage'!$P23)))+(IF('Equipment List &amp; Usage'!$F23="Yes",'Equipment List &amp; Usage'!$C$114*((('Weekly Summary'!AQ$131*SelfQuarantine_Mild)+('Weekly Summary'!AQ$100*SelfQuarantine_Mild)+('Weekly Summary'!AQ$101*SelfQuarantine_Moderate))),'Equipment List &amp; Usage'!$C$115)*((('Weekly Summary'!AQ$131*SelfQuarantine_Mild*'Equipment List &amp; Usage'!$W23)+('Weekly Summary'!AQ$100*SelfQuarantine_Mild*'Equipment List &amp; Usage'!$X23)+('Weekly Summary'!AQ$101*SelfQuarantine_Moderate*'Equipment List &amp; Usage'!$X23)))+IF('Equipment List &amp; Usage'!$F23="Yes",'Equipment List &amp; Usage'!$C$114*(IF('Equipment List &amp; Usage'!$AA23&gt;0,'Weekly Summary'!AQ$128,0)+IF('Equipment List &amp; Usage'!$AB23&gt;0,'Weekly Summary'!AQ$100+'Weekly Summary'!AQ$101,0)),'Equipment List &amp; Usage'!$C$115*(('Weekly Summary'!AQ$128*'Equipment List &amp; Usage'!$AA23)+('Weekly Summary'!AQ$100*'Equipment List &amp; Usage'!$AB23*SelfQuarantine_Mild)+('Weekly Summary'!AQ$101*'Equipment List &amp; Usage'!$AB23*SelfQuarantine_Moderate)))+IF('Equipment List &amp; Usage'!$F23="Yes",('Equipment List &amp; Usage'!$C$114*(IF('Equipment List &amp; Usage'!$AE23&gt;0,'Weekly Summary'!AQ$134,0)+IF('Equipment List &amp; Usage'!$AF23&gt;0,'Weekly Summary'!AQ$135))),'Equipment List &amp; Usage'!$C$115*(('Weekly Summary'!AQ$134*'Equipment List &amp; Usage'!$AE23)+('Weekly Summary'!AQ$135*'Equipment List &amp; Usage'!$AF23))))-SUM($I21:AV21),
IF($F21="yes",MMULT(--('Equipment List &amp; Usage'!$J23:$N23&gt;0),--('Weekly Summary'!AQ$112:AQ$116))*'Equipment List &amp; Usage'!$C$114,MMULT(--('Equipment List &amp; Usage'!$J23:$N23),--('Weekly Summary'!AQ$112:AQ$116))*'Equipment List &amp; Usage'!$C$115)+IF('Equipment List &amp; Usage'!$F22="yes",'Equipment List &amp; Usage'!$C$114,'Equipment List &amp; Usage'!$C$115)*(('Weekly Summary'!AQ$66*'Equipment List &amp; Usage'!$Q23)+('Weekly Summary'!AQ$64*'Equipment List &amp; Usage'!$O23)+('Weekly Summary'!AQ$65*'Equipment List &amp; Usage'!$P23))+(IF('Equipment List &amp; Usage'!$F23="Yes",'Equipment List &amp; Usage'!$C$114*((('Weekly Summary'!AQ$131*SelfQuarantine_Mild)+('Weekly Summary'!AQ$100*SelfQuarantine_Mild)+('Weekly Summary'!AQ$101*SelfQuarantine_Moderate))),'Equipment List &amp; Usage'!$C$115)*((('Weekly Summary'!AQ$131*SelfQuarantine_Mild*'Equipment List &amp; Usage'!$W23)+('Weekly Summary'!AQ$100*SelfQuarantine_Mild*'Equipment List &amp; Usage'!$X23)+('Weekly Summary'!AQ$101*SelfQuarantine_Moderate*'Equipment List &amp; Usage'!$X23))))+IF('Equipment List &amp; Usage'!$F23="Yes",'Equipment List &amp; Usage'!$C$114*(IF('Equipment List &amp; Usage'!$AA23&gt;0,'Weekly Summary'!AQ$128,0)+IF('Equipment List &amp; Usage'!$AB23&gt;0,'Weekly Summary'!AQ$100+'Weekly Summary'!AQ$101,0)),'Equipment List &amp; Usage'!$C$115*(('Weekly Summary'!AQ$128*'Equipment List &amp; Usage'!$AA23)+('Weekly Summary'!AQ$100*'Equipment List &amp; Usage'!$AB23*SelfQuarantine_Mild)+('Weekly Summary'!AQ$101*'Equipment List &amp; Usage'!$AB23*SelfQuarantine_Moderate)))+IF('Equipment List &amp; Usage'!$F23="Yes",('Equipment List &amp; Usage'!$C$114*(IF('Equipment List &amp; Usage'!$AE23&gt;0,'Weekly Summary'!AQ$134,0)+IF('Equipment List &amp; Usage'!$AF23&gt;0,'Weekly Summary'!AQ$135))),'Equipment List &amp; Usage'!$C$115*(('Weekly Summary'!AQ$134*'Equipment List &amp; Usage'!$AE23)+('Weekly Summary'!AQ$135*'Equipment List &amp; Usage'!$AF23)))),0)</f>
        <v>0</v>
      </c>
      <c r="AX21" s="1374">
        <f ca="1">MAX(IF($F21="Yes",(
IF($F21="yes",MMULT(--('Equipment List &amp; Usage'!$J23:$N23&gt;0),--('Weekly Summary'!AR$112:AR$116))*'Equipment List &amp; Usage'!$C$114,MMULT(--('Equipment List &amp; Usage'!$J23:$N23),--('Weekly Summary'!AR$112:AR$116))*'Equipment List &amp; Usage'!$C$115)+IF('Equipment List &amp; Usage'!$F22="yes",'Equipment List &amp; Usage'!$C$114,'Equipment List &amp; Usage'!$C$115)*(('Weekly Summary'!AR$66*'Equipment List &amp; Usage'!$Q23)+('Weekly Summary'!AR$64*'Equipment List &amp; Usage'!$O23)+('Weekly Summary'!AR$65*'Equipment List &amp; Usage'!$P23)))+(IF('Equipment List &amp; Usage'!$F23="Yes",'Equipment List &amp; Usage'!$C$114*((('Weekly Summary'!AR$131*SelfQuarantine_Mild)+('Weekly Summary'!AR$100*SelfQuarantine_Mild)+('Weekly Summary'!AR$101*SelfQuarantine_Moderate))),'Equipment List &amp; Usage'!$C$115)*((('Weekly Summary'!AR$131*SelfQuarantine_Mild*'Equipment List &amp; Usage'!$W23)+('Weekly Summary'!AR$100*SelfQuarantine_Mild*'Equipment List &amp; Usage'!$X23)+('Weekly Summary'!AR$101*SelfQuarantine_Moderate*'Equipment List &amp; Usage'!$X23)))+IF('Equipment List &amp; Usage'!$F23="Yes",'Equipment List &amp; Usage'!$C$114*(IF('Equipment List &amp; Usage'!$AA23&gt;0,'Weekly Summary'!AR$128,0)+IF('Equipment List &amp; Usage'!$AB23&gt;0,'Weekly Summary'!AR$100+'Weekly Summary'!AR$101,0)),'Equipment List &amp; Usage'!$C$115*(('Weekly Summary'!AR$128*'Equipment List &amp; Usage'!$AA23)+('Weekly Summary'!AR$100*'Equipment List &amp; Usage'!$AB23*SelfQuarantine_Mild)+('Weekly Summary'!AR$101*'Equipment List &amp; Usage'!$AB23*SelfQuarantine_Moderate)))+IF('Equipment List &amp; Usage'!$F23="Yes",('Equipment List &amp; Usage'!$C$114*(IF('Equipment List &amp; Usage'!$AE23&gt;0,'Weekly Summary'!AR$134,0)+IF('Equipment List &amp; Usage'!$AF23&gt;0,'Weekly Summary'!AR$135))),'Equipment List &amp; Usage'!$C$115*(('Weekly Summary'!AR$134*'Equipment List &amp; Usage'!$AE23)+('Weekly Summary'!AR$135*'Equipment List &amp; Usage'!$AF23))))-SUM($I21:AW21),
IF($F21="yes",MMULT(--('Equipment List &amp; Usage'!$J23:$N23&gt;0),--('Weekly Summary'!AR$112:AR$116))*'Equipment List &amp; Usage'!$C$114,MMULT(--('Equipment List &amp; Usage'!$J23:$N23),--('Weekly Summary'!AR$112:AR$116))*'Equipment List &amp; Usage'!$C$115)+IF('Equipment List &amp; Usage'!$F22="yes",'Equipment List &amp; Usage'!$C$114,'Equipment List &amp; Usage'!$C$115)*(('Weekly Summary'!AR$66*'Equipment List &amp; Usage'!$Q23)+('Weekly Summary'!AR$64*'Equipment List &amp; Usage'!$O23)+('Weekly Summary'!AR$65*'Equipment List &amp; Usage'!$P23))+(IF('Equipment List &amp; Usage'!$F23="Yes",'Equipment List &amp; Usage'!$C$114*((('Weekly Summary'!AR$131*SelfQuarantine_Mild)+('Weekly Summary'!AR$100*SelfQuarantine_Mild)+('Weekly Summary'!AR$101*SelfQuarantine_Moderate))),'Equipment List &amp; Usage'!$C$115)*((('Weekly Summary'!AR$131*SelfQuarantine_Mild*'Equipment List &amp; Usage'!$W23)+('Weekly Summary'!AR$100*SelfQuarantine_Mild*'Equipment List &amp; Usage'!$X23)+('Weekly Summary'!AR$101*SelfQuarantine_Moderate*'Equipment List &amp; Usage'!$X23))))+IF('Equipment List &amp; Usage'!$F23="Yes",'Equipment List &amp; Usage'!$C$114*(IF('Equipment List &amp; Usage'!$AA23&gt;0,'Weekly Summary'!AR$128,0)+IF('Equipment List &amp; Usage'!$AB23&gt;0,'Weekly Summary'!AR$100+'Weekly Summary'!AR$101,0)),'Equipment List &amp; Usage'!$C$115*(('Weekly Summary'!AR$128*'Equipment List &amp; Usage'!$AA23)+('Weekly Summary'!AR$100*'Equipment List &amp; Usage'!$AB23*SelfQuarantine_Mild)+('Weekly Summary'!AR$101*'Equipment List &amp; Usage'!$AB23*SelfQuarantine_Moderate)))+IF('Equipment List &amp; Usage'!$F23="Yes",('Equipment List &amp; Usage'!$C$114*(IF('Equipment List &amp; Usage'!$AE23&gt;0,'Weekly Summary'!AR$134,0)+IF('Equipment List &amp; Usage'!$AF23&gt;0,'Weekly Summary'!AR$135))),'Equipment List &amp; Usage'!$C$115*(('Weekly Summary'!AR$134*'Equipment List &amp; Usage'!$AE23)+('Weekly Summary'!AR$135*'Equipment List &amp; Usage'!$AF23)))),0)</f>
        <v>0</v>
      </c>
      <c r="AY21" s="1374">
        <f ca="1">MAX(IF($F21="Yes",(
IF($F21="yes",MMULT(--('Equipment List &amp; Usage'!$J23:$N23&gt;0),--('Weekly Summary'!AS$112:AS$116))*'Equipment List &amp; Usage'!$C$114,MMULT(--('Equipment List &amp; Usage'!$J23:$N23),--('Weekly Summary'!AS$112:AS$116))*'Equipment List &amp; Usage'!$C$115)+IF('Equipment List &amp; Usage'!$F22="yes",'Equipment List &amp; Usage'!$C$114,'Equipment List &amp; Usage'!$C$115)*(('Weekly Summary'!AS$66*'Equipment List &amp; Usage'!$Q23)+('Weekly Summary'!AS$64*'Equipment List &amp; Usage'!$O23)+('Weekly Summary'!AS$65*'Equipment List &amp; Usage'!$P23)))+(IF('Equipment List &amp; Usage'!$F23="Yes",'Equipment List &amp; Usage'!$C$114*((('Weekly Summary'!AS$131*SelfQuarantine_Mild)+('Weekly Summary'!AS$100*SelfQuarantine_Mild)+('Weekly Summary'!AS$101*SelfQuarantine_Moderate))),'Equipment List &amp; Usage'!$C$115)*((('Weekly Summary'!AS$131*SelfQuarantine_Mild*'Equipment List &amp; Usage'!$W23)+('Weekly Summary'!AS$100*SelfQuarantine_Mild*'Equipment List &amp; Usage'!$X23)+('Weekly Summary'!AS$101*SelfQuarantine_Moderate*'Equipment List &amp; Usage'!$X23)))+IF('Equipment List &amp; Usage'!$F23="Yes",'Equipment List &amp; Usage'!$C$114*(IF('Equipment List &amp; Usage'!$AA23&gt;0,'Weekly Summary'!AS$128,0)+IF('Equipment List &amp; Usage'!$AB23&gt;0,'Weekly Summary'!AS$100+'Weekly Summary'!AS$101,0)),'Equipment List &amp; Usage'!$C$115*(('Weekly Summary'!AS$128*'Equipment List &amp; Usage'!$AA23)+('Weekly Summary'!AS$100*'Equipment List &amp; Usage'!$AB23*SelfQuarantine_Mild)+('Weekly Summary'!AS$101*'Equipment List &amp; Usage'!$AB23*SelfQuarantine_Moderate)))+IF('Equipment List &amp; Usage'!$F23="Yes",('Equipment List &amp; Usage'!$C$114*(IF('Equipment List &amp; Usage'!$AE23&gt;0,'Weekly Summary'!AS$134,0)+IF('Equipment List &amp; Usage'!$AF23&gt;0,'Weekly Summary'!AS$135))),'Equipment List &amp; Usage'!$C$115*(('Weekly Summary'!AS$134*'Equipment List &amp; Usage'!$AE23)+('Weekly Summary'!AS$135*'Equipment List &amp; Usage'!$AF23))))-SUM($I21:AX21),
IF($F21="yes",MMULT(--('Equipment List &amp; Usage'!$J23:$N23&gt;0),--('Weekly Summary'!AS$112:AS$116))*'Equipment List &amp; Usage'!$C$114,MMULT(--('Equipment List &amp; Usage'!$J23:$N23),--('Weekly Summary'!AS$112:AS$116))*'Equipment List &amp; Usage'!$C$115)+IF('Equipment List &amp; Usage'!$F22="yes",'Equipment List &amp; Usage'!$C$114,'Equipment List &amp; Usage'!$C$115)*(('Weekly Summary'!AS$66*'Equipment List &amp; Usage'!$Q23)+('Weekly Summary'!AS$64*'Equipment List &amp; Usage'!$O23)+('Weekly Summary'!AS$65*'Equipment List &amp; Usage'!$P23))+(IF('Equipment List &amp; Usage'!$F23="Yes",'Equipment List &amp; Usage'!$C$114*((('Weekly Summary'!AS$131*SelfQuarantine_Mild)+('Weekly Summary'!AS$100*SelfQuarantine_Mild)+('Weekly Summary'!AS$101*SelfQuarantine_Moderate))),'Equipment List &amp; Usage'!$C$115)*((('Weekly Summary'!AS$131*SelfQuarantine_Mild*'Equipment List &amp; Usage'!$W23)+('Weekly Summary'!AS$100*SelfQuarantine_Mild*'Equipment List &amp; Usage'!$X23)+('Weekly Summary'!AS$101*SelfQuarantine_Moderate*'Equipment List &amp; Usage'!$X23))))+IF('Equipment List &amp; Usage'!$F23="Yes",'Equipment List &amp; Usage'!$C$114*(IF('Equipment List &amp; Usage'!$AA23&gt;0,'Weekly Summary'!AS$128,0)+IF('Equipment List &amp; Usage'!$AB23&gt;0,'Weekly Summary'!AS$100+'Weekly Summary'!AS$101,0)),'Equipment List &amp; Usage'!$C$115*(('Weekly Summary'!AS$128*'Equipment List &amp; Usage'!$AA23)+('Weekly Summary'!AS$100*'Equipment List &amp; Usage'!$AB23*SelfQuarantine_Mild)+('Weekly Summary'!AS$101*'Equipment List &amp; Usage'!$AB23*SelfQuarantine_Moderate)))+IF('Equipment List &amp; Usage'!$F23="Yes",('Equipment List &amp; Usage'!$C$114*(IF('Equipment List &amp; Usage'!$AE23&gt;0,'Weekly Summary'!AS$134,0)+IF('Equipment List &amp; Usage'!$AF23&gt;0,'Weekly Summary'!AS$135))),'Equipment List &amp; Usage'!$C$115*(('Weekly Summary'!AS$134*'Equipment List &amp; Usage'!$AE23)+('Weekly Summary'!AS$135*'Equipment List &amp; Usage'!$AF23)))),0)</f>
        <v>0</v>
      </c>
      <c r="AZ21" s="1374">
        <f ca="1">MAX(IF($F21="Yes",(
IF($F21="yes",MMULT(--('Equipment List &amp; Usage'!$J23:$N23&gt;0),--('Weekly Summary'!AT$112:AT$116))*'Equipment List &amp; Usage'!$C$114,MMULT(--('Equipment List &amp; Usage'!$J23:$N23),--('Weekly Summary'!AT$112:AT$116))*'Equipment List &amp; Usage'!$C$115)+IF('Equipment List &amp; Usage'!$F22="yes",'Equipment List &amp; Usage'!$C$114,'Equipment List &amp; Usage'!$C$115)*(('Weekly Summary'!AT$66*'Equipment List &amp; Usage'!$Q23)+('Weekly Summary'!AT$64*'Equipment List &amp; Usage'!$O23)+('Weekly Summary'!AT$65*'Equipment List &amp; Usage'!$P23)))+(IF('Equipment List &amp; Usage'!$F23="Yes",'Equipment List &amp; Usage'!$C$114*((('Weekly Summary'!AT$131*SelfQuarantine_Mild)+('Weekly Summary'!AT$100*SelfQuarantine_Mild)+('Weekly Summary'!AT$101*SelfQuarantine_Moderate))),'Equipment List &amp; Usage'!$C$115)*((('Weekly Summary'!AT$131*SelfQuarantine_Mild*'Equipment List &amp; Usage'!$W23)+('Weekly Summary'!AT$100*SelfQuarantine_Mild*'Equipment List &amp; Usage'!$X23)+('Weekly Summary'!AT$101*SelfQuarantine_Moderate*'Equipment List &amp; Usage'!$X23)))+IF('Equipment List &amp; Usage'!$F23="Yes",'Equipment List &amp; Usage'!$C$114*(IF('Equipment List &amp; Usage'!$AA23&gt;0,'Weekly Summary'!AT$128,0)+IF('Equipment List &amp; Usage'!$AB23&gt;0,'Weekly Summary'!AT$100+'Weekly Summary'!AT$101,0)),'Equipment List &amp; Usage'!$C$115*(('Weekly Summary'!AT$128*'Equipment List &amp; Usage'!$AA23)+('Weekly Summary'!AT$100*'Equipment List &amp; Usage'!$AB23*SelfQuarantine_Mild)+('Weekly Summary'!AT$101*'Equipment List &amp; Usage'!$AB23*SelfQuarantine_Moderate)))+IF('Equipment List &amp; Usage'!$F23="Yes",('Equipment List &amp; Usage'!$C$114*(IF('Equipment List &amp; Usage'!$AE23&gt;0,'Weekly Summary'!AT$134,0)+IF('Equipment List &amp; Usage'!$AF23&gt;0,'Weekly Summary'!AT$135))),'Equipment List &amp; Usage'!$C$115*(('Weekly Summary'!AT$134*'Equipment List &amp; Usage'!$AE23)+('Weekly Summary'!AT$135*'Equipment List &amp; Usage'!$AF23))))-SUM($I21:AY21),
IF($F21="yes",MMULT(--('Equipment List &amp; Usage'!$J23:$N23&gt;0),--('Weekly Summary'!AT$112:AT$116))*'Equipment List &amp; Usage'!$C$114,MMULT(--('Equipment List &amp; Usage'!$J23:$N23),--('Weekly Summary'!AT$112:AT$116))*'Equipment List &amp; Usage'!$C$115)+IF('Equipment List &amp; Usage'!$F22="yes",'Equipment List &amp; Usage'!$C$114,'Equipment List &amp; Usage'!$C$115)*(('Weekly Summary'!AT$66*'Equipment List &amp; Usage'!$Q23)+('Weekly Summary'!AT$64*'Equipment List &amp; Usage'!$O23)+('Weekly Summary'!AT$65*'Equipment List &amp; Usage'!$P23))+(IF('Equipment List &amp; Usage'!$F23="Yes",'Equipment List &amp; Usage'!$C$114*((('Weekly Summary'!AT$131*SelfQuarantine_Mild)+('Weekly Summary'!AT$100*SelfQuarantine_Mild)+('Weekly Summary'!AT$101*SelfQuarantine_Moderate))),'Equipment List &amp; Usage'!$C$115)*((('Weekly Summary'!AT$131*SelfQuarantine_Mild*'Equipment List &amp; Usage'!$W23)+('Weekly Summary'!AT$100*SelfQuarantine_Mild*'Equipment List &amp; Usage'!$X23)+('Weekly Summary'!AT$101*SelfQuarantine_Moderate*'Equipment List &amp; Usage'!$X23))))+IF('Equipment List &amp; Usage'!$F23="Yes",'Equipment List &amp; Usage'!$C$114*(IF('Equipment List &amp; Usage'!$AA23&gt;0,'Weekly Summary'!AT$128,0)+IF('Equipment List &amp; Usage'!$AB23&gt;0,'Weekly Summary'!AT$100+'Weekly Summary'!AT$101,0)),'Equipment List &amp; Usage'!$C$115*(('Weekly Summary'!AT$128*'Equipment List &amp; Usage'!$AA23)+('Weekly Summary'!AT$100*'Equipment List &amp; Usage'!$AB23*SelfQuarantine_Mild)+('Weekly Summary'!AT$101*'Equipment List &amp; Usage'!$AB23*SelfQuarantine_Moderate)))+IF('Equipment List &amp; Usage'!$F23="Yes",('Equipment List &amp; Usage'!$C$114*(IF('Equipment List &amp; Usage'!$AE23&gt;0,'Weekly Summary'!AT$134,0)+IF('Equipment List &amp; Usage'!$AF23&gt;0,'Weekly Summary'!AT$135))),'Equipment List &amp; Usage'!$C$115*(('Weekly Summary'!AT$134*'Equipment List &amp; Usage'!$AE23)+('Weekly Summary'!AT$135*'Equipment List &amp; Usage'!$AF23)))),0)</f>
        <v>0</v>
      </c>
      <c r="BA21" s="1374">
        <f ca="1">MAX(IF($F21="Yes",(
IF($F21="yes",MMULT(--('Equipment List &amp; Usage'!$J23:$N23&gt;0),--('Weekly Summary'!AU$112:AU$116))*'Equipment List &amp; Usage'!$C$114,MMULT(--('Equipment List &amp; Usage'!$J23:$N23),--('Weekly Summary'!AU$112:AU$116))*'Equipment List &amp; Usage'!$C$115)+IF('Equipment List &amp; Usage'!$F22="yes",'Equipment List &amp; Usage'!$C$114,'Equipment List &amp; Usage'!$C$115)*(('Weekly Summary'!AU$66*'Equipment List &amp; Usage'!$Q23)+('Weekly Summary'!AU$64*'Equipment List &amp; Usage'!$O23)+('Weekly Summary'!AU$65*'Equipment List &amp; Usage'!$P23)))+(IF('Equipment List &amp; Usage'!$F23="Yes",'Equipment List &amp; Usage'!$C$114*((('Weekly Summary'!AU$131*SelfQuarantine_Mild)+('Weekly Summary'!AU$100*SelfQuarantine_Mild)+('Weekly Summary'!AU$101*SelfQuarantine_Moderate))),'Equipment List &amp; Usage'!$C$115)*((('Weekly Summary'!AU$131*SelfQuarantine_Mild*'Equipment List &amp; Usage'!$W23)+('Weekly Summary'!AU$100*SelfQuarantine_Mild*'Equipment List &amp; Usage'!$X23)+('Weekly Summary'!AU$101*SelfQuarantine_Moderate*'Equipment List &amp; Usage'!$X23)))+IF('Equipment List &amp; Usage'!$F23="Yes",'Equipment List &amp; Usage'!$C$114*(IF('Equipment List &amp; Usage'!$AA23&gt;0,'Weekly Summary'!AU$128,0)+IF('Equipment List &amp; Usage'!$AB23&gt;0,'Weekly Summary'!AU$100+'Weekly Summary'!AU$101,0)),'Equipment List &amp; Usage'!$C$115*(('Weekly Summary'!AU$128*'Equipment List &amp; Usage'!$AA23)+('Weekly Summary'!AU$100*'Equipment List &amp; Usage'!$AB23*SelfQuarantine_Mild)+('Weekly Summary'!AU$101*'Equipment List &amp; Usage'!$AB23*SelfQuarantine_Moderate)))+IF('Equipment List &amp; Usage'!$F23="Yes",('Equipment List &amp; Usage'!$C$114*(IF('Equipment List &amp; Usage'!$AE23&gt;0,'Weekly Summary'!AU$134,0)+IF('Equipment List &amp; Usage'!$AF23&gt;0,'Weekly Summary'!AU$135))),'Equipment List &amp; Usage'!$C$115*(('Weekly Summary'!AU$134*'Equipment List &amp; Usage'!$AE23)+('Weekly Summary'!AU$135*'Equipment List &amp; Usage'!$AF23))))-SUM($I21:AZ21),
IF($F21="yes",MMULT(--('Equipment List &amp; Usage'!$J23:$N23&gt;0),--('Weekly Summary'!AU$112:AU$116))*'Equipment List &amp; Usage'!$C$114,MMULT(--('Equipment List &amp; Usage'!$J23:$N23),--('Weekly Summary'!AU$112:AU$116))*'Equipment List &amp; Usage'!$C$115)+IF('Equipment List &amp; Usage'!$F22="yes",'Equipment List &amp; Usage'!$C$114,'Equipment List &amp; Usage'!$C$115)*(('Weekly Summary'!AU$66*'Equipment List &amp; Usage'!$Q23)+('Weekly Summary'!AU$64*'Equipment List &amp; Usage'!$O23)+('Weekly Summary'!AU$65*'Equipment List &amp; Usage'!$P23))+(IF('Equipment List &amp; Usage'!$F23="Yes",'Equipment List &amp; Usage'!$C$114*((('Weekly Summary'!AU$131*SelfQuarantine_Mild)+('Weekly Summary'!AU$100*SelfQuarantine_Mild)+('Weekly Summary'!AU$101*SelfQuarantine_Moderate))),'Equipment List &amp; Usage'!$C$115)*((('Weekly Summary'!AU$131*SelfQuarantine_Mild*'Equipment List &amp; Usage'!$W23)+('Weekly Summary'!AU$100*SelfQuarantine_Mild*'Equipment List &amp; Usage'!$X23)+('Weekly Summary'!AU$101*SelfQuarantine_Moderate*'Equipment List &amp; Usage'!$X23))))+IF('Equipment List &amp; Usage'!$F23="Yes",'Equipment List &amp; Usage'!$C$114*(IF('Equipment List &amp; Usage'!$AA23&gt;0,'Weekly Summary'!AU$128,0)+IF('Equipment List &amp; Usage'!$AB23&gt;0,'Weekly Summary'!AU$100+'Weekly Summary'!AU$101,0)),'Equipment List &amp; Usage'!$C$115*(('Weekly Summary'!AU$128*'Equipment List &amp; Usage'!$AA23)+('Weekly Summary'!AU$100*'Equipment List &amp; Usage'!$AB23*SelfQuarantine_Mild)+('Weekly Summary'!AU$101*'Equipment List &amp; Usage'!$AB23*SelfQuarantine_Moderate)))+IF('Equipment List &amp; Usage'!$F23="Yes",('Equipment List &amp; Usage'!$C$114*(IF('Equipment List &amp; Usage'!$AE23&gt;0,'Weekly Summary'!AU$134,0)+IF('Equipment List &amp; Usage'!$AF23&gt;0,'Weekly Summary'!AU$135))),'Equipment List &amp; Usage'!$C$115*(('Weekly Summary'!AU$134*'Equipment List &amp; Usage'!$AE23)+('Weekly Summary'!AU$135*'Equipment List &amp; Usage'!$AF23)))),0)</f>
        <v>0</v>
      </c>
      <c r="BB21" s="1374">
        <f ca="1">MAX(IF($F21="Yes",(
IF($F21="yes",MMULT(--('Equipment List &amp; Usage'!$J23:$N23&gt;0),--('Weekly Summary'!AV$112:AV$116))*'Equipment List &amp; Usage'!$C$114,MMULT(--('Equipment List &amp; Usage'!$J23:$N23),--('Weekly Summary'!AV$112:AV$116))*'Equipment List &amp; Usage'!$C$115)+IF('Equipment List &amp; Usage'!$F22="yes",'Equipment List &amp; Usage'!$C$114,'Equipment List &amp; Usage'!$C$115)*(('Weekly Summary'!AV$66*'Equipment List &amp; Usage'!$Q23)+('Weekly Summary'!AV$64*'Equipment List &amp; Usage'!$O23)+('Weekly Summary'!AV$65*'Equipment List &amp; Usage'!$P23)))+(IF('Equipment List &amp; Usage'!$F23="Yes",'Equipment List &amp; Usage'!$C$114*((('Weekly Summary'!AV$131*SelfQuarantine_Mild)+('Weekly Summary'!AV$100*SelfQuarantine_Mild)+('Weekly Summary'!AV$101*SelfQuarantine_Moderate))),'Equipment List &amp; Usage'!$C$115)*((('Weekly Summary'!AV$131*SelfQuarantine_Mild*'Equipment List &amp; Usage'!$W23)+('Weekly Summary'!AV$100*SelfQuarantine_Mild*'Equipment List &amp; Usage'!$X23)+('Weekly Summary'!AV$101*SelfQuarantine_Moderate*'Equipment List &amp; Usage'!$X23)))+IF('Equipment List &amp; Usage'!$F23="Yes",'Equipment List &amp; Usage'!$C$114*(IF('Equipment List &amp; Usage'!$AA23&gt;0,'Weekly Summary'!AV$128,0)+IF('Equipment List &amp; Usage'!$AB23&gt;0,'Weekly Summary'!AV$100+'Weekly Summary'!AV$101,0)),'Equipment List &amp; Usage'!$C$115*(('Weekly Summary'!AV$128*'Equipment List &amp; Usage'!$AA23)+('Weekly Summary'!AV$100*'Equipment List &amp; Usage'!$AB23*SelfQuarantine_Mild)+('Weekly Summary'!AV$101*'Equipment List &amp; Usage'!$AB23*SelfQuarantine_Moderate)))+IF('Equipment List &amp; Usage'!$F23="Yes",('Equipment List &amp; Usage'!$C$114*(IF('Equipment List &amp; Usage'!$AE23&gt;0,'Weekly Summary'!AV$134,0)+IF('Equipment List &amp; Usage'!$AF23&gt;0,'Weekly Summary'!AV$135))),'Equipment List &amp; Usage'!$C$115*(('Weekly Summary'!AV$134*'Equipment List &amp; Usage'!$AE23)+('Weekly Summary'!AV$135*'Equipment List &amp; Usage'!$AF23))))-SUM($I21:BA21),
IF($F21="yes",MMULT(--('Equipment List &amp; Usage'!$J23:$N23&gt;0),--('Weekly Summary'!AV$112:AV$116))*'Equipment List &amp; Usage'!$C$114,MMULT(--('Equipment List &amp; Usage'!$J23:$N23),--('Weekly Summary'!AV$112:AV$116))*'Equipment List &amp; Usage'!$C$115)+IF('Equipment List &amp; Usage'!$F22="yes",'Equipment List &amp; Usage'!$C$114,'Equipment List &amp; Usage'!$C$115)*(('Weekly Summary'!AV$66*'Equipment List &amp; Usage'!$Q23)+('Weekly Summary'!AV$64*'Equipment List &amp; Usage'!$O23)+('Weekly Summary'!AV$65*'Equipment List &amp; Usage'!$P23))+(IF('Equipment List &amp; Usage'!$F23="Yes",'Equipment List &amp; Usage'!$C$114*((('Weekly Summary'!AV$131*SelfQuarantine_Mild)+('Weekly Summary'!AV$100*SelfQuarantine_Mild)+('Weekly Summary'!AV$101*SelfQuarantine_Moderate))),'Equipment List &amp; Usage'!$C$115)*((('Weekly Summary'!AV$131*SelfQuarantine_Mild*'Equipment List &amp; Usage'!$W23)+('Weekly Summary'!AV$100*SelfQuarantine_Mild*'Equipment List &amp; Usage'!$X23)+('Weekly Summary'!AV$101*SelfQuarantine_Moderate*'Equipment List &amp; Usage'!$X23))))+IF('Equipment List &amp; Usage'!$F23="Yes",'Equipment List &amp; Usage'!$C$114*(IF('Equipment List &amp; Usage'!$AA23&gt;0,'Weekly Summary'!AV$128,0)+IF('Equipment List &amp; Usage'!$AB23&gt;0,'Weekly Summary'!AV$100+'Weekly Summary'!AV$101,0)),'Equipment List &amp; Usage'!$C$115*(('Weekly Summary'!AV$128*'Equipment List &amp; Usage'!$AA23)+('Weekly Summary'!AV$100*'Equipment List &amp; Usage'!$AB23*SelfQuarantine_Mild)+('Weekly Summary'!AV$101*'Equipment List &amp; Usage'!$AB23*SelfQuarantine_Moderate)))+IF('Equipment List &amp; Usage'!$F23="Yes",('Equipment List &amp; Usage'!$C$114*(IF('Equipment List &amp; Usage'!$AE23&gt;0,'Weekly Summary'!AV$134,0)+IF('Equipment List &amp; Usage'!$AF23&gt;0,'Weekly Summary'!AV$135))),'Equipment List &amp; Usage'!$C$115*(('Weekly Summary'!AV$134*'Equipment List &amp; Usage'!$AE23)+('Weekly Summary'!AV$135*'Equipment List &amp; Usage'!$AF23)))),0)</f>
        <v>0</v>
      </c>
      <c r="BC21" s="1374">
        <f ca="1">MAX(IF($F21="Yes",(
IF($F21="yes",MMULT(--('Equipment List &amp; Usage'!$J23:$N23&gt;0),--('Weekly Summary'!AW$112:AW$116))*'Equipment List &amp; Usage'!$C$114,MMULT(--('Equipment List &amp; Usage'!$J23:$N23),--('Weekly Summary'!AW$112:AW$116))*'Equipment List &amp; Usage'!$C$115)+IF('Equipment List &amp; Usage'!$F22="yes",'Equipment List &amp; Usage'!$C$114,'Equipment List &amp; Usage'!$C$115)*(('Weekly Summary'!AW$66*'Equipment List &amp; Usage'!$Q23)+('Weekly Summary'!AW$64*'Equipment List &amp; Usage'!$O23)+('Weekly Summary'!AW$65*'Equipment List &amp; Usage'!$P23)))+(IF('Equipment List &amp; Usage'!$F23="Yes",'Equipment List &amp; Usage'!$C$114*((('Weekly Summary'!AW$131*SelfQuarantine_Mild)+('Weekly Summary'!AW$100*SelfQuarantine_Mild)+('Weekly Summary'!AW$101*SelfQuarantine_Moderate))),'Equipment List &amp; Usage'!$C$115)*((('Weekly Summary'!AW$131*SelfQuarantine_Mild*'Equipment List &amp; Usage'!$W23)+('Weekly Summary'!AW$100*SelfQuarantine_Mild*'Equipment List &amp; Usage'!$X23)+('Weekly Summary'!AW$101*SelfQuarantine_Moderate*'Equipment List &amp; Usage'!$X23)))+IF('Equipment List &amp; Usage'!$F23="Yes",'Equipment List &amp; Usage'!$C$114*(IF('Equipment List &amp; Usage'!$AA23&gt;0,'Weekly Summary'!AW$128,0)+IF('Equipment List &amp; Usage'!$AB23&gt;0,'Weekly Summary'!AW$100+'Weekly Summary'!AW$101,0)),'Equipment List &amp; Usage'!$C$115*(('Weekly Summary'!AW$128*'Equipment List &amp; Usage'!$AA23)+('Weekly Summary'!AW$100*'Equipment List &amp; Usage'!$AB23*SelfQuarantine_Mild)+('Weekly Summary'!AW$101*'Equipment List &amp; Usage'!$AB23*SelfQuarantine_Moderate)))+IF('Equipment List &amp; Usage'!$F23="Yes",('Equipment List &amp; Usage'!$C$114*(IF('Equipment List &amp; Usage'!$AE23&gt;0,'Weekly Summary'!AW$134,0)+IF('Equipment List &amp; Usage'!$AF23&gt;0,'Weekly Summary'!AW$135))),'Equipment List &amp; Usage'!$C$115*(('Weekly Summary'!AW$134*'Equipment List &amp; Usage'!$AE23)+('Weekly Summary'!AW$135*'Equipment List &amp; Usage'!$AF23))))-SUM($I21:BB21),
IF($F21="yes",MMULT(--('Equipment List &amp; Usage'!$J23:$N23&gt;0),--('Weekly Summary'!AW$112:AW$116))*'Equipment List &amp; Usage'!$C$114,MMULT(--('Equipment List &amp; Usage'!$J23:$N23),--('Weekly Summary'!AW$112:AW$116))*'Equipment List &amp; Usage'!$C$115)+IF('Equipment List &amp; Usage'!$F22="yes",'Equipment List &amp; Usage'!$C$114,'Equipment List &amp; Usage'!$C$115)*(('Weekly Summary'!AW$66*'Equipment List &amp; Usage'!$Q23)+('Weekly Summary'!AW$64*'Equipment List &amp; Usage'!$O23)+('Weekly Summary'!AW$65*'Equipment List &amp; Usage'!$P23))+(IF('Equipment List &amp; Usage'!$F23="Yes",'Equipment List &amp; Usage'!$C$114*((('Weekly Summary'!AW$131*SelfQuarantine_Mild)+('Weekly Summary'!AW$100*SelfQuarantine_Mild)+('Weekly Summary'!AW$101*SelfQuarantine_Moderate))),'Equipment List &amp; Usage'!$C$115)*((('Weekly Summary'!AW$131*SelfQuarantine_Mild*'Equipment List &amp; Usage'!$W23)+('Weekly Summary'!AW$100*SelfQuarantine_Mild*'Equipment List &amp; Usage'!$X23)+('Weekly Summary'!AW$101*SelfQuarantine_Moderate*'Equipment List &amp; Usage'!$X23))))+IF('Equipment List &amp; Usage'!$F23="Yes",'Equipment List &amp; Usage'!$C$114*(IF('Equipment List &amp; Usage'!$AA23&gt;0,'Weekly Summary'!AW$128,0)+IF('Equipment List &amp; Usage'!$AB23&gt;0,'Weekly Summary'!AW$100+'Weekly Summary'!AW$101,0)),'Equipment List &amp; Usage'!$C$115*(('Weekly Summary'!AW$128*'Equipment List &amp; Usage'!$AA23)+('Weekly Summary'!AW$100*'Equipment List &amp; Usage'!$AB23*SelfQuarantine_Mild)+('Weekly Summary'!AW$101*'Equipment List &amp; Usage'!$AB23*SelfQuarantine_Moderate)))+IF('Equipment List &amp; Usage'!$F23="Yes",('Equipment List &amp; Usage'!$C$114*(IF('Equipment List &amp; Usage'!$AE23&gt;0,'Weekly Summary'!AW$134,0)+IF('Equipment List &amp; Usage'!$AF23&gt;0,'Weekly Summary'!AW$135))),'Equipment List &amp; Usage'!$C$115*(('Weekly Summary'!AW$134*'Equipment List &amp; Usage'!$AE23)+('Weekly Summary'!AW$135*'Equipment List &amp; Usage'!$AF23)))),0)</f>
        <v>0</v>
      </c>
      <c r="BD21" s="1374">
        <f ca="1">MAX(IF($F21="Yes",(
IF($F21="yes",MMULT(--('Equipment List &amp; Usage'!$J23:$N23&gt;0),--('Weekly Summary'!AX$112:AX$116))*'Equipment List &amp; Usage'!$C$114,MMULT(--('Equipment List &amp; Usage'!$J23:$N23),--('Weekly Summary'!AX$112:AX$116))*'Equipment List &amp; Usage'!$C$115)+IF('Equipment List &amp; Usage'!$F22="yes",'Equipment List &amp; Usage'!$C$114,'Equipment List &amp; Usage'!$C$115)*(('Weekly Summary'!AX$66*'Equipment List &amp; Usage'!$Q23)+('Weekly Summary'!AX$64*'Equipment List &amp; Usage'!$O23)+('Weekly Summary'!AX$65*'Equipment List &amp; Usage'!$P23)))+(IF('Equipment List &amp; Usage'!$F23="Yes",'Equipment List &amp; Usage'!$C$114*((('Weekly Summary'!AX$131*SelfQuarantine_Mild)+('Weekly Summary'!AX$100*SelfQuarantine_Mild)+('Weekly Summary'!AX$101*SelfQuarantine_Moderate))),'Equipment List &amp; Usage'!$C$115)*((('Weekly Summary'!AX$131*SelfQuarantine_Mild*'Equipment List &amp; Usage'!$W23)+('Weekly Summary'!AX$100*SelfQuarantine_Mild*'Equipment List &amp; Usage'!$X23)+('Weekly Summary'!AX$101*SelfQuarantine_Moderate*'Equipment List &amp; Usage'!$X23)))+IF('Equipment List &amp; Usage'!$F23="Yes",'Equipment List &amp; Usage'!$C$114*(IF('Equipment List &amp; Usage'!$AA23&gt;0,'Weekly Summary'!AX$128,0)+IF('Equipment List &amp; Usage'!$AB23&gt;0,'Weekly Summary'!AX$100+'Weekly Summary'!AX$101,0)),'Equipment List &amp; Usage'!$C$115*(('Weekly Summary'!AX$128*'Equipment List &amp; Usage'!$AA23)+('Weekly Summary'!AX$100*'Equipment List &amp; Usage'!$AB23*SelfQuarantine_Mild)+('Weekly Summary'!AX$101*'Equipment List &amp; Usage'!$AB23*SelfQuarantine_Moderate)))+IF('Equipment List &amp; Usage'!$F23="Yes",('Equipment List &amp; Usage'!$C$114*(IF('Equipment List &amp; Usage'!$AE23&gt;0,'Weekly Summary'!AX$134,0)+IF('Equipment List &amp; Usage'!$AF23&gt;0,'Weekly Summary'!AX$135))),'Equipment List &amp; Usage'!$C$115*(('Weekly Summary'!AX$134*'Equipment List &amp; Usage'!$AE23)+('Weekly Summary'!AX$135*'Equipment List &amp; Usage'!$AF23))))-SUM($I21:BC21),
IF($F21="yes",MMULT(--('Equipment List &amp; Usage'!$J23:$N23&gt;0),--('Weekly Summary'!AX$112:AX$116))*'Equipment List &amp; Usage'!$C$114,MMULT(--('Equipment List &amp; Usage'!$J23:$N23),--('Weekly Summary'!AX$112:AX$116))*'Equipment List &amp; Usage'!$C$115)+IF('Equipment List &amp; Usage'!$F22="yes",'Equipment List &amp; Usage'!$C$114,'Equipment List &amp; Usage'!$C$115)*(('Weekly Summary'!AX$66*'Equipment List &amp; Usage'!$Q23)+('Weekly Summary'!AX$64*'Equipment List &amp; Usage'!$O23)+('Weekly Summary'!AX$65*'Equipment List &amp; Usage'!$P23))+(IF('Equipment List &amp; Usage'!$F23="Yes",'Equipment List &amp; Usage'!$C$114*((('Weekly Summary'!AX$131*SelfQuarantine_Mild)+('Weekly Summary'!AX$100*SelfQuarantine_Mild)+('Weekly Summary'!AX$101*SelfQuarantine_Moderate))),'Equipment List &amp; Usage'!$C$115)*((('Weekly Summary'!AX$131*SelfQuarantine_Mild*'Equipment List &amp; Usage'!$W23)+('Weekly Summary'!AX$100*SelfQuarantine_Mild*'Equipment List &amp; Usage'!$X23)+('Weekly Summary'!AX$101*SelfQuarantine_Moderate*'Equipment List &amp; Usage'!$X23))))+IF('Equipment List &amp; Usage'!$F23="Yes",'Equipment List &amp; Usage'!$C$114*(IF('Equipment List &amp; Usage'!$AA23&gt;0,'Weekly Summary'!AX$128,0)+IF('Equipment List &amp; Usage'!$AB23&gt;0,'Weekly Summary'!AX$100+'Weekly Summary'!AX$101,0)),'Equipment List &amp; Usage'!$C$115*(('Weekly Summary'!AX$128*'Equipment List &amp; Usage'!$AA23)+('Weekly Summary'!AX$100*'Equipment List &amp; Usage'!$AB23*SelfQuarantine_Mild)+('Weekly Summary'!AX$101*'Equipment List &amp; Usage'!$AB23*SelfQuarantine_Moderate)))+IF('Equipment List &amp; Usage'!$F23="Yes",('Equipment List &amp; Usage'!$C$114*(IF('Equipment List &amp; Usage'!$AE23&gt;0,'Weekly Summary'!AX$134,0)+IF('Equipment List &amp; Usage'!$AF23&gt;0,'Weekly Summary'!AX$135))),'Equipment List &amp; Usage'!$C$115*(('Weekly Summary'!AX$134*'Equipment List &amp; Usage'!$AE23)+('Weekly Summary'!AX$135*'Equipment List &amp; Usage'!$AF23)))),0)</f>
        <v>0</v>
      </c>
      <c r="BE21" s="1374">
        <f ca="1">MAX(IF($F21="Yes",(
IF($F21="yes",MMULT(--('Equipment List &amp; Usage'!$J23:$N23&gt;0),--('Weekly Summary'!AY$112:AY$116))*'Equipment List &amp; Usage'!$C$114,MMULT(--('Equipment List &amp; Usage'!$J23:$N23),--('Weekly Summary'!AY$112:AY$116))*'Equipment List &amp; Usage'!$C$115)+IF('Equipment List &amp; Usage'!$F22="yes",'Equipment List &amp; Usage'!$C$114,'Equipment List &amp; Usage'!$C$115)*(('Weekly Summary'!AY$66*'Equipment List &amp; Usage'!$Q23)+('Weekly Summary'!AY$64*'Equipment List &amp; Usage'!$O23)+('Weekly Summary'!AY$65*'Equipment List &amp; Usage'!$P23)))+(IF('Equipment List &amp; Usage'!$F23="Yes",'Equipment List &amp; Usage'!$C$114*((('Weekly Summary'!AY$131*SelfQuarantine_Mild)+('Weekly Summary'!AY$100*SelfQuarantine_Mild)+('Weekly Summary'!AY$101*SelfQuarantine_Moderate))),'Equipment List &amp; Usage'!$C$115)*((('Weekly Summary'!AY$131*SelfQuarantine_Mild*'Equipment List &amp; Usage'!$W23)+('Weekly Summary'!AY$100*SelfQuarantine_Mild*'Equipment List &amp; Usage'!$X23)+('Weekly Summary'!AY$101*SelfQuarantine_Moderate*'Equipment List &amp; Usage'!$X23)))+IF('Equipment List &amp; Usage'!$F23="Yes",'Equipment List &amp; Usage'!$C$114*(IF('Equipment List &amp; Usage'!$AA23&gt;0,'Weekly Summary'!AY$128,0)+IF('Equipment List &amp; Usage'!$AB23&gt;0,'Weekly Summary'!AY$100+'Weekly Summary'!AY$101,0)),'Equipment List &amp; Usage'!$C$115*(('Weekly Summary'!AY$128*'Equipment List &amp; Usage'!$AA23)+('Weekly Summary'!AY$100*'Equipment List &amp; Usage'!$AB23*SelfQuarantine_Mild)+('Weekly Summary'!AY$101*'Equipment List &amp; Usage'!$AB23*SelfQuarantine_Moderate)))+IF('Equipment List &amp; Usage'!$F23="Yes",('Equipment List &amp; Usage'!$C$114*(IF('Equipment List &amp; Usage'!$AE23&gt;0,'Weekly Summary'!AY$134,0)+IF('Equipment List &amp; Usage'!$AF23&gt;0,'Weekly Summary'!AY$135))),'Equipment List &amp; Usage'!$C$115*(('Weekly Summary'!AY$134*'Equipment List &amp; Usage'!$AE23)+('Weekly Summary'!AY$135*'Equipment List &amp; Usage'!$AF23))))-SUM($I21:BD21),
IF($F21="yes",MMULT(--('Equipment List &amp; Usage'!$J23:$N23&gt;0),--('Weekly Summary'!AY$112:AY$116))*'Equipment List &amp; Usage'!$C$114,MMULT(--('Equipment List &amp; Usage'!$J23:$N23),--('Weekly Summary'!AY$112:AY$116))*'Equipment List &amp; Usage'!$C$115)+IF('Equipment List &amp; Usage'!$F22="yes",'Equipment List &amp; Usage'!$C$114,'Equipment List &amp; Usage'!$C$115)*(('Weekly Summary'!AY$66*'Equipment List &amp; Usage'!$Q23)+('Weekly Summary'!AY$64*'Equipment List &amp; Usage'!$O23)+('Weekly Summary'!AY$65*'Equipment List &amp; Usage'!$P23))+(IF('Equipment List &amp; Usage'!$F23="Yes",'Equipment List &amp; Usage'!$C$114*((('Weekly Summary'!AY$131*SelfQuarantine_Mild)+('Weekly Summary'!AY$100*SelfQuarantine_Mild)+('Weekly Summary'!AY$101*SelfQuarantine_Moderate))),'Equipment List &amp; Usage'!$C$115)*((('Weekly Summary'!AY$131*SelfQuarantine_Mild*'Equipment List &amp; Usage'!$W23)+('Weekly Summary'!AY$100*SelfQuarantine_Mild*'Equipment List &amp; Usage'!$X23)+('Weekly Summary'!AY$101*SelfQuarantine_Moderate*'Equipment List &amp; Usage'!$X23))))+IF('Equipment List &amp; Usage'!$F23="Yes",'Equipment List &amp; Usage'!$C$114*(IF('Equipment List &amp; Usage'!$AA23&gt;0,'Weekly Summary'!AY$128,0)+IF('Equipment List &amp; Usage'!$AB23&gt;0,'Weekly Summary'!AY$100+'Weekly Summary'!AY$101,0)),'Equipment List &amp; Usage'!$C$115*(('Weekly Summary'!AY$128*'Equipment List &amp; Usage'!$AA23)+('Weekly Summary'!AY$100*'Equipment List &amp; Usage'!$AB23*SelfQuarantine_Mild)+('Weekly Summary'!AY$101*'Equipment List &amp; Usage'!$AB23*SelfQuarantine_Moderate)))+IF('Equipment List &amp; Usage'!$F23="Yes",('Equipment List &amp; Usage'!$C$114*(IF('Equipment List &amp; Usage'!$AE23&gt;0,'Weekly Summary'!AY$134,0)+IF('Equipment List &amp; Usage'!$AF23&gt;0,'Weekly Summary'!AY$135))),'Equipment List &amp; Usage'!$C$115*(('Weekly Summary'!AY$134*'Equipment List &amp; Usage'!$AE23)+('Weekly Summary'!AY$135*'Equipment List &amp; Usage'!$AF23)))),0)</f>
        <v>0</v>
      </c>
      <c r="BF21" s="1374">
        <f ca="1">MAX(IF($F21="Yes",(
IF($F21="yes",MMULT(--('Equipment List &amp; Usage'!$J23:$N23&gt;0),--('Weekly Summary'!AZ$112:AZ$116))*'Equipment List &amp; Usage'!$C$114,MMULT(--('Equipment List &amp; Usage'!$J23:$N23),--('Weekly Summary'!AZ$112:AZ$116))*'Equipment List &amp; Usage'!$C$115)+IF('Equipment List &amp; Usage'!$F22="yes",'Equipment List &amp; Usage'!$C$114,'Equipment List &amp; Usage'!$C$115)*(('Weekly Summary'!AZ$66*'Equipment List &amp; Usage'!$Q23)+('Weekly Summary'!AZ$64*'Equipment List &amp; Usage'!$O23)+('Weekly Summary'!AZ$65*'Equipment List &amp; Usage'!$P23)))+(IF('Equipment List &amp; Usage'!$F23="Yes",'Equipment List &amp; Usage'!$C$114*((('Weekly Summary'!AZ$131*SelfQuarantine_Mild)+('Weekly Summary'!AZ$100*SelfQuarantine_Mild)+('Weekly Summary'!AZ$101*SelfQuarantine_Moderate))),'Equipment List &amp; Usage'!$C$115)*((('Weekly Summary'!AZ$131*SelfQuarantine_Mild*'Equipment List &amp; Usage'!$W23)+('Weekly Summary'!AZ$100*SelfQuarantine_Mild*'Equipment List &amp; Usage'!$X23)+('Weekly Summary'!AZ$101*SelfQuarantine_Moderate*'Equipment List &amp; Usage'!$X23)))+IF('Equipment List &amp; Usage'!$F23="Yes",'Equipment List &amp; Usage'!$C$114*(IF('Equipment List &amp; Usage'!$AA23&gt;0,'Weekly Summary'!AZ$128,0)+IF('Equipment List &amp; Usage'!$AB23&gt;0,'Weekly Summary'!AZ$100+'Weekly Summary'!AZ$101,0)),'Equipment List &amp; Usage'!$C$115*(('Weekly Summary'!AZ$128*'Equipment List &amp; Usage'!$AA23)+('Weekly Summary'!AZ$100*'Equipment List &amp; Usage'!$AB23*SelfQuarantine_Mild)+('Weekly Summary'!AZ$101*'Equipment List &amp; Usage'!$AB23*SelfQuarantine_Moderate)))+IF('Equipment List &amp; Usage'!$F23="Yes",('Equipment List &amp; Usage'!$C$114*(IF('Equipment List &amp; Usage'!$AE23&gt;0,'Weekly Summary'!AZ$134,0)+IF('Equipment List &amp; Usage'!$AF23&gt;0,'Weekly Summary'!AZ$135))),'Equipment List &amp; Usage'!$C$115*(('Weekly Summary'!AZ$134*'Equipment List &amp; Usage'!$AE23)+('Weekly Summary'!AZ$135*'Equipment List &amp; Usage'!$AF23))))-SUM($I21:BE21),
IF($F21="yes",MMULT(--('Equipment List &amp; Usage'!$J23:$N23&gt;0),--('Weekly Summary'!AZ$112:AZ$116))*'Equipment List &amp; Usage'!$C$114,MMULT(--('Equipment List &amp; Usage'!$J23:$N23),--('Weekly Summary'!AZ$112:AZ$116))*'Equipment List &amp; Usage'!$C$115)+IF('Equipment List &amp; Usage'!$F22="yes",'Equipment List &amp; Usage'!$C$114,'Equipment List &amp; Usage'!$C$115)*(('Weekly Summary'!AZ$66*'Equipment List &amp; Usage'!$Q23)+('Weekly Summary'!AZ$64*'Equipment List &amp; Usage'!$O23)+('Weekly Summary'!AZ$65*'Equipment List &amp; Usage'!$P23))+(IF('Equipment List &amp; Usage'!$F23="Yes",'Equipment List &amp; Usage'!$C$114*((('Weekly Summary'!AZ$131*SelfQuarantine_Mild)+('Weekly Summary'!AZ$100*SelfQuarantine_Mild)+('Weekly Summary'!AZ$101*SelfQuarantine_Moderate))),'Equipment List &amp; Usage'!$C$115)*((('Weekly Summary'!AZ$131*SelfQuarantine_Mild*'Equipment List &amp; Usage'!$W23)+('Weekly Summary'!AZ$100*SelfQuarantine_Mild*'Equipment List &amp; Usage'!$X23)+('Weekly Summary'!AZ$101*SelfQuarantine_Moderate*'Equipment List &amp; Usage'!$X23))))+IF('Equipment List &amp; Usage'!$F23="Yes",'Equipment List &amp; Usage'!$C$114*(IF('Equipment List &amp; Usage'!$AA23&gt;0,'Weekly Summary'!AZ$128,0)+IF('Equipment List &amp; Usage'!$AB23&gt;0,'Weekly Summary'!AZ$100+'Weekly Summary'!AZ$101,0)),'Equipment List &amp; Usage'!$C$115*(('Weekly Summary'!AZ$128*'Equipment List &amp; Usage'!$AA23)+('Weekly Summary'!AZ$100*'Equipment List &amp; Usage'!$AB23*SelfQuarantine_Mild)+('Weekly Summary'!AZ$101*'Equipment List &amp; Usage'!$AB23*SelfQuarantine_Moderate)))+IF('Equipment List &amp; Usage'!$F23="Yes",('Equipment List &amp; Usage'!$C$114*(IF('Equipment List &amp; Usage'!$AE23&gt;0,'Weekly Summary'!AZ$134,0)+IF('Equipment List &amp; Usage'!$AF23&gt;0,'Weekly Summary'!AZ$135))),'Equipment List &amp; Usage'!$C$115*(('Weekly Summary'!AZ$134*'Equipment List &amp; Usage'!$AE23)+('Weekly Summary'!AZ$135*'Equipment List &amp; Usage'!$AF23)))),0)</f>
        <v>0</v>
      </c>
      <c r="BG21" s="1374">
        <f ca="1">MAX(IF($F21="Yes",(
IF($F21="yes",MMULT(--('Equipment List &amp; Usage'!$J23:$N23&gt;0),--('Weekly Summary'!BA$112:BA$116))*'Equipment List &amp; Usage'!$C$114,MMULT(--('Equipment List &amp; Usage'!$J23:$N23),--('Weekly Summary'!BA$112:BA$116))*'Equipment List &amp; Usage'!$C$115)+IF('Equipment List &amp; Usage'!$F22="yes",'Equipment List &amp; Usage'!$C$114,'Equipment List &amp; Usage'!$C$115)*(('Weekly Summary'!BA$66*'Equipment List &amp; Usage'!$Q23)+('Weekly Summary'!BA$64*'Equipment List &amp; Usage'!$O23)+('Weekly Summary'!BA$65*'Equipment List &amp; Usage'!$P23)))+(IF('Equipment List &amp; Usage'!$F23="Yes",'Equipment List &amp; Usage'!$C$114*((('Weekly Summary'!BA$131*SelfQuarantine_Mild)+('Weekly Summary'!BA$100*SelfQuarantine_Mild)+('Weekly Summary'!BA$101*SelfQuarantine_Moderate))),'Equipment List &amp; Usage'!$C$115)*((('Weekly Summary'!BA$131*SelfQuarantine_Mild*'Equipment List &amp; Usage'!$W23)+('Weekly Summary'!BA$100*SelfQuarantine_Mild*'Equipment List &amp; Usage'!$X23)+('Weekly Summary'!BA$101*SelfQuarantine_Moderate*'Equipment List &amp; Usage'!$X23)))+IF('Equipment List &amp; Usage'!$F23="Yes",'Equipment List &amp; Usage'!$C$114*(IF('Equipment List &amp; Usage'!$AA23&gt;0,'Weekly Summary'!BA$128,0)+IF('Equipment List &amp; Usage'!$AB23&gt;0,'Weekly Summary'!BA$100+'Weekly Summary'!BA$101,0)),'Equipment List &amp; Usage'!$C$115*(('Weekly Summary'!BA$128*'Equipment List &amp; Usage'!$AA23)+('Weekly Summary'!BA$100*'Equipment List &amp; Usage'!$AB23*SelfQuarantine_Mild)+('Weekly Summary'!BA$101*'Equipment List &amp; Usage'!$AB23*SelfQuarantine_Moderate)))+IF('Equipment List &amp; Usage'!$F23="Yes",('Equipment List &amp; Usage'!$C$114*(IF('Equipment List &amp; Usage'!$AE23&gt;0,'Weekly Summary'!BA$134,0)+IF('Equipment List &amp; Usage'!$AF23&gt;0,'Weekly Summary'!BA$135))),'Equipment List &amp; Usage'!$C$115*(('Weekly Summary'!BA$134*'Equipment List &amp; Usage'!$AE23)+('Weekly Summary'!BA$135*'Equipment List &amp; Usage'!$AF23))))-SUM($I21:BF21),
IF($F21="yes",MMULT(--('Equipment List &amp; Usage'!$J23:$N23&gt;0),--('Weekly Summary'!BA$112:BA$116))*'Equipment List &amp; Usage'!$C$114,MMULT(--('Equipment List &amp; Usage'!$J23:$N23),--('Weekly Summary'!BA$112:BA$116))*'Equipment List &amp; Usage'!$C$115)+IF('Equipment List &amp; Usage'!$F22="yes",'Equipment List &amp; Usage'!$C$114,'Equipment List &amp; Usage'!$C$115)*(('Weekly Summary'!BA$66*'Equipment List &amp; Usage'!$Q23)+('Weekly Summary'!BA$64*'Equipment List &amp; Usage'!$O23)+('Weekly Summary'!BA$65*'Equipment List &amp; Usage'!$P23))+(IF('Equipment List &amp; Usage'!$F23="Yes",'Equipment List &amp; Usage'!$C$114*((('Weekly Summary'!BA$131*SelfQuarantine_Mild)+('Weekly Summary'!BA$100*SelfQuarantine_Mild)+('Weekly Summary'!BA$101*SelfQuarantine_Moderate))),'Equipment List &amp; Usage'!$C$115)*((('Weekly Summary'!BA$131*SelfQuarantine_Mild*'Equipment List &amp; Usage'!$W23)+('Weekly Summary'!BA$100*SelfQuarantine_Mild*'Equipment List &amp; Usage'!$X23)+('Weekly Summary'!BA$101*SelfQuarantine_Moderate*'Equipment List &amp; Usage'!$X23))))+IF('Equipment List &amp; Usage'!$F23="Yes",'Equipment List &amp; Usage'!$C$114*(IF('Equipment List &amp; Usage'!$AA23&gt;0,'Weekly Summary'!BA$128,0)+IF('Equipment List &amp; Usage'!$AB23&gt;0,'Weekly Summary'!BA$100+'Weekly Summary'!BA$101,0)),'Equipment List &amp; Usage'!$C$115*(('Weekly Summary'!BA$128*'Equipment List &amp; Usage'!$AA23)+('Weekly Summary'!BA$100*'Equipment List &amp; Usage'!$AB23*SelfQuarantine_Mild)+('Weekly Summary'!BA$101*'Equipment List &amp; Usage'!$AB23*SelfQuarantine_Moderate)))+IF('Equipment List &amp; Usage'!$F23="Yes",('Equipment List &amp; Usage'!$C$114*(IF('Equipment List &amp; Usage'!$AE23&gt;0,'Weekly Summary'!BA$134,0)+IF('Equipment List &amp; Usage'!$AF23&gt;0,'Weekly Summary'!BA$135))),'Equipment List &amp; Usage'!$C$115*(('Weekly Summary'!BA$134*'Equipment List &amp; Usage'!$AE23)+('Weekly Summary'!BA$135*'Equipment List &amp; Usage'!$AF23)))),0)</f>
        <v>0</v>
      </c>
      <c r="BH21" s="1374">
        <f ca="1">MAX(IF($F21="Yes",(
IF($F21="yes",MMULT(--('Equipment List &amp; Usage'!$J23:$N23&gt;0),--('Weekly Summary'!BB$112:BB$116))*'Equipment List &amp; Usage'!$C$114,MMULT(--('Equipment List &amp; Usage'!$J23:$N23),--('Weekly Summary'!BB$112:BB$116))*'Equipment List &amp; Usage'!$C$115)+IF('Equipment List &amp; Usage'!$F22="yes",'Equipment List &amp; Usage'!$C$114,'Equipment List &amp; Usage'!$C$115)*(('Weekly Summary'!BB$66*'Equipment List &amp; Usage'!$Q23)+('Weekly Summary'!BB$64*'Equipment List &amp; Usage'!$O23)+('Weekly Summary'!BB$65*'Equipment List &amp; Usage'!$P23)))+(IF('Equipment List &amp; Usage'!$F23="Yes",'Equipment List &amp; Usage'!$C$114*((('Weekly Summary'!BB$131*SelfQuarantine_Mild)+('Weekly Summary'!BB$100*SelfQuarantine_Mild)+('Weekly Summary'!BB$101*SelfQuarantine_Moderate))),'Equipment List &amp; Usage'!$C$115)*((('Weekly Summary'!BB$131*SelfQuarantine_Mild*'Equipment List &amp; Usage'!$W23)+('Weekly Summary'!BB$100*SelfQuarantine_Mild*'Equipment List &amp; Usage'!$X23)+('Weekly Summary'!BB$101*SelfQuarantine_Moderate*'Equipment List &amp; Usage'!$X23)))+IF('Equipment List &amp; Usage'!$F23="Yes",'Equipment List &amp; Usage'!$C$114*(IF('Equipment List &amp; Usage'!$AA23&gt;0,'Weekly Summary'!BB$128,0)+IF('Equipment List &amp; Usage'!$AB23&gt;0,'Weekly Summary'!BB$100+'Weekly Summary'!BB$101,0)),'Equipment List &amp; Usage'!$C$115*(('Weekly Summary'!BB$128*'Equipment List &amp; Usage'!$AA23)+('Weekly Summary'!BB$100*'Equipment List &amp; Usage'!$AB23*SelfQuarantine_Mild)+('Weekly Summary'!BB$101*'Equipment List &amp; Usage'!$AB23*SelfQuarantine_Moderate)))+IF('Equipment List &amp; Usage'!$F23="Yes",('Equipment List &amp; Usage'!$C$114*(IF('Equipment List &amp; Usage'!$AE23&gt;0,'Weekly Summary'!BB$134,0)+IF('Equipment List &amp; Usage'!$AF23&gt;0,'Weekly Summary'!BB$135))),'Equipment List &amp; Usage'!$C$115*(('Weekly Summary'!BB$134*'Equipment List &amp; Usage'!$AE23)+('Weekly Summary'!BB$135*'Equipment List &amp; Usage'!$AF23))))-SUM($I21:BG21),
IF($F21="yes",MMULT(--('Equipment List &amp; Usage'!$J23:$N23&gt;0),--('Weekly Summary'!BB$112:BB$116))*'Equipment List &amp; Usage'!$C$114,MMULT(--('Equipment List &amp; Usage'!$J23:$N23),--('Weekly Summary'!BB$112:BB$116))*'Equipment List &amp; Usage'!$C$115)+IF('Equipment List &amp; Usage'!$F22="yes",'Equipment List &amp; Usage'!$C$114,'Equipment List &amp; Usage'!$C$115)*(('Weekly Summary'!BB$66*'Equipment List &amp; Usage'!$Q23)+('Weekly Summary'!BB$64*'Equipment List &amp; Usage'!$O23)+('Weekly Summary'!BB$65*'Equipment List &amp; Usage'!$P23))+(IF('Equipment List &amp; Usage'!$F23="Yes",'Equipment List &amp; Usage'!$C$114*((('Weekly Summary'!BB$131*SelfQuarantine_Mild)+('Weekly Summary'!BB$100*SelfQuarantine_Mild)+('Weekly Summary'!BB$101*SelfQuarantine_Moderate))),'Equipment List &amp; Usage'!$C$115)*((('Weekly Summary'!BB$131*SelfQuarantine_Mild*'Equipment List &amp; Usage'!$W23)+('Weekly Summary'!BB$100*SelfQuarantine_Mild*'Equipment List &amp; Usage'!$X23)+('Weekly Summary'!BB$101*SelfQuarantine_Moderate*'Equipment List &amp; Usage'!$X23))))+IF('Equipment List &amp; Usage'!$F23="Yes",'Equipment List &amp; Usage'!$C$114*(IF('Equipment List &amp; Usage'!$AA23&gt;0,'Weekly Summary'!BB$128,0)+IF('Equipment List &amp; Usage'!$AB23&gt;0,'Weekly Summary'!BB$100+'Weekly Summary'!BB$101,0)),'Equipment List &amp; Usage'!$C$115*(('Weekly Summary'!BB$128*'Equipment List &amp; Usage'!$AA23)+('Weekly Summary'!BB$100*'Equipment List &amp; Usage'!$AB23*SelfQuarantine_Mild)+('Weekly Summary'!BB$101*'Equipment List &amp; Usage'!$AB23*SelfQuarantine_Moderate)))+IF('Equipment List &amp; Usage'!$F23="Yes",('Equipment List &amp; Usage'!$C$114*(IF('Equipment List &amp; Usage'!$AE23&gt;0,'Weekly Summary'!BB$134,0)+IF('Equipment List &amp; Usage'!$AF23&gt;0,'Weekly Summary'!BB$135))),'Equipment List &amp; Usage'!$C$115*(('Weekly Summary'!BB$134*'Equipment List &amp; Usage'!$AE23)+('Weekly Summary'!BB$135*'Equipment List &amp; Usage'!$AF23)))),0)</f>
        <v>0</v>
      </c>
      <c r="BI21" s="1374">
        <f ca="1">MAX(IF($F21="Yes",(
IF($F21="yes",MMULT(--('Equipment List &amp; Usage'!$J23:$N23&gt;0),--('Weekly Summary'!BC$112:BC$116))*'Equipment List &amp; Usage'!$C$114,MMULT(--('Equipment List &amp; Usage'!$J23:$N23),--('Weekly Summary'!BC$112:BC$116))*'Equipment List &amp; Usage'!$C$115)+IF('Equipment List &amp; Usage'!$F22="yes",'Equipment List &amp; Usage'!$C$114,'Equipment List &amp; Usage'!$C$115)*(('Weekly Summary'!BC$66*'Equipment List &amp; Usage'!$Q23)+('Weekly Summary'!BC$64*'Equipment List &amp; Usage'!$O23)+('Weekly Summary'!BC$65*'Equipment List &amp; Usage'!$P23)))+(IF('Equipment List &amp; Usage'!$F23="Yes",'Equipment List &amp; Usage'!$C$114*((('Weekly Summary'!BC$131*SelfQuarantine_Mild)+('Weekly Summary'!BC$100*SelfQuarantine_Mild)+('Weekly Summary'!BC$101*SelfQuarantine_Moderate))),'Equipment List &amp; Usage'!$C$115)*((('Weekly Summary'!BC$131*SelfQuarantine_Mild*'Equipment List &amp; Usage'!$W23)+('Weekly Summary'!BC$100*SelfQuarantine_Mild*'Equipment List &amp; Usage'!$X23)+('Weekly Summary'!BC$101*SelfQuarantine_Moderate*'Equipment List &amp; Usage'!$X23)))+IF('Equipment List &amp; Usage'!$F23="Yes",'Equipment List &amp; Usage'!$C$114*(IF('Equipment List &amp; Usage'!$AA23&gt;0,'Weekly Summary'!BC$128,0)+IF('Equipment List &amp; Usage'!$AB23&gt;0,'Weekly Summary'!BC$100+'Weekly Summary'!BC$101,0)),'Equipment List &amp; Usage'!$C$115*(('Weekly Summary'!BC$128*'Equipment List &amp; Usage'!$AA23)+('Weekly Summary'!BC$100*'Equipment List &amp; Usage'!$AB23*SelfQuarantine_Mild)+('Weekly Summary'!BC$101*'Equipment List &amp; Usage'!$AB23*SelfQuarantine_Moderate)))+IF('Equipment List &amp; Usage'!$F23="Yes",('Equipment List &amp; Usage'!$C$114*(IF('Equipment List &amp; Usage'!$AE23&gt;0,'Weekly Summary'!BC$134,0)+IF('Equipment List &amp; Usage'!$AF23&gt;0,'Weekly Summary'!BC$135))),'Equipment List &amp; Usage'!$C$115*(('Weekly Summary'!BC$134*'Equipment List &amp; Usage'!$AE23)+('Weekly Summary'!BC$135*'Equipment List &amp; Usage'!$AF23))))-SUM($I21:BH21),
IF($F21="yes",MMULT(--('Equipment List &amp; Usage'!$J23:$N23&gt;0),--('Weekly Summary'!BC$112:BC$116))*'Equipment List &amp; Usage'!$C$114,MMULT(--('Equipment List &amp; Usage'!$J23:$N23),--('Weekly Summary'!BC$112:BC$116))*'Equipment List &amp; Usage'!$C$115)+IF('Equipment List &amp; Usage'!$F22="yes",'Equipment List &amp; Usage'!$C$114,'Equipment List &amp; Usage'!$C$115)*(('Weekly Summary'!BC$66*'Equipment List &amp; Usage'!$Q23)+('Weekly Summary'!BC$64*'Equipment List &amp; Usage'!$O23)+('Weekly Summary'!BC$65*'Equipment List &amp; Usage'!$P23))+(IF('Equipment List &amp; Usage'!$F23="Yes",'Equipment List &amp; Usage'!$C$114*((('Weekly Summary'!BC$131*SelfQuarantine_Mild)+('Weekly Summary'!BC$100*SelfQuarantine_Mild)+('Weekly Summary'!BC$101*SelfQuarantine_Moderate))),'Equipment List &amp; Usage'!$C$115)*((('Weekly Summary'!BC$131*SelfQuarantine_Mild*'Equipment List &amp; Usage'!$W23)+('Weekly Summary'!BC$100*SelfQuarantine_Mild*'Equipment List &amp; Usage'!$X23)+('Weekly Summary'!BC$101*SelfQuarantine_Moderate*'Equipment List &amp; Usage'!$X23))))+IF('Equipment List &amp; Usage'!$F23="Yes",'Equipment List &amp; Usage'!$C$114*(IF('Equipment List &amp; Usage'!$AA23&gt;0,'Weekly Summary'!BC$128,0)+IF('Equipment List &amp; Usage'!$AB23&gt;0,'Weekly Summary'!BC$100+'Weekly Summary'!BC$101,0)),'Equipment List &amp; Usage'!$C$115*(('Weekly Summary'!BC$128*'Equipment List &amp; Usage'!$AA23)+('Weekly Summary'!BC$100*'Equipment List &amp; Usage'!$AB23*SelfQuarantine_Mild)+('Weekly Summary'!BC$101*'Equipment List &amp; Usage'!$AB23*SelfQuarantine_Moderate)))+IF('Equipment List &amp; Usage'!$F23="Yes",('Equipment List &amp; Usage'!$C$114*(IF('Equipment List &amp; Usage'!$AE23&gt;0,'Weekly Summary'!BC$134,0)+IF('Equipment List &amp; Usage'!$AF23&gt;0,'Weekly Summary'!BC$135))),'Equipment List &amp; Usage'!$C$115*(('Weekly Summary'!BC$134*'Equipment List &amp; Usage'!$AE23)+('Weekly Summary'!BC$135*'Equipment List &amp; Usage'!$AF23)))),0)</f>
        <v>0</v>
      </c>
      <c r="BJ21" s="1377">
        <f ca="1">MAX(IF($F21="Yes",(
IF($F21="yes",MMULT(--('Equipment List &amp; Usage'!$J23:$N23&gt;0),--('Weekly Summary'!BD$112:BD$116))*'Equipment List &amp; Usage'!$C$114,MMULT(--('Equipment List &amp; Usage'!$J23:$N23),--('Weekly Summary'!BD$112:BD$116))*'Equipment List &amp; Usage'!$C$115)+IF('Equipment List &amp; Usage'!$F22="yes",'Equipment List &amp; Usage'!$C$114,'Equipment List &amp; Usage'!$C$115)*(('Weekly Summary'!BD$66*'Equipment List &amp; Usage'!$Q23)+('Weekly Summary'!BD$64*'Equipment List &amp; Usage'!$O23)+('Weekly Summary'!BD$65*'Equipment List &amp; Usage'!$P23)))+(IF('Equipment List &amp; Usage'!$F23="Yes",'Equipment List &amp; Usage'!$C$114*((('Weekly Summary'!BD$131*SelfQuarantine_Mild)+('Weekly Summary'!BD$100*SelfQuarantine_Mild)+('Weekly Summary'!BD$101*SelfQuarantine_Moderate))),'Equipment List &amp; Usage'!$C$115)*((('Weekly Summary'!BD$131*SelfQuarantine_Mild*'Equipment List &amp; Usage'!$W23)+('Weekly Summary'!BD$100*SelfQuarantine_Mild*'Equipment List &amp; Usage'!$X23)+('Weekly Summary'!BD$101*SelfQuarantine_Moderate*'Equipment List &amp; Usage'!$X23)))+IF('Equipment List &amp; Usage'!$F23="Yes",'Equipment List &amp; Usage'!$C$114*(IF('Equipment List &amp; Usage'!$AA23&gt;0,'Weekly Summary'!BD$128,0)+IF('Equipment List &amp; Usage'!$AB23&gt;0,'Weekly Summary'!BD$100+'Weekly Summary'!BD$101,0)),'Equipment List &amp; Usage'!$C$115*(('Weekly Summary'!BD$128*'Equipment List &amp; Usage'!$AA23)+('Weekly Summary'!BD$100*'Equipment List &amp; Usage'!$AB23*SelfQuarantine_Mild)+('Weekly Summary'!BD$101*'Equipment List &amp; Usage'!$AB23*SelfQuarantine_Moderate)))+IF('Equipment List &amp; Usage'!$F23="Yes",('Equipment List &amp; Usage'!$C$114*(IF('Equipment List &amp; Usage'!$AE23&gt;0,'Weekly Summary'!BD$134,0)+IF('Equipment List &amp; Usage'!$AF23&gt;0,'Weekly Summary'!BD$135))),'Equipment List &amp; Usage'!$C$115*(('Weekly Summary'!BD$134*'Equipment List &amp; Usage'!$AE23)+('Weekly Summary'!BD$135*'Equipment List &amp; Usage'!$AF23))))-SUM($I21:BI21),
IF($F21="yes",MMULT(--('Equipment List &amp; Usage'!$J23:$N23&gt;0),--('Weekly Summary'!BD$112:BD$116))*'Equipment List &amp; Usage'!$C$114,MMULT(--('Equipment List &amp; Usage'!$J23:$N23),--('Weekly Summary'!BD$112:BD$116))*'Equipment List &amp; Usage'!$C$115)+IF('Equipment List &amp; Usage'!$F22="yes",'Equipment List &amp; Usage'!$C$114,'Equipment List &amp; Usage'!$C$115)*(('Weekly Summary'!BD$66*'Equipment List &amp; Usage'!$Q23)+('Weekly Summary'!BD$64*'Equipment List &amp; Usage'!$O23)+('Weekly Summary'!BD$65*'Equipment List &amp; Usage'!$P23))+(IF('Equipment List &amp; Usage'!$F23="Yes",'Equipment List &amp; Usage'!$C$114*((('Weekly Summary'!BD$131*SelfQuarantine_Mild)+('Weekly Summary'!BD$100*SelfQuarantine_Mild)+('Weekly Summary'!BD$101*SelfQuarantine_Moderate))),'Equipment List &amp; Usage'!$C$115)*((('Weekly Summary'!BD$131*SelfQuarantine_Mild*'Equipment List &amp; Usage'!$W23)+('Weekly Summary'!BD$100*SelfQuarantine_Mild*'Equipment List &amp; Usage'!$X23)+('Weekly Summary'!BD$101*SelfQuarantine_Moderate*'Equipment List &amp; Usage'!$X23))))+IF('Equipment List &amp; Usage'!$F23="Yes",'Equipment List &amp; Usage'!$C$114*(IF('Equipment List &amp; Usage'!$AA23&gt;0,'Weekly Summary'!BD$128,0)+IF('Equipment List &amp; Usage'!$AB23&gt;0,'Weekly Summary'!BD$100+'Weekly Summary'!BD$101,0)),'Equipment List &amp; Usage'!$C$115*(('Weekly Summary'!BD$128*'Equipment List &amp; Usage'!$AA23)+('Weekly Summary'!BD$100*'Equipment List &amp; Usage'!$AB23*SelfQuarantine_Mild)+('Weekly Summary'!BD$101*'Equipment List &amp; Usage'!$AB23*SelfQuarantine_Moderate)))+IF('Equipment List &amp; Usage'!$F23="Yes",('Equipment List &amp; Usage'!$C$114*(IF('Equipment List &amp; Usage'!$AE23&gt;0,'Weekly Summary'!BD$134,0)+IF('Equipment List &amp; Usage'!$AF23&gt;0,'Weekly Summary'!BD$135))),'Equipment List &amp; Usage'!$C$115*(('Weekly Summary'!BD$134*'Equipment List &amp; Usage'!$AE23)+('Weekly Summary'!BD$135*'Equipment List &amp; Usage'!$AF23)))),0)</f>
        <v>0</v>
      </c>
    </row>
    <row r="22" spans="2:62" x14ac:dyDescent="0.35">
      <c r="B22" s="949" t="str">
        <f>'Equipment List &amp; Usage'!B24</f>
        <v>IPC</v>
      </c>
      <c r="C22" s="948" t="str">
        <f>'Equipment List &amp; Usage'!C24</f>
        <v>PPE</v>
      </c>
      <c r="D22" s="948" t="str">
        <f>'Equipment List &amp; Usage'!D24</f>
        <v>Apron, heavy duty, reusable</v>
      </c>
      <c r="E22" s="948" t="str">
        <f>'Equipment List &amp; Usage'!E24</f>
        <v>Each</v>
      </c>
      <c r="F22" s="948" t="str">
        <f>'Equipment List &amp; Usage'!F24</f>
        <v>Yes</v>
      </c>
      <c r="G22" s="948" t="str">
        <f>'Equipment List &amp; Usage'!G24</f>
        <v>N/A</v>
      </c>
      <c r="H22" s="1365">
        <f t="shared" ca="1" si="2"/>
        <v>226.32641273461746</v>
      </c>
      <c r="J22" s="1341"/>
      <c r="K22" s="1374">
        <f ca="1">IF('User Dashboard'!$H$13=1,0,IF($F22="Yes",(
IF($F22="yes",MMULT(--('Equipment List &amp; Usage'!$J24:$N24&gt;0),--('Weekly Summary'!E$112:E$116))*'Equipment List &amp; Usage'!$C$114,MMULT(--('Equipment List &amp; Usage'!$J24:$N24),--('Weekly Summary'!E$112:E$116))*'Equipment List &amp; Usage'!$C$115)+IF('Equipment List &amp; Usage'!$F23="yes",'Equipment List &amp; Usage'!$C$114,'Equipment List &amp; Usage'!$C$115)*(('Weekly Summary'!E$66*'Equipment List &amp; Usage'!$Q24)+('Weekly Summary'!E$64*'Equipment List &amp; Usage'!$O24)+('Weekly Summary'!E$65*'Equipment List &amp; Usage'!$P24)))+(IF('Equipment List &amp; Usage'!$F24="Yes",'Equipment List &amp; Usage'!$C$114*((('Weekly Summary'!E$131*SelfQuarantine_Mild)+('Weekly Summary'!E$100*SelfQuarantine_Mild)+('Weekly Summary'!E$101*SelfQuarantine_Moderate))),'Equipment List &amp; Usage'!$C$115)*((('Weekly Summary'!E$131*SelfQuarantine_Mild*'Equipment List &amp; Usage'!$W24)+('Weekly Summary'!E$100*SelfQuarantine_Mild*'Equipment List &amp; Usage'!$X24)+('Weekly Summary'!E$101*SelfQuarantine_Moderate*'Equipment List &amp; Usage'!$X24)))+IF('Equipment List &amp; Usage'!$F24="Yes",'Equipment List &amp; Usage'!$C$114*(IF('Equipment List &amp; Usage'!$AA24&gt;0,'Weekly Summary'!E$128,0)+IF('Equipment List &amp; Usage'!$AB24&gt;0,'Weekly Summary'!E$100+'Weekly Summary'!E$101,0)),'Equipment List &amp; Usage'!$C$115*(('Weekly Summary'!E$128*'Equipment List &amp; Usage'!$AA24)+('Weekly Summary'!E$100*'Equipment List &amp; Usage'!$AB24*SelfQuarantine_Mild)+('Weekly Summary'!E$101*'Equipment List &amp; Usage'!$AB24*SelfQuarantine_Moderate)))+IF('Equipment List &amp; Usage'!$F24="Yes",('Equipment List &amp; Usage'!$C$114*(IF('Equipment List &amp; Usage'!$AE24&gt;0,'Weekly Summary'!E$134,0)+IF('Equipment List &amp; Usage'!$AF24&gt;0,'Weekly Summary'!E$135))),'Equipment List &amp; Usage'!$C$115*(('Weekly Summary'!E$134*'Equipment List &amp; Usage'!$AE24)+('Weekly Summary'!E$135*'Equipment List &amp; Usage'!$AF24)))),
IF($F22="yes",MMULT(--('Equipment List &amp; Usage'!$J24:$N24&gt;0),--('Weekly Summary'!E$112:E$116))*'Equipment List &amp; Usage'!$C$114,MMULT(--('Equipment List &amp; Usage'!$J24:$N24),--('Weekly Summary'!E$112:E$116))*'Equipment List &amp; Usage'!$C$115)+IF('Equipment List &amp; Usage'!$F23="yes",'Equipment List &amp; Usage'!$C$114,'Equipment List &amp; Usage'!$C$115)*(('Weekly Summary'!E$66*'Equipment List &amp; Usage'!$Q24)+('Weekly Summary'!E$64*'Equipment List &amp; Usage'!$O24)+('Weekly Summary'!E$65*'Equipment List &amp; Usage'!$P24))+(IF('Equipment List &amp; Usage'!$F24="Yes",'Equipment List &amp; Usage'!$C$114*((('Weekly Summary'!E$131*SelfQuarantine_Mild)+('Weekly Summary'!E$100*SelfQuarantine_Mild)+('Weekly Summary'!E$101*SelfQuarantine_Moderate))),'Equipment List &amp; Usage'!$C$115)*((('Weekly Summary'!E$131*SelfQuarantine_Mild*'Equipment List &amp; Usage'!$W24)+('Weekly Summary'!E$100*SelfQuarantine_Mild*'Equipment List &amp; Usage'!$X24)+('Weekly Summary'!E$101*SelfQuarantine_Moderate*'Equipment List &amp; Usage'!$X24))))+IF('Equipment List &amp; Usage'!$F24="Yes",'Equipment List &amp; Usage'!$C$114*(IF('Equipment List &amp; Usage'!$AA24&gt;0,'Weekly Summary'!E$128,0)+IF('Equipment List &amp; Usage'!$AB24&gt;0,'Weekly Summary'!E$100+'Weekly Summary'!E$101,0)),'Equipment List &amp; Usage'!$C$115*(('Weekly Summary'!E$128*'Equipment List &amp; Usage'!$AA24)+('Weekly Summary'!E$100*'Equipment List &amp; Usage'!$AB24*SelfQuarantine_Mild)+('Weekly Summary'!E$101*'Equipment List &amp; Usage'!$AB24*SelfQuarantine_Moderate)))+IF('Equipment List &amp; Usage'!$F24="Yes",('Equipment List &amp; Usage'!$C$114*(IF('Equipment List &amp; Usage'!$AE24&gt;0,'Weekly Summary'!E$134,0)+IF('Equipment List &amp; Usage'!$AF24&gt;0,'Weekly Summary'!E$135))),'Equipment List &amp; Usage'!$C$115*(('Weekly Summary'!E$134*'Equipment List &amp; Usage'!$AE24)+('Weekly Summary'!E$135*'Equipment List &amp; Usage'!$AF24)))))</f>
        <v>0.47746984603390286</v>
      </c>
      <c r="L22" s="1374">
        <f ca="1">MAX(IF($F22="Yes",(
IF($F22="yes",MMULT(--('Equipment List &amp; Usage'!$J24:$N24&gt;0),--('Weekly Summary'!F$112:F$116))*'Equipment List &amp; Usage'!$C$114,MMULT(--('Equipment List &amp; Usage'!$J24:$N24),--('Weekly Summary'!F$112:F$116))*'Equipment List &amp; Usage'!$C$115)+IF('Equipment List &amp; Usage'!$F23="yes",'Equipment List &amp; Usage'!$C$114,'Equipment List &amp; Usage'!$C$115)*(('Weekly Summary'!F$66*'Equipment List &amp; Usage'!$Q24)+('Weekly Summary'!F$64*'Equipment List &amp; Usage'!$O24)+('Weekly Summary'!F$65*'Equipment List &amp; Usage'!$P24)))+(IF('Equipment List &amp; Usage'!$F24="Yes",'Equipment List &amp; Usage'!$C$114*((('Weekly Summary'!F$131*SelfQuarantine_Mild)+('Weekly Summary'!F$100*SelfQuarantine_Mild)+('Weekly Summary'!F$101*SelfQuarantine_Moderate))),'Equipment List &amp; Usage'!$C$115)*((('Weekly Summary'!F$131*SelfQuarantine_Mild*'Equipment List &amp; Usage'!$W24)+('Weekly Summary'!F$100*SelfQuarantine_Mild*'Equipment List &amp; Usage'!$X24)+('Weekly Summary'!F$101*SelfQuarantine_Moderate*'Equipment List &amp; Usage'!$X24)))+IF('Equipment List &amp; Usage'!$F24="Yes",'Equipment List &amp; Usage'!$C$114*(IF('Equipment List &amp; Usage'!$AA24&gt;0,'Weekly Summary'!F$128,0)+IF('Equipment List &amp; Usage'!$AB24&gt;0,'Weekly Summary'!F$100+'Weekly Summary'!F$101,0)),'Equipment List &amp; Usage'!$C$115*(('Weekly Summary'!F$128*'Equipment List &amp; Usage'!$AA24)+('Weekly Summary'!F$100*'Equipment List &amp; Usage'!$AB24*SelfQuarantine_Mild)+('Weekly Summary'!F$101*'Equipment List &amp; Usage'!$AB24*SelfQuarantine_Moderate)))+IF('Equipment List &amp; Usage'!$F24="Yes",('Equipment List &amp; Usage'!$C$114*(IF('Equipment List &amp; Usage'!$AE24&gt;0,'Weekly Summary'!F$134,0)+IF('Equipment List &amp; Usage'!$AF24&gt;0,'Weekly Summary'!F$135))),'Equipment List &amp; Usage'!$C$115*(('Weekly Summary'!F$134*'Equipment List &amp; Usage'!$AE24)+('Weekly Summary'!F$135*'Equipment List &amp; Usage'!$AF24))))-SUM($I22:K22),
IF($F22="yes",MMULT(--('Equipment List &amp; Usage'!$J24:$N24&gt;0),--('Weekly Summary'!F$112:F$116))*'Equipment List &amp; Usage'!$C$114,MMULT(--('Equipment List &amp; Usage'!$J24:$N24),--('Weekly Summary'!F$112:F$116))*'Equipment List &amp; Usage'!$C$115)+IF('Equipment List &amp; Usage'!$F23="yes",'Equipment List &amp; Usage'!$C$114,'Equipment List &amp; Usage'!$C$115)*(('Weekly Summary'!F$66*'Equipment List &amp; Usage'!$Q24)+('Weekly Summary'!F$64*'Equipment List &amp; Usage'!$O24)+('Weekly Summary'!F$65*'Equipment List &amp; Usage'!$P24))+(IF('Equipment List &amp; Usage'!$F24="Yes",'Equipment List &amp; Usage'!$C$114*((('Weekly Summary'!F$131*SelfQuarantine_Mild)+('Weekly Summary'!F$100*SelfQuarantine_Mild)+('Weekly Summary'!F$101*SelfQuarantine_Moderate))),'Equipment List &amp; Usage'!$C$115)*((('Weekly Summary'!F$131*SelfQuarantine_Mild*'Equipment List &amp; Usage'!$W24)+('Weekly Summary'!F$100*SelfQuarantine_Mild*'Equipment List &amp; Usage'!$X24)+('Weekly Summary'!F$101*SelfQuarantine_Moderate*'Equipment List &amp; Usage'!$X24))))+IF('Equipment List &amp; Usage'!$F24="Yes",'Equipment List &amp; Usage'!$C$114*(IF('Equipment List &amp; Usage'!$AA24&gt;0,'Weekly Summary'!F$128,0)+IF('Equipment List &amp; Usage'!$AB24&gt;0,'Weekly Summary'!F$100+'Weekly Summary'!F$101,0)),'Equipment List &amp; Usage'!$C$115*(('Weekly Summary'!F$128*'Equipment List &amp; Usage'!$AA24)+('Weekly Summary'!F$100*'Equipment List &amp; Usage'!$AB24*SelfQuarantine_Mild)+('Weekly Summary'!F$101*'Equipment List &amp; Usage'!$AB24*SelfQuarantine_Moderate)))+IF('Equipment List &amp; Usage'!$F24="Yes",('Equipment List &amp; Usage'!$C$114*(IF('Equipment List &amp; Usage'!$AE24&gt;0,'Weekly Summary'!F$134,0)+IF('Equipment List &amp; Usage'!$AF24&gt;0,'Weekly Summary'!F$135))),'Equipment List &amp; Usage'!$C$115*(('Weekly Summary'!F$134*'Equipment List &amp; Usage'!$AE24)+('Weekly Summary'!F$135*'Equipment List &amp; Usage'!$AF24)))),0)</f>
        <v>1.1465048456975417</v>
      </c>
      <c r="M22" s="1374">
        <f ca="1">MAX(IF($F22="Yes",(
IF($F22="yes",MMULT(--('Equipment List &amp; Usage'!$J24:$N24&gt;0),--('Weekly Summary'!G$112:G$116))*'Equipment List &amp; Usage'!$C$114,MMULT(--('Equipment List &amp; Usage'!$J24:$N24),--('Weekly Summary'!G$112:G$116))*'Equipment List &amp; Usage'!$C$115)+IF('Equipment List &amp; Usage'!$F23="yes",'Equipment List &amp; Usage'!$C$114,'Equipment List &amp; Usage'!$C$115)*(('Weekly Summary'!G$66*'Equipment List &amp; Usage'!$Q24)+('Weekly Summary'!G$64*'Equipment List &amp; Usage'!$O24)+('Weekly Summary'!G$65*'Equipment List &amp; Usage'!$P24)))+(IF('Equipment List &amp; Usage'!$F24="Yes",'Equipment List &amp; Usage'!$C$114*((('Weekly Summary'!G$131*SelfQuarantine_Mild)+('Weekly Summary'!G$100*SelfQuarantine_Mild)+('Weekly Summary'!G$101*SelfQuarantine_Moderate))),'Equipment List &amp; Usage'!$C$115)*((('Weekly Summary'!G$131*SelfQuarantine_Mild*'Equipment List &amp; Usage'!$W24)+('Weekly Summary'!G$100*SelfQuarantine_Mild*'Equipment List &amp; Usage'!$X24)+('Weekly Summary'!G$101*SelfQuarantine_Moderate*'Equipment List &amp; Usage'!$X24)))+IF('Equipment List &amp; Usage'!$F24="Yes",'Equipment List &amp; Usage'!$C$114*(IF('Equipment List &amp; Usage'!$AA24&gt;0,'Weekly Summary'!G$128,0)+IF('Equipment List &amp; Usage'!$AB24&gt;0,'Weekly Summary'!G$100+'Weekly Summary'!G$101,0)),'Equipment List &amp; Usage'!$C$115*(('Weekly Summary'!G$128*'Equipment List &amp; Usage'!$AA24)+('Weekly Summary'!G$100*'Equipment List &amp; Usage'!$AB24*SelfQuarantine_Mild)+('Weekly Summary'!G$101*'Equipment List &amp; Usage'!$AB24*SelfQuarantine_Moderate)))+IF('Equipment List &amp; Usage'!$F24="Yes",('Equipment List &amp; Usage'!$C$114*(IF('Equipment List &amp; Usage'!$AE24&gt;0,'Weekly Summary'!G$134,0)+IF('Equipment List &amp; Usage'!$AF24&gt;0,'Weekly Summary'!G$135))),'Equipment List &amp; Usage'!$C$115*(('Weekly Summary'!G$134*'Equipment List &amp; Usage'!$AE24)+('Weekly Summary'!G$135*'Equipment List &amp; Usage'!$AF24))))-SUM($I22:L22),
IF($F22="yes",MMULT(--('Equipment List &amp; Usage'!$J24:$N24&gt;0),--('Weekly Summary'!G$112:G$116))*'Equipment List &amp; Usage'!$C$114,MMULT(--('Equipment List &amp; Usage'!$J24:$N24),--('Weekly Summary'!G$112:G$116))*'Equipment List &amp; Usage'!$C$115)+IF('Equipment List &amp; Usage'!$F23="yes",'Equipment List &amp; Usage'!$C$114,'Equipment List &amp; Usage'!$C$115)*(('Weekly Summary'!G$66*'Equipment List &amp; Usage'!$Q24)+('Weekly Summary'!G$64*'Equipment List &amp; Usage'!$O24)+('Weekly Summary'!G$65*'Equipment List &amp; Usage'!$P24))+(IF('Equipment List &amp; Usage'!$F24="Yes",'Equipment List &amp; Usage'!$C$114*((('Weekly Summary'!G$131*SelfQuarantine_Mild)+('Weekly Summary'!G$100*SelfQuarantine_Mild)+('Weekly Summary'!G$101*SelfQuarantine_Moderate))),'Equipment List &amp; Usage'!$C$115)*((('Weekly Summary'!G$131*SelfQuarantine_Mild*'Equipment List &amp; Usage'!$W24)+('Weekly Summary'!G$100*SelfQuarantine_Mild*'Equipment List &amp; Usage'!$X24)+('Weekly Summary'!G$101*SelfQuarantine_Moderate*'Equipment List &amp; Usage'!$X24))))+IF('Equipment List &amp; Usage'!$F24="Yes",'Equipment List &amp; Usage'!$C$114*(IF('Equipment List &amp; Usage'!$AA24&gt;0,'Weekly Summary'!G$128,0)+IF('Equipment List &amp; Usage'!$AB24&gt;0,'Weekly Summary'!G$100+'Weekly Summary'!G$101,0)),'Equipment List &amp; Usage'!$C$115*(('Weekly Summary'!G$128*'Equipment List &amp; Usage'!$AA24)+('Weekly Summary'!G$100*'Equipment List &amp; Usage'!$AB24*SelfQuarantine_Mild)+('Weekly Summary'!G$101*'Equipment List &amp; Usage'!$AB24*SelfQuarantine_Moderate)))+IF('Equipment List &amp; Usage'!$F24="Yes",('Equipment List &amp; Usage'!$C$114*(IF('Equipment List &amp; Usage'!$AE24&gt;0,'Weekly Summary'!G$134,0)+IF('Equipment List &amp; Usage'!$AF24&gt;0,'Weekly Summary'!G$135))),'Equipment List &amp; Usage'!$C$115*(('Weekly Summary'!G$134*'Equipment List &amp; Usage'!$AE24)+('Weekly Summary'!G$135*'Equipment List &amp; Usage'!$AF24)))),0)</f>
        <v>3.9567772227699112</v>
      </c>
      <c r="N22" s="1374">
        <f ca="1">MAX(IF($F22="Yes",(
IF($F22="yes",MMULT(--('Equipment List &amp; Usage'!$J24:$N24&gt;0),--('Weekly Summary'!H$112:H$116))*'Equipment List &amp; Usage'!$C$114,MMULT(--('Equipment List &amp; Usage'!$J24:$N24),--('Weekly Summary'!H$112:H$116))*'Equipment List &amp; Usage'!$C$115)+IF('Equipment List &amp; Usage'!$F23="yes",'Equipment List &amp; Usage'!$C$114,'Equipment List &amp; Usage'!$C$115)*(('Weekly Summary'!H$66*'Equipment List &amp; Usage'!$Q24)+('Weekly Summary'!H$64*'Equipment List &amp; Usage'!$O24)+('Weekly Summary'!H$65*'Equipment List &amp; Usage'!$P24)))+(IF('Equipment List &amp; Usage'!$F24="Yes",'Equipment List &amp; Usage'!$C$114*((('Weekly Summary'!H$131*SelfQuarantine_Mild)+('Weekly Summary'!H$100*SelfQuarantine_Mild)+('Weekly Summary'!H$101*SelfQuarantine_Moderate))),'Equipment List &amp; Usage'!$C$115)*((('Weekly Summary'!H$131*SelfQuarantine_Mild*'Equipment List &amp; Usage'!$W24)+('Weekly Summary'!H$100*SelfQuarantine_Mild*'Equipment List &amp; Usage'!$X24)+('Weekly Summary'!H$101*SelfQuarantine_Moderate*'Equipment List &amp; Usage'!$X24)))+IF('Equipment List &amp; Usage'!$F24="Yes",'Equipment List &amp; Usage'!$C$114*(IF('Equipment List &amp; Usage'!$AA24&gt;0,'Weekly Summary'!H$128,0)+IF('Equipment List &amp; Usage'!$AB24&gt;0,'Weekly Summary'!H$100+'Weekly Summary'!H$101,0)),'Equipment List &amp; Usage'!$C$115*(('Weekly Summary'!H$128*'Equipment List &amp; Usage'!$AA24)+('Weekly Summary'!H$100*'Equipment List &amp; Usage'!$AB24*SelfQuarantine_Mild)+('Weekly Summary'!H$101*'Equipment List &amp; Usage'!$AB24*SelfQuarantine_Moderate)))+IF('Equipment List &amp; Usage'!$F24="Yes",('Equipment List &amp; Usage'!$C$114*(IF('Equipment List &amp; Usage'!$AE24&gt;0,'Weekly Summary'!H$134,0)+IF('Equipment List &amp; Usage'!$AF24&gt;0,'Weekly Summary'!H$135))),'Equipment List &amp; Usage'!$C$115*(('Weekly Summary'!H$134*'Equipment List &amp; Usage'!$AE24)+('Weekly Summary'!H$135*'Equipment List &amp; Usage'!$AF24))))-SUM($I22:M22),
IF($F22="yes",MMULT(--('Equipment List &amp; Usage'!$J24:$N24&gt;0),--('Weekly Summary'!H$112:H$116))*'Equipment List &amp; Usage'!$C$114,MMULT(--('Equipment List &amp; Usage'!$J24:$N24),--('Weekly Summary'!H$112:H$116))*'Equipment List &amp; Usage'!$C$115)+IF('Equipment List &amp; Usage'!$F23="yes",'Equipment List &amp; Usage'!$C$114,'Equipment List &amp; Usage'!$C$115)*(('Weekly Summary'!H$66*'Equipment List &amp; Usage'!$Q24)+('Weekly Summary'!H$64*'Equipment List &amp; Usage'!$O24)+('Weekly Summary'!H$65*'Equipment List &amp; Usage'!$P24))+(IF('Equipment List &amp; Usage'!$F24="Yes",'Equipment List &amp; Usage'!$C$114*((('Weekly Summary'!H$131*SelfQuarantine_Mild)+('Weekly Summary'!H$100*SelfQuarantine_Mild)+('Weekly Summary'!H$101*SelfQuarantine_Moderate))),'Equipment List &amp; Usage'!$C$115)*((('Weekly Summary'!H$131*SelfQuarantine_Mild*'Equipment List &amp; Usage'!$W24)+('Weekly Summary'!H$100*SelfQuarantine_Mild*'Equipment List &amp; Usage'!$X24)+('Weekly Summary'!H$101*SelfQuarantine_Moderate*'Equipment List &amp; Usage'!$X24))))+IF('Equipment List &amp; Usage'!$F24="Yes",'Equipment List &amp; Usage'!$C$114*(IF('Equipment List &amp; Usage'!$AA24&gt;0,'Weekly Summary'!H$128,0)+IF('Equipment List &amp; Usage'!$AB24&gt;0,'Weekly Summary'!H$100+'Weekly Summary'!H$101,0)),'Equipment List &amp; Usage'!$C$115*(('Weekly Summary'!H$128*'Equipment List &amp; Usage'!$AA24)+('Weekly Summary'!H$100*'Equipment List &amp; Usage'!$AB24*SelfQuarantine_Mild)+('Weekly Summary'!H$101*'Equipment List &amp; Usage'!$AB24*SelfQuarantine_Moderate)))+IF('Equipment List &amp; Usage'!$F24="Yes",('Equipment List &amp; Usage'!$C$114*(IF('Equipment List &amp; Usage'!$AE24&gt;0,'Weekly Summary'!H$134,0)+IF('Equipment List &amp; Usage'!$AF24&gt;0,'Weekly Summary'!H$135))),'Equipment List &amp; Usage'!$C$115*(('Weekly Summary'!H$134*'Equipment List &amp; Usage'!$AE24)+('Weekly Summary'!H$135*'Equipment List &amp; Usage'!$AF24)))),0)</f>
        <v>13.596767759718041</v>
      </c>
      <c r="O22" s="1374">
        <f ca="1">MAX(IF($F22="Yes",(
IF($F22="yes",MMULT(--('Equipment List &amp; Usage'!$J24:$N24&gt;0),--('Weekly Summary'!I$112:I$116))*'Equipment List &amp; Usage'!$C$114,MMULT(--('Equipment List &amp; Usage'!$J24:$N24),--('Weekly Summary'!I$112:I$116))*'Equipment List &amp; Usage'!$C$115)+IF('Equipment List &amp; Usage'!$F23="yes",'Equipment List &amp; Usage'!$C$114,'Equipment List &amp; Usage'!$C$115)*(('Weekly Summary'!I$66*'Equipment List &amp; Usage'!$Q24)+('Weekly Summary'!I$64*'Equipment List &amp; Usage'!$O24)+('Weekly Summary'!I$65*'Equipment List &amp; Usage'!$P24)))+(IF('Equipment List &amp; Usage'!$F24="Yes",'Equipment List &amp; Usage'!$C$114*((('Weekly Summary'!I$131*SelfQuarantine_Mild)+('Weekly Summary'!I$100*SelfQuarantine_Mild)+('Weekly Summary'!I$101*SelfQuarantine_Moderate))),'Equipment List &amp; Usage'!$C$115)*((('Weekly Summary'!I$131*SelfQuarantine_Mild*'Equipment List &amp; Usage'!$W24)+('Weekly Summary'!I$100*SelfQuarantine_Mild*'Equipment List &amp; Usage'!$X24)+('Weekly Summary'!I$101*SelfQuarantine_Moderate*'Equipment List &amp; Usage'!$X24)))+IF('Equipment List &amp; Usage'!$F24="Yes",'Equipment List &amp; Usage'!$C$114*(IF('Equipment List &amp; Usage'!$AA24&gt;0,'Weekly Summary'!I$128,0)+IF('Equipment List &amp; Usage'!$AB24&gt;0,'Weekly Summary'!I$100+'Weekly Summary'!I$101,0)),'Equipment List &amp; Usage'!$C$115*(('Weekly Summary'!I$128*'Equipment List &amp; Usage'!$AA24)+('Weekly Summary'!I$100*'Equipment List &amp; Usage'!$AB24*SelfQuarantine_Mild)+('Weekly Summary'!I$101*'Equipment List &amp; Usage'!$AB24*SelfQuarantine_Moderate)))+IF('Equipment List &amp; Usage'!$F24="Yes",('Equipment List &amp; Usage'!$C$114*(IF('Equipment List &amp; Usage'!$AE24&gt;0,'Weekly Summary'!I$134,0)+IF('Equipment List &amp; Usage'!$AF24&gt;0,'Weekly Summary'!I$135))),'Equipment List &amp; Usage'!$C$115*(('Weekly Summary'!I$134*'Equipment List &amp; Usage'!$AE24)+('Weekly Summary'!I$135*'Equipment List &amp; Usage'!$AF24))))-SUM($I22:N22),
IF($F22="yes",MMULT(--('Equipment List &amp; Usage'!$J24:$N24&gt;0),--('Weekly Summary'!I$112:I$116))*'Equipment List &amp; Usage'!$C$114,MMULT(--('Equipment List &amp; Usage'!$J24:$N24),--('Weekly Summary'!I$112:I$116))*'Equipment List &amp; Usage'!$C$115)+IF('Equipment List &amp; Usage'!$F23="yes",'Equipment List &amp; Usage'!$C$114,'Equipment List &amp; Usage'!$C$115)*(('Weekly Summary'!I$66*'Equipment List &amp; Usage'!$Q24)+('Weekly Summary'!I$64*'Equipment List &amp; Usage'!$O24)+('Weekly Summary'!I$65*'Equipment List &amp; Usage'!$P24))+(IF('Equipment List &amp; Usage'!$F24="Yes",'Equipment List &amp; Usage'!$C$114*((('Weekly Summary'!I$131*SelfQuarantine_Mild)+('Weekly Summary'!I$100*SelfQuarantine_Mild)+('Weekly Summary'!I$101*SelfQuarantine_Moderate))),'Equipment List &amp; Usage'!$C$115)*((('Weekly Summary'!I$131*SelfQuarantine_Mild*'Equipment List &amp; Usage'!$W24)+('Weekly Summary'!I$100*SelfQuarantine_Mild*'Equipment List &amp; Usage'!$X24)+('Weekly Summary'!I$101*SelfQuarantine_Moderate*'Equipment List &amp; Usage'!$X24))))+IF('Equipment List &amp; Usage'!$F24="Yes",'Equipment List &amp; Usage'!$C$114*(IF('Equipment List &amp; Usage'!$AA24&gt;0,'Weekly Summary'!I$128,0)+IF('Equipment List &amp; Usage'!$AB24&gt;0,'Weekly Summary'!I$100+'Weekly Summary'!I$101,0)),'Equipment List &amp; Usage'!$C$115*(('Weekly Summary'!I$128*'Equipment List &amp; Usage'!$AA24)+('Weekly Summary'!I$100*'Equipment List &amp; Usage'!$AB24*SelfQuarantine_Mild)+('Weekly Summary'!I$101*'Equipment List &amp; Usage'!$AB24*SelfQuarantine_Moderate)))+IF('Equipment List &amp; Usage'!$F24="Yes",('Equipment List &amp; Usage'!$C$114*(IF('Equipment List &amp; Usage'!$AE24&gt;0,'Weekly Summary'!I$134,0)+IF('Equipment List &amp; Usage'!$AF24&gt;0,'Weekly Summary'!I$135))),'Equipment List &amp; Usage'!$C$115*(('Weekly Summary'!I$134*'Equipment List &amp; Usage'!$AE24)+('Weekly Summary'!I$135*'Equipment List &amp; Usage'!$AF24)))),0)</f>
        <v>46.71633941111223</v>
      </c>
      <c r="P22" s="1374">
        <f ca="1">MAX(IF($F22="Yes",(
IF($F22="yes",MMULT(--('Equipment List &amp; Usage'!$J24:$N24&gt;0),--('Weekly Summary'!J$112:J$116))*'Equipment List &amp; Usage'!$C$114,MMULT(--('Equipment List &amp; Usage'!$J24:$N24),--('Weekly Summary'!J$112:J$116))*'Equipment List &amp; Usage'!$C$115)+IF('Equipment List &amp; Usage'!$F23="yes",'Equipment List &amp; Usage'!$C$114,'Equipment List &amp; Usage'!$C$115)*(('Weekly Summary'!J$66*'Equipment List &amp; Usage'!$Q24)+('Weekly Summary'!J$64*'Equipment List &amp; Usage'!$O24)+('Weekly Summary'!J$65*'Equipment List &amp; Usage'!$P24)))+(IF('Equipment List &amp; Usage'!$F24="Yes",'Equipment List &amp; Usage'!$C$114*((('Weekly Summary'!J$131*SelfQuarantine_Mild)+('Weekly Summary'!J$100*SelfQuarantine_Mild)+('Weekly Summary'!J$101*SelfQuarantine_Moderate))),'Equipment List &amp; Usage'!$C$115)*((('Weekly Summary'!J$131*SelfQuarantine_Mild*'Equipment List &amp; Usage'!$W24)+('Weekly Summary'!J$100*SelfQuarantine_Mild*'Equipment List &amp; Usage'!$X24)+('Weekly Summary'!J$101*SelfQuarantine_Moderate*'Equipment List &amp; Usage'!$X24)))+IF('Equipment List &amp; Usage'!$F24="Yes",'Equipment List &amp; Usage'!$C$114*(IF('Equipment List &amp; Usage'!$AA24&gt;0,'Weekly Summary'!J$128,0)+IF('Equipment List &amp; Usage'!$AB24&gt;0,'Weekly Summary'!J$100+'Weekly Summary'!J$101,0)),'Equipment List &amp; Usage'!$C$115*(('Weekly Summary'!J$128*'Equipment List &amp; Usage'!$AA24)+('Weekly Summary'!J$100*'Equipment List &amp; Usage'!$AB24*SelfQuarantine_Mild)+('Weekly Summary'!J$101*'Equipment List &amp; Usage'!$AB24*SelfQuarantine_Moderate)))+IF('Equipment List &amp; Usage'!$F24="Yes",('Equipment List &amp; Usage'!$C$114*(IF('Equipment List &amp; Usage'!$AE24&gt;0,'Weekly Summary'!J$134,0)+IF('Equipment List &amp; Usage'!$AF24&gt;0,'Weekly Summary'!J$135))),'Equipment List &amp; Usage'!$C$115*(('Weekly Summary'!J$134*'Equipment List &amp; Usage'!$AE24)+('Weekly Summary'!J$135*'Equipment List &amp; Usage'!$AF24))))-SUM($I22:O22),
IF($F22="yes",MMULT(--('Equipment List &amp; Usage'!$J24:$N24&gt;0),--('Weekly Summary'!J$112:J$116))*'Equipment List &amp; Usage'!$C$114,MMULT(--('Equipment List &amp; Usage'!$J24:$N24),--('Weekly Summary'!J$112:J$116))*'Equipment List &amp; Usage'!$C$115)+IF('Equipment List &amp; Usage'!$F23="yes",'Equipment List &amp; Usage'!$C$114,'Equipment List &amp; Usage'!$C$115)*(('Weekly Summary'!J$66*'Equipment List &amp; Usage'!$Q24)+('Weekly Summary'!J$64*'Equipment List &amp; Usage'!$O24)+('Weekly Summary'!J$65*'Equipment List &amp; Usage'!$P24))+(IF('Equipment List &amp; Usage'!$F24="Yes",'Equipment List &amp; Usage'!$C$114*((('Weekly Summary'!J$131*SelfQuarantine_Mild)+('Weekly Summary'!J$100*SelfQuarantine_Mild)+('Weekly Summary'!J$101*SelfQuarantine_Moderate))),'Equipment List &amp; Usage'!$C$115)*((('Weekly Summary'!J$131*SelfQuarantine_Mild*'Equipment List &amp; Usage'!$W24)+('Weekly Summary'!J$100*SelfQuarantine_Mild*'Equipment List &amp; Usage'!$X24)+('Weekly Summary'!J$101*SelfQuarantine_Moderate*'Equipment List &amp; Usage'!$X24))))+IF('Equipment List &amp; Usage'!$F24="Yes",'Equipment List &amp; Usage'!$C$114*(IF('Equipment List &amp; Usage'!$AA24&gt;0,'Weekly Summary'!J$128,0)+IF('Equipment List &amp; Usage'!$AB24&gt;0,'Weekly Summary'!J$100+'Weekly Summary'!J$101,0)),'Equipment List &amp; Usage'!$C$115*(('Weekly Summary'!J$128*'Equipment List &amp; Usage'!$AA24)+('Weekly Summary'!J$100*'Equipment List &amp; Usage'!$AB24*SelfQuarantine_Mild)+('Weekly Summary'!J$101*'Equipment List &amp; Usage'!$AB24*SelfQuarantine_Moderate)))+IF('Equipment List &amp; Usage'!$F24="Yes",('Equipment List &amp; Usage'!$C$114*(IF('Equipment List &amp; Usage'!$AE24&gt;0,'Weekly Summary'!J$134,0)+IF('Equipment List &amp; Usage'!$AF24&gt;0,'Weekly Summary'!J$135))),'Equipment List &amp; Usage'!$C$115*(('Weekly Summary'!J$134*'Equipment List &amp; Usage'!$AE24)+('Weekly Summary'!J$135*'Equipment List &amp; Usage'!$AF24)))),0)</f>
        <v>160.43255364928584</v>
      </c>
      <c r="Q22" s="1374">
        <f ca="1">MAX(IF($F22="Yes",(
IF($F22="yes",MMULT(--('Equipment List &amp; Usage'!$J24:$N24&gt;0),--('Weekly Summary'!K$112:K$116))*'Equipment List &amp; Usage'!$C$114,MMULT(--('Equipment List &amp; Usage'!$J24:$N24),--('Weekly Summary'!K$112:K$116))*'Equipment List &amp; Usage'!$C$115)+IF('Equipment List &amp; Usage'!$F23="yes",'Equipment List &amp; Usage'!$C$114,'Equipment List &amp; Usage'!$C$115)*(('Weekly Summary'!K$66*'Equipment List &amp; Usage'!$Q24)+('Weekly Summary'!K$64*'Equipment List &amp; Usage'!$O24)+('Weekly Summary'!K$65*'Equipment List &amp; Usage'!$P24)))+(IF('Equipment List &amp; Usage'!$F24="Yes",'Equipment List &amp; Usage'!$C$114*((('Weekly Summary'!K$131*SelfQuarantine_Mild)+('Weekly Summary'!K$100*SelfQuarantine_Mild)+('Weekly Summary'!K$101*SelfQuarantine_Moderate))),'Equipment List &amp; Usage'!$C$115)*((('Weekly Summary'!K$131*SelfQuarantine_Mild*'Equipment List &amp; Usage'!$W24)+('Weekly Summary'!K$100*SelfQuarantine_Mild*'Equipment List &amp; Usage'!$X24)+('Weekly Summary'!K$101*SelfQuarantine_Moderate*'Equipment List &amp; Usage'!$X24)))+IF('Equipment List &amp; Usage'!$F24="Yes",'Equipment List &amp; Usage'!$C$114*(IF('Equipment List &amp; Usage'!$AA24&gt;0,'Weekly Summary'!K$128,0)+IF('Equipment List &amp; Usage'!$AB24&gt;0,'Weekly Summary'!K$100+'Weekly Summary'!K$101,0)),'Equipment List &amp; Usage'!$C$115*(('Weekly Summary'!K$128*'Equipment List &amp; Usage'!$AA24)+('Weekly Summary'!K$100*'Equipment List &amp; Usage'!$AB24*SelfQuarantine_Mild)+('Weekly Summary'!K$101*'Equipment List &amp; Usage'!$AB24*SelfQuarantine_Moderate)))+IF('Equipment List &amp; Usage'!$F24="Yes",('Equipment List &amp; Usage'!$C$114*(IF('Equipment List &amp; Usage'!$AE24&gt;0,'Weekly Summary'!K$134,0)+IF('Equipment List &amp; Usage'!$AF24&gt;0,'Weekly Summary'!K$135))),'Equipment List &amp; Usage'!$C$115*(('Weekly Summary'!K$134*'Equipment List &amp; Usage'!$AE24)+('Weekly Summary'!K$135*'Equipment List &amp; Usage'!$AF24))))-SUM($I22:P22),
IF($F22="yes",MMULT(--('Equipment List &amp; Usage'!$J24:$N24&gt;0),--('Weekly Summary'!K$112:K$116))*'Equipment List &amp; Usage'!$C$114,MMULT(--('Equipment List &amp; Usage'!$J24:$N24),--('Weekly Summary'!K$112:K$116))*'Equipment List &amp; Usage'!$C$115)+IF('Equipment List &amp; Usage'!$F23="yes",'Equipment List &amp; Usage'!$C$114,'Equipment List &amp; Usage'!$C$115)*(('Weekly Summary'!K$66*'Equipment List &amp; Usage'!$Q24)+('Weekly Summary'!K$64*'Equipment List &amp; Usage'!$O24)+('Weekly Summary'!K$65*'Equipment List &amp; Usage'!$P24))+(IF('Equipment List &amp; Usage'!$F24="Yes",'Equipment List &amp; Usage'!$C$114*((('Weekly Summary'!K$131*SelfQuarantine_Mild)+('Weekly Summary'!K$100*SelfQuarantine_Mild)+('Weekly Summary'!K$101*SelfQuarantine_Moderate))),'Equipment List &amp; Usage'!$C$115)*((('Weekly Summary'!K$131*SelfQuarantine_Mild*'Equipment List &amp; Usage'!$W24)+('Weekly Summary'!K$100*SelfQuarantine_Mild*'Equipment List &amp; Usage'!$X24)+('Weekly Summary'!K$101*SelfQuarantine_Moderate*'Equipment List &amp; Usage'!$X24))))+IF('Equipment List &amp; Usage'!$F24="Yes",'Equipment List &amp; Usage'!$C$114*(IF('Equipment List &amp; Usage'!$AA24&gt;0,'Weekly Summary'!K$128,0)+IF('Equipment List &amp; Usage'!$AB24&gt;0,'Weekly Summary'!K$100+'Weekly Summary'!K$101,0)),'Equipment List &amp; Usage'!$C$115*(('Weekly Summary'!K$128*'Equipment List &amp; Usage'!$AA24)+('Weekly Summary'!K$100*'Equipment List &amp; Usage'!$AB24*SelfQuarantine_Mild)+('Weekly Summary'!K$101*'Equipment List &amp; Usage'!$AB24*SelfQuarantine_Moderate)))+IF('Equipment List &amp; Usage'!$F24="Yes",('Equipment List &amp; Usage'!$C$114*(IF('Equipment List &amp; Usage'!$AE24&gt;0,'Weekly Summary'!K$134,0)+IF('Equipment List &amp; Usage'!$AF24&gt;0,'Weekly Summary'!K$135))),'Equipment List &amp; Usage'!$C$115*(('Weekly Summary'!K$134*'Equipment List &amp; Usage'!$AE24)+('Weekly Summary'!K$135*'Equipment List &amp; Usage'!$AF24)))),0)</f>
        <v>0</v>
      </c>
      <c r="R22" s="1374">
        <f ca="1">MAX(IF($F22="Yes",(
IF($F22="yes",MMULT(--('Equipment List &amp; Usage'!$J24:$N24&gt;0),--('Weekly Summary'!L$112:L$116))*'Equipment List &amp; Usage'!$C$114,MMULT(--('Equipment List &amp; Usage'!$J24:$N24),--('Weekly Summary'!L$112:L$116))*'Equipment List &amp; Usage'!$C$115)+IF('Equipment List &amp; Usage'!$F23="yes",'Equipment List &amp; Usage'!$C$114,'Equipment List &amp; Usage'!$C$115)*(('Weekly Summary'!L$66*'Equipment List &amp; Usage'!$Q24)+('Weekly Summary'!L$64*'Equipment List &amp; Usage'!$O24)+('Weekly Summary'!L$65*'Equipment List &amp; Usage'!$P24)))+(IF('Equipment List &amp; Usage'!$F24="Yes",'Equipment List &amp; Usage'!$C$114*((('Weekly Summary'!L$131*SelfQuarantine_Mild)+('Weekly Summary'!L$100*SelfQuarantine_Mild)+('Weekly Summary'!L$101*SelfQuarantine_Moderate))),'Equipment List &amp; Usage'!$C$115)*((('Weekly Summary'!L$131*SelfQuarantine_Mild*'Equipment List &amp; Usage'!$W24)+('Weekly Summary'!L$100*SelfQuarantine_Mild*'Equipment List &amp; Usage'!$X24)+('Weekly Summary'!L$101*SelfQuarantine_Moderate*'Equipment List &amp; Usage'!$X24)))+IF('Equipment List &amp; Usage'!$F24="Yes",'Equipment List &amp; Usage'!$C$114*(IF('Equipment List &amp; Usage'!$AA24&gt;0,'Weekly Summary'!L$128,0)+IF('Equipment List &amp; Usage'!$AB24&gt;0,'Weekly Summary'!L$100+'Weekly Summary'!L$101,0)),'Equipment List &amp; Usage'!$C$115*(('Weekly Summary'!L$128*'Equipment List &amp; Usage'!$AA24)+('Weekly Summary'!L$100*'Equipment List &amp; Usage'!$AB24*SelfQuarantine_Mild)+('Weekly Summary'!L$101*'Equipment List &amp; Usage'!$AB24*SelfQuarantine_Moderate)))+IF('Equipment List &amp; Usage'!$F24="Yes",('Equipment List &amp; Usage'!$C$114*(IF('Equipment List &amp; Usage'!$AE24&gt;0,'Weekly Summary'!L$134,0)+IF('Equipment List &amp; Usage'!$AF24&gt;0,'Weekly Summary'!L$135))),'Equipment List &amp; Usage'!$C$115*(('Weekly Summary'!L$134*'Equipment List &amp; Usage'!$AE24)+('Weekly Summary'!L$135*'Equipment List &amp; Usage'!$AF24))))-SUM($I22:Q22),
IF($F22="yes",MMULT(--('Equipment List &amp; Usage'!$J24:$N24&gt;0),--('Weekly Summary'!L$112:L$116))*'Equipment List &amp; Usage'!$C$114,MMULT(--('Equipment List &amp; Usage'!$J24:$N24),--('Weekly Summary'!L$112:L$116))*'Equipment List &amp; Usage'!$C$115)+IF('Equipment List &amp; Usage'!$F23="yes",'Equipment List &amp; Usage'!$C$114,'Equipment List &amp; Usage'!$C$115)*(('Weekly Summary'!L$66*'Equipment List &amp; Usage'!$Q24)+('Weekly Summary'!L$64*'Equipment List &amp; Usage'!$O24)+('Weekly Summary'!L$65*'Equipment List &amp; Usage'!$P24))+(IF('Equipment List &amp; Usage'!$F24="Yes",'Equipment List &amp; Usage'!$C$114*((('Weekly Summary'!L$131*SelfQuarantine_Mild)+('Weekly Summary'!L$100*SelfQuarantine_Mild)+('Weekly Summary'!L$101*SelfQuarantine_Moderate))),'Equipment List &amp; Usage'!$C$115)*((('Weekly Summary'!L$131*SelfQuarantine_Mild*'Equipment List &amp; Usage'!$W24)+('Weekly Summary'!L$100*SelfQuarantine_Mild*'Equipment List &amp; Usage'!$X24)+('Weekly Summary'!L$101*SelfQuarantine_Moderate*'Equipment List &amp; Usage'!$X24))))+IF('Equipment List &amp; Usage'!$F24="Yes",'Equipment List &amp; Usage'!$C$114*(IF('Equipment List &amp; Usage'!$AA24&gt;0,'Weekly Summary'!L$128,0)+IF('Equipment List &amp; Usage'!$AB24&gt;0,'Weekly Summary'!L$100+'Weekly Summary'!L$101,0)),'Equipment List &amp; Usage'!$C$115*(('Weekly Summary'!L$128*'Equipment List &amp; Usage'!$AA24)+('Weekly Summary'!L$100*'Equipment List &amp; Usage'!$AB24*SelfQuarantine_Mild)+('Weekly Summary'!L$101*'Equipment List &amp; Usage'!$AB24*SelfQuarantine_Moderate)))+IF('Equipment List &amp; Usage'!$F24="Yes",('Equipment List &amp; Usage'!$C$114*(IF('Equipment List &amp; Usage'!$AE24&gt;0,'Weekly Summary'!L$134,0)+IF('Equipment List &amp; Usage'!$AF24&gt;0,'Weekly Summary'!L$135))),'Equipment List &amp; Usage'!$C$115*(('Weekly Summary'!L$134*'Equipment List &amp; Usage'!$AE24)+('Weekly Summary'!L$135*'Equipment List &amp; Usage'!$AF24)))),0)</f>
        <v>0</v>
      </c>
      <c r="S22" s="1374">
        <f ca="1">MAX(IF($F22="Yes",(
IF($F22="yes",MMULT(--('Equipment List &amp; Usage'!$J24:$N24&gt;0),--('Weekly Summary'!M$112:M$116))*'Equipment List &amp; Usage'!$C$114,MMULT(--('Equipment List &amp; Usage'!$J24:$N24),--('Weekly Summary'!M$112:M$116))*'Equipment List &amp; Usage'!$C$115)+IF('Equipment List &amp; Usage'!$F23="yes",'Equipment List &amp; Usage'!$C$114,'Equipment List &amp; Usage'!$C$115)*(('Weekly Summary'!M$66*'Equipment List &amp; Usage'!$Q24)+('Weekly Summary'!M$64*'Equipment List &amp; Usage'!$O24)+('Weekly Summary'!M$65*'Equipment List &amp; Usage'!$P24)))+(IF('Equipment List &amp; Usage'!$F24="Yes",'Equipment List &amp; Usage'!$C$114*((('Weekly Summary'!M$131*SelfQuarantine_Mild)+('Weekly Summary'!M$100*SelfQuarantine_Mild)+('Weekly Summary'!M$101*SelfQuarantine_Moderate))),'Equipment List &amp; Usage'!$C$115)*((('Weekly Summary'!M$131*SelfQuarantine_Mild*'Equipment List &amp; Usage'!$W24)+('Weekly Summary'!M$100*SelfQuarantine_Mild*'Equipment List &amp; Usage'!$X24)+('Weekly Summary'!M$101*SelfQuarantine_Moderate*'Equipment List &amp; Usage'!$X24)))+IF('Equipment List &amp; Usage'!$F24="Yes",'Equipment List &amp; Usage'!$C$114*(IF('Equipment List &amp; Usage'!$AA24&gt;0,'Weekly Summary'!M$128,0)+IF('Equipment List &amp; Usage'!$AB24&gt;0,'Weekly Summary'!M$100+'Weekly Summary'!M$101,0)),'Equipment List &amp; Usage'!$C$115*(('Weekly Summary'!M$128*'Equipment List &amp; Usage'!$AA24)+('Weekly Summary'!M$100*'Equipment List &amp; Usage'!$AB24*SelfQuarantine_Mild)+('Weekly Summary'!M$101*'Equipment List &amp; Usage'!$AB24*SelfQuarantine_Moderate)))+IF('Equipment List &amp; Usage'!$F24="Yes",('Equipment List &amp; Usage'!$C$114*(IF('Equipment List &amp; Usage'!$AE24&gt;0,'Weekly Summary'!M$134,0)+IF('Equipment List &amp; Usage'!$AF24&gt;0,'Weekly Summary'!M$135))),'Equipment List &amp; Usage'!$C$115*(('Weekly Summary'!M$134*'Equipment List &amp; Usage'!$AE24)+('Weekly Summary'!M$135*'Equipment List &amp; Usage'!$AF24))))-SUM($I22:R22),
IF($F22="yes",MMULT(--('Equipment List &amp; Usage'!$J24:$N24&gt;0),--('Weekly Summary'!M$112:M$116))*'Equipment List &amp; Usage'!$C$114,MMULT(--('Equipment List &amp; Usage'!$J24:$N24),--('Weekly Summary'!M$112:M$116))*'Equipment List &amp; Usage'!$C$115)+IF('Equipment List &amp; Usage'!$F23="yes",'Equipment List &amp; Usage'!$C$114,'Equipment List &amp; Usage'!$C$115)*(('Weekly Summary'!M$66*'Equipment List &amp; Usage'!$Q24)+('Weekly Summary'!M$64*'Equipment List &amp; Usage'!$O24)+('Weekly Summary'!M$65*'Equipment List &amp; Usage'!$P24))+(IF('Equipment List &amp; Usage'!$F24="Yes",'Equipment List &amp; Usage'!$C$114*((('Weekly Summary'!M$131*SelfQuarantine_Mild)+('Weekly Summary'!M$100*SelfQuarantine_Mild)+('Weekly Summary'!M$101*SelfQuarantine_Moderate))),'Equipment List &amp; Usage'!$C$115)*((('Weekly Summary'!M$131*SelfQuarantine_Mild*'Equipment List &amp; Usage'!$W24)+('Weekly Summary'!M$100*SelfQuarantine_Mild*'Equipment List &amp; Usage'!$X24)+('Weekly Summary'!M$101*SelfQuarantine_Moderate*'Equipment List &amp; Usage'!$X24))))+IF('Equipment List &amp; Usage'!$F24="Yes",'Equipment List &amp; Usage'!$C$114*(IF('Equipment List &amp; Usage'!$AA24&gt;0,'Weekly Summary'!M$128,0)+IF('Equipment List &amp; Usage'!$AB24&gt;0,'Weekly Summary'!M$100+'Weekly Summary'!M$101,0)),'Equipment List &amp; Usage'!$C$115*(('Weekly Summary'!M$128*'Equipment List &amp; Usage'!$AA24)+('Weekly Summary'!M$100*'Equipment List &amp; Usage'!$AB24*SelfQuarantine_Mild)+('Weekly Summary'!M$101*'Equipment List &amp; Usage'!$AB24*SelfQuarantine_Moderate)))+IF('Equipment List &amp; Usage'!$F24="Yes",('Equipment List &amp; Usage'!$C$114*(IF('Equipment List &amp; Usage'!$AE24&gt;0,'Weekly Summary'!M$134,0)+IF('Equipment List &amp; Usage'!$AF24&gt;0,'Weekly Summary'!M$135))),'Equipment List &amp; Usage'!$C$115*(('Weekly Summary'!M$134*'Equipment List &amp; Usage'!$AE24)+('Weekly Summary'!M$135*'Equipment List &amp; Usage'!$AF24)))),0)</f>
        <v>0</v>
      </c>
      <c r="T22" s="1374">
        <f ca="1">MAX(IF($F22="Yes",(
IF($F22="yes",MMULT(--('Equipment List &amp; Usage'!$J24:$N24&gt;0),--('Weekly Summary'!N$112:N$116))*'Equipment List &amp; Usage'!$C$114,MMULT(--('Equipment List &amp; Usage'!$J24:$N24),--('Weekly Summary'!N$112:N$116))*'Equipment List &amp; Usage'!$C$115)+IF('Equipment List &amp; Usage'!$F23="yes",'Equipment List &amp; Usage'!$C$114,'Equipment List &amp; Usage'!$C$115)*(('Weekly Summary'!N$66*'Equipment List &amp; Usage'!$Q24)+('Weekly Summary'!N$64*'Equipment List &amp; Usage'!$O24)+('Weekly Summary'!N$65*'Equipment List &amp; Usage'!$P24)))+(IF('Equipment List &amp; Usage'!$F24="Yes",'Equipment List &amp; Usage'!$C$114*((('Weekly Summary'!N$131*SelfQuarantine_Mild)+('Weekly Summary'!N$100*SelfQuarantine_Mild)+('Weekly Summary'!N$101*SelfQuarantine_Moderate))),'Equipment List &amp; Usage'!$C$115)*((('Weekly Summary'!N$131*SelfQuarantine_Mild*'Equipment List &amp; Usage'!$W24)+('Weekly Summary'!N$100*SelfQuarantine_Mild*'Equipment List &amp; Usage'!$X24)+('Weekly Summary'!N$101*SelfQuarantine_Moderate*'Equipment List &amp; Usage'!$X24)))+IF('Equipment List &amp; Usage'!$F24="Yes",'Equipment List &amp; Usage'!$C$114*(IF('Equipment List &amp; Usage'!$AA24&gt;0,'Weekly Summary'!N$128,0)+IF('Equipment List &amp; Usage'!$AB24&gt;0,'Weekly Summary'!N$100+'Weekly Summary'!N$101,0)),'Equipment List &amp; Usage'!$C$115*(('Weekly Summary'!N$128*'Equipment List &amp; Usage'!$AA24)+('Weekly Summary'!N$100*'Equipment List &amp; Usage'!$AB24*SelfQuarantine_Mild)+('Weekly Summary'!N$101*'Equipment List &amp; Usage'!$AB24*SelfQuarantine_Moderate)))+IF('Equipment List &amp; Usage'!$F24="Yes",('Equipment List &amp; Usage'!$C$114*(IF('Equipment List &amp; Usage'!$AE24&gt;0,'Weekly Summary'!N$134,0)+IF('Equipment List &amp; Usage'!$AF24&gt;0,'Weekly Summary'!N$135))),'Equipment List &amp; Usage'!$C$115*(('Weekly Summary'!N$134*'Equipment List &amp; Usage'!$AE24)+('Weekly Summary'!N$135*'Equipment List &amp; Usage'!$AF24))))-SUM($I22:S22),
IF($F22="yes",MMULT(--('Equipment List &amp; Usage'!$J24:$N24&gt;0),--('Weekly Summary'!N$112:N$116))*'Equipment List &amp; Usage'!$C$114,MMULT(--('Equipment List &amp; Usage'!$J24:$N24),--('Weekly Summary'!N$112:N$116))*'Equipment List &amp; Usage'!$C$115)+IF('Equipment List &amp; Usage'!$F23="yes",'Equipment List &amp; Usage'!$C$114,'Equipment List &amp; Usage'!$C$115)*(('Weekly Summary'!N$66*'Equipment List &amp; Usage'!$Q24)+('Weekly Summary'!N$64*'Equipment List &amp; Usage'!$O24)+('Weekly Summary'!N$65*'Equipment List &amp; Usage'!$P24))+(IF('Equipment List &amp; Usage'!$F24="Yes",'Equipment List &amp; Usage'!$C$114*((('Weekly Summary'!N$131*SelfQuarantine_Mild)+('Weekly Summary'!N$100*SelfQuarantine_Mild)+('Weekly Summary'!N$101*SelfQuarantine_Moderate))),'Equipment List &amp; Usage'!$C$115)*((('Weekly Summary'!N$131*SelfQuarantine_Mild*'Equipment List &amp; Usage'!$W24)+('Weekly Summary'!N$100*SelfQuarantine_Mild*'Equipment List &amp; Usage'!$X24)+('Weekly Summary'!N$101*SelfQuarantine_Moderate*'Equipment List &amp; Usage'!$X24))))+IF('Equipment List &amp; Usage'!$F24="Yes",'Equipment List &amp; Usage'!$C$114*(IF('Equipment List &amp; Usage'!$AA24&gt;0,'Weekly Summary'!N$128,0)+IF('Equipment List &amp; Usage'!$AB24&gt;0,'Weekly Summary'!N$100+'Weekly Summary'!N$101,0)),'Equipment List &amp; Usage'!$C$115*(('Weekly Summary'!N$128*'Equipment List &amp; Usage'!$AA24)+('Weekly Summary'!N$100*'Equipment List &amp; Usage'!$AB24*SelfQuarantine_Mild)+('Weekly Summary'!N$101*'Equipment List &amp; Usage'!$AB24*SelfQuarantine_Moderate)))+IF('Equipment List &amp; Usage'!$F24="Yes",('Equipment List &amp; Usage'!$C$114*(IF('Equipment List &amp; Usage'!$AE24&gt;0,'Weekly Summary'!N$134,0)+IF('Equipment List &amp; Usage'!$AF24&gt;0,'Weekly Summary'!N$135))),'Equipment List &amp; Usage'!$C$115*(('Weekly Summary'!N$134*'Equipment List &amp; Usage'!$AE24)+('Weekly Summary'!N$135*'Equipment List &amp; Usage'!$AF24)))),0)</f>
        <v>0</v>
      </c>
      <c r="U22" s="1374">
        <f ca="1">MAX(IF($F22="Yes",(
IF($F22="yes",MMULT(--('Equipment List &amp; Usage'!$J24:$N24&gt;0),--('Weekly Summary'!O$112:O$116))*'Equipment List &amp; Usage'!$C$114,MMULT(--('Equipment List &amp; Usage'!$J24:$N24),--('Weekly Summary'!O$112:O$116))*'Equipment List &amp; Usage'!$C$115)+IF('Equipment List &amp; Usage'!$F23="yes",'Equipment List &amp; Usage'!$C$114,'Equipment List &amp; Usage'!$C$115)*(('Weekly Summary'!O$66*'Equipment List &amp; Usage'!$Q24)+('Weekly Summary'!O$64*'Equipment List &amp; Usage'!$O24)+('Weekly Summary'!O$65*'Equipment List &amp; Usage'!$P24)))+(IF('Equipment List &amp; Usage'!$F24="Yes",'Equipment List &amp; Usage'!$C$114*((('Weekly Summary'!O$131*SelfQuarantine_Mild)+('Weekly Summary'!O$100*SelfQuarantine_Mild)+('Weekly Summary'!O$101*SelfQuarantine_Moderate))),'Equipment List &amp; Usage'!$C$115)*((('Weekly Summary'!O$131*SelfQuarantine_Mild*'Equipment List &amp; Usage'!$W24)+('Weekly Summary'!O$100*SelfQuarantine_Mild*'Equipment List &amp; Usage'!$X24)+('Weekly Summary'!O$101*SelfQuarantine_Moderate*'Equipment List &amp; Usage'!$X24)))+IF('Equipment List &amp; Usage'!$F24="Yes",'Equipment List &amp; Usage'!$C$114*(IF('Equipment List &amp; Usage'!$AA24&gt;0,'Weekly Summary'!O$128,0)+IF('Equipment List &amp; Usage'!$AB24&gt;0,'Weekly Summary'!O$100+'Weekly Summary'!O$101,0)),'Equipment List &amp; Usage'!$C$115*(('Weekly Summary'!O$128*'Equipment List &amp; Usage'!$AA24)+('Weekly Summary'!O$100*'Equipment List &amp; Usage'!$AB24*SelfQuarantine_Mild)+('Weekly Summary'!O$101*'Equipment List &amp; Usage'!$AB24*SelfQuarantine_Moderate)))+IF('Equipment List &amp; Usage'!$F24="Yes",('Equipment List &amp; Usage'!$C$114*(IF('Equipment List &amp; Usage'!$AE24&gt;0,'Weekly Summary'!O$134,0)+IF('Equipment List &amp; Usage'!$AF24&gt;0,'Weekly Summary'!O$135))),'Equipment List &amp; Usage'!$C$115*(('Weekly Summary'!O$134*'Equipment List &amp; Usage'!$AE24)+('Weekly Summary'!O$135*'Equipment List &amp; Usage'!$AF24))))-SUM($I22:T22),
IF($F22="yes",MMULT(--('Equipment List &amp; Usage'!$J24:$N24&gt;0),--('Weekly Summary'!O$112:O$116))*'Equipment List &amp; Usage'!$C$114,MMULT(--('Equipment List &amp; Usage'!$J24:$N24),--('Weekly Summary'!O$112:O$116))*'Equipment List &amp; Usage'!$C$115)+IF('Equipment List &amp; Usage'!$F23="yes",'Equipment List &amp; Usage'!$C$114,'Equipment List &amp; Usage'!$C$115)*(('Weekly Summary'!O$66*'Equipment List &amp; Usage'!$Q24)+('Weekly Summary'!O$64*'Equipment List &amp; Usage'!$O24)+('Weekly Summary'!O$65*'Equipment List &amp; Usage'!$P24))+(IF('Equipment List &amp; Usage'!$F24="Yes",'Equipment List &amp; Usage'!$C$114*((('Weekly Summary'!O$131*SelfQuarantine_Mild)+('Weekly Summary'!O$100*SelfQuarantine_Mild)+('Weekly Summary'!O$101*SelfQuarantine_Moderate))),'Equipment List &amp; Usage'!$C$115)*((('Weekly Summary'!O$131*SelfQuarantine_Mild*'Equipment List &amp; Usage'!$W24)+('Weekly Summary'!O$100*SelfQuarantine_Mild*'Equipment List &amp; Usage'!$X24)+('Weekly Summary'!O$101*SelfQuarantine_Moderate*'Equipment List &amp; Usage'!$X24))))+IF('Equipment List &amp; Usage'!$F24="Yes",'Equipment List &amp; Usage'!$C$114*(IF('Equipment List &amp; Usage'!$AA24&gt;0,'Weekly Summary'!O$128,0)+IF('Equipment List &amp; Usage'!$AB24&gt;0,'Weekly Summary'!O$100+'Weekly Summary'!O$101,0)),'Equipment List &amp; Usage'!$C$115*(('Weekly Summary'!O$128*'Equipment List &amp; Usage'!$AA24)+('Weekly Summary'!O$100*'Equipment List &amp; Usage'!$AB24*SelfQuarantine_Mild)+('Weekly Summary'!O$101*'Equipment List &amp; Usage'!$AB24*SelfQuarantine_Moderate)))+IF('Equipment List &amp; Usage'!$F24="Yes",('Equipment List &amp; Usage'!$C$114*(IF('Equipment List &amp; Usage'!$AE24&gt;0,'Weekly Summary'!O$134,0)+IF('Equipment List &amp; Usage'!$AF24&gt;0,'Weekly Summary'!O$135))),'Equipment List &amp; Usage'!$C$115*(('Weekly Summary'!O$134*'Equipment List &amp; Usage'!$AE24)+('Weekly Summary'!O$135*'Equipment List &amp; Usage'!$AF24)))),0)</f>
        <v>0</v>
      </c>
      <c r="V22" s="1374">
        <f ca="1">MAX(IF($F22="Yes",(
IF($F22="yes",MMULT(--('Equipment List &amp; Usage'!$J24:$N24&gt;0),--('Weekly Summary'!P$112:P$116))*'Equipment List &amp; Usage'!$C$114,MMULT(--('Equipment List &amp; Usage'!$J24:$N24),--('Weekly Summary'!P$112:P$116))*'Equipment List &amp; Usage'!$C$115)+IF('Equipment List &amp; Usage'!$F23="yes",'Equipment List &amp; Usage'!$C$114,'Equipment List &amp; Usage'!$C$115)*(('Weekly Summary'!P$66*'Equipment List &amp; Usage'!$Q24)+('Weekly Summary'!P$64*'Equipment List &amp; Usage'!$O24)+('Weekly Summary'!P$65*'Equipment List &amp; Usage'!$P24)))+(IF('Equipment List &amp; Usage'!$F24="Yes",'Equipment List &amp; Usage'!$C$114*((('Weekly Summary'!P$131*SelfQuarantine_Mild)+('Weekly Summary'!P$100*SelfQuarantine_Mild)+('Weekly Summary'!P$101*SelfQuarantine_Moderate))),'Equipment List &amp; Usage'!$C$115)*((('Weekly Summary'!P$131*SelfQuarantine_Mild*'Equipment List &amp; Usage'!$W24)+('Weekly Summary'!P$100*SelfQuarantine_Mild*'Equipment List &amp; Usage'!$X24)+('Weekly Summary'!P$101*SelfQuarantine_Moderate*'Equipment List &amp; Usage'!$X24)))+IF('Equipment List &amp; Usage'!$F24="Yes",'Equipment List &amp; Usage'!$C$114*(IF('Equipment List &amp; Usage'!$AA24&gt;0,'Weekly Summary'!P$128,0)+IF('Equipment List &amp; Usage'!$AB24&gt;0,'Weekly Summary'!P$100+'Weekly Summary'!P$101,0)),'Equipment List &amp; Usage'!$C$115*(('Weekly Summary'!P$128*'Equipment List &amp; Usage'!$AA24)+('Weekly Summary'!P$100*'Equipment List &amp; Usage'!$AB24*SelfQuarantine_Mild)+('Weekly Summary'!P$101*'Equipment List &amp; Usage'!$AB24*SelfQuarantine_Moderate)))+IF('Equipment List &amp; Usage'!$F24="Yes",('Equipment List &amp; Usage'!$C$114*(IF('Equipment List &amp; Usage'!$AE24&gt;0,'Weekly Summary'!P$134,0)+IF('Equipment List &amp; Usage'!$AF24&gt;0,'Weekly Summary'!P$135))),'Equipment List &amp; Usage'!$C$115*(('Weekly Summary'!P$134*'Equipment List &amp; Usage'!$AE24)+('Weekly Summary'!P$135*'Equipment List &amp; Usage'!$AF24))))-SUM($I22:U22),
IF($F22="yes",MMULT(--('Equipment List &amp; Usage'!$J24:$N24&gt;0),--('Weekly Summary'!P$112:P$116))*'Equipment List &amp; Usage'!$C$114,MMULT(--('Equipment List &amp; Usage'!$J24:$N24),--('Weekly Summary'!P$112:P$116))*'Equipment List &amp; Usage'!$C$115)+IF('Equipment List &amp; Usage'!$F23="yes",'Equipment List &amp; Usage'!$C$114,'Equipment List &amp; Usage'!$C$115)*(('Weekly Summary'!P$66*'Equipment List &amp; Usage'!$Q24)+('Weekly Summary'!P$64*'Equipment List &amp; Usage'!$O24)+('Weekly Summary'!P$65*'Equipment List &amp; Usage'!$P24))+(IF('Equipment List &amp; Usage'!$F24="Yes",'Equipment List &amp; Usage'!$C$114*((('Weekly Summary'!P$131*SelfQuarantine_Mild)+('Weekly Summary'!P$100*SelfQuarantine_Mild)+('Weekly Summary'!P$101*SelfQuarantine_Moderate))),'Equipment List &amp; Usage'!$C$115)*((('Weekly Summary'!P$131*SelfQuarantine_Mild*'Equipment List &amp; Usage'!$W24)+('Weekly Summary'!P$100*SelfQuarantine_Mild*'Equipment List &amp; Usage'!$X24)+('Weekly Summary'!P$101*SelfQuarantine_Moderate*'Equipment List &amp; Usage'!$X24))))+IF('Equipment List &amp; Usage'!$F24="Yes",'Equipment List &amp; Usage'!$C$114*(IF('Equipment List &amp; Usage'!$AA24&gt;0,'Weekly Summary'!P$128,0)+IF('Equipment List &amp; Usage'!$AB24&gt;0,'Weekly Summary'!P$100+'Weekly Summary'!P$101,0)),'Equipment List &amp; Usage'!$C$115*(('Weekly Summary'!P$128*'Equipment List &amp; Usage'!$AA24)+('Weekly Summary'!P$100*'Equipment List &amp; Usage'!$AB24*SelfQuarantine_Mild)+('Weekly Summary'!P$101*'Equipment List &amp; Usage'!$AB24*SelfQuarantine_Moderate)))+IF('Equipment List &amp; Usage'!$F24="Yes",('Equipment List &amp; Usage'!$C$114*(IF('Equipment List &amp; Usage'!$AE24&gt;0,'Weekly Summary'!P$134,0)+IF('Equipment List &amp; Usage'!$AF24&gt;0,'Weekly Summary'!P$135))),'Equipment List &amp; Usage'!$C$115*(('Weekly Summary'!P$134*'Equipment List &amp; Usage'!$AE24)+('Weekly Summary'!P$135*'Equipment List &amp; Usage'!$AF24)))),0)</f>
        <v>0</v>
      </c>
      <c r="W22" s="1374">
        <f ca="1">MAX(IF($F22="Yes",(
IF($F22="yes",MMULT(--('Equipment List &amp; Usage'!$J24:$N24&gt;0),--('Weekly Summary'!Q$112:Q$116))*'Equipment List &amp; Usage'!$C$114,MMULT(--('Equipment List &amp; Usage'!$J24:$N24),--('Weekly Summary'!Q$112:Q$116))*'Equipment List &amp; Usage'!$C$115)+IF('Equipment List &amp; Usage'!$F23="yes",'Equipment List &amp; Usage'!$C$114,'Equipment List &amp; Usage'!$C$115)*(('Weekly Summary'!Q$66*'Equipment List &amp; Usage'!$Q24)+('Weekly Summary'!Q$64*'Equipment List &amp; Usage'!$O24)+('Weekly Summary'!Q$65*'Equipment List &amp; Usage'!$P24)))+(IF('Equipment List &amp; Usage'!$F24="Yes",'Equipment List &amp; Usage'!$C$114*((('Weekly Summary'!Q$131*SelfQuarantine_Mild)+('Weekly Summary'!Q$100*SelfQuarantine_Mild)+('Weekly Summary'!Q$101*SelfQuarantine_Moderate))),'Equipment List &amp; Usage'!$C$115)*((('Weekly Summary'!Q$131*SelfQuarantine_Mild*'Equipment List &amp; Usage'!$W24)+('Weekly Summary'!Q$100*SelfQuarantine_Mild*'Equipment List &amp; Usage'!$X24)+('Weekly Summary'!Q$101*SelfQuarantine_Moderate*'Equipment List &amp; Usage'!$X24)))+IF('Equipment List &amp; Usage'!$F24="Yes",'Equipment List &amp; Usage'!$C$114*(IF('Equipment List &amp; Usage'!$AA24&gt;0,'Weekly Summary'!Q$128,0)+IF('Equipment List &amp; Usage'!$AB24&gt;0,'Weekly Summary'!Q$100+'Weekly Summary'!Q$101,0)),'Equipment List &amp; Usage'!$C$115*(('Weekly Summary'!Q$128*'Equipment List &amp; Usage'!$AA24)+('Weekly Summary'!Q$100*'Equipment List &amp; Usage'!$AB24*SelfQuarantine_Mild)+('Weekly Summary'!Q$101*'Equipment List &amp; Usage'!$AB24*SelfQuarantine_Moderate)))+IF('Equipment List &amp; Usage'!$F24="Yes",('Equipment List &amp; Usage'!$C$114*(IF('Equipment List &amp; Usage'!$AE24&gt;0,'Weekly Summary'!Q$134,0)+IF('Equipment List &amp; Usage'!$AF24&gt;0,'Weekly Summary'!Q$135))),'Equipment List &amp; Usage'!$C$115*(('Weekly Summary'!Q$134*'Equipment List &amp; Usage'!$AE24)+('Weekly Summary'!Q$135*'Equipment List &amp; Usage'!$AF24))))-SUM($I22:V22),
IF($F22="yes",MMULT(--('Equipment List &amp; Usage'!$J24:$N24&gt;0),--('Weekly Summary'!Q$112:Q$116))*'Equipment List &amp; Usage'!$C$114,MMULT(--('Equipment List &amp; Usage'!$J24:$N24),--('Weekly Summary'!Q$112:Q$116))*'Equipment List &amp; Usage'!$C$115)+IF('Equipment List &amp; Usage'!$F23="yes",'Equipment List &amp; Usage'!$C$114,'Equipment List &amp; Usage'!$C$115)*(('Weekly Summary'!Q$66*'Equipment List &amp; Usage'!$Q24)+('Weekly Summary'!Q$64*'Equipment List &amp; Usage'!$O24)+('Weekly Summary'!Q$65*'Equipment List &amp; Usage'!$P24))+(IF('Equipment List &amp; Usage'!$F24="Yes",'Equipment List &amp; Usage'!$C$114*((('Weekly Summary'!Q$131*SelfQuarantine_Mild)+('Weekly Summary'!Q$100*SelfQuarantine_Mild)+('Weekly Summary'!Q$101*SelfQuarantine_Moderate))),'Equipment List &amp; Usage'!$C$115)*((('Weekly Summary'!Q$131*SelfQuarantine_Mild*'Equipment List &amp; Usage'!$W24)+('Weekly Summary'!Q$100*SelfQuarantine_Mild*'Equipment List &amp; Usage'!$X24)+('Weekly Summary'!Q$101*SelfQuarantine_Moderate*'Equipment List &amp; Usage'!$X24))))+IF('Equipment List &amp; Usage'!$F24="Yes",'Equipment List &amp; Usage'!$C$114*(IF('Equipment List &amp; Usage'!$AA24&gt;0,'Weekly Summary'!Q$128,0)+IF('Equipment List &amp; Usage'!$AB24&gt;0,'Weekly Summary'!Q$100+'Weekly Summary'!Q$101,0)),'Equipment List &amp; Usage'!$C$115*(('Weekly Summary'!Q$128*'Equipment List &amp; Usage'!$AA24)+('Weekly Summary'!Q$100*'Equipment List &amp; Usage'!$AB24*SelfQuarantine_Mild)+('Weekly Summary'!Q$101*'Equipment List &amp; Usage'!$AB24*SelfQuarantine_Moderate)))+IF('Equipment List &amp; Usage'!$F24="Yes",('Equipment List &amp; Usage'!$C$114*(IF('Equipment List &amp; Usage'!$AE24&gt;0,'Weekly Summary'!Q$134,0)+IF('Equipment List &amp; Usage'!$AF24&gt;0,'Weekly Summary'!Q$135))),'Equipment List &amp; Usage'!$C$115*(('Weekly Summary'!Q$134*'Equipment List &amp; Usage'!$AE24)+('Weekly Summary'!Q$135*'Equipment List &amp; Usage'!$AF24)))),0)</f>
        <v>0</v>
      </c>
      <c r="X22" s="1374">
        <f ca="1">MAX(IF($F22="Yes",(
IF($F22="yes",MMULT(--('Equipment List &amp; Usage'!$J24:$N24&gt;0),--('Weekly Summary'!R$112:R$116))*'Equipment List &amp; Usage'!$C$114,MMULT(--('Equipment List &amp; Usage'!$J24:$N24),--('Weekly Summary'!R$112:R$116))*'Equipment List &amp; Usage'!$C$115)+IF('Equipment List &amp; Usage'!$F23="yes",'Equipment List &amp; Usage'!$C$114,'Equipment List &amp; Usage'!$C$115)*(('Weekly Summary'!R$66*'Equipment List &amp; Usage'!$Q24)+('Weekly Summary'!R$64*'Equipment List &amp; Usage'!$O24)+('Weekly Summary'!R$65*'Equipment List &amp; Usage'!$P24)))+(IF('Equipment List &amp; Usage'!$F24="Yes",'Equipment List &amp; Usage'!$C$114*((('Weekly Summary'!R$131*SelfQuarantine_Mild)+('Weekly Summary'!R$100*SelfQuarantine_Mild)+('Weekly Summary'!R$101*SelfQuarantine_Moderate))),'Equipment List &amp; Usage'!$C$115)*((('Weekly Summary'!R$131*SelfQuarantine_Mild*'Equipment List &amp; Usage'!$W24)+('Weekly Summary'!R$100*SelfQuarantine_Mild*'Equipment List &amp; Usage'!$X24)+('Weekly Summary'!R$101*SelfQuarantine_Moderate*'Equipment List &amp; Usage'!$X24)))+IF('Equipment List &amp; Usage'!$F24="Yes",'Equipment List &amp; Usage'!$C$114*(IF('Equipment List &amp; Usage'!$AA24&gt;0,'Weekly Summary'!R$128,0)+IF('Equipment List &amp; Usage'!$AB24&gt;0,'Weekly Summary'!R$100+'Weekly Summary'!R$101,0)),'Equipment List &amp; Usage'!$C$115*(('Weekly Summary'!R$128*'Equipment List &amp; Usage'!$AA24)+('Weekly Summary'!R$100*'Equipment List &amp; Usage'!$AB24*SelfQuarantine_Mild)+('Weekly Summary'!R$101*'Equipment List &amp; Usage'!$AB24*SelfQuarantine_Moderate)))+IF('Equipment List &amp; Usage'!$F24="Yes",('Equipment List &amp; Usage'!$C$114*(IF('Equipment List &amp; Usage'!$AE24&gt;0,'Weekly Summary'!R$134,0)+IF('Equipment List &amp; Usage'!$AF24&gt;0,'Weekly Summary'!R$135))),'Equipment List &amp; Usage'!$C$115*(('Weekly Summary'!R$134*'Equipment List &amp; Usage'!$AE24)+('Weekly Summary'!R$135*'Equipment List &amp; Usage'!$AF24))))-SUM($I22:W22),
IF($F22="yes",MMULT(--('Equipment List &amp; Usage'!$J24:$N24&gt;0),--('Weekly Summary'!R$112:R$116))*'Equipment List &amp; Usage'!$C$114,MMULT(--('Equipment List &amp; Usage'!$J24:$N24),--('Weekly Summary'!R$112:R$116))*'Equipment List &amp; Usage'!$C$115)+IF('Equipment List &amp; Usage'!$F23="yes",'Equipment List &amp; Usage'!$C$114,'Equipment List &amp; Usage'!$C$115)*(('Weekly Summary'!R$66*'Equipment List &amp; Usage'!$Q24)+('Weekly Summary'!R$64*'Equipment List &amp; Usage'!$O24)+('Weekly Summary'!R$65*'Equipment List &amp; Usage'!$P24))+(IF('Equipment List &amp; Usage'!$F24="Yes",'Equipment List &amp; Usage'!$C$114*((('Weekly Summary'!R$131*SelfQuarantine_Mild)+('Weekly Summary'!R$100*SelfQuarantine_Mild)+('Weekly Summary'!R$101*SelfQuarantine_Moderate))),'Equipment List &amp; Usage'!$C$115)*((('Weekly Summary'!R$131*SelfQuarantine_Mild*'Equipment List &amp; Usage'!$W24)+('Weekly Summary'!R$100*SelfQuarantine_Mild*'Equipment List &amp; Usage'!$X24)+('Weekly Summary'!R$101*SelfQuarantine_Moderate*'Equipment List &amp; Usage'!$X24))))+IF('Equipment List &amp; Usage'!$F24="Yes",'Equipment List &amp; Usage'!$C$114*(IF('Equipment List &amp; Usage'!$AA24&gt;0,'Weekly Summary'!R$128,0)+IF('Equipment List &amp; Usage'!$AB24&gt;0,'Weekly Summary'!R$100+'Weekly Summary'!R$101,0)),'Equipment List &amp; Usage'!$C$115*(('Weekly Summary'!R$128*'Equipment List &amp; Usage'!$AA24)+('Weekly Summary'!R$100*'Equipment List &amp; Usage'!$AB24*SelfQuarantine_Mild)+('Weekly Summary'!R$101*'Equipment List &amp; Usage'!$AB24*SelfQuarantine_Moderate)))+IF('Equipment List &amp; Usage'!$F24="Yes",('Equipment List &amp; Usage'!$C$114*(IF('Equipment List &amp; Usage'!$AE24&gt;0,'Weekly Summary'!R$134,0)+IF('Equipment List &amp; Usage'!$AF24&gt;0,'Weekly Summary'!R$135))),'Equipment List &amp; Usage'!$C$115*(('Weekly Summary'!R$134*'Equipment List &amp; Usage'!$AE24)+('Weekly Summary'!R$135*'Equipment List &amp; Usage'!$AF24)))),0)</f>
        <v>0</v>
      </c>
      <c r="Y22" s="1374">
        <f ca="1">MAX(IF($F22="Yes",(
IF($F22="yes",MMULT(--('Equipment List &amp; Usage'!$J24:$N24&gt;0),--('Weekly Summary'!S$112:S$116))*'Equipment List &amp; Usage'!$C$114,MMULT(--('Equipment List &amp; Usage'!$J24:$N24),--('Weekly Summary'!S$112:S$116))*'Equipment List &amp; Usage'!$C$115)+IF('Equipment List &amp; Usage'!$F23="yes",'Equipment List &amp; Usage'!$C$114,'Equipment List &amp; Usage'!$C$115)*(('Weekly Summary'!S$66*'Equipment List &amp; Usage'!$Q24)+('Weekly Summary'!S$64*'Equipment List &amp; Usage'!$O24)+('Weekly Summary'!S$65*'Equipment List &amp; Usage'!$P24)))+(IF('Equipment List &amp; Usage'!$F24="Yes",'Equipment List &amp; Usage'!$C$114*((('Weekly Summary'!S$131*SelfQuarantine_Mild)+('Weekly Summary'!S$100*SelfQuarantine_Mild)+('Weekly Summary'!S$101*SelfQuarantine_Moderate))),'Equipment List &amp; Usage'!$C$115)*((('Weekly Summary'!S$131*SelfQuarantine_Mild*'Equipment List &amp; Usage'!$W24)+('Weekly Summary'!S$100*SelfQuarantine_Mild*'Equipment List &amp; Usage'!$X24)+('Weekly Summary'!S$101*SelfQuarantine_Moderate*'Equipment List &amp; Usage'!$X24)))+IF('Equipment List &amp; Usage'!$F24="Yes",'Equipment List &amp; Usage'!$C$114*(IF('Equipment List &amp; Usage'!$AA24&gt;0,'Weekly Summary'!S$128,0)+IF('Equipment List &amp; Usage'!$AB24&gt;0,'Weekly Summary'!S$100+'Weekly Summary'!S$101,0)),'Equipment List &amp; Usage'!$C$115*(('Weekly Summary'!S$128*'Equipment List &amp; Usage'!$AA24)+('Weekly Summary'!S$100*'Equipment List &amp; Usage'!$AB24*SelfQuarantine_Mild)+('Weekly Summary'!S$101*'Equipment List &amp; Usage'!$AB24*SelfQuarantine_Moderate)))+IF('Equipment List &amp; Usage'!$F24="Yes",('Equipment List &amp; Usage'!$C$114*(IF('Equipment List &amp; Usage'!$AE24&gt;0,'Weekly Summary'!S$134,0)+IF('Equipment List &amp; Usage'!$AF24&gt;0,'Weekly Summary'!S$135))),'Equipment List &amp; Usage'!$C$115*(('Weekly Summary'!S$134*'Equipment List &amp; Usage'!$AE24)+('Weekly Summary'!S$135*'Equipment List &amp; Usage'!$AF24))))-SUM($I22:X22),
IF($F22="yes",MMULT(--('Equipment List &amp; Usage'!$J24:$N24&gt;0),--('Weekly Summary'!S$112:S$116))*'Equipment List &amp; Usage'!$C$114,MMULT(--('Equipment List &amp; Usage'!$J24:$N24),--('Weekly Summary'!S$112:S$116))*'Equipment List &amp; Usage'!$C$115)+IF('Equipment List &amp; Usage'!$F23="yes",'Equipment List &amp; Usage'!$C$114,'Equipment List &amp; Usage'!$C$115)*(('Weekly Summary'!S$66*'Equipment List &amp; Usage'!$Q24)+('Weekly Summary'!S$64*'Equipment List &amp; Usage'!$O24)+('Weekly Summary'!S$65*'Equipment List &amp; Usage'!$P24))+(IF('Equipment List &amp; Usage'!$F24="Yes",'Equipment List &amp; Usage'!$C$114*((('Weekly Summary'!S$131*SelfQuarantine_Mild)+('Weekly Summary'!S$100*SelfQuarantine_Mild)+('Weekly Summary'!S$101*SelfQuarantine_Moderate))),'Equipment List &amp; Usage'!$C$115)*((('Weekly Summary'!S$131*SelfQuarantine_Mild*'Equipment List &amp; Usage'!$W24)+('Weekly Summary'!S$100*SelfQuarantine_Mild*'Equipment List &amp; Usage'!$X24)+('Weekly Summary'!S$101*SelfQuarantine_Moderate*'Equipment List &amp; Usage'!$X24))))+IF('Equipment List &amp; Usage'!$F24="Yes",'Equipment List &amp; Usage'!$C$114*(IF('Equipment List &amp; Usage'!$AA24&gt;0,'Weekly Summary'!S$128,0)+IF('Equipment List &amp; Usage'!$AB24&gt;0,'Weekly Summary'!S$100+'Weekly Summary'!S$101,0)),'Equipment List &amp; Usage'!$C$115*(('Weekly Summary'!S$128*'Equipment List &amp; Usage'!$AA24)+('Weekly Summary'!S$100*'Equipment List &amp; Usage'!$AB24*SelfQuarantine_Mild)+('Weekly Summary'!S$101*'Equipment List &amp; Usage'!$AB24*SelfQuarantine_Moderate)))+IF('Equipment List &amp; Usage'!$F24="Yes",('Equipment List &amp; Usage'!$C$114*(IF('Equipment List &amp; Usage'!$AE24&gt;0,'Weekly Summary'!S$134,0)+IF('Equipment List &amp; Usage'!$AF24&gt;0,'Weekly Summary'!S$135))),'Equipment List &amp; Usage'!$C$115*(('Weekly Summary'!S$134*'Equipment List &amp; Usage'!$AE24)+('Weekly Summary'!S$135*'Equipment List &amp; Usage'!$AF24)))),0)</f>
        <v>0</v>
      </c>
      <c r="Z22" s="1374">
        <f ca="1">MAX(IF($F22="Yes",(
IF($F22="yes",MMULT(--('Equipment List &amp; Usage'!$J24:$N24&gt;0),--('Weekly Summary'!T$112:T$116))*'Equipment List &amp; Usage'!$C$114,MMULT(--('Equipment List &amp; Usage'!$J24:$N24),--('Weekly Summary'!T$112:T$116))*'Equipment List &amp; Usage'!$C$115)+IF('Equipment List &amp; Usage'!$F23="yes",'Equipment List &amp; Usage'!$C$114,'Equipment List &amp; Usage'!$C$115)*(('Weekly Summary'!T$66*'Equipment List &amp; Usage'!$Q24)+('Weekly Summary'!T$64*'Equipment List &amp; Usage'!$O24)+('Weekly Summary'!T$65*'Equipment List &amp; Usage'!$P24)))+(IF('Equipment List &amp; Usage'!$F24="Yes",'Equipment List &amp; Usage'!$C$114*((('Weekly Summary'!T$131*SelfQuarantine_Mild)+('Weekly Summary'!T$100*SelfQuarantine_Mild)+('Weekly Summary'!T$101*SelfQuarantine_Moderate))),'Equipment List &amp; Usage'!$C$115)*((('Weekly Summary'!T$131*SelfQuarantine_Mild*'Equipment List &amp; Usage'!$W24)+('Weekly Summary'!T$100*SelfQuarantine_Mild*'Equipment List &amp; Usage'!$X24)+('Weekly Summary'!T$101*SelfQuarantine_Moderate*'Equipment List &amp; Usage'!$X24)))+IF('Equipment List &amp; Usage'!$F24="Yes",'Equipment List &amp; Usage'!$C$114*(IF('Equipment List &amp; Usage'!$AA24&gt;0,'Weekly Summary'!T$128,0)+IF('Equipment List &amp; Usage'!$AB24&gt;0,'Weekly Summary'!T$100+'Weekly Summary'!T$101,0)),'Equipment List &amp; Usage'!$C$115*(('Weekly Summary'!T$128*'Equipment List &amp; Usage'!$AA24)+('Weekly Summary'!T$100*'Equipment List &amp; Usage'!$AB24*SelfQuarantine_Mild)+('Weekly Summary'!T$101*'Equipment List &amp; Usage'!$AB24*SelfQuarantine_Moderate)))+IF('Equipment List &amp; Usage'!$F24="Yes",('Equipment List &amp; Usage'!$C$114*(IF('Equipment List &amp; Usage'!$AE24&gt;0,'Weekly Summary'!T$134,0)+IF('Equipment List &amp; Usage'!$AF24&gt;0,'Weekly Summary'!T$135))),'Equipment List &amp; Usage'!$C$115*(('Weekly Summary'!T$134*'Equipment List &amp; Usage'!$AE24)+('Weekly Summary'!T$135*'Equipment List &amp; Usage'!$AF24))))-SUM($I22:Y22),
IF($F22="yes",MMULT(--('Equipment List &amp; Usage'!$J24:$N24&gt;0),--('Weekly Summary'!T$112:T$116))*'Equipment List &amp; Usage'!$C$114,MMULT(--('Equipment List &amp; Usage'!$J24:$N24),--('Weekly Summary'!T$112:T$116))*'Equipment List &amp; Usage'!$C$115)+IF('Equipment List &amp; Usage'!$F23="yes",'Equipment List &amp; Usage'!$C$114,'Equipment List &amp; Usage'!$C$115)*(('Weekly Summary'!T$66*'Equipment List &amp; Usage'!$Q24)+('Weekly Summary'!T$64*'Equipment List &amp; Usage'!$O24)+('Weekly Summary'!T$65*'Equipment List &amp; Usage'!$P24))+(IF('Equipment List &amp; Usage'!$F24="Yes",'Equipment List &amp; Usage'!$C$114*((('Weekly Summary'!T$131*SelfQuarantine_Mild)+('Weekly Summary'!T$100*SelfQuarantine_Mild)+('Weekly Summary'!T$101*SelfQuarantine_Moderate))),'Equipment List &amp; Usage'!$C$115)*((('Weekly Summary'!T$131*SelfQuarantine_Mild*'Equipment List &amp; Usage'!$W24)+('Weekly Summary'!T$100*SelfQuarantine_Mild*'Equipment List &amp; Usage'!$X24)+('Weekly Summary'!T$101*SelfQuarantine_Moderate*'Equipment List &amp; Usage'!$X24))))+IF('Equipment List &amp; Usage'!$F24="Yes",'Equipment List &amp; Usage'!$C$114*(IF('Equipment List &amp; Usage'!$AA24&gt;0,'Weekly Summary'!T$128,0)+IF('Equipment List &amp; Usage'!$AB24&gt;0,'Weekly Summary'!T$100+'Weekly Summary'!T$101,0)),'Equipment List &amp; Usage'!$C$115*(('Weekly Summary'!T$128*'Equipment List &amp; Usage'!$AA24)+('Weekly Summary'!T$100*'Equipment List &amp; Usage'!$AB24*SelfQuarantine_Mild)+('Weekly Summary'!T$101*'Equipment List &amp; Usage'!$AB24*SelfQuarantine_Moderate)))+IF('Equipment List &amp; Usage'!$F24="Yes",('Equipment List &amp; Usage'!$C$114*(IF('Equipment List &amp; Usage'!$AE24&gt;0,'Weekly Summary'!T$134,0)+IF('Equipment List &amp; Usage'!$AF24&gt;0,'Weekly Summary'!T$135))),'Equipment List &amp; Usage'!$C$115*(('Weekly Summary'!T$134*'Equipment List &amp; Usage'!$AE24)+('Weekly Summary'!T$135*'Equipment List &amp; Usage'!$AF24)))),0)</f>
        <v>0</v>
      </c>
      <c r="AA22" s="1374">
        <f ca="1">MAX(IF($F22="Yes",(
IF($F22="yes",MMULT(--('Equipment List &amp; Usage'!$J24:$N24&gt;0),--('Weekly Summary'!U$112:U$116))*'Equipment List &amp; Usage'!$C$114,MMULT(--('Equipment List &amp; Usage'!$J24:$N24),--('Weekly Summary'!U$112:U$116))*'Equipment List &amp; Usage'!$C$115)+IF('Equipment List &amp; Usage'!$F23="yes",'Equipment List &amp; Usage'!$C$114,'Equipment List &amp; Usage'!$C$115)*(('Weekly Summary'!U$66*'Equipment List &amp; Usage'!$Q24)+('Weekly Summary'!U$64*'Equipment List &amp; Usage'!$O24)+('Weekly Summary'!U$65*'Equipment List &amp; Usage'!$P24)))+(IF('Equipment List &amp; Usage'!$F24="Yes",'Equipment List &amp; Usage'!$C$114*((('Weekly Summary'!U$131*SelfQuarantine_Mild)+('Weekly Summary'!U$100*SelfQuarantine_Mild)+('Weekly Summary'!U$101*SelfQuarantine_Moderate))),'Equipment List &amp; Usage'!$C$115)*((('Weekly Summary'!U$131*SelfQuarantine_Mild*'Equipment List &amp; Usage'!$W24)+('Weekly Summary'!U$100*SelfQuarantine_Mild*'Equipment List &amp; Usage'!$X24)+('Weekly Summary'!U$101*SelfQuarantine_Moderate*'Equipment List &amp; Usage'!$X24)))+IF('Equipment List &amp; Usage'!$F24="Yes",'Equipment List &amp; Usage'!$C$114*(IF('Equipment List &amp; Usage'!$AA24&gt;0,'Weekly Summary'!U$128,0)+IF('Equipment List &amp; Usage'!$AB24&gt;0,'Weekly Summary'!U$100+'Weekly Summary'!U$101,0)),'Equipment List &amp; Usage'!$C$115*(('Weekly Summary'!U$128*'Equipment List &amp; Usage'!$AA24)+('Weekly Summary'!U$100*'Equipment List &amp; Usage'!$AB24*SelfQuarantine_Mild)+('Weekly Summary'!U$101*'Equipment List &amp; Usage'!$AB24*SelfQuarantine_Moderate)))+IF('Equipment List &amp; Usage'!$F24="Yes",('Equipment List &amp; Usage'!$C$114*(IF('Equipment List &amp; Usage'!$AE24&gt;0,'Weekly Summary'!U$134,0)+IF('Equipment List &amp; Usage'!$AF24&gt;0,'Weekly Summary'!U$135))),'Equipment List &amp; Usage'!$C$115*(('Weekly Summary'!U$134*'Equipment List &amp; Usage'!$AE24)+('Weekly Summary'!U$135*'Equipment List &amp; Usage'!$AF24))))-SUM($I22:Z22),
IF($F22="yes",MMULT(--('Equipment List &amp; Usage'!$J24:$N24&gt;0),--('Weekly Summary'!U$112:U$116))*'Equipment List &amp; Usage'!$C$114,MMULT(--('Equipment List &amp; Usage'!$J24:$N24),--('Weekly Summary'!U$112:U$116))*'Equipment List &amp; Usage'!$C$115)+IF('Equipment List &amp; Usage'!$F23="yes",'Equipment List &amp; Usage'!$C$114,'Equipment List &amp; Usage'!$C$115)*(('Weekly Summary'!U$66*'Equipment List &amp; Usage'!$Q24)+('Weekly Summary'!U$64*'Equipment List &amp; Usage'!$O24)+('Weekly Summary'!U$65*'Equipment List &amp; Usage'!$P24))+(IF('Equipment List &amp; Usage'!$F24="Yes",'Equipment List &amp; Usage'!$C$114*((('Weekly Summary'!U$131*SelfQuarantine_Mild)+('Weekly Summary'!U$100*SelfQuarantine_Mild)+('Weekly Summary'!U$101*SelfQuarantine_Moderate))),'Equipment List &amp; Usage'!$C$115)*((('Weekly Summary'!U$131*SelfQuarantine_Mild*'Equipment List &amp; Usage'!$W24)+('Weekly Summary'!U$100*SelfQuarantine_Mild*'Equipment List &amp; Usage'!$X24)+('Weekly Summary'!U$101*SelfQuarantine_Moderate*'Equipment List &amp; Usage'!$X24))))+IF('Equipment List &amp; Usage'!$F24="Yes",'Equipment List &amp; Usage'!$C$114*(IF('Equipment List &amp; Usage'!$AA24&gt;0,'Weekly Summary'!U$128,0)+IF('Equipment List &amp; Usage'!$AB24&gt;0,'Weekly Summary'!U$100+'Weekly Summary'!U$101,0)),'Equipment List &amp; Usage'!$C$115*(('Weekly Summary'!U$128*'Equipment List &amp; Usage'!$AA24)+('Weekly Summary'!U$100*'Equipment List &amp; Usage'!$AB24*SelfQuarantine_Mild)+('Weekly Summary'!U$101*'Equipment List &amp; Usage'!$AB24*SelfQuarantine_Moderate)))+IF('Equipment List &amp; Usage'!$F24="Yes",('Equipment List &amp; Usage'!$C$114*(IF('Equipment List &amp; Usage'!$AE24&gt;0,'Weekly Summary'!U$134,0)+IF('Equipment List &amp; Usage'!$AF24&gt;0,'Weekly Summary'!U$135))),'Equipment List &amp; Usage'!$C$115*(('Weekly Summary'!U$134*'Equipment List &amp; Usage'!$AE24)+('Weekly Summary'!U$135*'Equipment List &amp; Usage'!$AF24)))),0)</f>
        <v>0</v>
      </c>
      <c r="AB22" s="1374">
        <f ca="1">MAX(IF($F22="Yes",(
IF($F22="yes",MMULT(--('Equipment List &amp; Usage'!$J24:$N24&gt;0),--('Weekly Summary'!V$112:V$116))*'Equipment List &amp; Usage'!$C$114,MMULT(--('Equipment List &amp; Usage'!$J24:$N24),--('Weekly Summary'!V$112:V$116))*'Equipment List &amp; Usage'!$C$115)+IF('Equipment List &amp; Usage'!$F23="yes",'Equipment List &amp; Usage'!$C$114,'Equipment List &amp; Usage'!$C$115)*(('Weekly Summary'!V$66*'Equipment List &amp; Usage'!$Q24)+('Weekly Summary'!V$64*'Equipment List &amp; Usage'!$O24)+('Weekly Summary'!V$65*'Equipment List &amp; Usage'!$P24)))+(IF('Equipment List &amp; Usage'!$F24="Yes",'Equipment List &amp; Usage'!$C$114*((('Weekly Summary'!V$131*SelfQuarantine_Mild)+('Weekly Summary'!V$100*SelfQuarantine_Mild)+('Weekly Summary'!V$101*SelfQuarantine_Moderate))),'Equipment List &amp; Usage'!$C$115)*((('Weekly Summary'!V$131*SelfQuarantine_Mild*'Equipment List &amp; Usage'!$W24)+('Weekly Summary'!V$100*SelfQuarantine_Mild*'Equipment List &amp; Usage'!$X24)+('Weekly Summary'!V$101*SelfQuarantine_Moderate*'Equipment List &amp; Usage'!$X24)))+IF('Equipment List &amp; Usage'!$F24="Yes",'Equipment List &amp; Usage'!$C$114*(IF('Equipment List &amp; Usage'!$AA24&gt;0,'Weekly Summary'!V$128,0)+IF('Equipment List &amp; Usage'!$AB24&gt;0,'Weekly Summary'!V$100+'Weekly Summary'!V$101,0)),'Equipment List &amp; Usage'!$C$115*(('Weekly Summary'!V$128*'Equipment List &amp; Usage'!$AA24)+('Weekly Summary'!V$100*'Equipment List &amp; Usage'!$AB24*SelfQuarantine_Mild)+('Weekly Summary'!V$101*'Equipment List &amp; Usage'!$AB24*SelfQuarantine_Moderate)))+IF('Equipment List &amp; Usage'!$F24="Yes",('Equipment List &amp; Usage'!$C$114*(IF('Equipment List &amp; Usage'!$AE24&gt;0,'Weekly Summary'!V$134,0)+IF('Equipment List &amp; Usage'!$AF24&gt;0,'Weekly Summary'!V$135))),'Equipment List &amp; Usage'!$C$115*(('Weekly Summary'!V$134*'Equipment List &amp; Usage'!$AE24)+('Weekly Summary'!V$135*'Equipment List &amp; Usage'!$AF24))))-SUM($I22:AA22),
IF($F22="yes",MMULT(--('Equipment List &amp; Usage'!$J24:$N24&gt;0),--('Weekly Summary'!V$112:V$116))*'Equipment List &amp; Usage'!$C$114,MMULT(--('Equipment List &amp; Usage'!$J24:$N24),--('Weekly Summary'!V$112:V$116))*'Equipment List &amp; Usage'!$C$115)+IF('Equipment List &amp; Usage'!$F23="yes",'Equipment List &amp; Usage'!$C$114,'Equipment List &amp; Usage'!$C$115)*(('Weekly Summary'!V$66*'Equipment List &amp; Usage'!$Q24)+('Weekly Summary'!V$64*'Equipment List &amp; Usage'!$O24)+('Weekly Summary'!V$65*'Equipment List &amp; Usage'!$P24))+(IF('Equipment List &amp; Usage'!$F24="Yes",'Equipment List &amp; Usage'!$C$114*((('Weekly Summary'!V$131*SelfQuarantine_Mild)+('Weekly Summary'!V$100*SelfQuarantine_Mild)+('Weekly Summary'!V$101*SelfQuarantine_Moderate))),'Equipment List &amp; Usage'!$C$115)*((('Weekly Summary'!V$131*SelfQuarantine_Mild*'Equipment List &amp; Usage'!$W24)+('Weekly Summary'!V$100*SelfQuarantine_Mild*'Equipment List &amp; Usage'!$X24)+('Weekly Summary'!V$101*SelfQuarantine_Moderate*'Equipment List &amp; Usage'!$X24))))+IF('Equipment List &amp; Usage'!$F24="Yes",'Equipment List &amp; Usage'!$C$114*(IF('Equipment List &amp; Usage'!$AA24&gt;0,'Weekly Summary'!V$128,0)+IF('Equipment List &amp; Usage'!$AB24&gt;0,'Weekly Summary'!V$100+'Weekly Summary'!V$101,0)),'Equipment List &amp; Usage'!$C$115*(('Weekly Summary'!V$128*'Equipment List &amp; Usage'!$AA24)+('Weekly Summary'!V$100*'Equipment List &amp; Usage'!$AB24*SelfQuarantine_Mild)+('Weekly Summary'!V$101*'Equipment List &amp; Usage'!$AB24*SelfQuarantine_Moderate)))+IF('Equipment List &amp; Usage'!$F24="Yes",('Equipment List &amp; Usage'!$C$114*(IF('Equipment List &amp; Usage'!$AE24&gt;0,'Weekly Summary'!V$134,0)+IF('Equipment List &amp; Usage'!$AF24&gt;0,'Weekly Summary'!V$135))),'Equipment List &amp; Usage'!$C$115*(('Weekly Summary'!V$134*'Equipment List &amp; Usage'!$AE24)+('Weekly Summary'!V$135*'Equipment List &amp; Usage'!$AF24)))),0)</f>
        <v>0</v>
      </c>
      <c r="AC22" s="1374">
        <f ca="1">MAX(IF($F22="Yes",(
IF($F22="yes",MMULT(--('Equipment List &amp; Usage'!$J24:$N24&gt;0),--('Weekly Summary'!W$112:W$116))*'Equipment List &amp; Usage'!$C$114,MMULT(--('Equipment List &amp; Usage'!$J24:$N24),--('Weekly Summary'!W$112:W$116))*'Equipment List &amp; Usage'!$C$115)+IF('Equipment List &amp; Usage'!$F23="yes",'Equipment List &amp; Usage'!$C$114,'Equipment List &amp; Usage'!$C$115)*(('Weekly Summary'!W$66*'Equipment List &amp; Usage'!$Q24)+('Weekly Summary'!W$64*'Equipment List &amp; Usage'!$O24)+('Weekly Summary'!W$65*'Equipment List &amp; Usage'!$P24)))+(IF('Equipment List &amp; Usage'!$F24="Yes",'Equipment List &amp; Usage'!$C$114*((('Weekly Summary'!W$131*SelfQuarantine_Mild)+('Weekly Summary'!W$100*SelfQuarantine_Mild)+('Weekly Summary'!W$101*SelfQuarantine_Moderate))),'Equipment List &amp; Usage'!$C$115)*((('Weekly Summary'!W$131*SelfQuarantine_Mild*'Equipment List &amp; Usage'!$W24)+('Weekly Summary'!W$100*SelfQuarantine_Mild*'Equipment List &amp; Usage'!$X24)+('Weekly Summary'!W$101*SelfQuarantine_Moderate*'Equipment List &amp; Usage'!$X24)))+IF('Equipment List &amp; Usage'!$F24="Yes",'Equipment List &amp; Usage'!$C$114*(IF('Equipment List &amp; Usage'!$AA24&gt;0,'Weekly Summary'!W$128,0)+IF('Equipment List &amp; Usage'!$AB24&gt;0,'Weekly Summary'!W$100+'Weekly Summary'!W$101,0)),'Equipment List &amp; Usage'!$C$115*(('Weekly Summary'!W$128*'Equipment List &amp; Usage'!$AA24)+('Weekly Summary'!W$100*'Equipment List &amp; Usage'!$AB24*SelfQuarantine_Mild)+('Weekly Summary'!W$101*'Equipment List &amp; Usage'!$AB24*SelfQuarantine_Moderate)))+IF('Equipment List &amp; Usage'!$F24="Yes",('Equipment List &amp; Usage'!$C$114*(IF('Equipment List &amp; Usage'!$AE24&gt;0,'Weekly Summary'!W$134,0)+IF('Equipment List &amp; Usage'!$AF24&gt;0,'Weekly Summary'!W$135))),'Equipment List &amp; Usage'!$C$115*(('Weekly Summary'!W$134*'Equipment List &amp; Usage'!$AE24)+('Weekly Summary'!W$135*'Equipment List &amp; Usage'!$AF24))))-SUM($I22:AB22),
IF($F22="yes",MMULT(--('Equipment List &amp; Usage'!$J24:$N24&gt;0),--('Weekly Summary'!W$112:W$116))*'Equipment List &amp; Usage'!$C$114,MMULT(--('Equipment List &amp; Usage'!$J24:$N24),--('Weekly Summary'!W$112:W$116))*'Equipment List &amp; Usage'!$C$115)+IF('Equipment List &amp; Usage'!$F23="yes",'Equipment List &amp; Usage'!$C$114,'Equipment List &amp; Usage'!$C$115)*(('Weekly Summary'!W$66*'Equipment List &amp; Usage'!$Q24)+('Weekly Summary'!W$64*'Equipment List &amp; Usage'!$O24)+('Weekly Summary'!W$65*'Equipment List &amp; Usage'!$P24))+(IF('Equipment List &amp; Usage'!$F24="Yes",'Equipment List &amp; Usage'!$C$114*((('Weekly Summary'!W$131*SelfQuarantine_Mild)+('Weekly Summary'!W$100*SelfQuarantine_Mild)+('Weekly Summary'!W$101*SelfQuarantine_Moderate))),'Equipment List &amp; Usage'!$C$115)*((('Weekly Summary'!W$131*SelfQuarantine_Mild*'Equipment List &amp; Usage'!$W24)+('Weekly Summary'!W$100*SelfQuarantine_Mild*'Equipment List &amp; Usage'!$X24)+('Weekly Summary'!W$101*SelfQuarantine_Moderate*'Equipment List &amp; Usage'!$X24))))+IF('Equipment List &amp; Usage'!$F24="Yes",'Equipment List &amp; Usage'!$C$114*(IF('Equipment List &amp; Usage'!$AA24&gt;0,'Weekly Summary'!W$128,0)+IF('Equipment List &amp; Usage'!$AB24&gt;0,'Weekly Summary'!W$100+'Weekly Summary'!W$101,0)),'Equipment List &amp; Usage'!$C$115*(('Weekly Summary'!W$128*'Equipment List &amp; Usage'!$AA24)+('Weekly Summary'!W$100*'Equipment List &amp; Usage'!$AB24*SelfQuarantine_Mild)+('Weekly Summary'!W$101*'Equipment List &amp; Usage'!$AB24*SelfQuarantine_Moderate)))+IF('Equipment List &amp; Usage'!$F24="Yes",('Equipment List &amp; Usage'!$C$114*(IF('Equipment List &amp; Usage'!$AE24&gt;0,'Weekly Summary'!W$134,0)+IF('Equipment List &amp; Usage'!$AF24&gt;0,'Weekly Summary'!W$135))),'Equipment List &amp; Usage'!$C$115*(('Weekly Summary'!W$134*'Equipment List &amp; Usage'!$AE24)+('Weekly Summary'!W$135*'Equipment List &amp; Usage'!$AF24)))),0)</f>
        <v>0</v>
      </c>
      <c r="AD22" s="1374">
        <f ca="1">MAX(IF($F22="Yes",(
IF($F22="yes",MMULT(--('Equipment List &amp; Usage'!$J24:$N24&gt;0),--('Weekly Summary'!X$112:X$116))*'Equipment List &amp; Usage'!$C$114,MMULT(--('Equipment List &amp; Usage'!$J24:$N24),--('Weekly Summary'!X$112:X$116))*'Equipment List &amp; Usage'!$C$115)+IF('Equipment List &amp; Usage'!$F23="yes",'Equipment List &amp; Usage'!$C$114,'Equipment List &amp; Usage'!$C$115)*(('Weekly Summary'!X$66*'Equipment List &amp; Usage'!$Q24)+('Weekly Summary'!X$64*'Equipment List &amp; Usage'!$O24)+('Weekly Summary'!X$65*'Equipment List &amp; Usage'!$P24)))+(IF('Equipment List &amp; Usage'!$F24="Yes",'Equipment List &amp; Usage'!$C$114*((('Weekly Summary'!X$131*SelfQuarantine_Mild)+('Weekly Summary'!X$100*SelfQuarantine_Mild)+('Weekly Summary'!X$101*SelfQuarantine_Moderate))),'Equipment List &amp; Usage'!$C$115)*((('Weekly Summary'!X$131*SelfQuarantine_Mild*'Equipment List &amp; Usage'!$W24)+('Weekly Summary'!X$100*SelfQuarantine_Mild*'Equipment List &amp; Usage'!$X24)+('Weekly Summary'!X$101*SelfQuarantine_Moderate*'Equipment List &amp; Usage'!$X24)))+IF('Equipment List &amp; Usage'!$F24="Yes",'Equipment List &amp; Usage'!$C$114*(IF('Equipment List &amp; Usage'!$AA24&gt;0,'Weekly Summary'!X$128,0)+IF('Equipment List &amp; Usage'!$AB24&gt;0,'Weekly Summary'!X$100+'Weekly Summary'!X$101,0)),'Equipment List &amp; Usage'!$C$115*(('Weekly Summary'!X$128*'Equipment List &amp; Usage'!$AA24)+('Weekly Summary'!X$100*'Equipment List &amp; Usage'!$AB24*SelfQuarantine_Mild)+('Weekly Summary'!X$101*'Equipment List &amp; Usage'!$AB24*SelfQuarantine_Moderate)))+IF('Equipment List &amp; Usage'!$F24="Yes",('Equipment List &amp; Usage'!$C$114*(IF('Equipment List &amp; Usage'!$AE24&gt;0,'Weekly Summary'!X$134,0)+IF('Equipment List &amp; Usage'!$AF24&gt;0,'Weekly Summary'!X$135))),'Equipment List &amp; Usage'!$C$115*(('Weekly Summary'!X$134*'Equipment List &amp; Usage'!$AE24)+('Weekly Summary'!X$135*'Equipment List &amp; Usage'!$AF24))))-SUM($I22:AC22),
IF($F22="yes",MMULT(--('Equipment List &amp; Usage'!$J24:$N24&gt;0),--('Weekly Summary'!X$112:X$116))*'Equipment List &amp; Usage'!$C$114,MMULT(--('Equipment List &amp; Usage'!$J24:$N24),--('Weekly Summary'!X$112:X$116))*'Equipment List &amp; Usage'!$C$115)+IF('Equipment List &amp; Usage'!$F23="yes",'Equipment List &amp; Usage'!$C$114,'Equipment List &amp; Usage'!$C$115)*(('Weekly Summary'!X$66*'Equipment List &amp; Usage'!$Q24)+('Weekly Summary'!X$64*'Equipment List &amp; Usage'!$O24)+('Weekly Summary'!X$65*'Equipment List &amp; Usage'!$P24))+(IF('Equipment List &amp; Usage'!$F24="Yes",'Equipment List &amp; Usage'!$C$114*((('Weekly Summary'!X$131*SelfQuarantine_Mild)+('Weekly Summary'!X$100*SelfQuarantine_Mild)+('Weekly Summary'!X$101*SelfQuarantine_Moderate))),'Equipment List &amp; Usage'!$C$115)*((('Weekly Summary'!X$131*SelfQuarantine_Mild*'Equipment List &amp; Usage'!$W24)+('Weekly Summary'!X$100*SelfQuarantine_Mild*'Equipment List &amp; Usage'!$X24)+('Weekly Summary'!X$101*SelfQuarantine_Moderate*'Equipment List &amp; Usage'!$X24))))+IF('Equipment List &amp; Usage'!$F24="Yes",'Equipment List &amp; Usage'!$C$114*(IF('Equipment List &amp; Usage'!$AA24&gt;0,'Weekly Summary'!X$128,0)+IF('Equipment List &amp; Usage'!$AB24&gt;0,'Weekly Summary'!X$100+'Weekly Summary'!X$101,0)),'Equipment List &amp; Usage'!$C$115*(('Weekly Summary'!X$128*'Equipment List &amp; Usage'!$AA24)+('Weekly Summary'!X$100*'Equipment List &amp; Usage'!$AB24*SelfQuarantine_Mild)+('Weekly Summary'!X$101*'Equipment List &amp; Usage'!$AB24*SelfQuarantine_Moderate)))+IF('Equipment List &amp; Usage'!$F24="Yes",('Equipment List &amp; Usage'!$C$114*(IF('Equipment List &amp; Usage'!$AE24&gt;0,'Weekly Summary'!X$134,0)+IF('Equipment List &amp; Usage'!$AF24&gt;0,'Weekly Summary'!X$135))),'Equipment List &amp; Usage'!$C$115*(('Weekly Summary'!X$134*'Equipment List &amp; Usage'!$AE24)+('Weekly Summary'!X$135*'Equipment List &amp; Usage'!$AF24)))),0)</f>
        <v>0</v>
      </c>
      <c r="AE22" s="1374">
        <f ca="1">MAX(IF($F22="Yes",(
IF($F22="yes",MMULT(--('Equipment List &amp; Usage'!$J24:$N24&gt;0),--('Weekly Summary'!Y$112:Y$116))*'Equipment List &amp; Usage'!$C$114,MMULT(--('Equipment List &amp; Usage'!$J24:$N24),--('Weekly Summary'!Y$112:Y$116))*'Equipment List &amp; Usage'!$C$115)+IF('Equipment List &amp; Usage'!$F23="yes",'Equipment List &amp; Usage'!$C$114,'Equipment List &amp; Usage'!$C$115)*(('Weekly Summary'!Y$66*'Equipment List &amp; Usage'!$Q24)+('Weekly Summary'!Y$64*'Equipment List &amp; Usage'!$O24)+('Weekly Summary'!Y$65*'Equipment List &amp; Usage'!$P24)))+(IF('Equipment List &amp; Usage'!$F24="Yes",'Equipment List &amp; Usage'!$C$114*((('Weekly Summary'!Y$131*SelfQuarantine_Mild)+('Weekly Summary'!Y$100*SelfQuarantine_Mild)+('Weekly Summary'!Y$101*SelfQuarantine_Moderate))),'Equipment List &amp; Usage'!$C$115)*((('Weekly Summary'!Y$131*SelfQuarantine_Mild*'Equipment List &amp; Usage'!$W24)+('Weekly Summary'!Y$100*SelfQuarantine_Mild*'Equipment List &amp; Usage'!$X24)+('Weekly Summary'!Y$101*SelfQuarantine_Moderate*'Equipment List &amp; Usage'!$X24)))+IF('Equipment List &amp; Usage'!$F24="Yes",'Equipment List &amp; Usage'!$C$114*(IF('Equipment List &amp; Usage'!$AA24&gt;0,'Weekly Summary'!Y$128,0)+IF('Equipment List &amp; Usage'!$AB24&gt;0,'Weekly Summary'!Y$100+'Weekly Summary'!Y$101,0)),'Equipment List &amp; Usage'!$C$115*(('Weekly Summary'!Y$128*'Equipment List &amp; Usage'!$AA24)+('Weekly Summary'!Y$100*'Equipment List &amp; Usage'!$AB24*SelfQuarantine_Mild)+('Weekly Summary'!Y$101*'Equipment List &amp; Usage'!$AB24*SelfQuarantine_Moderate)))+IF('Equipment List &amp; Usage'!$F24="Yes",('Equipment List &amp; Usage'!$C$114*(IF('Equipment List &amp; Usage'!$AE24&gt;0,'Weekly Summary'!Y$134,0)+IF('Equipment List &amp; Usage'!$AF24&gt;0,'Weekly Summary'!Y$135))),'Equipment List &amp; Usage'!$C$115*(('Weekly Summary'!Y$134*'Equipment List &amp; Usage'!$AE24)+('Weekly Summary'!Y$135*'Equipment List &amp; Usage'!$AF24))))-SUM($I22:AD22),
IF($F22="yes",MMULT(--('Equipment List &amp; Usage'!$J24:$N24&gt;0),--('Weekly Summary'!Y$112:Y$116))*'Equipment List &amp; Usage'!$C$114,MMULT(--('Equipment List &amp; Usage'!$J24:$N24),--('Weekly Summary'!Y$112:Y$116))*'Equipment List &amp; Usage'!$C$115)+IF('Equipment List &amp; Usage'!$F23="yes",'Equipment List &amp; Usage'!$C$114,'Equipment List &amp; Usage'!$C$115)*(('Weekly Summary'!Y$66*'Equipment List &amp; Usage'!$Q24)+('Weekly Summary'!Y$64*'Equipment List &amp; Usage'!$O24)+('Weekly Summary'!Y$65*'Equipment List &amp; Usage'!$P24))+(IF('Equipment List &amp; Usage'!$F24="Yes",'Equipment List &amp; Usage'!$C$114*((('Weekly Summary'!Y$131*SelfQuarantine_Mild)+('Weekly Summary'!Y$100*SelfQuarantine_Mild)+('Weekly Summary'!Y$101*SelfQuarantine_Moderate))),'Equipment List &amp; Usage'!$C$115)*((('Weekly Summary'!Y$131*SelfQuarantine_Mild*'Equipment List &amp; Usage'!$W24)+('Weekly Summary'!Y$100*SelfQuarantine_Mild*'Equipment List &amp; Usage'!$X24)+('Weekly Summary'!Y$101*SelfQuarantine_Moderate*'Equipment List &amp; Usage'!$X24))))+IF('Equipment List &amp; Usage'!$F24="Yes",'Equipment List &amp; Usage'!$C$114*(IF('Equipment List &amp; Usage'!$AA24&gt;0,'Weekly Summary'!Y$128,0)+IF('Equipment List &amp; Usage'!$AB24&gt;0,'Weekly Summary'!Y$100+'Weekly Summary'!Y$101,0)),'Equipment List &amp; Usage'!$C$115*(('Weekly Summary'!Y$128*'Equipment List &amp; Usage'!$AA24)+('Weekly Summary'!Y$100*'Equipment List &amp; Usage'!$AB24*SelfQuarantine_Mild)+('Weekly Summary'!Y$101*'Equipment List &amp; Usage'!$AB24*SelfQuarantine_Moderate)))+IF('Equipment List &amp; Usage'!$F24="Yes",('Equipment List &amp; Usage'!$C$114*(IF('Equipment List &amp; Usage'!$AE24&gt;0,'Weekly Summary'!Y$134,0)+IF('Equipment List &amp; Usage'!$AF24&gt;0,'Weekly Summary'!Y$135))),'Equipment List &amp; Usage'!$C$115*(('Weekly Summary'!Y$134*'Equipment List &amp; Usage'!$AE24)+('Weekly Summary'!Y$135*'Equipment List &amp; Usage'!$AF24)))),0)</f>
        <v>0</v>
      </c>
      <c r="AF22" s="1374">
        <f ca="1">MAX(IF($F22="Yes",(
IF($F22="yes",MMULT(--('Equipment List &amp; Usage'!$J24:$N24&gt;0),--('Weekly Summary'!Z$112:Z$116))*'Equipment List &amp; Usage'!$C$114,MMULT(--('Equipment List &amp; Usage'!$J24:$N24),--('Weekly Summary'!Z$112:Z$116))*'Equipment List &amp; Usage'!$C$115)+IF('Equipment List &amp; Usage'!$F23="yes",'Equipment List &amp; Usage'!$C$114,'Equipment List &amp; Usage'!$C$115)*(('Weekly Summary'!Z$66*'Equipment List &amp; Usage'!$Q24)+('Weekly Summary'!Z$64*'Equipment List &amp; Usage'!$O24)+('Weekly Summary'!Z$65*'Equipment List &amp; Usage'!$P24)))+(IF('Equipment List &amp; Usage'!$F24="Yes",'Equipment List &amp; Usage'!$C$114*((('Weekly Summary'!Z$131*SelfQuarantine_Mild)+('Weekly Summary'!Z$100*SelfQuarantine_Mild)+('Weekly Summary'!Z$101*SelfQuarantine_Moderate))),'Equipment List &amp; Usage'!$C$115)*((('Weekly Summary'!Z$131*SelfQuarantine_Mild*'Equipment List &amp; Usage'!$W24)+('Weekly Summary'!Z$100*SelfQuarantine_Mild*'Equipment List &amp; Usage'!$X24)+('Weekly Summary'!Z$101*SelfQuarantine_Moderate*'Equipment List &amp; Usage'!$X24)))+IF('Equipment List &amp; Usage'!$F24="Yes",'Equipment List &amp; Usage'!$C$114*(IF('Equipment List &amp; Usage'!$AA24&gt;0,'Weekly Summary'!Z$128,0)+IF('Equipment List &amp; Usage'!$AB24&gt;0,'Weekly Summary'!Z$100+'Weekly Summary'!Z$101,0)),'Equipment List &amp; Usage'!$C$115*(('Weekly Summary'!Z$128*'Equipment List &amp; Usage'!$AA24)+('Weekly Summary'!Z$100*'Equipment List &amp; Usage'!$AB24*SelfQuarantine_Mild)+('Weekly Summary'!Z$101*'Equipment List &amp; Usage'!$AB24*SelfQuarantine_Moderate)))+IF('Equipment List &amp; Usage'!$F24="Yes",('Equipment List &amp; Usage'!$C$114*(IF('Equipment List &amp; Usage'!$AE24&gt;0,'Weekly Summary'!Z$134,0)+IF('Equipment List &amp; Usage'!$AF24&gt;0,'Weekly Summary'!Z$135))),'Equipment List &amp; Usage'!$C$115*(('Weekly Summary'!Z$134*'Equipment List &amp; Usage'!$AE24)+('Weekly Summary'!Z$135*'Equipment List &amp; Usage'!$AF24))))-SUM($I22:AE22),
IF($F22="yes",MMULT(--('Equipment List &amp; Usage'!$J24:$N24&gt;0),--('Weekly Summary'!Z$112:Z$116))*'Equipment List &amp; Usage'!$C$114,MMULT(--('Equipment List &amp; Usage'!$J24:$N24),--('Weekly Summary'!Z$112:Z$116))*'Equipment List &amp; Usage'!$C$115)+IF('Equipment List &amp; Usage'!$F23="yes",'Equipment List &amp; Usage'!$C$114,'Equipment List &amp; Usage'!$C$115)*(('Weekly Summary'!Z$66*'Equipment List &amp; Usage'!$Q24)+('Weekly Summary'!Z$64*'Equipment List &amp; Usage'!$O24)+('Weekly Summary'!Z$65*'Equipment List &amp; Usage'!$P24))+(IF('Equipment List &amp; Usage'!$F24="Yes",'Equipment List &amp; Usage'!$C$114*((('Weekly Summary'!Z$131*SelfQuarantine_Mild)+('Weekly Summary'!Z$100*SelfQuarantine_Mild)+('Weekly Summary'!Z$101*SelfQuarantine_Moderate))),'Equipment List &amp; Usage'!$C$115)*((('Weekly Summary'!Z$131*SelfQuarantine_Mild*'Equipment List &amp; Usage'!$W24)+('Weekly Summary'!Z$100*SelfQuarantine_Mild*'Equipment List &amp; Usage'!$X24)+('Weekly Summary'!Z$101*SelfQuarantine_Moderate*'Equipment List &amp; Usage'!$X24))))+IF('Equipment List &amp; Usage'!$F24="Yes",'Equipment List &amp; Usage'!$C$114*(IF('Equipment List &amp; Usage'!$AA24&gt;0,'Weekly Summary'!Z$128,0)+IF('Equipment List &amp; Usage'!$AB24&gt;0,'Weekly Summary'!Z$100+'Weekly Summary'!Z$101,0)),'Equipment List &amp; Usage'!$C$115*(('Weekly Summary'!Z$128*'Equipment List &amp; Usage'!$AA24)+('Weekly Summary'!Z$100*'Equipment List &amp; Usage'!$AB24*SelfQuarantine_Mild)+('Weekly Summary'!Z$101*'Equipment List &amp; Usage'!$AB24*SelfQuarantine_Moderate)))+IF('Equipment List &amp; Usage'!$F24="Yes",('Equipment List &amp; Usage'!$C$114*(IF('Equipment List &amp; Usage'!$AE24&gt;0,'Weekly Summary'!Z$134,0)+IF('Equipment List &amp; Usage'!$AF24&gt;0,'Weekly Summary'!Z$135))),'Equipment List &amp; Usage'!$C$115*(('Weekly Summary'!Z$134*'Equipment List &amp; Usage'!$AE24)+('Weekly Summary'!Z$135*'Equipment List &amp; Usage'!$AF24)))),0)</f>
        <v>0</v>
      </c>
      <c r="AG22" s="1374">
        <f ca="1">MAX(IF($F22="Yes",(
IF($F22="yes",MMULT(--('Equipment List &amp; Usage'!$J24:$N24&gt;0),--('Weekly Summary'!AA$112:AA$116))*'Equipment List &amp; Usage'!$C$114,MMULT(--('Equipment List &amp; Usage'!$J24:$N24),--('Weekly Summary'!AA$112:AA$116))*'Equipment List &amp; Usage'!$C$115)+IF('Equipment List &amp; Usage'!$F23="yes",'Equipment List &amp; Usage'!$C$114,'Equipment List &amp; Usage'!$C$115)*(('Weekly Summary'!AA$66*'Equipment List &amp; Usage'!$Q24)+('Weekly Summary'!AA$64*'Equipment List &amp; Usage'!$O24)+('Weekly Summary'!AA$65*'Equipment List &amp; Usage'!$P24)))+(IF('Equipment List &amp; Usage'!$F24="Yes",'Equipment List &amp; Usage'!$C$114*((('Weekly Summary'!AA$131*SelfQuarantine_Mild)+('Weekly Summary'!AA$100*SelfQuarantine_Mild)+('Weekly Summary'!AA$101*SelfQuarantine_Moderate))),'Equipment List &amp; Usage'!$C$115)*((('Weekly Summary'!AA$131*SelfQuarantine_Mild*'Equipment List &amp; Usage'!$W24)+('Weekly Summary'!AA$100*SelfQuarantine_Mild*'Equipment List &amp; Usage'!$X24)+('Weekly Summary'!AA$101*SelfQuarantine_Moderate*'Equipment List &amp; Usage'!$X24)))+IF('Equipment List &amp; Usage'!$F24="Yes",'Equipment List &amp; Usage'!$C$114*(IF('Equipment List &amp; Usage'!$AA24&gt;0,'Weekly Summary'!AA$128,0)+IF('Equipment List &amp; Usage'!$AB24&gt;0,'Weekly Summary'!AA$100+'Weekly Summary'!AA$101,0)),'Equipment List &amp; Usage'!$C$115*(('Weekly Summary'!AA$128*'Equipment List &amp; Usage'!$AA24)+('Weekly Summary'!AA$100*'Equipment List &amp; Usage'!$AB24*SelfQuarantine_Mild)+('Weekly Summary'!AA$101*'Equipment List &amp; Usage'!$AB24*SelfQuarantine_Moderate)))+IF('Equipment List &amp; Usage'!$F24="Yes",('Equipment List &amp; Usage'!$C$114*(IF('Equipment List &amp; Usage'!$AE24&gt;0,'Weekly Summary'!AA$134,0)+IF('Equipment List &amp; Usage'!$AF24&gt;0,'Weekly Summary'!AA$135))),'Equipment List &amp; Usage'!$C$115*(('Weekly Summary'!AA$134*'Equipment List &amp; Usage'!$AE24)+('Weekly Summary'!AA$135*'Equipment List &amp; Usage'!$AF24))))-SUM($I22:AF22),
IF($F22="yes",MMULT(--('Equipment List &amp; Usage'!$J24:$N24&gt;0),--('Weekly Summary'!AA$112:AA$116))*'Equipment List &amp; Usage'!$C$114,MMULT(--('Equipment List &amp; Usage'!$J24:$N24),--('Weekly Summary'!AA$112:AA$116))*'Equipment List &amp; Usage'!$C$115)+IF('Equipment List &amp; Usage'!$F23="yes",'Equipment List &amp; Usage'!$C$114,'Equipment List &amp; Usage'!$C$115)*(('Weekly Summary'!AA$66*'Equipment List &amp; Usage'!$Q24)+('Weekly Summary'!AA$64*'Equipment List &amp; Usage'!$O24)+('Weekly Summary'!AA$65*'Equipment List &amp; Usage'!$P24))+(IF('Equipment List &amp; Usage'!$F24="Yes",'Equipment List &amp; Usage'!$C$114*((('Weekly Summary'!AA$131*SelfQuarantine_Mild)+('Weekly Summary'!AA$100*SelfQuarantine_Mild)+('Weekly Summary'!AA$101*SelfQuarantine_Moderate))),'Equipment List &amp; Usage'!$C$115)*((('Weekly Summary'!AA$131*SelfQuarantine_Mild*'Equipment List &amp; Usage'!$W24)+('Weekly Summary'!AA$100*SelfQuarantine_Mild*'Equipment List &amp; Usage'!$X24)+('Weekly Summary'!AA$101*SelfQuarantine_Moderate*'Equipment List &amp; Usage'!$X24))))+IF('Equipment List &amp; Usage'!$F24="Yes",'Equipment List &amp; Usage'!$C$114*(IF('Equipment List &amp; Usage'!$AA24&gt;0,'Weekly Summary'!AA$128,0)+IF('Equipment List &amp; Usage'!$AB24&gt;0,'Weekly Summary'!AA$100+'Weekly Summary'!AA$101,0)),'Equipment List &amp; Usage'!$C$115*(('Weekly Summary'!AA$128*'Equipment List &amp; Usage'!$AA24)+('Weekly Summary'!AA$100*'Equipment List &amp; Usage'!$AB24*SelfQuarantine_Mild)+('Weekly Summary'!AA$101*'Equipment List &amp; Usage'!$AB24*SelfQuarantine_Moderate)))+IF('Equipment List &amp; Usage'!$F24="Yes",('Equipment List &amp; Usage'!$C$114*(IF('Equipment List &amp; Usage'!$AE24&gt;0,'Weekly Summary'!AA$134,0)+IF('Equipment List &amp; Usage'!$AF24&gt;0,'Weekly Summary'!AA$135))),'Equipment List &amp; Usage'!$C$115*(('Weekly Summary'!AA$134*'Equipment List &amp; Usage'!$AE24)+('Weekly Summary'!AA$135*'Equipment List &amp; Usage'!$AF24)))),0)</f>
        <v>0</v>
      </c>
      <c r="AH22" s="1374">
        <f ca="1">MAX(IF($F22="Yes",(
IF($F22="yes",MMULT(--('Equipment List &amp; Usage'!$J24:$N24&gt;0),--('Weekly Summary'!AB$112:AB$116))*'Equipment List &amp; Usage'!$C$114,MMULT(--('Equipment List &amp; Usage'!$J24:$N24),--('Weekly Summary'!AB$112:AB$116))*'Equipment List &amp; Usage'!$C$115)+IF('Equipment List &amp; Usage'!$F23="yes",'Equipment List &amp; Usage'!$C$114,'Equipment List &amp; Usage'!$C$115)*(('Weekly Summary'!AB$66*'Equipment List &amp; Usage'!$Q24)+('Weekly Summary'!AB$64*'Equipment List &amp; Usage'!$O24)+('Weekly Summary'!AB$65*'Equipment List &amp; Usage'!$P24)))+(IF('Equipment List &amp; Usage'!$F24="Yes",'Equipment List &amp; Usage'!$C$114*((('Weekly Summary'!AB$131*SelfQuarantine_Mild)+('Weekly Summary'!AB$100*SelfQuarantine_Mild)+('Weekly Summary'!AB$101*SelfQuarantine_Moderate))),'Equipment List &amp; Usage'!$C$115)*((('Weekly Summary'!AB$131*SelfQuarantine_Mild*'Equipment List &amp; Usage'!$W24)+('Weekly Summary'!AB$100*SelfQuarantine_Mild*'Equipment List &amp; Usage'!$X24)+('Weekly Summary'!AB$101*SelfQuarantine_Moderate*'Equipment List &amp; Usage'!$X24)))+IF('Equipment List &amp; Usage'!$F24="Yes",'Equipment List &amp; Usage'!$C$114*(IF('Equipment List &amp; Usage'!$AA24&gt;0,'Weekly Summary'!AB$128,0)+IF('Equipment List &amp; Usage'!$AB24&gt;0,'Weekly Summary'!AB$100+'Weekly Summary'!AB$101,0)),'Equipment List &amp; Usage'!$C$115*(('Weekly Summary'!AB$128*'Equipment List &amp; Usage'!$AA24)+('Weekly Summary'!AB$100*'Equipment List &amp; Usage'!$AB24*SelfQuarantine_Mild)+('Weekly Summary'!AB$101*'Equipment List &amp; Usage'!$AB24*SelfQuarantine_Moderate)))+IF('Equipment List &amp; Usage'!$F24="Yes",('Equipment List &amp; Usage'!$C$114*(IF('Equipment List &amp; Usage'!$AE24&gt;0,'Weekly Summary'!AB$134,0)+IF('Equipment List &amp; Usage'!$AF24&gt;0,'Weekly Summary'!AB$135))),'Equipment List &amp; Usage'!$C$115*(('Weekly Summary'!AB$134*'Equipment List &amp; Usage'!$AE24)+('Weekly Summary'!AB$135*'Equipment List &amp; Usage'!$AF24))))-SUM($I22:AG22),
IF($F22="yes",MMULT(--('Equipment List &amp; Usage'!$J24:$N24&gt;0),--('Weekly Summary'!AB$112:AB$116))*'Equipment List &amp; Usage'!$C$114,MMULT(--('Equipment List &amp; Usage'!$J24:$N24),--('Weekly Summary'!AB$112:AB$116))*'Equipment List &amp; Usage'!$C$115)+IF('Equipment List &amp; Usage'!$F23="yes",'Equipment List &amp; Usage'!$C$114,'Equipment List &amp; Usage'!$C$115)*(('Weekly Summary'!AB$66*'Equipment List &amp; Usage'!$Q24)+('Weekly Summary'!AB$64*'Equipment List &amp; Usage'!$O24)+('Weekly Summary'!AB$65*'Equipment List &amp; Usage'!$P24))+(IF('Equipment List &amp; Usage'!$F24="Yes",'Equipment List &amp; Usage'!$C$114*((('Weekly Summary'!AB$131*SelfQuarantine_Mild)+('Weekly Summary'!AB$100*SelfQuarantine_Mild)+('Weekly Summary'!AB$101*SelfQuarantine_Moderate))),'Equipment List &amp; Usage'!$C$115)*((('Weekly Summary'!AB$131*SelfQuarantine_Mild*'Equipment List &amp; Usage'!$W24)+('Weekly Summary'!AB$100*SelfQuarantine_Mild*'Equipment List &amp; Usage'!$X24)+('Weekly Summary'!AB$101*SelfQuarantine_Moderate*'Equipment List &amp; Usage'!$X24))))+IF('Equipment List &amp; Usage'!$F24="Yes",'Equipment List &amp; Usage'!$C$114*(IF('Equipment List &amp; Usage'!$AA24&gt;0,'Weekly Summary'!AB$128,0)+IF('Equipment List &amp; Usage'!$AB24&gt;0,'Weekly Summary'!AB$100+'Weekly Summary'!AB$101,0)),'Equipment List &amp; Usage'!$C$115*(('Weekly Summary'!AB$128*'Equipment List &amp; Usage'!$AA24)+('Weekly Summary'!AB$100*'Equipment List &amp; Usage'!$AB24*SelfQuarantine_Mild)+('Weekly Summary'!AB$101*'Equipment List &amp; Usage'!$AB24*SelfQuarantine_Moderate)))+IF('Equipment List &amp; Usage'!$F24="Yes",('Equipment List &amp; Usage'!$C$114*(IF('Equipment List &amp; Usage'!$AE24&gt;0,'Weekly Summary'!AB$134,0)+IF('Equipment List &amp; Usage'!$AF24&gt;0,'Weekly Summary'!AB$135))),'Equipment List &amp; Usage'!$C$115*(('Weekly Summary'!AB$134*'Equipment List &amp; Usage'!$AE24)+('Weekly Summary'!AB$135*'Equipment List &amp; Usage'!$AF24)))),0)</f>
        <v>0</v>
      </c>
      <c r="AI22" s="1374">
        <f ca="1">MAX(IF($F22="Yes",(
IF($F22="yes",MMULT(--('Equipment List &amp; Usage'!$J24:$N24&gt;0),--('Weekly Summary'!AC$112:AC$116))*'Equipment List &amp; Usage'!$C$114,MMULT(--('Equipment List &amp; Usage'!$J24:$N24),--('Weekly Summary'!AC$112:AC$116))*'Equipment List &amp; Usage'!$C$115)+IF('Equipment List &amp; Usage'!$F23="yes",'Equipment List &amp; Usage'!$C$114,'Equipment List &amp; Usage'!$C$115)*(('Weekly Summary'!AC$66*'Equipment List &amp; Usage'!$Q24)+('Weekly Summary'!AC$64*'Equipment List &amp; Usage'!$O24)+('Weekly Summary'!AC$65*'Equipment List &amp; Usage'!$P24)))+(IF('Equipment List &amp; Usage'!$F24="Yes",'Equipment List &amp; Usage'!$C$114*((('Weekly Summary'!AC$131*SelfQuarantine_Mild)+('Weekly Summary'!AC$100*SelfQuarantine_Mild)+('Weekly Summary'!AC$101*SelfQuarantine_Moderate))),'Equipment List &amp; Usage'!$C$115)*((('Weekly Summary'!AC$131*SelfQuarantine_Mild*'Equipment List &amp; Usage'!$W24)+('Weekly Summary'!AC$100*SelfQuarantine_Mild*'Equipment List &amp; Usage'!$X24)+('Weekly Summary'!AC$101*SelfQuarantine_Moderate*'Equipment List &amp; Usage'!$X24)))+IF('Equipment List &amp; Usage'!$F24="Yes",'Equipment List &amp; Usage'!$C$114*(IF('Equipment List &amp; Usage'!$AA24&gt;0,'Weekly Summary'!AC$128,0)+IF('Equipment List &amp; Usage'!$AB24&gt;0,'Weekly Summary'!AC$100+'Weekly Summary'!AC$101,0)),'Equipment List &amp; Usage'!$C$115*(('Weekly Summary'!AC$128*'Equipment List &amp; Usage'!$AA24)+('Weekly Summary'!AC$100*'Equipment List &amp; Usage'!$AB24*SelfQuarantine_Mild)+('Weekly Summary'!AC$101*'Equipment List &amp; Usage'!$AB24*SelfQuarantine_Moderate)))+IF('Equipment List &amp; Usage'!$F24="Yes",('Equipment List &amp; Usage'!$C$114*(IF('Equipment List &amp; Usage'!$AE24&gt;0,'Weekly Summary'!AC$134,0)+IF('Equipment List &amp; Usage'!$AF24&gt;0,'Weekly Summary'!AC$135))),'Equipment List &amp; Usage'!$C$115*(('Weekly Summary'!AC$134*'Equipment List &amp; Usage'!$AE24)+('Weekly Summary'!AC$135*'Equipment List &amp; Usage'!$AF24))))-SUM($I22:AH22),
IF($F22="yes",MMULT(--('Equipment List &amp; Usage'!$J24:$N24&gt;0),--('Weekly Summary'!AC$112:AC$116))*'Equipment List &amp; Usage'!$C$114,MMULT(--('Equipment List &amp; Usage'!$J24:$N24),--('Weekly Summary'!AC$112:AC$116))*'Equipment List &amp; Usage'!$C$115)+IF('Equipment List &amp; Usage'!$F23="yes",'Equipment List &amp; Usage'!$C$114,'Equipment List &amp; Usage'!$C$115)*(('Weekly Summary'!AC$66*'Equipment List &amp; Usage'!$Q24)+('Weekly Summary'!AC$64*'Equipment List &amp; Usage'!$O24)+('Weekly Summary'!AC$65*'Equipment List &amp; Usage'!$P24))+(IF('Equipment List &amp; Usage'!$F24="Yes",'Equipment List &amp; Usage'!$C$114*((('Weekly Summary'!AC$131*SelfQuarantine_Mild)+('Weekly Summary'!AC$100*SelfQuarantine_Mild)+('Weekly Summary'!AC$101*SelfQuarantine_Moderate))),'Equipment List &amp; Usage'!$C$115)*((('Weekly Summary'!AC$131*SelfQuarantine_Mild*'Equipment List &amp; Usage'!$W24)+('Weekly Summary'!AC$100*SelfQuarantine_Mild*'Equipment List &amp; Usage'!$X24)+('Weekly Summary'!AC$101*SelfQuarantine_Moderate*'Equipment List &amp; Usage'!$X24))))+IF('Equipment List &amp; Usage'!$F24="Yes",'Equipment List &amp; Usage'!$C$114*(IF('Equipment List &amp; Usage'!$AA24&gt;0,'Weekly Summary'!AC$128,0)+IF('Equipment List &amp; Usage'!$AB24&gt;0,'Weekly Summary'!AC$100+'Weekly Summary'!AC$101,0)),'Equipment List &amp; Usage'!$C$115*(('Weekly Summary'!AC$128*'Equipment List &amp; Usage'!$AA24)+('Weekly Summary'!AC$100*'Equipment List &amp; Usage'!$AB24*SelfQuarantine_Mild)+('Weekly Summary'!AC$101*'Equipment List &amp; Usage'!$AB24*SelfQuarantine_Moderate)))+IF('Equipment List &amp; Usage'!$F24="Yes",('Equipment List &amp; Usage'!$C$114*(IF('Equipment List &amp; Usage'!$AE24&gt;0,'Weekly Summary'!AC$134,0)+IF('Equipment List &amp; Usage'!$AF24&gt;0,'Weekly Summary'!AC$135))),'Equipment List &amp; Usage'!$C$115*(('Weekly Summary'!AC$134*'Equipment List &amp; Usage'!$AE24)+('Weekly Summary'!AC$135*'Equipment List &amp; Usage'!$AF24)))),0)</f>
        <v>0</v>
      </c>
      <c r="AJ22" s="1374">
        <f ca="1">MAX(IF($F22="Yes",(
IF($F22="yes",MMULT(--('Equipment List &amp; Usage'!$J24:$N24&gt;0),--('Weekly Summary'!AD$112:AD$116))*'Equipment List &amp; Usage'!$C$114,MMULT(--('Equipment List &amp; Usage'!$J24:$N24),--('Weekly Summary'!AD$112:AD$116))*'Equipment List &amp; Usage'!$C$115)+IF('Equipment List &amp; Usage'!$F23="yes",'Equipment List &amp; Usage'!$C$114,'Equipment List &amp; Usage'!$C$115)*(('Weekly Summary'!AD$66*'Equipment List &amp; Usage'!$Q24)+('Weekly Summary'!AD$64*'Equipment List &amp; Usage'!$O24)+('Weekly Summary'!AD$65*'Equipment List &amp; Usage'!$P24)))+(IF('Equipment List &amp; Usage'!$F24="Yes",'Equipment List &amp; Usage'!$C$114*((('Weekly Summary'!AD$131*SelfQuarantine_Mild)+('Weekly Summary'!AD$100*SelfQuarantine_Mild)+('Weekly Summary'!AD$101*SelfQuarantine_Moderate))),'Equipment List &amp; Usage'!$C$115)*((('Weekly Summary'!AD$131*SelfQuarantine_Mild*'Equipment List &amp; Usage'!$W24)+('Weekly Summary'!AD$100*SelfQuarantine_Mild*'Equipment List &amp; Usage'!$X24)+('Weekly Summary'!AD$101*SelfQuarantine_Moderate*'Equipment List &amp; Usage'!$X24)))+IF('Equipment List &amp; Usage'!$F24="Yes",'Equipment List &amp; Usage'!$C$114*(IF('Equipment List &amp; Usage'!$AA24&gt;0,'Weekly Summary'!AD$128,0)+IF('Equipment List &amp; Usage'!$AB24&gt;0,'Weekly Summary'!AD$100+'Weekly Summary'!AD$101,0)),'Equipment List &amp; Usage'!$C$115*(('Weekly Summary'!AD$128*'Equipment List &amp; Usage'!$AA24)+('Weekly Summary'!AD$100*'Equipment List &amp; Usage'!$AB24*SelfQuarantine_Mild)+('Weekly Summary'!AD$101*'Equipment List &amp; Usage'!$AB24*SelfQuarantine_Moderate)))+IF('Equipment List &amp; Usage'!$F24="Yes",('Equipment List &amp; Usage'!$C$114*(IF('Equipment List &amp; Usage'!$AE24&gt;0,'Weekly Summary'!AD$134,0)+IF('Equipment List &amp; Usage'!$AF24&gt;0,'Weekly Summary'!AD$135))),'Equipment List &amp; Usage'!$C$115*(('Weekly Summary'!AD$134*'Equipment List &amp; Usage'!$AE24)+('Weekly Summary'!AD$135*'Equipment List &amp; Usage'!$AF24))))-SUM($I22:AI22),
IF($F22="yes",MMULT(--('Equipment List &amp; Usage'!$J24:$N24&gt;0),--('Weekly Summary'!AD$112:AD$116))*'Equipment List &amp; Usage'!$C$114,MMULT(--('Equipment List &amp; Usage'!$J24:$N24),--('Weekly Summary'!AD$112:AD$116))*'Equipment List &amp; Usage'!$C$115)+IF('Equipment List &amp; Usage'!$F23="yes",'Equipment List &amp; Usage'!$C$114,'Equipment List &amp; Usage'!$C$115)*(('Weekly Summary'!AD$66*'Equipment List &amp; Usage'!$Q24)+('Weekly Summary'!AD$64*'Equipment List &amp; Usage'!$O24)+('Weekly Summary'!AD$65*'Equipment List &amp; Usage'!$P24))+(IF('Equipment List &amp; Usage'!$F24="Yes",'Equipment List &amp; Usage'!$C$114*((('Weekly Summary'!AD$131*SelfQuarantine_Mild)+('Weekly Summary'!AD$100*SelfQuarantine_Mild)+('Weekly Summary'!AD$101*SelfQuarantine_Moderate))),'Equipment List &amp; Usage'!$C$115)*((('Weekly Summary'!AD$131*SelfQuarantine_Mild*'Equipment List &amp; Usage'!$W24)+('Weekly Summary'!AD$100*SelfQuarantine_Mild*'Equipment List &amp; Usage'!$X24)+('Weekly Summary'!AD$101*SelfQuarantine_Moderate*'Equipment List &amp; Usage'!$X24))))+IF('Equipment List &amp; Usage'!$F24="Yes",'Equipment List &amp; Usage'!$C$114*(IF('Equipment List &amp; Usage'!$AA24&gt;0,'Weekly Summary'!AD$128,0)+IF('Equipment List &amp; Usage'!$AB24&gt;0,'Weekly Summary'!AD$100+'Weekly Summary'!AD$101,0)),'Equipment List &amp; Usage'!$C$115*(('Weekly Summary'!AD$128*'Equipment List &amp; Usage'!$AA24)+('Weekly Summary'!AD$100*'Equipment List &amp; Usage'!$AB24*SelfQuarantine_Mild)+('Weekly Summary'!AD$101*'Equipment List &amp; Usage'!$AB24*SelfQuarantine_Moderate)))+IF('Equipment List &amp; Usage'!$F24="Yes",('Equipment List &amp; Usage'!$C$114*(IF('Equipment List &amp; Usage'!$AE24&gt;0,'Weekly Summary'!AD$134,0)+IF('Equipment List &amp; Usage'!$AF24&gt;0,'Weekly Summary'!AD$135))),'Equipment List &amp; Usage'!$C$115*(('Weekly Summary'!AD$134*'Equipment List &amp; Usage'!$AE24)+('Weekly Summary'!AD$135*'Equipment List &amp; Usage'!$AF24)))),0)</f>
        <v>0</v>
      </c>
      <c r="AK22" s="1374">
        <f ca="1">MAX(IF($F22="Yes",(
IF($F22="yes",MMULT(--('Equipment List &amp; Usage'!$J24:$N24&gt;0),--('Weekly Summary'!AE$112:AE$116))*'Equipment List &amp; Usage'!$C$114,MMULT(--('Equipment List &amp; Usage'!$J24:$N24),--('Weekly Summary'!AE$112:AE$116))*'Equipment List &amp; Usage'!$C$115)+IF('Equipment List &amp; Usage'!$F23="yes",'Equipment List &amp; Usage'!$C$114,'Equipment List &amp; Usage'!$C$115)*(('Weekly Summary'!AE$66*'Equipment List &amp; Usage'!$Q24)+('Weekly Summary'!AE$64*'Equipment List &amp; Usage'!$O24)+('Weekly Summary'!AE$65*'Equipment List &amp; Usage'!$P24)))+(IF('Equipment List &amp; Usage'!$F24="Yes",'Equipment List &amp; Usage'!$C$114*((('Weekly Summary'!AE$131*SelfQuarantine_Mild)+('Weekly Summary'!AE$100*SelfQuarantine_Mild)+('Weekly Summary'!AE$101*SelfQuarantine_Moderate))),'Equipment List &amp; Usage'!$C$115)*((('Weekly Summary'!AE$131*SelfQuarantine_Mild*'Equipment List &amp; Usage'!$W24)+('Weekly Summary'!AE$100*SelfQuarantine_Mild*'Equipment List &amp; Usage'!$X24)+('Weekly Summary'!AE$101*SelfQuarantine_Moderate*'Equipment List &amp; Usage'!$X24)))+IF('Equipment List &amp; Usage'!$F24="Yes",'Equipment List &amp; Usage'!$C$114*(IF('Equipment List &amp; Usage'!$AA24&gt;0,'Weekly Summary'!AE$128,0)+IF('Equipment List &amp; Usage'!$AB24&gt;0,'Weekly Summary'!AE$100+'Weekly Summary'!AE$101,0)),'Equipment List &amp; Usage'!$C$115*(('Weekly Summary'!AE$128*'Equipment List &amp; Usage'!$AA24)+('Weekly Summary'!AE$100*'Equipment List &amp; Usage'!$AB24*SelfQuarantine_Mild)+('Weekly Summary'!AE$101*'Equipment List &amp; Usage'!$AB24*SelfQuarantine_Moderate)))+IF('Equipment List &amp; Usage'!$F24="Yes",('Equipment List &amp; Usage'!$C$114*(IF('Equipment List &amp; Usage'!$AE24&gt;0,'Weekly Summary'!AE$134,0)+IF('Equipment List &amp; Usage'!$AF24&gt;0,'Weekly Summary'!AE$135))),'Equipment List &amp; Usage'!$C$115*(('Weekly Summary'!AE$134*'Equipment List &amp; Usage'!$AE24)+('Weekly Summary'!AE$135*'Equipment List &amp; Usage'!$AF24))))-SUM($I22:AJ22),
IF($F22="yes",MMULT(--('Equipment List &amp; Usage'!$J24:$N24&gt;0),--('Weekly Summary'!AE$112:AE$116))*'Equipment List &amp; Usage'!$C$114,MMULT(--('Equipment List &amp; Usage'!$J24:$N24),--('Weekly Summary'!AE$112:AE$116))*'Equipment List &amp; Usage'!$C$115)+IF('Equipment List &amp; Usage'!$F23="yes",'Equipment List &amp; Usage'!$C$114,'Equipment List &amp; Usage'!$C$115)*(('Weekly Summary'!AE$66*'Equipment List &amp; Usage'!$Q24)+('Weekly Summary'!AE$64*'Equipment List &amp; Usage'!$O24)+('Weekly Summary'!AE$65*'Equipment List &amp; Usage'!$P24))+(IF('Equipment List &amp; Usage'!$F24="Yes",'Equipment List &amp; Usage'!$C$114*((('Weekly Summary'!AE$131*SelfQuarantine_Mild)+('Weekly Summary'!AE$100*SelfQuarantine_Mild)+('Weekly Summary'!AE$101*SelfQuarantine_Moderate))),'Equipment List &amp; Usage'!$C$115)*((('Weekly Summary'!AE$131*SelfQuarantine_Mild*'Equipment List &amp; Usage'!$W24)+('Weekly Summary'!AE$100*SelfQuarantine_Mild*'Equipment List &amp; Usage'!$X24)+('Weekly Summary'!AE$101*SelfQuarantine_Moderate*'Equipment List &amp; Usage'!$X24))))+IF('Equipment List &amp; Usage'!$F24="Yes",'Equipment List &amp; Usage'!$C$114*(IF('Equipment List &amp; Usage'!$AA24&gt;0,'Weekly Summary'!AE$128,0)+IF('Equipment List &amp; Usage'!$AB24&gt;0,'Weekly Summary'!AE$100+'Weekly Summary'!AE$101,0)),'Equipment List &amp; Usage'!$C$115*(('Weekly Summary'!AE$128*'Equipment List &amp; Usage'!$AA24)+('Weekly Summary'!AE$100*'Equipment List &amp; Usage'!$AB24*SelfQuarantine_Mild)+('Weekly Summary'!AE$101*'Equipment List &amp; Usage'!$AB24*SelfQuarantine_Moderate)))+IF('Equipment List &amp; Usage'!$F24="Yes",('Equipment List &amp; Usage'!$C$114*(IF('Equipment List &amp; Usage'!$AE24&gt;0,'Weekly Summary'!AE$134,0)+IF('Equipment List &amp; Usage'!$AF24&gt;0,'Weekly Summary'!AE$135))),'Equipment List &amp; Usage'!$C$115*(('Weekly Summary'!AE$134*'Equipment List &amp; Usage'!$AE24)+('Weekly Summary'!AE$135*'Equipment List &amp; Usage'!$AF24)))),0)</f>
        <v>0</v>
      </c>
      <c r="AL22" s="1374">
        <f ca="1">MAX(IF($F22="Yes",(
IF($F22="yes",MMULT(--('Equipment List &amp; Usage'!$J24:$N24&gt;0),--('Weekly Summary'!AF$112:AF$116))*'Equipment List &amp; Usage'!$C$114,MMULT(--('Equipment List &amp; Usage'!$J24:$N24),--('Weekly Summary'!AF$112:AF$116))*'Equipment List &amp; Usage'!$C$115)+IF('Equipment List &amp; Usage'!$F23="yes",'Equipment List &amp; Usage'!$C$114,'Equipment List &amp; Usage'!$C$115)*(('Weekly Summary'!AF$66*'Equipment List &amp; Usage'!$Q24)+('Weekly Summary'!AF$64*'Equipment List &amp; Usage'!$O24)+('Weekly Summary'!AF$65*'Equipment List &amp; Usage'!$P24)))+(IF('Equipment List &amp; Usage'!$F24="Yes",'Equipment List &amp; Usage'!$C$114*((('Weekly Summary'!AF$131*SelfQuarantine_Mild)+('Weekly Summary'!AF$100*SelfQuarantine_Mild)+('Weekly Summary'!AF$101*SelfQuarantine_Moderate))),'Equipment List &amp; Usage'!$C$115)*((('Weekly Summary'!AF$131*SelfQuarantine_Mild*'Equipment List &amp; Usage'!$W24)+('Weekly Summary'!AF$100*SelfQuarantine_Mild*'Equipment List &amp; Usage'!$X24)+('Weekly Summary'!AF$101*SelfQuarantine_Moderate*'Equipment List &amp; Usage'!$X24)))+IF('Equipment List &amp; Usage'!$F24="Yes",'Equipment List &amp; Usage'!$C$114*(IF('Equipment List &amp; Usage'!$AA24&gt;0,'Weekly Summary'!AF$128,0)+IF('Equipment List &amp; Usage'!$AB24&gt;0,'Weekly Summary'!AF$100+'Weekly Summary'!AF$101,0)),'Equipment List &amp; Usage'!$C$115*(('Weekly Summary'!AF$128*'Equipment List &amp; Usage'!$AA24)+('Weekly Summary'!AF$100*'Equipment List &amp; Usage'!$AB24*SelfQuarantine_Mild)+('Weekly Summary'!AF$101*'Equipment List &amp; Usage'!$AB24*SelfQuarantine_Moderate)))+IF('Equipment List &amp; Usage'!$F24="Yes",('Equipment List &amp; Usage'!$C$114*(IF('Equipment List &amp; Usage'!$AE24&gt;0,'Weekly Summary'!AF$134,0)+IF('Equipment List &amp; Usage'!$AF24&gt;0,'Weekly Summary'!AF$135))),'Equipment List &amp; Usage'!$C$115*(('Weekly Summary'!AF$134*'Equipment List &amp; Usage'!$AE24)+('Weekly Summary'!AF$135*'Equipment List &amp; Usage'!$AF24))))-SUM($I22:AK22),
IF($F22="yes",MMULT(--('Equipment List &amp; Usage'!$J24:$N24&gt;0),--('Weekly Summary'!AF$112:AF$116))*'Equipment List &amp; Usage'!$C$114,MMULT(--('Equipment List &amp; Usage'!$J24:$N24),--('Weekly Summary'!AF$112:AF$116))*'Equipment List &amp; Usage'!$C$115)+IF('Equipment List &amp; Usage'!$F23="yes",'Equipment List &amp; Usage'!$C$114,'Equipment List &amp; Usage'!$C$115)*(('Weekly Summary'!AF$66*'Equipment List &amp; Usage'!$Q24)+('Weekly Summary'!AF$64*'Equipment List &amp; Usage'!$O24)+('Weekly Summary'!AF$65*'Equipment List &amp; Usage'!$P24))+(IF('Equipment List &amp; Usage'!$F24="Yes",'Equipment List &amp; Usage'!$C$114*((('Weekly Summary'!AF$131*SelfQuarantine_Mild)+('Weekly Summary'!AF$100*SelfQuarantine_Mild)+('Weekly Summary'!AF$101*SelfQuarantine_Moderate))),'Equipment List &amp; Usage'!$C$115)*((('Weekly Summary'!AF$131*SelfQuarantine_Mild*'Equipment List &amp; Usage'!$W24)+('Weekly Summary'!AF$100*SelfQuarantine_Mild*'Equipment List &amp; Usage'!$X24)+('Weekly Summary'!AF$101*SelfQuarantine_Moderate*'Equipment List &amp; Usage'!$X24))))+IF('Equipment List &amp; Usage'!$F24="Yes",'Equipment List &amp; Usage'!$C$114*(IF('Equipment List &amp; Usage'!$AA24&gt;0,'Weekly Summary'!AF$128,0)+IF('Equipment List &amp; Usage'!$AB24&gt;0,'Weekly Summary'!AF$100+'Weekly Summary'!AF$101,0)),'Equipment List &amp; Usage'!$C$115*(('Weekly Summary'!AF$128*'Equipment List &amp; Usage'!$AA24)+('Weekly Summary'!AF$100*'Equipment List &amp; Usage'!$AB24*SelfQuarantine_Mild)+('Weekly Summary'!AF$101*'Equipment List &amp; Usage'!$AB24*SelfQuarantine_Moderate)))+IF('Equipment List &amp; Usage'!$F24="Yes",('Equipment List &amp; Usage'!$C$114*(IF('Equipment List &amp; Usage'!$AE24&gt;0,'Weekly Summary'!AF$134,0)+IF('Equipment List &amp; Usage'!$AF24&gt;0,'Weekly Summary'!AF$135))),'Equipment List &amp; Usage'!$C$115*(('Weekly Summary'!AF$134*'Equipment List &amp; Usage'!$AE24)+('Weekly Summary'!AF$135*'Equipment List &amp; Usage'!$AF24)))),0)</f>
        <v>0</v>
      </c>
      <c r="AM22" s="1374">
        <f ca="1">MAX(IF($F22="Yes",(
IF($F22="yes",MMULT(--('Equipment List &amp; Usage'!$J24:$N24&gt;0),--('Weekly Summary'!AG$112:AG$116))*'Equipment List &amp; Usage'!$C$114,MMULT(--('Equipment List &amp; Usage'!$J24:$N24),--('Weekly Summary'!AG$112:AG$116))*'Equipment List &amp; Usage'!$C$115)+IF('Equipment List &amp; Usage'!$F23="yes",'Equipment List &amp; Usage'!$C$114,'Equipment List &amp; Usage'!$C$115)*(('Weekly Summary'!AG$66*'Equipment List &amp; Usage'!$Q24)+('Weekly Summary'!AG$64*'Equipment List &amp; Usage'!$O24)+('Weekly Summary'!AG$65*'Equipment List &amp; Usage'!$P24)))+(IF('Equipment List &amp; Usage'!$F24="Yes",'Equipment List &amp; Usage'!$C$114*((('Weekly Summary'!AG$131*SelfQuarantine_Mild)+('Weekly Summary'!AG$100*SelfQuarantine_Mild)+('Weekly Summary'!AG$101*SelfQuarantine_Moderate))),'Equipment List &amp; Usage'!$C$115)*((('Weekly Summary'!AG$131*SelfQuarantine_Mild*'Equipment List &amp; Usage'!$W24)+('Weekly Summary'!AG$100*SelfQuarantine_Mild*'Equipment List &amp; Usage'!$X24)+('Weekly Summary'!AG$101*SelfQuarantine_Moderate*'Equipment List &amp; Usage'!$X24)))+IF('Equipment List &amp; Usage'!$F24="Yes",'Equipment List &amp; Usage'!$C$114*(IF('Equipment List &amp; Usage'!$AA24&gt;0,'Weekly Summary'!AG$128,0)+IF('Equipment List &amp; Usage'!$AB24&gt;0,'Weekly Summary'!AG$100+'Weekly Summary'!AG$101,0)),'Equipment List &amp; Usage'!$C$115*(('Weekly Summary'!AG$128*'Equipment List &amp; Usage'!$AA24)+('Weekly Summary'!AG$100*'Equipment List &amp; Usage'!$AB24*SelfQuarantine_Mild)+('Weekly Summary'!AG$101*'Equipment List &amp; Usage'!$AB24*SelfQuarantine_Moderate)))+IF('Equipment List &amp; Usage'!$F24="Yes",('Equipment List &amp; Usage'!$C$114*(IF('Equipment List &amp; Usage'!$AE24&gt;0,'Weekly Summary'!AG$134,0)+IF('Equipment List &amp; Usage'!$AF24&gt;0,'Weekly Summary'!AG$135))),'Equipment List &amp; Usage'!$C$115*(('Weekly Summary'!AG$134*'Equipment List &amp; Usage'!$AE24)+('Weekly Summary'!AG$135*'Equipment List &amp; Usage'!$AF24))))-SUM($I22:AL22),
IF($F22="yes",MMULT(--('Equipment List &amp; Usage'!$J24:$N24&gt;0),--('Weekly Summary'!AG$112:AG$116))*'Equipment List &amp; Usage'!$C$114,MMULT(--('Equipment List &amp; Usage'!$J24:$N24),--('Weekly Summary'!AG$112:AG$116))*'Equipment List &amp; Usage'!$C$115)+IF('Equipment List &amp; Usage'!$F23="yes",'Equipment List &amp; Usage'!$C$114,'Equipment List &amp; Usage'!$C$115)*(('Weekly Summary'!AG$66*'Equipment List &amp; Usage'!$Q24)+('Weekly Summary'!AG$64*'Equipment List &amp; Usage'!$O24)+('Weekly Summary'!AG$65*'Equipment List &amp; Usage'!$P24))+(IF('Equipment List &amp; Usage'!$F24="Yes",'Equipment List &amp; Usage'!$C$114*((('Weekly Summary'!AG$131*SelfQuarantine_Mild)+('Weekly Summary'!AG$100*SelfQuarantine_Mild)+('Weekly Summary'!AG$101*SelfQuarantine_Moderate))),'Equipment List &amp; Usage'!$C$115)*((('Weekly Summary'!AG$131*SelfQuarantine_Mild*'Equipment List &amp; Usage'!$W24)+('Weekly Summary'!AG$100*SelfQuarantine_Mild*'Equipment List &amp; Usage'!$X24)+('Weekly Summary'!AG$101*SelfQuarantine_Moderate*'Equipment List &amp; Usage'!$X24))))+IF('Equipment List &amp; Usage'!$F24="Yes",'Equipment List &amp; Usage'!$C$114*(IF('Equipment List &amp; Usage'!$AA24&gt;0,'Weekly Summary'!AG$128,0)+IF('Equipment List &amp; Usage'!$AB24&gt;0,'Weekly Summary'!AG$100+'Weekly Summary'!AG$101,0)),'Equipment List &amp; Usage'!$C$115*(('Weekly Summary'!AG$128*'Equipment List &amp; Usage'!$AA24)+('Weekly Summary'!AG$100*'Equipment List &amp; Usage'!$AB24*SelfQuarantine_Mild)+('Weekly Summary'!AG$101*'Equipment List &amp; Usage'!$AB24*SelfQuarantine_Moderate)))+IF('Equipment List &amp; Usage'!$F24="Yes",('Equipment List &amp; Usage'!$C$114*(IF('Equipment List &amp; Usage'!$AE24&gt;0,'Weekly Summary'!AG$134,0)+IF('Equipment List &amp; Usage'!$AF24&gt;0,'Weekly Summary'!AG$135))),'Equipment List &amp; Usage'!$C$115*(('Weekly Summary'!AG$134*'Equipment List &amp; Usage'!$AE24)+('Weekly Summary'!AG$135*'Equipment List &amp; Usage'!$AF24)))),0)</f>
        <v>0</v>
      </c>
      <c r="AN22" s="1374">
        <f ca="1">MAX(IF($F22="Yes",(
IF($F22="yes",MMULT(--('Equipment List &amp; Usage'!$J24:$N24&gt;0),--('Weekly Summary'!AH$112:AH$116))*'Equipment List &amp; Usage'!$C$114,MMULT(--('Equipment List &amp; Usage'!$J24:$N24),--('Weekly Summary'!AH$112:AH$116))*'Equipment List &amp; Usage'!$C$115)+IF('Equipment List &amp; Usage'!$F23="yes",'Equipment List &amp; Usage'!$C$114,'Equipment List &amp; Usage'!$C$115)*(('Weekly Summary'!AH$66*'Equipment List &amp; Usage'!$Q24)+('Weekly Summary'!AH$64*'Equipment List &amp; Usage'!$O24)+('Weekly Summary'!AH$65*'Equipment List &amp; Usage'!$P24)))+(IF('Equipment List &amp; Usage'!$F24="Yes",'Equipment List &amp; Usage'!$C$114*((('Weekly Summary'!AH$131*SelfQuarantine_Mild)+('Weekly Summary'!AH$100*SelfQuarantine_Mild)+('Weekly Summary'!AH$101*SelfQuarantine_Moderate))),'Equipment List &amp; Usage'!$C$115)*((('Weekly Summary'!AH$131*SelfQuarantine_Mild*'Equipment List &amp; Usage'!$W24)+('Weekly Summary'!AH$100*SelfQuarantine_Mild*'Equipment List &amp; Usage'!$X24)+('Weekly Summary'!AH$101*SelfQuarantine_Moderate*'Equipment List &amp; Usage'!$X24)))+IF('Equipment List &amp; Usage'!$F24="Yes",'Equipment List &amp; Usage'!$C$114*(IF('Equipment List &amp; Usage'!$AA24&gt;0,'Weekly Summary'!AH$128,0)+IF('Equipment List &amp; Usage'!$AB24&gt;0,'Weekly Summary'!AH$100+'Weekly Summary'!AH$101,0)),'Equipment List &amp; Usage'!$C$115*(('Weekly Summary'!AH$128*'Equipment List &amp; Usage'!$AA24)+('Weekly Summary'!AH$100*'Equipment List &amp; Usage'!$AB24*SelfQuarantine_Mild)+('Weekly Summary'!AH$101*'Equipment List &amp; Usage'!$AB24*SelfQuarantine_Moderate)))+IF('Equipment List &amp; Usage'!$F24="Yes",('Equipment List &amp; Usage'!$C$114*(IF('Equipment List &amp; Usage'!$AE24&gt;0,'Weekly Summary'!AH$134,0)+IF('Equipment List &amp; Usage'!$AF24&gt;0,'Weekly Summary'!AH$135))),'Equipment List &amp; Usage'!$C$115*(('Weekly Summary'!AH$134*'Equipment List &amp; Usage'!$AE24)+('Weekly Summary'!AH$135*'Equipment List &amp; Usage'!$AF24))))-SUM($I22:AM22),
IF($F22="yes",MMULT(--('Equipment List &amp; Usage'!$J24:$N24&gt;0),--('Weekly Summary'!AH$112:AH$116))*'Equipment List &amp; Usage'!$C$114,MMULT(--('Equipment List &amp; Usage'!$J24:$N24),--('Weekly Summary'!AH$112:AH$116))*'Equipment List &amp; Usage'!$C$115)+IF('Equipment List &amp; Usage'!$F23="yes",'Equipment List &amp; Usage'!$C$114,'Equipment List &amp; Usage'!$C$115)*(('Weekly Summary'!AH$66*'Equipment List &amp; Usage'!$Q24)+('Weekly Summary'!AH$64*'Equipment List &amp; Usage'!$O24)+('Weekly Summary'!AH$65*'Equipment List &amp; Usage'!$P24))+(IF('Equipment List &amp; Usage'!$F24="Yes",'Equipment List &amp; Usage'!$C$114*((('Weekly Summary'!AH$131*SelfQuarantine_Mild)+('Weekly Summary'!AH$100*SelfQuarantine_Mild)+('Weekly Summary'!AH$101*SelfQuarantine_Moderate))),'Equipment List &amp; Usage'!$C$115)*((('Weekly Summary'!AH$131*SelfQuarantine_Mild*'Equipment List &amp; Usage'!$W24)+('Weekly Summary'!AH$100*SelfQuarantine_Mild*'Equipment List &amp; Usage'!$X24)+('Weekly Summary'!AH$101*SelfQuarantine_Moderate*'Equipment List &amp; Usage'!$X24))))+IF('Equipment List &amp; Usage'!$F24="Yes",'Equipment List &amp; Usage'!$C$114*(IF('Equipment List &amp; Usage'!$AA24&gt;0,'Weekly Summary'!AH$128,0)+IF('Equipment List &amp; Usage'!$AB24&gt;0,'Weekly Summary'!AH$100+'Weekly Summary'!AH$101,0)),'Equipment List &amp; Usage'!$C$115*(('Weekly Summary'!AH$128*'Equipment List &amp; Usage'!$AA24)+('Weekly Summary'!AH$100*'Equipment List &amp; Usage'!$AB24*SelfQuarantine_Mild)+('Weekly Summary'!AH$101*'Equipment List &amp; Usage'!$AB24*SelfQuarantine_Moderate)))+IF('Equipment List &amp; Usage'!$F24="Yes",('Equipment List &amp; Usage'!$C$114*(IF('Equipment List &amp; Usage'!$AE24&gt;0,'Weekly Summary'!AH$134,0)+IF('Equipment List &amp; Usage'!$AF24&gt;0,'Weekly Summary'!AH$135))),'Equipment List &amp; Usage'!$C$115*(('Weekly Summary'!AH$134*'Equipment List &amp; Usage'!$AE24)+('Weekly Summary'!AH$135*'Equipment List &amp; Usage'!$AF24)))),0)</f>
        <v>0</v>
      </c>
      <c r="AO22" s="1374">
        <f ca="1">MAX(IF($F22="Yes",(
IF($F22="yes",MMULT(--('Equipment List &amp; Usage'!$J24:$N24&gt;0),--('Weekly Summary'!AI$112:AI$116))*'Equipment List &amp; Usage'!$C$114,MMULT(--('Equipment List &amp; Usage'!$J24:$N24),--('Weekly Summary'!AI$112:AI$116))*'Equipment List &amp; Usage'!$C$115)+IF('Equipment List &amp; Usage'!$F23="yes",'Equipment List &amp; Usage'!$C$114,'Equipment List &amp; Usage'!$C$115)*(('Weekly Summary'!AI$66*'Equipment List &amp; Usage'!$Q24)+('Weekly Summary'!AI$64*'Equipment List &amp; Usage'!$O24)+('Weekly Summary'!AI$65*'Equipment List &amp; Usage'!$P24)))+(IF('Equipment List &amp; Usage'!$F24="Yes",'Equipment List &amp; Usage'!$C$114*((('Weekly Summary'!AI$131*SelfQuarantine_Mild)+('Weekly Summary'!AI$100*SelfQuarantine_Mild)+('Weekly Summary'!AI$101*SelfQuarantine_Moderate))),'Equipment List &amp; Usage'!$C$115)*((('Weekly Summary'!AI$131*SelfQuarantine_Mild*'Equipment List &amp; Usage'!$W24)+('Weekly Summary'!AI$100*SelfQuarantine_Mild*'Equipment List &amp; Usage'!$X24)+('Weekly Summary'!AI$101*SelfQuarantine_Moderate*'Equipment List &amp; Usage'!$X24)))+IF('Equipment List &amp; Usage'!$F24="Yes",'Equipment List &amp; Usage'!$C$114*(IF('Equipment List &amp; Usage'!$AA24&gt;0,'Weekly Summary'!AI$128,0)+IF('Equipment List &amp; Usage'!$AB24&gt;0,'Weekly Summary'!AI$100+'Weekly Summary'!AI$101,0)),'Equipment List &amp; Usage'!$C$115*(('Weekly Summary'!AI$128*'Equipment List &amp; Usage'!$AA24)+('Weekly Summary'!AI$100*'Equipment List &amp; Usage'!$AB24*SelfQuarantine_Mild)+('Weekly Summary'!AI$101*'Equipment List &amp; Usage'!$AB24*SelfQuarantine_Moderate)))+IF('Equipment List &amp; Usage'!$F24="Yes",('Equipment List &amp; Usage'!$C$114*(IF('Equipment List &amp; Usage'!$AE24&gt;0,'Weekly Summary'!AI$134,0)+IF('Equipment List &amp; Usage'!$AF24&gt;0,'Weekly Summary'!AI$135))),'Equipment List &amp; Usage'!$C$115*(('Weekly Summary'!AI$134*'Equipment List &amp; Usage'!$AE24)+('Weekly Summary'!AI$135*'Equipment List &amp; Usage'!$AF24))))-SUM($I22:AN22),
IF($F22="yes",MMULT(--('Equipment List &amp; Usage'!$J24:$N24&gt;0),--('Weekly Summary'!AI$112:AI$116))*'Equipment List &amp; Usage'!$C$114,MMULT(--('Equipment List &amp; Usage'!$J24:$N24),--('Weekly Summary'!AI$112:AI$116))*'Equipment List &amp; Usage'!$C$115)+IF('Equipment List &amp; Usage'!$F23="yes",'Equipment List &amp; Usage'!$C$114,'Equipment List &amp; Usage'!$C$115)*(('Weekly Summary'!AI$66*'Equipment List &amp; Usage'!$Q24)+('Weekly Summary'!AI$64*'Equipment List &amp; Usage'!$O24)+('Weekly Summary'!AI$65*'Equipment List &amp; Usage'!$P24))+(IF('Equipment List &amp; Usage'!$F24="Yes",'Equipment List &amp; Usage'!$C$114*((('Weekly Summary'!AI$131*SelfQuarantine_Mild)+('Weekly Summary'!AI$100*SelfQuarantine_Mild)+('Weekly Summary'!AI$101*SelfQuarantine_Moderate))),'Equipment List &amp; Usage'!$C$115)*((('Weekly Summary'!AI$131*SelfQuarantine_Mild*'Equipment List &amp; Usage'!$W24)+('Weekly Summary'!AI$100*SelfQuarantine_Mild*'Equipment List &amp; Usage'!$X24)+('Weekly Summary'!AI$101*SelfQuarantine_Moderate*'Equipment List &amp; Usage'!$X24))))+IF('Equipment List &amp; Usage'!$F24="Yes",'Equipment List &amp; Usage'!$C$114*(IF('Equipment List &amp; Usage'!$AA24&gt;0,'Weekly Summary'!AI$128,0)+IF('Equipment List &amp; Usage'!$AB24&gt;0,'Weekly Summary'!AI$100+'Weekly Summary'!AI$101,0)),'Equipment List &amp; Usage'!$C$115*(('Weekly Summary'!AI$128*'Equipment List &amp; Usage'!$AA24)+('Weekly Summary'!AI$100*'Equipment List &amp; Usage'!$AB24*SelfQuarantine_Mild)+('Weekly Summary'!AI$101*'Equipment List &amp; Usage'!$AB24*SelfQuarantine_Moderate)))+IF('Equipment List &amp; Usage'!$F24="Yes",('Equipment List &amp; Usage'!$C$114*(IF('Equipment List &amp; Usage'!$AE24&gt;0,'Weekly Summary'!AI$134,0)+IF('Equipment List &amp; Usage'!$AF24&gt;0,'Weekly Summary'!AI$135))),'Equipment List &amp; Usage'!$C$115*(('Weekly Summary'!AI$134*'Equipment List &amp; Usage'!$AE24)+('Weekly Summary'!AI$135*'Equipment List &amp; Usage'!$AF24)))),0)</f>
        <v>0</v>
      </c>
      <c r="AP22" s="1374">
        <f ca="1">MAX(IF($F22="Yes",(
IF($F22="yes",MMULT(--('Equipment List &amp; Usage'!$J24:$N24&gt;0),--('Weekly Summary'!AJ$112:AJ$116))*'Equipment List &amp; Usage'!$C$114,MMULT(--('Equipment List &amp; Usage'!$J24:$N24),--('Weekly Summary'!AJ$112:AJ$116))*'Equipment List &amp; Usage'!$C$115)+IF('Equipment List &amp; Usage'!$F23="yes",'Equipment List &amp; Usage'!$C$114,'Equipment List &amp; Usage'!$C$115)*(('Weekly Summary'!AJ$66*'Equipment List &amp; Usage'!$Q24)+('Weekly Summary'!AJ$64*'Equipment List &amp; Usage'!$O24)+('Weekly Summary'!AJ$65*'Equipment List &amp; Usage'!$P24)))+(IF('Equipment List &amp; Usage'!$F24="Yes",'Equipment List &amp; Usage'!$C$114*((('Weekly Summary'!AJ$131*SelfQuarantine_Mild)+('Weekly Summary'!AJ$100*SelfQuarantine_Mild)+('Weekly Summary'!AJ$101*SelfQuarantine_Moderate))),'Equipment List &amp; Usage'!$C$115)*((('Weekly Summary'!AJ$131*SelfQuarantine_Mild*'Equipment List &amp; Usage'!$W24)+('Weekly Summary'!AJ$100*SelfQuarantine_Mild*'Equipment List &amp; Usage'!$X24)+('Weekly Summary'!AJ$101*SelfQuarantine_Moderate*'Equipment List &amp; Usage'!$X24)))+IF('Equipment List &amp; Usage'!$F24="Yes",'Equipment List &amp; Usage'!$C$114*(IF('Equipment List &amp; Usage'!$AA24&gt;0,'Weekly Summary'!AJ$128,0)+IF('Equipment List &amp; Usage'!$AB24&gt;0,'Weekly Summary'!AJ$100+'Weekly Summary'!AJ$101,0)),'Equipment List &amp; Usage'!$C$115*(('Weekly Summary'!AJ$128*'Equipment List &amp; Usage'!$AA24)+('Weekly Summary'!AJ$100*'Equipment List &amp; Usage'!$AB24*SelfQuarantine_Mild)+('Weekly Summary'!AJ$101*'Equipment List &amp; Usage'!$AB24*SelfQuarantine_Moderate)))+IF('Equipment List &amp; Usage'!$F24="Yes",('Equipment List &amp; Usage'!$C$114*(IF('Equipment List &amp; Usage'!$AE24&gt;0,'Weekly Summary'!AJ$134,0)+IF('Equipment List &amp; Usage'!$AF24&gt;0,'Weekly Summary'!AJ$135))),'Equipment List &amp; Usage'!$C$115*(('Weekly Summary'!AJ$134*'Equipment List &amp; Usage'!$AE24)+('Weekly Summary'!AJ$135*'Equipment List &amp; Usage'!$AF24))))-SUM($I22:AO22),
IF($F22="yes",MMULT(--('Equipment List &amp; Usage'!$J24:$N24&gt;0),--('Weekly Summary'!AJ$112:AJ$116))*'Equipment List &amp; Usage'!$C$114,MMULT(--('Equipment List &amp; Usage'!$J24:$N24),--('Weekly Summary'!AJ$112:AJ$116))*'Equipment List &amp; Usage'!$C$115)+IF('Equipment List &amp; Usage'!$F23="yes",'Equipment List &amp; Usage'!$C$114,'Equipment List &amp; Usage'!$C$115)*(('Weekly Summary'!AJ$66*'Equipment List &amp; Usage'!$Q24)+('Weekly Summary'!AJ$64*'Equipment List &amp; Usage'!$O24)+('Weekly Summary'!AJ$65*'Equipment List &amp; Usage'!$P24))+(IF('Equipment List &amp; Usage'!$F24="Yes",'Equipment List &amp; Usage'!$C$114*((('Weekly Summary'!AJ$131*SelfQuarantine_Mild)+('Weekly Summary'!AJ$100*SelfQuarantine_Mild)+('Weekly Summary'!AJ$101*SelfQuarantine_Moderate))),'Equipment List &amp; Usage'!$C$115)*((('Weekly Summary'!AJ$131*SelfQuarantine_Mild*'Equipment List &amp; Usage'!$W24)+('Weekly Summary'!AJ$100*SelfQuarantine_Mild*'Equipment List &amp; Usage'!$X24)+('Weekly Summary'!AJ$101*SelfQuarantine_Moderate*'Equipment List &amp; Usage'!$X24))))+IF('Equipment List &amp; Usage'!$F24="Yes",'Equipment List &amp; Usage'!$C$114*(IF('Equipment List &amp; Usage'!$AA24&gt;0,'Weekly Summary'!AJ$128,0)+IF('Equipment List &amp; Usage'!$AB24&gt;0,'Weekly Summary'!AJ$100+'Weekly Summary'!AJ$101,0)),'Equipment List &amp; Usage'!$C$115*(('Weekly Summary'!AJ$128*'Equipment List &amp; Usage'!$AA24)+('Weekly Summary'!AJ$100*'Equipment List &amp; Usage'!$AB24*SelfQuarantine_Mild)+('Weekly Summary'!AJ$101*'Equipment List &amp; Usage'!$AB24*SelfQuarantine_Moderate)))+IF('Equipment List &amp; Usage'!$F24="Yes",('Equipment List &amp; Usage'!$C$114*(IF('Equipment List &amp; Usage'!$AE24&gt;0,'Weekly Summary'!AJ$134,0)+IF('Equipment List &amp; Usage'!$AF24&gt;0,'Weekly Summary'!AJ$135))),'Equipment List &amp; Usage'!$C$115*(('Weekly Summary'!AJ$134*'Equipment List &amp; Usage'!$AE24)+('Weekly Summary'!AJ$135*'Equipment List &amp; Usage'!$AF24)))),0)</f>
        <v>0</v>
      </c>
      <c r="AQ22" s="1374">
        <f ca="1">MAX(IF($F22="Yes",(
IF($F22="yes",MMULT(--('Equipment List &amp; Usage'!$J24:$N24&gt;0),--('Weekly Summary'!AK$112:AK$116))*'Equipment List &amp; Usage'!$C$114,MMULT(--('Equipment List &amp; Usage'!$J24:$N24),--('Weekly Summary'!AK$112:AK$116))*'Equipment List &amp; Usage'!$C$115)+IF('Equipment List &amp; Usage'!$F23="yes",'Equipment List &amp; Usage'!$C$114,'Equipment List &amp; Usage'!$C$115)*(('Weekly Summary'!AK$66*'Equipment List &amp; Usage'!$Q24)+('Weekly Summary'!AK$64*'Equipment List &amp; Usage'!$O24)+('Weekly Summary'!AK$65*'Equipment List &amp; Usage'!$P24)))+(IF('Equipment List &amp; Usage'!$F24="Yes",'Equipment List &amp; Usage'!$C$114*((('Weekly Summary'!AK$131*SelfQuarantine_Mild)+('Weekly Summary'!AK$100*SelfQuarantine_Mild)+('Weekly Summary'!AK$101*SelfQuarantine_Moderate))),'Equipment List &amp; Usage'!$C$115)*((('Weekly Summary'!AK$131*SelfQuarantine_Mild*'Equipment List &amp; Usage'!$W24)+('Weekly Summary'!AK$100*SelfQuarantine_Mild*'Equipment List &amp; Usage'!$X24)+('Weekly Summary'!AK$101*SelfQuarantine_Moderate*'Equipment List &amp; Usage'!$X24)))+IF('Equipment List &amp; Usage'!$F24="Yes",'Equipment List &amp; Usage'!$C$114*(IF('Equipment List &amp; Usage'!$AA24&gt;0,'Weekly Summary'!AK$128,0)+IF('Equipment List &amp; Usage'!$AB24&gt;0,'Weekly Summary'!AK$100+'Weekly Summary'!AK$101,0)),'Equipment List &amp; Usage'!$C$115*(('Weekly Summary'!AK$128*'Equipment List &amp; Usage'!$AA24)+('Weekly Summary'!AK$100*'Equipment List &amp; Usage'!$AB24*SelfQuarantine_Mild)+('Weekly Summary'!AK$101*'Equipment List &amp; Usage'!$AB24*SelfQuarantine_Moderate)))+IF('Equipment List &amp; Usage'!$F24="Yes",('Equipment List &amp; Usage'!$C$114*(IF('Equipment List &amp; Usage'!$AE24&gt;0,'Weekly Summary'!AK$134,0)+IF('Equipment List &amp; Usage'!$AF24&gt;0,'Weekly Summary'!AK$135))),'Equipment List &amp; Usage'!$C$115*(('Weekly Summary'!AK$134*'Equipment List &amp; Usage'!$AE24)+('Weekly Summary'!AK$135*'Equipment List &amp; Usage'!$AF24))))-SUM($I22:AP22),
IF($F22="yes",MMULT(--('Equipment List &amp; Usage'!$J24:$N24&gt;0),--('Weekly Summary'!AK$112:AK$116))*'Equipment List &amp; Usage'!$C$114,MMULT(--('Equipment List &amp; Usage'!$J24:$N24),--('Weekly Summary'!AK$112:AK$116))*'Equipment List &amp; Usage'!$C$115)+IF('Equipment List &amp; Usage'!$F23="yes",'Equipment List &amp; Usage'!$C$114,'Equipment List &amp; Usage'!$C$115)*(('Weekly Summary'!AK$66*'Equipment List &amp; Usage'!$Q24)+('Weekly Summary'!AK$64*'Equipment List &amp; Usage'!$O24)+('Weekly Summary'!AK$65*'Equipment List &amp; Usage'!$P24))+(IF('Equipment List &amp; Usage'!$F24="Yes",'Equipment List &amp; Usage'!$C$114*((('Weekly Summary'!AK$131*SelfQuarantine_Mild)+('Weekly Summary'!AK$100*SelfQuarantine_Mild)+('Weekly Summary'!AK$101*SelfQuarantine_Moderate))),'Equipment List &amp; Usage'!$C$115)*((('Weekly Summary'!AK$131*SelfQuarantine_Mild*'Equipment List &amp; Usage'!$W24)+('Weekly Summary'!AK$100*SelfQuarantine_Mild*'Equipment List &amp; Usage'!$X24)+('Weekly Summary'!AK$101*SelfQuarantine_Moderate*'Equipment List &amp; Usage'!$X24))))+IF('Equipment List &amp; Usage'!$F24="Yes",'Equipment List &amp; Usage'!$C$114*(IF('Equipment List &amp; Usage'!$AA24&gt;0,'Weekly Summary'!AK$128,0)+IF('Equipment List &amp; Usage'!$AB24&gt;0,'Weekly Summary'!AK$100+'Weekly Summary'!AK$101,0)),'Equipment List &amp; Usage'!$C$115*(('Weekly Summary'!AK$128*'Equipment List &amp; Usage'!$AA24)+('Weekly Summary'!AK$100*'Equipment List &amp; Usage'!$AB24*SelfQuarantine_Mild)+('Weekly Summary'!AK$101*'Equipment List &amp; Usage'!$AB24*SelfQuarantine_Moderate)))+IF('Equipment List &amp; Usage'!$F24="Yes",('Equipment List &amp; Usage'!$C$114*(IF('Equipment List &amp; Usage'!$AE24&gt;0,'Weekly Summary'!AK$134,0)+IF('Equipment List &amp; Usage'!$AF24&gt;0,'Weekly Summary'!AK$135))),'Equipment List &amp; Usage'!$C$115*(('Weekly Summary'!AK$134*'Equipment List &amp; Usage'!$AE24)+('Weekly Summary'!AK$135*'Equipment List &amp; Usage'!$AF24)))),0)</f>
        <v>0</v>
      </c>
      <c r="AR22" s="1374">
        <f ca="1">MAX(IF($F22="Yes",(
IF($F22="yes",MMULT(--('Equipment List &amp; Usage'!$J24:$N24&gt;0),--('Weekly Summary'!AL$112:AL$116))*'Equipment List &amp; Usage'!$C$114,MMULT(--('Equipment List &amp; Usage'!$J24:$N24),--('Weekly Summary'!AL$112:AL$116))*'Equipment List &amp; Usage'!$C$115)+IF('Equipment List &amp; Usage'!$F23="yes",'Equipment List &amp; Usage'!$C$114,'Equipment List &amp; Usage'!$C$115)*(('Weekly Summary'!AL$66*'Equipment List &amp; Usage'!$Q24)+('Weekly Summary'!AL$64*'Equipment List &amp; Usage'!$O24)+('Weekly Summary'!AL$65*'Equipment List &amp; Usage'!$P24)))+(IF('Equipment List &amp; Usage'!$F24="Yes",'Equipment List &amp; Usage'!$C$114*((('Weekly Summary'!AL$131*SelfQuarantine_Mild)+('Weekly Summary'!AL$100*SelfQuarantine_Mild)+('Weekly Summary'!AL$101*SelfQuarantine_Moderate))),'Equipment List &amp; Usage'!$C$115)*((('Weekly Summary'!AL$131*SelfQuarantine_Mild*'Equipment List &amp; Usage'!$W24)+('Weekly Summary'!AL$100*SelfQuarantine_Mild*'Equipment List &amp; Usage'!$X24)+('Weekly Summary'!AL$101*SelfQuarantine_Moderate*'Equipment List &amp; Usage'!$X24)))+IF('Equipment List &amp; Usage'!$F24="Yes",'Equipment List &amp; Usage'!$C$114*(IF('Equipment List &amp; Usage'!$AA24&gt;0,'Weekly Summary'!AL$128,0)+IF('Equipment List &amp; Usage'!$AB24&gt;0,'Weekly Summary'!AL$100+'Weekly Summary'!AL$101,0)),'Equipment List &amp; Usage'!$C$115*(('Weekly Summary'!AL$128*'Equipment List &amp; Usage'!$AA24)+('Weekly Summary'!AL$100*'Equipment List &amp; Usage'!$AB24*SelfQuarantine_Mild)+('Weekly Summary'!AL$101*'Equipment List &amp; Usage'!$AB24*SelfQuarantine_Moderate)))+IF('Equipment List &amp; Usage'!$F24="Yes",('Equipment List &amp; Usage'!$C$114*(IF('Equipment List &amp; Usage'!$AE24&gt;0,'Weekly Summary'!AL$134,0)+IF('Equipment List &amp; Usage'!$AF24&gt;0,'Weekly Summary'!AL$135))),'Equipment List &amp; Usage'!$C$115*(('Weekly Summary'!AL$134*'Equipment List &amp; Usage'!$AE24)+('Weekly Summary'!AL$135*'Equipment List &amp; Usage'!$AF24))))-SUM($I22:AQ22),
IF($F22="yes",MMULT(--('Equipment List &amp; Usage'!$J24:$N24&gt;0),--('Weekly Summary'!AL$112:AL$116))*'Equipment List &amp; Usage'!$C$114,MMULT(--('Equipment List &amp; Usage'!$J24:$N24),--('Weekly Summary'!AL$112:AL$116))*'Equipment List &amp; Usage'!$C$115)+IF('Equipment List &amp; Usage'!$F23="yes",'Equipment List &amp; Usage'!$C$114,'Equipment List &amp; Usage'!$C$115)*(('Weekly Summary'!AL$66*'Equipment List &amp; Usage'!$Q24)+('Weekly Summary'!AL$64*'Equipment List &amp; Usage'!$O24)+('Weekly Summary'!AL$65*'Equipment List &amp; Usage'!$P24))+(IF('Equipment List &amp; Usage'!$F24="Yes",'Equipment List &amp; Usage'!$C$114*((('Weekly Summary'!AL$131*SelfQuarantine_Mild)+('Weekly Summary'!AL$100*SelfQuarantine_Mild)+('Weekly Summary'!AL$101*SelfQuarantine_Moderate))),'Equipment List &amp; Usage'!$C$115)*((('Weekly Summary'!AL$131*SelfQuarantine_Mild*'Equipment List &amp; Usage'!$W24)+('Weekly Summary'!AL$100*SelfQuarantine_Mild*'Equipment List &amp; Usage'!$X24)+('Weekly Summary'!AL$101*SelfQuarantine_Moderate*'Equipment List &amp; Usage'!$X24))))+IF('Equipment List &amp; Usage'!$F24="Yes",'Equipment List &amp; Usage'!$C$114*(IF('Equipment List &amp; Usage'!$AA24&gt;0,'Weekly Summary'!AL$128,0)+IF('Equipment List &amp; Usage'!$AB24&gt;0,'Weekly Summary'!AL$100+'Weekly Summary'!AL$101,0)),'Equipment List &amp; Usage'!$C$115*(('Weekly Summary'!AL$128*'Equipment List &amp; Usage'!$AA24)+('Weekly Summary'!AL$100*'Equipment List &amp; Usage'!$AB24*SelfQuarantine_Mild)+('Weekly Summary'!AL$101*'Equipment List &amp; Usage'!$AB24*SelfQuarantine_Moderate)))+IF('Equipment List &amp; Usage'!$F24="Yes",('Equipment List &amp; Usage'!$C$114*(IF('Equipment List &amp; Usage'!$AE24&gt;0,'Weekly Summary'!AL$134,0)+IF('Equipment List &amp; Usage'!$AF24&gt;0,'Weekly Summary'!AL$135))),'Equipment List &amp; Usage'!$C$115*(('Weekly Summary'!AL$134*'Equipment List &amp; Usage'!$AE24)+('Weekly Summary'!AL$135*'Equipment List &amp; Usage'!$AF24)))),0)</f>
        <v>0</v>
      </c>
      <c r="AS22" s="1374">
        <f ca="1">MAX(IF($F22="Yes",(
IF($F22="yes",MMULT(--('Equipment List &amp; Usage'!$J24:$N24&gt;0),--('Weekly Summary'!AM$112:AM$116))*'Equipment List &amp; Usage'!$C$114,MMULT(--('Equipment List &amp; Usage'!$J24:$N24),--('Weekly Summary'!AM$112:AM$116))*'Equipment List &amp; Usage'!$C$115)+IF('Equipment List &amp; Usage'!$F23="yes",'Equipment List &amp; Usage'!$C$114,'Equipment List &amp; Usage'!$C$115)*(('Weekly Summary'!AM$66*'Equipment List &amp; Usage'!$Q24)+('Weekly Summary'!AM$64*'Equipment List &amp; Usage'!$O24)+('Weekly Summary'!AM$65*'Equipment List &amp; Usage'!$P24)))+(IF('Equipment List &amp; Usage'!$F24="Yes",'Equipment List &amp; Usage'!$C$114*((('Weekly Summary'!AM$131*SelfQuarantine_Mild)+('Weekly Summary'!AM$100*SelfQuarantine_Mild)+('Weekly Summary'!AM$101*SelfQuarantine_Moderate))),'Equipment List &amp; Usage'!$C$115)*((('Weekly Summary'!AM$131*SelfQuarantine_Mild*'Equipment List &amp; Usage'!$W24)+('Weekly Summary'!AM$100*SelfQuarantine_Mild*'Equipment List &amp; Usage'!$X24)+('Weekly Summary'!AM$101*SelfQuarantine_Moderate*'Equipment List &amp; Usage'!$X24)))+IF('Equipment List &amp; Usage'!$F24="Yes",'Equipment List &amp; Usage'!$C$114*(IF('Equipment List &amp; Usage'!$AA24&gt;0,'Weekly Summary'!AM$128,0)+IF('Equipment List &amp; Usage'!$AB24&gt;0,'Weekly Summary'!AM$100+'Weekly Summary'!AM$101,0)),'Equipment List &amp; Usage'!$C$115*(('Weekly Summary'!AM$128*'Equipment List &amp; Usage'!$AA24)+('Weekly Summary'!AM$100*'Equipment List &amp; Usage'!$AB24*SelfQuarantine_Mild)+('Weekly Summary'!AM$101*'Equipment List &amp; Usage'!$AB24*SelfQuarantine_Moderate)))+IF('Equipment List &amp; Usage'!$F24="Yes",('Equipment List &amp; Usage'!$C$114*(IF('Equipment List &amp; Usage'!$AE24&gt;0,'Weekly Summary'!AM$134,0)+IF('Equipment List &amp; Usage'!$AF24&gt;0,'Weekly Summary'!AM$135))),'Equipment List &amp; Usage'!$C$115*(('Weekly Summary'!AM$134*'Equipment List &amp; Usage'!$AE24)+('Weekly Summary'!AM$135*'Equipment List &amp; Usage'!$AF24))))-SUM($I22:AR22),
IF($F22="yes",MMULT(--('Equipment List &amp; Usage'!$J24:$N24&gt;0),--('Weekly Summary'!AM$112:AM$116))*'Equipment List &amp; Usage'!$C$114,MMULT(--('Equipment List &amp; Usage'!$J24:$N24),--('Weekly Summary'!AM$112:AM$116))*'Equipment List &amp; Usage'!$C$115)+IF('Equipment List &amp; Usage'!$F23="yes",'Equipment List &amp; Usage'!$C$114,'Equipment List &amp; Usage'!$C$115)*(('Weekly Summary'!AM$66*'Equipment List &amp; Usage'!$Q24)+('Weekly Summary'!AM$64*'Equipment List &amp; Usage'!$O24)+('Weekly Summary'!AM$65*'Equipment List &amp; Usage'!$P24))+(IF('Equipment List &amp; Usage'!$F24="Yes",'Equipment List &amp; Usage'!$C$114*((('Weekly Summary'!AM$131*SelfQuarantine_Mild)+('Weekly Summary'!AM$100*SelfQuarantine_Mild)+('Weekly Summary'!AM$101*SelfQuarantine_Moderate))),'Equipment List &amp; Usage'!$C$115)*((('Weekly Summary'!AM$131*SelfQuarantine_Mild*'Equipment List &amp; Usage'!$W24)+('Weekly Summary'!AM$100*SelfQuarantine_Mild*'Equipment List &amp; Usage'!$X24)+('Weekly Summary'!AM$101*SelfQuarantine_Moderate*'Equipment List &amp; Usage'!$X24))))+IF('Equipment List &amp; Usage'!$F24="Yes",'Equipment List &amp; Usage'!$C$114*(IF('Equipment List &amp; Usage'!$AA24&gt;0,'Weekly Summary'!AM$128,0)+IF('Equipment List &amp; Usage'!$AB24&gt;0,'Weekly Summary'!AM$100+'Weekly Summary'!AM$101,0)),'Equipment List &amp; Usage'!$C$115*(('Weekly Summary'!AM$128*'Equipment List &amp; Usage'!$AA24)+('Weekly Summary'!AM$100*'Equipment List &amp; Usage'!$AB24*SelfQuarantine_Mild)+('Weekly Summary'!AM$101*'Equipment List &amp; Usage'!$AB24*SelfQuarantine_Moderate)))+IF('Equipment List &amp; Usage'!$F24="Yes",('Equipment List &amp; Usage'!$C$114*(IF('Equipment List &amp; Usage'!$AE24&gt;0,'Weekly Summary'!AM$134,0)+IF('Equipment List &amp; Usage'!$AF24&gt;0,'Weekly Summary'!AM$135))),'Equipment List &amp; Usage'!$C$115*(('Weekly Summary'!AM$134*'Equipment List &amp; Usage'!$AE24)+('Weekly Summary'!AM$135*'Equipment List &amp; Usage'!$AF24)))),0)</f>
        <v>0</v>
      </c>
      <c r="AT22" s="1374">
        <f ca="1">MAX(IF($F22="Yes",(
IF($F22="yes",MMULT(--('Equipment List &amp; Usage'!$J24:$N24&gt;0),--('Weekly Summary'!AN$112:AN$116))*'Equipment List &amp; Usage'!$C$114,MMULT(--('Equipment List &amp; Usage'!$J24:$N24),--('Weekly Summary'!AN$112:AN$116))*'Equipment List &amp; Usage'!$C$115)+IF('Equipment List &amp; Usage'!$F23="yes",'Equipment List &amp; Usage'!$C$114,'Equipment List &amp; Usage'!$C$115)*(('Weekly Summary'!AN$66*'Equipment List &amp; Usage'!$Q24)+('Weekly Summary'!AN$64*'Equipment List &amp; Usage'!$O24)+('Weekly Summary'!AN$65*'Equipment List &amp; Usage'!$P24)))+(IF('Equipment List &amp; Usage'!$F24="Yes",'Equipment List &amp; Usage'!$C$114*((('Weekly Summary'!AN$131*SelfQuarantine_Mild)+('Weekly Summary'!AN$100*SelfQuarantine_Mild)+('Weekly Summary'!AN$101*SelfQuarantine_Moderate))),'Equipment List &amp; Usage'!$C$115)*((('Weekly Summary'!AN$131*SelfQuarantine_Mild*'Equipment List &amp; Usage'!$W24)+('Weekly Summary'!AN$100*SelfQuarantine_Mild*'Equipment List &amp; Usage'!$X24)+('Weekly Summary'!AN$101*SelfQuarantine_Moderate*'Equipment List &amp; Usage'!$X24)))+IF('Equipment List &amp; Usage'!$F24="Yes",'Equipment List &amp; Usage'!$C$114*(IF('Equipment List &amp; Usage'!$AA24&gt;0,'Weekly Summary'!AN$128,0)+IF('Equipment List &amp; Usage'!$AB24&gt;0,'Weekly Summary'!AN$100+'Weekly Summary'!AN$101,0)),'Equipment List &amp; Usage'!$C$115*(('Weekly Summary'!AN$128*'Equipment List &amp; Usage'!$AA24)+('Weekly Summary'!AN$100*'Equipment List &amp; Usage'!$AB24*SelfQuarantine_Mild)+('Weekly Summary'!AN$101*'Equipment List &amp; Usage'!$AB24*SelfQuarantine_Moderate)))+IF('Equipment List &amp; Usage'!$F24="Yes",('Equipment List &amp; Usage'!$C$114*(IF('Equipment List &amp; Usage'!$AE24&gt;0,'Weekly Summary'!AN$134,0)+IF('Equipment List &amp; Usage'!$AF24&gt;0,'Weekly Summary'!AN$135))),'Equipment List &amp; Usage'!$C$115*(('Weekly Summary'!AN$134*'Equipment List &amp; Usage'!$AE24)+('Weekly Summary'!AN$135*'Equipment List &amp; Usage'!$AF24))))-SUM($I22:AS22),
IF($F22="yes",MMULT(--('Equipment List &amp; Usage'!$J24:$N24&gt;0),--('Weekly Summary'!AN$112:AN$116))*'Equipment List &amp; Usage'!$C$114,MMULT(--('Equipment List &amp; Usage'!$J24:$N24),--('Weekly Summary'!AN$112:AN$116))*'Equipment List &amp; Usage'!$C$115)+IF('Equipment List &amp; Usage'!$F23="yes",'Equipment List &amp; Usage'!$C$114,'Equipment List &amp; Usage'!$C$115)*(('Weekly Summary'!AN$66*'Equipment List &amp; Usage'!$Q24)+('Weekly Summary'!AN$64*'Equipment List &amp; Usage'!$O24)+('Weekly Summary'!AN$65*'Equipment List &amp; Usage'!$P24))+(IF('Equipment List &amp; Usage'!$F24="Yes",'Equipment List &amp; Usage'!$C$114*((('Weekly Summary'!AN$131*SelfQuarantine_Mild)+('Weekly Summary'!AN$100*SelfQuarantine_Mild)+('Weekly Summary'!AN$101*SelfQuarantine_Moderate))),'Equipment List &amp; Usage'!$C$115)*((('Weekly Summary'!AN$131*SelfQuarantine_Mild*'Equipment List &amp; Usage'!$W24)+('Weekly Summary'!AN$100*SelfQuarantine_Mild*'Equipment List &amp; Usage'!$X24)+('Weekly Summary'!AN$101*SelfQuarantine_Moderate*'Equipment List &amp; Usage'!$X24))))+IF('Equipment List &amp; Usage'!$F24="Yes",'Equipment List &amp; Usage'!$C$114*(IF('Equipment List &amp; Usage'!$AA24&gt;0,'Weekly Summary'!AN$128,0)+IF('Equipment List &amp; Usage'!$AB24&gt;0,'Weekly Summary'!AN$100+'Weekly Summary'!AN$101,0)),'Equipment List &amp; Usage'!$C$115*(('Weekly Summary'!AN$128*'Equipment List &amp; Usage'!$AA24)+('Weekly Summary'!AN$100*'Equipment List &amp; Usage'!$AB24*SelfQuarantine_Mild)+('Weekly Summary'!AN$101*'Equipment List &amp; Usage'!$AB24*SelfQuarantine_Moderate)))+IF('Equipment List &amp; Usage'!$F24="Yes",('Equipment List &amp; Usage'!$C$114*(IF('Equipment List &amp; Usage'!$AE24&gt;0,'Weekly Summary'!AN$134,0)+IF('Equipment List &amp; Usage'!$AF24&gt;0,'Weekly Summary'!AN$135))),'Equipment List &amp; Usage'!$C$115*(('Weekly Summary'!AN$134*'Equipment List &amp; Usage'!$AE24)+('Weekly Summary'!AN$135*'Equipment List &amp; Usage'!$AF24)))),0)</f>
        <v>0</v>
      </c>
      <c r="AU22" s="1374">
        <f ca="1">MAX(IF($F22="Yes",(
IF($F22="yes",MMULT(--('Equipment List &amp; Usage'!$J24:$N24&gt;0),--('Weekly Summary'!AO$112:AO$116))*'Equipment List &amp; Usage'!$C$114,MMULT(--('Equipment List &amp; Usage'!$J24:$N24),--('Weekly Summary'!AO$112:AO$116))*'Equipment List &amp; Usage'!$C$115)+IF('Equipment List &amp; Usage'!$F23="yes",'Equipment List &amp; Usage'!$C$114,'Equipment List &amp; Usage'!$C$115)*(('Weekly Summary'!AO$66*'Equipment List &amp; Usage'!$Q24)+('Weekly Summary'!AO$64*'Equipment List &amp; Usage'!$O24)+('Weekly Summary'!AO$65*'Equipment List &amp; Usage'!$P24)))+(IF('Equipment List &amp; Usage'!$F24="Yes",'Equipment List &amp; Usage'!$C$114*((('Weekly Summary'!AO$131*SelfQuarantine_Mild)+('Weekly Summary'!AO$100*SelfQuarantine_Mild)+('Weekly Summary'!AO$101*SelfQuarantine_Moderate))),'Equipment List &amp; Usage'!$C$115)*((('Weekly Summary'!AO$131*SelfQuarantine_Mild*'Equipment List &amp; Usage'!$W24)+('Weekly Summary'!AO$100*SelfQuarantine_Mild*'Equipment List &amp; Usage'!$X24)+('Weekly Summary'!AO$101*SelfQuarantine_Moderate*'Equipment List &amp; Usage'!$X24)))+IF('Equipment List &amp; Usage'!$F24="Yes",'Equipment List &amp; Usage'!$C$114*(IF('Equipment List &amp; Usage'!$AA24&gt;0,'Weekly Summary'!AO$128,0)+IF('Equipment List &amp; Usage'!$AB24&gt;0,'Weekly Summary'!AO$100+'Weekly Summary'!AO$101,0)),'Equipment List &amp; Usage'!$C$115*(('Weekly Summary'!AO$128*'Equipment List &amp; Usage'!$AA24)+('Weekly Summary'!AO$100*'Equipment List &amp; Usage'!$AB24*SelfQuarantine_Mild)+('Weekly Summary'!AO$101*'Equipment List &amp; Usage'!$AB24*SelfQuarantine_Moderate)))+IF('Equipment List &amp; Usage'!$F24="Yes",('Equipment List &amp; Usage'!$C$114*(IF('Equipment List &amp; Usage'!$AE24&gt;0,'Weekly Summary'!AO$134,0)+IF('Equipment List &amp; Usage'!$AF24&gt;0,'Weekly Summary'!AO$135))),'Equipment List &amp; Usage'!$C$115*(('Weekly Summary'!AO$134*'Equipment List &amp; Usage'!$AE24)+('Weekly Summary'!AO$135*'Equipment List &amp; Usage'!$AF24))))-SUM($I22:AT22),
IF($F22="yes",MMULT(--('Equipment List &amp; Usage'!$J24:$N24&gt;0),--('Weekly Summary'!AO$112:AO$116))*'Equipment List &amp; Usage'!$C$114,MMULT(--('Equipment List &amp; Usage'!$J24:$N24),--('Weekly Summary'!AO$112:AO$116))*'Equipment List &amp; Usage'!$C$115)+IF('Equipment List &amp; Usage'!$F23="yes",'Equipment List &amp; Usage'!$C$114,'Equipment List &amp; Usage'!$C$115)*(('Weekly Summary'!AO$66*'Equipment List &amp; Usage'!$Q24)+('Weekly Summary'!AO$64*'Equipment List &amp; Usage'!$O24)+('Weekly Summary'!AO$65*'Equipment List &amp; Usage'!$P24))+(IF('Equipment List &amp; Usage'!$F24="Yes",'Equipment List &amp; Usage'!$C$114*((('Weekly Summary'!AO$131*SelfQuarantine_Mild)+('Weekly Summary'!AO$100*SelfQuarantine_Mild)+('Weekly Summary'!AO$101*SelfQuarantine_Moderate))),'Equipment List &amp; Usage'!$C$115)*((('Weekly Summary'!AO$131*SelfQuarantine_Mild*'Equipment List &amp; Usage'!$W24)+('Weekly Summary'!AO$100*SelfQuarantine_Mild*'Equipment List &amp; Usage'!$X24)+('Weekly Summary'!AO$101*SelfQuarantine_Moderate*'Equipment List &amp; Usage'!$X24))))+IF('Equipment List &amp; Usage'!$F24="Yes",'Equipment List &amp; Usage'!$C$114*(IF('Equipment List &amp; Usage'!$AA24&gt;0,'Weekly Summary'!AO$128,0)+IF('Equipment List &amp; Usage'!$AB24&gt;0,'Weekly Summary'!AO$100+'Weekly Summary'!AO$101,0)),'Equipment List &amp; Usage'!$C$115*(('Weekly Summary'!AO$128*'Equipment List &amp; Usage'!$AA24)+('Weekly Summary'!AO$100*'Equipment List &amp; Usage'!$AB24*SelfQuarantine_Mild)+('Weekly Summary'!AO$101*'Equipment List &amp; Usage'!$AB24*SelfQuarantine_Moderate)))+IF('Equipment List &amp; Usage'!$F24="Yes",('Equipment List &amp; Usage'!$C$114*(IF('Equipment List &amp; Usage'!$AE24&gt;0,'Weekly Summary'!AO$134,0)+IF('Equipment List &amp; Usage'!$AF24&gt;0,'Weekly Summary'!AO$135))),'Equipment List &amp; Usage'!$C$115*(('Weekly Summary'!AO$134*'Equipment List &amp; Usage'!$AE24)+('Weekly Summary'!AO$135*'Equipment List &amp; Usage'!$AF24)))),0)</f>
        <v>0</v>
      </c>
      <c r="AV22" s="1374">
        <f ca="1">MAX(IF($F22="Yes",(
IF($F22="yes",MMULT(--('Equipment List &amp; Usage'!$J24:$N24&gt;0),--('Weekly Summary'!AP$112:AP$116))*'Equipment List &amp; Usage'!$C$114,MMULT(--('Equipment List &amp; Usage'!$J24:$N24),--('Weekly Summary'!AP$112:AP$116))*'Equipment List &amp; Usage'!$C$115)+IF('Equipment List &amp; Usage'!$F23="yes",'Equipment List &amp; Usage'!$C$114,'Equipment List &amp; Usage'!$C$115)*(('Weekly Summary'!AP$66*'Equipment List &amp; Usage'!$Q24)+('Weekly Summary'!AP$64*'Equipment List &amp; Usage'!$O24)+('Weekly Summary'!AP$65*'Equipment List &amp; Usage'!$P24)))+(IF('Equipment List &amp; Usage'!$F24="Yes",'Equipment List &amp; Usage'!$C$114*((('Weekly Summary'!AP$131*SelfQuarantine_Mild)+('Weekly Summary'!AP$100*SelfQuarantine_Mild)+('Weekly Summary'!AP$101*SelfQuarantine_Moderate))),'Equipment List &amp; Usage'!$C$115)*((('Weekly Summary'!AP$131*SelfQuarantine_Mild*'Equipment List &amp; Usage'!$W24)+('Weekly Summary'!AP$100*SelfQuarantine_Mild*'Equipment List &amp; Usage'!$X24)+('Weekly Summary'!AP$101*SelfQuarantine_Moderate*'Equipment List &amp; Usage'!$X24)))+IF('Equipment List &amp; Usage'!$F24="Yes",'Equipment List &amp; Usage'!$C$114*(IF('Equipment List &amp; Usage'!$AA24&gt;0,'Weekly Summary'!AP$128,0)+IF('Equipment List &amp; Usage'!$AB24&gt;0,'Weekly Summary'!AP$100+'Weekly Summary'!AP$101,0)),'Equipment List &amp; Usage'!$C$115*(('Weekly Summary'!AP$128*'Equipment List &amp; Usage'!$AA24)+('Weekly Summary'!AP$100*'Equipment List &amp; Usage'!$AB24*SelfQuarantine_Mild)+('Weekly Summary'!AP$101*'Equipment List &amp; Usage'!$AB24*SelfQuarantine_Moderate)))+IF('Equipment List &amp; Usage'!$F24="Yes",('Equipment List &amp; Usage'!$C$114*(IF('Equipment List &amp; Usage'!$AE24&gt;0,'Weekly Summary'!AP$134,0)+IF('Equipment List &amp; Usage'!$AF24&gt;0,'Weekly Summary'!AP$135))),'Equipment List &amp; Usage'!$C$115*(('Weekly Summary'!AP$134*'Equipment List &amp; Usage'!$AE24)+('Weekly Summary'!AP$135*'Equipment List &amp; Usage'!$AF24))))-SUM($I22:AU22),
IF($F22="yes",MMULT(--('Equipment List &amp; Usage'!$J24:$N24&gt;0),--('Weekly Summary'!AP$112:AP$116))*'Equipment List &amp; Usage'!$C$114,MMULT(--('Equipment List &amp; Usage'!$J24:$N24),--('Weekly Summary'!AP$112:AP$116))*'Equipment List &amp; Usage'!$C$115)+IF('Equipment List &amp; Usage'!$F23="yes",'Equipment List &amp; Usage'!$C$114,'Equipment List &amp; Usage'!$C$115)*(('Weekly Summary'!AP$66*'Equipment List &amp; Usage'!$Q24)+('Weekly Summary'!AP$64*'Equipment List &amp; Usage'!$O24)+('Weekly Summary'!AP$65*'Equipment List &amp; Usage'!$P24))+(IF('Equipment List &amp; Usage'!$F24="Yes",'Equipment List &amp; Usage'!$C$114*((('Weekly Summary'!AP$131*SelfQuarantine_Mild)+('Weekly Summary'!AP$100*SelfQuarantine_Mild)+('Weekly Summary'!AP$101*SelfQuarantine_Moderate))),'Equipment List &amp; Usage'!$C$115)*((('Weekly Summary'!AP$131*SelfQuarantine_Mild*'Equipment List &amp; Usage'!$W24)+('Weekly Summary'!AP$100*SelfQuarantine_Mild*'Equipment List &amp; Usage'!$X24)+('Weekly Summary'!AP$101*SelfQuarantine_Moderate*'Equipment List &amp; Usage'!$X24))))+IF('Equipment List &amp; Usage'!$F24="Yes",'Equipment List &amp; Usage'!$C$114*(IF('Equipment List &amp; Usage'!$AA24&gt;0,'Weekly Summary'!AP$128,0)+IF('Equipment List &amp; Usage'!$AB24&gt;0,'Weekly Summary'!AP$100+'Weekly Summary'!AP$101,0)),'Equipment List &amp; Usage'!$C$115*(('Weekly Summary'!AP$128*'Equipment List &amp; Usage'!$AA24)+('Weekly Summary'!AP$100*'Equipment List &amp; Usage'!$AB24*SelfQuarantine_Mild)+('Weekly Summary'!AP$101*'Equipment List &amp; Usage'!$AB24*SelfQuarantine_Moderate)))+IF('Equipment List &amp; Usage'!$F24="Yes",('Equipment List &amp; Usage'!$C$114*(IF('Equipment List &amp; Usage'!$AE24&gt;0,'Weekly Summary'!AP$134,0)+IF('Equipment List &amp; Usage'!$AF24&gt;0,'Weekly Summary'!AP$135))),'Equipment List &amp; Usage'!$C$115*(('Weekly Summary'!AP$134*'Equipment List &amp; Usage'!$AE24)+('Weekly Summary'!AP$135*'Equipment List &amp; Usage'!$AF24)))),0)</f>
        <v>0</v>
      </c>
      <c r="AW22" s="1374">
        <f ca="1">MAX(IF($F22="Yes",(
IF($F22="yes",MMULT(--('Equipment List &amp; Usage'!$J24:$N24&gt;0),--('Weekly Summary'!AQ$112:AQ$116))*'Equipment List &amp; Usage'!$C$114,MMULT(--('Equipment List &amp; Usage'!$J24:$N24),--('Weekly Summary'!AQ$112:AQ$116))*'Equipment List &amp; Usage'!$C$115)+IF('Equipment List &amp; Usage'!$F23="yes",'Equipment List &amp; Usage'!$C$114,'Equipment List &amp; Usage'!$C$115)*(('Weekly Summary'!AQ$66*'Equipment List &amp; Usage'!$Q24)+('Weekly Summary'!AQ$64*'Equipment List &amp; Usage'!$O24)+('Weekly Summary'!AQ$65*'Equipment List &amp; Usage'!$P24)))+(IF('Equipment List &amp; Usage'!$F24="Yes",'Equipment List &amp; Usage'!$C$114*((('Weekly Summary'!AQ$131*SelfQuarantine_Mild)+('Weekly Summary'!AQ$100*SelfQuarantine_Mild)+('Weekly Summary'!AQ$101*SelfQuarantine_Moderate))),'Equipment List &amp; Usage'!$C$115)*((('Weekly Summary'!AQ$131*SelfQuarantine_Mild*'Equipment List &amp; Usage'!$W24)+('Weekly Summary'!AQ$100*SelfQuarantine_Mild*'Equipment List &amp; Usage'!$X24)+('Weekly Summary'!AQ$101*SelfQuarantine_Moderate*'Equipment List &amp; Usage'!$X24)))+IF('Equipment List &amp; Usage'!$F24="Yes",'Equipment List &amp; Usage'!$C$114*(IF('Equipment List &amp; Usage'!$AA24&gt;0,'Weekly Summary'!AQ$128,0)+IF('Equipment List &amp; Usage'!$AB24&gt;0,'Weekly Summary'!AQ$100+'Weekly Summary'!AQ$101,0)),'Equipment List &amp; Usage'!$C$115*(('Weekly Summary'!AQ$128*'Equipment List &amp; Usage'!$AA24)+('Weekly Summary'!AQ$100*'Equipment List &amp; Usage'!$AB24*SelfQuarantine_Mild)+('Weekly Summary'!AQ$101*'Equipment List &amp; Usage'!$AB24*SelfQuarantine_Moderate)))+IF('Equipment List &amp; Usage'!$F24="Yes",('Equipment List &amp; Usage'!$C$114*(IF('Equipment List &amp; Usage'!$AE24&gt;0,'Weekly Summary'!AQ$134,0)+IF('Equipment List &amp; Usage'!$AF24&gt;0,'Weekly Summary'!AQ$135))),'Equipment List &amp; Usage'!$C$115*(('Weekly Summary'!AQ$134*'Equipment List &amp; Usage'!$AE24)+('Weekly Summary'!AQ$135*'Equipment List &amp; Usage'!$AF24))))-SUM($I22:AV22),
IF($F22="yes",MMULT(--('Equipment List &amp; Usage'!$J24:$N24&gt;0),--('Weekly Summary'!AQ$112:AQ$116))*'Equipment List &amp; Usage'!$C$114,MMULT(--('Equipment List &amp; Usage'!$J24:$N24),--('Weekly Summary'!AQ$112:AQ$116))*'Equipment List &amp; Usage'!$C$115)+IF('Equipment List &amp; Usage'!$F23="yes",'Equipment List &amp; Usage'!$C$114,'Equipment List &amp; Usage'!$C$115)*(('Weekly Summary'!AQ$66*'Equipment List &amp; Usage'!$Q24)+('Weekly Summary'!AQ$64*'Equipment List &amp; Usage'!$O24)+('Weekly Summary'!AQ$65*'Equipment List &amp; Usage'!$P24))+(IF('Equipment List &amp; Usage'!$F24="Yes",'Equipment List &amp; Usage'!$C$114*((('Weekly Summary'!AQ$131*SelfQuarantine_Mild)+('Weekly Summary'!AQ$100*SelfQuarantine_Mild)+('Weekly Summary'!AQ$101*SelfQuarantine_Moderate))),'Equipment List &amp; Usage'!$C$115)*((('Weekly Summary'!AQ$131*SelfQuarantine_Mild*'Equipment List &amp; Usage'!$W24)+('Weekly Summary'!AQ$100*SelfQuarantine_Mild*'Equipment List &amp; Usage'!$X24)+('Weekly Summary'!AQ$101*SelfQuarantine_Moderate*'Equipment List &amp; Usage'!$X24))))+IF('Equipment List &amp; Usage'!$F24="Yes",'Equipment List &amp; Usage'!$C$114*(IF('Equipment List &amp; Usage'!$AA24&gt;0,'Weekly Summary'!AQ$128,0)+IF('Equipment List &amp; Usage'!$AB24&gt;0,'Weekly Summary'!AQ$100+'Weekly Summary'!AQ$101,0)),'Equipment List &amp; Usage'!$C$115*(('Weekly Summary'!AQ$128*'Equipment List &amp; Usage'!$AA24)+('Weekly Summary'!AQ$100*'Equipment List &amp; Usage'!$AB24*SelfQuarantine_Mild)+('Weekly Summary'!AQ$101*'Equipment List &amp; Usage'!$AB24*SelfQuarantine_Moderate)))+IF('Equipment List &amp; Usage'!$F24="Yes",('Equipment List &amp; Usage'!$C$114*(IF('Equipment List &amp; Usage'!$AE24&gt;0,'Weekly Summary'!AQ$134,0)+IF('Equipment List &amp; Usage'!$AF24&gt;0,'Weekly Summary'!AQ$135))),'Equipment List &amp; Usage'!$C$115*(('Weekly Summary'!AQ$134*'Equipment List &amp; Usage'!$AE24)+('Weekly Summary'!AQ$135*'Equipment List &amp; Usage'!$AF24)))),0)</f>
        <v>0</v>
      </c>
      <c r="AX22" s="1374">
        <f ca="1">MAX(IF($F22="Yes",(
IF($F22="yes",MMULT(--('Equipment List &amp; Usage'!$J24:$N24&gt;0),--('Weekly Summary'!AR$112:AR$116))*'Equipment List &amp; Usage'!$C$114,MMULT(--('Equipment List &amp; Usage'!$J24:$N24),--('Weekly Summary'!AR$112:AR$116))*'Equipment List &amp; Usage'!$C$115)+IF('Equipment List &amp; Usage'!$F23="yes",'Equipment List &amp; Usage'!$C$114,'Equipment List &amp; Usage'!$C$115)*(('Weekly Summary'!AR$66*'Equipment List &amp; Usage'!$Q24)+('Weekly Summary'!AR$64*'Equipment List &amp; Usage'!$O24)+('Weekly Summary'!AR$65*'Equipment List &amp; Usage'!$P24)))+(IF('Equipment List &amp; Usage'!$F24="Yes",'Equipment List &amp; Usage'!$C$114*((('Weekly Summary'!AR$131*SelfQuarantine_Mild)+('Weekly Summary'!AR$100*SelfQuarantine_Mild)+('Weekly Summary'!AR$101*SelfQuarantine_Moderate))),'Equipment List &amp; Usage'!$C$115)*((('Weekly Summary'!AR$131*SelfQuarantine_Mild*'Equipment List &amp; Usage'!$W24)+('Weekly Summary'!AR$100*SelfQuarantine_Mild*'Equipment List &amp; Usage'!$X24)+('Weekly Summary'!AR$101*SelfQuarantine_Moderate*'Equipment List &amp; Usage'!$X24)))+IF('Equipment List &amp; Usage'!$F24="Yes",'Equipment List &amp; Usage'!$C$114*(IF('Equipment List &amp; Usage'!$AA24&gt;0,'Weekly Summary'!AR$128,0)+IF('Equipment List &amp; Usage'!$AB24&gt;0,'Weekly Summary'!AR$100+'Weekly Summary'!AR$101,0)),'Equipment List &amp; Usage'!$C$115*(('Weekly Summary'!AR$128*'Equipment List &amp; Usage'!$AA24)+('Weekly Summary'!AR$100*'Equipment List &amp; Usage'!$AB24*SelfQuarantine_Mild)+('Weekly Summary'!AR$101*'Equipment List &amp; Usage'!$AB24*SelfQuarantine_Moderate)))+IF('Equipment List &amp; Usage'!$F24="Yes",('Equipment List &amp; Usage'!$C$114*(IF('Equipment List &amp; Usage'!$AE24&gt;0,'Weekly Summary'!AR$134,0)+IF('Equipment List &amp; Usage'!$AF24&gt;0,'Weekly Summary'!AR$135))),'Equipment List &amp; Usage'!$C$115*(('Weekly Summary'!AR$134*'Equipment List &amp; Usage'!$AE24)+('Weekly Summary'!AR$135*'Equipment List &amp; Usage'!$AF24))))-SUM($I22:AW22),
IF($F22="yes",MMULT(--('Equipment List &amp; Usage'!$J24:$N24&gt;0),--('Weekly Summary'!AR$112:AR$116))*'Equipment List &amp; Usage'!$C$114,MMULT(--('Equipment List &amp; Usage'!$J24:$N24),--('Weekly Summary'!AR$112:AR$116))*'Equipment List &amp; Usage'!$C$115)+IF('Equipment List &amp; Usage'!$F23="yes",'Equipment List &amp; Usage'!$C$114,'Equipment List &amp; Usage'!$C$115)*(('Weekly Summary'!AR$66*'Equipment List &amp; Usage'!$Q24)+('Weekly Summary'!AR$64*'Equipment List &amp; Usage'!$O24)+('Weekly Summary'!AR$65*'Equipment List &amp; Usage'!$P24))+(IF('Equipment List &amp; Usage'!$F24="Yes",'Equipment List &amp; Usage'!$C$114*((('Weekly Summary'!AR$131*SelfQuarantine_Mild)+('Weekly Summary'!AR$100*SelfQuarantine_Mild)+('Weekly Summary'!AR$101*SelfQuarantine_Moderate))),'Equipment List &amp; Usage'!$C$115)*((('Weekly Summary'!AR$131*SelfQuarantine_Mild*'Equipment List &amp; Usage'!$W24)+('Weekly Summary'!AR$100*SelfQuarantine_Mild*'Equipment List &amp; Usage'!$X24)+('Weekly Summary'!AR$101*SelfQuarantine_Moderate*'Equipment List &amp; Usage'!$X24))))+IF('Equipment List &amp; Usage'!$F24="Yes",'Equipment List &amp; Usage'!$C$114*(IF('Equipment List &amp; Usage'!$AA24&gt;0,'Weekly Summary'!AR$128,0)+IF('Equipment List &amp; Usage'!$AB24&gt;0,'Weekly Summary'!AR$100+'Weekly Summary'!AR$101,0)),'Equipment List &amp; Usage'!$C$115*(('Weekly Summary'!AR$128*'Equipment List &amp; Usage'!$AA24)+('Weekly Summary'!AR$100*'Equipment List &amp; Usage'!$AB24*SelfQuarantine_Mild)+('Weekly Summary'!AR$101*'Equipment List &amp; Usage'!$AB24*SelfQuarantine_Moderate)))+IF('Equipment List &amp; Usage'!$F24="Yes",('Equipment List &amp; Usage'!$C$114*(IF('Equipment List &amp; Usage'!$AE24&gt;0,'Weekly Summary'!AR$134,0)+IF('Equipment List &amp; Usage'!$AF24&gt;0,'Weekly Summary'!AR$135))),'Equipment List &amp; Usage'!$C$115*(('Weekly Summary'!AR$134*'Equipment List &amp; Usage'!$AE24)+('Weekly Summary'!AR$135*'Equipment List &amp; Usage'!$AF24)))),0)</f>
        <v>0</v>
      </c>
      <c r="AY22" s="1374">
        <f ca="1">MAX(IF($F22="Yes",(
IF($F22="yes",MMULT(--('Equipment List &amp; Usage'!$J24:$N24&gt;0),--('Weekly Summary'!AS$112:AS$116))*'Equipment List &amp; Usage'!$C$114,MMULT(--('Equipment List &amp; Usage'!$J24:$N24),--('Weekly Summary'!AS$112:AS$116))*'Equipment List &amp; Usage'!$C$115)+IF('Equipment List &amp; Usage'!$F23="yes",'Equipment List &amp; Usage'!$C$114,'Equipment List &amp; Usage'!$C$115)*(('Weekly Summary'!AS$66*'Equipment List &amp; Usage'!$Q24)+('Weekly Summary'!AS$64*'Equipment List &amp; Usage'!$O24)+('Weekly Summary'!AS$65*'Equipment List &amp; Usage'!$P24)))+(IF('Equipment List &amp; Usage'!$F24="Yes",'Equipment List &amp; Usage'!$C$114*((('Weekly Summary'!AS$131*SelfQuarantine_Mild)+('Weekly Summary'!AS$100*SelfQuarantine_Mild)+('Weekly Summary'!AS$101*SelfQuarantine_Moderate))),'Equipment List &amp; Usage'!$C$115)*((('Weekly Summary'!AS$131*SelfQuarantine_Mild*'Equipment List &amp; Usage'!$W24)+('Weekly Summary'!AS$100*SelfQuarantine_Mild*'Equipment List &amp; Usage'!$X24)+('Weekly Summary'!AS$101*SelfQuarantine_Moderate*'Equipment List &amp; Usage'!$X24)))+IF('Equipment List &amp; Usage'!$F24="Yes",'Equipment List &amp; Usage'!$C$114*(IF('Equipment List &amp; Usage'!$AA24&gt;0,'Weekly Summary'!AS$128,0)+IF('Equipment List &amp; Usage'!$AB24&gt;0,'Weekly Summary'!AS$100+'Weekly Summary'!AS$101,0)),'Equipment List &amp; Usage'!$C$115*(('Weekly Summary'!AS$128*'Equipment List &amp; Usage'!$AA24)+('Weekly Summary'!AS$100*'Equipment List &amp; Usage'!$AB24*SelfQuarantine_Mild)+('Weekly Summary'!AS$101*'Equipment List &amp; Usage'!$AB24*SelfQuarantine_Moderate)))+IF('Equipment List &amp; Usage'!$F24="Yes",('Equipment List &amp; Usage'!$C$114*(IF('Equipment List &amp; Usage'!$AE24&gt;0,'Weekly Summary'!AS$134,0)+IF('Equipment List &amp; Usage'!$AF24&gt;0,'Weekly Summary'!AS$135))),'Equipment List &amp; Usage'!$C$115*(('Weekly Summary'!AS$134*'Equipment List &amp; Usage'!$AE24)+('Weekly Summary'!AS$135*'Equipment List &amp; Usage'!$AF24))))-SUM($I22:AX22),
IF($F22="yes",MMULT(--('Equipment List &amp; Usage'!$J24:$N24&gt;0),--('Weekly Summary'!AS$112:AS$116))*'Equipment List &amp; Usage'!$C$114,MMULT(--('Equipment List &amp; Usage'!$J24:$N24),--('Weekly Summary'!AS$112:AS$116))*'Equipment List &amp; Usage'!$C$115)+IF('Equipment List &amp; Usage'!$F23="yes",'Equipment List &amp; Usage'!$C$114,'Equipment List &amp; Usage'!$C$115)*(('Weekly Summary'!AS$66*'Equipment List &amp; Usage'!$Q24)+('Weekly Summary'!AS$64*'Equipment List &amp; Usage'!$O24)+('Weekly Summary'!AS$65*'Equipment List &amp; Usage'!$P24))+(IF('Equipment List &amp; Usage'!$F24="Yes",'Equipment List &amp; Usage'!$C$114*((('Weekly Summary'!AS$131*SelfQuarantine_Mild)+('Weekly Summary'!AS$100*SelfQuarantine_Mild)+('Weekly Summary'!AS$101*SelfQuarantine_Moderate))),'Equipment List &amp; Usage'!$C$115)*((('Weekly Summary'!AS$131*SelfQuarantine_Mild*'Equipment List &amp; Usage'!$W24)+('Weekly Summary'!AS$100*SelfQuarantine_Mild*'Equipment List &amp; Usage'!$X24)+('Weekly Summary'!AS$101*SelfQuarantine_Moderate*'Equipment List &amp; Usage'!$X24))))+IF('Equipment List &amp; Usage'!$F24="Yes",'Equipment List &amp; Usage'!$C$114*(IF('Equipment List &amp; Usage'!$AA24&gt;0,'Weekly Summary'!AS$128,0)+IF('Equipment List &amp; Usage'!$AB24&gt;0,'Weekly Summary'!AS$100+'Weekly Summary'!AS$101,0)),'Equipment List &amp; Usage'!$C$115*(('Weekly Summary'!AS$128*'Equipment List &amp; Usage'!$AA24)+('Weekly Summary'!AS$100*'Equipment List &amp; Usage'!$AB24*SelfQuarantine_Mild)+('Weekly Summary'!AS$101*'Equipment List &amp; Usage'!$AB24*SelfQuarantine_Moderate)))+IF('Equipment List &amp; Usage'!$F24="Yes",('Equipment List &amp; Usage'!$C$114*(IF('Equipment List &amp; Usage'!$AE24&gt;0,'Weekly Summary'!AS$134,0)+IF('Equipment List &amp; Usage'!$AF24&gt;0,'Weekly Summary'!AS$135))),'Equipment List &amp; Usage'!$C$115*(('Weekly Summary'!AS$134*'Equipment List &amp; Usage'!$AE24)+('Weekly Summary'!AS$135*'Equipment List &amp; Usage'!$AF24)))),0)</f>
        <v>0</v>
      </c>
      <c r="AZ22" s="1374">
        <f ca="1">MAX(IF($F22="Yes",(
IF($F22="yes",MMULT(--('Equipment List &amp; Usage'!$J24:$N24&gt;0),--('Weekly Summary'!AT$112:AT$116))*'Equipment List &amp; Usage'!$C$114,MMULT(--('Equipment List &amp; Usage'!$J24:$N24),--('Weekly Summary'!AT$112:AT$116))*'Equipment List &amp; Usage'!$C$115)+IF('Equipment List &amp; Usage'!$F23="yes",'Equipment List &amp; Usage'!$C$114,'Equipment List &amp; Usage'!$C$115)*(('Weekly Summary'!AT$66*'Equipment List &amp; Usage'!$Q24)+('Weekly Summary'!AT$64*'Equipment List &amp; Usage'!$O24)+('Weekly Summary'!AT$65*'Equipment List &amp; Usage'!$P24)))+(IF('Equipment List &amp; Usage'!$F24="Yes",'Equipment List &amp; Usage'!$C$114*((('Weekly Summary'!AT$131*SelfQuarantine_Mild)+('Weekly Summary'!AT$100*SelfQuarantine_Mild)+('Weekly Summary'!AT$101*SelfQuarantine_Moderate))),'Equipment List &amp; Usage'!$C$115)*((('Weekly Summary'!AT$131*SelfQuarantine_Mild*'Equipment List &amp; Usage'!$W24)+('Weekly Summary'!AT$100*SelfQuarantine_Mild*'Equipment List &amp; Usage'!$X24)+('Weekly Summary'!AT$101*SelfQuarantine_Moderate*'Equipment List &amp; Usage'!$X24)))+IF('Equipment List &amp; Usage'!$F24="Yes",'Equipment List &amp; Usage'!$C$114*(IF('Equipment List &amp; Usage'!$AA24&gt;0,'Weekly Summary'!AT$128,0)+IF('Equipment List &amp; Usage'!$AB24&gt;0,'Weekly Summary'!AT$100+'Weekly Summary'!AT$101,0)),'Equipment List &amp; Usage'!$C$115*(('Weekly Summary'!AT$128*'Equipment List &amp; Usage'!$AA24)+('Weekly Summary'!AT$100*'Equipment List &amp; Usage'!$AB24*SelfQuarantine_Mild)+('Weekly Summary'!AT$101*'Equipment List &amp; Usage'!$AB24*SelfQuarantine_Moderate)))+IF('Equipment List &amp; Usage'!$F24="Yes",('Equipment List &amp; Usage'!$C$114*(IF('Equipment List &amp; Usage'!$AE24&gt;0,'Weekly Summary'!AT$134,0)+IF('Equipment List &amp; Usage'!$AF24&gt;0,'Weekly Summary'!AT$135))),'Equipment List &amp; Usage'!$C$115*(('Weekly Summary'!AT$134*'Equipment List &amp; Usage'!$AE24)+('Weekly Summary'!AT$135*'Equipment List &amp; Usage'!$AF24))))-SUM($I22:AY22),
IF($F22="yes",MMULT(--('Equipment List &amp; Usage'!$J24:$N24&gt;0),--('Weekly Summary'!AT$112:AT$116))*'Equipment List &amp; Usage'!$C$114,MMULT(--('Equipment List &amp; Usage'!$J24:$N24),--('Weekly Summary'!AT$112:AT$116))*'Equipment List &amp; Usage'!$C$115)+IF('Equipment List &amp; Usage'!$F23="yes",'Equipment List &amp; Usage'!$C$114,'Equipment List &amp; Usage'!$C$115)*(('Weekly Summary'!AT$66*'Equipment List &amp; Usage'!$Q24)+('Weekly Summary'!AT$64*'Equipment List &amp; Usage'!$O24)+('Weekly Summary'!AT$65*'Equipment List &amp; Usage'!$P24))+(IF('Equipment List &amp; Usage'!$F24="Yes",'Equipment List &amp; Usage'!$C$114*((('Weekly Summary'!AT$131*SelfQuarantine_Mild)+('Weekly Summary'!AT$100*SelfQuarantine_Mild)+('Weekly Summary'!AT$101*SelfQuarantine_Moderate))),'Equipment List &amp; Usage'!$C$115)*((('Weekly Summary'!AT$131*SelfQuarantine_Mild*'Equipment List &amp; Usage'!$W24)+('Weekly Summary'!AT$100*SelfQuarantine_Mild*'Equipment List &amp; Usage'!$X24)+('Weekly Summary'!AT$101*SelfQuarantine_Moderate*'Equipment List &amp; Usage'!$X24))))+IF('Equipment List &amp; Usage'!$F24="Yes",'Equipment List &amp; Usage'!$C$114*(IF('Equipment List &amp; Usage'!$AA24&gt;0,'Weekly Summary'!AT$128,0)+IF('Equipment List &amp; Usage'!$AB24&gt;0,'Weekly Summary'!AT$100+'Weekly Summary'!AT$101,0)),'Equipment List &amp; Usage'!$C$115*(('Weekly Summary'!AT$128*'Equipment List &amp; Usage'!$AA24)+('Weekly Summary'!AT$100*'Equipment List &amp; Usage'!$AB24*SelfQuarantine_Mild)+('Weekly Summary'!AT$101*'Equipment List &amp; Usage'!$AB24*SelfQuarantine_Moderate)))+IF('Equipment List &amp; Usage'!$F24="Yes",('Equipment List &amp; Usage'!$C$114*(IF('Equipment List &amp; Usage'!$AE24&gt;0,'Weekly Summary'!AT$134,0)+IF('Equipment List &amp; Usage'!$AF24&gt;0,'Weekly Summary'!AT$135))),'Equipment List &amp; Usage'!$C$115*(('Weekly Summary'!AT$134*'Equipment List &amp; Usage'!$AE24)+('Weekly Summary'!AT$135*'Equipment List &amp; Usage'!$AF24)))),0)</f>
        <v>0</v>
      </c>
      <c r="BA22" s="1374">
        <f ca="1">MAX(IF($F22="Yes",(
IF($F22="yes",MMULT(--('Equipment List &amp; Usage'!$J24:$N24&gt;0),--('Weekly Summary'!AU$112:AU$116))*'Equipment List &amp; Usage'!$C$114,MMULT(--('Equipment List &amp; Usage'!$J24:$N24),--('Weekly Summary'!AU$112:AU$116))*'Equipment List &amp; Usage'!$C$115)+IF('Equipment List &amp; Usage'!$F23="yes",'Equipment List &amp; Usage'!$C$114,'Equipment List &amp; Usage'!$C$115)*(('Weekly Summary'!AU$66*'Equipment List &amp; Usage'!$Q24)+('Weekly Summary'!AU$64*'Equipment List &amp; Usage'!$O24)+('Weekly Summary'!AU$65*'Equipment List &amp; Usage'!$P24)))+(IF('Equipment List &amp; Usage'!$F24="Yes",'Equipment List &amp; Usage'!$C$114*((('Weekly Summary'!AU$131*SelfQuarantine_Mild)+('Weekly Summary'!AU$100*SelfQuarantine_Mild)+('Weekly Summary'!AU$101*SelfQuarantine_Moderate))),'Equipment List &amp; Usage'!$C$115)*((('Weekly Summary'!AU$131*SelfQuarantine_Mild*'Equipment List &amp; Usage'!$W24)+('Weekly Summary'!AU$100*SelfQuarantine_Mild*'Equipment List &amp; Usage'!$X24)+('Weekly Summary'!AU$101*SelfQuarantine_Moderate*'Equipment List &amp; Usage'!$X24)))+IF('Equipment List &amp; Usage'!$F24="Yes",'Equipment List &amp; Usage'!$C$114*(IF('Equipment List &amp; Usage'!$AA24&gt;0,'Weekly Summary'!AU$128,0)+IF('Equipment List &amp; Usage'!$AB24&gt;0,'Weekly Summary'!AU$100+'Weekly Summary'!AU$101,0)),'Equipment List &amp; Usage'!$C$115*(('Weekly Summary'!AU$128*'Equipment List &amp; Usage'!$AA24)+('Weekly Summary'!AU$100*'Equipment List &amp; Usage'!$AB24*SelfQuarantine_Mild)+('Weekly Summary'!AU$101*'Equipment List &amp; Usage'!$AB24*SelfQuarantine_Moderate)))+IF('Equipment List &amp; Usage'!$F24="Yes",('Equipment List &amp; Usage'!$C$114*(IF('Equipment List &amp; Usage'!$AE24&gt;0,'Weekly Summary'!AU$134,0)+IF('Equipment List &amp; Usage'!$AF24&gt;0,'Weekly Summary'!AU$135))),'Equipment List &amp; Usage'!$C$115*(('Weekly Summary'!AU$134*'Equipment List &amp; Usage'!$AE24)+('Weekly Summary'!AU$135*'Equipment List &amp; Usage'!$AF24))))-SUM($I22:AZ22),
IF($F22="yes",MMULT(--('Equipment List &amp; Usage'!$J24:$N24&gt;0),--('Weekly Summary'!AU$112:AU$116))*'Equipment List &amp; Usage'!$C$114,MMULT(--('Equipment List &amp; Usage'!$J24:$N24),--('Weekly Summary'!AU$112:AU$116))*'Equipment List &amp; Usage'!$C$115)+IF('Equipment List &amp; Usage'!$F23="yes",'Equipment List &amp; Usage'!$C$114,'Equipment List &amp; Usage'!$C$115)*(('Weekly Summary'!AU$66*'Equipment List &amp; Usage'!$Q24)+('Weekly Summary'!AU$64*'Equipment List &amp; Usage'!$O24)+('Weekly Summary'!AU$65*'Equipment List &amp; Usage'!$P24))+(IF('Equipment List &amp; Usage'!$F24="Yes",'Equipment List &amp; Usage'!$C$114*((('Weekly Summary'!AU$131*SelfQuarantine_Mild)+('Weekly Summary'!AU$100*SelfQuarantine_Mild)+('Weekly Summary'!AU$101*SelfQuarantine_Moderate))),'Equipment List &amp; Usage'!$C$115)*((('Weekly Summary'!AU$131*SelfQuarantine_Mild*'Equipment List &amp; Usage'!$W24)+('Weekly Summary'!AU$100*SelfQuarantine_Mild*'Equipment List &amp; Usage'!$X24)+('Weekly Summary'!AU$101*SelfQuarantine_Moderate*'Equipment List &amp; Usage'!$X24))))+IF('Equipment List &amp; Usage'!$F24="Yes",'Equipment List &amp; Usage'!$C$114*(IF('Equipment List &amp; Usage'!$AA24&gt;0,'Weekly Summary'!AU$128,0)+IF('Equipment List &amp; Usage'!$AB24&gt;0,'Weekly Summary'!AU$100+'Weekly Summary'!AU$101,0)),'Equipment List &amp; Usage'!$C$115*(('Weekly Summary'!AU$128*'Equipment List &amp; Usage'!$AA24)+('Weekly Summary'!AU$100*'Equipment List &amp; Usage'!$AB24*SelfQuarantine_Mild)+('Weekly Summary'!AU$101*'Equipment List &amp; Usage'!$AB24*SelfQuarantine_Moderate)))+IF('Equipment List &amp; Usage'!$F24="Yes",('Equipment List &amp; Usage'!$C$114*(IF('Equipment List &amp; Usage'!$AE24&gt;0,'Weekly Summary'!AU$134,0)+IF('Equipment List &amp; Usage'!$AF24&gt;0,'Weekly Summary'!AU$135))),'Equipment List &amp; Usage'!$C$115*(('Weekly Summary'!AU$134*'Equipment List &amp; Usage'!$AE24)+('Weekly Summary'!AU$135*'Equipment List &amp; Usage'!$AF24)))),0)</f>
        <v>0</v>
      </c>
      <c r="BB22" s="1374">
        <f ca="1">MAX(IF($F22="Yes",(
IF($F22="yes",MMULT(--('Equipment List &amp; Usage'!$J24:$N24&gt;0),--('Weekly Summary'!AV$112:AV$116))*'Equipment List &amp; Usage'!$C$114,MMULT(--('Equipment List &amp; Usage'!$J24:$N24),--('Weekly Summary'!AV$112:AV$116))*'Equipment List &amp; Usage'!$C$115)+IF('Equipment List &amp; Usage'!$F23="yes",'Equipment List &amp; Usage'!$C$114,'Equipment List &amp; Usage'!$C$115)*(('Weekly Summary'!AV$66*'Equipment List &amp; Usage'!$Q24)+('Weekly Summary'!AV$64*'Equipment List &amp; Usage'!$O24)+('Weekly Summary'!AV$65*'Equipment List &amp; Usage'!$P24)))+(IF('Equipment List &amp; Usage'!$F24="Yes",'Equipment List &amp; Usage'!$C$114*((('Weekly Summary'!AV$131*SelfQuarantine_Mild)+('Weekly Summary'!AV$100*SelfQuarantine_Mild)+('Weekly Summary'!AV$101*SelfQuarantine_Moderate))),'Equipment List &amp; Usage'!$C$115)*((('Weekly Summary'!AV$131*SelfQuarantine_Mild*'Equipment List &amp; Usage'!$W24)+('Weekly Summary'!AV$100*SelfQuarantine_Mild*'Equipment List &amp; Usage'!$X24)+('Weekly Summary'!AV$101*SelfQuarantine_Moderate*'Equipment List &amp; Usage'!$X24)))+IF('Equipment List &amp; Usage'!$F24="Yes",'Equipment List &amp; Usage'!$C$114*(IF('Equipment List &amp; Usage'!$AA24&gt;0,'Weekly Summary'!AV$128,0)+IF('Equipment List &amp; Usage'!$AB24&gt;0,'Weekly Summary'!AV$100+'Weekly Summary'!AV$101,0)),'Equipment List &amp; Usage'!$C$115*(('Weekly Summary'!AV$128*'Equipment List &amp; Usage'!$AA24)+('Weekly Summary'!AV$100*'Equipment List &amp; Usage'!$AB24*SelfQuarantine_Mild)+('Weekly Summary'!AV$101*'Equipment List &amp; Usage'!$AB24*SelfQuarantine_Moderate)))+IF('Equipment List &amp; Usage'!$F24="Yes",('Equipment List &amp; Usage'!$C$114*(IF('Equipment List &amp; Usage'!$AE24&gt;0,'Weekly Summary'!AV$134,0)+IF('Equipment List &amp; Usage'!$AF24&gt;0,'Weekly Summary'!AV$135))),'Equipment List &amp; Usage'!$C$115*(('Weekly Summary'!AV$134*'Equipment List &amp; Usage'!$AE24)+('Weekly Summary'!AV$135*'Equipment List &amp; Usage'!$AF24))))-SUM($I22:BA22),
IF($F22="yes",MMULT(--('Equipment List &amp; Usage'!$J24:$N24&gt;0),--('Weekly Summary'!AV$112:AV$116))*'Equipment List &amp; Usage'!$C$114,MMULT(--('Equipment List &amp; Usage'!$J24:$N24),--('Weekly Summary'!AV$112:AV$116))*'Equipment List &amp; Usage'!$C$115)+IF('Equipment List &amp; Usage'!$F23="yes",'Equipment List &amp; Usage'!$C$114,'Equipment List &amp; Usage'!$C$115)*(('Weekly Summary'!AV$66*'Equipment List &amp; Usage'!$Q24)+('Weekly Summary'!AV$64*'Equipment List &amp; Usage'!$O24)+('Weekly Summary'!AV$65*'Equipment List &amp; Usage'!$P24))+(IF('Equipment List &amp; Usage'!$F24="Yes",'Equipment List &amp; Usage'!$C$114*((('Weekly Summary'!AV$131*SelfQuarantine_Mild)+('Weekly Summary'!AV$100*SelfQuarantine_Mild)+('Weekly Summary'!AV$101*SelfQuarantine_Moderate))),'Equipment List &amp; Usage'!$C$115)*((('Weekly Summary'!AV$131*SelfQuarantine_Mild*'Equipment List &amp; Usage'!$W24)+('Weekly Summary'!AV$100*SelfQuarantine_Mild*'Equipment List &amp; Usage'!$X24)+('Weekly Summary'!AV$101*SelfQuarantine_Moderate*'Equipment List &amp; Usage'!$X24))))+IF('Equipment List &amp; Usage'!$F24="Yes",'Equipment List &amp; Usage'!$C$114*(IF('Equipment List &amp; Usage'!$AA24&gt;0,'Weekly Summary'!AV$128,0)+IF('Equipment List &amp; Usage'!$AB24&gt;0,'Weekly Summary'!AV$100+'Weekly Summary'!AV$101,0)),'Equipment List &amp; Usage'!$C$115*(('Weekly Summary'!AV$128*'Equipment List &amp; Usage'!$AA24)+('Weekly Summary'!AV$100*'Equipment List &amp; Usage'!$AB24*SelfQuarantine_Mild)+('Weekly Summary'!AV$101*'Equipment List &amp; Usage'!$AB24*SelfQuarantine_Moderate)))+IF('Equipment List &amp; Usage'!$F24="Yes",('Equipment List &amp; Usage'!$C$114*(IF('Equipment List &amp; Usage'!$AE24&gt;0,'Weekly Summary'!AV$134,0)+IF('Equipment List &amp; Usage'!$AF24&gt;0,'Weekly Summary'!AV$135))),'Equipment List &amp; Usage'!$C$115*(('Weekly Summary'!AV$134*'Equipment List &amp; Usage'!$AE24)+('Weekly Summary'!AV$135*'Equipment List &amp; Usage'!$AF24)))),0)</f>
        <v>0</v>
      </c>
      <c r="BC22" s="1374">
        <f ca="1">MAX(IF($F22="Yes",(
IF($F22="yes",MMULT(--('Equipment List &amp; Usage'!$J24:$N24&gt;0),--('Weekly Summary'!AW$112:AW$116))*'Equipment List &amp; Usage'!$C$114,MMULT(--('Equipment List &amp; Usage'!$J24:$N24),--('Weekly Summary'!AW$112:AW$116))*'Equipment List &amp; Usage'!$C$115)+IF('Equipment List &amp; Usage'!$F23="yes",'Equipment List &amp; Usage'!$C$114,'Equipment List &amp; Usage'!$C$115)*(('Weekly Summary'!AW$66*'Equipment List &amp; Usage'!$Q24)+('Weekly Summary'!AW$64*'Equipment List &amp; Usage'!$O24)+('Weekly Summary'!AW$65*'Equipment List &amp; Usage'!$P24)))+(IF('Equipment List &amp; Usage'!$F24="Yes",'Equipment List &amp; Usage'!$C$114*((('Weekly Summary'!AW$131*SelfQuarantine_Mild)+('Weekly Summary'!AW$100*SelfQuarantine_Mild)+('Weekly Summary'!AW$101*SelfQuarantine_Moderate))),'Equipment List &amp; Usage'!$C$115)*((('Weekly Summary'!AW$131*SelfQuarantine_Mild*'Equipment List &amp; Usage'!$W24)+('Weekly Summary'!AW$100*SelfQuarantine_Mild*'Equipment List &amp; Usage'!$X24)+('Weekly Summary'!AW$101*SelfQuarantine_Moderate*'Equipment List &amp; Usage'!$X24)))+IF('Equipment List &amp; Usage'!$F24="Yes",'Equipment List &amp; Usage'!$C$114*(IF('Equipment List &amp; Usage'!$AA24&gt;0,'Weekly Summary'!AW$128,0)+IF('Equipment List &amp; Usage'!$AB24&gt;0,'Weekly Summary'!AW$100+'Weekly Summary'!AW$101,0)),'Equipment List &amp; Usage'!$C$115*(('Weekly Summary'!AW$128*'Equipment List &amp; Usage'!$AA24)+('Weekly Summary'!AW$100*'Equipment List &amp; Usage'!$AB24*SelfQuarantine_Mild)+('Weekly Summary'!AW$101*'Equipment List &amp; Usage'!$AB24*SelfQuarantine_Moderate)))+IF('Equipment List &amp; Usage'!$F24="Yes",('Equipment List &amp; Usage'!$C$114*(IF('Equipment List &amp; Usage'!$AE24&gt;0,'Weekly Summary'!AW$134,0)+IF('Equipment List &amp; Usage'!$AF24&gt;0,'Weekly Summary'!AW$135))),'Equipment List &amp; Usage'!$C$115*(('Weekly Summary'!AW$134*'Equipment List &amp; Usage'!$AE24)+('Weekly Summary'!AW$135*'Equipment List &amp; Usage'!$AF24))))-SUM($I22:BB22),
IF($F22="yes",MMULT(--('Equipment List &amp; Usage'!$J24:$N24&gt;0),--('Weekly Summary'!AW$112:AW$116))*'Equipment List &amp; Usage'!$C$114,MMULT(--('Equipment List &amp; Usage'!$J24:$N24),--('Weekly Summary'!AW$112:AW$116))*'Equipment List &amp; Usage'!$C$115)+IF('Equipment List &amp; Usage'!$F23="yes",'Equipment List &amp; Usage'!$C$114,'Equipment List &amp; Usage'!$C$115)*(('Weekly Summary'!AW$66*'Equipment List &amp; Usage'!$Q24)+('Weekly Summary'!AW$64*'Equipment List &amp; Usage'!$O24)+('Weekly Summary'!AW$65*'Equipment List &amp; Usage'!$P24))+(IF('Equipment List &amp; Usage'!$F24="Yes",'Equipment List &amp; Usage'!$C$114*((('Weekly Summary'!AW$131*SelfQuarantine_Mild)+('Weekly Summary'!AW$100*SelfQuarantine_Mild)+('Weekly Summary'!AW$101*SelfQuarantine_Moderate))),'Equipment List &amp; Usage'!$C$115)*((('Weekly Summary'!AW$131*SelfQuarantine_Mild*'Equipment List &amp; Usage'!$W24)+('Weekly Summary'!AW$100*SelfQuarantine_Mild*'Equipment List &amp; Usage'!$X24)+('Weekly Summary'!AW$101*SelfQuarantine_Moderate*'Equipment List &amp; Usage'!$X24))))+IF('Equipment List &amp; Usage'!$F24="Yes",'Equipment List &amp; Usage'!$C$114*(IF('Equipment List &amp; Usage'!$AA24&gt;0,'Weekly Summary'!AW$128,0)+IF('Equipment List &amp; Usage'!$AB24&gt;0,'Weekly Summary'!AW$100+'Weekly Summary'!AW$101,0)),'Equipment List &amp; Usage'!$C$115*(('Weekly Summary'!AW$128*'Equipment List &amp; Usage'!$AA24)+('Weekly Summary'!AW$100*'Equipment List &amp; Usage'!$AB24*SelfQuarantine_Mild)+('Weekly Summary'!AW$101*'Equipment List &amp; Usage'!$AB24*SelfQuarantine_Moderate)))+IF('Equipment List &amp; Usage'!$F24="Yes",('Equipment List &amp; Usage'!$C$114*(IF('Equipment List &amp; Usage'!$AE24&gt;0,'Weekly Summary'!AW$134,0)+IF('Equipment List &amp; Usage'!$AF24&gt;0,'Weekly Summary'!AW$135))),'Equipment List &amp; Usage'!$C$115*(('Weekly Summary'!AW$134*'Equipment List &amp; Usage'!$AE24)+('Weekly Summary'!AW$135*'Equipment List &amp; Usage'!$AF24)))),0)</f>
        <v>0</v>
      </c>
      <c r="BD22" s="1374">
        <f ca="1">MAX(IF($F22="Yes",(
IF($F22="yes",MMULT(--('Equipment List &amp; Usage'!$J24:$N24&gt;0),--('Weekly Summary'!AX$112:AX$116))*'Equipment List &amp; Usage'!$C$114,MMULT(--('Equipment List &amp; Usage'!$J24:$N24),--('Weekly Summary'!AX$112:AX$116))*'Equipment List &amp; Usage'!$C$115)+IF('Equipment List &amp; Usage'!$F23="yes",'Equipment List &amp; Usage'!$C$114,'Equipment List &amp; Usage'!$C$115)*(('Weekly Summary'!AX$66*'Equipment List &amp; Usage'!$Q24)+('Weekly Summary'!AX$64*'Equipment List &amp; Usage'!$O24)+('Weekly Summary'!AX$65*'Equipment List &amp; Usage'!$P24)))+(IF('Equipment List &amp; Usage'!$F24="Yes",'Equipment List &amp; Usage'!$C$114*((('Weekly Summary'!AX$131*SelfQuarantine_Mild)+('Weekly Summary'!AX$100*SelfQuarantine_Mild)+('Weekly Summary'!AX$101*SelfQuarantine_Moderate))),'Equipment List &amp; Usage'!$C$115)*((('Weekly Summary'!AX$131*SelfQuarantine_Mild*'Equipment List &amp; Usage'!$W24)+('Weekly Summary'!AX$100*SelfQuarantine_Mild*'Equipment List &amp; Usage'!$X24)+('Weekly Summary'!AX$101*SelfQuarantine_Moderate*'Equipment List &amp; Usage'!$X24)))+IF('Equipment List &amp; Usage'!$F24="Yes",'Equipment List &amp; Usage'!$C$114*(IF('Equipment List &amp; Usage'!$AA24&gt;0,'Weekly Summary'!AX$128,0)+IF('Equipment List &amp; Usage'!$AB24&gt;0,'Weekly Summary'!AX$100+'Weekly Summary'!AX$101,0)),'Equipment List &amp; Usage'!$C$115*(('Weekly Summary'!AX$128*'Equipment List &amp; Usage'!$AA24)+('Weekly Summary'!AX$100*'Equipment List &amp; Usage'!$AB24*SelfQuarantine_Mild)+('Weekly Summary'!AX$101*'Equipment List &amp; Usage'!$AB24*SelfQuarantine_Moderate)))+IF('Equipment List &amp; Usage'!$F24="Yes",('Equipment List &amp; Usage'!$C$114*(IF('Equipment List &amp; Usage'!$AE24&gt;0,'Weekly Summary'!AX$134,0)+IF('Equipment List &amp; Usage'!$AF24&gt;0,'Weekly Summary'!AX$135))),'Equipment List &amp; Usage'!$C$115*(('Weekly Summary'!AX$134*'Equipment List &amp; Usage'!$AE24)+('Weekly Summary'!AX$135*'Equipment List &amp; Usage'!$AF24))))-SUM($I22:BC22),
IF($F22="yes",MMULT(--('Equipment List &amp; Usage'!$J24:$N24&gt;0),--('Weekly Summary'!AX$112:AX$116))*'Equipment List &amp; Usage'!$C$114,MMULT(--('Equipment List &amp; Usage'!$J24:$N24),--('Weekly Summary'!AX$112:AX$116))*'Equipment List &amp; Usage'!$C$115)+IF('Equipment List &amp; Usage'!$F23="yes",'Equipment List &amp; Usage'!$C$114,'Equipment List &amp; Usage'!$C$115)*(('Weekly Summary'!AX$66*'Equipment List &amp; Usage'!$Q24)+('Weekly Summary'!AX$64*'Equipment List &amp; Usage'!$O24)+('Weekly Summary'!AX$65*'Equipment List &amp; Usage'!$P24))+(IF('Equipment List &amp; Usage'!$F24="Yes",'Equipment List &amp; Usage'!$C$114*((('Weekly Summary'!AX$131*SelfQuarantine_Mild)+('Weekly Summary'!AX$100*SelfQuarantine_Mild)+('Weekly Summary'!AX$101*SelfQuarantine_Moderate))),'Equipment List &amp; Usage'!$C$115)*((('Weekly Summary'!AX$131*SelfQuarantine_Mild*'Equipment List &amp; Usage'!$W24)+('Weekly Summary'!AX$100*SelfQuarantine_Mild*'Equipment List &amp; Usage'!$X24)+('Weekly Summary'!AX$101*SelfQuarantine_Moderate*'Equipment List &amp; Usage'!$X24))))+IF('Equipment List &amp; Usage'!$F24="Yes",'Equipment List &amp; Usage'!$C$114*(IF('Equipment List &amp; Usage'!$AA24&gt;0,'Weekly Summary'!AX$128,0)+IF('Equipment List &amp; Usage'!$AB24&gt;0,'Weekly Summary'!AX$100+'Weekly Summary'!AX$101,0)),'Equipment List &amp; Usage'!$C$115*(('Weekly Summary'!AX$128*'Equipment List &amp; Usage'!$AA24)+('Weekly Summary'!AX$100*'Equipment List &amp; Usage'!$AB24*SelfQuarantine_Mild)+('Weekly Summary'!AX$101*'Equipment List &amp; Usage'!$AB24*SelfQuarantine_Moderate)))+IF('Equipment List &amp; Usage'!$F24="Yes",('Equipment List &amp; Usage'!$C$114*(IF('Equipment List &amp; Usage'!$AE24&gt;0,'Weekly Summary'!AX$134,0)+IF('Equipment List &amp; Usage'!$AF24&gt;0,'Weekly Summary'!AX$135))),'Equipment List &amp; Usage'!$C$115*(('Weekly Summary'!AX$134*'Equipment List &amp; Usage'!$AE24)+('Weekly Summary'!AX$135*'Equipment List &amp; Usage'!$AF24)))),0)</f>
        <v>0</v>
      </c>
      <c r="BE22" s="1374">
        <f ca="1">MAX(IF($F22="Yes",(
IF($F22="yes",MMULT(--('Equipment List &amp; Usage'!$J24:$N24&gt;0),--('Weekly Summary'!AY$112:AY$116))*'Equipment List &amp; Usage'!$C$114,MMULT(--('Equipment List &amp; Usage'!$J24:$N24),--('Weekly Summary'!AY$112:AY$116))*'Equipment List &amp; Usage'!$C$115)+IF('Equipment List &amp; Usage'!$F23="yes",'Equipment List &amp; Usage'!$C$114,'Equipment List &amp; Usage'!$C$115)*(('Weekly Summary'!AY$66*'Equipment List &amp; Usage'!$Q24)+('Weekly Summary'!AY$64*'Equipment List &amp; Usage'!$O24)+('Weekly Summary'!AY$65*'Equipment List &amp; Usage'!$P24)))+(IF('Equipment List &amp; Usage'!$F24="Yes",'Equipment List &amp; Usage'!$C$114*((('Weekly Summary'!AY$131*SelfQuarantine_Mild)+('Weekly Summary'!AY$100*SelfQuarantine_Mild)+('Weekly Summary'!AY$101*SelfQuarantine_Moderate))),'Equipment List &amp; Usage'!$C$115)*((('Weekly Summary'!AY$131*SelfQuarantine_Mild*'Equipment List &amp; Usage'!$W24)+('Weekly Summary'!AY$100*SelfQuarantine_Mild*'Equipment List &amp; Usage'!$X24)+('Weekly Summary'!AY$101*SelfQuarantine_Moderate*'Equipment List &amp; Usage'!$X24)))+IF('Equipment List &amp; Usage'!$F24="Yes",'Equipment List &amp; Usage'!$C$114*(IF('Equipment List &amp; Usage'!$AA24&gt;0,'Weekly Summary'!AY$128,0)+IF('Equipment List &amp; Usage'!$AB24&gt;0,'Weekly Summary'!AY$100+'Weekly Summary'!AY$101,0)),'Equipment List &amp; Usage'!$C$115*(('Weekly Summary'!AY$128*'Equipment List &amp; Usage'!$AA24)+('Weekly Summary'!AY$100*'Equipment List &amp; Usage'!$AB24*SelfQuarantine_Mild)+('Weekly Summary'!AY$101*'Equipment List &amp; Usage'!$AB24*SelfQuarantine_Moderate)))+IF('Equipment List &amp; Usage'!$F24="Yes",('Equipment List &amp; Usage'!$C$114*(IF('Equipment List &amp; Usage'!$AE24&gt;0,'Weekly Summary'!AY$134,0)+IF('Equipment List &amp; Usage'!$AF24&gt;0,'Weekly Summary'!AY$135))),'Equipment List &amp; Usage'!$C$115*(('Weekly Summary'!AY$134*'Equipment List &amp; Usage'!$AE24)+('Weekly Summary'!AY$135*'Equipment List &amp; Usage'!$AF24))))-SUM($I22:BD22),
IF($F22="yes",MMULT(--('Equipment List &amp; Usage'!$J24:$N24&gt;0),--('Weekly Summary'!AY$112:AY$116))*'Equipment List &amp; Usage'!$C$114,MMULT(--('Equipment List &amp; Usage'!$J24:$N24),--('Weekly Summary'!AY$112:AY$116))*'Equipment List &amp; Usage'!$C$115)+IF('Equipment List &amp; Usage'!$F23="yes",'Equipment List &amp; Usage'!$C$114,'Equipment List &amp; Usage'!$C$115)*(('Weekly Summary'!AY$66*'Equipment List &amp; Usage'!$Q24)+('Weekly Summary'!AY$64*'Equipment List &amp; Usage'!$O24)+('Weekly Summary'!AY$65*'Equipment List &amp; Usage'!$P24))+(IF('Equipment List &amp; Usage'!$F24="Yes",'Equipment List &amp; Usage'!$C$114*((('Weekly Summary'!AY$131*SelfQuarantine_Mild)+('Weekly Summary'!AY$100*SelfQuarantine_Mild)+('Weekly Summary'!AY$101*SelfQuarantine_Moderate))),'Equipment List &amp; Usage'!$C$115)*((('Weekly Summary'!AY$131*SelfQuarantine_Mild*'Equipment List &amp; Usage'!$W24)+('Weekly Summary'!AY$100*SelfQuarantine_Mild*'Equipment List &amp; Usage'!$X24)+('Weekly Summary'!AY$101*SelfQuarantine_Moderate*'Equipment List &amp; Usage'!$X24))))+IF('Equipment List &amp; Usage'!$F24="Yes",'Equipment List &amp; Usage'!$C$114*(IF('Equipment List &amp; Usage'!$AA24&gt;0,'Weekly Summary'!AY$128,0)+IF('Equipment List &amp; Usage'!$AB24&gt;0,'Weekly Summary'!AY$100+'Weekly Summary'!AY$101,0)),'Equipment List &amp; Usage'!$C$115*(('Weekly Summary'!AY$128*'Equipment List &amp; Usage'!$AA24)+('Weekly Summary'!AY$100*'Equipment List &amp; Usage'!$AB24*SelfQuarantine_Mild)+('Weekly Summary'!AY$101*'Equipment List &amp; Usage'!$AB24*SelfQuarantine_Moderate)))+IF('Equipment List &amp; Usage'!$F24="Yes",('Equipment List &amp; Usage'!$C$114*(IF('Equipment List &amp; Usage'!$AE24&gt;0,'Weekly Summary'!AY$134,0)+IF('Equipment List &amp; Usage'!$AF24&gt;0,'Weekly Summary'!AY$135))),'Equipment List &amp; Usage'!$C$115*(('Weekly Summary'!AY$134*'Equipment List &amp; Usage'!$AE24)+('Weekly Summary'!AY$135*'Equipment List &amp; Usage'!$AF24)))),0)</f>
        <v>0</v>
      </c>
      <c r="BF22" s="1374">
        <f ca="1">MAX(IF($F22="Yes",(
IF($F22="yes",MMULT(--('Equipment List &amp; Usage'!$J24:$N24&gt;0),--('Weekly Summary'!AZ$112:AZ$116))*'Equipment List &amp; Usage'!$C$114,MMULT(--('Equipment List &amp; Usage'!$J24:$N24),--('Weekly Summary'!AZ$112:AZ$116))*'Equipment List &amp; Usage'!$C$115)+IF('Equipment List &amp; Usage'!$F23="yes",'Equipment List &amp; Usage'!$C$114,'Equipment List &amp; Usage'!$C$115)*(('Weekly Summary'!AZ$66*'Equipment List &amp; Usage'!$Q24)+('Weekly Summary'!AZ$64*'Equipment List &amp; Usage'!$O24)+('Weekly Summary'!AZ$65*'Equipment List &amp; Usage'!$P24)))+(IF('Equipment List &amp; Usage'!$F24="Yes",'Equipment List &amp; Usage'!$C$114*((('Weekly Summary'!AZ$131*SelfQuarantine_Mild)+('Weekly Summary'!AZ$100*SelfQuarantine_Mild)+('Weekly Summary'!AZ$101*SelfQuarantine_Moderate))),'Equipment List &amp; Usage'!$C$115)*((('Weekly Summary'!AZ$131*SelfQuarantine_Mild*'Equipment List &amp; Usage'!$W24)+('Weekly Summary'!AZ$100*SelfQuarantine_Mild*'Equipment List &amp; Usage'!$X24)+('Weekly Summary'!AZ$101*SelfQuarantine_Moderate*'Equipment List &amp; Usage'!$X24)))+IF('Equipment List &amp; Usage'!$F24="Yes",'Equipment List &amp; Usage'!$C$114*(IF('Equipment List &amp; Usage'!$AA24&gt;0,'Weekly Summary'!AZ$128,0)+IF('Equipment List &amp; Usage'!$AB24&gt;0,'Weekly Summary'!AZ$100+'Weekly Summary'!AZ$101,0)),'Equipment List &amp; Usage'!$C$115*(('Weekly Summary'!AZ$128*'Equipment List &amp; Usage'!$AA24)+('Weekly Summary'!AZ$100*'Equipment List &amp; Usage'!$AB24*SelfQuarantine_Mild)+('Weekly Summary'!AZ$101*'Equipment List &amp; Usage'!$AB24*SelfQuarantine_Moderate)))+IF('Equipment List &amp; Usage'!$F24="Yes",('Equipment List &amp; Usage'!$C$114*(IF('Equipment List &amp; Usage'!$AE24&gt;0,'Weekly Summary'!AZ$134,0)+IF('Equipment List &amp; Usage'!$AF24&gt;0,'Weekly Summary'!AZ$135))),'Equipment List &amp; Usage'!$C$115*(('Weekly Summary'!AZ$134*'Equipment List &amp; Usage'!$AE24)+('Weekly Summary'!AZ$135*'Equipment List &amp; Usage'!$AF24))))-SUM($I22:BE22),
IF($F22="yes",MMULT(--('Equipment List &amp; Usage'!$J24:$N24&gt;0),--('Weekly Summary'!AZ$112:AZ$116))*'Equipment List &amp; Usage'!$C$114,MMULT(--('Equipment List &amp; Usage'!$J24:$N24),--('Weekly Summary'!AZ$112:AZ$116))*'Equipment List &amp; Usage'!$C$115)+IF('Equipment List &amp; Usage'!$F23="yes",'Equipment List &amp; Usage'!$C$114,'Equipment List &amp; Usage'!$C$115)*(('Weekly Summary'!AZ$66*'Equipment List &amp; Usage'!$Q24)+('Weekly Summary'!AZ$64*'Equipment List &amp; Usage'!$O24)+('Weekly Summary'!AZ$65*'Equipment List &amp; Usage'!$P24))+(IF('Equipment List &amp; Usage'!$F24="Yes",'Equipment List &amp; Usage'!$C$114*((('Weekly Summary'!AZ$131*SelfQuarantine_Mild)+('Weekly Summary'!AZ$100*SelfQuarantine_Mild)+('Weekly Summary'!AZ$101*SelfQuarantine_Moderate))),'Equipment List &amp; Usage'!$C$115)*((('Weekly Summary'!AZ$131*SelfQuarantine_Mild*'Equipment List &amp; Usage'!$W24)+('Weekly Summary'!AZ$100*SelfQuarantine_Mild*'Equipment List &amp; Usage'!$X24)+('Weekly Summary'!AZ$101*SelfQuarantine_Moderate*'Equipment List &amp; Usage'!$X24))))+IF('Equipment List &amp; Usage'!$F24="Yes",'Equipment List &amp; Usage'!$C$114*(IF('Equipment List &amp; Usage'!$AA24&gt;0,'Weekly Summary'!AZ$128,0)+IF('Equipment List &amp; Usage'!$AB24&gt;0,'Weekly Summary'!AZ$100+'Weekly Summary'!AZ$101,0)),'Equipment List &amp; Usage'!$C$115*(('Weekly Summary'!AZ$128*'Equipment List &amp; Usage'!$AA24)+('Weekly Summary'!AZ$100*'Equipment List &amp; Usage'!$AB24*SelfQuarantine_Mild)+('Weekly Summary'!AZ$101*'Equipment List &amp; Usage'!$AB24*SelfQuarantine_Moderate)))+IF('Equipment List &amp; Usage'!$F24="Yes",('Equipment List &amp; Usage'!$C$114*(IF('Equipment List &amp; Usage'!$AE24&gt;0,'Weekly Summary'!AZ$134,0)+IF('Equipment List &amp; Usage'!$AF24&gt;0,'Weekly Summary'!AZ$135))),'Equipment List &amp; Usage'!$C$115*(('Weekly Summary'!AZ$134*'Equipment List &amp; Usage'!$AE24)+('Weekly Summary'!AZ$135*'Equipment List &amp; Usage'!$AF24)))),0)</f>
        <v>0</v>
      </c>
      <c r="BG22" s="1374">
        <f ca="1">MAX(IF($F22="Yes",(
IF($F22="yes",MMULT(--('Equipment List &amp; Usage'!$J24:$N24&gt;0),--('Weekly Summary'!BA$112:BA$116))*'Equipment List &amp; Usage'!$C$114,MMULT(--('Equipment List &amp; Usage'!$J24:$N24),--('Weekly Summary'!BA$112:BA$116))*'Equipment List &amp; Usage'!$C$115)+IF('Equipment List &amp; Usage'!$F23="yes",'Equipment List &amp; Usage'!$C$114,'Equipment List &amp; Usage'!$C$115)*(('Weekly Summary'!BA$66*'Equipment List &amp; Usage'!$Q24)+('Weekly Summary'!BA$64*'Equipment List &amp; Usage'!$O24)+('Weekly Summary'!BA$65*'Equipment List &amp; Usage'!$P24)))+(IF('Equipment List &amp; Usage'!$F24="Yes",'Equipment List &amp; Usage'!$C$114*((('Weekly Summary'!BA$131*SelfQuarantine_Mild)+('Weekly Summary'!BA$100*SelfQuarantine_Mild)+('Weekly Summary'!BA$101*SelfQuarantine_Moderate))),'Equipment List &amp; Usage'!$C$115)*((('Weekly Summary'!BA$131*SelfQuarantine_Mild*'Equipment List &amp; Usage'!$W24)+('Weekly Summary'!BA$100*SelfQuarantine_Mild*'Equipment List &amp; Usage'!$X24)+('Weekly Summary'!BA$101*SelfQuarantine_Moderate*'Equipment List &amp; Usage'!$X24)))+IF('Equipment List &amp; Usage'!$F24="Yes",'Equipment List &amp; Usage'!$C$114*(IF('Equipment List &amp; Usage'!$AA24&gt;0,'Weekly Summary'!BA$128,0)+IF('Equipment List &amp; Usage'!$AB24&gt;0,'Weekly Summary'!BA$100+'Weekly Summary'!BA$101,0)),'Equipment List &amp; Usage'!$C$115*(('Weekly Summary'!BA$128*'Equipment List &amp; Usage'!$AA24)+('Weekly Summary'!BA$100*'Equipment List &amp; Usage'!$AB24*SelfQuarantine_Mild)+('Weekly Summary'!BA$101*'Equipment List &amp; Usage'!$AB24*SelfQuarantine_Moderate)))+IF('Equipment List &amp; Usage'!$F24="Yes",('Equipment List &amp; Usage'!$C$114*(IF('Equipment List &amp; Usage'!$AE24&gt;0,'Weekly Summary'!BA$134,0)+IF('Equipment List &amp; Usage'!$AF24&gt;0,'Weekly Summary'!BA$135))),'Equipment List &amp; Usage'!$C$115*(('Weekly Summary'!BA$134*'Equipment List &amp; Usage'!$AE24)+('Weekly Summary'!BA$135*'Equipment List &amp; Usage'!$AF24))))-SUM($I22:BF22),
IF($F22="yes",MMULT(--('Equipment List &amp; Usage'!$J24:$N24&gt;0),--('Weekly Summary'!BA$112:BA$116))*'Equipment List &amp; Usage'!$C$114,MMULT(--('Equipment List &amp; Usage'!$J24:$N24),--('Weekly Summary'!BA$112:BA$116))*'Equipment List &amp; Usage'!$C$115)+IF('Equipment List &amp; Usage'!$F23="yes",'Equipment List &amp; Usage'!$C$114,'Equipment List &amp; Usage'!$C$115)*(('Weekly Summary'!BA$66*'Equipment List &amp; Usage'!$Q24)+('Weekly Summary'!BA$64*'Equipment List &amp; Usage'!$O24)+('Weekly Summary'!BA$65*'Equipment List &amp; Usage'!$P24))+(IF('Equipment List &amp; Usage'!$F24="Yes",'Equipment List &amp; Usage'!$C$114*((('Weekly Summary'!BA$131*SelfQuarantine_Mild)+('Weekly Summary'!BA$100*SelfQuarantine_Mild)+('Weekly Summary'!BA$101*SelfQuarantine_Moderate))),'Equipment List &amp; Usage'!$C$115)*((('Weekly Summary'!BA$131*SelfQuarantine_Mild*'Equipment List &amp; Usage'!$W24)+('Weekly Summary'!BA$100*SelfQuarantine_Mild*'Equipment List &amp; Usage'!$X24)+('Weekly Summary'!BA$101*SelfQuarantine_Moderate*'Equipment List &amp; Usage'!$X24))))+IF('Equipment List &amp; Usage'!$F24="Yes",'Equipment List &amp; Usage'!$C$114*(IF('Equipment List &amp; Usage'!$AA24&gt;0,'Weekly Summary'!BA$128,0)+IF('Equipment List &amp; Usage'!$AB24&gt;0,'Weekly Summary'!BA$100+'Weekly Summary'!BA$101,0)),'Equipment List &amp; Usage'!$C$115*(('Weekly Summary'!BA$128*'Equipment List &amp; Usage'!$AA24)+('Weekly Summary'!BA$100*'Equipment List &amp; Usage'!$AB24*SelfQuarantine_Mild)+('Weekly Summary'!BA$101*'Equipment List &amp; Usage'!$AB24*SelfQuarantine_Moderate)))+IF('Equipment List &amp; Usage'!$F24="Yes",('Equipment List &amp; Usage'!$C$114*(IF('Equipment List &amp; Usage'!$AE24&gt;0,'Weekly Summary'!BA$134,0)+IF('Equipment List &amp; Usage'!$AF24&gt;0,'Weekly Summary'!BA$135))),'Equipment List &amp; Usage'!$C$115*(('Weekly Summary'!BA$134*'Equipment List &amp; Usage'!$AE24)+('Weekly Summary'!BA$135*'Equipment List &amp; Usage'!$AF24)))),0)</f>
        <v>0</v>
      </c>
      <c r="BH22" s="1374">
        <f ca="1">MAX(IF($F22="Yes",(
IF($F22="yes",MMULT(--('Equipment List &amp; Usage'!$J24:$N24&gt;0),--('Weekly Summary'!BB$112:BB$116))*'Equipment List &amp; Usage'!$C$114,MMULT(--('Equipment List &amp; Usage'!$J24:$N24),--('Weekly Summary'!BB$112:BB$116))*'Equipment List &amp; Usage'!$C$115)+IF('Equipment List &amp; Usage'!$F23="yes",'Equipment List &amp; Usage'!$C$114,'Equipment List &amp; Usage'!$C$115)*(('Weekly Summary'!BB$66*'Equipment List &amp; Usage'!$Q24)+('Weekly Summary'!BB$64*'Equipment List &amp; Usage'!$O24)+('Weekly Summary'!BB$65*'Equipment List &amp; Usage'!$P24)))+(IF('Equipment List &amp; Usage'!$F24="Yes",'Equipment List &amp; Usage'!$C$114*((('Weekly Summary'!BB$131*SelfQuarantine_Mild)+('Weekly Summary'!BB$100*SelfQuarantine_Mild)+('Weekly Summary'!BB$101*SelfQuarantine_Moderate))),'Equipment List &amp; Usage'!$C$115)*((('Weekly Summary'!BB$131*SelfQuarantine_Mild*'Equipment List &amp; Usage'!$W24)+('Weekly Summary'!BB$100*SelfQuarantine_Mild*'Equipment List &amp; Usage'!$X24)+('Weekly Summary'!BB$101*SelfQuarantine_Moderate*'Equipment List &amp; Usage'!$X24)))+IF('Equipment List &amp; Usage'!$F24="Yes",'Equipment List &amp; Usage'!$C$114*(IF('Equipment List &amp; Usage'!$AA24&gt;0,'Weekly Summary'!BB$128,0)+IF('Equipment List &amp; Usage'!$AB24&gt;0,'Weekly Summary'!BB$100+'Weekly Summary'!BB$101,0)),'Equipment List &amp; Usage'!$C$115*(('Weekly Summary'!BB$128*'Equipment List &amp; Usage'!$AA24)+('Weekly Summary'!BB$100*'Equipment List &amp; Usage'!$AB24*SelfQuarantine_Mild)+('Weekly Summary'!BB$101*'Equipment List &amp; Usage'!$AB24*SelfQuarantine_Moderate)))+IF('Equipment List &amp; Usage'!$F24="Yes",('Equipment List &amp; Usage'!$C$114*(IF('Equipment List &amp; Usage'!$AE24&gt;0,'Weekly Summary'!BB$134,0)+IF('Equipment List &amp; Usage'!$AF24&gt;0,'Weekly Summary'!BB$135))),'Equipment List &amp; Usage'!$C$115*(('Weekly Summary'!BB$134*'Equipment List &amp; Usage'!$AE24)+('Weekly Summary'!BB$135*'Equipment List &amp; Usage'!$AF24))))-SUM($I22:BG22),
IF($F22="yes",MMULT(--('Equipment List &amp; Usage'!$J24:$N24&gt;0),--('Weekly Summary'!BB$112:BB$116))*'Equipment List &amp; Usage'!$C$114,MMULT(--('Equipment List &amp; Usage'!$J24:$N24),--('Weekly Summary'!BB$112:BB$116))*'Equipment List &amp; Usage'!$C$115)+IF('Equipment List &amp; Usage'!$F23="yes",'Equipment List &amp; Usage'!$C$114,'Equipment List &amp; Usage'!$C$115)*(('Weekly Summary'!BB$66*'Equipment List &amp; Usage'!$Q24)+('Weekly Summary'!BB$64*'Equipment List &amp; Usage'!$O24)+('Weekly Summary'!BB$65*'Equipment List &amp; Usage'!$P24))+(IF('Equipment List &amp; Usage'!$F24="Yes",'Equipment List &amp; Usage'!$C$114*((('Weekly Summary'!BB$131*SelfQuarantine_Mild)+('Weekly Summary'!BB$100*SelfQuarantine_Mild)+('Weekly Summary'!BB$101*SelfQuarantine_Moderate))),'Equipment List &amp; Usage'!$C$115)*((('Weekly Summary'!BB$131*SelfQuarantine_Mild*'Equipment List &amp; Usage'!$W24)+('Weekly Summary'!BB$100*SelfQuarantine_Mild*'Equipment List &amp; Usage'!$X24)+('Weekly Summary'!BB$101*SelfQuarantine_Moderate*'Equipment List &amp; Usage'!$X24))))+IF('Equipment List &amp; Usage'!$F24="Yes",'Equipment List &amp; Usage'!$C$114*(IF('Equipment List &amp; Usage'!$AA24&gt;0,'Weekly Summary'!BB$128,0)+IF('Equipment List &amp; Usage'!$AB24&gt;0,'Weekly Summary'!BB$100+'Weekly Summary'!BB$101,0)),'Equipment List &amp; Usage'!$C$115*(('Weekly Summary'!BB$128*'Equipment List &amp; Usage'!$AA24)+('Weekly Summary'!BB$100*'Equipment List &amp; Usage'!$AB24*SelfQuarantine_Mild)+('Weekly Summary'!BB$101*'Equipment List &amp; Usage'!$AB24*SelfQuarantine_Moderate)))+IF('Equipment List &amp; Usage'!$F24="Yes",('Equipment List &amp; Usage'!$C$114*(IF('Equipment List &amp; Usage'!$AE24&gt;0,'Weekly Summary'!BB$134,0)+IF('Equipment List &amp; Usage'!$AF24&gt;0,'Weekly Summary'!BB$135))),'Equipment List &amp; Usage'!$C$115*(('Weekly Summary'!BB$134*'Equipment List &amp; Usage'!$AE24)+('Weekly Summary'!BB$135*'Equipment List &amp; Usage'!$AF24)))),0)</f>
        <v>0</v>
      </c>
      <c r="BI22" s="1374">
        <f ca="1">MAX(IF($F22="Yes",(
IF($F22="yes",MMULT(--('Equipment List &amp; Usage'!$J24:$N24&gt;0),--('Weekly Summary'!BC$112:BC$116))*'Equipment List &amp; Usage'!$C$114,MMULT(--('Equipment List &amp; Usage'!$J24:$N24),--('Weekly Summary'!BC$112:BC$116))*'Equipment List &amp; Usage'!$C$115)+IF('Equipment List &amp; Usage'!$F23="yes",'Equipment List &amp; Usage'!$C$114,'Equipment List &amp; Usage'!$C$115)*(('Weekly Summary'!BC$66*'Equipment List &amp; Usage'!$Q24)+('Weekly Summary'!BC$64*'Equipment List &amp; Usage'!$O24)+('Weekly Summary'!BC$65*'Equipment List &amp; Usage'!$P24)))+(IF('Equipment List &amp; Usage'!$F24="Yes",'Equipment List &amp; Usage'!$C$114*((('Weekly Summary'!BC$131*SelfQuarantine_Mild)+('Weekly Summary'!BC$100*SelfQuarantine_Mild)+('Weekly Summary'!BC$101*SelfQuarantine_Moderate))),'Equipment List &amp; Usage'!$C$115)*((('Weekly Summary'!BC$131*SelfQuarantine_Mild*'Equipment List &amp; Usage'!$W24)+('Weekly Summary'!BC$100*SelfQuarantine_Mild*'Equipment List &amp; Usage'!$X24)+('Weekly Summary'!BC$101*SelfQuarantine_Moderate*'Equipment List &amp; Usage'!$X24)))+IF('Equipment List &amp; Usage'!$F24="Yes",'Equipment List &amp; Usage'!$C$114*(IF('Equipment List &amp; Usage'!$AA24&gt;0,'Weekly Summary'!BC$128,0)+IF('Equipment List &amp; Usage'!$AB24&gt;0,'Weekly Summary'!BC$100+'Weekly Summary'!BC$101,0)),'Equipment List &amp; Usage'!$C$115*(('Weekly Summary'!BC$128*'Equipment List &amp; Usage'!$AA24)+('Weekly Summary'!BC$100*'Equipment List &amp; Usage'!$AB24*SelfQuarantine_Mild)+('Weekly Summary'!BC$101*'Equipment List &amp; Usage'!$AB24*SelfQuarantine_Moderate)))+IF('Equipment List &amp; Usage'!$F24="Yes",('Equipment List &amp; Usage'!$C$114*(IF('Equipment List &amp; Usage'!$AE24&gt;0,'Weekly Summary'!BC$134,0)+IF('Equipment List &amp; Usage'!$AF24&gt;0,'Weekly Summary'!BC$135))),'Equipment List &amp; Usage'!$C$115*(('Weekly Summary'!BC$134*'Equipment List &amp; Usage'!$AE24)+('Weekly Summary'!BC$135*'Equipment List &amp; Usage'!$AF24))))-SUM($I22:BH22),
IF($F22="yes",MMULT(--('Equipment List &amp; Usage'!$J24:$N24&gt;0),--('Weekly Summary'!BC$112:BC$116))*'Equipment List &amp; Usage'!$C$114,MMULT(--('Equipment List &amp; Usage'!$J24:$N24),--('Weekly Summary'!BC$112:BC$116))*'Equipment List &amp; Usage'!$C$115)+IF('Equipment List &amp; Usage'!$F23="yes",'Equipment List &amp; Usage'!$C$114,'Equipment List &amp; Usage'!$C$115)*(('Weekly Summary'!BC$66*'Equipment List &amp; Usage'!$Q24)+('Weekly Summary'!BC$64*'Equipment List &amp; Usage'!$O24)+('Weekly Summary'!BC$65*'Equipment List &amp; Usage'!$P24))+(IF('Equipment List &amp; Usage'!$F24="Yes",'Equipment List &amp; Usage'!$C$114*((('Weekly Summary'!BC$131*SelfQuarantine_Mild)+('Weekly Summary'!BC$100*SelfQuarantine_Mild)+('Weekly Summary'!BC$101*SelfQuarantine_Moderate))),'Equipment List &amp; Usage'!$C$115)*((('Weekly Summary'!BC$131*SelfQuarantine_Mild*'Equipment List &amp; Usage'!$W24)+('Weekly Summary'!BC$100*SelfQuarantine_Mild*'Equipment List &amp; Usage'!$X24)+('Weekly Summary'!BC$101*SelfQuarantine_Moderate*'Equipment List &amp; Usage'!$X24))))+IF('Equipment List &amp; Usage'!$F24="Yes",'Equipment List &amp; Usage'!$C$114*(IF('Equipment List &amp; Usage'!$AA24&gt;0,'Weekly Summary'!BC$128,0)+IF('Equipment List &amp; Usage'!$AB24&gt;0,'Weekly Summary'!BC$100+'Weekly Summary'!BC$101,0)),'Equipment List &amp; Usage'!$C$115*(('Weekly Summary'!BC$128*'Equipment List &amp; Usage'!$AA24)+('Weekly Summary'!BC$100*'Equipment List &amp; Usage'!$AB24*SelfQuarantine_Mild)+('Weekly Summary'!BC$101*'Equipment List &amp; Usage'!$AB24*SelfQuarantine_Moderate)))+IF('Equipment List &amp; Usage'!$F24="Yes",('Equipment List &amp; Usage'!$C$114*(IF('Equipment List &amp; Usage'!$AE24&gt;0,'Weekly Summary'!BC$134,0)+IF('Equipment List &amp; Usage'!$AF24&gt;0,'Weekly Summary'!BC$135))),'Equipment List &amp; Usage'!$C$115*(('Weekly Summary'!BC$134*'Equipment List &amp; Usage'!$AE24)+('Weekly Summary'!BC$135*'Equipment List &amp; Usage'!$AF24)))),0)</f>
        <v>0</v>
      </c>
      <c r="BJ22" s="1377">
        <f ca="1">MAX(IF($F22="Yes",(
IF($F22="yes",MMULT(--('Equipment List &amp; Usage'!$J24:$N24&gt;0),--('Weekly Summary'!BD$112:BD$116))*'Equipment List &amp; Usage'!$C$114,MMULT(--('Equipment List &amp; Usage'!$J24:$N24),--('Weekly Summary'!BD$112:BD$116))*'Equipment List &amp; Usage'!$C$115)+IF('Equipment List &amp; Usage'!$F23="yes",'Equipment List &amp; Usage'!$C$114,'Equipment List &amp; Usage'!$C$115)*(('Weekly Summary'!BD$66*'Equipment List &amp; Usage'!$Q24)+('Weekly Summary'!BD$64*'Equipment List &amp; Usage'!$O24)+('Weekly Summary'!BD$65*'Equipment List &amp; Usage'!$P24)))+(IF('Equipment List &amp; Usage'!$F24="Yes",'Equipment List &amp; Usage'!$C$114*((('Weekly Summary'!BD$131*SelfQuarantine_Mild)+('Weekly Summary'!BD$100*SelfQuarantine_Mild)+('Weekly Summary'!BD$101*SelfQuarantine_Moderate))),'Equipment List &amp; Usage'!$C$115)*((('Weekly Summary'!BD$131*SelfQuarantine_Mild*'Equipment List &amp; Usage'!$W24)+('Weekly Summary'!BD$100*SelfQuarantine_Mild*'Equipment List &amp; Usage'!$X24)+('Weekly Summary'!BD$101*SelfQuarantine_Moderate*'Equipment List &amp; Usage'!$X24)))+IF('Equipment List &amp; Usage'!$F24="Yes",'Equipment List &amp; Usage'!$C$114*(IF('Equipment List &amp; Usage'!$AA24&gt;0,'Weekly Summary'!BD$128,0)+IF('Equipment List &amp; Usage'!$AB24&gt;0,'Weekly Summary'!BD$100+'Weekly Summary'!BD$101,0)),'Equipment List &amp; Usage'!$C$115*(('Weekly Summary'!BD$128*'Equipment List &amp; Usage'!$AA24)+('Weekly Summary'!BD$100*'Equipment List &amp; Usage'!$AB24*SelfQuarantine_Mild)+('Weekly Summary'!BD$101*'Equipment List &amp; Usage'!$AB24*SelfQuarantine_Moderate)))+IF('Equipment List &amp; Usage'!$F24="Yes",('Equipment List &amp; Usage'!$C$114*(IF('Equipment List &amp; Usage'!$AE24&gt;0,'Weekly Summary'!BD$134,0)+IF('Equipment List &amp; Usage'!$AF24&gt;0,'Weekly Summary'!BD$135))),'Equipment List &amp; Usage'!$C$115*(('Weekly Summary'!BD$134*'Equipment List &amp; Usage'!$AE24)+('Weekly Summary'!BD$135*'Equipment List &amp; Usage'!$AF24))))-SUM($I22:BI22),
IF($F22="yes",MMULT(--('Equipment List &amp; Usage'!$J24:$N24&gt;0),--('Weekly Summary'!BD$112:BD$116))*'Equipment List &amp; Usage'!$C$114,MMULT(--('Equipment List &amp; Usage'!$J24:$N24),--('Weekly Summary'!BD$112:BD$116))*'Equipment List &amp; Usage'!$C$115)+IF('Equipment List &amp; Usage'!$F23="yes",'Equipment List &amp; Usage'!$C$114,'Equipment List &amp; Usage'!$C$115)*(('Weekly Summary'!BD$66*'Equipment List &amp; Usage'!$Q24)+('Weekly Summary'!BD$64*'Equipment List &amp; Usage'!$O24)+('Weekly Summary'!BD$65*'Equipment List &amp; Usage'!$P24))+(IF('Equipment List &amp; Usage'!$F24="Yes",'Equipment List &amp; Usage'!$C$114*((('Weekly Summary'!BD$131*SelfQuarantine_Mild)+('Weekly Summary'!BD$100*SelfQuarantine_Mild)+('Weekly Summary'!BD$101*SelfQuarantine_Moderate))),'Equipment List &amp; Usage'!$C$115)*((('Weekly Summary'!BD$131*SelfQuarantine_Mild*'Equipment List &amp; Usage'!$W24)+('Weekly Summary'!BD$100*SelfQuarantine_Mild*'Equipment List &amp; Usage'!$X24)+('Weekly Summary'!BD$101*SelfQuarantine_Moderate*'Equipment List &amp; Usage'!$X24))))+IF('Equipment List &amp; Usage'!$F24="Yes",'Equipment List &amp; Usage'!$C$114*(IF('Equipment List &amp; Usage'!$AA24&gt;0,'Weekly Summary'!BD$128,0)+IF('Equipment List &amp; Usage'!$AB24&gt;0,'Weekly Summary'!BD$100+'Weekly Summary'!BD$101,0)),'Equipment List &amp; Usage'!$C$115*(('Weekly Summary'!BD$128*'Equipment List &amp; Usage'!$AA24)+('Weekly Summary'!BD$100*'Equipment List &amp; Usage'!$AB24*SelfQuarantine_Mild)+('Weekly Summary'!BD$101*'Equipment List &amp; Usage'!$AB24*SelfQuarantine_Moderate)))+IF('Equipment List &amp; Usage'!$F24="Yes",('Equipment List &amp; Usage'!$C$114*(IF('Equipment List &amp; Usage'!$AE24&gt;0,'Weekly Summary'!BD$134,0)+IF('Equipment List &amp; Usage'!$AF24&gt;0,'Weekly Summary'!BD$135))),'Equipment List &amp; Usage'!$C$115*(('Weekly Summary'!BD$134*'Equipment List &amp; Usage'!$AE24)+('Weekly Summary'!BD$135*'Equipment List &amp; Usage'!$AF24)))),0)</f>
        <v>0</v>
      </c>
    </row>
    <row r="23" spans="2:62" x14ac:dyDescent="0.35">
      <c r="B23" s="949" t="str">
        <f>'Equipment List &amp; Usage'!B25</f>
        <v>IPC</v>
      </c>
      <c r="C23" s="948" t="str">
        <f>'Equipment List &amp; Usage'!C25</f>
        <v>PPE</v>
      </c>
      <c r="D23" s="948" t="str">
        <f>'Equipment List &amp; Usage'!D25</f>
        <v>Gum boots</v>
      </c>
      <c r="E23" s="948" t="str">
        <f>'Equipment List &amp; Usage'!E25</f>
        <v>Pair</v>
      </c>
      <c r="F23" s="948" t="str">
        <f>'Equipment List &amp; Usage'!F25</f>
        <v>Yes</v>
      </c>
      <c r="G23" s="948" t="str">
        <f>'Equipment List &amp; Usage'!G25</f>
        <v>N/A</v>
      </c>
      <c r="H23" s="1365">
        <f t="shared" ca="1" si="2"/>
        <v>226.32641273461746</v>
      </c>
      <c r="J23" s="1341"/>
      <c r="K23" s="1374">
        <f ca="1">IF('User Dashboard'!$H$13=1,0,IF($F23="Yes",(
IF($F23="yes",MMULT(--('Equipment List &amp; Usage'!$J25:$N25&gt;0),--('Weekly Summary'!E$112:E$116))*'Equipment List &amp; Usage'!$C$114,MMULT(--('Equipment List &amp; Usage'!$J25:$N25),--('Weekly Summary'!E$112:E$116))*'Equipment List &amp; Usage'!$C$115)+IF('Equipment List &amp; Usage'!$F24="yes",'Equipment List &amp; Usage'!$C$114,'Equipment List &amp; Usage'!$C$115)*(('Weekly Summary'!E$66*'Equipment List &amp; Usage'!$Q25)+('Weekly Summary'!E$64*'Equipment List &amp; Usage'!$O25)+('Weekly Summary'!E$65*'Equipment List &amp; Usage'!$P25)))+(IF('Equipment List &amp; Usage'!$F25="Yes",'Equipment List &amp; Usage'!$C$114*((('Weekly Summary'!E$131*SelfQuarantine_Mild)+('Weekly Summary'!E$100*SelfQuarantine_Mild)+('Weekly Summary'!E$101*SelfQuarantine_Moderate))),'Equipment List &amp; Usage'!$C$115)*((('Weekly Summary'!E$131*SelfQuarantine_Mild*'Equipment List &amp; Usage'!$W25)+('Weekly Summary'!E$100*SelfQuarantine_Mild*'Equipment List &amp; Usage'!$X25)+('Weekly Summary'!E$101*SelfQuarantine_Moderate*'Equipment List &amp; Usage'!$X25)))+IF('Equipment List &amp; Usage'!$F25="Yes",'Equipment List &amp; Usage'!$C$114*(IF('Equipment List &amp; Usage'!$AA25&gt;0,'Weekly Summary'!E$128,0)+IF('Equipment List &amp; Usage'!$AB25&gt;0,'Weekly Summary'!E$100+'Weekly Summary'!E$101,0)),'Equipment List &amp; Usage'!$C$115*(('Weekly Summary'!E$128*'Equipment List &amp; Usage'!$AA25)+('Weekly Summary'!E$100*'Equipment List &amp; Usage'!$AB25*SelfQuarantine_Mild)+('Weekly Summary'!E$101*'Equipment List &amp; Usage'!$AB25*SelfQuarantine_Moderate)))+IF('Equipment List &amp; Usage'!$F25="Yes",('Equipment List &amp; Usage'!$C$114*(IF('Equipment List &amp; Usage'!$AE25&gt;0,'Weekly Summary'!E$134,0)+IF('Equipment List &amp; Usage'!$AF25&gt;0,'Weekly Summary'!E$135))),'Equipment List &amp; Usage'!$C$115*(('Weekly Summary'!E$134*'Equipment List &amp; Usage'!$AE25)+('Weekly Summary'!E$135*'Equipment List &amp; Usage'!$AF25)))),
IF($F23="yes",MMULT(--('Equipment List &amp; Usage'!$J25:$N25&gt;0),--('Weekly Summary'!E$112:E$116))*'Equipment List &amp; Usage'!$C$114,MMULT(--('Equipment List &amp; Usage'!$J25:$N25),--('Weekly Summary'!E$112:E$116))*'Equipment List &amp; Usage'!$C$115)+IF('Equipment List &amp; Usage'!$F24="yes",'Equipment List &amp; Usage'!$C$114,'Equipment List &amp; Usage'!$C$115)*(('Weekly Summary'!E$66*'Equipment List &amp; Usage'!$Q25)+('Weekly Summary'!E$64*'Equipment List &amp; Usage'!$O25)+('Weekly Summary'!E$65*'Equipment List &amp; Usage'!$P25))+(IF('Equipment List &amp; Usage'!$F25="Yes",'Equipment List &amp; Usage'!$C$114*((('Weekly Summary'!E$131*SelfQuarantine_Mild)+('Weekly Summary'!E$100*SelfQuarantine_Mild)+('Weekly Summary'!E$101*SelfQuarantine_Moderate))),'Equipment List &amp; Usage'!$C$115)*((('Weekly Summary'!E$131*SelfQuarantine_Mild*'Equipment List &amp; Usage'!$W25)+('Weekly Summary'!E$100*SelfQuarantine_Mild*'Equipment List &amp; Usage'!$X25)+('Weekly Summary'!E$101*SelfQuarantine_Moderate*'Equipment List &amp; Usage'!$X25))))+IF('Equipment List &amp; Usage'!$F25="Yes",'Equipment List &amp; Usage'!$C$114*(IF('Equipment List &amp; Usage'!$AA25&gt;0,'Weekly Summary'!E$128,0)+IF('Equipment List &amp; Usage'!$AB25&gt;0,'Weekly Summary'!E$100+'Weekly Summary'!E$101,0)),'Equipment List &amp; Usage'!$C$115*(('Weekly Summary'!E$128*'Equipment List &amp; Usage'!$AA25)+('Weekly Summary'!E$100*'Equipment List &amp; Usage'!$AB25*SelfQuarantine_Mild)+('Weekly Summary'!E$101*'Equipment List &amp; Usage'!$AB25*SelfQuarantine_Moderate)))+IF('Equipment List &amp; Usage'!$F25="Yes",('Equipment List &amp; Usage'!$C$114*(IF('Equipment List &amp; Usage'!$AE25&gt;0,'Weekly Summary'!E$134,0)+IF('Equipment List &amp; Usage'!$AF25&gt;0,'Weekly Summary'!E$135))),'Equipment List &amp; Usage'!$C$115*(('Weekly Summary'!E$134*'Equipment List &amp; Usage'!$AE25)+('Weekly Summary'!E$135*'Equipment List &amp; Usage'!$AF25)))))</f>
        <v>0.47746984603390286</v>
      </c>
      <c r="L23" s="1374">
        <f ca="1">MAX(IF($F23="Yes",(
IF($F23="yes",MMULT(--('Equipment List &amp; Usage'!$J25:$N25&gt;0),--('Weekly Summary'!F$112:F$116))*'Equipment List &amp; Usage'!$C$114,MMULT(--('Equipment List &amp; Usage'!$J25:$N25),--('Weekly Summary'!F$112:F$116))*'Equipment List &amp; Usage'!$C$115)+IF('Equipment List &amp; Usage'!$F24="yes",'Equipment List &amp; Usage'!$C$114,'Equipment List &amp; Usage'!$C$115)*(('Weekly Summary'!F$66*'Equipment List &amp; Usage'!$Q25)+('Weekly Summary'!F$64*'Equipment List &amp; Usage'!$O25)+('Weekly Summary'!F$65*'Equipment List &amp; Usage'!$P25)))+(IF('Equipment List &amp; Usage'!$F25="Yes",'Equipment List &amp; Usage'!$C$114*((('Weekly Summary'!F$131*SelfQuarantine_Mild)+('Weekly Summary'!F$100*SelfQuarantine_Mild)+('Weekly Summary'!F$101*SelfQuarantine_Moderate))),'Equipment List &amp; Usage'!$C$115)*((('Weekly Summary'!F$131*SelfQuarantine_Mild*'Equipment List &amp; Usage'!$W25)+('Weekly Summary'!F$100*SelfQuarantine_Mild*'Equipment List &amp; Usage'!$X25)+('Weekly Summary'!F$101*SelfQuarantine_Moderate*'Equipment List &amp; Usage'!$X25)))+IF('Equipment List &amp; Usage'!$F25="Yes",'Equipment List &amp; Usage'!$C$114*(IF('Equipment List &amp; Usage'!$AA25&gt;0,'Weekly Summary'!F$128,0)+IF('Equipment List &amp; Usage'!$AB25&gt;0,'Weekly Summary'!F$100+'Weekly Summary'!F$101,0)),'Equipment List &amp; Usage'!$C$115*(('Weekly Summary'!F$128*'Equipment List &amp; Usage'!$AA25)+('Weekly Summary'!F$100*'Equipment List &amp; Usage'!$AB25*SelfQuarantine_Mild)+('Weekly Summary'!F$101*'Equipment List &amp; Usage'!$AB25*SelfQuarantine_Moderate)))+IF('Equipment List &amp; Usage'!$F25="Yes",('Equipment List &amp; Usage'!$C$114*(IF('Equipment List &amp; Usage'!$AE25&gt;0,'Weekly Summary'!F$134,0)+IF('Equipment List &amp; Usage'!$AF25&gt;0,'Weekly Summary'!F$135))),'Equipment List &amp; Usage'!$C$115*(('Weekly Summary'!F$134*'Equipment List &amp; Usage'!$AE25)+('Weekly Summary'!F$135*'Equipment List &amp; Usage'!$AF25))))-SUM($I23:K23),
IF($F23="yes",MMULT(--('Equipment List &amp; Usage'!$J25:$N25&gt;0),--('Weekly Summary'!F$112:F$116))*'Equipment List &amp; Usage'!$C$114,MMULT(--('Equipment List &amp; Usage'!$J25:$N25),--('Weekly Summary'!F$112:F$116))*'Equipment List &amp; Usage'!$C$115)+IF('Equipment List &amp; Usage'!$F24="yes",'Equipment List &amp; Usage'!$C$114,'Equipment List &amp; Usage'!$C$115)*(('Weekly Summary'!F$66*'Equipment List &amp; Usage'!$Q25)+('Weekly Summary'!F$64*'Equipment List &amp; Usage'!$O25)+('Weekly Summary'!F$65*'Equipment List &amp; Usage'!$P25))+(IF('Equipment List &amp; Usage'!$F25="Yes",'Equipment List &amp; Usage'!$C$114*((('Weekly Summary'!F$131*SelfQuarantine_Mild)+('Weekly Summary'!F$100*SelfQuarantine_Mild)+('Weekly Summary'!F$101*SelfQuarantine_Moderate))),'Equipment List &amp; Usage'!$C$115)*((('Weekly Summary'!F$131*SelfQuarantine_Mild*'Equipment List &amp; Usage'!$W25)+('Weekly Summary'!F$100*SelfQuarantine_Mild*'Equipment List &amp; Usage'!$X25)+('Weekly Summary'!F$101*SelfQuarantine_Moderate*'Equipment List &amp; Usage'!$X25))))+IF('Equipment List &amp; Usage'!$F25="Yes",'Equipment List &amp; Usage'!$C$114*(IF('Equipment List &amp; Usage'!$AA25&gt;0,'Weekly Summary'!F$128,0)+IF('Equipment List &amp; Usage'!$AB25&gt;0,'Weekly Summary'!F$100+'Weekly Summary'!F$101,0)),'Equipment List &amp; Usage'!$C$115*(('Weekly Summary'!F$128*'Equipment List &amp; Usage'!$AA25)+('Weekly Summary'!F$100*'Equipment List &amp; Usage'!$AB25*SelfQuarantine_Mild)+('Weekly Summary'!F$101*'Equipment List &amp; Usage'!$AB25*SelfQuarantine_Moderate)))+IF('Equipment List &amp; Usage'!$F25="Yes",('Equipment List &amp; Usage'!$C$114*(IF('Equipment List &amp; Usage'!$AE25&gt;0,'Weekly Summary'!F$134,0)+IF('Equipment List &amp; Usage'!$AF25&gt;0,'Weekly Summary'!F$135))),'Equipment List &amp; Usage'!$C$115*(('Weekly Summary'!F$134*'Equipment List &amp; Usage'!$AE25)+('Weekly Summary'!F$135*'Equipment List &amp; Usage'!$AF25)))),0)</f>
        <v>1.1465048456975417</v>
      </c>
      <c r="M23" s="1374">
        <f ca="1">MAX(IF($F23="Yes",(
IF($F23="yes",MMULT(--('Equipment List &amp; Usage'!$J25:$N25&gt;0),--('Weekly Summary'!G$112:G$116))*'Equipment List &amp; Usage'!$C$114,MMULT(--('Equipment List &amp; Usage'!$J25:$N25),--('Weekly Summary'!G$112:G$116))*'Equipment List &amp; Usage'!$C$115)+IF('Equipment List &amp; Usage'!$F24="yes",'Equipment List &amp; Usage'!$C$114,'Equipment List &amp; Usage'!$C$115)*(('Weekly Summary'!G$66*'Equipment List &amp; Usage'!$Q25)+('Weekly Summary'!G$64*'Equipment List &amp; Usage'!$O25)+('Weekly Summary'!G$65*'Equipment List &amp; Usage'!$P25)))+(IF('Equipment List &amp; Usage'!$F25="Yes",'Equipment List &amp; Usage'!$C$114*((('Weekly Summary'!G$131*SelfQuarantine_Mild)+('Weekly Summary'!G$100*SelfQuarantine_Mild)+('Weekly Summary'!G$101*SelfQuarantine_Moderate))),'Equipment List &amp; Usage'!$C$115)*((('Weekly Summary'!G$131*SelfQuarantine_Mild*'Equipment List &amp; Usage'!$W25)+('Weekly Summary'!G$100*SelfQuarantine_Mild*'Equipment List &amp; Usage'!$X25)+('Weekly Summary'!G$101*SelfQuarantine_Moderate*'Equipment List &amp; Usage'!$X25)))+IF('Equipment List &amp; Usage'!$F25="Yes",'Equipment List &amp; Usage'!$C$114*(IF('Equipment List &amp; Usage'!$AA25&gt;0,'Weekly Summary'!G$128,0)+IF('Equipment List &amp; Usage'!$AB25&gt;0,'Weekly Summary'!G$100+'Weekly Summary'!G$101,0)),'Equipment List &amp; Usage'!$C$115*(('Weekly Summary'!G$128*'Equipment List &amp; Usage'!$AA25)+('Weekly Summary'!G$100*'Equipment List &amp; Usage'!$AB25*SelfQuarantine_Mild)+('Weekly Summary'!G$101*'Equipment List &amp; Usage'!$AB25*SelfQuarantine_Moderate)))+IF('Equipment List &amp; Usage'!$F25="Yes",('Equipment List &amp; Usage'!$C$114*(IF('Equipment List &amp; Usage'!$AE25&gt;0,'Weekly Summary'!G$134,0)+IF('Equipment List &amp; Usage'!$AF25&gt;0,'Weekly Summary'!G$135))),'Equipment List &amp; Usage'!$C$115*(('Weekly Summary'!G$134*'Equipment List &amp; Usage'!$AE25)+('Weekly Summary'!G$135*'Equipment List &amp; Usage'!$AF25))))-SUM($I23:L23),
IF($F23="yes",MMULT(--('Equipment List &amp; Usage'!$J25:$N25&gt;0),--('Weekly Summary'!G$112:G$116))*'Equipment List &amp; Usage'!$C$114,MMULT(--('Equipment List &amp; Usage'!$J25:$N25),--('Weekly Summary'!G$112:G$116))*'Equipment List &amp; Usage'!$C$115)+IF('Equipment List &amp; Usage'!$F24="yes",'Equipment List &amp; Usage'!$C$114,'Equipment List &amp; Usage'!$C$115)*(('Weekly Summary'!G$66*'Equipment List &amp; Usage'!$Q25)+('Weekly Summary'!G$64*'Equipment List &amp; Usage'!$O25)+('Weekly Summary'!G$65*'Equipment List &amp; Usage'!$P25))+(IF('Equipment List &amp; Usage'!$F25="Yes",'Equipment List &amp; Usage'!$C$114*((('Weekly Summary'!G$131*SelfQuarantine_Mild)+('Weekly Summary'!G$100*SelfQuarantine_Mild)+('Weekly Summary'!G$101*SelfQuarantine_Moderate))),'Equipment List &amp; Usage'!$C$115)*((('Weekly Summary'!G$131*SelfQuarantine_Mild*'Equipment List &amp; Usage'!$W25)+('Weekly Summary'!G$100*SelfQuarantine_Mild*'Equipment List &amp; Usage'!$X25)+('Weekly Summary'!G$101*SelfQuarantine_Moderate*'Equipment List &amp; Usage'!$X25))))+IF('Equipment List &amp; Usage'!$F25="Yes",'Equipment List &amp; Usage'!$C$114*(IF('Equipment List &amp; Usage'!$AA25&gt;0,'Weekly Summary'!G$128,0)+IF('Equipment List &amp; Usage'!$AB25&gt;0,'Weekly Summary'!G$100+'Weekly Summary'!G$101,0)),'Equipment List &amp; Usage'!$C$115*(('Weekly Summary'!G$128*'Equipment List &amp; Usage'!$AA25)+('Weekly Summary'!G$100*'Equipment List &amp; Usage'!$AB25*SelfQuarantine_Mild)+('Weekly Summary'!G$101*'Equipment List &amp; Usage'!$AB25*SelfQuarantine_Moderate)))+IF('Equipment List &amp; Usage'!$F25="Yes",('Equipment List &amp; Usage'!$C$114*(IF('Equipment List &amp; Usage'!$AE25&gt;0,'Weekly Summary'!G$134,0)+IF('Equipment List &amp; Usage'!$AF25&gt;0,'Weekly Summary'!G$135))),'Equipment List &amp; Usage'!$C$115*(('Weekly Summary'!G$134*'Equipment List &amp; Usage'!$AE25)+('Weekly Summary'!G$135*'Equipment List &amp; Usage'!$AF25)))),0)</f>
        <v>3.9567772227699112</v>
      </c>
      <c r="N23" s="1374">
        <f ca="1">MAX(IF($F23="Yes",(
IF($F23="yes",MMULT(--('Equipment List &amp; Usage'!$J25:$N25&gt;0),--('Weekly Summary'!H$112:H$116))*'Equipment List &amp; Usage'!$C$114,MMULT(--('Equipment List &amp; Usage'!$J25:$N25),--('Weekly Summary'!H$112:H$116))*'Equipment List &amp; Usage'!$C$115)+IF('Equipment List &amp; Usage'!$F24="yes",'Equipment List &amp; Usage'!$C$114,'Equipment List &amp; Usage'!$C$115)*(('Weekly Summary'!H$66*'Equipment List &amp; Usage'!$Q25)+('Weekly Summary'!H$64*'Equipment List &amp; Usage'!$O25)+('Weekly Summary'!H$65*'Equipment List &amp; Usage'!$P25)))+(IF('Equipment List &amp; Usage'!$F25="Yes",'Equipment List &amp; Usage'!$C$114*((('Weekly Summary'!H$131*SelfQuarantine_Mild)+('Weekly Summary'!H$100*SelfQuarantine_Mild)+('Weekly Summary'!H$101*SelfQuarantine_Moderate))),'Equipment List &amp; Usage'!$C$115)*((('Weekly Summary'!H$131*SelfQuarantine_Mild*'Equipment List &amp; Usage'!$W25)+('Weekly Summary'!H$100*SelfQuarantine_Mild*'Equipment List &amp; Usage'!$X25)+('Weekly Summary'!H$101*SelfQuarantine_Moderate*'Equipment List &amp; Usage'!$X25)))+IF('Equipment List &amp; Usage'!$F25="Yes",'Equipment List &amp; Usage'!$C$114*(IF('Equipment List &amp; Usage'!$AA25&gt;0,'Weekly Summary'!H$128,0)+IF('Equipment List &amp; Usage'!$AB25&gt;0,'Weekly Summary'!H$100+'Weekly Summary'!H$101,0)),'Equipment List &amp; Usage'!$C$115*(('Weekly Summary'!H$128*'Equipment List &amp; Usage'!$AA25)+('Weekly Summary'!H$100*'Equipment List &amp; Usage'!$AB25*SelfQuarantine_Mild)+('Weekly Summary'!H$101*'Equipment List &amp; Usage'!$AB25*SelfQuarantine_Moderate)))+IF('Equipment List &amp; Usage'!$F25="Yes",('Equipment List &amp; Usage'!$C$114*(IF('Equipment List &amp; Usage'!$AE25&gt;0,'Weekly Summary'!H$134,0)+IF('Equipment List &amp; Usage'!$AF25&gt;0,'Weekly Summary'!H$135))),'Equipment List &amp; Usage'!$C$115*(('Weekly Summary'!H$134*'Equipment List &amp; Usage'!$AE25)+('Weekly Summary'!H$135*'Equipment List &amp; Usage'!$AF25))))-SUM($I23:M23),
IF($F23="yes",MMULT(--('Equipment List &amp; Usage'!$J25:$N25&gt;0),--('Weekly Summary'!H$112:H$116))*'Equipment List &amp; Usage'!$C$114,MMULT(--('Equipment List &amp; Usage'!$J25:$N25),--('Weekly Summary'!H$112:H$116))*'Equipment List &amp; Usage'!$C$115)+IF('Equipment List &amp; Usage'!$F24="yes",'Equipment List &amp; Usage'!$C$114,'Equipment List &amp; Usage'!$C$115)*(('Weekly Summary'!H$66*'Equipment List &amp; Usage'!$Q25)+('Weekly Summary'!H$64*'Equipment List &amp; Usage'!$O25)+('Weekly Summary'!H$65*'Equipment List &amp; Usage'!$P25))+(IF('Equipment List &amp; Usage'!$F25="Yes",'Equipment List &amp; Usage'!$C$114*((('Weekly Summary'!H$131*SelfQuarantine_Mild)+('Weekly Summary'!H$100*SelfQuarantine_Mild)+('Weekly Summary'!H$101*SelfQuarantine_Moderate))),'Equipment List &amp; Usage'!$C$115)*((('Weekly Summary'!H$131*SelfQuarantine_Mild*'Equipment List &amp; Usage'!$W25)+('Weekly Summary'!H$100*SelfQuarantine_Mild*'Equipment List &amp; Usage'!$X25)+('Weekly Summary'!H$101*SelfQuarantine_Moderate*'Equipment List &amp; Usage'!$X25))))+IF('Equipment List &amp; Usage'!$F25="Yes",'Equipment List &amp; Usage'!$C$114*(IF('Equipment List &amp; Usage'!$AA25&gt;0,'Weekly Summary'!H$128,0)+IF('Equipment List &amp; Usage'!$AB25&gt;0,'Weekly Summary'!H$100+'Weekly Summary'!H$101,0)),'Equipment List &amp; Usage'!$C$115*(('Weekly Summary'!H$128*'Equipment List &amp; Usage'!$AA25)+('Weekly Summary'!H$100*'Equipment List &amp; Usage'!$AB25*SelfQuarantine_Mild)+('Weekly Summary'!H$101*'Equipment List &amp; Usage'!$AB25*SelfQuarantine_Moderate)))+IF('Equipment List &amp; Usage'!$F25="Yes",('Equipment List &amp; Usage'!$C$114*(IF('Equipment List &amp; Usage'!$AE25&gt;0,'Weekly Summary'!H$134,0)+IF('Equipment List &amp; Usage'!$AF25&gt;0,'Weekly Summary'!H$135))),'Equipment List &amp; Usage'!$C$115*(('Weekly Summary'!H$134*'Equipment List &amp; Usage'!$AE25)+('Weekly Summary'!H$135*'Equipment List &amp; Usage'!$AF25)))),0)</f>
        <v>13.596767759718041</v>
      </c>
      <c r="O23" s="1374">
        <f ca="1">MAX(IF($F23="Yes",(
IF($F23="yes",MMULT(--('Equipment List &amp; Usage'!$J25:$N25&gt;0),--('Weekly Summary'!I$112:I$116))*'Equipment List &amp; Usage'!$C$114,MMULT(--('Equipment List &amp; Usage'!$J25:$N25),--('Weekly Summary'!I$112:I$116))*'Equipment List &amp; Usage'!$C$115)+IF('Equipment List &amp; Usage'!$F24="yes",'Equipment List &amp; Usage'!$C$114,'Equipment List &amp; Usage'!$C$115)*(('Weekly Summary'!I$66*'Equipment List &amp; Usage'!$Q25)+('Weekly Summary'!I$64*'Equipment List &amp; Usage'!$O25)+('Weekly Summary'!I$65*'Equipment List &amp; Usage'!$P25)))+(IF('Equipment List &amp; Usage'!$F25="Yes",'Equipment List &amp; Usage'!$C$114*((('Weekly Summary'!I$131*SelfQuarantine_Mild)+('Weekly Summary'!I$100*SelfQuarantine_Mild)+('Weekly Summary'!I$101*SelfQuarantine_Moderate))),'Equipment List &amp; Usage'!$C$115)*((('Weekly Summary'!I$131*SelfQuarantine_Mild*'Equipment List &amp; Usage'!$W25)+('Weekly Summary'!I$100*SelfQuarantine_Mild*'Equipment List &amp; Usage'!$X25)+('Weekly Summary'!I$101*SelfQuarantine_Moderate*'Equipment List &amp; Usage'!$X25)))+IF('Equipment List &amp; Usage'!$F25="Yes",'Equipment List &amp; Usage'!$C$114*(IF('Equipment List &amp; Usage'!$AA25&gt;0,'Weekly Summary'!I$128,0)+IF('Equipment List &amp; Usage'!$AB25&gt;0,'Weekly Summary'!I$100+'Weekly Summary'!I$101,0)),'Equipment List &amp; Usage'!$C$115*(('Weekly Summary'!I$128*'Equipment List &amp; Usage'!$AA25)+('Weekly Summary'!I$100*'Equipment List &amp; Usage'!$AB25*SelfQuarantine_Mild)+('Weekly Summary'!I$101*'Equipment List &amp; Usage'!$AB25*SelfQuarantine_Moderate)))+IF('Equipment List &amp; Usage'!$F25="Yes",('Equipment List &amp; Usage'!$C$114*(IF('Equipment List &amp; Usage'!$AE25&gt;0,'Weekly Summary'!I$134,0)+IF('Equipment List &amp; Usage'!$AF25&gt;0,'Weekly Summary'!I$135))),'Equipment List &amp; Usage'!$C$115*(('Weekly Summary'!I$134*'Equipment List &amp; Usage'!$AE25)+('Weekly Summary'!I$135*'Equipment List &amp; Usage'!$AF25))))-SUM($I23:N23),
IF($F23="yes",MMULT(--('Equipment List &amp; Usage'!$J25:$N25&gt;0),--('Weekly Summary'!I$112:I$116))*'Equipment List &amp; Usage'!$C$114,MMULT(--('Equipment List &amp; Usage'!$J25:$N25),--('Weekly Summary'!I$112:I$116))*'Equipment List &amp; Usage'!$C$115)+IF('Equipment List &amp; Usage'!$F24="yes",'Equipment List &amp; Usage'!$C$114,'Equipment List &amp; Usage'!$C$115)*(('Weekly Summary'!I$66*'Equipment List &amp; Usage'!$Q25)+('Weekly Summary'!I$64*'Equipment List &amp; Usage'!$O25)+('Weekly Summary'!I$65*'Equipment List &amp; Usage'!$P25))+(IF('Equipment List &amp; Usage'!$F25="Yes",'Equipment List &amp; Usage'!$C$114*((('Weekly Summary'!I$131*SelfQuarantine_Mild)+('Weekly Summary'!I$100*SelfQuarantine_Mild)+('Weekly Summary'!I$101*SelfQuarantine_Moderate))),'Equipment List &amp; Usage'!$C$115)*((('Weekly Summary'!I$131*SelfQuarantine_Mild*'Equipment List &amp; Usage'!$W25)+('Weekly Summary'!I$100*SelfQuarantine_Mild*'Equipment List &amp; Usage'!$X25)+('Weekly Summary'!I$101*SelfQuarantine_Moderate*'Equipment List &amp; Usage'!$X25))))+IF('Equipment List &amp; Usage'!$F25="Yes",'Equipment List &amp; Usage'!$C$114*(IF('Equipment List &amp; Usage'!$AA25&gt;0,'Weekly Summary'!I$128,0)+IF('Equipment List &amp; Usage'!$AB25&gt;0,'Weekly Summary'!I$100+'Weekly Summary'!I$101,0)),'Equipment List &amp; Usage'!$C$115*(('Weekly Summary'!I$128*'Equipment List &amp; Usage'!$AA25)+('Weekly Summary'!I$100*'Equipment List &amp; Usage'!$AB25*SelfQuarantine_Mild)+('Weekly Summary'!I$101*'Equipment List &amp; Usage'!$AB25*SelfQuarantine_Moderate)))+IF('Equipment List &amp; Usage'!$F25="Yes",('Equipment List &amp; Usage'!$C$114*(IF('Equipment List &amp; Usage'!$AE25&gt;0,'Weekly Summary'!I$134,0)+IF('Equipment List &amp; Usage'!$AF25&gt;0,'Weekly Summary'!I$135))),'Equipment List &amp; Usage'!$C$115*(('Weekly Summary'!I$134*'Equipment List &amp; Usage'!$AE25)+('Weekly Summary'!I$135*'Equipment List &amp; Usage'!$AF25)))),0)</f>
        <v>46.71633941111223</v>
      </c>
      <c r="P23" s="1374">
        <f ca="1">MAX(IF($F23="Yes",(
IF($F23="yes",MMULT(--('Equipment List &amp; Usage'!$J25:$N25&gt;0),--('Weekly Summary'!J$112:J$116))*'Equipment List &amp; Usage'!$C$114,MMULT(--('Equipment List &amp; Usage'!$J25:$N25),--('Weekly Summary'!J$112:J$116))*'Equipment List &amp; Usage'!$C$115)+IF('Equipment List &amp; Usage'!$F24="yes",'Equipment List &amp; Usage'!$C$114,'Equipment List &amp; Usage'!$C$115)*(('Weekly Summary'!J$66*'Equipment List &amp; Usage'!$Q25)+('Weekly Summary'!J$64*'Equipment List &amp; Usage'!$O25)+('Weekly Summary'!J$65*'Equipment List &amp; Usage'!$P25)))+(IF('Equipment List &amp; Usage'!$F25="Yes",'Equipment List &amp; Usage'!$C$114*((('Weekly Summary'!J$131*SelfQuarantine_Mild)+('Weekly Summary'!J$100*SelfQuarantine_Mild)+('Weekly Summary'!J$101*SelfQuarantine_Moderate))),'Equipment List &amp; Usage'!$C$115)*((('Weekly Summary'!J$131*SelfQuarantine_Mild*'Equipment List &amp; Usage'!$W25)+('Weekly Summary'!J$100*SelfQuarantine_Mild*'Equipment List &amp; Usage'!$X25)+('Weekly Summary'!J$101*SelfQuarantine_Moderate*'Equipment List &amp; Usage'!$X25)))+IF('Equipment List &amp; Usage'!$F25="Yes",'Equipment List &amp; Usage'!$C$114*(IF('Equipment List &amp; Usage'!$AA25&gt;0,'Weekly Summary'!J$128,0)+IF('Equipment List &amp; Usage'!$AB25&gt;0,'Weekly Summary'!J$100+'Weekly Summary'!J$101,0)),'Equipment List &amp; Usage'!$C$115*(('Weekly Summary'!J$128*'Equipment List &amp; Usage'!$AA25)+('Weekly Summary'!J$100*'Equipment List &amp; Usage'!$AB25*SelfQuarantine_Mild)+('Weekly Summary'!J$101*'Equipment List &amp; Usage'!$AB25*SelfQuarantine_Moderate)))+IF('Equipment List &amp; Usage'!$F25="Yes",('Equipment List &amp; Usage'!$C$114*(IF('Equipment List &amp; Usage'!$AE25&gt;0,'Weekly Summary'!J$134,0)+IF('Equipment List &amp; Usage'!$AF25&gt;0,'Weekly Summary'!J$135))),'Equipment List &amp; Usage'!$C$115*(('Weekly Summary'!J$134*'Equipment List &amp; Usage'!$AE25)+('Weekly Summary'!J$135*'Equipment List &amp; Usage'!$AF25))))-SUM($I23:O23),
IF($F23="yes",MMULT(--('Equipment List &amp; Usage'!$J25:$N25&gt;0),--('Weekly Summary'!J$112:J$116))*'Equipment List &amp; Usage'!$C$114,MMULT(--('Equipment List &amp; Usage'!$J25:$N25),--('Weekly Summary'!J$112:J$116))*'Equipment List &amp; Usage'!$C$115)+IF('Equipment List &amp; Usage'!$F24="yes",'Equipment List &amp; Usage'!$C$114,'Equipment List &amp; Usage'!$C$115)*(('Weekly Summary'!J$66*'Equipment List &amp; Usage'!$Q25)+('Weekly Summary'!J$64*'Equipment List &amp; Usage'!$O25)+('Weekly Summary'!J$65*'Equipment List &amp; Usage'!$P25))+(IF('Equipment List &amp; Usage'!$F25="Yes",'Equipment List &amp; Usage'!$C$114*((('Weekly Summary'!J$131*SelfQuarantine_Mild)+('Weekly Summary'!J$100*SelfQuarantine_Mild)+('Weekly Summary'!J$101*SelfQuarantine_Moderate))),'Equipment List &amp; Usage'!$C$115)*((('Weekly Summary'!J$131*SelfQuarantine_Mild*'Equipment List &amp; Usage'!$W25)+('Weekly Summary'!J$100*SelfQuarantine_Mild*'Equipment List &amp; Usage'!$X25)+('Weekly Summary'!J$101*SelfQuarantine_Moderate*'Equipment List &amp; Usage'!$X25))))+IF('Equipment List &amp; Usage'!$F25="Yes",'Equipment List &amp; Usage'!$C$114*(IF('Equipment List &amp; Usage'!$AA25&gt;0,'Weekly Summary'!J$128,0)+IF('Equipment List &amp; Usage'!$AB25&gt;0,'Weekly Summary'!J$100+'Weekly Summary'!J$101,0)),'Equipment List &amp; Usage'!$C$115*(('Weekly Summary'!J$128*'Equipment List &amp; Usage'!$AA25)+('Weekly Summary'!J$100*'Equipment List &amp; Usage'!$AB25*SelfQuarantine_Mild)+('Weekly Summary'!J$101*'Equipment List &amp; Usage'!$AB25*SelfQuarantine_Moderate)))+IF('Equipment List &amp; Usage'!$F25="Yes",('Equipment List &amp; Usage'!$C$114*(IF('Equipment List &amp; Usage'!$AE25&gt;0,'Weekly Summary'!J$134,0)+IF('Equipment List &amp; Usage'!$AF25&gt;0,'Weekly Summary'!J$135))),'Equipment List &amp; Usage'!$C$115*(('Weekly Summary'!J$134*'Equipment List &amp; Usage'!$AE25)+('Weekly Summary'!J$135*'Equipment List &amp; Usage'!$AF25)))),0)</f>
        <v>160.43255364928584</v>
      </c>
      <c r="Q23" s="1374">
        <f ca="1">MAX(IF($F23="Yes",(
IF($F23="yes",MMULT(--('Equipment List &amp; Usage'!$J25:$N25&gt;0),--('Weekly Summary'!K$112:K$116))*'Equipment List &amp; Usage'!$C$114,MMULT(--('Equipment List &amp; Usage'!$J25:$N25),--('Weekly Summary'!K$112:K$116))*'Equipment List &amp; Usage'!$C$115)+IF('Equipment List &amp; Usage'!$F24="yes",'Equipment List &amp; Usage'!$C$114,'Equipment List &amp; Usage'!$C$115)*(('Weekly Summary'!K$66*'Equipment List &amp; Usage'!$Q25)+('Weekly Summary'!K$64*'Equipment List &amp; Usage'!$O25)+('Weekly Summary'!K$65*'Equipment List &amp; Usage'!$P25)))+(IF('Equipment List &amp; Usage'!$F25="Yes",'Equipment List &amp; Usage'!$C$114*((('Weekly Summary'!K$131*SelfQuarantine_Mild)+('Weekly Summary'!K$100*SelfQuarantine_Mild)+('Weekly Summary'!K$101*SelfQuarantine_Moderate))),'Equipment List &amp; Usage'!$C$115)*((('Weekly Summary'!K$131*SelfQuarantine_Mild*'Equipment List &amp; Usage'!$W25)+('Weekly Summary'!K$100*SelfQuarantine_Mild*'Equipment List &amp; Usage'!$X25)+('Weekly Summary'!K$101*SelfQuarantine_Moderate*'Equipment List &amp; Usage'!$X25)))+IF('Equipment List &amp; Usage'!$F25="Yes",'Equipment List &amp; Usage'!$C$114*(IF('Equipment List &amp; Usage'!$AA25&gt;0,'Weekly Summary'!K$128,0)+IF('Equipment List &amp; Usage'!$AB25&gt;0,'Weekly Summary'!K$100+'Weekly Summary'!K$101,0)),'Equipment List &amp; Usage'!$C$115*(('Weekly Summary'!K$128*'Equipment List &amp; Usage'!$AA25)+('Weekly Summary'!K$100*'Equipment List &amp; Usage'!$AB25*SelfQuarantine_Mild)+('Weekly Summary'!K$101*'Equipment List &amp; Usage'!$AB25*SelfQuarantine_Moderate)))+IF('Equipment List &amp; Usage'!$F25="Yes",('Equipment List &amp; Usage'!$C$114*(IF('Equipment List &amp; Usage'!$AE25&gt;0,'Weekly Summary'!K$134,0)+IF('Equipment List &amp; Usage'!$AF25&gt;0,'Weekly Summary'!K$135))),'Equipment List &amp; Usage'!$C$115*(('Weekly Summary'!K$134*'Equipment List &amp; Usage'!$AE25)+('Weekly Summary'!K$135*'Equipment List &amp; Usage'!$AF25))))-SUM($I23:P23),
IF($F23="yes",MMULT(--('Equipment List &amp; Usage'!$J25:$N25&gt;0),--('Weekly Summary'!K$112:K$116))*'Equipment List &amp; Usage'!$C$114,MMULT(--('Equipment List &amp; Usage'!$J25:$N25),--('Weekly Summary'!K$112:K$116))*'Equipment List &amp; Usage'!$C$115)+IF('Equipment List &amp; Usage'!$F24="yes",'Equipment List &amp; Usage'!$C$114,'Equipment List &amp; Usage'!$C$115)*(('Weekly Summary'!K$66*'Equipment List &amp; Usage'!$Q25)+('Weekly Summary'!K$64*'Equipment List &amp; Usage'!$O25)+('Weekly Summary'!K$65*'Equipment List &amp; Usage'!$P25))+(IF('Equipment List &amp; Usage'!$F25="Yes",'Equipment List &amp; Usage'!$C$114*((('Weekly Summary'!K$131*SelfQuarantine_Mild)+('Weekly Summary'!K$100*SelfQuarantine_Mild)+('Weekly Summary'!K$101*SelfQuarantine_Moderate))),'Equipment List &amp; Usage'!$C$115)*((('Weekly Summary'!K$131*SelfQuarantine_Mild*'Equipment List &amp; Usage'!$W25)+('Weekly Summary'!K$100*SelfQuarantine_Mild*'Equipment List &amp; Usage'!$X25)+('Weekly Summary'!K$101*SelfQuarantine_Moderate*'Equipment List &amp; Usage'!$X25))))+IF('Equipment List &amp; Usage'!$F25="Yes",'Equipment List &amp; Usage'!$C$114*(IF('Equipment List &amp; Usage'!$AA25&gt;0,'Weekly Summary'!K$128,0)+IF('Equipment List &amp; Usage'!$AB25&gt;0,'Weekly Summary'!K$100+'Weekly Summary'!K$101,0)),'Equipment List &amp; Usage'!$C$115*(('Weekly Summary'!K$128*'Equipment List &amp; Usage'!$AA25)+('Weekly Summary'!K$100*'Equipment List &amp; Usage'!$AB25*SelfQuarantine_Mild)+('Weekly Summary'!K$101*'Equipment List &amp; Usage'!$AB25*SelfQuarantine_Moderate)))+IF('Equipment List &amp; Usage'!$F25="Yes",('Equipment List &amp; Usage'!$C$114*(IF('Equipment List &amp; Usage'!$AE25&gt;0,'Weekly Summary'!K$134,0)+IF('Equipment List &amp; Usage'!$AF25&gt;0,'Weekly Summary'!K$135))),'Equipment List &amp; Usage'!$C$115*(('Weekly Summary'!K$134*'Equipment List &amp; Usage'!$AE25)+('Weekly Summary'!K$135*'Equipment List &amp; Usage'!$AF25)))),0)</f>
        <v>0</v>
      </c>
      <c r="R23" s="1374">
        <f ca="1">MAX(IF($F23="Yes",(
IF($F23="yes",MMULT(--('Equipment List &amp; Usage'!$J25:$N25&gt;0),--('Weekly Summary'!L$112:L$116))*'Equipment List &amp; Usage'!$C$114,MMULT(--('Equipment List &amp; Usage'!$J25:$N25),--('Weekly Summary'!L$112:L$116))*'Equipment List &amp; Usage'!$C$115)+IF('Equipment List &amp; Usage'!$F24="yes",'Equipment List &amp; Usage'!$C$114,'Equipment List &amp; Usage'!$C$115)*(('Weekly Summary'!L$66*'Equipment List &amp; Usage'!$Q25)+('Weekly Summary'!L$64*'Equipment List &amp; Usage'!$O25)+('Weekly Summary'!L$65*'Equipment List &amp; Usage'!$P25)))+(IF('Equipment List &amp; Usage'!$F25="Yes",'Equipment List &amp; Usage'!$C$114*((('Weekly Summary'!L$131*SelfQuarantine_Mild)+('Weekly Summary'!L$100*SelfQuarantine_Mild)+('Weekly Summary'!L$101*SelfQuarantine_Moderate))),'Equipment List &amp; Usage'!$C$115)*((('Weekly Summary'!L$131*SelfQuarantine_Mild*'Equipment List &amp; Usage'!$W25)+('Weekly Summary'!L$100*SelfQuarantine_Mild*'Equipment List &amp; Usage'!$X25)+('Weekly Summary'!L$101*SelfQuarantine_Moderate*'Equipment List &amp; Usage'!$X25)))+IF('Equipment List &amp; Usage'!$F25="Yes",'Equipment List &amp; Usage'!$C$114*(IF('Equipment List &amp; Usage'!$AA25&gt;0,'Weekly Summary'!L$128,0)+IF('Equipment List &amp; Usage'!$AB25&gt;0,'Weekly Summary'!L$100+'Weekly Summary'!L$101,0)),'Equipment List &amp; Usage'!$C$115*(('Weekly Summary'!L$128*'Equipment List &amp; Usage'!$AA25)+('Weekly Summary'!L$100*'Equipment List &amp; Usage'!$AB25*SelfQuarantine_Mild)+('Weekly Summary'!L$101*'Equipment List &amp; Usage'!$AB25*SelfQuarantine_Moderate)))+IF('Equipment List &amp; Usage'!$F25="Yes",('Equipment List &amp; Usage'!$C$114*(IF('Equipment List &amp; Usage'!$AE25&gt;0,'Weekly Summary'!L$134,0)+IF('Equipment List &amp; Usage'!$AF25&gt;0,'Weekly Summary'!L$135))),'Equipment List &amp; Usage'!$C$115*(('Weekly Summary'!L$134*'Equipment List &amp; Usage'!$AE25)+('Weekly Summary'!L$135*'Equipment List &amp; Usage'!$AF25))))-SUM($I23:Q23),
IF($F23="yes",MMULT(--('Equipment List &amp; Usage'!$J25:$N25&gt;0),--('Weekly Summary'!L$112:L$116))*'Equipment List &amp; Usage'!$C$114,MMULT(--('Equipment List &amp; Usage'!$J25:$N25),--('Weekly Summary'!L$112:L$116))*'Equipment List &amp; Usage'!$C$115)+IF('Equipment List &amp; Usage'!$F24="yes",'Equipment List &amp; Usage'!$C$114,'Equipment List &amp; Usage'!$C$115)*(('Weekly Summary'!L$66*'Equipment List &amp; Usage'!$Q25)+('Weekly Summary'!L$64*'Equipment List &amp; Usage'!$O25)+('Weekly Summary'!L$65*'Equipment List &amp; Usage'!$P25))+(IF('Equipment List &amp; Usage'!$F25="Yes",'Equipment List &amp; Usage'!$C$114*((('Weekly Summary'!L$131*SelfQuarantine_Mild)+('Weekly Summary'!L$100*SelfQuarantine_Mild)+('Weekly Summary'!L$101*SelfQuarantine_Moderate))),'Equipment List &amp; Usage'!$C$115)*((('Weekly Summary'!L$131*SelfQuarantine_Mild*'Equipment List &amp; Usage'!$W25)+('Weekly Summary'!L$100*SelfQuarantine_Mild*'Equipment List &amp; Usage'!$X25)+('Weekly Summary'!L$101*SelfQuarantine_Moderate*'Equipment List &amp; Usage'!$X25))))+IF('Equipment List &amp; Usage'!$F25="Yes",'Equipment List &amp; Usage'!$C$114*(IF('Equipment List &amp; Usage'!$AA25&gt;0,'Weekly Summary'!L$128,0)+IF('Equipment List &amp; Usage'!$AB25&gt;0,'Weekly Summary'!L$100+'Weekly Summary'!L$101,0)),'Equipment List &amp; Usage'!$C$115*(('Weekly Summary'!L$128*'Equipment List &amp; Usage'!$AA25)+('Weekly Summary'!L$100*'Equipment List &amp; Usage'!$AB25*SelfQuarantine_Mild)+('Weekly Summary'!L$101*'Equipment List &amp; Usage'!$AB25*SelfQuarantine_Moderate)))+IF('Equipment List &amp; Usage'!$F25="Yes",('Equipment List &amp; Usage'!$C$114*(IF('Equipment List &amp; Usage'!$AE25&gt;0,'Weekly Summary'!L$134,0)+IF('Equipment List &amp; Usage'!$AF25&gt;0,'Weekly Summary'!L$135))),'Equipment List &amp; Usage'!$C$115*(('Weekly Summary'!L$134*'Equipment List &amp; Usage'!$AE25)+('Weekly Summary'!L$135*'Equipment List &amp; Usage'!$AF25)))),0)</f>
        <v>0</v>
      </c>
      <c r="S23" s="1374">
        <f ca="1">MAX(IF($F23="Yes",(
IF($F23="yes",MMULT(--('Equipment List &amp; Usage'!$J25:$N25&gt;0),--('Weekly Summary'!M$112:M$116))*'Equipment List &amp; Usage'!$C$114,MMULT(--('Equipment List &amp; Usage'!$J25:$N25),--('Weekly Summary'!M$112:M$116))*'Equipment List &amp; Usage'!$C$115)+IF('Equipment List &amp; Usage'!$F24="yes",'Equipment List &amp; Usage'!$C$114,'Equipment List &amp; Usage'!$C$115)*(('Weekly Summary'!M$66*'Equipment List &amp; Usage'!$Q25)+('Weekly Summary'!M$64*'Equipment List &amp; Usage'!$O25)+('Weekly Summary'!M$65*'Equipment List &amp; Usage'!$P25)))+(IF('Equipment List &amp; Usage'!$F25="Yes",'Equipment List &amp; Usage'!$C$114*((('Weekly Summary'!M$131*SelfQuarantine_Mild)+('Weekly Summary'!M$100*SelfQuarantine_Mild)+('Weekly Summary'!M$101*SelfQuarantine_Moderate))),'Equipment List &amp; Usage'!$C$115)*((('Weekly Summary'!M$131*SelfQuarantine_Mild*'Equipment List &amp; Usage'!$W25)+('Weekly Summary'!M$100*SelfQuarantine_Mild*'Equipment List &amp; Usage'!$X25)+('Weekly Summary'!M$101*SelfQuarantine_Moderate*'Equipment List &amp; Usage'!$X25)))+IF('Equipment List &amp; Usage'!$F25="Yes",'Equipment List &amp; Usage'!$C$114*(IF('Equipment List &amp; Usage'!$AA25&gt;0,'Weekly Summary'!M$128,0)+IF('Equipment List &amp; Usage'!$AB25&gt;0,'Weekly Summary'!M$100+'Weekly Summary'!M$101,0)),'Equipment List &amp; Usage'!$C$115*(('Weekly Summary'!M$128*'Equipment List &amp; Usage'!$AA25)+('Weekly Summary'!M$100*'Equipment List &amp; Usage'!$AB25*SelfQuarantine_Mild)+('Weekly Summary'!M$101*'Equipment List &amp; Usage'!$AB25*SelfQuarantine_Moderate)))+IF('Equipment List &amp; Usage'!$F25="Yes",('Equipment List &amp; Usage'!$C$114*(IF('Equipment List &amp; Usage'!$AE25&gt;0,'Weekly Summary'!M$134,0)+IF('Equipment List &amp; Usage'!$AF25&gt;0,'Weekly Summary'!M$135))),'Equipment List &amp; Usage'!$C$115*(('Weekly Summary'!M$134*'Equipment List &amp; Usage'!$AE25)+('Weekly Summary'!M$135*'Equipment List &amp; Usage'!$AF25))))-SUM($I23:R23),
IF($F23="yes",MMULT(--('Equipment List &amp; Usage'!$J25:$N25&gt;0),--('Weekly Summary'!M$112:M$116))*'Equipment List &amp; Usage'!$C$114,MMULT(--('Equipment List &amp; Usage'!$J25:$N25),--('Weekly Summary'!M$112:M$116))*'Equipment List &amp; Usage'!$C$115)+IF('Equipment List &amp; Usage'!$F24="yes",'Equipment List &amp; Usage'!$C$114,'Equipment List &amp; Usage'!$C$115)*(('Weekly Summary'!M$66*'Equipment List &amp; Usage'!$Q25)+('Weekly Summary'!M$64*'Equipment List &amp; Usage'!$O25)+('Weekly Summary'!M$65*'Equipment List &amp; Usage'!$P25))+(IF('Equipment List &amp; Usage'!$F25="Yes",'Equipment List &amp; Usage'!$C$114*((('Weekly Summary'!M$131*SelfQuarantine_Mild)+('Weekly Summary'!M$100*SelfQuarantine_Mild)+('Weekly Summary'!M$101*SelfQuarantine_Moderate))),'Equipment List &amp; Usage'!$C$115)*((('Weekly Summary'!M$131*SelfQuarantine_Mild*'Equipment List &amp; Usage'!$W25)+('Weekly Summary'!M$100*SelfQuarantine_Mild*'Equipment List &amp; Usage'!$X25)+('Weekly Summary'!M$101*SelfQuarantine_Moderate*'Equipment List &amp; Usage'!$X25))))+IF('Equipment List &amp; Usage'!$F25="Yes",'Equipment List &amp; Usage'!$C$114*(IF('Equipment List &amp; Usage'!$AA25&gt;0,'Weekly Summary'!M$128,0)+IF('Equipment List &amp; Usage'!$AB25&gt;0,'Weekly Summary'!M$100+'Weekly Summary'!M$101,0)),'Equipment List &amp; Usage'!$C$115*(('Weekly Summary'!M$128*'Equipment List &amp; Usage'!$AA25)+('Weekly Summary'!M$100*'Equipment List &amp; Usage'!$AB25*SelfQuarantine_Mild)+('Weekly Summary'!M$101*'Equipment List &amp; Usage'!$AB25*SelfQuarantine_Moderate)))+IF('Equipment List &amp; Usage'!$F25="Yes",('Equipment List &amp; Usage'!$C$114*(IF('Equipment List &amp; Usage'!$AE25&gt;0,'Weekly Summary'!M$134,0)+IF('Equipment List &amp; Usage'!$AF25&gt;0,'Weekly Summary'!M$135))),'Equipment List &amp; Usage'!$C$115*(('Weekly Summary'!M$134*'Equipment List &amp; Usage'!$AE25)+('Weekly Summary'!M$135*'Equipment List &amp; Usage'!$AF25)))),0)</f>
        <v>0</v>
      </c>
      <c r="T23" s="1374">
        <f ca="1">MAX(IF($F23="Yes",(
IF($F23="yes",MMULT(--('Equipment List &amp; Usage'!$J25:$N25&gt;0),--('Weekly Summary'!N$112:N$116))*'Equipment List &amp; Usage'!$C$114,MMULT(--('Equipment List &amp; Usage'!$J25:$N25),--('Weekly Summary'!N$112:N$116))*'Equipment List &amp; Usage'!$C$115)+IF('Equipment List &amp; Usage'!$F24="yes",'Equipment List &amp; Usage'!$C$114,'Equipment List &amp; Usage'!$C$115)*(('Weekly Summary'!N$66*'Equipment List &amp; Usage'!$Q25)+('Weekly Summary'!N$64*'Equipment List &amp; Usage'!$O25)+('Weekly Summary'!N$65*'Equipment List &amp; Usage'!$P25)))+(IF('Equipment List &amp; Usage'!$F25="Yes",'Equipment List &amp; Usage'!$C$114*((('Weekly Summary'!N$131*SelfQuarantine_Mild)+('Weekly Summary'!N$100*SelfQuarantine_Mild)+('Weekly Summary'!N$101*SelfQuarantine_Moderate))),'Equipment List &amp; Usage'!$C$115)*((('Weekly Summary'!N$131*SelfQuarantine_Mild*'Equipment List &amp; Usage'!$W25)+('Weekly Summary'!N$100*SelfQuarantine_Mild*'Equipment List &amp; Usage'!$X25)+('Weekly Summary'!N$101*SelfQuarantine_Moderate*'Equipment List &amp; Usage'!$X25)))+IF('Equipment List &amp; Usage'!$F25="Yes",'Equipment List &amp; Usage'!$C$114*(IF('Equipment List &amp; Usage'!$AA25&gt;0,'Weekly Summary'!N$128,0)+IF('Equipment List &amp; Usage'!$AB25&gt;0,'Weekly Summary'!N$100+'Weekly Summary'!N$101,0)),'Equipment List &amp; Usage'!$C$115*(('Weekly Summary'!N$128*'Equipment List &amp; Usage'!$AA25)+('Weekly Summary'!N$100*'Equipment List &amp; Usage'!$AB25*SelfQuarantine_Mild)+('Weekly Summary'!N$101*'Equipment List &amp; Usage'!$AB25*SelfQuarantine_Moderate)))+IF('Equipment List &amp; Usage'!$F25="Yes",('Equipment List &amp; Usage'!$C$114*(IF('Equipment List &amp; Usage'!$AE25&gt;0,'Weekly Summary'!N$134,0)+IF('Equipment List &amp; Usage'!$AF25&gt;0,'Weekly Summary'!N$135))),'Equipment List &amp; Usage'!$C$115*(('Weekly Summary'!N$134*'Equipment List &amp; Usage'!$AE25)+('Weekly Summary'!N$135*'Equipment List &amp; Usage'!$AF25))))-SUM($I23:S23),
IF($F23="yes",MMULT(--('Equipment List &amp; Usage'!$J25:$N25&gt;0),--('Weekly Summary'!N$112:N$116))*'Equipment List &amp; Usage'!$C$114,MMULT(--('Equipment List &amp; Usage'!$J25:$N25),--('Weekly Summary'!N$112:N$116))*'Equipment List &amp; Usage'!$C$115)+IF('Equipment List &amp; Usage'!$F24="yes",'Equipment List &amp; Usage'!$C$114,'Equipment List &amp; Usage'!$C$115)*(('Weekly Summary'!N$66*'Equipment List &amp; Usage'!$Q25)+('Weekly Summary'!N$64*'Equipment List &amp; Usage'!$O25)+('Weekly Summary'!N$65*'Equipment List &amp; Usage'!$P25))+(IF('Equipment List &amp; Usage'!$F25="Yes",'Equipment List &amp; Usage'!$C$114*((('Weekly Summary'!N$131*SelfQuarantine_Mild)+('Weekly Summary'!N$100*SelfQuarantine_Mild)+('Weekly Summary'!N$101*SelfQuarantine_Moderate))),'Equipment List &amp; Usage'!$C$115)*((('Weekly Summary'!N$131*SelfQuarantine_Mild*'Equipment List &amp; Usage'!$W25)+('Weekly Summary'!N$100*SelfQuarantine_Mild*'Equipment List &amp; Usage'!$X25)+('Weekly Summary'!N$101*SelfQuarantine_Moderate*'Equipment List &amp; Usage'!$X25))))+IF('Equipment List &amp; Usage'!$F25="Yes",'Equipment List &amp; Usage'!$C$114*(IF('Equipment List &amp; Usage'!$AA25&gt;0,'Weekly Summary'!N$128,0)+IF('Equipment List &amp; Usage'!$AB25&gt;0,'Weekly Summary'!N$100+'Weekly Summary'!N$101,0)),'Equipment List &amp; Usage'!$C$115*(('Weekly Summary'!N$128*'Equipment List &amp; Usage'!$AA25)+('Weekly Summary'!N$100*'Equipment List &amp; Usage'!$AB25*SelfQuarantine_Mild)+('Weekly Summary'!N$101*'Equipment List &amp; Usage'!$AB25*SelfQuarantine_Moderate)))+IF('Equipment List &amp; Usage'!$F25="Yes",('Equipment List &amp; Usage'!$C$114*(IF('Equipment List &amp; Usage'!$AE25&gt;0,'Weekly Summary'!N$134,0)+IF('Equipment List &amp; Usage'!$AF25&gt;0,'Weekly Summary'!N$135))),'Equipment List &amp; Usage'!$C$115*(('Weekly Summary'!N$134*'Equipment List &amp; Usage'!$AE25)+('Weekly Summary'!N$135*'Equipment List &amp; Usage'!$AF25)))),0)</f>
        <v>0</v>
      </c>
      <c r="U23" s="1374">
        <f ca="1">MAX(IF($F23="Yes",(
IF($F23="yes",MMULT(--('Equipment List &amp; Usage'!$J25:$N25&gt;0),--('Weekly Summary'!O$112:O$116))*'Equipment List &amp; Usage'!$C$114,MMULT(--('Equipment List &amp; Usage'!$J25:$N25),--('Weekly Summary'!O$112:O$116))*'Equipment List &amp; Usage'!$C$115)+IF('Equipment List &amp; Usage'!$F24="yes",'Equipment List &amp; Usage'!$C$114,'Equipment List &amp; Usage'!$C$115)*(('Weekly Summary'!O$66*'Equipment List &amp; Usage'!$Q25)+('Weekly Summary'!O$64*'Equipment List &amp; Usage'!$O25)+('Weekly Summary'!O$65*'Equipment List &amp; Usage'!$P25)))+(IF('Equipment List &amp; Usage'!$F25="Yes",'Equipment List &amp; Usage'!$C$114*((('Weekly Summary'!O$131*SelfQuarantine_Mild)+('Weekly Summary'!O$100*SelfQuarantine_Mild)+('Weekly Summary'!O$101*SelfQuarantine_Moderate))),'Equipment List &amp; Usage'!$C$115)*((('Weekly Summary'!O$131*SelfQuarantine_Mild*'Equipment List &amp; Usage'!$W25)+('Weekly Summary'!O$100*SelfQuarantine_Mild*'Equipment List &amp; Usage'!$X25)+('Weekly Summary'!O$101*SelfQuarantine_Moderate*'Equipment List &amp; Usage'!$X25)))+IF('Equipment List &amp; Usage'!$F25="Yes",'Equipment List &amp; Usage'!$C$114*(IF('Equipment List &amp; Usage'!$AA25&gt;0,'Weekly Summary'!O$128,0)+IF('Equipment List &amp; Usage'!$AB25&gt;0,'Weekly Summary'!O$100+'Weekly Summary'!O$101,0)),'Equipment List &amp; Usage'!$C$115*(('Weekly Summary'!O$128*'Equipment List &amp; Usage'!$AA25)+('Weekly Summary'!O$100*'Equipment List &amp; Usage'!$AB25*SelfQuarantine_Mild)+('Weekly Summary'!O$101*'Equipment List &amp; Usage'!$AB25*SelfQuarantine_Moderate)))+IF('Equipment List &amp; Usage'!$F25="Yes",('Equipment List &amp; Usage'!$C$114*(IF('Equipment List &amp; Usage'!$AE25&gt;0,'Weekly Summary'!O$134,0)+IF('Equipment List &amp; Usage'!$AF25&gt;0,'Weekly Summary'!O$135))),'Equipment List &amp; Usage'!$C$115*(('Weekly Summary'!O$134*'Equipment List &amp; Usage'!$AE25)+('Weekly Summary'!O$135*'Equipment List &amp; Usage'!$AF25))))-SUM($I23:T23),
IF($F23="yes",MMULT(--('Equipment List &amp; Usage'!$J25:$N25&gt;0),--('Weekly Summary'!O$112:O$116))*'Equipment List &amp; Usage'!$C$114,MMULT(--('Equipment List &amp; Usage'!$J25:$N25),--('Weekly Summary'!O$112:O$116))*'Equipment List &amp; Usage'!$C$115)+IF('Equipment List &amp; Usage'!$F24="yes",'Equipment List &amp; Usage'!$C$114,'Equipment List &amp; Usage'!$C$115)*(('Weekly Summary'!O$66*'Equipment List &amp; Usage'!$Q25)+('Weekly Summary'!O$64*'Equipment List &amp; Usage'!$O25)+('Weekly Summary'!O$65*'Equipment List &amp; Usage'!$P25))+(IF('Equipment List &amp; Usage'!$F25="Yes",'Equipment List &amp; Usage'!$C$114*((('Weekly Summary'!O$131*SelfQuarantine_Mild)+('Weekly Summary'!O$100*SelfQuarantine_Mild)+('Weekly Summary'!O$101*SelfQuarantine_Moderate))),'Equipment List &amp; Usage'!$C$115)*((('Weekly Summary'!O$131*SelfQuarantine_Mild*'Equipment List &amp; Usage'!$W25)+('Weekly Summary'!O$100*SelfQuarantine_Mild*'Equipment List &amp; Usage'!$X25)+('Weekly Summary'!O$101*SelfQuarantine_Moderate*'Equipment List &amp; Usage'!$X25))))+IF('Equipment List &amp; Usage'!$F25="Yes",'Equipment List &amp; Usage'!$C$114*(IF('Equipment List &amp; Usage'!$AA25&gt;0,'Weekly Summary'!O$128,0)+IF('Equipment List &amp; Usage'!$AB25&gt;0,'Weekly Summary'!O$100+'Weekly Summary'!O$101,0)),'Equipment List &amp; Usage'!$C$115*(('Weekly Summary'!O$128*'Equipment List &amp; Usage'!$AA25)+('Weekly Summary'!O$100*'Equipment List &amp; Usage'!$AB25*SelfQuarantine_Mild)+('Weekly Summary'!O$101*'Equipment List &amp; Usage'!$AB25*SelfQuarantine_Moderate)))+IF('Equipment List &amp; Usage'!$F25="Yes",('Equipment List &amp; Usage'!$C$114*(IF('Equipment List &amp; Usage'!$AE25&gt;0,'Weekly Summary'!O$134,0)+IF('Equipment List &amp; Usage'!$AF25&gt;0,'Weekly Summary'!O$135))),'Equipment List &amp; Usage'!$C$115*(('Weekly Summary'!O$134*'Equipment List &amp; Usage'!$AE25)+('Weekly Summary'!O$135*'Equipment List &amp; Usage'!$AF25)))),0)</f>
        <v>0</v>
      </c>
      <c r="V23" s="1374">
        <f ca="1">MAX(IF($F23="Yes",(
IF($F23="yes",MMULT(--('Equipment List &amp; Usage'!$J25:$N25&gt;0),--('Weekly Summary'!P$112:P$116))*'Equipment List &amp; Usage'!$C$114,MMULT(--('Equipment List &amp; Usage'!$J25:$N25),--('Weekly Summary'!P$112:P$116))*'Equipment List &amp; Usage'!$C$115)+IF('Equipment List &amp; Usage'!$F24="yes",'Equipment List &amp; Usage'!$C$114,'Equipment List &amp; Usage'!$C$115)*(('Weekly Summary'!P$66*'Equipment List &amp; Usage'!$Q25)+('Weekly Summary'!P$64*'Equipment List &amp; Usage'!$O25)+('Weekly Summary'!P$65*'Equipment List &amp; Usage'!$P25)))+(IF('Equipment List &amp; Usage'!$F25="Yes",'Equipment List &amp; Usage'!$C$114*((('Weekly Summary'!P$131*SelfQuarantine_Mild)+('Weekly Summary'!P$100*SelfQuarantine_Mild)+('Weekly Summary'!P$101*SelfQuarantine_Moderate))),'Equipment List &amp; Usage'!$C$115)*((('Weekly Summary'!P$131*SelfQuarantine_Mild*'Equipment List &amp; Usage'!$W25)+('Weekly Summary'!P$100*SelfQuarantine_Mild*'Equipment List &amp; Usage'!$X25)+('Weekly Summary'!P$101*SelfQuarantine_Moderate*'Equipment List &amp; Usage'!$X25)))+IF('Equipment List &amp; Usage'!$F25="Yes",'Equipment List &amp; Usage'!$C$114*(IF('Equipment List &amp; Usage'!$AA25&gt;0,'Weekly Summary'!P$128,0)+IF('Equipment List &amp; Usage'!$AB25&gt;0,'Weekly Summary'!P$100+'Weekly Summary'!P$101,0)),'Equipment List &amp; Usage'!$C$115*(('Weekly Summary'!P$128*'Equipment List &amp; Usage'!$AA25)+('Weekly Summary'!P$100*'Equipment List &amp; Usage'!$AB25*SelfQuarantine_Mild)+('Weekly Summary'!P$101*'Equipment List &amp; Usage'!$AB25*SelfQuarantine_Moderate)))+IF('Equipment List &amp; Usage'!$F25="Yes",('Equipment List &amp; Usage'!$C$114*(IF('Equipment List &amp; Usage'!$AE25&gt;0,'Weekly Summary'!P$134,0)+IF('Equipment List &amp; Usage'!$AF25&gt;0,'Weekly Summary'!P$135))),'Equipment List &amp; Usage'!$C$115*(('Weekly Summary'!P$134*'Equipment List &amp; Usage'!$AE25)+('Weekly Summary'!P$135*'Equipment List &amp; Usage'!$AF25))))-SUM($I23:U23),
IF($F23="yes",MMULT(--('Equipment List &amp; Usage'!$J25:$N25&gt;0),--('Weekly Summary'!P$112:P$116))*'Equipment List &amp; Usage'!$C$114,MMULT(--('Equipment List &amp; Usage'!$J25:$N25),--('Weekly Summary'!P$112:P$116))*'Equipment List &amp; Usage'!$C$115)+IF('Equipment List &amp; Usage'!$F24="yes",'Equipment List &amp; Usage'!$C$114,'Equipment List &amp; Usage'!$C$115)*(('Weekly Summary'!P$66*'Equipment List &amp; Usage'!$Q25)+('Weekly Summary'!P$64*'Equipment List &amp; Usage'!$O25)+('Weekly Summary'!P$65*'Equipment List &amp; Usage'!$P25))+(IF('Equipment List &amp; Usage'!$F25="Yes",'Equipment List &amp; Usage'!$C$114*((('Weekly Summary'!P$131*SelfQuarantine_Mild)+('Weekly Summary'!P$100*SelfQuarantine_Mild)+('Weekly Summary'!P$101*SelfQuarantine_Moderate))),'Equipment List &amp; Usage'!$C$115)*((('Weekly Summary'!P$131*SelfQuarantine_Mild*'Equipment List &amp; Usage'!$W25)+('Weekly Summary'!P$100*SelfQuarantine_Mild*'Equipment List &amp; Usage'!$X25)+('Weekly Summary'!P$101*SelfQuarantine_Moderate*'Equipment List &amp; Usage'!$X25))))+IF('Equipment List &amp; Usage'!$F25="Yes",'Equipment List &amp; Usage'!$C$114*(IF('Equipment List &amp; Usage'!$AA25&gt;0,'Weekly Summary'!P$128,0)+IF('Equipment List &amp; Usage'!$AB25&gt;0,'Weekly Summary'!P$100+'Weekly Summary'!P$101,0)),'Equipment List &amp; Usage'!$C$115*(('Weekly Summary'!P$128*'Equipment List &amp; Usage'!$AA25)+('Weekly Summary'!P$100*'Equipment List &amp; Usage'!$AB25*SelfQuarantine_Mild)+('Weekly Summary'!P$101*'Equipment List &amp; Usage'!$AB25*SelfQuarantine_Moderate)))+IF('Equipment List &amp; Usage'!$F25="Yes",('Equipment List &amp; Usage'!$C$114*(IF('Equipment List &amp; Usage'!$AE25&gt;0,'Weekly Summary'!P$134,0)+IF('Equipment List &amp; Usage'!$AF25&gt;0,'Weekly Summary'!P$135))),'Equipment List &amp; Usage'!$C$115*(('Weekly Summary'!P$134*'Equipment List &amp; Usage'!$AE25)+('Weekly Summary'!P$135*'Equipment List &amp; Usage'!$AF25)))),0)</f>
        <v>0</v>
      </c>
      <c r="W23" s="1374">
        <f ca="1">MAX(IF($F23="Yes",(
IF($F23="yes",MMULT(--('Equipment List &amp; Usage'!$J25:$N25&gt;0),--('Weekly Summary'!Q$112:Q$116))*'Equipment List &amp; Usage'!$C$114,MMULT(--('Equipment List &amp; Usage'!$J25:$N25),--('Weekly Summary'!Q$112:Q$116))*'Equipment List &amp; Usage'!$C$115)+IF('Equipment List &amp; Usage'!$F24="yes",'Equipment List &amp; Usage'!$C$114,'Equipment List &amp; Usage'!$C$115)*(('Weekly Summary'!Q$66*'Equipment List &amp; Usage'!$Q25)+('Weekly Summary'!Q$64*'Equipment List &amp; Usage'!$O25)+('Weekly Summary'!Q$65*'Equipment List &amp; Usage'!$P25)))+(IF('Equipment List &amp; Usage'!$F25="Yes",'Equipment List &amp; Usage'!$C$114*((('Weekly Summary'!Q$131*SelfQuarantine_Mild)+('Weekly Summary'!Q$100*SelfQuarantine_Mild)+('Weekly Summary'!Q$101*SelfQuarantine_Moderate))),'Equipment List &amp; Usage'!$C$115)*((('Weekly Summary'!Q$131*SelfQuarantine_Mild*'Equipment List &amp; Usage'!$W25)+('Weekly Summary'!Q$100*SelfQuarantine_Mild*'Equipment List &amp; Usage'!$X25)+('Weekly Summary'!Q$101*SelfQuarantine_Moderate*'Equipment List &amp; Usage'!$X25)))+IF('Equipment List &amp; Usage'!$F25="Yes",'Equipment List &amp; Usage'!$C$114*(IF('Equipment List &amp; Usage'!$AA25&gt;0,'Weekly Summary'!Q$128,0)+IF('Equipment List &amp; Usage'!$AB25&gt;0,'Weekly Summary'!Q$100+'Weekly Summary'!Q$101,0)),'Equipment List &amp; Usage'!$C$115*(('Weekly Summary'!Q$128*'Equipment List &amp; Usage'!$AA25)+('Weekly Summary'!Q$100*'Equipment List &amp; Usage'!$AB25*SelfQuarantine_Mild)+('Weekly Summary'!Q$101*'Equipment List &amp; Usage'!$AB25*SelfQuarantine_Moderate)))+IF('Equipment List &amp; Usage'!$F25="Yes",('Equipment List &amp; Usage'!$C$114*(IF('Equipment List &amp; Usage'!$AE25&gt;0,'Weekly Summary'!Q$134,0)+IF('Equipment List &amp; Usage'!$AF25&gt;0,'Weekly Summary'!Q$135))),'Equipment List &amp; Usage'!$C$115*(('Weekly Summary'!Q$134*'Equipment List &amp; Usage'!$AE25)+('Weekly Summary'!Q$135*'Equipment List &amp; Usage'!$AF25))))-SUM($I23:V23),
IF($F23="yes",MMULT(--('Equipment List &amp; Usage'!$J25:$N25&gt;0),--('Weekly Summary'!Q$112:Q$116))*'Equipment List &amp; Usage'!$C$114,MMULT(--('Equipment List &amp; Usage'!$J25:$N25),--('Weekly Summary'!Q$112:Q$116))*'Equipment List &amp; Usage'!$C$115)+IF('Equipment List &amp; Usage'!$F24="yes",'Equipment List &amp; Usage'!$C$114,'Equipment List &amp; Usage'!$C$115)*(('Weekly Summary'!Q$66*'Equipment List &amp; Usage'!$Q25)+('Weekly Summary'!Q$64*'Equipment List &amp; Usage'!$O25)+('Weekly Summary'!Q$65*'Equipment List &amp; Usage'!$P25))+(IF('Equipment List &amp; Usage'!$F25="Yes",'Equipment List &amp; Usage'!$C$114*((('Weekly Summary'!Q$131*SelfQuarantine_Mild)+('Weekly Summary'!Q$100*SelfQuarantine_Mild)+('Weekly Summary'!Q$101*SelfQuarantine_Moderate))),'Equipment List &amp; Usage'!$C$115)*((('Weekly Summary'!Q$131*SelfQuarantine_Mild*'Equipment List &amp; Usage'!$W25)+('Weekly Summary'!Q$100*SelfQuarantine_Mild*'Equipment List &amp; Usage'!$X25)+('Weekly Summary'!Q$101*SelfQuarantine_Moderate*'Equipment List &amp; Usage'!$X25))))+IF('Equipment List &amp; Usage'!$F25="Yes",'Equipment List &amp; Usage'!$C$114*(IF('Equipment List &amp; Usage'!$AA25&gt;0,'Weekly Summary'!Q$128,0)+IF('Equipment List &amp; Usage'!$AB25&gt;0,'Weekly Summary'!Q$100+'Weekly Summary'!Q$101,0)),'Equipment List &amp; Usage'!$C$115*(('Weekly Summary'!Q$128*'Equipment List &amp; Usage'!$AA25)+('Weekly Summary'!Q$100*'Equipment List &amp; Usage'!$AB25*SelfQuarantine_Mild)+('Weekly Summary'!Q$101*'Equipment List &amp; Usage'!$AB25*SelfQuarantine_Moderate)))+IF('Equipment List &amp; Usage'!$F25="Yes",('Equipment List &amp; Usage'!$C$114*(IF('Equipment List &amp; Usage'!$AE25&gt;0,'Weekly Summary'!Q$134,0)+IF('Equipment List &amp; Usage'!$AF25&gt;0,'Weekly Summary'!Q$135))),'Equipment List &amp; Usage'!$C$115*(('Weekly Summary'!Q$134*'Equipment List &amp; Usage'!$AE25)+('Weekly Summary'!Q$135*'Equipment List &amp; Usage'!$AF25)))),0)</f>
        <v>0</v>
      </c>
      <c r="X23" s="1374">
        <f ca="1">MAX(IF($F23="Yes",(
IF($F23="yes",MMULT(--('Equipment List &amp; Usage'!$J25:$N25&gt;0),--('Weekly Summary'!R$112:R$116))*'Equipment List &amp; Usage'!$C$114,MMULT(--('Equipment List &amp; Usage'!$J25:$N25),--('Weekly Summary'!R$112:R$116))*'Equipment List &amp; Usage'!$C$115)+IF('Equipment List &amp; Usage'!$F24="yes",'Equipment List &amp; Usage'!$C$114,'Equipment List &amp; Usage'!$C$115)*(('Weekly Summary'!R$66*'Equipment List &amp; Usage'!$Q25)+('Weekly Summary'!R$64*'Equipment List &amp; Usage'!$O25)+('Weekly Summary'!R$65*'Equipment List &amp; Usage'!$P25)))+(IF('Equipment List &amp; Usage'!$F25="Yes",'Equipment List &amp; Usage'!$C$114*((('Weekly Summary'!R$131*SelfQuarantine_Mild)+('Weekly Summary'!R$100*SelfQuarantine_Mild)+('Weekly Summary'!R$101*SelfQuarantine_Moderate))),'Equipment List &amp; Usage'!$C$115)*((('Weekly Summary'!R$131*SelfQuarantine_Mild*'Equipment List &amp; Usage'!$W25)+('Weekly Summary'!R$100*SelfQuarantine_Mild*'Equipment List &amp; Usage'!$X25)+('Weekly Summary'!R$101*SelfQuarantine_Moderate*'Equipment List &amp; Usage'!$X25)))+IF('Equipment List &amp; Usage'!$F25="Yes",'Equipment List &amp; Usage'!$C$114*(IF('Equipment List &amp; Usage'!$AA25&gt;0,'Weekly Summary'!R$128,0)+IF('Equipment List &amp; Usage'!$AB25&gt;0,'Weekly Summary'!R$100+'Weekly Summary'!R$101,0)),'Equipment List &amp; Usage'!$C$115*(('Weekly Summary'!R$128*'Equipment List &amp; Usage'!$AA25)+('Weekly Summary'!R$100*'Equipment List &amp; Usage'!$AB25*SelfQuarantine_Mild)+('Weekly Summary'!R$101*'Equipment List &amp; Usage'!$AB25*SelfQuarantine_Moderate)))+IF('Equipment List &amp; Usage'!$F25="Yes",('Equipment List &amp; Usage'!$C$114*(IF('Equipment List &amp; Usage'!$AE25&gt;0,'Weekly Summary'!R$134,0)+IF('Equipment List &amp; Usage'!$AF25&gt;0,'Weekly Summary'!R$135))),'Equipment List &amp; Usage'!$C$115*(('Weekly Summary'!R$134*'Equipment List &amp; Usage'!$AE25)+('Weekly Summary'!R$135*'Equipment List &amp; Usage'!$AF25))))-SUM($I23:W23),
IF($F23="yes",MMULT(--('Equipment List &amp; Usage'!$J25:$N25&gt;0),--('Weekly Summary'!R$112:R$116))*'Equipment List &amp; Usage'!$C$114,MMULT(--('Equipment List &amp; Usage'!$J25:$N25),--('Weekly Summary'!R$112:R$116))*'Equipment List &amp; Usage'!$C$115)+IF('Equipment List &amp; Usage'!$F24="yes",'Equipment List &amp; Usage'!$C$114,'Equipment List &amp; Usage'!$C$115)*(('Weekly Summary'!R$66*'Equipment List &amp; Usage'!$Q25)+('Weekly Summary'!R$64*'Equipment List &amp; Usage'!$O25)+('Weekly Summary'!R$65*'Equipment List &amp; Usage'!$P25))+(IF('Equipment List &amp; Usage'!$F25="Yes",'Equipment List &amp; Usage'!$C$114*((('Weekly Summary'!R$131*SelfQuarantine_Mild)+('Weekly Summary'!R$100*SelfQuarantine_Mild)+('Weekly Summary'!R$101*SelfQuarantine_Moderate))),'Equipment List &amp; Usage'!$C$115)*((('Weekly Summary'!R$131*SelfQuarantine_Mild*'Equipment List &amp; Usage'!$W25)+('Weekly Summary'!R$100*SelfQuarantine_Mild*'Equipment List &amp; Usage'!$X25)+('Weekly Summary'!R$101*SelfQuarantine_Moderate*'Equipment List &amp; Usage'!$X25))))+IF('Equipment List &amp; Usage'!$F25="Yes",'Equipment List &amp; Usage'!$C$114*(IF('Equipment List &amp; Usage'!$AA25&gt;0,'Weekly Summary'!R$128,0)+IF('Equipment List &amp; Usage'!$AB25&gt;0,'Weekly Summary'!R$100+'Weekly Summary'!R$101,0)),'Equipment List &amp; Usage'!$C$115*(('Weekly Summary'!R$128*'Equipment List &amp; Usage'!$AA25)+('Weekly Summary'!R$100*'Equipment List &amp; Usage'!$AB25*SelfQuarantine_Mild)+('Weekly Summary'!R$101*'Equipment List &amp; Usage'!$AB25*SelfQuarantine_Moderate)))+IF('Equipment List &amp; Usage'!$F25="Yes",('Equipment List &amp; Usage'!$C$114*(IF('Equipment List &amp; Usage'!$AE25&gt;0,'Weekly Summary'!R$134,0)+IF('Equipment List &amp; Usage'!$AF25&gt;0,'Weekly Summary'!R$135))),'Equipment List &amp; Usage'!$C$115*(('Weekly Summary'!R$134*'Equipment List &amp; Usage'!$AE25)+('Weekly Summary'!R$135*'Equipment List &amp; Usage'!$AF25)))),0)</f>
        <v>0</v>
      </c>
      <c r="Y23" s="1374">
        <f ca="1">MAX(IF($F23="Yes",(
IF($F23="yes",MMULT(--('Equipment List &amp; Usage'!$J25:$N25&gt;0),--('Weekly Summary'!S$112:S$116))*'Equipment List &amp; Usage'!$C$114,MMULT(--('Equipment List &amp; Usage'!$J25:$N25),--('Weekly Summary'!S$112:S$116))*'Equipment List &amp; Usage'!$C$115)+IF('Equipment List &amp; Usage'!$F24="yes",'Equipment List &amp; Usage'!$C$114,'Equipment List &amp; Usage'!$C$115)*(('Weekly Summary'!S$66*'Equipment List &amp; Usage'!$Q25)+('Weekly Summary'!S$64*'Equipment List &amp; Usage'!$O25)+('Weekly Summary'!S$65*'Equipment List &amp; Usage'!$P25)))+(IF('Equipment List &amp; Usage'!$F25="Yes",'Equipment List &amp; Usage'!$C$114*((('Weekly Summary'!S$131*SelfQuarantine_Mild)+('Weekly Summary'!S$100*SelfQuarantine_Mild)+('Weekly Summary'!S$101*SelfQuarantine_Moderate))),'Equipment List &amp; Usage'!$C$115)*((('Weekly Summary'!S$131*SelfQuarantine_Mild*'Equipment List &amp; Usage'!$W25)+('Weekly Summary'!S$100*SelfQuarantine_Mild*'Equipment List &amp; Usage'!$X25)+('Weekly Summary'!S$101*SelfQuarantine_Moderate*'Equipment List &amp; Usage'!$X25)))+IF('Equipment List &amp; Usage'!$F25="Yes",'Equipment List &amp; Usage'!$C$114*(IF('Equipment List &amp; Usage'!$AA25&gt;0,'Weekly Summary'!S$128,0)+IF('Equipment List &amp; Usage'!$AB25&gt;0,'Weekly Summary'!S$100+'Weekly Summary'!S$101,0)),'Equipment List &amp; Usage'!$C$115*(('Weekly Summary'!S$128*'Equipment List &amp; Usage'!$AA25)+('Weekly Summary'!S$100*'Equipment List &amp; Usage'!$AB25*SelfQuarantine_Mild)+('Weekly Summary'!S$101*'Equipment List &amp; Usage'!$AB25*SelfQuarantine_Moderate)))+IF('Equipment List &amp; Usage'!$F25="Yes",('Equipment List &amp; Usage'!$C$114*(IF('Equipment List &amp; Usage'!$AE25&gt;0,'Weekly Summary'!S$134,0)+IF('Equipment List &amp; Usage'!$AF25&gt;0,'Weekly Summary'!S$135))),'Equipment List &amp; Usage'!$C$115*(('Weekly Summary'!S$134*'Equipment List &amp; Usage'!$AE25)+('Weekly Summary'!S$135*'Equipment List &amp; Usage'!$AF25))))-SUM($I23:X23),
IF($F23="yes",MMULT(--('Equipment List &amp; Usage'!$J25:$N25&gt;0),--('Weekly Summary'!S$112:S$116))*'Equipment List &amp; Usage'!$C$114,MMULT(--('Equipment List &amp; Usage'!$J25:$N25),--('Weekly Summary'!S$112:S$116))*'Equipment List &amp; Usage'!$C$115)+IF('Equipment List &amp; Usage'!$F24="yes",'Equipment List &amp; Usage'!$C$114,'Equipment List &amp; Usage'!$C$115)*(('Weekly Summary'!S$66*'Equipment List &amp; Usage'!$Q25)+('Weekly Summary'!S$64*'Equipment List &amp; Usage'!$O25)+('Weekly Summary'!S$65*'Equipment List &amp; Usage'!$P25))+(IF('Equipment List &amp; Usage'!$F25="Yes",'Equipment List &amp; Usage'!$C$114*((('Weekly Summary'!S$131*SelfQuarantine_Mild)+('Weekly Summary'!S$100*SelfQuarantine_Mild)+('Weekly Summary'!S$101*SelfQuarantine_Moderate))),'Equipment List &amp; Usage'!$C$115)*((('Weekly Summary'!S$131*SelfQuarantine_Mild*'Equipment List &amp; Usage'!$W25)+('Weekly Summary'!S$100*SelfQuarantine_Mild*'Equipment List &amp; Usage'!$X25)+('Weekly Summary'!S$101*SelfQuarantine_Moderate*'Equipment List &amp; Usage'!$X25))))+IF('Equipment List &amp; Usage'!$F25="Yes",'Equipment List &amp; Usage'!$C$114*(IF('Equipment List &amp; Usage'!$AA25&gt;0,'Weekly Summary'!S$128,0)+IF('Equipment List &amp; Usage'!$AB25&gt;0,'Weekly Summary'!S$100+'Weekly Summary'!S$101,0)),'Equipment List &amp; Usage'!$C$115*(('Weekly Summary'!S$128*'Equipment List &amp; Usage'!$AA25)+('Weekly Summary'!S$100*'Equipment List &amp; Usage'!$AB25*SelfQuarantine_Mild)+('Weekly Summary'!S$101*'Equipment List &amp; Usage'!$AB25*SelfQuarantine_Moderate)))+IF('Equipment List &amp; Usage'!$F25="Yes",('Equipment List &amp; Usage'!$C$114*(IF('Equipment List &amp; Usage'!$AE25&gt;0,'Weekly Summary'!S$134,0)+IF('Equipment List &amp; Usage'!$AF25&gt;0,'Weekly Summary'!S$135))),'Equipment List &amp; Usage'!$C$115*(('Weekly Summary'!S$134*'Equipment List &amp; Usage'!$AE25)+('Weekly Summary'!S$135*'Equipment List &amp; Usage'!$AF25)))),0)</f>
        <v>0</v>
      </c>
      <c r="Z23" s="1374">
        <f ca="1">MAX(IF($F23="Yes",(
IF($F23="yes",MMULT(--('Equipment List &amp; Usage'!$J25:$N25&gt;0),--('Weekly Summary'!T$112:T$116))*'Equipment List &amp; Usage'!$C$114,MMULT(--('Equipment List &amp; Usage'!$J25:$N25),--('Weekly Summary'!T$112:T$116))*'Equipment List &amp; Usage'!$C$115)+IF('Equipment List &amp; Usage'!$F24="yes",'Equipment List &amp; Usage'!$C$114,'Equipment List &amp; Usage'!$C$115)*(('Weekly Summary'!T$66*'Equipment List &amp; Usage'!$Q25)+('Weekly Summary'!T$64*'Equipment List &amp; Usage'!$O25)+('Weekly Summary'!T$65*'Equipment List &amp; Usage'!$P25)))+(IF('Equipment List &amp; Usage'!$F25="Yes",'Equipment List &amp; Usage'!$C$114*((('Weekly Summary'!T$131*SelfQuarantine_Mild)+('Weekly Summary'!T$100*SelfQuarantine_Mild)+('Weekly Summary'!T$101*SelfQuarantine_Moderate))),'Equipment List &amp; Usage'!$C$115)*((('Weekly Summary'!T$131*SelfQuarantine_Mild*'Equipment List &amp; Usage'!$W25)+('Weekly Summary'!T$100*SelfQuarantine_Mild*'Equipment List &amp; Usage'!$X25)+('Weekly Summary'!T$101*SelfQuarantine_Moderate*'Equipment List &amp; Usage'!$X25)))+IF('Equipment List &amp; Usage'!$F25="Yes",'Equipment List &amp; Usage'!$C$114*(IF('Equipment List &amp; Usage'!$AA25&gt;0,'Weekly Summary'!T$128,0)+IF('Equipment List &amp; Usage'!$AB25&gt;0,'Weekly Summary'!T$100+'Weekly Summary'!T$101,0)),'Equipment List &amp; Usage'!$C$115*(('Weekly Summary'!T$128*'Equipment List &amp; Usage'!$AA25)+('Weekly Summary'!T$100*'Equipment List &amp; Usage'!$AB25*SelfQuarantine_Mild)+('Weekly Summary'!T$101*'Equipment List &amp; Usage'!$AB25*SelfQuarantine_Moderate)))+IF('Equipment List &amp; Usage'!$F25="Yes",('Equipment List &amp; Usage'!$C$114*(IF('Equipment List &amp; Usage'!$AE25&gt;0,'Weekly Summary'!T$134,0)+IF('Equipment List &amp; Usage'!$AF25&gt;0,'Weekly Summary'!T$135))),'Equipment List &amp; Usage'!$C$115*(('Weekly Summary'!T$134*'Equipment List &amp; Usage'!$AE25)+('Weekly Summary'!T$135*'Equipment List &amp; Usage'!$AF25))))-SUM($I23:Y23),
IF($F23="yes",MMULT(--('Equipment List &amp; Usage'!$J25:$N25&gt;0),--('Weekly Summary'!T$112:T$116))*'Equipment List &amp; Usage'!$C$114,MMULT(--('Equipment List &amp; Usage'!$J25:$N25),--('Weekly Summary'!T$112:T$116))*'Equipment List &amp; Usage'!$C$115)+IF('Equipment List &amp; Usage'!$F24="yes",'Equipment List &amp; Usage'!$C$114,'Equipment List &amp; Usage'!$C$115)*(('Weekly Summary'!T$66*'Equipment List &amp; Usage'!$Q25)+('Weekly Summary'!T$64*'Equipment List &amp; Usage'!$O25)+('Weekly Summary'!T$65*'Equipment List &amp; Usage'!$P25))+(IF('Equipment List &amp; Usage'!$F25="Yes",'Equipment List &amp; Usage'!$C$114*((('Weekly Summary'!T$131*SelfQuarantine_Mild)+('Weekly Summary'!T$100*SelfQuarantine_Mild)+('Weekly Summary'!T$101*SelfQuarantine_Moderate))),'Equipment List &amp; Usage'!$C$115)*((('Weekly Summary'!T$131*SelfQuarantine_Mild*'Equipment List &amp; Usage'!$W25)+('Weekly Summary'!T$100*SelfQuarantine_Mild*'Equipment List &amp; Usage'!$X25)+('Weekly Summary'!T$101*SelfQuarantine_Moderate*'Equipment List &amp; Usage'!$X25))))+IF('Equipment List &amp; Usage'!$F25="Yes",'Equipment List &amp; Usage'!$C$114*(IF('Equipment List &amp; Usage'!$AA25&gt;0,'Weekly Summary'!T$128,0)+IF('Equipment List &amp; Usage'!$AB25&gt;0,'Weekly Summary'!T$100+'Weekly Summary'!T$101,0)),'Equipment List &amp; Usage'!$C$115*(('Weekly Summary'!T$128*'Equipment List &amp; Usage'!$AA25)+('Weekly Summary'!T$100*'Equipment List &amp; Usage'!$AB25*SelfQuarantine_Mild)+('Weekly Summary'!T$101*'Equipment List &amp; Usage'!$AB25*SelfQuarantine_Moderate)))+IF('Equipment List &amp; Usage'!$F25="Yes",('Equipment List &amp; Usage'!$C$114*(IF('Equipment List &amp; Usage'!$AE25&gt;0,'Weekly Summary'!T$134,0)+IF('Equipment List &amp; Usage'!$AF25&gt;0,'Weekly Summary'!T$135))),'Equipment List &amp; Usage'!$C$115*(('Weekly Summary'!T$134*'Equipment List &amp; Usage'!$AE25)+('Weekly Summary'!T$135*'Equipment List &amp; Usage'!$AF25)))),0)</f>
        <v>0</v>
      </c>
      <c r="AA23" s="1374">
        <f ca="1">MAX(IF($F23="Yes",(
IF($F23="yes",MMULT(--('Equipment List &amp; Usage'!$J25:$N25&gt;0),--('Weekly Summary'!U$112:U$116))*'Equipment List &amp; Usage'!$C$114,MMULT(--('Equipment List &amp; Usage'!$J25:$N25),--('Weekly Summary'!U$112:U$116))*'Equipment List &amp; Usage'!$C$115)+IF('Equipment List &amp; Usage'!$F24="yes",'Equipment List &amp; Usage'!$C$114,'Equipment List &amp; Usage'!$C$115)*(('Weekly Summary'!U$66*'Equipment List &amp; Usage'!$Q25)+('Weekly Summary'!U$64*'Equipment List &amp; Usage'!$O25)+('Weekly Summary'!U$65*'Equipment List &amp; Usage'!$P25)))+(IF('Equipment List &amp; Usage'!$F25="Yes",'Equipment List &amp; Usage'!$C$114*((('Weekly Summary'!U$131*SelfQuarantine_Mild)+('Weekly Summary'!U$100*SelfQuarantine_Mild)+('Weekly Summary'!U$101*SelfQuarantine_Moderate))),'Equipment List &amp; Usage'!$C$115)*((('Weekly Summary'!U$131*SelfQuarantine_Mild*'Equipment List &amp; Usage'!$W25)+('Weekly Summary'!U$100*SelfQuarantine_Mild*'Equipment List &amp; Usage'!$X25)+('Weekly Summary'!U$101*SelfQuarantine_Moderate*'Equipment List &amp; Usage'!$X25)))+IF('Equipment List &amp; Usage'!$F25="Yes",'Equipment List &amp; Usage'!$C$114*(IF('Equipment List &amp; Usage'!$AA25&gt;0,'Weekly Summary'!U$128,0)+IF('Equipment List &amp; Usage'!$AB25&gt;0,'Weekly Summary'!U$100+'Weekly Summary'!U$101,0)),'Equipment List &amp; Usage'!$C$115*(('Weekly Summary'!U$128*'Equipment List &amp; Usage'!$AA25)+('Weekly Summary'!U$100*'Equipment List &amp; Usage'!$AB25*SelfQuarantine_Mild)+('Weekly Summary'!U$101*'Equipment List &amp; Usage'!$AB25*SelfQuarantine_Moderate)))+IF('Equipment List &amp; Usage'!$F25="Yes",('Equipment List &amp; Usage'!$C$114*(IF('Equipment List &amp; Usage'!$AE25&gt;0,'Weekly Summary'!U$134,0)+IF('Equipment List &amp; Usage'!$AF25&gt;0,'Weekly Summary'!U$135))),'Equipment List &amp; Usage'!$C$115*(('Weekly Summary'!U$134*'Equipment List &amp; Usage'!$AE25)+('Weekly Summary'!U$135*'Equipment List &amp; Usage'!$AF25))))-SUM($I23:Z23),
IF($F23="yes",MMULT(--('Equipment List &amp; Usage'!$J25:$N25&gt;0),--('Weekly Summary'!U$112:U$116))*'Equipment List &amp; Usage'!$C$114,MMULT(--('Equipment List &amp; Usage'!$J25:$N25),--('Weekly Summary'!U$112:U$116))*'Equipment List &amp; Usage'!$C$115)+IF('Equipment List &amp; Usage'!$F24="yes",'Equipment List &amp; Usage'!$C$114,'Equipment List &amp; Usage'!$C$115)*(('Weekly Summary'!U$66*'Equipment List &amp; Usage'!$Q25)+('Weekly Summary'!U$64*'Equipment List &amp; Usage'!$O25)+('Weekly Summary'!U$65*'Equipment List &amp; Usage'!$P25))+(IF('Equipment List &amp; Usage'!$F25="Yes",'Equipment List &amp; Usage'!$C$114*((('Weekly Summary'!U$131*SelfQuarantine_Mild)+('Weekly Summary'!U$100*SelfQuarantine_Mild)+('Weekly Summary'!U$101*SelfQuarantine_Moderate))),'Equipment List &amp; Usage'!$C$115)*((('Weekly Summary'!U$131*SelfQuarantine_Mild*'Equipment List &amp; Usage'!$W25)+('Weekly Summary'!U$100*SelfQuarantine_Mild*'Equipment List &amp; Usage'!$X25)+('Weekly Summary'!U$101*SelfQuarantine_Moderate*'Equipment List &amp; Usage'!$X25))))+IF('Equipment List &amp; Usage'!$F25="Yes",'Equipment List &amp; Usage'!$C$114*(IF('Equipment List &amp; Usage'!$AA25&gt;0,'Weekly Summary'!U$128,0)+IF('Equipment List &amp; Usage'!$AB25&gt;0,'Weekly Summary'!U$100+'Weekly Summary'!U$101,0)),'Equipment List &amp; Usage'!$C$115*(('Weekly Summary'!U$128*'Equipment List &amp; Usage'!$AA25)+('Weekly Summary'!U$100*'Equipment List &amp; Usage'!$AB25*SelfQuarantine_Mild)+('Weekly Summary'!U$101*'Equipment List &amp; Usage'!$AB25*SelfQuarantine_Moderate)))+IF('Equipment List &amp; Usage'!$F25="Yes",('Equipment List &amp; Usage'!$C$114*(IF('Equipment List &amp; Usage'!$AE25&gt;0,'Weekly Summary'!U$134,0)+IF('Equipment List &amp; Usage'!$AF25&gt;0,'Weekly Summary'!U$135))),'Equipment List &amp; Usage'!$C$115*(('Weekly Summary'!U$134*'Equipment List &amp; Usage'!$AE25)+('Weekly Summary'!U$135*'Equipment List &amp; Usage'!$AF25)))),0)</f>
        <v>0</v>
      </c>
      <c r="AB23" s="1374">
        <f ca="1">MAX(IF($F23="Yes",(
IF($F23="yes",MMULT(--('Equipment List &amp; Usage'!$J25:$N25&gt;0),--('Weekly Summary'!V$112:V$116))*'Equipment List &amp; Usage'!$C$114,MMULT(--('Equipment List &amp; Usage'!$J25:$N25),--('Weekly Summary'!V$112:V$116))*'Equipment List &amp; Usage'!$C$115)+IF('Equipment List &amp; Usage'!$F24="yes",'Equipment List &amp; Usage'!$C$114,'Equipment List &amp; Usage'!$C$115)*(('Weekly Summary'!V$66*'Equipment List &amp; Usage'!$Q25)+('Weekly Summary'!V$64*'Equipment List &amp; Usage'!$O25)+('Weekly Summary'!V$65*'Equipment List &amp; Usage'!$P25)))+(IF('Equipment List &amp; Usage'!$F25="Yes",'Equipment List &amp; Usage'!$C$114*((('Weekly Summary'!V$131*SelfQuarantine_Mild)+('Weekly Summary'!V$100*SelfQuarantine_Mild)+('Weekly Summary'!V$101*SelfQuarantine_Moderate))),'Equipment List &amp; Usage'!$C$115)*((('Weekly Summary'!V$131*SelfQuarantine_Mild*'Equipment List &amp; Usage'!$W25)+('Weekly Summary'!V$100*SelfQuarantine_Mild*'Equipment List &amp; Usage'!$X25)+('Weekly Summary'!V$101*SelfQuarantine_Moderate*'Equipment List &amp; Usage'!$X25)))+IF('Equipment List &amp; Usage'!$F25="Yes",'Equipment List &amp; Usage'!$C$114*(IF('Equipment List &amp; Usage'!$AA25&gt;0,'Weekly Summary'!V$128,0)+IF('Equipment List &amp; Usage'!$AB25&gt;0,'Weekly Summary'!V$100+'Weekly Summary'!V$101,0)),'Equipment List &amp; Usage'!$C$115*(('Weekly Summary'!V$128*'Equipment List &amp; Usage'!$AA25)+('Weekly Summary'!V$100*'Equipment List &amp; Usage'!$AB25*SelfQuarantine_Mild)+('Weekly Summary'!V$101*'Equipment List &amp; Usage'!$AB25*SelfQuarantine_Moderate)))+IF('Equipment List &amp; Usage'!$F25="Yes",('Equipment List &amp; Usage'!$C$114*(IF('Equipment List &amp; Usage'!$AE25&gt;0,'Weekly Summary'!V$134,0)+IF('Equipment List &amp; Usage'!$AF25&gt;0,'Weekly Summary'!V$135))),'Equipment List &amp; Usage'!$C$115*(('Weekly Summary'!V$134*'Equipment List &amp; Usage'!$AE25)+('Weekly Summary'!V$135*'Equipment List &amp; Usage'!$AF25))))-SUM($I23:AA23),
IF($F23="yes",MMULT(--('Equipment List &amp; Usage'!$J25:$N25&gt;0),--('Weekly Summary'!V$112:V$116))*'Equipment List &amp; Usage'!$C$114,MMULT(--('Equipment List &amp; Usage'!$J25:$N25),--('Weekly Summary'!V$112:V$116))*'Equipment List &amp; Usage'!$C$115)+IF('Equipment List &amp; Usage'!$F24="yes",'Equipment List &amp; Usage'!$C$114,'Equipment List &amp; Usage'!$C$115)*(('Weekly Summary'!V$66*'Equipment List &amp; Usage'!$Q25)+('Weekly Summary'!V$64*'Equipment List &amp; Usage'!$O25)+('Weekly Summary'!V$65*'Equipment List &amp; Usage'!$P25))+(IF('Equipment List &amp; Usage'!$F25="Yes",'Equipment List &amp; Usage'!$C$114*((('Weekly Summary'!V$131*SelfQuarantine_Mild)+('Weekly Summary'!V$100*SelfQuarantine_Mild)+('Weekly Summary'!V$101*SelfQuarantine_Moderate))),'Equipment List &amp; Usage'!$C$115)*((('Weekly Summary'!V$131*SelfQuarantine_Mild*'Equipment List &amp; Usage'!$W25)+('Weekly Summary'!V$100*SelfQuarantine_Mild*'Equipment List &amp; Usage'!$X25)+('Weekly Summary'!V$101*SelfQuarantine_Moderate*'Equipment List &amp; Usage'!$X25))))+IF('Equipment List &amp; Usage'!$F25="Yes",'Equipment List &amp; Usage'!$C$114*(IF('Equipment List &amp; Usage'!$AA25&gt;0,'Weekly Summary'!V$128,0)+IF('Equipment List &amp; Usage'!$AB25&gt;0,'Weekly Summary'!V$100+'Weekly Summary'!V$101,0)),'Equipment List &amp; Usage'!$C$115*(('Weekly Summary'!V$128*'Equipment List &amp; Usage'!$AA25)+('Weekly Summary'!V$100*'Equipment List &amp; Usage'!$AB25*SelfQuarantine_Mild)+('Weekly Summary'!V$101*'Equipment List &amp; Usage'!$AB25*SelfQuarantine_Moderate)))+IF('Equipment List &amp; Usage'!$F25="Yes",('Equipment List &amp; Usage'!$C$114*(IF('Equipment List &amp; Usage'!$AE25&gt;0,'Weekly Summary'!V$134,0)+IF('Equipment List &amp; Usage'!$AF25&gt;0,'Weekly Summary'!V$135))),'Equipment List &amp; Usage'!$C$115*(('Weekly Summary'!V$134*'Equipment List &amp; Usage'!$AE25)+('Weekly Summary'!V$135*'Equipment List &amp; Usage'!$AF25)))),0)</f>
        <v>0</v>
      </c>
      <c r="AC23" s="1374">
        <f ca="1">MAX(IF($F23="Yes",(
IF($F23="yes",MMULT(--('Equipment List &amp; Usage'!$J25:$N25&gt;0),--('Weekly Summary'!W$112:W$116))*'Equipment List &amp; Usage'!$C$114,MMULT(--('Equipment List &amp; Usage'!$J25:$N25),--('Weekly Summary'!W$112:W$116))*'Equipment List &amp; Usage'!$C$115)+IF('Equipment List &amp; Usage'!$F24="yes",'Equipment List &amp; Usage'!$C$114,'Equipment List &amp; Usage'!$C$115)*(('Weekly Summary'!W$66*'Equipment List &amp; Usage'!$Q25)+('Weekly Summary'!W$64*'Equipment List &amp; Usage'!$O25)+('Weekly Summary'!W$65*'Equipment List &amp; Usage'!$P25)))+(IF('Equipment List &amp; Usage'!$F25="Yes",'Equipment List &amp; Usage'!$C$114*((('Weekly Summary'!W$131*SelfQuarantine_Mild)+('Weekly Summary'!W$100*SelfQuarantine_Mild)+('Weekly Summary'!W$101*SelfQuarantine_Moderate))),'Equipment List &amp; Usage'!$C$115)*((('Weekly Summary'!W$131*SelfQuarantine_Mild*'Equipment List &amp; Usage'!$W25)+('Weekly Summary'!W$100*SelfQuarantine_Mild*'Equipment List &amp; Usage'!$X25)+('Weekly Summary'!W$101*SelfQuarantine_Moderate*'Equipment List &amp; Usage'!$X25)))+IF('Equipment List &amp; Usage'!$F25="Yes",'Equipment List &amp; Usage'!$C$114*(IF('Equipment List &amp; Usage'!$AA25&gt;0,'Weekly Summary'!W$128,0)+IF('Equipment List &amp; Usage'!$AB25&gt;0,'Weekly Summary'!W$100+'Weekly Summary'!W$101,0)),'Equipment List &amp; Usage'!$C$115*(('Weekly Summary'!W$128*'Equipment List &amp; Usage'!$AA25)+('Weekly Summary'!W$100*'Equipment List &amp; Usage'!$AB25*SelfQuarantine_Mild)+('Weekly Summary'!W$101*'Equipment List &amp; Usage'!$AB25*SelfQuarantine_Moderate)))+IF('Equipment List &amp; Usage'!$F25="Yes",('Equipment List &amp; Usage'!$C$114*(IF('Equipment List &amp; Usage'!$AE25&gt;0,'Weekly Summary'!W$134,0)+IF('Equipment List &amp; Usage'!$AF25&gt;0,'Weekly Summary'!W$135))),'Equipment List &amp; Usage'!$C$115*(('Weekly Summary'!W$134*'Equipment List &amp; Usage'!$AE25)+('Weekly Summary'!W$135*'Equipment List &amp; Usage'!$AF25))))-SUM($I23:AB23),
IF($F23="yes",MMULT(--('Equipment List &amp; Usage'!$J25:$N25&gt;0),--('Weekly Summary'!W$112:W$116))*'Equipment List &amp; Usage'!$C$114,MMULT(--('Equipment List &amp; Usage'!$J25:$N25),--('Weekly Summary'!W$112:W$116))*'Equipment List &amp; Usage'!$C$115)+IF('Equipment List &amp; Usage'!$F24="yes",'Equipment List &amp; Usage'!$C$114,'Equipment List &amp; Usage'!$C$115)*(('Weekly Summary'!W$66*'Equipment List &amp; Usage'!$Q25)+('Weekly Summary'!W$64*'Equipment List &amp; Usage'!$O25)+('Weekly Summary'!W$65*'Equipment List &amp; Usage'!$P25))+(IF('Equipment List &amp; Usage'!$F25="Yes",'Equipment List &amp; Usage'!$C$114*((('Weekly Summary'!W$131*SelfQuarantine_Mild)+('Weekly Summary'!W$100*SelfQuarantine_Mild)+('Weekly Summary'!W$101*SelfQuarantine_Moderate))),'Equipment List &amp; Usage'!$C$115)*((('Weekly Summary'!W$131*SelfQuarantine_Mild*'Equipment List &amp; Usage'!$W25)+('Weekly Summary'!W$100*SelfQuarantine_Mild*'Equipment List &amp; Usage'!$X25)+('Weekly Summary'!W$101*SelfQuarantine_Moderate*'Equipment List &amp; Usage'!$X25))))+IF('Equipment List &amp; Usage'!$F25="Yes",'Equipment List &amp; Usage'!$C$114*(IF('Equipment List &amp; Usage'!$AA25&gt;0,'Weekly Summary'!W$128,0)+IF('Equipment List &amp; Usage'!$AB25&gt;0,'Weekly Summary'!W$100+'Weekly Summary'!W$101,0)),'Equipment List &amp; Usage'!$C$115*(('Weekly Summary'!W$128*'Equipment List &amp; Usage'!$AA25)+('Weekly Summary'!W$100*'Equipment List &amp; Usage'!$AB25*SelfQuarantine_Mild)+('Weekly Summary'!W$101*'Equipment List &amp; Usage'!$AB25*SelfQuarantine_Moderate)))+IF('Equipment List &amp; Usage'!$F25="Yes",('Equipment List &amp; Usage'!$C$114*(IF('Equipment List &amp; Usage'!$AE25&gt;0,'Weekly Summary'!W$134,0)+IF('Equipment List &amp; Usage'!$AF25&gt;0,'Weekly Summary'!W$135))),'Equipment List &amp; Usage'!$C$115*(('Weekly Summary'!W$134*'Equipment List &amp; Usage'!$AE25)+('Weekly Summary'!W$135*'Equipment List &amp; Usage'!$AF25)))),0)</f>
        <v>0</v>
      </c>
      <c r="AD23" s="1374">
        <f ca="1">MAX(IF($F23="Yes",(
IF($F23="yes",MMULT(--('Equipment List &amp; Usage'!$J25:$N25&gt;0),--('Weekly Summary'!X$112:X$116))*'Equipment List &amp; Usage'!$C$114,MMULT(--('Equipment List &amp; Usage'!$J25:$N25),--('Weekly Summary'!X$112:X$116))*'Equipment List &amp; Usage'!$C$115)+IF('Equipment List &amp; Usage'!$F24="yes",'Equipment List &amp; Usage'!$C$114,'Equipment List &amp; Usage'!$C$115)*(('Weekly Summary'!X$66*'Equipment List &amp; Usage'!$Q25)+('Weekly Summary'!X$64*'Equipment List &amp; Usage'!$O25)+('Weekly Summary'!X$65*'Equipment List &amp; Usage'!$P25)))+(IF('Equipment List &amp; Usage'!$F25="Yes",'Equipment List &amp; Usage'!$C$114*((('Weekly Summary'!X$131*SelfQuarantine_Mild)+('Weekly Summary'!X$100*SelfQuarantine_Mild)+('Weekly Summary'!X$101*SelfQuarantine_Moderate))),'Equipment List &amp; Usage'!$C$115)*((('Weekly Summary'!X$131*SelfQuarantine_Mild*'Equipment List &amp; Usage'!$W25)+('Weekly Summary'!X$100*SelfQuarantine_Mild*'Equipment List &amp; Usage'!$X25)+('Weekly Summary'!X$101*SelfQuarantine_Moderate*'Equipment List &amp; Usage'!$X25)))+IF('Equipment List &amp; Usage'!$F25="Yes",'Equipment List &amp; Usage'!$C$114*(IF('Equipment List &amp; Usage'!$AA25&gt;0,'Weekly Summary'!X$128,0)+IF('Equipment List &amp; Usage'!$AB25&gt;0,'Weekly Summary'!X$100+'Weekly Summary'!X$101,0)),'Equipment List &amp; Usage'!$C$115*(('Weekly Summary'!X$128*'Equipment List &amp; Usage'!$AA25)+('Weekly Summary'!X$100*'Equipment List &amp; Usage'!$AB25*SelfQuarantine_Mild)+('Weekly Summary'!X$101*'Equipment List &amp; Usage'!$AB25*SelfQuarantine_Moderate)))+IF('Equipment List &amp; Usage'!$F25="Yes",('Equipment List &amp; Usage'!$C$114*(IF('Equipment List &amp; Usage'!$AE25&gt;0,'Weekly Summary'!X$134,0)+IF('Equipment List &amp; Usage'!$AF25&gt;0,'Weekly Summary'!X$135))),'Equipment List &amp; Usage'!$C$115*(('Weekly Summary'!X$134*'Equipment List &amp; Usage'!$AE25)+('Weekly Summary'!X$135*'Equipment List &amp; Usage'!$AF25))))-SUM($I23:AC23),
IF($F23="yes",MMULT(--('Equipment List &amp; Usage'!$J25:$N25&gt;0),--('Weekly Summary'!X$112:X$116))*'Equipment List &amp; Usage'!$C$114,MMULT(--('Equipment List &amp; Usage'!$J25:$N25),--('Weekly Summary'!X$112:X$116))*'Equipment List &amp; Usage'!$C$115)+IF('Equipment List &amp; Usage'!$F24="yes",'Equipment List &amp; Usage'!$C$114,'Equipment List &amp; Usage'!$C$115)*(('Weekly Summary'!X$66*'Equipment List &amp; Usage'!$Q25)+('Weekly Summary'!X$64*'Equipment List &amp; Usage'!$O25)+('Weekly Summary'!X$65*'Equipment List &amp; Usage'!$P25))+(IF('Equipment List &amp; Usage'!$F25="Yes",'Equipment List &amp; Usage'!$C$114*((('Weekly Summary'!X$131*SelfQuarantine_Mild)+('Weekly Summary'!X$100*SelfQuarantine_Mild)+('Weekly Summary'!X$101*SelfQuarantine_Moderate))),'Equipment List &amp; Usage'!$C$115)*((('Weekly Summary'!X$131*SelfQuarantine_Mild*'Equipment List &amp; Usage'!$W25)+('Weekly Summary'!X$100*SelfQuarantine_Mild*'Equipment List &amp; Usage'!$X25)+('Weekly Summary'!X$101*SelfQuarantine_Moderate*'Equipment List &amp; Usage'!$X25))))+IF('Equipment List &amp; Usage'!$F25="Yes",'Equipment List &amp; Usage'!$C$114*(IF('Equipment List &amp; Usage'!$AA25&gt;0,'Weekly Summary'!X$128,0)+IF('Equipment List &amp; Usage'!$AB25&gt;0,'Weekly Summary'!X$100+'Weekly Summary'!X$101,0)),'Equipment List &amp; Usage'!$C$115*(('Weekly Summary'!X$128*'Equipment List &amp; Usage'!$AA25)+('Weekly Summary'!X$100*'Equipment List &amp; Usage'!$AB25*SelfQuarantine_Mild)+('Weekly Summary'!X$101*'Equipment List &amp; Usage'!$AB25*SelfQuarantine_Moderate)))+IF('Equipment List &amp; Usage'!$F25="Yes",('Equipment List &amp; Usage'!$C$114*(IF('Equipment List &amp; Usage'!$AE25&gt;0,'Weekly Summary'!X$134,0)+IF('Equipment List &amp; Usage'!$AF25&gt;0,'Weekly Summary'!X$135))),'Equipment List &amp; Usage'!$C$115*(('Weekly Summary'!X$134*'Equipment List &amp; Usage'!$AE25)+('Weekly Summary'!X$135*'Equipment List &amp; Usage'!$AF25)))),0)</f>
        <v>0</v>
      </c>
      <c r="AE23" s="1374">
        <f ca="1">MAX(IF($F23="Yes",(
IF($F23="yes",MMULT(--('Equipment List &amp; Usage'!$J25:$N25&gt;0),--('Weekly Summary'!Y$112:Y$116))*'Equipment List &amp; Usage'!$C$114,MMULT(--('Equipment List &amp; Usage'!$J25:$N25),--('Weekly Summary'!Y$112:Y$116))*'Equipment List &amp; Usage'!$C$115)+IF('Equipment List &amp; Usage'!$F24="yes",'Equipment List &amp; Usage'!$C$114,'Equipment List &amp; Usage'!$C$115)*(('Weekly Summary'!Y$66*'Equipment List &amp; Usage'!$Q25)+('Weekly Summary'!Y$64*'Equipment List &amp; Usage'!$O25)+('Weekly Summary'!Y$65*'Equipment List &amp; Usage'!$P25)))+(IF('Equipment List &amp; Usage'!$F25="Yes",'Equipment List &amp; Usage'!$C$114*((('Weekly Summary'!Y$131*SelfQuarantine_Mild)+('Weekly Summary'!Y$100*SelfQuarantine_Mild)+('Weekly Summary'!Y$101*SelfQuarantine_Moderate))),'Equipment List &amp; Usage'!$C$115)*((('Weekly Summary'!Y$131*SelfQuarantine_Mild*'Equipment List &amp; Usage'!$W25)+('Weekly Summary'!Y$100*SelfQuarantine_Mild*'Equipment List &amp; Usage'!$X25)+('Weekly Summary'!Y$101*SelfQuarantine_Moderate*'Equipment List &amp; Usage'!$X25)))+IF('Equipment List &amp; Usage'!$F25="Yes",'Equipment List &amp; Usage'!$C$114*(IF('Equipment List &amp; Usage'!$AA25&gt;0,'Weekly Summary'!Y$128,0)+IF('Equipment List &amp; Usage'!$AB25&gt;0,'Weekly Summary'!Y$100+'Weekly Summary'!Y$101,0)),'Equipment List &amp; Usage'!$C$115*(('Weekly Summary'!Y$128*'Equipment List &amp; Usage'!$AA25)+('Weekly Summary'!Y$100*'Equipment List &amp; Usage'!$AB25*SelfQuarantine_Mild)+('Weekly Summary'!Y$101*'Equipment List &amp; Usage'!$AB25*SelfQuarantine_Moderate)))+IF('Equipment List &amp; Usage'!$F25="Yes",('Equipment List &amp; Usage'!$C$114*(IF('Equipment List &amp; Usage'!$AE25&gt;0,'Weekly Summary'!Y$134,0)+IF('Equipment List &amp; Usage'!$AF25&gt;0,'Weekly Summary'!Y$135))),'Equipment List &amp; Usage'!$C$115*(('Weekly Summary'!Y$134*'Equipment List &amp; Usage'!$AE25)+('Weekly Summary'!Y$135*'Equipment List &amp; Usage'!$AF25))))-SUM($I23:AD23),
IF($F23="yes",MMULT(--('Equipment List &amp; Usage'!$J25:$N25&gt;0),--('Weekly Summary'!Y$112:Y$116))*'Equipment List &amp; Usage'!$C$114,MMULT(--('Equipment List &amp; Usage'!$J25:$N25),--('Weekly Summary'!Y$112:Y$116))*'Equipment List &amp; Usage'!$C$115)+IF('Equipment List &amp; Usage'!$F24="yes",'Equipment List &amp; Usage'!$C$114,'Equipment List &amp; Usage'!$C$115)*(('Weekly Summary'!Y$66*'Equipment List &amp; Usage'!$Q25)+('Weekly Summary'!Y$64*'Equipment List &amp; Usage'!$O25)+('Weekly Summary'!Y$65*'Equipment List &amp; Usage'!$P25))+(IF('Equipment List &amp; Usage'!$F25="Yes",'Equipment List &amp; Usage'!$C$114*((('Weekly Summary'!Y$131*SelfQuarantine_Mild)+('Weekly Summary'!Y$100*SelfQuarantine_Mild)+('Weekly Summary'!Y$101*SelfQuarantine_Moderate))),'Equipment List &amp; Usage'!$C$115)*((('Weekly Summary'!Y$131*SelfQuarantine_Mild*'Equipment List &amp; Usage'!$W25)+('Weekly Summary'!Y$100*SelfQuarantine_Mild*'Equipment List &amp; Usage'!$X25)+('Weekly Summary'!Y$101*SelfQuarantine_Moderate*'Equipment List &amp; Usage'!$X25))))+IF('Equipment List &amp; Usage'!$F25="Yes",'Equipment List &amp; Usage'!$C$114*(IF('Equipment List &amp; Usage'!$AA25&gt;0,'Weekly Summary'!Y$128,0)+IF('Equipment List &amp; Usage'!$AB25&gt;0,'Weekly Summary'!Y$100+'Weekly Summary'!Y$101,0)),'Equipment List &amp; Usage'!$C$115*(('Weekly Summary'!Y$128*'Equipment List &amp; Usage'!$AA25)+('Weekly Summary'!Y$100*'Equipment List &amp; Usage'!$AB25*SelfQuarantine_Mild)+('Weekly Summary'!Y$101*'Equipment List &amp; Usage'!$AB25*SelfQuarantine_Moderate)))+IF('Equipment List &amp; Usage'!$F25="Yes",('Equipment List &amp; Usage'!$C$114*(IF('Equipment List &amp; Usage'!$AE25&gt;0,'Weekly Summary'!Y$134,0)+IF('Equipment List &amp; Usage'!$AF25&gt;0,'Weekly Summary'!Y$135))),'Equipment List &amp; Usage'!$C$115*(('Weekly Summary'!Y$134*'Equipment List &amp; Usage'!$AE25)+('Weekly Summary'!Y$135*'Equipment List &amp; Usage'!$AF25)))),0)</f>
        <v>0</v>
      </c>
      <c r="AF23" s="1374">
        <f ca="1">MAX(IF($F23="Yes",(
IF($F23="yes",MMULT(--('Equipment List &amp; Usage'!$J25:$N25&gt;0),--('Weekly Summary'!Z$112:Z$116))*'Equipment List &amp; Usage'!$C$114,MMULT(--('Equipment List &amp; Usage'!$J25:$N25),--('Weekly Summary'!Z$112:Z$116))*'Equipment List &amp; Usage'!$C$115)+IF('Equipment List &amp; Usage'!$F24="yes",'Equipment List &amp; Usage'!$C$114,'Equipment List &amp; Usage'!$C$115)*(('Weekly Summary'!Z$66*'Equipment List &amp; Usage'!$Q25)+('Weekly Summary'!Z$64*'Equipment List &amp; Usage'!$O25)+('Weekly Summary'!Z$65*'Equipment List &amp; Usage'!$P25)))+(IF('Equipment List &amp; Usage'!$F25="Yes",'Equipment List &amp; Usage'!$C$114*((('Weekly Summary'!Z$131*SelfQuarantine_Mild)+('Weekly Summary'!Z$100*SelfQuarantine_Mild)+('Weekly Summary'!Z$101*SelfQuarantine_Moderate))),'Equipment List &amp; Usage'!$C$115)*((('Weekly Summary'!Z$131*SelfQuarantine_Mild*'Equipment List &amp; Usage'!$W25)+('Weekly Summary'!Z$100*SelfQuarantine_Mild*'Equipment List &amp; Usage'!$X25)+('Weekly Summary'!Z$101*SelfQuarantine_Moderate*'Equipment List &amp; Usage'!$X25)))+IF('Equipment List &amp; Usage'!$F25="Yes",'Equipment List &amp; Usage'!$C$114*(IF('Equipment List &amp; Usage'!$AA25&gt;0,'Weekly Summary'!Z$128,0)+IF('Equipment List &amp; Usage'!$AB25&gt;0,'Weekly Summary'!Z$100+'Weekly Summary'!Z$101,0)),'Equipment List &amp; Usage'!$C$115*(('Weekly Summary'!Z$128*'Equipment List &amp; Usage'!$AA25)+('Weekly Summary'!Z$100*'Equipment List &amp; Usage'!$AB25*SelfQuarantine_Mild)+('Weekly Summary'!Z$101*'Equipment List &amp; Usage'!$AB25*SelfQuarantine_Moderate)))+IF('Equipment List &amp; Usage'!$F25="Yes",('Equipment List &amp; Usage'!$C$114*(IF('Equipment List &amp; Usage'!$AE25&gt;0,'Weekly Summary'!Z$134,0)+IF('Equipment List &amp; Usage'!$AF25&gt;0,'Weekly Summary'!Z$135))),'Equipment List &amp; Usage'!$C$115*(('Weekly Summary'!Z$134*'Equipment List &amp; Usage'!$AE25)+('Weekly Summary'!Z$135*'Equipment List &amp; Usage'!$AF25))))-SUM($I23:AE23),
IF($F23="yes",MMULT(--('Equipment List &amp; Usage'!$J25:$N25&gt;0),--('Weekly Summary'!Z$112:Z$116))*'Equipment List &amp; Usage'!$C$114,MMULT(--('Equipment List &amp; Usage'!$J25:$N25),--('Weekly Summary'!Z$112:Z$116))*'Equipment List &amp; Usage'!$C$115)+IF('Equipment List &amp; Usage'!$F24="yes",'Equipment List &amp; Usage'!$C$114,'Equipment List &amp; Usage'!$C$115)*(('Weekly Summary'!Z$66*'Equipment List &amp; Usage'!$Q25)+('Weekly Summary'!Z$64*'Equipment List &amp; Usage'!$O25)+('Weekly Summary'!Z$65*'Equipment List &amp; Usage'!$P25))+(IF('Equipment List &amp; Usage'!$F25="Yes",'Equipment List &amp; Usage'!$C$114*((('Weekly Summary'!Z$131*SelfQuarantine_Mild)+('Weekly Summary'!Z$100*SelfQuarantine_Mild)+('Weekly Summary'!Z$101*SelfQuarantine_Moderate))),'Equipment List &amp; Usage'!$C$115)*((('Weekly Summary'!Z$131*SelfQuarantine_Mild*'Equipment List &amp; Usage'!$W25)+('Weekly Summary'!Z$100*SelfQuarantine_Mild*'Equipment List &amp; Usage'!$X25)+('Weekly Summary'!Z$101*SelfQuarantine_Moderate*'Equipment List &amp; Usage'!$X25))))+IF('Equipment List &amp; Usage'!$F25="Yes",'Equipment List &amp; Usage'!$C$114*(IF('Equipment List &amp; Usage'!$AA25&gt;0,'Weekly Summary'!Z$128,0)+IF('Equipment List &amp; Usage'!$AB25&gt;0,'Weekly Summary'!Z$100+'Weekly Summary'!Z$101,0)),'Equipment List &amp; Usage'!$C$115*(('Weekly Summary'!Z$128*'Equipment List &amp; Usage'!$AA25)+('Weekly Summary'!Z$100*'Equipment List &amp; Usage'!$AB25*SelfQuarantine_Mild)+('Weekly Summary'!Z$101*'Equipment List &amp; Usage'!$AB25*SelfQuarantine_Moderate)))+IF('Equipment List &amp; Usage'!$F25="Yes",('Equipment List &amp; Usage'!$C$114*(IF('Equipment List &amp; Usage'!$AE25&gt;0,'Weekly Summary'!Z$134,0)+IF('Equipment List &amp; Usage'!$AF25&gt;0,'Weekly Summary'!Z$135))),'Equipment List &amp; Usage'!$C$115*(('Weekly Summary'!Z$134*'Equipment List &amp; Usage'!$AE25)+('Weekly Summary'!Z$135*'Equipment List &amp; Usage'!$AF25)))),0)</f>
        <v>0</v>
      </c>
      <c r="AG23" s="1374">
        <f ca="1">MAX(IF($F23="Yes",(
IF($F23="yes",MMULT(--('Equipment List &amp; Usage'!$J25:$N25&gt;0),--('Weekly Summary'!AA$112:AA$116))*'Equipment List &amp; Usage'!$C$114,MMULT(--('Equipment List &amp; Usage'!$J25:$N25),--('Weekly Summary'!AA$112:AA$116))*'Equipment List &amp; Usage'!$C$115)+IF('Equipment List &amp; Usage'!$F24="yes",'Equipment List &amp; Usage'!$C$114,'Equipment List &amp; Usage'!$C$115)*(('Weekly Summary'!AA$66*'Equipment List &amp; Usage'!$Q25)+('Weekly Summary'!AA$64*'Equipment List &amp; Usage'!$O25)+('Weekly Summary'!AA$65*'Equipment List &amp; Usage'!$P25)))+(IF('Equipment List &amp; Usage'!$F25="Yes",'Equipment List &amp; Usage'!$C$114*((('Weekly Summary'!AA$131*SelfQuarantine_Mild)+('Weekly Summary'!AA$100*SelfQuarantine_Mild)+('Weekly Summary'!AA$101*SelfQuarantine_Moderate))),'Equipment List &amp; Usage'!$C$115)*((('Weekly Summary'!AA$131*SelfQuarantine_Mild*'Equipment List &amp; Usage'!$W25)+('Weekly Summary'!AA$100*SelfQuarantine_Mild*'Equipment List &amp; Usage'!$X25)+('Weekly Summary'!AA$101*SelfQuarantine_Moderate*'Equipment List &amp; Usage'!$X25)))+IF('Equipment List &amp; Usage'!$F25="Yes",'Equipment List &amp; Usage'!$C$114*(IF('Equipment List &amp; Usage'!$AA25&gt;0,'Weekly Summary'!AA$128,0)+IF('Equipment List &amp; Usage'!$AB25&gt;0,'Weekly Summary'!AA$100+'Weekly Summary'!AA$101,0)),'Equipment List &amp; Usage'!$C$115*(('Weekly Summary'!AA$128*'Equipment List &amp; Usage'!$AA25)+('Weekly Summary'!AA$100*'Equipment List &amp; Usage'!$AB25*SelfQuarantine_Mild)+('Weekly Summary'!AA$101*'Equipment List &amp; Usage'!$AB25*SelfQuarantine_Moderate)))+IF('Equipment List &amp; Usage'!$F25="Yes",('Equipment List &amp; Usage'!$C$114*(IF('Equipment List &amp; Usage'!$AE25&gt;0,'Weekly Summary'!AA$134,0)+IF('Equipment List &amp; Usage'!$AF25&gt;0,'Weekly Summary'!AA$135))),'Equipment List &amp; Usage'!$C$115*(('Weekly Summary'!AA$134*'Equipment List &amp; Usage'!$AE25)+('Weekly Summary'!AA$135*'Equipment List &amp; Usage'!$AF25))))-SUM($I23:AF23),
IF($F23="yes",MMULT(--('Equipment List &amp; Usage'!$J25:$N25&gt;0),--('Weekly Summary'!AA$112:AA$116))*'Equipment List &amp; Usage'!$C$114,MMULT(--('Equipment List &amp; Usage'!$J25:$N25),--('Weekly Summary'!AA$112:AA$116))*'Equipment List &amp; Usage'!$C$115)+IF('Equipment List &amp; Usage'!$F24="yes",'Equipment List &amp; Usage'!$C$114,'Equipment List &amp; Usage'!$C$115)*(('Weekly Summary'!AA$66*'Equipment List &amp; Usage'!$Q25)+('Weekly Summary'!AA$64*'Equipment List &amp; Usage'!$O25)+('Weekly Summary'!AA$65*'Equipment List &amp; Usage'!$P25))+(IF('Equipment List &amp; Usage'!$F25="Yes",'Equipment List &amp; Usage'!$C$114*((('Weekly Summary'!AA$131*SelfQuarantine_Mild)+('Weekly Summary'!AA$100*SelfQuarantine_Mild)+('Weekly Summary'!AA$101*SelfQuarantine_Moderate))),'Equipment List &amp; Usage'!$C$115)*((('Weekly Summary'!AA$131*SelfQuarantine_Mild*'Equipment List &amp; Usage'!$W25)+('Weekly Summary'!AA$100*SelfQuarantine_Mild*'Equipment List &amp; Usage'!$X25)+('Weekly Summary'!AA$101*SelfQuarantine_Moderate*'Equipment List &amp; Usage'!$X25))))+IF('Equipment List &amp; Usage'!$F25="Yes",'Equipment List &amp; Usage'!$C$114*(IF('Equipment List &amp; Usage'!$AA25&gt;0,'Weekly Summary'!AA$128,0)+IF('Equipment List &amp; Usage'!$AB25&gt;0,'Weekly Summary'!AA$100+'Weekly Summary'!AA$101,0)),'Equipment List &amp; Usage'!$C$115*(('Weekly Summary'!AA$128*'Equipment List &amp; Usage'!$AA25)+('Weekly Summary'!AA$100*'Equipment List &amp; Usage'!$AB25*SelfQuarantine_Mild)+('Weekly Summary'!AA$101*'Equipment List &amp; Usage'!$AB25*SelfQuarantine_Moderate)))+IF('Equipment List &amp; Usage'!$F25="Yes",('Equipment List &amp; Usage'!$C$114*(IF('Equipment List &amp; Usage'!$AE25&gt;0,'Weekly Summary'!AA$134,0)+IF('Equipment List &amp; Usage'!$AF25&gt;0,'Weekly Summary'!AA$135))),'Equipment List &amp; Usage'!$C$115*(('Weekly Summary'!AA$134*'Equipment List &amp; Usage'!$AE25)+('Weekly Summary'!AA$135*'Equipment List &amp; Usage'!$AF25)))),0)</f>
        <v>0</v>
      </c>
      <c r="AH23" s="1374">
        <f ca="1">MAX(IF($F23="Yes",(
IF($F23="yes",MMULT(--('Equipment List &amp; Usage'!$J25:$N25&gt;0),--('Weekly Summary'!AB$112:AB$116))*'Equipment List &amp; Usage'!$C$114,MMULT(--('Equipment List &amp; Usage'!$J25:$N25),--('Weekly Summary'!AB$112:AB$116))*'Equipment List &amp; Usage'!$C$115)+IF('Equipment List &amp; Usage'!$F24="yes",'Equipment List &amp; Usage'!$C$114,'Equipment List &amp; Usage'!$C$115)*(('Weekly Summary'!AB$66*'Equipment List &amp; Usage'!$Q25)+('Weekly Summary'!AB$64*'Equipment List &amp; Usage'!$O25)+('Weekly Summary'!AB$65*'Equipment List &amp; Usage'!$P25)))+(IF('Equipment List &amp; Usage'!$F25="Yes",'Equipment List &amp; Usage'!$C$114*((('Weekly Summary'!AB$131*SelfQuarantine_Mild)+('Weekly Summary'!AB$100*SelfQuarantine_Mild)+('Weekly Summary'!AB$101*SelfQuarantine_Moderate))),'Equipment List &amp; Usage'!$C$115)*((('Weekly Summary'!AB$131*SelfQuarantine_Mild*'Equipment List &amp; Usage'!$W25)+('Weekly Summary'!AB$100*SelfQuarantine_Mild*'Equipment List &amp; Usage'!$X25)+('Weekly Summary'!AB$101*SelfQuarantine_Moderate*'Equipment List &amp; Usage'!$X25)))+IF('Equipment List &amp; Usage'!$F25="Yes",'Equipment List &amp; Usage'!$C$114*(IF('Equipment List &amp; Usage'!$AA25&gt;0,'Weekly Summary'!AB$128,0)+IF('Equipment List &amp; Usage'!$AB25&gt;0,'Weekly Summary'!AB$100+'Weekly Summary'!AB$101,0)),'Equipment List &amp; Usage'!$C$115*(('Weekly Summary'!AB$128*'Equipment List &amp; Usage'!$AA25)+('Weekly Summary'!AB$100*'Equipment List &amp; Usage'!$AB25*SelfQuarantine_Mild)+('Weekly Summary'!AB$101*'Equipment List &amp; Usage'!$AB25*SelfQuarantine_Moderate)))+IF('Equipment List &amp; Usage'!$F25="Yes",('Equipment List &amp; Usage'!$C$114*(IF('Equipment List &amp; Usage'!$AE25&gt;0,'Weekly Summary'!AB$134,0)+IF('Equipment List &amp; Usage'!$AF25&gt;0,'Weekly Summary'!AB$135))),'Equipment List &amp; Usage'!$C$115*(('Weekly Summary'!AB$134*'Equipment List &amp; Usage'!$AE25)+('Weekly Summary'!AB$135*'Equipment List &amp; Usage'!$AF25))))-SUM($I23:AG23),
IF($F23="yes",MMULT(--('Equipment List &amp; Usage'!$J25:$N25&gt;0),--('Weekly Summary'!AB$112:AB$116))*'Equipment List &amp; Usage'!$C$114,MMULT(--('Equipment List &amp; Usage'!$J25:$N25),--('Weekly Summary'!AB$112:AB$116))*'Equipment List &amp; Usage'!$C$115)+IF('Equipment List &amp; Usage'!$F24="yes",'Equipment List &amp; Usage'!$C$114,'Equipment List &amp; Usage'!$C$115)*(('Weekly Summary'!AB$66*'Equipment List &amp; Usage'!$Q25)+('Weekly Summary'!AB$64*'Equipment List &amp; Usage'!$O25)+('Weekly Summary'!AB$65*'Equipment List &amp; Usage'!$P25))+(IF('Equipment List &amp; Usage'!$F25="Yes",'Equipment List &amp; Usage'!$C$114*((('Weekly Summary'!AB$131*SelfQuarantine_Mild)+('Weekly Summary'!AB$100*SelfQuarantine_Mild)+('Weekly Summary'!AB$101*SelfQuarantine_Moderate))),'Equipment List &amp; Usage'!$C$115)*((('Weekly Summary'!AB$131*SelfQuarantine_Mild*'Equipment List &amp; Usage'!$W25)+('Weekly Summary'!AB$100*SelfQuarantine_Mild*'Equipment List &amp; Usage'!$X25)+('Weekly Summary'!AB$101*SelfQuarantine_Moderate*'Equipment List &amp; Usage'!$X25))))+IF('Equipment List &amp; Usage'!$F25="Yes",'Equipment List &amp; Usage'!$C$114*(IF('Equipment List &amp; Usage'!$AA25&gt;0,'Weekly Summary'!AB$128,0)+IF('Equipment List &amp; Usage'!$AB25&gt;0,'Weekly Summary'!AB$100+'Weekly Summary'!AB$101,0)),'Equipment List &amp; Usage'!$C$115*(('Weekly Summary'!AB$128*'Equipment List &amp; Usage'!$AA25)+('Weekly Summary'!AB$100*'Equipment List &amp; Usage'!$AB25*SelfQuarantine_Mild)+('Weekly Summary'!AB$101*'Equipment List &amp; Usage'!$AB25*SelfQuarantine_Moderate)))+IF('Equipment List &amp; Usage'!$F25="Yes",('Equipment List &amp; Usage'!$C$114*(IF('Equipment List &amp; Usage'!$AE25&gt;0,'Weekly Summary'!AB$134,0)+IF('Equipment List &amp; Usage'!$AF25&gt;0,'Weekly Summary'!AB$135))),'Equipment List &amp; Usage'!$C$115*(('Weekly Summary'!AB$134*'Equipment List &amp; Usage'!$AE25)+('Weekly Summary'!AB$135*'Equipment List &amp; Usage'!$AF25)))),0)</f>
        <v>0</v>
      </c>
      <c r="AI23" s="1374">
        <f ca="1">MAX(IF($F23="Yes",(
IF($F23="yes",MMULT(--('Equipment List &amp; Usage'!$J25:$N25&gt;0),--('Weekly Summary'!AC$112:AC$116))*'Equipment List &amp; Usage'!$C$114,MMULT(--('Equipment List &amp; Usage'!$J25:$N25),--('Weekly Summary'!AC$112:AC$116))*'Equipment List &amp; Usage'!$C$115)+IF('Equipment List &amp; Usage'!$F24="yes",'Equipment List &amp; Usage'!$C$114,'Equipment List &amp; Usage'!$C$115)*(('Weekly Summary'!AC$66*'Equipment List &amp; Usage'!$Q25)+('Weekly Summary'!AC$64*'Equipment List &amp; Usage'!$O25)+('Weekly Summary'!AC$65*'Equipment List &amp; Usage'!$P25)))+(IF('Equipment List &amp; Usage'!$F25="Yes",'Equipment List &amp; Usage'!$C$114*((('Weekly Summary'!AC$131*SelfQuarantine_Mild)+('Weekly Summary'!AC$100*SelfQuarantine_Mild)+('Weekly Summary'!AC$101*SelfQuarantine_Moderate))),'Equipment List &amp; Usage'!$C$115)*((('Weekly Summary'!AC$131*SelfQuarantine_Mild*'Equipment List &amp; Usage'!$W25)+('Weekly Summary'!AC$100*SelfQuarantine_Mild*'Equipment List &amp; Usage'!$X25)+('Weekly Summary'!AC$101*SelfQuarantine_Moderate*'Equipment List &amp; Usage'!$X25)))+IF('Equipment List &amp; Usage'!$F25="Yes",'Equipment List &amp; Usage'!$C$114*(IF('Equipment List &amp; Usage'!$AA25&gt;0,'Weekly Summary'!AC$128,0)+IF('Equipment List &amp; Usage'!$AB25&gt;0,'Weekly Summary'!AC$100+'Weekly Summary'!AC$101,0)),'Equipment List &amp; Usage'!$C$115*(('Weekly Summary'!AC$128*'Equipment List &amp; Usage'!$AA25)+('Weekly Summary'!AC$100*'Equipment List &amp; Usage'!$AB25*SelfQuarantine_Mild)+('Weekly Summary'!AC$101*'Equipment List &amp; Usage'!$AB25*SelfQuarantine_Moderate)))+IF('Equipment List &amp; Usage'!$F25="Yes",('Equipment List &amp; Usage'!$C$114*(IF('Equipment List &amp; Usage'!$AE25&gt;0,'Weekly Summary'!AC$134,0)+IF('Equipment List &amp; Usage'!$AF25&gt;0,'Weekly Summary'!AC$135))),'Equipment List &amp; Usage'!$C$115*(('Weekly Summary'!AC$134*'Equipment List &amp; Usage'!$AE25)+('Weekly Summary'!AC$135*'Equipment List &amp; Usage'!$AF25))))-SUM($I23:AH23),
IF($F23="yes",MMULT(--('Equipment List &amp; Usage'!$J25:$N25&gt;0),--('Weekly Summary'!AC$112:AC$116))*'Equipment List &amp; Usage'!$C$114,MMULT(--('Equipment List &amp; Usage'!$J25:$N25),--('Weekly Summary'!AC$112:AC$116))*'Equipment List &amp; Usage'!$C$115)+IF('Equipment List &amp; Usage'!$F24="yes",'Equipment List &amp; Usage'!$C$114,'Equipment List &amp; Usage'!$C$115)*(('Weekly Summary'!AC$66*'Equipment List &amp; Usage'!$Q25)+('Weekly Summary'!AC$64*'Equipment List &amp; Usage'!$O25)+('Weekly Summary'!AC$65*'Equipment List &amp; Usage'!$P25))+(IF('Equipment List &amp; Usage'!$F25="Yes",'Equipment List &amp; Usage'!$C$114*((('Weekly Summary'!AC$131*SelfQuarantine_Mild)+('Weekly Summary'!AC$100*SelfQuarantine_Mild)+('Weekly Summary'!AC$101*SelfQuarantine_Moderate))),'Equipment List &amp; Usage'!$C$115)*((('Weekly Summary'!AC$131*SelfQuarantine_Mild*'Equipment List &amp; Usage'!$W25)+('Weekly Summary'!AC$100*SelfQuarantine_Mild*'Equipment List &amp; Usage'!$X25)+('Weekly Summary'!AC$101*SelfQuarantine_Moderate*'Equipment List &amp; Usage'!$X25))))+IF('Equipment List &amp; Usage'!$F25="Yes",'Equipment List &amp; Usage'!$C$114*(IF('Equipment List &amp; Usage'!$AA25&gt;0,'Weekly Summary'!AC$128,0)+IF('Equipment List &amp; Usage'!$AB25&gt;0,'Weekly Summary'!AC$100+'Weekly Summary'!AC$101,0)),'Equipment List &amp; Usage'!$C$115*(('Weekly Summary'!AC$128*'Equipment List &amp; Usage'!$AA25)+('Weekly Summary'!AC$100*'Equipment List &amp; Usage'!$AB25*SelfQuarantine_Mild)+('Weekly Summary'!AC$101*'Equipment List &amp; Usage'!$AB25*SelfQuarantine_Moderate)))+IF('Equipment List &amp; Usage'!$F25="Yes",('Equipment List &amp; Usage'!$C$114*(IF('Equipment List &amp; Usage'!$AE25&gt;0,'Weekly Summary'!AC$134,0)+IF('Equipment List &amp; Usage'!$AF25&gt;0,'Weekly Summary'!AC$135))),'Equipment List &amp; Usage'!$C$115*(('Weekly Summary'!AC$134*'Equipment List &amp; Usage'!$AE25)+('Weekly Summary'!AC$135*'Equipment List &amp; Usage'!$AF25)))),0)</f>
        <v>0</v>
      </c>
      <c r="AJ23" s="1374">
        <f ca="1">MAX(IF($F23="Yes",(
IF($F23="yes",MMULT(--('Equipment List &amp; Usage'!$J25:$N25&gt;0),--('Weekly Summary'!AD$112:AD$116))*'Equipment List &amp; Usage'!$C$114,MMULT(--('Equipment List &amp; Usage'!$J25:$N25),--('Weekly Summary'!AD$112:AD$116))*'Equipment List &amp; Usage'!$C$115)+IF('Equipment List &amp; Usage'!$F24="yes",'Equipment List &amp; Usage'!$C$114,'Equipment List &amp; Usage'!$C$115)*(('Weekly Summary'!AD$66*'Equipment List &amp; Usage'!$Q25)+('Weekly Summary'!AD$64*'Equipment List &amp; Usage'!$O25)+('Weekly Summary'!AD$65*'Equipment List &amp; Usage'!$P25)))+(IF('Equipment List &amp; Usage'!$F25="Yes",'Equipment List &amp; Usage'!$C$114*((('Weekly Summary'!AD$131*SelfQuarantine_Mild)+('Weekly Summary'!AD$100*SelfQuarantine_Mild)+('Weekly Summary'!AD$101*SelfQuarantine_Moderate))),'Equipment List &amp; Usage'!$C$115)*((('Weekly Summary'!AD$131*SelfQuarantine_Mild*'Equipment List &amp; Usage'!$W25)+('Weekly Summary'!AD$100*SelfQuarantine_Mild*'Equipment List &amp; Usage'!$X25)+('Weekly Summary'!AD$101*SelfQuarantine_Moderate*'Equipment List &amp; Usage'!$X25)))+IF('Equipment List &amp; Usage'!$F25="Yes",'Equipment List &amp; Usage'!$C$114*(IF('Equipment List &amp; Usage'!$AA25&gt;0,'Weekly Summary'!AD$128,0)+IF('Equipment List &amp; Usage'!$AB25&gt;0,'Weekly Summary'!AD$100+'Weekly Summary'!AD$101,0)),'Equipment List &amp; Usage'!$C$115*(('Weekly Summary'!AD$128*'Equipment List &amp; Usage'!$AA25)+('Weekly Summary'!AD$100*'Equipment List &amp; Usage'!$AB25*SelfQuarantine_Mild)+('Weekly Summary'!AD$101*'Equipment List &amp; Usage'!$AB25*SelfQuarantine_Moderate)))+IF('Equipment List &amp; Usage'!$F25="Yes",('Equipment List &amp; Usage'!$C$114*(IF('Equipment List &amp; Usage'!$AE25&gt;0,'Weekly Summary'!AD$134,0)+IF('Equipment List &amp; Usage'!$AF25&gt;0,'Weekly Summary'!AD$135))),'Equipment List &amp; Usage'!$C$115*(('Weekly Summary'!AD$134*'Equipment List &amp; Usage'!$AE25)+('Weekly Summary'!AD$135*'Equipment List &amp; Usage'!$AF25))))-SUM($I23:AI23),
IF($F23="yes",MMULT(--('Equipment List &amp; Usage'!$J25:$N25&gt;0),--('Weekly Summary'!AD$112:AD$116))*'Equipment List &amp; Usage'!$C$114,MMULT(--('Equipment List &amp; Usage'!$J25:$N25),--('Weekly Summary'!AD$112:AD$116))*'Equipment List &amp; Usage'!$C$115)+IF('Equipment List &amp; Usage'!$F24="yes",'Equipment List &amp; Usage'!$C$114,'Equipment List &amp; Usage'!$C$115)*(('Weekly Summary'!AD$66*'Equipment List &amp; Usage'!$Q25)+('Weekly Summary'!AD$64*'Equipment List &amp; Usage'!$O25)+('Weekly Summary'!AD$65*'Equipment List &amp; Usage'!$P25))+(IF('Equipment List &amp; Usage'!$F25="Yes",'Equipment List &amp; Usage'!$C$114*((('Weekly Summary'!AD$131*SelfQuarantine_Mild)+('Weekly Summary'!AD$100*SelfQuarantine_Mild)+('Weekly Summary'!AD$101*SelfQuarantine_Moderate))),'Equipment List &amp; Usage'!$C$115)*((('Weekly Summary'!AD$131*SelfQuarantine_Mild*'Equipment List &amp; Usage'!$W25)+('Weekly Summary'!AD$100*SelfQuarantine_Mild*'Equipment List &amp; Usage'!$X25)+('Weekly Summary'!AD$101*SelfQuarantine_Moderate*'Equipment List &amp; Usage'!$X25))))+IF('Equipment List &amp; Usage'!$F25="Yes",'Equipment List &amp; Usage'!$C$114*(IF('Equipment List &amp; Usage'!$AA25&gt;0,'Weekly Summary'!AD$128,0)+IF('Equipment List &amp; Usage'!$AB25&gt;0,'Weekly Summary'!AD$100+'Weekly Summary'!AD$101,0)),'Equipment List &amp; Usage'!$C$115*(('Weekly Summary'!AD$128*'Equipment List &amp; Usage'!$AA25)+('Weekly Summary'!AD$100*'Equipment List &amp; Usage'!$AB25*SelfQuarantine_Mild)+('Weekly Summary'!AD$101*'Equipment List &amp; Usage'!$AB25*SelfQuarantine_Moderate)))+IF('Equipment List &amp; Usage'!$F25="Yes",('Equipment List &amp; Usage'!$C$114*(IF('Equipment List &amp; Usage'!$AE25&gt;0,'Weekly Summary'!AD$134,0)+IF('Equipment List &amp; Usage'!$AF25&gt;0,'Weekly Summary'!AD$135))),'Equipment List &amp; Usage'!$C$115*(('Weekly Summary'!AD$134*'Equipment List &amp; Usage'!$AE25)+('Weekly Summary'!AD$135*'Equipment List &amp; Usage'!$AF25)))),0)</f>
        <v>0</v>
      </c>
      <c r="AK23" s="1374">
        <f ca="1">MAX(IF($F23="Yes",(
IF($F23="yes",MMULT(--('Equipment List &amp; Usage'!$J25:$N25&gt;0),--('Weekly Summary'!AE$112:AE$116))*'Equipment List &amp; Usage'!$C$114,MMULT(--('Equipment List &amp; Usage'!$J25:$N25),--('Weekly Summary'!AE$112:AE$116))*'Equipment List &amp; Usage'!$C$115)+IF('Equipment List &amp; Usage'!$F24="yes",'Equipment List &amp; Usage'!$C$114,'Equipment List &amp; Usage'!$C$115)*(('Weekly Summary'!AE$66*'Equipment List &amp; Usage'!$Q25)+('Weekly Summary'!AE$64*'Equipment List &amp; Usage'!$O25)+('Weekly Summary'!AE$65*'Equipment List &amp; Usage'!$P25)))+(IF('Equipment List &amp; Usage'!$F25="Yes",'Equipment List &amp; Usage'!$C$114*((('Weekly Summary'!AE$131*SelfQuarantine_Mild)+('Weekly Summary'!AE$100*SelfQuarantine_Mild)+('Weekly Summary'!AE$101*SelfQuarantine_Moderate))),'Equipment List &amp; Usage'!$C$115)*((('Weekly Summary'!AE$131*SelfQuarantine_Mild*'Equipment List &amp; Usage'!$W25)+('Weekly Summary'!AE$100*SelfQuarantine_Mild*'Equipment List &amp; Usage'!$X25)+('Weekly Summary'!AE$101*SelfQuarantine_Moderate*'Equipment List &amp; Usage'!$X25)))+IF('Equipment List &amp; Usage'!$F25="Yes",'Equipment List &amp; Usage'!$C$114*(IF('Equipment List &amp; Usage'!$AA25&gt;0,'Weekly Summary'!AE$128,0)+IF('Equipment List &amp; Usage'!$AB25&gt;0,'Weekly Summary'!AE$100+'Weekly Summary'!AE$101,0)),'Equipment List &amp; Usage'!$C$115*(('Weekly Summary'!AE$128*'Equipment List &amp; Usage'!$AA25)+('Weekly Summary'!AE$100*'Equipment List &amp; Usage'!$AB25*SelfQuarantine_Mild)+('Weekly Summary'!AE$101*'Equipment List &amp; Usage'!$AB25*SelfQuarantine_Moderate)))+IF('Equipment List &amp; Usage'!$F25="Yes",('Equipment List &amp; Usage'!$C$114*(IF('Equipment List &amp; Usage'!$AE25&gt;0,'Weekly Summary'!AE$134,0)+IF('Equipment List &amp; Usage'!$AF25&gt;0,'Weekly Summary'!AE$135))),'Equipment List &amp; Usage'!$C$115*(('Weekly Summary'!AE$134*'Equipment List &amp; Usage'!$AE25)+('Weekly Summary'!AE$135*'Equipment List &amp; Usage'!$AF25))))-SUM($I23:AJ23),
IF($F23="yes",MMULT(--('Equipment List &amp; Usage'!$J25:$N25&gt;0),--('Weekly Summary'!AE$112:AE$116))*'Equipment List &amp; Usage'!$C$114,MMULT(--('Equipment List &amp; Usage'!$J25:$N25),--('Weekly Summary'!AE$112:AE$116))*'Equipment List &amp; Usage'!$C$115)+IF('Equipment List &amp; Usage'!$F24="yes",'Equipment List &amp; Usage'!$C$114,'Equipment List &amp; Usage'!$C$115)*(('Weekly Summary'!AE$66*'Equipment List &amp; Usage'!$Q25)+('Weekly Summary'!AE$64*'Equipment List &amp; Usage'!$O25)+('Weekly Summary'!AE$65*'Equipment List &amp; Usage'!$P25))+(IF('Equipment List &amp; Usage'!$F25="Yes",'Equipment List &amp; Usage'!$C$114*((('Weekly Summary'!AE$131*SelfQuarantine_Mild)+('Weekly Summary'!AE$100*SelfQuarantine_Mild)+('Weekly Summary'!AE$101*SelfQuarantine_Moderate))),'Equipment List &amp; Usage'!$C$115)*((('Weekly Summary'!AE$131*SelfQuarantine_Mild*'Equipment List &amp; Usage'!$W25)+('Weekly Summary'!AE$100*SelfQuarantine_Mild*'Equipment List &amp; Usage'!$X25)+('Weekly Summary'!AE$101*SelfQuarantine_Moderate*'Equipment List &amp; Usage'!$X25))))+IF('Equipment List &amp; Usage'!$F25="Yes",'Equipment List &amp; Usage'!$C$114*(IF('Equipment List &amp; Usage'!$AA25&gt;0,'Weekly Summary'!AE$128,0)+IF('Equipment List &amp; Usage'!$AB25&gt;0,'Weekly Summary'!AE$100+'Weekly Summary'!AE$101,0)),'Equipment List &amp; Usage'!$C$115*(('Weekly Summary'!AE$128*'Equipment List &amp; Usage'!$AA25)+('Weekly Summary'!AE$100*'Equipment List &amp; Usage'!$AB25*SelfQuarantine_Mild)+('Weekly Summary'!AE$101*'Equipment List &amp; Usage'!$AB25*SelfQuarantine_Moderate)))+IF('Equipment List &amp; Usage'!$F25="Yes",('Equipment List &amp; Usage'!$C$114*(IF('Equipment List &amp; Usage'!$AE25&gt;0,'Weekly Summary'!AE$134,0)+IF('Equipment List &amp; Usage'!$AF25&gt;0,'Weekly Summary'!AE$135))),'Equipment List &amp; Usage'!$C$115*(('Weekly Summary'!AE$134*'Equipment List &amp; Usage'!$AE25)+('Weekly Summary'!AE$135*'Equipment List &amp; Usage'!$AF25)))),0)</f>
        <v>0</v>
      </c>
      <c r="AL23" s="1374">
        <f ca="1">MAX(IF($F23="Yes",(
IF($F23="yes",MMULT(--('Equipment List &amp; Usage'!$J25:$N25&gt;0),--('Weekly Summary'!AF$112:AF$116))*'Equipment List &amp; Usage'!$C$114,MMULT(--('Equipment List &amp; Usage'!$J25:$N25),--('Weekly Summary'!AF$112:AF$116))*'Equipment List &amp; Usage'!$C$115)+IF('Equipment List &amp; Usage'!$F24="yes",'Equipment List &amp; Usage'!$C$114,'Equipment List &amp; Usage'!$C$115)*(('Weekly Summary'!AF$66*'Equipment List &amp; Usage'!$Q25)+('Weekly Summary'!AF$64*'Equipment List &amp; Usage'!$O25)+('Weekly Summary'!AF$65*'Equipment List &amp; Usage'!$P25)))+(IF('Equipment List &amp; Usage'!$F25="Yes",'Equipment List &amp; Usage'!$C$114*((('Weekly Summary'!AF$131*SelfQuarantine_Mild)+('Weekly Summary'!AF$100*SelfQuarantine_Mild)+('Weekly Summary'!AF$101*SelfQuarantine_Moderate))),'Equipment List &amp; Usage'!$C$115)*((('Weekly Summary'!AF$131*SelfQuarantine_Mild*'Equipment List &amp; Usage'!$W25)+('Weekly Summary'!AF$100*SelfQuarantine_Mild*'Equipment List &amp; Usage'!$X25)+('Weekly Summary'!AF$101*SelfQuarantine_Moderate*'Equipment List &amp; Usage'!$X25)))+IF('Equipment List &amp; Usage'!$F25="Yes",'Equipment List &amp; Usage'!$C$114*(IF('Equipment List &amp; Usage'!$AA25&gt;0,'Weekly Summary'!AF$128,0)+IF('Equipment List &amp; Usage'!$AB25&gt;0,'Weekly Summary'!AF$100+'Weekly Summary'!AF$101,0)),'Equipment List &amp; Usage'!$C$115*(('Weekly Summary'!AF$128*'Equipment List &amp; Usage'!$AA25)+('Weekly Summary'!AF$100*'Equipment List &amp; Usage'!$AB25*SelfQuarantine_Mild)+('Weekly Summary'!AF$101*'Equipment List &amp; Usage'!$AB25*SelfQuarantine_Moderate)))+IF('Equipment List &amp; Usage'!$F25="Yes",('Equipment List &amp; Usage'!$C$114*(IF('Equipment List &amp; Usage'!$AE25&gt;0,'Weekly Summary'!AF$134,0)+IF('Equipment List &amp; Usage'!$AF25&gt;0,'Weekly Summary'!AF$135))),'Equipment List &amp; Usage'!$C$115*(('Weekly Summary'!AF$134*'Equipment List &amp; Usage'!$AE25)+('Weekly Summary'!AF$135*'Equipment List &amp; Usage'!$AF25))))-SUM($I23:AK23),
IF($F23="yes",MMULT(--('Equipment List &amp; Usage'!$J25:$N25&gt;0),--('Weekly Summary'!AF$112:AF$116))*'Equipment List &amp; Usage'!$C$114,MMULT(--('Equipment List &amp; Usage'!$J25:$N25),--('Weekly Summary'!AF$112:AF$116))*'Equipment List &amp; Usage'!$C$115)+IF('Equipment List &amp; Usage'!$F24="yes",'Equipment List &amp; Usage'!$C$114,'Equipment List &amp; Usage'!$C$115)*(('Weekly Summary'!AF$66*'Equipment List &amp; Usage'!$Q25)+('Weekly Summary'!AF$64*'Equipment List &amp; Usage'!$O25)+('Weekly Summary'!AF$65*'Equipment List &amp; Usage'!$P25))+(IF('Equipment List &amp; Usage'!$F25="Yes",'Equipment List &amp; Usage'!$C$114*((('Weekly Summary'!AF$131*SelfQuarantine_Mild)+('Weekly Summary'!AF$100*SelfQuarantine_Mild)+('Weekly Summary'!AF$101*SelfQuarantine_Moderate))),'Equipment List &amp; Usage'!$C$115)*((('Weekly Summary'!AF$131*SelfQuarantine_Mild*'Equipment List &amp; Usage'!$W25)+('Weekly Summary'!AF$100*SelfQuarantine_Mild*'Equipment List &amp; Usage'!$X25)+('Weekly Summary'!AF$101*SelfQuarantine_Moderate*'Equipment List &amp; Usage'!$X25))))+IF('Equipment List &amp; Usage'!$F25="Yes",'Equipment List &amp; Usage'!$C$114*(IF('Equipment List &amp; Usage'!$AA25&gt;0,'Weekly Summary'!AF$128,0)+IF('Equipment List &amp; Usage'!$AB25&gt;0,'Weekly Summary'!AF$100+'Weekly Summary'!AF$101,0)),'Equipment List &amp; Usage'!$C$115*(('Weekly Summary'!AF$128*'Equipment List &amp; Usage'!$AA25)+('Weekly Summary'!AF$100*'Equipment List &amp; Usage'!$AB25*SelfQuarantine_Mild)+('Weekly Summary'!AF$101*'Equipment List &amp; Usage'!$AB25*SelfQuarantine_Moderate)))+IF('Equipment List &amp; Usage'!$F25="Yes",('Equipment List &amp; Usage'!$C$114*(IF('Equipment List &amp; Usage'!$AE25&gt;0,'Weekly Summary'!AF$134,0)+IF('Equipment List &amp; Usage'!$AF25&gt;0,'Weekly Summary'!AF$135))),'Equipment List &amp; Usage'!$C$115*(('Weekly Summary'!AF$134*'Equipment List &amp; Usage'!$AE25)+('Weekly Summary'!AF$135*'Equipment List &amp; Usage'!$AF25)))),0)</f>
        <v>0</v>
      </c>
      <c r="AM23" s="1374">
        <f ca="1">MAX(IF($F23="Yes",(
IF($F23="yes",MMULT(--('Equipment List &amp; Usage'!$J25:$N25&gt;0),--('Weekly Summary'!AG$112:AG$116))*'Equipment List &amp; Usage'!$C$114,MMULT(--('Equipment List &amp; Usage'!$J25:$N25),--('Weekly Summary'!AG$112:AG$116))*'Equipment List &amp; Usage'!$C$115)+IF('Equipment List &amp; Usage'!$F24="yes",'Equipment List &amp; Usage'!$C$114,'Equipment List &amp; Usage'!$C$115)*(('Weekly Summary'!AG$66*'Equipment List &amp; Usage'!$Q25)+('Weekly Summary'!AG$64*'Equipment List &amp; Usage'!$O25)+('Weekly Summary'!AG$65*'Equipment List &amp; Usage'!$P25)))+(IF('Equipment List &amp; Usage'!$F25="Yes",'Equipment List &amp; Usage'!$C$114*((('Weekly Summary'!AG$131*SelfQuarantine_Mild)+('Weekly Summary'!AG$100*SelfQuarantine_Mild)+('Weekly Summary'!AG$101*SelfQuarantine_Moderate))),'Equipment List &amp; Usage'!$C$115)*((('Weekly Summary'!AG$131*SelfQuarantine_Mild*'Equipment List &amp; Usage'!$W25)+('Weekly Summary'!AG$100*SelfQuarantine_Mild*'Equipment List &amp; Usage'!$X25)+('Weekly Summary'!AG$101*SelfQuarantine_Moderate*'Equipment List &amp; Usage'!$X25)))+IF('Equipment List &amp; Usage'!$F25="Yes",'Equipment List &amp; Usage'!$C$114*(IF('Equipment List &amp; Usage'!$AA25&gt;0,'Weekly Summary'!AG$128,0)+IF('Equipment List &amp; Usage'!$AB25&gt;0,'Weekly Summary'!AG$100+'Weekly Summary'!AG$101,0)),'Equipment List &amp; Usage'!$C$115*(('Weekly Summary'!AG$128*'Equipment List &amp; Usage'!$AA25)+('Weekly Summary'!AG$100*'Equipment List &amp; Usage'!$AB25*SelfQuarantine_Mild)+('Weekly Summary'!AG$101*'Equipment List &amp; Usage'!$AB25*SelfQuarantine_Moderate)))+IF('Equipment List &amp; Usage'!$F25="Yes",('Equipment List &amp; Usage'!$C$114*(IF('Equipment List &amp; Usage'!$AE25&gt;0,'Weekly Summary'!AG$134,0)+IF('Equipment List &amp; Usage'!$AF25&gt;0,'Weekly Summary'!AG$135))),'Equipment List &amp; Usage'!$C$115*(('Weekly Summary'!AG$134*'Equipment List &amp; Usage'!$AE25)+('Weekly Summary'!AG$135*'Equipment List &amp; Usage'!$AF25))))-SUM($I23:AL23),
IF($F23="yes",MMULT(--('Equipment List &amp; Usage'!$J25:$N25&gt;0),--('Weekly Summary'!AG$112:AG$116))*'Equipment List &amp; Usage'!$C$114,MMULT(--('Equipment List &amp; Usage'!$J25:$N25),--('Weekly Summary'!AG$112:AG$116))*'Equipment List &amp; Usage'!$C$115)+IF('Equipment List &amp; Usage'!$F24="yes",'Equipment List &amp; Usage'!$C$114,'Equipment List &amp; Usage'!$C$115)*(('Weekly Summary'!AG$66*'Equipment List &amp; Usage'!$Q25)+('Weekly Summary'!AG$64*'Equipment List &amp; Usage'!$O25)+('Weekly Summary'!AG$65*'Equipment List &amp; Usage'!$P25))+(IF('Equipment List &amp; Usage'!$F25="Yes",'Equipment List &amp; Usage'!$C$114*((('Weekly Summary'!AG$131*SelfQuarantine_Mild)+('Weekly Summary'!AG$100*SelfQuarantine_Mild)+('Weekly Summary'!AG$101*SelfQuarantine_Moderate))),'Equipment List &amp; Usage'!$C$115)*((('Weekly Summary'!AG$131*SelfQuarantine_Mild*'Equipment List &amp; Usage'!$W25)+('Weekly Summary'!AG$100*SelfQuarantine_Mild*'Equipment List &amp; Usage'!$X25)+('Weekly Summary'!AG$101*SelfQuarantine_Moderate*'Equipment List &amp; Usage'!$X25))))+IF('Equipment List &amp; Usage'!$F25="Yes",'Equipment List &amp; Usage'!$C$114*(IF('Equipment List &amp; Usage'!$AA25&gt;0,'Weekly Summary'!AG$128,0)+IF('Equipment List &amp; Usage'!$AB25&gt;0,'Weekly Summary'!AG$100+'Weekly Summary'!AG$101,0)),'Equipment List &amp; Usage'!$C$115*(('Weekly Summary'!AG$128*'Equipment List &amp; Usage'!$AA25)+('Weekly Summary'!AG$100*'Equipment List &amp; Usage'!$AB25*SelfQuarantine_Mild)+('Weekly Summary'!AG$101*'Equipment List &amp; Usage'!$AB25*SelfQuarantine_Moderate)))+IF('Equipment List &amp; Usage'!$F25="Yes",('Equipment List &amp; Usage'!$C$114*(IF('Equipment List &amp; Usage'!$AE25&gt;0,'Weekly Summary'!AG$134,0)+IF('Equipment List &amp; Usage'!$AF25&gt;0,'Weekly Summary'!AG$135))),'Equipment List &amp; Usage'!$C$115*(('Weekly Summary'!AG$134*'Equipment List &amp; Usage'!$AE25)+('Weekly Summary'!AG$135*'Equipment List &amp; Usage'!$AF25)))),0)</f>
        <v>0</v>
      </c>
      <c r="AN23" s="1374">
        <f ca="1">MAX(IF($F23="Yes",(
IF($F23="yes",MMULT(--('Equipment List &amp; Usage'!$J25:$N25&gt;0),--('Weekly Summary'!AH$112:AH$116))*'Equipment List &amp; Usage'!$C$114,MMULT(--('Equipment List &amp; Usage'!$J25:$N25),--('Weekly Summary'!AH$112:AH$116))*'Equipment List &amp; Usage'!$C$115)+IF('Equipment List &amp; Usage'!$F24="yes",'Equipment List &amp; Usage'!$C$114,'Equipment List &amp; Usage'!$C$115)*(('Weekly Summary'!AH$66*'Equipment List &amp; Usage'!$Q25)+('Weekly Summary'!AH$64*'Equipment List &amp; Usage'!$O25)+('Weekly Summary'!AH$65*'Equipment List &amp; Usage'!$P25)))+(IF('Equipment List &amp; Usage'!$F25="Yes",'Equipment List &amp; Usage'!$C$114*((('Weekly Summary'!AH$131*SelfQuarantine_Mild)+('Weekly Summary'!AH$100*SelfQuarantine_Mild)+('Weekly Summary'!AH$101*SelfQuarantine_Moderate))),'Equipment List &amp; Usage'!$C$115)*((('Weekly Summary'!AH$131*SelfQuarantine_Mild*'Equipment List &amp; Usage'!$W25)+('Weekly Summary'!AH$100*SelfQuarantine_Mild*'Equipment List &amp; Usage'!$X25)+('Weekly Summary'!AH$101*SelfQuarantine_Moderate*'Equipment List &amp; Usage'!$X25)))+IF('Equipment List &amp; Usage'!$F25="Yes",'Equipment List &amp; Usage'!$C$114*(IF('Equipment List &amp; Usage'!$AA25&gt;0,'Weekly Summary'!AH$128,0)+IF('Equipment List &amp; Usage'!$AB25&gt;0,'Weekly Summary'!AH$100+'Weekly Summary'!AH$101,0)),'Equipment List &amp; Usage'!$C$115*(('Weekly Summary'!AH$128*'Equipment List &amp; Usage'!$AA25)+('Weekly Summary'!AH$100*'Equipment List &amp; Usage'!$AB25*SelfQuarantine_Mild)+('Weekly Summary'!AH$101*'Equipment List &amp; Usage'!$AB25*SelfQuarantine_Moderate)))+IF('Equipment List &amp; Usage'!$F25="Yes",('Equipment List &amp; Usage'!$C$114*(IF('Equipment List &amp; Usage'!$AE25&gt;0,'Weekly Summary'!AH$134,0)+IF('Equipment List &amp; Usage'!$AF25&gt;0,'Weekly Summary'!AH$135))),'Equipment List &amp; Usage'!$C$115*(('Weekly Summary'!AH$134*'Equipment List &amp; Usage'!$AE25)+('Weekly Summary'!AH$135*'Equipment List &amp; Usage'!$AF25))))-SUM($I23:AM23),
IF($F23="yes",MMULT(--('Equipment List &amp; Usage'!$J25:$N25&gt;0),--('Weekly Summary'!AH$112:AH$116))*'Equipment List &amp; Usage'!$C$114,MMULT(--('Equipment List &amp; Usage'!$J25:$N25),--('Weekly Summary'!AH$112:AH$116))*'Equipment List &amp; Usage'!$C$115)+IF('Equipment List &amp; Usage'!$F24="yes",'Equipment List &amp; Usage'!$C$114,'Equipment List &amp; Usage'!$C$115)*(('Weekly Summary'!AH$66*'Equipment List &amp; Usage'!$Q25)+('Weekly Summary'!AH$64*'Equipment List &amp; Usage'!$O25)+('Weekly Summary'!AH$65*'Equipment List &amp; Usage'!$P25))+(IF('Equipment List &amp; Usage'!$F25="Yes",'Equipment List &amp; Usage'!$C$114*((('Weekly Summary'!AH$131*SelfQuarantine_Mild)+('Weekly Summary'!AH$100*SelfQuarantine_Mild)+('Weekly Summary'!AH$101*SelfQuarantine_Moderate))),'Equipment List &amp; Usage'!$C$115)*((('Weekly Summary'!AH$131*SelfQuarantine_Mild*'Equipment List &amp; Usage'!$W25)+('Weekly Summary'!AH$100*SelfQuarantine_Mild*'Equipment List &amp; Usage'!$X25)+('Weekly Summary'!AH$101*SelfQuarantine_Moderate*'Equipment List &amp; Usage'!$X25))))+IF('Equipment List &amp; Usage'!$F25="Yes",'Equipment List &amp; Usage'!$C$114*(IF('Equipment List &amp; Usage'!$AA25&gt;0,'Weekly Summary'!AH$128,0)+IF('Equipment List &amp; Usage'!$AB25&gt;0,'Weekly Summary'!AH$100+'Weekly Summary'!AH$101,0)),'Equipment List &amp; Usage'!$C$115*(('Weekly Summary'!AH$128*'Equipment List &amp; Usage'!$AA25)+('Weekly Summary'!AH$100*'Equipment List &amp; Usage'!$AB25*SelfQuarantine_Mild)+('Weekly Summary'!AH$101*'Equipment List &amp; Usage'!$AB25*SelfQuarantine_Moderate)))+IF('Equipment List &amp; Usage'!$F25="Yes",('Equipment List &amp; Usage'!$C$114*(IF('Equipment List &amp; Usage'!$AE25&gt;0,'Weekly Summary'!AH$134,0)+IF('Equipment List &amp; Usage'!$AF25&gt;0,'Weekly Summary'!AH$135))),'Equipment List &amp; Usage'!$C$115*(('Weekly Summary'!AH$134*'Equipment List &amp; Usage'!$AE25)+('Weekly Summary'!AH$135*'Equipment List &amp; Usage'!$AF25)))),0)</f>
        <v>0</v>
      </c>
      <c r="AO23" s="1374">
        <f ca="1">MAX(IF($F23="Yes",(
IF($F23="yes",MMULT(--('Equipment List &amp; Usage'!$J25:$N25&gt;0),--('Weekly Summary'!AI$112:AI$116))*'Equipment List &amp; Usage'!$C$114,MMULT(--('Equipment List &amp; Usage'!$J25:$N25),--('Weekly Summary'!AI$112:AI$116))*'Equipment List &amp; Usage'!$C$115)+IF('Equipment List &amp; Usage'!$F24="yes",'Equipment List &amp; Usage'!$C$114,'Equipment List &amp; Usage'!$C$115)*(('Weekly Summary'!AI$66*'Equipment List &amp; Usage'!$Q25)+('Weekly Summary'!AI$64*'Equipment List &amp; Usage'!$O25)+('Weekly Summary'!AI$65*'Equipment List &amp; Usage'!$P25)))+(IF('Equipment List &amp; Usage'!$F25="Yes",'Equipment List &amp; Usage'!$C$114*((('Weekly Summary'!AI$131*SelfQuarantine_Mild)+('Weekly Summary'!AI$100*SelfQuarantine_Mild)+('Weekly Summary'!AI$101*SelfQuarantine_Moderate))),'Equipment List &amp; Usage'!$C$115)*((('Weekly Summary'!AI$131*SelfQuarantine_Mild*'Equipment List &amp; Usage'!$W25)+('Weekly Summary'!AI$100*SelfQuarantine_Mild*'Equipment List &amp; Usage'!$X25)+('Weekly Summary'!AI$101*SelfQuarantine_Moderate*'Equipment List &amp; Usage'!$X25)))+IF('Equipment List &amp; Usage'!$F25="Yes",'Equipment List &amp; Usage'!$C$114*(IF('Equipment List &amp; Usage'!$AA25&gt;0,'Weekly Summary'!AI$128,0)+IF('Equipment List &amp; Usage'!$AB25&gt;0,'Weekly Summary'!AI$100+'Weekly Summary'!AI$101,0)),'Equipment List &amp; Usage'!$C$115*(('Weekly Summary'!AI$128*'Equipment List &amp; Usage'!$AA25)+('Weekly Summary'!AI$100*'Equipment List &amp; Usage'!$AB25*SelfQuarantine_Mild)+('Weekly Summary'!AI$101*'Equipment List &amp; Usage'!$AB25*SelfQuarantine_Moderate)))+IF('Equipment List &amp; Usage'!$F25="Yes",('Equipment List &amp; Usage'!$C$114*(IF('Equipment List &amp; Usage'!$AE25&gt;0,'Weekly Summary'!AI$134,0)+IF('Equipment List &amp; Usage'!$AF25&gt;0,'Weekly Summary'!AI$135))),'Equipment List &amp; Usage'!$C$115*(('Weekly Summary'!AI$134*'Equipment List &amp; Usage'!$AE25)+('Weekly Summary'!AI$135*'Equipment List &amp; Usage'!$AF25))))-SUM($I23:AN23),
IF($F23="yes",MMULT(--('Equipment List &amp; Usage'!$J25:$N25&gt;0),--('Weekly Summary'!AI$112:AI$116))*'Equipment List &amp; Usage'!$C$114,MMULT(--('Equipment List &amp; Usage'!$J25:$N25),--('Weekly Summary'!AI$112:AI$116))*'Equipment List &amp; Usage'!$C$115)+IF('Equipment List &amp; Usage'!$F24="yes",'Equipment List &amp; Usage'!$C$114,'Equipment List &amp; Usage'!$C$115)*(('Weekly Summary'!AI$66*'Equipment List &amp; Usage'!$Q25)+('Weekly Summary'!AI$64*'Equipment List &amp; Usage'!$O25)+('Weekly Summary'!AI$65*'Equipment List &amp; Usage'!$P25))+(IF('Equipment List &amp; Usage'!$F25="Yes",'Equipment List &amp; Usage'!$C$114*((('Weekly Summary'!AI$131*SelfQuarantine_Mild)+('Weekly Summary'!AI$100*SelfQuarantine_Mild)+('Weekly Summary'!AI$101*SelfQuarantine_Moderate))),'Equipment List &amp; Usage'!$C$115)*((('Weekly Summary'!AI$131*SelfQuarantine_Mild*'Equipment List &amp; Usage'!$W25)+('Weekly Summary'!AI$100*SelfQuarantine_Mild*'Equipment List &amp; Usage'!$X25)+('Weekly Summary'!AI$101*SelfQuarantine_Moderate*'Equipment List &amp; Usage'!$X25))))+IF('Equipment List &amp; Usage'!$F25="Yes",'Equipment List &amp; Usage'!$C$114*(IF('Equipment List &amp; Usage'!$AA25&gt;0,'Weekly Summary'!AI$128,0)+IF('Equipment List &amp; Usage'!$AB25&gt;0,'Weekly Summary'!AI$100+'Weekly Summary'!AI$101,0)),'Equipment List &amp; Usage'!$C$115*(('Weekly Summary'!AI$128*'Equipment List &amp; Usage'!$AA25)+('Weekly Summary'!AI$100*'Equipment List &amp; Usage'!$AB25*SelfQuarantine_Mild)+('Weekly Summary'!AI$101*'Equipment List &amp; Usage'!$AB25*SelfQuarantine_Moderate)))+IF('Equipment List &amp; Usage'!$F25="Yes",('Equipment List &amp; Usage'!$C$114*(IF('Equipment List &amp; Usage'!$AE25&gt;0,'Weekly Summary'!AI$134,0)+IF('Equipment List &amp; Usage'!$AF25&gt;0,'Weekly Summary'!AI$135))),'Equipment List &amp; Usage'!$C$115*(('Weekly Summary'!AI$134*'Equipment List &amp; Usage'!$AE25)+('Weekly Summary'!AI$135*'Equipment List &amp; Usage'!$AF25)))),0)</f>
        <v>0</v>
      </c>
      <c r="AP23" s="1374">
        <f ca="1">MAX(IF($F23="Yes",(
IF($F23="yes",MMULT(--('Equipment List &amp; Usage'!$J25:$N25&gt;0),--('Weekly Summary'!AJ$112:AJ$116))*'Equipment List &amp; Usage'!$C$114,MMULT(--('Equipment List &amp; Usage'!$J25:$N25),--('Weekly Summary'!AJ$112:AJ$116))*'Equipment List &amp; Usage'!$C$115)+IF('Equipment List &amp; Usage'!$F24="yes",'Equipment List &amp; Usage'!$C$114,'Equipment List &amp; Usage'!$C$115)*(('Weekly Summary'!AJ$66*'Equipment List &amp; Usage'!$Q25)+('Weekly Summary'!AJ$64*'Equipment List &amp; Usage'!$O25)+('Weekly Summary'!AJ$65*'Equipment List &amp; Usage'!$P25)))+(IF('Equipment List &amp; Usage'!$F25="Yes",'Equipment List &amp; Usage'!$C$114*((('Weekly Summary'!AJ$131*SelfQuarantine_Mild)+('Weekly Summary'!AJ$100*SelfQuarantine_Mild)+('Weekly Summary'!AJ$101*SelfQuarantine_Moderate))),'Equipment List &amp; Usage'!$C$115)*((('Weekly Summary'!AJ$131*SelfQuarantine_Mild*'Equipment List &amp; Usage'!$W25)+('Weekly Summary'!AJ$100*SelfQuarantine_Mild*'Equipment List &amp; Usage'!$X25)+('Weekly Summary'!AJ$101*SelfQuarantine_Moderate*'Equipment List &amp; Usage'!$X25)))+IF('Equipment List &amp; Usage'!$F25="Yes",'Equipment List &amp; Usage'!$C$114*(IF('Equipment List &amp; Usage'!$AA25&gt;0,'Weekly Summary'!AJ$128,0)+IF('Equipment List &amp; Usage'!$AB25&gt;0,'Weekly Summary'!AJ$100+'Weekly Summary'!AJ$101,0)),'Equipment List &amp; Usage'!$C$115*(('Weekly Summary'!AJ$128*'Equipment List &amp; Usage'!$AA25)+('Weekly Summary'!AJ$100*'Equipment List &amp; Usage'!$AB25*SelfQuarantine_Mild)+('Weekly Summary'!AJ$101*'Equipment List &amp; Usage'!$AB25*SelfQuarantine_Moderate)))+IF('Equipment List &amp; Usage'!$F25="Yes",('Equipment List &amp; Usage'!$C$114*(IF('Equipment List &amp; Usage'!$AE25&gt;0,'Weekly Summary'!AJ$134,0)+IF('Equipment List &amp; Usage'!$AF25&gt;0,'Weekly Summary'!AJ$135))),'Equipment List &amp; Usage'!$C$115*(('Weekly Summary'!AJ$134*'Equipment List &amp; Usage'!$AE25)+('Weekly Summary'!AJ$135*'Equipment List &amp; Usage'!$AF25))))-SUM($I23:AO23),
IF($F23="yes",MMULT(--('Equipment List &amp; Usage'!$J25:$N25&gt;0),--('Weekly Summary'!AJ$112:AJ$116))*'Equipment List &amp; Usage'!$C$114,MMULT(--('Equipment List &amp; Usage'!$J25:$N25),--('Weekly Summary'!AJ$112:AJ$116))*'Equipment List &amp; Usage'!$C$115)+IF('Equipment List &amp; Usage'!$F24="yes",'Equipment List &amp; Usage'!$C$114,'Equipment List &amp; Usage'!$C$115)*(('Weekly Summary'!AJ$66*'Equipment List &amp; Usage'!$Q25)+('Weekly Summary'!AJ$64*'Equipment List &amp; Usage'!$O25)+('Weekly Summary'!AJ$65*'Equipment List &amp; Usage'!$P25))+(IF('Equipment List &amp; Usage'!$F25="Yes",'Equipment List &amp; Usage'!$C$114*((('Weekly Summary'!AJ$131*SelfQuarantine_Mild)+('Weekly Summary'!AJ$100*SelfQuarantine_Mild)+('Weekly Summary'!AJ$101*SelfQuarantine_Moderate))),'Equipment List &amp; Usage'!$C$115)*((('Weekly Summary'!AJ$131*SelfQuarantine_Mild*'Equipment List &amp; Usage'!$W25)+('Weekly Summary'!AJ$100*SelfQuarantine_Mild*'Equipment List &amp; Usage'!$X25)+('Weekly Summary'!AJ$101*SelfQuarantine_Moderate*'Equipment List &amp; Usage'!$X25))))+IF('Equipment List &amp; Usage'!$F25="Yes",'Equipment List &amp; Usage'!$C$114*(IF('Equipment List &amp; Usage'!$AA25&gt;0,'Weekly Summary'!AJ$128,0)+IF('Equipment List &amp; Usage'!$AB25&gt;0,'Weekly Summary'!AJ$100+'Weekly Summary'!AJ$101,0)),'Equipment List &amp; Usage'!$C$115*(('Weekly Summary'!AJ$128*'Equipment List &amp; Usage'!$AA25)+('Weekly Summary'!AJ$100*'Equipment List &amp; Usage'!$AB25*SelfQuarantine_Mild)+('Weekly Summary'!AJ$101*'Equipment List &amp; Usage'!$AB25*SelfQuarantine_Moderate)))+IF('Equipment List &amp; Usage'!$F25="Yes",('Equipment List &amp; Usage'!$C$114*(IF('Equipment List &amp; Usage'!$AE25&gt;0,'Weekly Summary'!AJ$134,0)+IF('Equipment List &amp; Usage'!$AF25&gt;0,'Weekly Summary'!AJ$135))),'Equipment List &amp; Usage'!$C$115*(('Weekly Summary'!AJ$134*'Equipment List &amp; Usage'!$AE25)+('Weekly Summary'!AJ$135*'Equipment List &amp; Usage'!$AF25)))),0)</f>
        <v>0</v>
      </c>
      <c r="AQ23" s="1374">
        <f ca="1">MAX(IF($F23="Yes",(
IF($F23="yes",MMULT(--('Equipment List &amp; Usage'!$J25:$N25&gt;0),--('Weekly Summary'!AK$112:AK$116))*'Equipment List &amp; Usage'!$C$114,MMULT(--('Equipment List &amp; Usage'!$J25:$N25),--('Weekly Summary'!AK$112:AK$116))*'Equipment List &amp; Usage'!$C$115)+IF('Equipment List &amp; Usage'!$F24="yes",'Equipment List &amp; Usage'!$C$114,'Equipment List &amp; Usage'!$C$115)*(('Weekly Summary'!AK$66*'Equipment List &amp; Usage'!$Q25)+('Weekly Summary'!AK$64*'Equipment List &amp; Usage'!$O25)+('Weekly Summary'!AK$65*'Equipment List &amp; Usage'!$P25)))+(IF('Equipment List &amp; Usage'!$F25="Yes",'Equipment List &amp; Usage'!$C$114*((('Weekly Summary'!AK$131*SelfQuarantine_Mild)+('Weekly Summary'!AK$100*SelfQuarantine_Mild)+('Weekly Summary'!AK$101*SelfQuarantine_Moderate))),'Equipment List &amp; Usage'!$C$115)*((('Weekly Summary'!AK$131*SelfQuarantine_Mild*'Equipment List &amp; Usage'!$W25)+('Weekly Summary'!AK$100*SelfQuarantine_Mild*'Equipment List &amp; Usage'!$X25)+('Weekly Summary'!AK$101*SelfQuarantine_Moderate*'Equipment List &amp; Usage'!$X25)))+IF('Equipment List &amp; Usage'!$F25="Yes",'Equipment List &amp; Usage'!$C$114*(IF('Equipment List &amp; Usage'!$AA25&gt;0,'Weekly Summary'!AK$128,0)+IF('Equipment List &amp; Usage'!$AB25&gt;0,'Weekly Summary'!AK$100+'Weekly Summary'!AK$101,0)),'Equipment List &amp; Usage'!$C$115*(('Weekly Summary'!AK$128*'Equipment List &amp; Usage'!$AA25)+('Weekly Summary'!AK$100*'Equipment List &amp; Usage'!$AB25*SelfQuarantine_Mild)+('Weekly Summary'!AK$101*'Equipment List &amp; Usage'!$AB25*SelfQuarantine_Moderate)))+IF('Equipment List &amp; Usage'!$F25="Yes",('Equipment List &amp; Usage'!$C$114*(IF('Equipment List &amp; Usage'!$AE25&gt;0,'Weekly Summary'!AK$134,0)+IF('Equipment List &amp; Usage'!$AF25&gt;0,'Weekly Summary'!AK$135))),'Equipment List &amp; Usage'!$C$115*(('Weekly Summary'!AK$134*'Equipment List &amp; Usage'!$AE25)+('Weekly Summary'!AK$135*'Equipment List &amp; Usage'!$AF25))))-SUM($I23:AP23),
IF($F23="yes",MMULT(--('Equipment List &amp; Usage'!$J25:$N25&gt;0),--('Weekly Summary'!AK$112:AK$116))*'Equipment List &amp; Usage'!$C$114,MMULT(--('Equipment List &amp; Usage'!$J25:$N25),--('Weekly Summary'!AK$112:AK$116))*'Equipment List &amp; Usage'!$C$115)+IF('Equipment List &amp; Usage'!$F24="yes",'Equipment List &amp; Usage'!$C$114,'Equipment List &amp; Usage'!$C$115)*(('Weekly Summary'!AK$66*'Equipment List &amp; Usage'!$Q25)+('Weekly Summary'!AK$64*'Equipment List &amp; Usage'!$O25)+('Weekly Summary'!AK$65*'Equipment List &amp; Usage'!$P25))+(IF('Equipment List &amp; Usage'!$F25="Yes",'Equipment List &amp; Usage'!$C$114*((('Weekly Summary'!AK$131*SelfQuarantine_Mild)+('Weekly Summary'!AK$100*SelfQuarantine_Mild)+('Weekly Summary'!AK$101*SelfQuarantine_Moderate))),'Equipment List &amp; Usage'!$C$115)*((('Weekly Summary'!AK$131*SelfQuarantine_Mild*'Equipment List &amp; Usage'!$W25)+('Weekly Summary'!AK$100*SelfQuarantine_Mild*'Equipment List &amp; Usage'!$X25)+('Weekly Summary'!AK$101*SelfQuarantine_Moderate*'Equipment List &amp; Usage'!$X25))))+IF('Equipment List &amp; Usage'!$F25="Yes",'Equipment List &amp; Usage'!$C$114*(IF('Equipment List &amp; Usage'!$AA25&gt;0,'Weekly Summary'!AK$128,0)+IF('Equipment List &amp; Usage'!$AB25&gt;0,'Weekly Summary'!AK$100+'Weekly Summary'!AK$101,0)),'Equipment List &amp; Usage'!$C$115*(('Weekly Summary'!AK$128*'Equipment List &amp; Usage'!$AA25)+('Weekly Summary'!AK$100*'Equipment List &amp; Usage'!$AB25*SelfQuarantine_Mild)+('Weekly Summary'!AK$101*'Equipment List &amp; Usage'!$AB25*SelfQuarantine_Moderate)))+IF('Equipment List &amp; Usage'!$F25="Yes",('Equipment List &amp; Usage'!$C$114*(IF('Equipment List &amp; Usage'!$AE25&gt;0,'Weekly Summary'!AK$134,0)+IF('Equipment List &amp; Usage'!$AF25&gt;0,'Weekly Summary'!AK$135))),'Equipment List &amp; Usage'!$C$115*(('Weekly Summary'!AK$134*'Equipment List &amp; Usage'!$AE25)+('Weekly Summary'!AK$135*'Equipment List &amp; Usage'!$AF25)))),0)</f>
        <v>0</v>
      </c>
      <c r="AR23" s="1374">
        <f ca="1">MAX(IF($F23="Yes",(
IF($F23="yes",MMULT(--('Equipment List &amp; Usage'!$J25:$N25&gt;0),--('Weekly Summary'!AL$112:AL$116))*'Equipment List &amp; Usage'!$C$114,MMULT(--('Equipment List &amp; Usage'!$J25:$N25),--('Weekly Summary'!AL$112:AL$116))*'Equipment List &amp; Usage'!$C$115)+IF('Equipment List &amp; Usage'!$F24="yes",'Equipment List &amp; Usage'!$C$114,'Equipment List &amp; Usage'!$C$115)*(('Weekly Summary'!AL$66*'Equipment List &amp; Usage'!$Q25)+('Weekly Summary'!AL$64*'Equipment List &amp; Usage'!$O25)+('Weekly Summary'!AL$65*'Equipment List &amp; Usage'!$P25)))+(IF('Equipment List &amp; Usage'!$F25="Yes",'Equipment List &amp; Usage'!$C$114*((('Weekly Summary'!AL$131*SelfQuarantine_Mild)+('Weekly Summary'!AL$100*SelfQuarantine_Mild)+('Weekly Summary'!AL$101*SelfQuarantine_Moderate))),'Equipment List &amp; Usage'!$C$115)*((('Weekly Summary'!AL$131*SelfQuarantine_Mild*'Equipment List &amp; Usage'!$W25)+('Weekly Summary'!AL$100*SelfQuarantine_Mild*'Equipment List &amp; Usage'!$X25)+('Weekly Summary'!AL$101*SelfQuarantine_Moderate*'Equipment List &amp; Usage'!$X25)))+IF('Equipment List &amp; Usage'!$F25="Yes",'Equipment List &amp; Usage'!$C$114*(IF('Equipment List &amp; Usage'!$AA25&gt;0,'Weekly Summary'!AL$128,0)+IF('Equipment List &amp; Usage'!$AB25&gt;0,'Weekly Summary'!AL$100+'Weekly Summary'!AL$101,0)),'Equipment List &amp; Usage'!$C$115*(('Weekly Summary'!AL$128*'Equipment List &amp; Usage'!$AA25)+('Weekly Summary'!AL$100*'Equipment List &amp; Usage'!$AB25*SelfQuarantine_Mild)+('Weekly Summary'!AL$101*'Equipment List &amp; Usage'!$AB25*SelfQuarantine_Moderate)))+IF('Equipment List &amp; Usage'!$F25="Yes",('Equipment List &amp; Usage'!$C$114*(IF('Equipment List &amp; Usage'!$AE25&gt;0,'Weekly Summary'!AL$134,0)+IF('Equipment List &amp; Usage'!$AF25&gt;0,'Weekly Summary'!AL$135))),'Equipment List &amp; Usage'!$C$115*(('Weekly Summary'!AL$134*'Equipment List &amp; Usage'!$AE25)+('Weekly Summary'!AL$135*'Equipment List &amp; Usage'!$AF25))))-SUM($I23:AQ23),
IF($F23="yes",MMULT(--('Equipment List &amp; Usage'!$J25:$N25&gt;0),--('Weekly Summary'!AL$112:AL$116))*'Equipment List &amp; Usage'!$C$114,MMULT(--('Equipment List &amp; Usage'!$J25:$N25),--('Weekly Summary'!AL$112:AL$116))*'Equipment List &amp; Usage'!$C$115)+IF('Equipment List &amp; Usage'!$F24="yes",'Equipment List &amp; Usage'!$C$114,'Equipment List &amp; Usage'!$C$115)*(('Weekly Summary'!AL$66*'Equipment List &amp; Usage'!$Q25)+('Weekly Summary'!AL$64*'Equipment List &amp; Usage'!$O25)+('Weekly Summary'!AL$65*'Equipment List &amp; Usage'!$P25))+(IF('Equipment List &amp; Usage'!$F25="Yes",'Equipment List &amp; Usage'!$C$114*((('Weekly Summary'!AL$131*SelfQuarantine_Mild)+('Weekly Summary'!AL$100*SelfQuarantine_Mild)+('Weekly Summary'!AL$101*SelfQuarantine_Moderate))),'Equipment List &amp; Usage'!$C$115)*((('Weekly Summary'!AL$131*SelfQuarantine_Mild*'Equipment List &amp; Usage'!$W25)+('Weekly Summary'!AL$100*SelfQuarantine_Mild*'Equipment List &amp; Usage'!$X25)+('Weekly Summary'!AL$101*SelfQuarantine_Moderate*'Equipment List &amp; Usage'!$X25))))+IF('Equipment List &amp; Usage'!$F25="Yes",'Equipment List &amp; Usage'!$C$114*(IF('Equipment List &amp; Usage'!$AA25&gt;0,'Weekly Summary'!AL$128,0)+IF('Equipment List &amp; Usage'!$AB25&gt;0,'Weekly Summary'!AL$100+'Weekly Summary'!AL$101,0)),'Equipment List &amp; Usage'!$C$115*(('Weekly Summary'!AL$128*'Equipment List &amp; Usage'!$AA25)+('Weekly Summary'!AL$100*'Equipment List &amp; Usage'!$AB25*SelfQuarantine_Mild)+('Weekly Summary'!AL$101*'Equipment List &amp; Usage'!$AB25*SelfQuarantine_Moderate)))+IF('Equipment List &amp; Usage'!$F25="Yes",('Equipment List &amp; Usage'!$C$114*(IF('Equipment List &amp; Usage'!$AE25&gt;0,'Weekly Summary'!AL$134,0)+IF('Equipment List &amp; Usage'!$AF25&gt;0,'Weekly Summary'!AL$135))),'Equipment List &amp; Usage'!$C$115*(('Weekly Summary'!AL$134*'Equipment List &amp; Usage'!$AE25)+('Weekly Summary'!AL$135*'Equipment List &amp; Usage'!$AF25)))),0)</f>
        <v>0</v>
      </c>
      <c r="AS23" s="1374">
        <f ca="1">MAX(IF($F23="Yes",(
IF($F23="yes",MMULT(--('Equipment List &amp; Usage'!$J25:$N25&gt;0),--('Weekly Summary'!AM$112:AM$116))*'Equipment List &amp; Usage'!$C$114,MMULT(--('Equipment List &amp; Usage'!$J25:$N25),--('Weekly Summary'!AM$112:AM$116))*'Equipment List &amp; Usage'!$C$115)+IF('Equipment List &amp; Usage'!$F24="yes",'Equipment List &amp; Usage'!$C$114,'Equipment List &amp; Usage'!$C$115)*(('Weekly Summary'!AM$66*'Equipment List &amp; Usage'!$Q25)+('Weekly Summary'!AM$64*'Equipment List &amp; Usage'!$O25)+('Weekly Summary'!AM$65*'Equipment List &amp; Usage'!$P25)))+(IF('Equipment List &amp; Usage'!$F25="Yes",'Equipment List &amp; Usage'!$C$114*((('Weekly Summary'!AM$131*SelfQuarantine_Mild)+('Weekly Summary'!AM$100*SelfQuarantine_Mild)+('Weekly Summary'!AM$101*SelfQuarantine_Moderate))),'Equipment List &amp; Usage'!$C$115)*((('Weekly Summary'!AM$131*SelfQuarantine_Mild*'Equipment List &amp; Usage'!$W25)+('Weekly Summary'!AM$100*SelfQuarantine_Mild*'Equipment List &amp; Usage'!$X25)+('Weekly Summary'!AM$101*SelfQuarantine_Moderate*'Equipment List &amp; Usage'!$X25)))+IF('Equipment List &amp; Usage'!$F25="Yes",'Equipment List &amp; Usage'!$C$114*(IF('Equipment List &amp; Usage'!$AA25&gt;0,'Weekly Summary'!AM$128,0)+IF('Equipment List &amp; Usage'!$AB25&gt;0,'Weekly Summary'!AM$100+'Weekly Summary'!AM$101,0)),'Equipment List &amp; Usage'!$C$115*(('Weekly Summary'!AM$128*'Equipment List &amp; Usage'!$AA25)+('Weekly Summary'!AM$100*'Equipment List &amp; Usage'!$AB25*SelfQuarantine_Mild)+('Weekly Summary'!AM$101*'Equipment List &amp; Usage'!$AB25*SelfQuarantine_Moderate)))+IF('Equipment List &amp; Usage'!$F25="Yes",('Equipment List &amp; Usage'!$C$114*(IF('Equipment List &amp; Usage'!$AE25&gt;0,'Weekly Summary'!AM$134,0)+IF('Equipment List &amp; Usage'!$AF25&gt;0,'Weekly Summary'!AM$135))),'Equipment List &amp; Usage'!$C$115*(('Weekly Summary'!AM$134*'Equipment List &amp; Usage'!$AE25)+('Weekly Summary'!AM$135*'Equipment List &amp; Usage'!$AF25))))-SUM($I23:AR23),
IF($F23="yes",MMULT(--('Equipment List &amp; Usage'!$J25:$N25&gt;0),--('Weekly Summary'!AM$112:AM$116))*'Equipment List &amp; Usage'!$C$114,MMULT(--('Equipment List &amp; Usage'!$J25:$N25),--('Weekly Summary'!AM$112:AM$116))*'Equipment List &amp; Usage'!$C$115)+IF('Equipment List &amp; Usage'!$F24="yes",'Equipment List &amp; Usage'!$C$114,'Equipment List &amp; Usage'!$C$115)*(('Weekly Summary'!AM$66*'Equipment List &amp; Usage'!$Q25)+('Weekly Summary'!AM$64*'Equipment List &amp; Usage'!$O25)+('Weekly Summary'!AM$65*'Equipment List &amp; Usage'!$P25))+(IF('Equipment List &amp; Usage'!$F25="Yes",'Equipment List &amp; Usage'!$C$114*((('Weekly Summary'!AM$131*SelfQuarantine_Mild)+('Weekly Summary'!AM$100*SelfQuarantine_Mild)+('Weekly Summary'!AM$101*SelfQuarantine_Moderate))),'Equipment List &amp; Usage'!$C$115)*((('Weekly Summary'!AM$131*SelfQuarantine_Mild*'Equipment List &amp; Usage'!$W25)+('Weekly Summary'!AM$100*SelfQuarantine_Mild*'Equipment List &amp; Usage'!$X25)+('Weekly Summary'!AM$101*SelfQuarantine_Moderate*'Equipment List &amp; Usage'!$X25))))+IF('Equipment List &amp; Usage'!$F25="Yes",'Equipment List &amp; Usage'!$C$114*(IF('Equipment List &amp; Usage'!$AA25&gt;0,'Weekly Summary'!AM$128,0)+IF('Equipment List &amp; Usage'!$AB25&gt;0,'Weekly Summary'!AM$100+'Weekly Summary'!AM$101,0)),'Equipment List &amp; Usage'!$C$115*(('Weekly Summary'!AM$128*'Equipment List &amp; Usage'!$AA25)+('Weekly Summary'!AM$100*'Equipment List &amp; Usage'!$AB25*SelfQuarantine_Mild)+('Weekly Summary'!AM$101*'Equipment List &amp; Usage'!$AB25*SelfQuarantine_Moderate)))+IF('Equipment List &amp; Usage'!$F25="Yes",('Equipment List &amp; Usage'!$C$114*(IF('Equipment List &amp; Usage'!$AE25&gt;0,'Weekly Summary'!AM$134,0)+IF('Equipment List &amp; Usage'!$AF25&gt;0,'Weekly Summary'!AM$135))),'Equipment List &amp; Usage'!$C$115*(('Weekly Summary'!AM$134*'Equipment List &amp; Usage'!$AE25)+('Weekly Summary'!AM$135*'Equipment List &amp; Usage'!$AF25)))),0)</f>
        <v>0</v>
      </c>
      <c r="AT23" s="1374">
        <f ca="1">MAX(IF($F23="Yes",(
IF($F23="yes",MMULT(--('Equipment List &amp; Usage'!$J25:$N25&gt;0),--('Weekly Summary'!AN$112:AN$116))*'Equipment List &amp; Usage'!$C$114,MMULT(--('Equipment List &amp; Usage'!$J25:$N25),--('Weekly Summary'!AN$112:AN$116))*'Equipment List &amp; Usage'!$C$115)+IF('Equipment List &amp; Usage'!$F24="yes",'Equipment List &amp; Usage'!$C$114,'Equipment List &amp; Usage'!$C$115)*(('Weekly Summary'!AN$66*'Equipment List &amp; Usage'!$Q25)+('Weekly Summary'!AN$64*'Equipment List &amp; Usage'!$O25)+('Weekly Summary'!AN$65*'Equipment List &amp; Usage'!$P25)))+(IF('Equipment List &amp; Usage'!$F25="Yes",'Equipment List &amp; Usage'!$C$114*((('Weekly Summary'!AN$131*SelfQuarantine_Mild)+('Weekly Summary'!AN$100*SelfQuarantine_Mild)+('Weekly Summary'!AN$101*SelfQuarantine_Moderate))),'Equipment List &amp; Usage'!$C$115)*((('Weekly Summary'!AN$131*SelfQuarantine_Mild*'Equipment List &amp; Usage'!$W25)+('Weekly Summary'!AN$100*SelfQuarantine_Mild*'Equipment List &amp; Usage'!$X25)+('Weekly Summary'!AN$101*SelfQuarantine_Moderate*'Equipment List &amp; Usage'!$X25)))+IF('Equipment List &amp; Usage'!$F25="Yes",'Equipment List &amp; Usage'!$C$114*(IF('Equipment List &amp; Usage'!$AA25&gt;0,'Weekly Summary'!AN$128,0)+IF('Equipment List &amp; Usage'!$AB25&gt;0,'Weekly Summary'!AN$100+'Weekly Summary'!AN$101,0)),'Equipment List &amp; Usage'!$C$115*(('Weekly Summary'!AN$128*'Equipment List &amp; Usage'!$AA25)+('Weekly Summary'!AN$100*'Equipment List &amp; Usage'!$AB25*SelfQuarantine_Mild)+('Weekly Summary'!AN$101*'Equipment List &amp; Usage'!$AB25*SelfQuarantine_Moderate)))+IF('Equipment List &amp; Usage'!$F25="Yes",('Equipment List &amp; Usage'!$C$114*(IF('Equipment List &amp; Usage'!$AE25&gt;0,'Weekly Summary'!AN$134,0)+IF('Equipment List &amp; Usage'!$AF25&gt;0,'Weekly Summary'!AN$135))),'Equipment List &amp; Usage'!$C$115*(('Weekly Summary'!AN$134*'Equipment List &amp; Usage'!$AE25)+('Weekly Summary'!AN$135*'Equipment List &amp; Usage'!$AF25))))-SUM($I23:AS23),
IF($F23="yes",MMULT(--('Equipment List &amp; Usage'!$J25:$N25&gt;0),--('Weekly Summary'!AN$112:AN$116))*'Equipment List &amp; Usage'!$C$114,MMULT(--('Equipment List &amp; Usage'!$J25:$N25),--('Weekly Summary'!AN$112:AN$116))*'Equipment List &amp; Usage'!$C$115)+IF('Equipment List &amp; Usage'!$F24="yes",'Equipment List &amp; Usage'!$C$114,'Equipment List &amp; Usage'!$C$115)*(('Weekly Summary'!AN$66*'Equipment List &amp; Usage'!$Q25)+('Weekly Summary'!AN$64*'Equipment List &amp; Usage'!$O25)+('Weekly Summary'!AN$65*'Equipment List &amp; Usage'!$P25))+(IF('Equipment List &amp; Usage'!$F25="Yes",'Equipment List &amp; Usage'!$C$114*((('Weekly Summary'!AN$131*SelfQuarantine_Mild)+('Weekly Summary'!AN$100*SelfQuarantine_Mild)+('Weekly Summary'!AN$101*SelfQuarantine_Moderate))),'Equipment List &amp; Usage'!$C$115)*((('Weekly Summary'!AN$131*SelfQuarantine_Mild*'Equipment List &amp; Usage'!$W25)+('Weekly Summary'!AN$100*SelfQuarantine_Mild*'Equipment List &amp; Usage'!$X25)+('Weekly Summary'!AN$101*SelfQuarantine_Moderate*'Equipment List &amp; Usage'!$X25))))+IF('Equipment List &amp; Usage'!$F25="Yes",'Equipment List &amp; Usage'!$C$114*(IF('Equipment List &amp; Usage'!$AA25&gt;0,'Weekly Summary'!AN$128,0)+IF('Equipment List &amp; Usage'!$AB25&gt;0,'Weekly Summary'!AN$100+'Weekly Summary'!AN$101,0)),'Equipment List &amp; Usage'!$C$115*(('Weekly Summary'!AN$128*'Equipment List &amp; Usage'!$AA25)+('Weekly Summary'!AN$100*'Equipment List &amp; Usage'!$AB25*SelfQuarantine_Mild)+('Weekly Summary'!AN$101*'Equipment List &amp; Usage'!$AB25*SelfQuarantine_Moderate)))+IF('Equipment List &amp; Usage'!$F25="Yes",('Equipment List &amp; Usage'!$C$114*(IF('Equipment List &amp; Usage'!$AE25&gt;0,'Weekly Summary'!AN$134,0)+IF('Equipment List &amp; Usage'!$AF25&gt;0,'Weekly Summary'!AN$135))),'Equipment List &amp; Usage'!$C$115*(('Weekly Summary'!AN$134*'Equipment List &amp; Usage'!$AE25)+('Weekly Summary'!AN$135*'Equipment List &amp; Usage'!$AF25)))),0)</f>
        <v>0</v>
      </c>
      <c r="AU23" s="1374">
        <f ca="1">MAX(IF($F23="Yes",(
IF($F23="yes",MMULT(--('Equipment List &amp; Usage'!$J25:$N25&gt;0),--('Weekly Summary'!AO$112:AO$116))*'Equipment List &amp; Usage'!$C$114,MMULT(--('Equipment List &amp; Usage'!$J25:$N25),--('Weekly Summary'!AO$112:AO$116))*'Equipment List &amp; Usage'!$C$115)+IF('Equipment List &amp; Usage'!$F24="yes",'Equipment List &amp; Usage'!$C$114,'Equipment List &amp; Usage'!$C$115)*(('Weekly Summary'!AO$66*'Equipment List &amp; Usage'!$Q25)+('Weekly Summary'!AO$64*'Equipment List &amp; Usage'!$O25)+('Weekly Summary'!AO$65*'Equipment List &amp; Usage'!$P25)))+(IF('Equipment List &amp; Usage'!$F25="Yes",'Equipment List &amp; Usage'!$C$114*((('Weekly Summary'!AO$131*SelfQuarantine_Mild)+('Weekly Summary'!AO$100*SelfQuarantine_Mild)+('Weekly Summary'!AO$101*SelfQuarantine_Moderate))),'Equipment List &amp; Usage'!$C$115)*((('Weekly Summary'!AO$131*SelfQuarantine_Mild*'Equipment List &amp; Usage'!$W25)+('Weekly Summary'!AO$100*SelfQuarantine_Mild*'Equipment List &amp; Usage'!$X25)+('Weekly Summary'!AO$101*SelfQuarantine_Moderate*'Equipment List &amp; Usage'!$X25)))+IF('Equipment List &amp; Usage'!$F25="Yes",'Equipment List &amp; Usage'!$C$114*(IF('Equipment List &amp; Usage'!$AA25&gt;0,'Weekly Summary'!AO$128,0)+IF('Equipment List &amp; Usage'!$AB25&gt;0,'Weekly Summary'!AO$100+'Weekly Summary'!AO$101,0)),'Equipment List &amp; Usage'!$C$115*(('Weekly Summary'!AO$128*'Equipment List &amp; Usage'!$AA25)+('Weekly Summary'!AO$100*'Equipment List &amp; Usage'!$AB25*SelfQuarantine_Mild)+('Weekly Summary'!AO$101*'Equipment List &amp; Usage'!$AB25*SelfQuarantine_Moderate)))+IF('Equipment List &amp; Usage'!$F25="Yes",('Equipment List &amp; Usage'!$C$114*(IF('Equipment List &amp; Usage'!$AE25&gt;0,'Weekly Summary'!AO$134,0)+IF('Equipment List &amp; Usage'!$AF25&gt;0,'Weekly Summary'!AO$135))),'Equipment List &amp; Usage'!$C$115*(('Weekly Summary'!AO$134*'Equipment List &amp; Usage'!$AE25)+('Weekly Summary'!AO$135*'Equipment List &amp; Usage'!$AF25))))-SUM($I23:AT23),
IF($F23="yes",MMULT(--('Equipment List &amp; Usage'!$J25:$N25&gt;0),--('Weekly Summary'!AO$112:AO$116))*'Equipment List &amp; Usage'!$C$114,MMULT(--('Equipment List &amp; Usage'!$J25:$N25),--('Weekly Summary'!AO$112:AO$116))*'Equipment List &amp; Usage'!$C$115)+IF('Equipment List &amp; Usage'!$F24="yes",'Equipment List &amp; Usage'!$C$114,'Equipment List &amp; Usage'!$C$115)*(('Weekly Summary'!AO$66*'Equipment List &amp; Usage'!$Q25)+('Weekly Summary'!AO$64*'Equipment List &amp; Usage'!$O25)+('Weekly Summary'!AO$65*'Equipment List &amp; Usage'!$P25))+(IF('Equipment List &amp; Usage'!$F25="Yes",'Equipment List &amp; Usage'!$C$114*((('Weekly Summary'!AO$131*SelfQuarantine_Mild)+('Weekly Summary'!AO$100*SelfQuarantine_Mild)+('Weekly Summary'!AO$101*SelfQuarantine_Moderate))),'Equipment List &amp; Usage'!$C$115)*((('Weekly Summary'!AO$131*SelfQuarantine_Mild*'Equipment List &amp; Usage'!$W25)+('Weekly Summary'!AO$100*SelfQuarantine_Mild*'Equipment List &amp; Usage'!$X25)+('Weekly Summary'!AO$101*SelfQuarantine_Moderate*'Equipment List &amp; Usage'!$X25))))+IF('Equipment List &amp; Usage'!$F25="Yes",'Equipment List &amp; Usage'!$C$114*(IF('Equipment List &amp; Usage'!$AA25&gt;0,'Weekly Summary'!AO$128,0)+IF('Equipment List &amp; Usage'!$AB25&gt;0,'Weekly Summary'!AO$100+'Weekly Summary'!AO$101,0)),'Equipment List &amp; Usage'!$C$115*(('Weekly Summary'!AO$128*'Equipment List &amp; Usage'!$AA25)+('Weekly Summary'!AO$100*'Equipment List &amp; Usage'!$AB25*SelfQuarantine_Mild)+('Weekly Summary'!AO$101*'Equipment List &amp; Usage'!$AB25*SelfQuarantine_Moderate)))+IF('Equipment List &amp; Usage'!$F25="Yes",('Equipment List &amp; Usage'!$C$114*(IF('Equipment List &amp; Usage'!$AE25&gt;0,'Weekly Summary'!AO$134,0)+IF('Equipment List &amp; Usage'!$AF25&gt;0,'Weekly Summary'!AO$135))),'Equipment List &amp; Usage'!$C$115*(('Weekly Summary'!AO$134*'Equipment List &amp; Usage'!$AE25)+('Weekly Summary'!AO$135*'Equipment List &amp; Usage'!$AF25)))),0)</f>
        <v>0</v>
      </c>
      <c r="AV23" s="1374">
        <f ca="1">MAX(IF($F23="Yes",(
IF($F23="yes",MMULT(--('Equipment List &amp; Usage'!$J25:$N25&gt;0),--('Weekly Summary'!AP$112:AP$116))*'Equipment List &amp; Usage'!$C$114,MMULT(--('Equipment List &amp; Usage'!$J25:$N25),--('Weekly Summary'!AP$112:AP$116))*'Equipment List &amp; Usage'!$C$115)+IF('Equipment List &amp; Usage'!$F24="yes",'Equipment List &amp; Usage'!$C$114,'Equipment List &amp; Usage'!$C$115)*(('Weekly Summary'!AP$66*'Equipment List &amp; Usage'!$Q25)+('Weekly Summary'!AP$64*'Equipment List &amp; Usage'!$O25)+('Weekly Summary'!AP$65*'Equipment List &amp; Usage'!$P25)))+(IF('Equipment List &amp; Usage'!$F25="Yes",'Equipment List &amp; Usage'!$C$114*((('Weekly Summary'!AP$131*SelfQuarantine_Mild)+('Weekly Summary'!AP$100*SelfQuarantine_Mild)+('Weekly Summary'!AP$101*SelfQuarantine_Moderate))),'Equipment List &amp; Usage'!$C$115)*((('Weekly Summary'!AP$131*SelfQuarantine_Mild*'Equipment List &amp; Usage'!$W25)+('Weekly Summary'!AP$100*SelfQuarantine_Mild*'Equipment List &amp; Usage'!$X25)+('Weekly Summary'!AP$101*SelfQuarantine_Moderate*'Equipment List &amp; Usage'!$X25)))+IF('Equipment List &amp; Usage'!$F25="Yes",'Equipment List &amp; Usage'!$C$114*(IF('Equipment List &amp; Usage'!$AA25&gt;0,'Weekly Summary'!AP$128,0)+IF('Equipment List &amp; Usage'!$AB25&gt;0,'Weekly Summary'!AP$100+'Weekly Summary'!AP$101,0)),'Equipment List &amp; Usage'!$C$115*(('Weekly Summary'!AP$128*'Equipment List &amp; Usage'!$AA25)+('Weekly Summary'!AP$100*'Equipment List &amp; Usage'!$AB25*SelfQuarantine_Mild)+('Weekly Summary'!AP$101*'Equipment List &amp; Usage'!$AB25*SelfQuarantine_Moderate)))+IF('Equipment List &amp; Usage'!$F25="Yes",('Equipment List &amp; Usage'!$C$114*(IF('Equipment List &amp; Usage'!$AE25&gt;0,'Weekly Summary'!AP$134,0)+IF('Equipment List &amp; Usage'!$AF25&gt;0,'Weekly Summary'!AP$135))),'Equipment List &amp; Usage'!$C$115*(('Weekly Summary'!AP$134*'Equipment List &amp; Usage'!$AE25)+('Weekly Summary'!AP$135*'Equipment List &amp; Usage'!$AF25))))-SUM($I23:AU23),
IF($F23="yes",MMULT(--('Equipment List &amp; Usage'!$J25:$N25&gt;0),--('Weekly Summary'!AP$112:AP$116))*'Equipment List &amp; Usage'!$C$114,MMULT(--('Equipment List &amp; Usage'!$J25:$N25),--('Weekly Summary'!AP$112:AP$116))*'Equipment List &amp; Usage'!$C$115)+IF('Equipment List &amp; Usage'!$F24="yes",'Equipment List &amp; Usage'!$C$114,'Equipment List &amp; Usage'!$C$115)*(('Weekly Summary'!AP$66*'Equipment List &amp; Usage'!$Q25)+('Weekly Summary'!AP$64*'Equipment List &amp; Usage'!$O25)+('Weekly Summary'!AP$65*'Equipment List &amp; Usage'!$P25))+(IF('Equipment List &amp; Usage'!$F25="Yes",'Equipment List &amp; Usage'!$C$114*((('Weekly Summary'!AP$131*SelfQuarantine_Mild)+('Weekly Summary'!AP$100*SelfQuarantine_Mild)+('Weekly Summary'!AP$101*SelfQuarantine_Moderate))),'Equipment List &amp; Usage'!$C$115)*((('Weekly Summary'!AP$131*SelfQuarantine_Mild*'Equipment List &amp; Usage'!$W25)+('Weekly Summary'!AP$100*SelfQuarantine_Mild*'Equipment List &amp; Usage'!$X25)+('Weekly Summary'!AP$101*SelfQuarantine_Moderate*'Equipment List &amp; Usage'!$X25))))+IF('Equipment List &amp; Usage'!$F25="Yes",'Equipment List &amp; Usage'!$C$114*(IF('Equipment List &amp; Usage'!$AA25&gt;0,'Weekly Summary'!AP$128,0)+IF('Equipment List &amp; Usage'!$AB25&gt;0,'Weekly Summary'!AP$100+'Weekly Summary'!AP$101,0)),'Equipment List &amp; Usage'!$C$115*(('Weekly Summary'!AP$128*'Equipment List &amp; Usage'!$AA25)+('Weekly Summary'!AP$100*'Equipment List &amp; Usage'!$AB25*SelfQuarantine_Mild)+('Weekly Summary'!AP$101*'Equipment List &amp; Usage'!$AB25*SelfQuarantine_Moderate)))+IF('Equipment List &amp; Usage'!$F25="Yes",('Equipment List &amp; Usage'!$C$114*(IF('Equipment List &amp; Usage'!$AE25&gt;0,'Weekly Summary'!AP$134,0)+IF('Equipment List &amp; Usage'!$AF25&gt;0,'Weekly Summary'!AP$135))),'Equipment List &amp; Usage'!$C$115*(('Weekly Summary'!AP$134*'Equipment List &amp; Usage'!$AE25)+('Weekly Summary'!AP$135*'Equipment List &amp; Usage'!$AF25)))),0)</f>
        <v>0</v>
      </c>
      <c r="AW23" s="1374">
        <f ca="1">MAX(IF($F23="Yes",(
IF($F23="yes",MMULT(--('Equipment List &amp; Usage'!$J25:$N25&gt;0),--('Weekly Summary'!AQ$112:AQ$116))*'Equipment List &amp; Usage'!$C$114,MMULT(--('Equipment List &amp; Usage'!$J25:$N25),--('Weekly Summary'!AQ$112:AQ$116))*'Equipment List &amp; Usage'!$C$115)+IF('Equipment List &amp; Usage'!$F24="yes",'Equipment List &amp; Usage'!$C$114,'Equipment List &amp; Usage'!$C$115)*(('Weekly Summary'!AQ$66*'Equipment List &amp; Usage'!$Q25)+('Weekly Summary'!AQ$64*'Equipment List &amp; Usage'!$O25)+('Weekly Summary'!AQ$65*'Equipment List &amp; Usage'!$P25)))+(IF('Equipment List &amp; Usage'!$F25="Yes",'Equipment List &amp; Usage'!$C$114*((('Weekly Summary'!AQ$131*SelfQuarantine_Mild)+('Weekly Summary'!AQ$100*SelfQuarantine_Mild)+('Weekly Summary'!AQ$101*SelfQuarantine_Moderate))),'Equipment List &amp; Usage'!$C$115)*((('Weekly Summary'!AQ$131*SelfQuarantine_Mild*'Equipment List &amp; Usage'!$W25)+('Weekly Summary'!AQ$100*SelfQuarantine_Mild*'Equipment List &amp; Usage'!$X25)+('Weekly Summary'!AQ$101*SelfQuarantine_Moderate*'Equipment List &amp; Usage'!$X25)))+IF('Equipment List &amp; Usage'!$F25="Yes",'Equipment List &amp; Usage'!$C$114*(IF('Equipment List &amp; Usage'!$AA25&gt;0,'Weekly Summary'!AQ$128,0)+IF('Equipment List &amp; Usage'!$AB25&gt;0,'Weekly Summary'!AQ$100+'Weekly Summary'!AQ$101,0)),'Equipment List &amp; Usage'!$C$115*(('Weekly Summary'!AQ$128*'Equipment List &amp; Usage'!$AA25)+('Weekly Summary'!AQ$100*'Equipment List &amp; Usage'!$AB25*SelfQuarantine_Mild)+('Weekly Summary'!AQ$101*'Equipment List &amp; Usage'!$AB25*SelfQuarantine_Moderate)))+IF('Equipment List &amp; Usage'!$F25="Yes",('Equipment List &amp; Usage'!$C$114*(IF('Equipment List &amp; Usage'!$AE25&gt;0,'Weekly Summary'!AQ$134,0)+IF('Equipment List &amp; Usage'!$AF25&gt;0,'Weekly Summary'!AQ$135))),'Equipment List &amp; Usage'!$C$115*(('Weekly Summary'!AQ$134*'Equipment List &amp; Usage'!$AE25)+('Weekly Summary'!AQ$135*'Equipment List &amp; Usage'!$AF25))))-SUM($I23:AV23),
IF($F23="yes",MMULT(--('Equipment List &amp; Usage'!$J25:$N25&gt;0),--('Weekly Summary'!AQ$112:AQ$116))*'Equipment List &amp; Usage'!$C$114,MMULT(--('Equipment List &amp; Usage'!$J25:$N25),--('Weekly Summary'!AQ$112:AQ$116))*'Equipment List &amp; Usage'!$C$115)+IF('Equipment List &amp; Usage'!$F24="yes",'Equipment List &amp; Usage'!$C$114,'Equipment List &amp; Usage'!$C$115)*(('Weekly Summary'!AQ$66*'Equipment List &amp; Usage'!$Q25)+('Weekly Summary'!AQ$64*'Equipment List &amp; Usage'!$O25)+('Weekly Summary'!AQ$65*'Equipment List &amp; Usage'!$P25))+(IF('Equipment List &amp; Usage'!$F25="Yes",'Equipment List &amp; Usage'!$C$114*((('Weekly Summary'!AQ$131*SelfQuarantine_Mild)+('Weekly Summary'!AQ$100*SelfQuarantine_Mild)+('Weekly Summary'!AQ$101*SelfQuarantine_Moderate))),'Equipment List &amp; Usage'!$C$115)*((('Weekly Summary'!AQ$131*SelfQuarantine_Mild*'Equipment List &amp; Usage'!$W25)+('Weekly Summary'!AQ$100*SelfQuarantine_Mild*'Equipment List &amp; Usage'!$X25)+('Weekly Summary'!AQ$101*SelfQuarantine_Moderate*'Equipment List &amp; Usage'!$X25))))+IF('Equipment List &amp; Usage'!$F25="Yes",'Equipment List &amp; Usage'!$C$114*(IF('Equipment List &amp; Usage'!$AA25&gt;0,'Weekly Summary'!AQ$128,0)+IF('Equipment List &amp; Usage'!$AB25&gt;0,'Weekly Summary'!AQ$100+'Weekly Summary'!AQ$101,0)),'Equipment List &amp; Usage'!$C$115*(('Weekly Summary'!AQ$128*'Equipment List &amp; Usage'!$AA25)+('Weekly Summary'!AQ$100*'Equipment List &amp; Usage'!$AB25*SelfQuarantine_Mild)+('Weekly Summary'!AQ$101*'Equipment List &amp; Usage'!$AB25*SelfQuarantine_Moderate)))+IF('Equipment List &amp; Usage'!$F25="Yes",('Equipment List &amp; Usage'!$C$114*(IF('Equipment List &amp; Usage'!$AE25&gt;0,'Weekly Summary'!AQ$134,0)+IF('Equipment List &amp; Usage'!$AF25&gt;0,'Weekly Summary'!AQ$135))),'Equipment List &amp; Usage'!$C$115*(('Weekly Summary'!AQ$134*'Equipment List &amp; Usage'!$AE25)+('Weekly Summary'!AQ$135*'Equipment List &amp; Usage'!$AF25)))),0)</f>
        <v>0</v>
      </c>
      <c r="AX23" s="1374">
        <f ca="1">MAX(IF($F23="Yes",(
IF($F23="yes",MMULT(--('Equipment List &amp; Usage'!$J25:$N25&gt;0),--('Weekly Summary'!AR$112:AR$116))*'Equipment List &amp; Usage'!$C$114,MMULT(--('Equipment List &amp; Usage'!$J25:$N25),--('Weekly Summary'!AR$112:AR$116))*'Equipment List &amp; Usage'!$C$115)+IF('Equipment List &amp; Usage'!$F24="yes",'Equipment List &amp; Usage'!$C$114,'Equipment List &amp; Usage'!$C$115)*(('Weekly Summary'!AR$66*'Equipment List &amp; Usage'!$Q25)+('Weekly Summary'!AR$64*'Equipment List &amp; Usage'!$O25)+('Weekly Summary'!AR$65*'Equipment List &amp; Usage'!$P25)))+(IF('Equipment List &amp; Usage'!$F25="Yes",'Equipment List &amp; Usage'!$C$114*((('Weekly Summary'!AR$131*SelfQuarantine_Mild)+('Weekly Summary'!AR$100*SelfQuarantine_Mild)+('Weekly Summary'!AR$101*SelfQuarantine_Moderate))),'Equipment List &amp; Usage'!$C$115)*((('Weekly Summary'!AR$131*SelfQuarantine_Mild*'Equipment List &amp; Usage'!$W25)+('Weekly Summary'!AR$100*SelfQuarantine_Mild*'Equipment List &amp; Usage'!$X25)+('Weekly Summary'!AR$101*SelfQuarantine_Moderate*'Equipment List &amp; Usage'!$X25)))+IF('Equipment List &amp; Usage'!$F25="Yes",'Equipment List &amp; Usage'!$C$114*(IF('Equipment List &amp; Usage'!$AA25&gt;0,'Weekly Summary'!AR$128,0)+IF('Equipment List &amp; Usage'!$AB25&gt;0,'Weekly Summary'!AR$100+'Weekly Summary'!AR$101,0)),'Equipment List &amp; Usage'!$C$115*(('Weekly Summary'!AR$128*'Equipment List &amp; Usage'!$AA25)+('Weekly Summary'!AR$100*'Equipment List &amp; Usage'!$AB25*SelfQuarantine_Mild)+('Weekly Summary'!AR$101*'Equipment List &amp; Usage'!$AB25*SelfQuarantine_Moderate)))+IF('Equipment List &amp; Usage'!$F25="Yes",('Equipment List &amp; Usage'!$C$114*(IF('Equipment List &amp; Usage'!$AE25&gt;0,'Weekly Summary'!AR$134,0)+IF('Equipment List &amp; Usage'!$AF25&gt;0,'Weekly Summary'!AR$135))),'Equipment List &amp; Usage'!$C$115*(('Weekly Summary'!AR$134*'Equipment List &amp; Usage'!$AE25)+('Weekly Summary'!AR$135*'Equipment List &amp; Usage'!$AF25))))-SUM($I23:AW23),
IF($F23="yes",MMULT(--('Equipment List &amp; Usage'!$J25:$N25&gt;0),--('Weekly Summary'!AR$112:AR$116))*'Equipment List &amp; Usage'!$C$114,MMULT(--('Equipment List &amp; Usage'!$J25:$N25),--('Weekly Summary'!AR$112:AR$116))*'Equipment List &amp; Usage'!$C$115)+IF('Equipment List &amp; Usage'!$F24="yes",'Equipment List &amp; Usage'!$C$114,'Equipment List &amp; Usage'!$C$115)*(('Weekly Summary'!AR$66*'Equipment List &amp; Usage'!$Q25)+('Weekly Summary'!AR$64*'Equipment List &amp; Usage'!$O25)+('Weekly Summary'!AR$65*'Equipment List &amp; Usage'!$P25))+(IF('Equipment List &amp; Usage'!$F25="Yes",'Equipment List &amp; Usage'!$C$114*((('Weekly Summary'!AR$131*SelfQuarantine_Mild)+('Weekly Summary'!AR$100*SelfQuarantine_Mild)+('Weekly Summary'!AR$101*SelfQuarantine_Moderate))),'Equipment List &amp; Usage'!$C$115)*((('Weekly Summary'!AR$131*SelfQuarantine_Mild*'Equipment List &amp; Usage'!$W25)+('Weekly Summary'!AR$100*SelfQuarantine_Mild*'Equipment List &amp; Usage'!$X25)+('Weekly Summary'!AR$101*SelfQuarantine_Moderate*'Equipment List &amp; Usage'!$X25))))+IF('Equipment List &amp; Usage'!$F25="Yes",'Equipment List &amp; Usage'!$C$114*(IF('Equipment List &amp; Usage'!$AA25&gt;0,'Weekly Summary'!AR$128,0)+IF('Equipment List &amp; Usage'!$AB25&gt;0,'Weekly Summary'!AR$100+'Weekly Summary'!AR$101,0)),'Equipment List &amp; Usage'!$C$115*(('Weekly Summary'!AR$128*'Equipment List &amp; Usage'!$AA25)+('Weekly Summary'!AR$100*'Equipment List &amp; Usage'!$AB25*SelfQuarantine_Mild)+('Weekly Summary'!AR$101*'Equipment List &amp; Usage'!$AB25*SelfQuarantine_Moderate)))+IF('Equipment List &amp; Usage'!$F25="Yes",('Equipment List &amp; Usage'!$C$114*(IF('Equipment List &amp; Usage'!$AE25&gt;0,'Weekly Summary'!AR$134,0)+IF('Equipment List &amp; Usage'!$AF25&gt;0,'Weekly Summary'!AR$135))),'Equipment List &amp; Usage'!$C$115*(('Weekly Summary'!AR$134*'Equipment List &amp; Usage'!$AE25)+('Weekly Summary'!AR$135*'Equipment List &amp; Usage'!$AF25)))),0)</f>
        <v>0</v>
      </c>
      <c r="AY23" s="1374">
        <f ca="1">MAX(IF($F23="Yes",(
IF($F23="yes",MMULT(--('Equipment List &amp; Usage'!$J25:$N25&gt;0),--('Weekly Summary'!AS$112:AS$116))*'Equipment List &amp; Usage'!$C$114,MMULT(--('Equipment List &amp; Usage'!$J25:$N25),--('Weekly Summary'!AS$112:AS$116))*'Equipment List &amp; Usage'!$C$115)+IF('Equipment List &amp; Usage'!$F24="yes",'Equipment List &amp; Usage'!$C$114,'Equipment List &amp; Usage'!$C$115)*(('Weekly Summary'!AS$66*'Equipment List &amp; Usage'!$Q25)+('Weekly Summary'!AS$64*'Equipment List &amp; Usage'!$O25)+('Weekly Summary'!AS$65*'Equipment List &amp; Usage'!$P25)))+(IF('Equipment List &amp; Usage'!$F25="Yes",'Equipment List &amp; Usage'!$C$114*((('Weekly Summary'!AS$131*SelfQuarantine_Mild)+('Weekly Summary'!AS$100*SelfQuarantine_Mild)+('Weekly Summary'!AS$101*SelfQuarantine_Moderate))),'Equipment List &amp; Usage'!$C$115)*((('Weekly Summary'!AS$131*SelfQuarantine_Mild*'Equipment List &amp; Usage'!$W25)+('Weekly Summary'!AS$100*SelfQuarantine_Mild*'Equipment List &amp; Usage'!$X25)+('Weekly Summary'!AS$101*SelfQuarantine_Moderate*'Equipment List &amp; Usage'!$X25)))+IF('Equipment List &amp; Usage'!$F25="Yes",'Equipment List &amp; Usage'!$C$114*(IF('Equipment List &amp; Usage'!$AA25&gt;0,'Weekly Summary'!AS$128,0)+IF('Equipment List &amp; Usage'!$AB25&gt;0,'Weekly Summary'!AS$100+'Weekly Summary'!AS$101,0)),'Equipment List &amp; Usage'!$C$115*(('Weekly Summary'!AS$128*'Equipment List &amp; Usage'!$AA25)+('Weekly Summary'!AS$100*'Equipment List &amp; Usage'!$AB25*SelfQuarantine_Mild)+('Weekly Summary'!AS$101*'Equipment List &amp; Usage'!$AB25*SelfQuarantine_Moderate)))+IF('Equipment List &amp; Usage'!$F25="Yes",('Equipment List &amp; Usage'!$C$114*(IF('Equipment List &amp; Usage'!$AE25&gt;0,'Weekly Summary'!AS$134,0)+IF('Equipment List &amp; Usage'!$AF25&gt;0,'Weekly Summary'!AS$135))),'Equipment List &amp; Usage'!$C$115*(('Weekly Summary'!AS$134*'Equipment List &amp; Usage'!$AE25)+('Weekly Summary'!AS$135*'Equipment List &amp; Usage'!$AF25))))-SUM($I23:AX23),
IF($F23="yes",MMULT(--('Equipment List &amp; Usage'!$J25:$N25&gt;0),--('Weekly Summary'!AS$112:AS$116))*'Equipment List &amp; Usage'!$C$114,MMULT(--('Equipment List &amp; Usage'!$J25:$N25),--('Weekly Summary'!AS$112:AS$116))*'Equipment List &amp; Usage'!$C$115)+IF('Equipment List &amp; Usage'!$F24="yes",'Equipment List &amp; Usage'!$C$114,'Equipment List &amp; Usage'!$C$115)*(('Weekly Summary'!AS$66*'Equipment List &amp; Usage'!$Q25)+('Weekly Summary'!AS$64*'Equipment List &amp; Usage'!$O25)+('Weekly Summary'!AS$65*'Equipment List &amp; Usage'!$P25))+(IF('Equipment List &amp; Usage'!$F25="Yes",'Equipment List &amp; Usage'!$C$114*((('Weekly Summary'!AS$131*SelfQuarantine_Mild)+('Weekly Summary'!AS$100*SelfQuarantine_Mild)+('Weekly Summary'!AS$101*SelfQuarantine_Moderate))),'Equipment List &amp; Usage'!$C$115)*((('Weekly Summary'!AS$131*SelfQuarantine_Mild*'Equipment List &amp; Usage'!$W25)+('Weekly Summary'!AS$100*SelfQuarantine_Mild*'Equipment List &amp; Usage'!$X25)+('Weekly Summary'!AS$101*SelfQuarantine_Moderate*'Equipment List &amp; Usage'!$X25))))+IF('Equipment List &amp; Usage'!$F25="Yes",'Equipment List &amp; Usage'!$C$114*(IF('Equipment List &amp; Usage'!$AA25&gt;0,'Weekly Summary'!AS$128,0)+IF('Equipment List &amp; Usage'!$AB25&gt;0,'Weekly Summary'!AS$100+'Weekly Summary'!AS$101,0)),'Equipment List &amp; Usage'!$C$115*(('Weekly Summary'!AS$128*'Equipment List &amp; Usage'!$AA25)+('Weekly Summary'!AS$100*'Equipment List &amp; Usage'!$AB25*SelfQuarantine_Mild)+('Weekly Summary'!AS$101*'Equipment List &amp; Usage'!$AB25*SelfQuarantine_Moderate)))+IF('Equipment List &amp; Usage'!$F25="Yes",('Equipment List &amp; Usage'!$C$114*(IF('Equipment List &amp; Usage'!$AE25&gt;0,'Weekly Summary'!AS$134,0)+IF('Equipment List &amp; Usage'!$AF25&gt;0,'Weekly Summary'!AS$135))),'Equipment List &amp; Usage'!$C$115*(('Weekly Summary'!AS$134*'Equipment List &amp; Usage'!$AE25)+('Weekly Summary'!AS$135*'Equipment List &amp; Usage'!$AF25)))),0)</f>
        <v>0</v>
      </c>
      <c r="AZ23" s="1374">
        <f ca="1">MAX(IF($F23="Yes",(
IF($F23="yes",MMULT(--('Equipment List &amp; Usage'!$J25:$N25&gt;0),--('Weekly Summary'!AT$112:AT$116))*'Equipment List &amp; Usage'!$C$114,MMULT(--('Equipment List &amp; Usage'!$J25:$N25),--('Weekly Summary'!AT$112:AT$116))*'Equipment List &amp; Usage'!$C$115)+IF('Equipment List &amp; Usage'!$F24="yes",'Equipment List &amp; Usage'!$C$114,'Equipment List &amp; Usage'!$C$115)*(('Weekly Summary'!AT$66*'Equipment List &amp; Usage'!$Q25)+('Weekly Summary'!AT$64*'Equipment List &amp; Usage'!$O25)+('Weekly Summary'!AT$65*'Equipment List &amp; Usage'!$P25)))+(IF('Equipment List &amp; Usage'!$F25="Yes",'Equipment List &amp; Usage'!$C$114*((('Weekly Summary'!AT$131*SelfQuarantine_Mild)+('Weekly Summary'!AT$100*SelfQuarantine_Mild)+('Weekly Summary'!AT$101*SelfQuarantine_Moderate))),'Equipment List &amp; Usage'!$C$115)*((('Weekly Summary'!AT$131*SelfQuarantine_Mild*'Equipment List &amp; Usage'!$W25)+('Weekly Summary'!AT$100*SelfQuarantine_Mild*'Equipment List &amp; Usage'!$X25)+('Weekly Summary'!AT$101*SelfQuarantine_Moderate*'Equipment List &amp; Usage'!$X25)))+IF('Equipment List &amp; Usage'!$F25="Yes",'Equipment List &amp; Usage'!$C$114*(IF('Equipment List &amp; Usage'!$AA25&gt;0,'Weekly Summary'!AT$128,0)+IF('Equipment List &amp; Usage'!$AB25&gt;0,'Weekly Summary'!AT$100+'Weekly Summary'!AT$101,0)),'Equipment List &amp; Usage'!$C$115*(('Weekly Summary'!AT$128*'Equipment List &amp; Usage'!$AA25)+('Weekly Summary'!AT$100*'Equipment List &amp; Usage'!$AB25*SelfQuarantine_Mild)+('Weekly Summary'!AT$101*'Equipment List &amp; Usage'!$AB25*SelfQuarantine_Moderate)))+IF('Equipment List &amp; Usage'!$F25="Yes",('Equipment List &amp; Usage'!$C$114*(IF('Equipment List &amp; Usage'!$AE25&gt;0,'Weekly Summary'!AT$134,0)+IF('Equipment List &amp; Usage'!$AF25&gt;0,'Weekly Summary'!AT$135))),'Equipment List &amp; Usage'!$C$115*(('Weekly Summary'!AT$134*'Equipment List &amp; Usage'!$AE25)+('Weekly Summary'!AT$135*'Equipment List &amp; Usage'!$AF25))))-SUM($I23:AY23),
IF($F23="yes",MMULT(--('Equipment List &amp; Usage'!$J25:$N25&gt;0),--('Weekly Summary'!AT$112:AT$116))*'Equipment List &amp; Usage'!$C$114,MMULT(--('Equipment List &amp; Usage'!$J25:$N25),--('Weekly Summary'!AT$112:AT$116))*'Equipment List &amp; Usage'!$C$115)+IF('Equipment List &amp; Usage'!$F24="yes",'Equipment List &amp; Usage'!$C$114,'Equipment List &amp; Usage'!$C$115)*(('Weekly Summary'!AT$66*'Equipment List &amp; Usage'!$Q25)+('Weekly Summary'!AT$64*'Equipment List &amp; Usage'!$O25)+('Weekly Summary'!AT$65*'Equipment List &amp; Usage'!$P25))+(IF('Equipment List &amp; Usage'!$F25="Yes",'Equipment List &amp; Usage'!$C$114*((('Weekly Summary'!AT$131*SelfQuarantine_Mild)+('Weekly Summary'!AT$100*SelfQuarantine_Mild)+('Weekly Summary'!AT$101*SelfQuarantine_Moderate))),'Equipment List &amp; Usage'!$C$115)*((('Weekly Summary'!AT$131*SelfQuarantine_Mild*'Equipment List &amp; Usage'!$W25)+('Weekly Summary'!AT$100*SelfQuarantine_Mild*'Equipment List &amp; Usage'!$X25)+('Weekly Summary'!AT$101*SelfQuarantine_Moderate*'Equipment List &amp; Usage'!$X25))))+IF('Equipment List &amp; Usage'!$F25="Yes",'Equipment List &amp; Usage'!$C$114*(IF('Equipment List &amp; Usage'!$AA25&gt;0,'Weekly Summary'!AT$128,0)+IF('Equipment List &amp; Usage'!$AB25&gt;0,'Weekly Summary'!AT$100+'Weekly Summary'!AT$101,0)),'Equipment List &amp; Usage'!$C$115*(('Weekly Summary'!AT$128*'Equipment List &amp; Usage'!$AA25)+('Weekly Summary'!AT$100*'Equipment List &amp; Usage'!$AB25*SelfQuarantine_Mild)+('Weekly Summary'!AT$101*'Equipment List &amp; Usage'!$AB25*SelfQuarantine_Moderate)))+IF('Equipment List &amp; Usage'!$F25="Yes",('Equipment List &amp; Usage'!$C$114*(IF('Equipment List &amp; Usage'!$AE25&gt;0,'Weekly Summary'!AT$134,0)+IF('Equipment List &amp; Usage'!$AF25&gt;0,'Weekly Summary'!AT$135))),'Equipment List &amp; Usage'!$C$115*(('Weekly Summary'!AT$134*'Equipment List &amp; Usage'!$AE25)+('Weekly Summary'!AT$135*'Equipment List &amp; Usage'!$AF25)))),0)</f>
        <v>0</v>
      </c>
      <c r="BA23" s="1374">
        <f ca="1">MAX(IF($F23="Yes",(
IF($F23="yes",MMULT(--('Equipment List &amp; Usage'!$J25:$N25&gt;0),--('Weekly Summary'!AU$112:AU$116))*'Equipment List &amp; Usage'!$C$114,MMULT(--('Equipment List &amp; Usage'!$J25:$N25),--('Weekly Summary'!AU$112:AU$116))*'Equipment List &amp; Usage'!$C$115)+IF('Equipment List &amp; Usage'!$F24="yes",'Equipment List &amp; Usage'!$C$114,'Equipment List &amp; Usage'!$C$115)*(('Weekly Summary'!AU$66*'Equipment List &amp; Usage'!$Q25)+('Weekly Summary'!AU$64*'Equipment List &amp; Usage'!$O25)+('Weekly Summary'!AU$65*'Equipment List &amp; Usage'!$P25)))+(IF('Equipment List &amp; Usage'!$F25="Yes",'Equipment List &amp; Usage'!$C$114*((('Weekly Summary'!AU$131*SelfQuarantine_Mild)+('Weekly Summary'!AU$100*SelfQuarantine_Mild)+('Weekly Summary'!AU$101*SelfQuarantine_Moderate))),'Equipment List &amp; Usage'!$C$115)*((('Weekly Summary'!AU$131*SelfQuarantine_Mild*'Equipment List &amp; Usage'!$W25)+('Weekly Summary'!AU$100*SelfQuarantine_Mild*'Equipment List &amp; Usage'!$X25)+('Weekly Summary'!AU$101*SelfQuarantine_Moderate*'Equipment List &amp; Usage'!$X25)))+IF('Equipment List &amp; Usage'!$F25="Yes",'Equipment List &amp; Usage'!$C$114*(IF('Equipment List &amp; Usage'!$AA25&gt;0,'Weekly Summary'!AU$128,0)+IF('Equipment List &amp; Usage'!$AB25&gt;0,'Weekly Summary'!AU$100+'Weekly Summary'!AU$101,0)),'Equipment List &amp; Usage'!$C$115*(('Weekly Summary'!AU$128*'Equipment List &amp; Usage'!$AA25)+('Weekly Summary'!AU$100*'Equipment List &amp; Usage'!$AB25*SelfQuarantine_Mild)+('Weekly Summary'!AU$101*'Equipment List &amp; Usage'!$AB25*SelfQuarantine_Moderate)))+IF('Equipment List &amp; Usage'!$F25="Yes",('Equipment List &amp; Usage'!$C$114*(IF('Equipment List &amp; Usage'!$AE25&gt;0,'Weekly Summary'!AU$134,0)+IF('Equipment List &amp; Usage'!$AF25&gt;0,'Weekly Summary'!AU$135))),'Equipment List &amp; Usage'!$C$115*(('Weekly Summary'!AU$134*'Equipment List &amp; Usage'!$AE25)+('Weekly Summary'!AU$135*'Equipment List &amp; Usage'!$AF25))))-SUM($I23:AZ23),
IF($F23="yes",MMULT(--('Equipment List &amp; Usage'!$J25:$N25&gt;0),--('Weekly Summary'!AU$112:AU$116))*'Equipment List &amp; Usage'!$C$114,MMULT(--('Equipment List &amp; Usage'!$J25:$N25),--('Weekly Summary'!AU$112:AU$116))*'Equipment List &amp; Usage'!$C$115)+IF('Equipment List &amp; Usage'!$F24="yes",'Equipment List &amp; Usage'!$C$114,'Equipment List &amp; Usage'!$C$115)*(('Weekly Summary'!AU$66*'Equipment List &amp; Usage'!$Q25)+('Weekly Summary'!AU$64*'Equipment List &amp; Usage'!$O25)+('Weekly Summary'!AU$65*'Equipment List &amp; Usage'!$P25))+(IF('Equipment List &amp; Usage'!$F25="Yes",'Equipment List &amp; Usage'!$C$114*((('Weekly Summary'!AU$131*SelfQuarantine_Mild)+('Weekly Summary'!AU$100*SelfQuarantine_Mild)+('Weekly Summary'!AU$101*SelfQuarantine_Moderate))),'Equipment List &amp; Usage'!$C$115)*((('Weekly Summary'!AU$131*SelfQuarantine_Mild*'Equipment List &amp; Usage'!$W25)+('Weekly Summary'!AU$100*SelfQuarantine_Mild*'Equipment List &amp; Usage'!$X25)+('Weekly Summary'!AU$101*SelfQuarantine_Moderate*'Equipment List &amp; Usage'!$X25))))+IF('Equipment List &amp; Usage'!$F25="Yes",'Equipment List &amp; Usage'!$C$114*(IF('Equipment List &amp; Usage'!$AA25&gt;0,'Weekly Summary'!AU$128,0)+IF('Equipment List &amp; Usage'!$AB25&gt;0,'Weekly Summary'!AU$100+'Weekly Summary'!AU$101,0)),'Equipment List &amp; Usage'!$C$115*(('Weekly Summary'!AU$128*'Equipment List &amp; Usage'!$AA25)+('Weekly Summary'!AU$100*'Equipment List &amp; Usage'!$AB25*SelfQuarantine_Mild)+('Weekly Summary'!AU$101*'Equipment List &amp; Usage'!$AB25*SelfQuarantine_Moderate)))+IF('Equipment List &amp; Usage'!$F25="Yes",('Equipment List &amp; Usage'!$C$114*(IF('Equipment List &amp; Usage'!$AE25&gt;0,'Weekly Summary'!AU$134,0)+IF('Equipment List &amp; Usage'!$AF25&gt;0,'Weekly Summary'!AU$135))),'Equipment List &amp; Usage'!$C$115*(('Weekly Summary'!AU$134*'Equipment List &amp; Usage'!$AE25)+('Weekly Summary'!AU$135*'Equipment List &amp; Usage'!$AF25)))),0)</f>
        <v>0</v>
      </c>
      <c r="BB23" s="1374">
        <f ca="1">MAX(IF($F23="Yes",(
IF($F23="yes",MMULT(--('Equipment List &amp; Usage'!$J25:$N25&gt;0),--('Weekly Summary'!AV$112:AV$116))*'Equipment List &amp; Usage'!$C$114,MMULT(--('Equipment List &amp; Usage'!$J25:$N25),--('Weekly Summary'!AV$112:AV$116))*'Equipment List &amp; Usage'!$C$115)+IF('Equipment List &amp; Usage'!$F24="yes",'Equipment List &amp; Usage'!$C$114,'Equipment List &amp; Usage'!$C$115)*(('Weekly Summary'!AV$66*'Equipment List &amp; Usage'!$Q25)+('Weekly Summary'!AV$64*'Equipment List &amp; Usage'!$O25)+('Weekly Summary'!AV$65*'Equipment List &amp; Usage'!$P25)))+(IF('Equipment List &amp; Usage'!$F25="Yes",'Equipment List &amp; Usage'!$C$114*((('Weekly Summary'!AV$131*SelfQuarantine_Mild)+('Weekly Summary'!AV$100*SelfQuarantine_Mild)+('Weekly Summary'!AV$101*SelfQuarantine_Moderate))),'Equipment List &amp; Usage'!$C$115)*((('Weekly Summary'!AV$131*SelfQuarantine_Mild*'Equipment List &amp; Usage'!$W25)+('Weekly Summary'!AV$100*SelfQuarantine_Mild*'Equipment List &amp; Usage'!$X25)+('Weekly Summary'!AV$101*SelfQuarantine_Moderate*'Equipment List &amp; Usage'!$X25)))+IF('Equipment List &amp; Usage'!$F25="Yes",'Equipment List &amp; Usage'!$C$114*(IF('Equipment List &amp; Usage'!$AA25&gt;0,'Weekly Summary'!AV$128,0)+IF('Equipment List &amp; Usage'!$AB25&gt;0,'Weekly Summary'!AV$100+'Weekly Summary'!AV$101,0)),'Equipment List &amp; Usage'!$C$115*(('Weekly Summary'!AV$128*'Equipment List &amp; Usage'!$AA25)+('Weekly Summary'!AV$100*'Equipment List &amp; Usage'!$AB25*SelfQuarantine_Mild)+('Weekly Summary'!AV$101*'Equipment List &amp; Usage'!$AB25*SelfQuarantine_Moderate)))+IF('Equipment List &amp; Usage'!$F25="Yes",('Equipment List &amp; Usage'!$C$114*(IF('Equipment List &amp; Usage'!$AE25&gt;0,'Weekly Summary'!AV$134,0)+IF('Equipment List &amp; Usage'!$AF25&gt;0,'Weekly Summary'!AV$135))),'Equipment List &amp; Usage'!$C$115*(('Weekly Summary'!AV$134*'Equipment List &amp; Usage'!$AE25)+('Weekly Summary'!AV$135*'Equipment List &amp; Usage'!$AF25))))-SUM($I23:BA23),
IF($F23="yes",MMULT(--('Equipment List &amp; Usage'!$J25:$N25&gt;0),--('Weekly Summary'!AV$112:AV$116))*'Equipment List &amp; Usage'!$C$114,MMULT(--('Equipment List &amp; Usage'!$J25:$N25),--('Weekly Summary'!AV$112:AV$116))*'Equipment List &amp; Usage'!$C$115)+IF('Equipment List &amp; Usage'!$F24="yes",'Equipment List &amp; Usage'!$C$114,'Equipment List &amp; Usage'!$C$115)*(('Weekly Summary'!AV$66*'Equipment List &amp; Usage'!$Q25)+('Weekly Summary'!AV$64*'Equipment List &amp; Usage'!$O25)+('Weekly Summary'!AV$65*'Equipment List &amp; Usage'!$P25))+(IF('Equipment List &amp; Usage'!$F25="Yes",'Equipment List &amp; Usage'!$C$114*((('Weekly Summary'!AV$131*SelfQuarantine_Mild)+('Weekly Summary'!AV$100*SelfQuarantine_Mild)+('Weekly Summary'!AV$101*SelfQuarantine_Moderate))),'Equipment List &amp; Usage'!$C$115)*((('Weekly Summary'!AV$131*SelfQuarantine_Mild*'Equipment List &amp; Usage'!$W25)+('Weekly Summary'!AV$100*SelfQuarantine_Mild*'Equipment List &amp; Usage'!$X25)+('Weekly Summary'!AV$101*SelfQuarantine_Moderate*'Equipment List &amp; Usage'!$X25))))+IF('Equipment List &amp; Usage'!$F25="Yes",'Equipment List &amp; Usage'!$C$114*(IF('Equipment List &amp; Usage'!$AA25&gt;0,'Weekly Summary'!AV$128,0)+IF('Equipment List &amp; Usage'!$AB25&gt;0,'Weekly Summary'!AV$100+'Weekly Summary'!AV$101,0)),'Equipment List &amp; Usage'!$C$115*(('Weekly Summary'!AV$128*'Equipment List &amp; Usage'!$AA25)+('Weekly Summary'!AV$100*'Equipment List &amp; Usage'!$AB25*SelfQuarantine_Mild)+('Weekly Summary'!AV$101*'Equipment List &amp; Usage'!$AB25*SelfQuarantine_Moderate)))+IF('Equipment List &amp; Usage'!$F25="Yes",('Equipment List &amp; Usage'!$C$114*(IF('Equipment List &amp; Usage'!$AE25&gt;0,'Weekly Summary'!AV$134,0)+IF('Equipment List &amp; Usage'!$AF25&gt;0,'Weekly Summary'!AV$135))),'Equipment List &amp; Usage'!$C$115*(('Weekly Summary'!AV$134*'Equipment List &amp; Usage'!$AE25)+('Weekly Summary'!AV$135*'Equipment List &amp; Usage'!$AF25)))),0)</f>
        <v>0</v>
      </c>
      <c r="BC23" s="1374">
        <f ca="1">MAX(IF($F23="Yes",(
IF($F23="yes",MMULT(--('Equipment List &amp; Usage'!$J25:$N25&gt;0),--('Weekly Summary'!AW$112:AW$116))*'Equipment List &amp; Usage'!$C$114,MMULT(--('Equipment List &amp; Usage'!$J25:$N25),--('Weekly Summary'!AW$112:AW$116))*'Equipment List &amp; Usage'!$C$115)+IF('Equipment List &amp; Usage'!$F24="yes",'Equipment List &amp; Usage'!$C$114,'Equipment List &amp; Usage'!$C$115)*(('Weekly Summary'!AW$66*'Equipment List &amp; Usage'!$Q25)+('Weekly Summary'!AW$64*'Equipment List &amp; Usage'!$O25)+('Weekly Summary'!AW$65*'Equipment List &amp; Usage'!$P25)))+(IF('Equipment List &amp; Usage'!$F25="Yes",'Equipment List &amp; Usage'!$C$114*((('Weekly Summary'!AW$131*SelfQuarantine_Mild)+('Weekly Summary'!AW$100*SelfQuarantine_Mild)+('Weekly Summary'!AW$101*SelfQuarantine_Moderate))),'Equipment List &amp; Usage'!$C$115)*((('Weekly Summary'!AW$131*SelfQuarantine_Mild*'Equipment List &amp; Usage'!$W25)+('Weekly Summary'!AW$100*SelfQuarantine_Mild*'Equipment List &amp; Usage'!$X25)+('Weekly Summary'!AW$101*SelfQuarantine_Moderate*'Equipment List &amp; Usage'!$X25)))+IF('Equipment List &amp; Usage'!$F25="Yes",'Equipment List &amp; Usage'!$C$114*(IF('Equipment List &amp; Usage'!$AA25&gt;0,'Weekly Summary'!AW$128,0)+IF('Equipment List &amp; Usage'!$AB25&gt;0,'Weekly Summary'!AW$100+'Weekly Summary'!AW$101,0)),'Equipment List &amp; Usage'!$C$115*(('Weekly Summary'!AW$128*'Equipment List &amp; Usage'!$AA25)+('Weekly Summary'!AW$100*'Equipment List &amp; Usage'!$AB25*SelfQuarantine_Mild)+('Weekly Summary'!AW$101*'Equipment List &amp; Usage'!$AB25*SelfQuarantine_Moderate)))+IF('Equipment List &amp; Usage'!$F25="Yes",('Equipment List &amp; Usage'!$C$114*(IF('Equipment List &amp; Usage'!$AE25&gt;0,'Weekly Summary'!AW$134,0)+IF('Equipment List &amp; Usage'!$AF25&gt;0,'Weekly Summary'!AW$135))),'Equipment List &amp; Usage'!$C$115*(('Weekly Summary'!AW$134*'Equipment List &amp; Usage'!$AE25)+('Weekly Summary'!AW$135*'Equipment List &amp; Usage'!$AF25))))-SUM($I23:BB23),
IF($F23="yes",MMULT(--('Equipment List &amp; Usage'!$J25:$N25&gt;0),--('Weekly Summary'!AW$112:AW$116))*'Equipment List &amp; Usage'!$C$114,MMULT(--('Equipment List &amp; Usage'!$J25:$N25),--('Weekly Summary'!AW$112:AW$116))*'Equipment List &amp; Usage'!$C$115)+IF('Equipment List &amp; Usage'!$F24="yes",'Equipment List &amp; Usage'!$C$114,'Equipment List &amp; Usage'!$C$115)*(('Weekly Summary'!AW$66*'Equipment List &amp; Usage'!$Q25)+('Weekly Summary'!AW$64*'Equipment List &amp; Usage'!$O25)+('Weekly Summary'!AW$65*'Equipment List &amp; Usage'!$P25))+(IF('Equipment List &amp; Usage'!$F25="Yes",'Equipment List &amp; Usage'!$C$114*((('Weekly Summary'!AW$131*SelfQuarantine_Mild)+('Weekly Summary'!AW$100*SelfQuarantine_Mild)+('Weekly Summary'!AW$101*SelfQuarantine_Moderate))),'Equipment List &amp; Usage'!$C$115)*((('Weekly Summary'!AW$131*SelfQuarantine_Mild*'Equipment List &amp; Usage'!$W25)+('Weekly Summary'!AW$100*SelfQuarantine_Mild*'Equipment List &amp; Usage'!$X25)+('Weekly Summary'!AW$101*SelfQuarantine_Moderate*'Equipment List &amp; Usage'!$X25))))+IF('Equipment List &amp; Usage'!$F25="Yes",'Equipment List &amp; Usage'!$C$114*(IF('Equipment List &amp; Usage'!$AA25&gt;0,'Weekly Summary'!AW$128,0)+IF('Equipment List &amp; Usage'!$AB25&gt;0,'Weekly Summary'!AW$100+'Weekly Summary'!AW$101,0)),'Equipment List &amp; Usage'!$C$115*(('Weekly Summary'!AW$128*'Equipment List &amp; Usage'!$AA25)+('Weekly Summary'!AW$100*'Equipment List &amp; Usage'!$AB25*SelfQuarantine_Mild)+('Weekly Summary'!AW$101*'Equipment List &amp; Usage'!$AB25*SelfQuarantine_Moderate)))+IF('Equipment List &amp; Usage'!$F25="Yes",('Equipment List &amp; Usage'!$C$114*(IF('Equipment List &amp; Usage'!$AE25&gt;0,'Weekly Summary'!AW$134,0)+IF('Equipment List &amp; Usage'!$AF25&gt;0,'Weekly Summary'!AW$135))),'Equipment List &amp; Usage'!$C$115*(('Weekly Summary'!AW$134*'Equipment List &amp; Usage'!$AE25)+('Weekly Summary'!AW$135*'Equipment List &amp; Usage'!$AF25)))),0)</f>
        <v>0</v>
      </c>
      <c r="BD23" s="1374">
        <f ca="1">MAX(IF($F23="Yes",(
IF($F23="yes",MMULT(--('Equipment List &amp; Usage'!$J25:$N25&gt;0),--('Weekly Summary'!AX$112:AX$116))*'Equipment List &amp; Usage'!$C$114,MMULT(--('Equipment List &amp; Usage'!$J25:$N25),--('Weekly Summary'!AX$112:AX$116))*'Equipment List &amp; Usage'!$C$115)+IF('Equipment List &amp; Usage'!$F24="yes",'Equipment List &amp; Usage'!$C$114,'Equipment List &amp; Usage'!$C$115)*(('Weekly Summary'!AX$66*'Equipment List &amp; Usage'!$Q25)+('Weekly Summary'!AX$64*'Equipment List &amp; Usage'!$O25)+('Weekly Summary'!AX$65*'Equipment List &amp; Usage'!$P25)))+(IF('Equipment List &amp; Usage'!$F25="Yes",'Equipment List &amp; Usage'!$C$114*((('Weekly Summary'!AX$131*SelfQuarantine_Mild)+('Weekly Summary'!AX$100*SelfQuarantine_Mild)+('Weekly Summary'!AX$101*SelfQuarantine_Moderate))),'Equipment List &amp; Usage'!$C$115)*((('Weekly Summary'!AX$131*SelfQuarantine_Mild*'Equipment List &amp; Usage'!$W25)+('Weekly Summary'!AX$100*SelfQuarantine_Mild*'Equipment List &amp; Usage'!$X25)+('Weekly Summary'!AX$101*SelfQuarantine_Moderate*'Equipment List &amp; Usage'!$X25)))+IF('Equipment List &amp; Usage'!$F25="Yes",'Equipment List &amp; Usage'!$C$114*(IF('Equipment List &amp; Usage'!$AA25&gt;0,'Weekly Summary'!AX$128,0)+IF('Equipment List &amp; Usage'!$AB25&gt;0,'Weekly Summary'!AX$100+'Weekly Summary'!AX$101,0)),'Equipment List &amp; Usage'!$C$115*(('Weekly Summary'!AX$128*'Equipment List &amp; Usage'!$AA25)+('Weekly Summary'!AX$100*'Equipment List &amp; Usage'!$AB25*SelfQuarantine_Mild)+('Weekly Summary'!AX$101*'Equipment List &amp; Usage'!$AB25*SelfQuarantine_Moderate)))+IF('Equipment List &amp; Usage'!$F25="Yes",('Equipment List &amp; Usage'!$C$114*(IF('Equipment List &amp; Usage'!$AE25&gt;0,'Weekly Summary'!AX$134,0)+IF('Equipment List &amp; Usage'!$AF25&gt;0,'Weekly Summary'!AX$135))),'Equipment List &amp; Usage'!$C$115*(('Weekly Summary'!AX$134*'Equipment List &amp; Usage'!$AE25)+('Weekly Summary'!AX$135*'Equipment List &amp; Usage'!$AF25))))-SUM($I23:BC23),
IF($F23="yes",MMULT(--('Equipment List &amp; Usage'!$J25:$N25&gt;0),--('Weekly Summary'!AX$112:AX$116))*'Equipment List &amp; Usage'!$C$114,MMULT(--('Equipment List &amp; Usage'!$J25:$N25),--('Weekly Summary'!AX$112:AX$116))*'Equipment List &amp; Usage'!$C$115)+IF('Equipment List &amp; Usage'!$F24="yes",'Equipment List &amp; Usage'!$C$114,'Equipment List &amp; Usage'!$C$115)*(('Weekly Summary'!AX$66*'Equipment List &amp; Usage'!$Q25)+('Weekly Summary'!AX$64*'Equipment List &amp; Usage'!$O25)+('Weekly Summary'!AX$65*'Equipment List &amp; Usage'!$P25))+(IF('Equipment List &amp; Usage'!$F25="Yes",'Equipment List &amp; Usage'!$C$114*((('Weekly Summary'!AX$131*SelfQuarantine_Mild)+('Weekly Summary'!AX$100*SelfQuarantine_Mild)+('Weekly Summary'!AX$101*SelfQuarantine_Moderate))),'Equipment List &amp; Usage'!$C$115)*((('Weekly Summary'!AX$131*SelfQuarantine_Mild*'Equipment List &amp; Usage'!$W25)+('Weekly Summary'!AX$100*SelfQuarantine_Mild*'Equipment List &amp; Usage'!$X25)+('Weekly Summary'!AX$101*SelfQuarantine_Moderate*'Equipment List &amp; Usage'!$X25))))+IF('Equipment List &amp; Usage'!$F25="Yes",'Equipment List &amp; Usage'!$C$114*(IF('Equipment List &amp; Usage'!$AA25&gt;0,'Weekly Summary'!AX$128,0)+IF('Equipment List &amp; Usage'!$AB25&gt;0,'Weekly Summary'!AX$100+'Weekly Summary'!AX$101,0)),'Equipment List &amp; Usage'!$C$115*(('Weekly Summary'!AX$128*'Equipment List &amp; Usage'!$AA25)+('Weekly Summary'!AX$100*'Equipment List &amp; Usage'!$AB25*SelfQuarantine_Mild)+('Weekly Summary'!AX$101*'Equipment List &amp; Usage'!$AB25*SelfQuarantine_Moderate)))+IF('Equipment List &amp; Usage'!$F25="Yes",('Equipment List &amp; Usage'!$C$114*(IF('Equipment List &amp; Usage'!$AE25&gt;0,'Weekly Summary'!AX$134,0)+IF('Equipment List &amp; Usage'!$AF25&gt;0,'Weekly Summary'!AX$135))),'Equipment List &amp; Usage'!$C$115*(('Weekly Summary'!AX$134*'Equipment List &amp; Usage'!$AE25)+('Weekly Summary'!AX$135*'Equipment List &amp; Usage'!$AF25)))),0)</f>
        <v>0</v>
      </c>
      <c r="BE23" s="1374">
        <f ca="1">MAX(IF($F23="Yes",(
IF($F23="yes",MMULT(--('Equipment List &amp; Usage'!$J25:$N25&gt;0),--('Weekly Summary'!AY$112:AY$116))*'Equipment List &amp; Usage'!$C$114,MMULT(--('Equipment List &amp; Usage'!$J25:$N25),--('Weekly Summary'!AY$112:AY$116))*'Equipment List &amp; Usage'!$C$115)+IF('Equipment List &amp; Usage'!$F24="yes",'Equipment List &amp; Usage'!$C$114,'Equipment List &amp; Usage'!$C$115)*(('Weekly Summary'!AY$66*'Equipment List &amp; Usage'!$Q25)+('Weekly Summary'!AY$64*'Equipment List &amp; Usage'!$O25)+('Weekly Summary'!AY$65*'Equipment List &amp; Usage'!$P25)))+(IF('Equipment List &amp; Usage'!$F25="Yes",'Equipment List &amp; Usage'!$C$114*((('Weekly Summary'!AY$131*SelfQuarantine_Mild)+('Weekly Summary'!AY$100*SelfQuarantine_Mild)+('Weekly Summary'!AY$101*SelfQuarantine_Moderate))),'Equipment List &amp; Usage'!$C$115)*((('Weekly Summary'!AY$131*SelfQuarantine_Mild*'Equipment List &amp; Usage'!$W25)+('Weekly Summary'!AY$100*SelfQuarantine_Mild*'Equipment List &amp; Usage'!$X25)+('Weekly Summary'!AY$101*SelfQuarantine_Moderate*'Equipment List &amp; Usage'!$X25)))+IF('Equipment List &amp; Usage'!$F25="Yes",'Equipment List &amp; Usage'!$C$114*(IF('Equipment List &amp; Usage'!$AA25&gt;0,'Weekly Summary'!AY$128,0)+IF('Equipment List &amp; Usage'!$AB25&gt;0,'Weekly Summary'!AY$100+'Weekly Summary'!AY$101,0)),'Equipment List &amp; Usage'!$C$115*(('Weekly Summary'!AY$128*'Equipment List &amp; Usage'!$AA25)+('Weekly Summary'!AY$100*'Equipment List &amp; Usage'!$AB25*SelfQuarantine_Mild)+('Weekly Summary'!AY$101*'Equipment List &amp; Usage'!$AB25*SelfQuarantine_Moderate)))+IF('Equipment List &amp; Usage'!$F25="Yes",('Equipment List &amp; Usage'!$C$114*(IF('Equipment List &amp; Usage'!$AE25&gt;0,'Weekly Summary'!AY$134,0)+IF('Equipment List &amp; Usage'!$AF25&gt;0,'Weekly Summary'!AY$135))),'Equipment List &amp; Usage'!$C$115*(('Weekly Summary'!AY$134*'Equipment List &amp; Usage'!$AE25)+('Weekly Summary'!AY$135*'Equipment List &amp; Usage'!$AF25))))-SUM($I23:BD23),
IF($F23="yes",MMULT(--('Equipment List &amp; Usage'!$J25:$N25&gt;0),--('Weekly Summary'!AY$112:AY$116))*'Equipment List &amp; Usage'!$C$114,MMULT(--('Equipment List &amp; Usage'!$J25:$N25),--('Weekly Summary'!AY$112:AY$116))*'Equipment List &amp; Usage'!$C$115)+IF('Equipment List &amp; Usage'!$F24="yes",'Equipment List &amp; Usage'!$C$114,'Equipment List &amp; Usage'!$C$115)*(('Weekly Summary'!AY$66*'Equipment List &amp; Usage'!$Q25)+('Weekly Summary'!AY$64*'Equipment List &amp; Usage'!$O25)+('Weekly Summary'!AY$65*'Equipment List &amp; Usage'!$P25))+(IF('Equipment List &amp; Usage'!$F25="Yes",'Equipment List &amp; Usage'!$C$114*((('Weekly Summary'!AY$131*SelfQuarantine_Mild)+('Weekly Summary'!AY$100*SelfQuarantine_Mild)+('Weekly Summary'!AY$101*SelfQuarantine_Moderate))),'Equipment List &amp; Usage'!$C$115)*((('Weekly Summary'!AY$131*SelfQuarantine_Mild*'Equipment List &amp; Usage'!$W25)+('Weekly Summary'!AY$100*SelfQuarantine_Mild*'Equipment List &amp; Usage'!$X25)+('Weekly Summary'!AY$101*SelfQuarantine_Moderate*'Equipment List &amp; Usage'!$X25))))+IF('Equipment List &amp; Usage'!$F25="Yes",'Equipment List &amp; Usage'!$C$114*(IF('Equipment List &amp; Usage'!$AA25&gt;0,'Weekly Summary'!AY$128,0)+IF('Equipment List &amp; Usage'!$AB25&gt;0,'Weekly Summary'!AY$100+'Weekly Summary'!AY$101,0)),'Equipment List &amp; Usage'!$C$115*(('Weekly Summary'!AY$128*'Equipment List &amp; Usage'!$AA25)+('Weekly Summary'!AY$100*'Equipment List &amp; Usage'!$AB25*SelfQuarantine_Mild)+('Weekly Summary'!AY$101*'Equipment List &amp; Usage'!$AB25*SelfQuarantine_Moderate)))+IF('Equipment List &amp; Usage'!$F25="Yes",('Equipment List &amp; Usage'!$C$114*(IF('Equipment List &amp; Usage'!$AE25&gt;0,'Weekly Summary'!AY$134,0)+IF('Equipment List &amp; Usage'!$AF25&gt;0,'Weekly Summary'!AY$135))),'Equipment List &amp; Usage'!$C$115*(('Weekly Summary'!AY$134*'Equipment List &amp; Usage'!$AE25)+('Weekly Summary'!AY$135*'Equipment List &amp; Usage'!$AF25)))),0)</f>
        <v>0</v>
      </c>
      <c r="BF23" s="1374">
        <f ca="1">MAX(IF($F23="Yes",(
IF($F23="yes",MMULT(--('Equipment List &amp; Usage'!$J25:$N25&gt;0),--('Weekly Summary'!AZ$112:AZ$116))*'Equipment List &amp; Usage'!$C$114,MMULT(--('Equipment List &amp; Usage'!$J25:$N25),--('Weekly Summary'!AZ$112:AZ$116))*'Equipment List &amp; Usage'!$C$115)+IF('Equipment List &amp; Usage'!$F24="yes",'Equipment List &amp; Usage'!$C$114,'Equipment List &amp; Usage'!$C$115)*(('Weekly Summary'!AZ$66*'Equipment List &amp; Usage'!$Q25)+('Weekly Summary'!AZ$64*'Equipment List &amp; Usage'!$O25)+('Weekly Summary'!AZ$65*'Equipment List &amp; Usage'!$P25)))+(IF('Equipment List &amp; Usage'!$F25="Yes",'Equipment List &amp; Usage'!$C$114*((('Weekly Summary'!AZ$131*SelfQuarantine_Mild)+('Weekly Summary'!AZ$100*SelfQuarantine_Mild)+('Weekly Summary'!AZ$101*SelfQuarantine_Moderate))),'Equipment List &amp; Usage'!$C$115)*((('Weekly Summary'!AZ$131*SelfQuarantine_Mild*'Equipment List &amp; Usage'!$W25)+('Weekly Summary'!AZ$100*SelfQuarantine_Mild*'Equipment List &amp; Usage'!$X25)+('Weekly Summary'!AZ$101*SelfQuarantine_Moderate*'Equipment List &amp; Usage'!$X25)))+IF('Equipment List &amp; Usage'!$F25="Yes",'Equipment List &amp; Usage'!$C$114*(IF('Equipment List &amp; Usage'!$AA25&gt;0,'Weekly Summary'!AZ$128,0)+IF('Equipment List &amp; Usage'!$AB25&gt;0,'Weekly Summary'!AZ$100+'Weekly Summary'!AZ$101,0)),'Equipment List &amp; Usage'!$C$115*(('Weekly Summary'!AZ$128*'Equipment List &amp; Usage'!$AA25)+('Weekly Summary'!AZ$100*'Equipment List &amp; Usage'!$AB25*SelfQuarantine_Mild)+('Weekly Summary'!AZ$101*'Equipment List &amp; Usage'!$AB25*SelfQuarantine_Moderate)))+IF('Equipment List &amp; Usage'!$F25="Yes",('Equipment List &amp; Usage'!$C$114*(IF('Equipment List &amp; Usage'!$AE25&gt;0,'Weekly Summary'!AZ$134,0)+IF('Equipment List &amp; Usage'!$AF25&gt;0,'Weekly Summary'!AZ$135))),'Equipment List &amp; Usage'!$C$115*(('Weekly Summary'!AZ$134*'Equipment List &amp; Usage'!$AE25)+('Weekly Summary'!AZ$135*'Equipment List &amp; Usage'!$AF25))))-SUM($I23:BE23),
IF($F23="yes",MMULT(--('Equipment List &amp; Usage'!$J25:$N25&gt;0),--('Weekly Summary'!AZ$112:AZ$116))*'Equipment List &amp; Usage'!$C$114,MMULT(--('Equipment List &amp; Usage'!$J25:$N25),--('Weekly Summary'!AZ$112:AZ$116))*'Equipment List &amp; Usage'!$C$115)+IF('Equipment List &amp; Usage'!$F24="yes",'Equipment List &amp; Usage'!$C$114,'Equipment List &amp; Usage'!$C$115)*(('Weekly Summary'!AZ$66*'Equipment List &amp; Usage'!$Q25)+('Weekly Summary'!AZ$64*'Equipment List &amp; Usage'!$O25)+('Weekly Summary'!AZ$65*'Equipment List &amp; Usage'!$P25))+(IF('Equipment List &amp; Usage'!$F25="Yes",'Equipment List &amp; Usage'!$C$114*((('Weekly Summary'!AZ$131*SelfQuarantine_Mild)+('Weekly Summary'!AZ$100*SelfQuarantine_Mild)+('Weekly Summary'!AZ$101*SelfQuarantine_Moderate))),'Equipment List &amp; Usage'!$C$115)*((('Weekly Summary'!AZ$131*SelfQuarantine_Mild*'Equipment List &amp; Usage'!$W25)+('Weekly Summary'!AZ$100*SelfQuarantine_Mild*'Equipment List &amp; Usage'!$X25)+('Weekly Summary'!AZ$101*SelfQuarantine_Moderate*'Equipment List &amp; Usage'!$X25))))+IF('Equipment List &amp; Usage'!$F25="Yes",'Equipment List &amp; Usage'!$C$114*(IF('Equipment List &amp; Usage'!$AA25&gt;0,'Weekly Summary'!AZ$128,0)+IF('Equipment List &amp; Usage'!$AB25&gt;0,'Weekly Summary'!AZ$100+'Weekly Summary'!AZ$101,0)),'Equipment List &amp; Usage'!$C$115*(('Weekly Summary'!AZ$128*'Equipment List &amp; Usage'!$AA25)+('Weekly Summary'!AZ$100*'Equipment List &amp; Usage'!$AB25*SelfQuarantine_Mild)+('Weekly Summary'!AZ$101*'Equipment List &amp; Usage'!$AB25*SelfQuarantine_Moderate)))+IF('Equipment List &amp; Usage'!$F25="Yes",('Equipment List &amp; Usage'!$C$114*(IF('Equipment List &amp; Usage'!$AE25&gt;0,'Weekly Summary'!AZ$134,0)+IF('Equipment List &amp; Usage'!$AF25&gt;0,'Weekly Summary'!AZ$135))),'Equipment List &amp; Usage'!$C$115*(('Weekly Summary'!AZ$134*'Equipment List &amp; Usage'!$AE25)+('Weekly Summary'!AZ$135*'Equipment List &amp; Usage'!$AF25)))),0)</f>
        <v>0</v>
      </c>
      <c r="BG23" s="1374">
        <f ca="1">MAX(IF($F23="Yes",(
IF($F23="yes",MMULT(--('Equipment List &amp; Usage'!$J25:$N25&gt;0),--('Weekly Summary'!BA$112:BA$116))*'Equipment List &amp; Usage'!$C$114,MMULT(--('Equipment List &amp; Usage'!$J25:$N25),--('Weekly Summary'!BA$112:BA$116))*'Equipment List &amp; Usage'!$C$115)+IF('Equipment List &amp; Usage'!$F24="yes",'Equipment List &amp; Usage'!$C$114,'Equipment List &amp; Usage'!$C$115)*(('Weekly Summary'!BA$66*'Equipment List &amp; Usage'!$Q25)+('Weekly Summary'!BA$64*'Equipment List &amp; Usage'!$O25)+('Weekly Summary'!BA$65*'Equipment List &amp; Usage'!$P25)))+(IF('Equipment List &amp; Usage'!$F25="Yes",'Equipment List &amp; Usage'!$C$114*((('Weekly Summary'!BA$131*SelfQuarantine_Mild)+('Weekly Summary'!BA$100*SelfQuarantine_Mild)+('Weekly Summary'!BA$101*SelfQuarantine_Moderate))),'Equipment List &amp; Usage'!$C$115)*((('Weekly Summary'!BA$131*SelfQuarantine_Mild*'Equipment List &amp; Usage'!$W25)+('Weekly Summary'!BA$100*SelfQuarantine_Mild*'Equipment List &amp; Usage'!$X25)+('Weekly Summary'!BA$101*SelfQuarantine_Moderate*'Equipment List &amp; Usage'!$X25)))+IF('Equipment List &amp; Usage'!$F25="Yes",'Equipment List &amp; Usage'!$C$114*(IF('Equipment List &amp; Usage'!$AA25&gt;0,'Weekly Summary'!BA$128,0)+IF('Equipment List &amp; Usage'!$AB25&gt;0,'Weekly Summary'!BA$100+'Weekly Summary'!BA$101,0)),'Equipment List &amp; Usage'!$C$115*(('Weekly Summary'!BA$128*'Equipment List &amp; Usage'!$AA25)+('Weekly Summary'!BA$100*'Equipment List &amp; Usage'!$AB25*SelfQuarantine_Mild)+('Weekly Summary'!BA$101*'Equipment List &amp; Usage'!$AB25*SelfQuarantine_Moderate)))+IF('Equipment List &amp; Usage'!$F25="Yes",('Equipment List &amp; Usage'!$C$114*(IF('Equipment List &amp; Usage'!$AE25&gt;0,'Weekly Summary'!BA$134,0)+IF('Equipment List &amp; Usage'!$AF25&gt;0,'Weekly Summary'!BA$135))),'Equipment List &amp; Usage'!$C$115*(('Weekly Summary'!BA$134*'Equipment List &amp; Usage'!$AE25)+('Weekly Summary'!BA$135*'Equipment List &amp; Usage'!$AF25))))-SUM($I23:BF23),
IF($F23="yes",MMULT(--('Equipment List &amp; Usage'!$J25:$N25&gt;0),--('Weekly Summary'!BA$112:BA$116))*'Equipment List &amp; Usage'!$C$114,MMULT(--('Equipment List &amp; Usage'!$J25:$N25),--('Weekly Summary'!BA$112:BA$116))*'Equipment List &amp; Usage'!$C$115)+IF('Equipment List &amp; Usage'!$F24="yes",'Equipment List &amp; Usage'!$C$114,'Equipment List &amp; Usage'!$C$115)*(('Weekly Summary'!BA$66*'Equipment List &amp; Usage'!$Q25)+('Weekly Summary'!BA$64*'Equipment List &amp; Usage'!$O25)+('Weekly Summary'!BA$65*'Equipment List &amp; Usage'!$P25))+(IF('Equipment List &amp; Usage'!$F25="Yes",'Equipment List &amp; Usage'!$C$114*((('Weekly Summary'!BA$131*SelfQuarantine_Mild)+('Weekly Summary'!BA$100*SelfQuarantine_Mild)+('Weekly Summary'!BA$101*SelfQuarantine_Moderate))),'Equipment List &amp; Usage'!$C$115)*((('Weekly Summary'!BA$131*SelfQuarantine_Mild*'Equipment List &amp; Usage'!$W25)+('Weekly Summary'!BA$100*SelfQuarantine_Mild*'Equipment List &amp; Usage'!$X25)+('Weekly Summary'!BA$101*SelfQuarantine_Moderate*'Equipment List &amp; Usage'!$X25))))+IF('Equipment List &amp; Usage'!$F25="Yes",'Equipment List &amp; Usage'!$C$114*(IF('Equipment List &amp; Usage'!$AA25&gt;0,'Weekly Summary'!BA$128,0)+IF('Equipment List &amp; Usage'!$AB25&gt;0,'Weekly Summary'!BA$100+'Weekly Summary'!BA$101,0)),'Equipment List &amp; Usage'!$C$115*(('Weekly Summary'!BA$128*'Equipment List &amp; Usage'!$AA25)+('Weekly Summary'!BA$100*'Equipment List &amp; Usage'!$AB25*SelfQuarantine_Mild)+('Weekly Summary'!BA$101*'Equipment List &amp; Usage'!$AB25*SelfQuarantine_Moderate)))+IF('Equipment List &amp; Usage'!$F25="Yes",('Equipment List &amp; Usage'!$C$114*(IF('Equipment List &amp; Usage'!$AE25&gt;0,'Weekly Summary'!BA$134,0)+IF('Equipment List &amp; Usage'!$AF25&gt;0,'Weekly Summary'!BA$135))),'Equipment List &amp; Usage'!$C$115*(('Weekly Summary'!BA$134*'Equipment List &amp; Usage'!$AE25)+('Weekly Summary'!BA$135*'Equipment List &amp; Usage'!$AF25)))),0)</f>
        <v>0</v>
      </c>
      <c r="BH23" s="1374">
        <f ca="1">MAX(IF($F23="Yes",(
IF($F23="yes",MMULT(--('Equipment List &amp; Usage'!$J25:$N25&gt;0),--('Weekly Summary'!BB$112:BB$116))*'Equipment List &amp; Usage'!$C$114,MMULT(--('Equipment List &amp; Usage'!$J25:$N25),--('Weekly Summary'!BB$112:BB$116))*'Equipment List &amp; Usage'!$C$115)+IF('Equipment List &amp; Usage'!$F24="yes",'Equipment List &amp; Usage'!$C$114,'Equipment List &amp; Usage'!$C$115)*(('Weekly Summary'!BB$66*'Equipment List &amp; Usage'!$Q25)+('Weekly Summary'!BB$64*'Equipment List &amp; Usage'!$O25)+('Weekly Summary'!BB$65*'Equipment List &amp; Usage'!$P25)))+(IF('Equipment List &amp; Usage'!$F25="Yes",'Equipment List &amp; Usage'!$C$114*((('Weekly Summary'!BB$131*SelfQuarantine_Mild)+('Weekly Summary'!BB$100*SelfQuarantine_Mild)+('Weekly Summary'!BB$101*SelfQuarantine_Moderate))),'Equipment List &amp; Usage'!$C$115)*((('Weekly Summary'!BB$131*SelfQuarantine_Mild*'Equipment List &amp; Usage'!$W25)+('Weekly Summary'!BB$100*SelfQuarantine_Mild*'Equipment List &amp; Usage'!$X25)+('Weekly Summary'!BB$101*SelfQuarantine_Moderate*'Equipment List &amp; Usage'!$X25)))+IF('Equipment List &amp; Usage'!$F25="Yes",'Equipment List &amp; Usage'!$C$114*(IF('Equipment List &amp; Usage'!$AA25&gt;0,'Weekly Summary'!BB$128,0)+IF('Equipment List &amp; Usage'!$AB25&gt;0,'Weekly Summary'!BB$100+'Weekly Summary'!BB$101,0)),'Equipment List &amp; Usage'!$C$115*(('Weekly Summary'!BB$128*'Equipment List &amp; Usage'!$AA25)+('Weekly Summary'!BB$100*'Equipment List &amp; Usage'!$AB25*SelfQuarantine_Mild)+('Weekly Summary'!BB$101*'Equipment List &amp; Usage'!$AB25*SelfQuarantine_Moderate)))+IF('Equipment List &amp; Usage'!$F25="Yes",('Equipment List &amp; Usage'!$C$114*(IF('Equipment List &amp; Usage'!$AE25&gt;0,'Weekly Summary'!BB$134,0)+IF('Equipment List &amp; Usage'!$AF25&gt;0,'Weekly Summary'!BB$135))),'Equipment List &amp; Usage'!$C$115*(('Weekly Summary'!BB$134*'Equipment List &amp; Usage'!$AE25)+('Weekly Summary'!BB$135*'Equipment List &amp; Usage'!$AF25))))-SUM($I23:BG23),
IF($F23="yes",MMULT(--('Equipment List &amp; Usage'!$J25:$N25&gt;0),--('Weekly Summary'!BB$112:BB$116))*'Equipment List &amp; Usage'!$C$114,MMULT(--('Equipment List &amp; Usage'!$J25:$N25),--('Weekly Summary'!BB$112:BB$116))*'Equipment List &amp; Usage'!$C$115)+IF('Equipment List &amp; Usage'!$F24="yes",'Equipment List &amp; Usage'!$C$114,'Equipment List &amp; Usage'!$C$115)*(('Weekly Summary'!BB$66*'Equipment List &amp; Usage'!$Q25)+('Weekly Summary'!BB$64*'Equipment List &amp; Usage'!$O25)+('Weekly Summary'!BB$65*'Equipment List &amp; Usage'!$P25))+(IF('Equipment List &amp; Usage'!$F25="Yes",'Equipment List &amp; Usage'!$C$114*((('Weekly Summary'!BB$131*SelfQuarantine_Mild)+('Weekly Summary'!BB$100*SelfQuarantine_Mild)+('Weekly Summary'!BB$101*SelfQuarantine_Moderate))),'Equipment List &amp; Usage'!$C$115)*((('Weekly Summary'!BB$131*SelfQuarantine_Mild*'Equipment List &amp; Usage'!$W25)+('Weekly Summary'!BB$100*SelfQuarantine_Mild*'Equipment List &amp; Usage'!$X25)+('Weekly Summary'!BB$101*SelfQuarantine_Moderate*'Equipment List &amp; Usage'!$X25))))+IF('Equipment List &amp; Usage'!$F25="Yes",'Equipment List &amp; Usage'!$C$114*(IF('Equipment List &amp; Usage'!$AA25&gt;0,'Weekly Summary'!BB$128,0)+IF('Equipment List &amp; Usage'!$AB25&gt;0,'Weekly Summary'!BB$100+'Weekly Summary'!BB$101,0)),'Equipment List &amp; Usage'!$C$115*(('Weekly Summary'!BB$128*'Equipment List &amp; Usage'!$AA25)+('Weekly Summary'!BB$100*'Equipment List &amp; Usage'!$AB25*SelfQuarantine_Mild)+('Weekly Summary'!BB$101*'Equipment List &amp; Usage'!$AB25*SelfQuarantine_Moderate)))+IF('Equipment List &amp; Usage'!$F25="Yes",('Equipment List &amp; Usage'!$C$114*(IF('Equipment List &amp; Usage'!$AE25&gt;0,'Weekly Summary'!BB$134,0)+IF('Equipment List &amp; Usage'!$AF25&gt;0,'Weekly Summary'!BB$135))),'Equipment List &amp; Usage'!$C$115*(('Weekly Summary'!BB$134*'Equipment List &amp; Usage'!$AE25)+('Weekly Summary'!BB$135*'Equipment List &amp; Usage'!$AF25)))),0)</f>
        <v>0</v>
      </c>
      <c r="BI23" s="1374">
        <f ca="1">MAX(IF($F23="Yes",(
IF($F23="yes",MMULT(--('Equipment List &amp; Usage'!$J25:$N25&gt;0),--('Weekly Summary'!BC$112:BC$116))*'Equipment List &amp; Usage'!$C$114,MMULT(--('Equipment List &amp; Usage'!$J25:$N25),--('Weekly Summary'!BC$112:BC$116))*'Equipment List &amp; Usage'!$C$115)+IF('Equipment List &amp; Usage'!$F24="yes",'Equipment List &amp; Usage'!$C$114,'Equipment List &amp; Usage'!$C$115)*(('Weekly Summary'!BC$66*'Equipment List &amp; Usage'!$Q25)+('Weekly Summary'!BC$64*'Equipment List &amp; Usage'!$O25)+('Weekly Summary'!BC$65*'Equipment List &amp; Usage'!$P25)))+(IF('Equipment List &amp; Usage'!$F25="Yes",'Equipment List &amp; Usage'!$C$114*((('Weekly Summary'!BC$131*SelfQuarantine_Mild)+('Weekly Summary'!BC$100*SelfQuarantine_Mild)+('Weekly Summary'!BC$101*SelfQuarantine_Moderate))),'Equipment List &amp; Usage'!$C$115)*((('Weekly Summary'!BC$131*SelfQuarantine_Mild*'Equipment List &amp; Usage'!$W25)+('Weekly Summary'!BC$100*SelfQuarantine_Mild*'Equipment List &amp; Usage'!$X25)+('Weekly Summary'!BC$101*SelfQuarantine_Moderate*'Equipment List &amp; Usage'!$X25)))+IF('Equipment List &amp; Usage'!$F25="Yes",'Equipment List &amp; Usage'!$C$114*(IF('Equipment List &amp; Usage'!$AA25&gt;0,'Weekly Summary'!BC$128,0)+IF('Equipment List &amp; Usage'!$AB25&gt;0,'Weekly Summary'!BC$100+'Weekly Summary'!BC$101,0)),'Equipment List &amp; Usage'!$C$115*(('Weekly Summary'!BC$128*'Equipment List &amp; Usage'!$AA25)+('Weekly Summary'!BC$100*'Equipment List &amp; Usage'!$AB25*SelfQuarantine_Mild)+('Weekly Summary'!BC$101*'Equipment List &amp; Usage'!$AB25*SelfQuarantine_Moderate)))+IF('Equipment List &amp; Usage'!$F25="Yes",('Equipment List &amp; Usage'!$C$114*(IF('Equipment List &amp; Usage'!$AE25&gt;0,'Weekly Summary'!BC$134,0)+IF('Equipment List &amp; Usage'!$AF25&gt;0,'Weekly Summary'!BC$135))),'Equipment List &amp; Usage'!$C$115*(('Weekly Summary'!BC$134*'Equipment List &amp; Usage'!$AE25)+('Weekly Summary'!BC$135*'Equipment List &amp; Usage'!$AF25))))-SUM($I23:BH23),
IF($F23="yes",MMULT(--('Equipment List &amp; Usage'!$J25:$N25&gt;0),--('Weekly Summary'!BC$112:BC$116))*'Equipment List &amp; Usage'!$C$114,MMULT(--('Equipment List &amp; Usage'!$J25:$N25),--('Weekly Summary'!BC$112:BC$116))*'Equipment List &amp; Usage'!$C$115)+IF('Equipment List &amp; Usage'!$F24="yes",'Equipment List &amp; Usage'!$C$114,'Equipment List &amp; Usage'!$C$115)*(('Weekly Summary'!BC$66*'Equipment List &amp; Usage'!$Q25)+('Weekly Summary'!BC$64*'Equipment List &amp; Usage'!$O25)+('Weekly Summary'!BC$65*'Equipment List &amp; Usage'!$P25))+(IF('Equipment List &amp; Usage'!$F25="Yes",'Equipment List &amp; Usage'!$C$114*((('Weekly Summary'!BC$131*SelfQuarantine_Mild)+('Weekly Summary'!BC$100*SelfQuarantine_Mild)+('Weekly Summary'!BC$101*SelfQuarantine_Moderate))),'Equipment List &amp; Usage'!$C$115)*((('Weekly Summary'!BC$131*SelfQuarantine_Mild*'Equipment List &amp; Usage'!$W25)+('Weekly Summary'!BC$100*SelfQuarantine_Mild*'Equipment List &amp; Usage'!$X25)+('Weekly Summary'!BC$101*SelfQuarantine_Moderate*'Equipment List &amp; Usage'!$X25))))+IF('Equipment List &amp; Usage'!$F25="Yes",'Equipment List &amp; Usage'!$C$114*(IF('Equipment List &amp; Usage'!$AA25&gt;0,'Weekly Summary'!BC$128,0)+IF('Equipment List &amp; Usage'!$AB25&gt;0,'Weekly Summary'!BC$100+'Weekly Summary'!BC$101,0)),'Equipment List &amp; Usage'!$C$115*(('Weekly Summary'!BC$128*'Equipment List &amp; Usage'!$AA25)+('Weekly Summary'!BC$100*'Equipment List &amp; Usage'!$AB25*SelfQuarantine_Mild)+('Weekly Summary'!BC$101*'Equipment List &amp; Usage'!$AB25*SelfQuarantine_Moderate)))+IF('Equipment List &amp; Usage'!$F25="Yes",('Equipment List &amp; Usage'!$C$114*(IF('Equipment List &amp; Usage'!$AE25&gt;0,'Weekly Summary'!BC$134,0)+IF('Equipment List &amp; Usage'!$AF25&gt;0,'Weekly Summary'!BC$135))),'Equipment List &amp; Usage'!$C$115*(('Weekly Summary'!BC$134*'Equipment List &amp; Usage'!$AE25)+('Weekly Summary'!BC$135*'Equipment List &amp; Usage'!$AF25)))),0)</f>
        <v>0</v>
      </c>
      <c r="BJ23" s="1377">
        <f ca="1">MAX(IF($F23="Yes",(
IF($F23="yes",MMULT(--('Equipment List &amp; Usage'!$J25:$N25&gt;0),--('Weekly Summary'!BD$112:BD$116))*'Equipment List &amp; Usage'!$C$114,MMULT(--('Equipment List &amp; Usage'!$J25:$N25),--('Weekly Summary'!BD$112:BD$116))*'Equipment List &amp; Usage'!$C$115)+IF('Equipment List &amp; Usage'!$F24="yes",'Equipment List &amp; Usage'!$C$114,'Equipment List &amp; Usage'!$C$115)*(('Weekly Summary'!BD$66*'Equipment List &amp; Usage'!$Q25)+('Weekly Summary'!BD$64*'Equipment List &amp; Usage'!$O25)+('Weekly Summary'!BD$65*'Equipment List &amp; Usage'!$P25)))+(IF('Equipment List &amp; Usage'!$F25="Yes",'Equipment List &amp; Usage'!$C$114*((('Weekly Summary'!BD$131*SelfQuarantine_Mild)+('Weekly Summary'!BD$100*SelfQuarantine_Mild)+('Weekly Summary'!BD$101*SelfQuarantine_Moderate))),'Equipment List &amp; Usage'!$C$115)*((('Weekly Summary'!BD$131*SelfQuarantine_Mild*'Equipment List &amp; Usage'!$W25)+('Weekly Summary'!BD$100*SelfQuarantine_Mild*'Equipment List &amp; Usage'!$X25)+('Weekly Summary'!BD$101*SelfQuarantine_Moderate*'Equipment List &amp; Usage'!$X25)))+IF('Equipment List &amp; Usage'!$F25="Yes",'Equipment List &amp; Usage'!$C$114*(IF('Equipment List &amp; Usage'!$AA25&gt;0,'Weekly Summary'!BD$128,0)+IF('Equipment List &amp; Usage'!$AB25&gt;0,'Weekly Summary'!BD$100+'Weekly Summary'!BD$101,0)),'Equipment List &amp; Usage'!$C$115*(('Weekly Summary'!BD$128*'Equipment List &amp; Usage'!$AA25)+('Weekly Summary'!BD$100*'Equipment List &amp; Usage'!$AB25*SelfQuarantine_Mild)+('Weekly Summary'!BD$101*'Equipment List &amp; Usage'!$AB25*SelfQuarantine_Moderate)))+IF('Equipment List &amp; Usage'!$F25="Yes",('Equipment List &amp; Usage'!$C$114*(IF('Equipment List &amp; Usage'!$AE25&gt;0,'Weekly Summary'!BD$134,0)+IF('Equipment List &amp; Usage'!$AF25&gt;0,'Weekly Summary'!BD$135))),'Equipment List &amp; Usage'!$C$115*(('Weekly Summary'!BD$134*'Equipment List &amp; Usage'!$AE25)+('Weekly Summary'!BD$135*'Equipment List &amp; Usage'!$AF25))))-SUM($I23:BI23),
IF($F23="yes",MMULT(--('Equipment List &amp; Usage'!$J25:$N25&gt;0),--('Weekly Summary'!BD$112:BD$116))*'Equipment List &amp; Usage'!$C$114,MMULT(--('Equipment List &amp; Usage'!$J25:$N25),--('Weekly Summary'!BD$112:BD$116))*'Equipment List &amp; Usage'!$C$115)+IF('Equipment List &amp; Usage'!$F24="yes",'Equipment List &amp; Usage'!$C$114,'Equipment List &amp; Usage'!$C$115)*(('Weekly Summary'!BD$66*'Equipment List &amp; Usage'!$Q25)+('Weekly Summary'!BD$64*'Equipment List &amp; Usage'!$O25)+('Weekly Summary'!BD$65*'Equipment List &amp; Usage'!$P25))+(IF('Equipment List &amp; Usage'!$F25="Yes",'Equipment List &amp; Usage'!$C$114*((('Weekly Summary'!BD$131*SelfQuarantine_Mild)+('Weekly Summary'!BD$100*SelfQuarantine_Mild)+('Weekly Summary'!BD$101*SelfQuarantine_Moderate))),'Equipment List &amp; Usage'!$C$115)*((('Weekly Summary'!BD$131*SelfQuarantine_Mild*'Equipment List &amp; Usage'!$W25)+('Weekly Summary'!BD$100*SelfQuarantine_Mild*'Equipment List &amp; Usage'!$X25)+('Weekly Summary'!BD$101*SelfQuarantine_Moderate*'Equipment List &amp; Usage'!$X25))))+IF('Equipment List &amp; Usage'!$F25="Yes",'Equipment List &amp; Usage'!$C$114*(IF('Equipment List &amp; Usage'!$AA25&gt;0,'Weekly Summary'!BD$128,0)+IF('Equipment List &amp; Usage'!$AB25&gt;0,'Weekly Summary'!BD$100+'Weekly Summary'!BD$101,0)),'Equipment List &amp; Usage'!$C$115*(('Weekly Summary'!BD$128*'Equipment List &amp; Usage'!$AA25)+('Weekly Summary'!BD$100*'Equipment List &amp; Usage'!$AB25*SelfQuarantine_Mild)+('Weekly Summary'!BD$101*'Equipment List &amp; Usage'!$AB25*SelfQuarantine_Moderate)))+IF('Equipment List &amp; Usage'!$F25="Yes",('Equipment List &amp; Usage'!$C$114*(IF('Equipment List &amp; Usage'!$AE25&gt;0,'Weekly Summary'!BD$134,0)+IF('Equipment List &amp; Usage'!$AF25&gt;0,'Weekly Summary'!BD$135))),'Equipment List &amp; Usage'!$C$115*(('Weekly Summary'!BD$134*'Equipment List &amp; Usage'!$AE25)+('Weekly Summary'!BD$135*'Equipment List &amp; Usage'!$AF25)))),0)</f>
        <v>0</v>
      </c>
    </row>
    <row r="24" spans="2:62" x14ac:dyDescent="0.35">
      <c r="B24" s="949" t="str">
        <f>'Equipment List &amp; Usage'!B26</f>
        <v>IPC</v>
      </c>
      <c r="C24" s="948" t="str">
        <f>'Equipment List &amp; Usage'!C26</f>
        <v>PPE</v>
      </c>
      <c r="D24" s="948" t="str">
        <f>'Equipment List &amp; Usage'!D26</f>
        <v>Gloves, heavy duty</v>
      </c>
      <c r="E24" s="948" t="str">
        <f>'Equipment List &amp; Usage'!E26</f>
        <v>Pair</v>
      </c>
      <c r="F24" s="948" t="str">
        <f>'Equipment List &amp; Usage'!F26</f>
        <v>Yes</v>
      </c>
      <c r="G24" s="948" t="str">
        <f>'Equipment List &amp; Usage'!G26</f>
        <v>N/A</v>
      </c>
      <c r="H24" s="1365">
        <f t="shared" ca="1" si="2"/>
        <v>220.20144373402704</v>
      </c>
      <c r="J24" s="1341"/>
      <c r="K24" s="1374">
        <f ca="1">IF('User Dashboard'!$H$13=1,0,IF($F24="Yes",(
IF($F24="yes",MMULT(--('Equipment List &amp; Usage'!$J26:$N26&gt;0),--('Weekly Summary'!E$112:E$116))*'Equipment List &amp; Usage'!$C$114,MMULT(--('Equipment List &amp; Usage'!$J26:$N26),--('Weekly Summary'!E$112:E$116))*'Equipment List &amp; Usage'!$C$115)+IF('Equipment List &amp; Usage'!$F25="yes",'Equipment List &amp; Usage'!$C$114,'Equipment List &amp; Usage'!$C$115)*(('Weekly Summary'!E$66*'Equipment List &amp; Usage'!$Q26)+('Weekly Summary'!E$64*'Equipment List &amp; Usage'!$O26)+('Weekly Summary'!E$65*'Equipment List &amp; Usage'!$P26)))+(IF('Equipment List &amp; Usage'!$F26="Yes",'Equipment List &amp; Usage'!$C$114*((('Weekly Summary'!E$131*SelfQuarantine_Mild)+('Weekly Summary'!E$100*SelfQuarantine_Mild)+('Weekly Summary'!E$101*SelfQuarantine_Moderate))),'Equipment List &amp; Usage'!$C$115)*((('Weekly Summary'!E$131*SelfQuarantine_Mild*'Equipment List &amp; Usage'!$W26)+('Weekly Summary'!E$100*SelfQuarantine_Mild*'Equipment List &amp; Usage'!$X26)+('Weekly Summary'!E$101*SelfQuarantine_Moderate*'Equipment List &amp; Usage'!$X26)))+IF('Equipment List &amp; Usage'!$F26="Yes",'Equipment List &amp; Usage'!$C$114*(IF('Equipment List &amp; Usage'!$AA26&gt;0,'Weekly Summary'!E$128,0)+IF('Equipment List &amp; Usage'!$AB26&gt;0,'Weekly Summary'!E$100+'Weekly Summary'!E$101,0)),'Equipment List &amp; Usage'!$C$115*(('Weekly Summary'!E$128*'Equipment List &amp; Usage'!$AA26)+('Weekly Summary'!E$100*'Equipment List &amp; Usage'!$AB26*SelfQuarantine_Mild)+('Weekly Summary'!E$101*'Equipment List &amp; Usage'!$AB26*SelfQuarantine_Moderate)))+IF('Equipment List &amp; Usage'!$F26="Yes",('Equipment List &amp; Usage'!$C$114*(IF('Equipment List &amp; Usage'!$AE26&gt;0,'Weekly Summary'!E$134,0)+IF('Equipment List &amp; Usage'!$AF26&gt;0,'Weekly Summary'!E$135))),'Equipment List &amp; Usage'!$C$115*(('Weekly Summary'!E$134*'Equipment List &amp; Usage'!$AE26)+('Weekly Summary'!E$135*'Equipment List &amp; Usage'!$AF26)))),
IF($F24="yes",MMULT(--('Equipment List &amp; Usage'!$J26:$N26&gt;0),--('Weekly Summary'!E$112:E$116))*'Equipment List &amp; Usage'!$C$114,MMULT(--('Equipment List &amp; Usage'!$J26:$N26),--('Weekly Summary'!E$112:E$116))*'Equipment List &amp; Usage'!$C$115)+IF('Equipment List &amp; Usage'!$F25="yes",'Equipment List &amp; Usage'!$C$114,'Equipment List &amp; Usage'!$C$115)*(('Weekly Summary'!E$66*'Equipment List &amp; Usage'!$Q26)+('Weekly Summary'!E$64*'Equipment List &amp; Usage'!$O26)+('Weekly Summary'!E$65*'Equipment List &amp; Usage'!$P26))+(IF('Equipment List &amp; Usage'!$F26="Yes",'Equipment List &amp; Usage'!$C$114*((('Weekly Summary'!E$131*SelfQuarantine_Mild)+('Weekly Summary'!E$100*SelfQuarantine_Mild)+('Weekly Summary'!E$101*SelfQuarantine_Moderate))),'Equipment List &amp; Usage'!$C$115)*((('Weekly Summary'!E$131*SelfQuarantine_Mild*'Equipment List &amp; Usage'!$W26)+('Weekly Summary'!E$100*SelfQuarantine_Mild*'Equipment List &amp; Usage'!$X26)+('Weekly Summary'!E$101*SelfQuarantine_Moderate*'Equipment List &amp; Usage'!$X26))))+IF('Equipment List &amp; Usage'!$F26="Yes",'Equipment List &amp; Usage'!$C$114*(IF('Equipment List &amp; Usage'!$AA26&gt;0,'Weekly Summary'!E$128,0)+IF('Equipment List &amp; Usage'!$AB26&gt;0,'Weekly Summary'!E$100+'Weekly Summary'!E$101,0)),'Equipment List &amp; Usage'!$C$115*(('Weekly Summary'!E$128*'Equipment List &amp; Usage'!$AA26)+('Weekly Summary'!E$100*'Equipment List &amp; Usage'!$AB26*SelfQuarantine_Mild)+('Weekly Summary'!E$101*'Equipment List &amp; Usage'!$AB26*SelfQuarantine_Moderate)))+IF('Equipment List &amp; Usage'!$F26="Yes",('Equipment List &amp; Usage'!$C$114*(IF('Equipment List &amp; Usage'!$AE26&gt;0,'Weekly Summary'!E$134,0)+IF('Equipment List &amp; Usage'!$AF26&gt;0,'Weekly Summary'!E$135))),'Equipment List &amp; Usage'!$C$115*(('Weekly Summary'!E$134*'Equipment List &amp; Usage'!$AE26)+('Weekly Summary'!E$135*'Equipment List &amp; Usage'!$AF26)))))</f>
        <v>0.46454829626717947</v>
      </c>
      <c r="L24" s="1374">
        <f ca="1">MAX(IF($F24="Yes",(
IF($F24="yes",MMULT(--('Equipment List &amp; Usage'!$J26:$N26&gt;0),--('Weekly Summary'!F$112:F$116))*'Equipment List &amp; Usage'!$C$114,MMULT(--('Equipment List &amp; Usage'!$J26:$N26),--('Weekly Summary'!F$112:F$116))*'Equipment List &amp; Usage'!$C$115)+IF('Equipment List &amp; Usage'!$F25="yes",'Equipment List &amp; Usage'!$C$114,'Equipment List &amp; Usage'!$C$115)*(('Weekly Summary'!F$66*'Equipment List &amp; Usage'!$Q26)+('Weekly Summary'!F$64*'Equipment List &amp; Usage'!$O26)+('Weekly Summary'!F$65*'Equipment List &amp; Usage'!$P26)))+(IF('Equipment List &amp; Usage'!$F26="Yes",'Equipment List &amp; Usage'!$C$114*((('Weekly Summary'!F$131*SelfQuarantine_Mild)+('Weekly Summary'!F$100*SelfQuarantine_Mild)+('Weekly Summary'!F$101*SelfQuarantine_Moderate))),'Equipment List &amp; Usage'!$C$115)*((('Weekly Summary'!F$131*SelfQuarantine_Mild*'Equipment List &amp; Usage'!$W26)+('Weekly Summary'!F$100*SelfQuarantine_Mild*'Equipment List &amp; Usage'!$X26)+('Weekly Summary'!F$101*SelfQuarantine_Moderate*'Equipment List &amp; Usage'!$X26)))+IF('Equipment List &amp; Usage'!$F26="Yes",'Equipment List &amp; Usage'!$C$114*(IF('Equipment List &amp; Usage'!$AA26&gt;0,'Weekly Summary'!F$128,0)+IF('Equipment List &amp; Usage'!$AB26&gt;0,'Weekly Summary'!F$100+'Weekly Summary'!F$101,0)),'Equipment List &amp; Usage'!$C$115*(('Weekly Summary'!F$128*'Equipment List &amp; Usage'!$AA26)+('Weekly Summary'!F$100*'Equipment List &amp; Usage'!$AB26*SelfQuarantine_Mild)+('Weekly Summary'!F$101*'Equipment List &amp; Usage'!$AB26*SelfQuarantine_Moderate)))+IF('Equipment List &amp; Usage'!$F26="Yes",('Equipment List &amp; Usage'!$C$114*(IF('Equipment List &amp; Usage'!$AE26&gt;0,'Weekly Summary'!F$134,0)+IF('Equipment List &amp; Usage'!$AF26&gt;0,'Weekly Summary'!F$135))),'Equipment List &amp; Usage'!$C$115*(('Weekly Summary'!F$134*'Equipment List &amp; Usage'!$AE26)+('Weekly Summary'!F$135*'Equipment List &amp; Usage'!$AF26))))-SUM($I24:K24),
IF($F24="yes",MMULT(--('Equipment List &amp; Usage'!$J26:$N26&gt;0),--('Weekly Summary'!F$112:F$116))*'Equipment List &amp; Usage'!$C$114,MMULT(--('Equipment List &amp; Usage'!$J26:$N26),--('Weekly Summary'!F$112:F$116))*'Equipment List &amp; Usage'!$C$115)+IF('Equipment List &amp; Usage'!$F25="yes",'Equipment List &amp; Usage'!$C$114,'Equipment List &amp; Usage'!$C$115)*(('Weekly Summary'!F$66*'Equipment List &amp; Usage'!$Q26)+('Weekly Summary'!F$64*'Equipment List &amp; Usage'!$O26)+('Weekly Summary'!F$65*'Equipment List &amp; Usage'!$P26))+(IF('Equipment List &amp; Usage'!$F26="Yes",'Equipment List &amp; Usage'!$C$114*((('Weekly Summary'!F$131*SelfQuarantine_Mild)+('Weekly Summary'!F$100*SelfQuarantine_Mild)+('Weekly Summary'!F$101*SelfQuarantine_Moderate))),'Equipment List &amp; Usage'!$C$115)*((('Weekly Summary'!F$131*SelfQuarantine_Mild*'Equipment List &amp; Usage'!$W26)+('Weekly Summary'!F$100*SelfQuarantine_Mild*'Equipment List &amp; Usage'!$X26)+('Weekly Summary'!F$101*SelfQuarantine_Moderate*'Equipment List &amp; Usage'!$X26))))+IF('Equipment List &amp; Usage'!$F26="Yes",'Equipment List &amp; Usage'!$C$114*(IF('Equipment List &amp; Usage'!$AA26&gt;0,'Weekly Summary'!F$128,0)+IF('Equipment List &amp; Usage'!$AB26&gt;0,'Weekly Summary'!F$100+'Weekly Summary'!F$101,0)),'Equipment List &amp; Usage'!$C$115*(('Weekly Summary'!F$128*'Equipment List &amp; Usage'!$AA26)+('Weekly Summary'!F$100*'Equipment List &amp; Usage'!$AB26*SelfQuarantine_Mild)+('Weekly Summary'!F$101*'Equipment List &amp; Usage'!$AB26*SelfQuarantine_Moderate)))+IF('Equipment List &amp; Usage'!$F26="Yes",('Equipment List &amp; Usage'!$C$114*(IF('Equipment List &amp; Usage'!$AE26&gt;0,'Weekly Summary'!F$134,0)+IF('Equipment List &amp; Usage'!$AF26&gt;0,'Weekly Summary'!F$135))),'Equipment List &amp; Usage'!$C$115*(('Weekly Summary'!F$134*'Equipment List &amp; Usage'!$AE26)+('Weekly Summary'!F$135*'Equipment List &amp; Usage'!$AF26)))),0)</f>
        <v>1.1154775053439514</v>
      </c>
      <c r="M24" s="1374">
        <f ca="1">MAX(IF($F24="Yes",(
IF($F24="yes",MMULT(--('Equipment List &amp; Usage'!$J26:$N26&gt;0),--('Weekly Summary'!G$112:G$116))*'Equipment List &amp; Usage'!$C$114,MMULT(--('Equipment List &amp; Usage'!$J26:$N26),--('Weekly Summary'!G$112:G$116))*'Equipment List &amp; Usage'!$C$115)+IF('Equipment List &amp; Usage'!$F25="yes",'Equipment List &amp; Usage'!$C$114,'Equipment List &amp; Usage'!$C$115)*(('Weekly Summary'!G$66*'Equipment List &amp; Usage'!$Q26)+('Weekly Summary'!G$64*'Equipment List &amp; Usage'!$O26)+('Weekly Summary'!G$65*'Equipment List &amp; Usage'!$P26)))+(IF('Equipment List &amp; Usage'!$F26="Yes",'Equipment List &amp; Usage'!$C$114*((('Weekly Summary'!G$131*SelfQuarantine_Mild)+('Weekly Summary'!G$100*SelfQuarantine_Mild)+('Weekly Summary'!G$101*SelfQuarantine_Moderate))),'Equipment List &amp; Usage'!$C$115)*((('Weekly Summary'!G$131*SelfQuarantine_Mild*'Equipment List &amp; Usage'!$W26)+('Weekly Summary'!G$100*SelfQuarantine_Mild*'Equipment List &amp; Usage'!$X26)+('Weekly Summary'!G$101*SelfQuarantine_Moderate*'Equipment List &amp; Usage'!$X26)))+IF('Equipment List &amp; Usage'!$F26="Yes",'Equipment List &amp; Usage'!$C$114*(IF('Equipment List &amp; Usage'!$AA26&gt;0,'Weekly Summary'!G$128,0)+IF('Equipment List &amp; Usage'!$AB26&gt;0,'Weekly Summary'!G$100+'Weekly Summary'!G$101,0)),'Equipment List &amp; Usage'!$C$115*(('Weekly Summary'!G$128*'Equipment List &amp; Usage'!$AA26)+('Weekly Summary'!G$100*'Equipment List &amp; Usage'!$AB26*SelfQuarantine_Mild)+('Weekly Summary'!G$101*'Equipment List &amp; Usage'!$AB26*SelfQuarantine_Moderate)))+IF('Equipment List &amp; Usage'!$F26="Yes",('Equipment List &amp; Usage'!$C$114*(IF('Equipment List &amp; Usage'!$AE26&gt;0,'Weekly Summary'!G$134,0)+IF('Equipment List &amp; Usage'!$AF26&gt;0,'Weekly Summary'!G$135))),'Equipment List &amp; Usage'!$C$115*(('Weekly Summary'!G$134*'Equipment List &amp; Usage'!$AE26)+('Weekly Summary'!G$135*'Equipment List &amp; Usage'!$AF26))))-SUM($I24:L24),
IF($F24="yes",MMULT(--('Equipment List &amp; Usage'!$J26:$N26&gt;0),--('Weekly Summary'!G$112:G$116))*'Equipment List &amp; Usage'!$C$114,MMULT(--('Equipment List &amp; Usage'!$J26:$N26),--('Weekly Summary'!G$112:G$116))*'Equipment List &amp; Usage'!$C$115)+IF('Equipment List &amp; Usage'!$F25="yes",'Equipment List &amp; Usage'!$C$114,'Equipment List &amp; Usage'!$C$115)*(('Weekly Summary'!G$66*'Equipment List &amp; Usage'!$Q26)+('Weekly Summary'!G$64*'Equipment List &amp; Usage'!$O26)+('Weekly Summary'!G$65*'Equipment List &amp; Usage'!$P26))+(IF('Equipment List &amp; Usage'!$F26="Yes",'Equipment List &amp; Usage'!$C$114*((('Weekly Summary'!G$131*SelfQuarantine_Mild)+('Weekly Summary'!G$100*SelfQuarantine_Mild)+('Weekly Summary'!G$101*SelfQuarantine_Moderate))),'Equipment List &amp; Usage'!$C$115)*((('Weekly Summary'!G$131*SelfQuarantine_Mild*'Equipment List &amp; Usage'!$W26)+('Weekly Summary'!G$100*SelfQuarantine_Mild*'Equipment List &amp; Usage'!$X26)+('Weekly Summary'!G$101*SelfQuarantine_Moderate*'Equipment List &amp; Usage'!$X26))))+IF('Equipment List &amp; Usage'!$F26="Yes",'Equipment List &amp; Usage'!$C$114*(IF('Equipment List &amp; Usage'!$AA26&gt;0,'Weekly Summary'!G$128,0)+IF('Equipment List &amp; Usage'!$AB26&gt;0,'Weekly Summary'!G$100+'Weekly Summary'!G$101,0)),'Equipment List &amp; Usage'!$C$115*(('Weekly Summary'!G$128*'Equipment List &amp; Usage'!$AA26)+('Weekly Summary'!G$100*'Equipment List &amp; Usage'!$AB26*SelfQuarantine_Mild)+('Weekly Summary'!G$101*'Equipment List &amp; Usage'!$AB26*SelfQuarantine_Moderate)))+IF('Equipment List &amp; Usage'!$F26="Yes",('Equipment List &amp; Usage'!$C$114*(IF('Equipment List &amp; Usage'!$AE26&gt;0,'Weekly Summary'!G$134,0)+IF('Equipment List &amp; Usage'!$AF26&gt;0,'Weekly Summary'!G$135))),'Equipment List &amp; Usage'!$C$115*(('Weekly Summary'!G$134*'Equipment List &amp; Usage'!$AE26)+('Weekly Summary'!G$135*'Equipment List &amp; Usage'!$AF26)))),0)</f>
        <v>3.8496967563811944</v>
      </c>
      <c r="N24" s="1374">
        <f ca="1">MAX(IF($F24="Yes",(
IF($F24="yes",MMULT(--('Equipment List &amp; Usage'!$J26:$N26&gt;0),--('Weekly Summary'!H$112:H$116))*'Equipment List &amp; Usage'!$C$114,MMULT(--('Equipment List &amp; Usage'!$J26:$N26),--('Weekly Summary'!H$112:H$116))*'Equipment List &amp; Usage'!$C$115)+IF('Equipment List &amp; Usage'!$F25="yes",'Equipment List &amp; Usage'!$C$114,'Equipment List &amp; Usage'!$C$115)*(('Weekly Summary'!H$66*'Equipment List &amp; Usage'!$Q26)+('Weekly Summary'!H$64*'Equipment List &amp; Usage'!$O26)+('Weekly Summary'!H$65*'Equipment List &amp; Usage'!$P26)))+(IF('Equipment List &amp; Usage'!$F26="Yes",'Equipment List &amp; Usage'!$C$114*((('Weekly Summary'!H$131*SelfQuarantine_Mild)+('Weekly Summary'!H$100*SelfQuarantine_Mild)+('Weekly Summary'!H$101*SelfQuarantine_Moderate))),'Equipment List &amp; Usage'!$C$115)*((('Weekly Summary'!H$131*SelfQuarantine_Mild*'Equipment List &amp; Usage'!$W26)+('Weekly Summary'!H$100*SelfQuarantine_Mild*'Equipment List &amp; Usage'!$X26)+('Weekly Summary'!H$101*SelfQuarantine_Moderate*'Equipment List &amp; Usage'!$X26)))+IF('Equipment List &amp; Usage'!$F26="Yes",'Equipment List &amp; Usage'!$C$114*(IF('Equipment List &amp; Usage'!$AA26&gt;0,'Weekly Summary'!H$128,0)+IF('Equipment List &amp; Usage'!$AB26&gt;0,'Weekly Summary'!H$100+'Weekly Summary'!H$101,0)),'Equipment List &amp; Usage'!$C$115*(('Weekly Summary'!H$128*'Equipment List &amp; Usage'!$AA26)+('Weekly Summary'!H$100*'Equipment List &amp; Usage'!$AB26*SelfQuarantine_Mild)+('Weekly Summary'!H$101*'Equipment List &amp; Usage'!$AB26*SelfQuarantine_Moderate)))+IF('Equipment List &amp; Usage'!$F26="Yes",('Equipment List &amp; Usage'!$C$114*(IF('Equipment List &amp; Usage'!$AE26&gt;0,'Weekly Summary'!H$134,0)+IF('Equipment List &amp; Usage'!$AF26&gt;0,'Weekly Summary'!H$135))),'Equipment List &amp; Usage'!$C$115*(('Weekly Summary'!H$134*'Equipment List &amp; Usage'!$AE26)+('Weekly Summary'!H$135*'Equipment List &amp; Usage'!$AF26))))-SUM($I24:M24),
IF($F24="yes",MMULT(--('Equipment List &amp; Usage'!$J26:$N26&gt;0),--('Weekly Summary'!H$112:H$116))*'Equipment List &amp; Usage'!$C$114,MMULT(--('Equipment List &amp; Usage'!$J26:$N26),--('Weekly Summary'!H$112:H$116))*'Equipment List &amp; Usage'!$C$115)+IF('Equipment List &amp; Usage'!$F25="yes",'Equipment List &amp; Usage'!$C$114,'Equipment List &amp; Usage'!$C$115)*(('Weekly Summary'!H$66*'Equipment List &amp; Usage'!$Q26)+('Weekly Summary'!H$64*'Equipment List &amp; Usage'!$O26)+('Weekly Summary'!H$65*'Equipment List &amp; Usage'!$P26))+(IF('Equipment List &amp; Usage'!$F26="Yes",'Equipment List &amp; Usage'!$C$114*((('Weekly Summary'!H$131*SelfQuarantine_Mild)+('Weekly Summary'!H$100*SelfQuarantine_Mild)+('Weekly Summary'!H$101*SelfQuarantine_Moderate))),'Equipment List &amp; Usage'!$C$115)*((('Weekly Summary'!H$131*SelfQuarantine_Mild*'Equipment List &amp; Usage'!$W26)+('Weekly Summary'!H$100*SelfQuarantine_Mild*'Equipment List &amp; Usage'!$X26)+('Weekly Summary'!H$101*SelfQuarantine_Moderate*'Equipment List &amp; Usage'!$X26))))+IF('Equipment List &amp; Usage'!$F26="Yes",'Equipment List &amp; Usage'!$C$114*(IF('Equipment List &amp; Usage'!$AA26&gt;0,'Weekly Summary'!H$128,0)+IF('Equipment List &amp; Usage'!$AB26&gt;0,'Weekly Summary'!H$100+'Weekly Summary'!H$101,0)),'Equipment List &amp; Usage'!$C$115*(('Weekly Summary'!H$128*'Equipment List &amp; Usage'!$AA26)+('Weekly Summary'!H$100*'Equipment List &amp; Usage'!$AB26*SelfQuarantine_Mild)+('Weekly Summary'!H$101*'Equipment List &amp; Usage'!$AB26*SelfQuarantine_Moderate)))+IF('Equipment List &amp; Usage'!$F26="Yes",('Equipment List &amp; Usage'!$C$114*(IF('Equipment List &amp; Usage'!$AE26&gt;0,'Weekly Summary'!H$134,0)+IF('Equipment List &amp; Usage'!$AF26&gt;0,'Weekly Summary'!H$135))),'Equipment List &amp; Usage'!$C$115*(('Weekly Summary'!H$134*'Equipment List &amp; Usage'!$AE26)+('Weekly Summary'!H$135*'Equipment List &amp; Usage'!$AF26)))),0)</f>
        <v>13.228804604069254</v>
      </c>
      <c r="O24" s="1374">
        <f ca="1">MAX(IF($F24="Yes",(
IF($F24="yes",MMULT(--('Equipment List &amp; Usage'!$J26:$N26&gt;0),--('Weekly Summary'!I$112:I$116))*'Equipment List &amp; Usage'!$C$114,MMULT(--('Equipment List &amp; Usage'!$J26:$N26),--('Weekly Summary'!I$112:I$116))*'Equipment List &amp; Usage'!$C$115)+IF('Equipment List &amp; Usage'!$F25="yes",'Equipment List &amp; Usage'!$C$114,'Equipment List &amp; Usage'!$C$115)*(('Weekly Summary'!I$66*'Equipment List &amp; Usage'!$Q26)+('Weekly Summary'!I$64*'Equipment List &amp; Usage'!$O26)+('Weekly Summary'!I$65*'Equipment List &amp; Usage'!$P26)))+(IF('Equipment List &amp; Usage'!$F26="Yes",'Equipment List &amp; Usage'!$C$114*((('Weekly Summary'!I$131*SelfQuarantine_Mild)+('Weekly Summary'!I$100*SelfQuarantine_Mild)+('Weekly Summary'!I$101*SelfQuarantine_Moderate))),'Equipment List &amp; Usage'!$C$115)*((('Weekly Summary'!I$131*SelfQuarantine_Mild*'Equipment List &amp; Usage'!$W26)+('Weekly Summary'!I$100*SelfQuarantine_Mild*'Equipment List &amp; Usage'!$X26)+('Weekly Summary'!I$101*SelfQuarantine_Moderate*'Equipment List &amp; Usage'!$X26)))+IF('Equipment List &amp; Usage'!$F26="Yes",'Equipment List &amp; Usage'!$C$114*(IF('Equipment List &amp; Usage'!$AA26&gt;0,'Weekly Summary'!I$128,0)+IF('Equipment List &amp; Usage'!$AB26&gt;0,'Weekly Summary'!I$100+'Weekly Summary'!I$101,0)),'Equipment List &amp; Usage'!$C$115*(('Weekly Summary'!I$128*'Equipment List &amp; Usage'!$AA26)+('Weekly Summary'!I$100*'Equipment List &amp; Usage'!$AB26*SelfQuarantine_Mild)+('Weekly Summary'!I$101*'Equipment List &amp; Usage'!$AB26*SelfQuarantine_Moderate)))+IF('Equipment List &amp; Usage'!$F26="Yes",('Equipment List &amp; Usage'!$C$114*(IF('Equipment List &amp; Usage'!$AE26&gt;0,'Weekly Summary'!I$134,0)+IF('Equipment List &amp; Usage'!$AF26&gt;0,'Weekly Summary'!I$135))),'Equipment List &amp; Usage'!$C$115*(('Weekly Summary'!I$134*'Equipment List &amp; Usage'!$AE26)+('Weekly Summary'!I$135*'Equipment List &amp; Usage'!$AF26))))-SUM($I24:N24),
IF($F24="yes",MMULT(--('Equipment List &amp; Usage'!$J26:$N26&gt;0),--('Weekly Summary'!I$112:I$116))*'Equipment List &amp; Usage'!$C$114,MMULT(--('Equipment List &amp; Usage'!$J26:$N26),--('Weekly Summary'!I$112:I$116))*'Equipment List &amp; Usage'!$C$115)+IF('Equipment List &amp; Usage'!$F25="yes",'Equipment List &amp; Usage'!$C$114,'Equipment List &amp; Usage'!$C$115)*(('Weekly Summary'!I$66*'Equipment List &amp; Usage'!$Q26)+('Weekly Summary'!I$64*'Equipment List &amp; Usage'!$O26)+('Weekly Summary'!I$65*'Equipment List &amp; Usage'!$P26))+(IF('Equipment List &amp; Usage'!$F26="Yes",'Equipment List &amp; Usage'!$C$114*((('Weekly Summary'!I$131*SelfQuarantine_Mild)+('Weekly Summary'!I$100*SelfQuarantine_Mild)+('Weekly Summary'!I$101*SelfQuarantine_Moderate))),'Equipment List &amp; Usage'!$C$115)*((('Weekly Summary'!I$131*SelfQuarantine_Mild*'Equipment List &amp; Usage'!$W26)+('Weekly Summary'!I$100*SelfQuarantine_Mild*'Equipment List &amp; Usage'!$X26)+('Weekly Summary'!I$101*SelfQuarantine_Moderate*'Equipment List &amp; Usage'!$X26))))+IF('Equipment List &amp; Usage'!$F26="Yes",'Equipment List &amp; Usage'!$C$114*(IF('Equipment List &amp; Usage'!$AA26&gt;0,'Weekly Summary'!I$128,0)+IF('Equipment List &amp; Usage'!$AB26&gt;0,'Weekly Summary'!I$100+'Weekly Summary'!I$101,0)),'Equipment List &amp; Usage'!$C$115*(('Weekly Summary'!I$128*'Equipment List &amp; Usage'!$AA26)+('Weekly Summary'!I$100*'Equipment List &amp; Usage'!$AB26*SelfQuarantine_Mild)+('Weekly Summary'!I$101*'Equipment List &amp; Usage'!$AB26*SelfQuarantine_Moderate)))+IF('Equipment List &amp; Usage'!$F26="Yes",('Equipment List &amp; Usage'!$C$114*(IF('Equipment List &amp; Usage'!$AE26&gt;0,'Weekly Summary'!I$134,0)+IF('Equipment List &amp; Usage'!$AF26&gt;0,'Weekly Summary'!I$135))),'Equipment List &amp; Usage'!$C$115*(('Weekly Summary'!I$134*'Equipment List &amp; Usage'!$AE26)+('Weekly Summary'!I$135*'Equipment List &amp; Usage'!$AF26)))),0)</f>
        <v>45.45207631757026</v>
      </c>
      <c r="P24" s="1374">
        <f ca="1">MAX(IF($F24="Yes",(
IF($F24="yes",MMULT(--('Equipment List &amp; Usage'!$J26:$N26&gt;0),--('Weekly Summary'!J$112:J$116))*'Equipment List &amp; Usage'!$C$114,MMULT(--('Equipment List &amp; Usage'!$J26:$N26),--('Weekly Summary'!J$112:J$116))*'Equipment List &amp; Usage'!$C$115)+IF('Equipment List &amp; Usage'!$F25="yes",'Equipment List &amp; Usage'!$C$114,'Equipment List &amp; Usage'!$C$115)*(('Weekly Summary'!J$66*'Equipment List &amp; Usage'!$Q26)+('Weekly Summary'!J$64*'Equipment List &amp; Usage'!$O26)+('Weekly Summary'!J$65*'Equipment List &amp; Usage'!$P26)))+(IF('Equipment List &amp; Usage'!$F26="Yes",'Equipment List &amp; Usage'!$C$114*((('Weekly Summary'!J$131*SelfQuarantine_Mild)+('Weekly Summary'!J$100*SelfQuarantine_Mild)+('Weekly Summary'!J$101*SelfQuarantine_Moderate))),'Equipment List &amp; Usage'!$C$115)*((('Weekly Summary'!J$131*SelfQuarantine_Mild*'Equipment List &amp; Usage'!$W26)+('Weekly Summary'!J$100*SelfQuarantine_Mild*'Equipment List &amp; Usage'!$X26)+('Weekly Summary'!J$101*SelfQuarantine_Moderate*'Equipment List &amp; Usage'!$X26)))+IF('Equipment List &amp; Usage'!$F26="Yes",'Equipment List &amp; Usage'!$C$114*(IF('Equipment List &amp; Usage'!$AA26&gt;0,'Weekly Summary'!J$128,0)+IF('Equipment List &amp; Usage'!$AB26&gt;0,'Weekly Summary'!J$100+'Weekly Summary'!J$101,0)),'Equipment List &amp; Usage'!$C$115*(('Weekly Summary'!J$128*'Equipment List &amp; Usage'!$AA26)+('Weekly Summary'!J$100*'Equipment List &amp; Usage'!$AB26*SelfQuarantine_Mild)+('Weekly Summary'!J$101*'Equipment List &amp; Usage'!$AB26*SelfQuarantine_Moderate)))+IF('Equipment List &amp; Usage'!$F26="Yes",('Equipment List &amp; Usage'!$C$114*(IF('Equipment List &amp; Usage'!$AE26&gt;0,'Weekly Summary'!J$134,0)+IF('Equipment List &amp; Usage'!$AF26&gt;0,'Weekly Summary'!J$135))),'Equipment List &amp; Usage'!$C$115*(('Weekly Summary'!J$134*'Equipment List &amp; Usage'!$AE26)+('Weekly Summary'!J$135*'Equipment List &amp; Usage'!$AF26))))-SUM($I24:O24),
IF($F24="yes",MMULT(--('Equipment List &amp; Usage'!$J26:$N26&gt;0),--('Weekly Summary'!J$112:J$116))*'Equipment List &amp; Usage'!$C$114,MMULT(--('Equipment List &amp; Usage'!$J26:$N26),--('Weekly Summary'!J$112:J$116))*'Equipment List &amp; Usage'!$C$115)+IF('Equipment List &amp; Usage'!$F25="yes",'Equipment List &amp; Usage'!$C$114,'Equipment List &amp; Usage'!$C$115)*(('Weekly Summary'!J$66*'Equipment List &amp; Usage'!$Q26)+('Weekly Summary'!J$64*'Equipment List &amp; Usage'!$O26)+('Weekly Summary'!J$65*'Equipment List &amp; Usage'!$P26))+(IF('Equipment List &amp; Usage'!$F26="Yes",'Equipment List &amp; Usage'!$C$114*((('Weekly Summary'!J$131*SelfQuarantine_Mild)+('Weekly Summary'!J$100*SelfQuarantine_Mild)+('Weekly Summary'!J$101*SelfQuarantine_Moderate))),'Equipment List &amp; Usage'!$C$115)*((('Weekly Summary'!J$131*SelfQuarantine_Mild*'Equipment List &amp; Usage'!$W26)+('Weekly Summary'!J$100*SelfQuarantine_Mild*'Equipment List &amp; Usage'!$X26)+('Weekly Summary'!J$101*SelfQuarantine_Moderate*'Equipment List &amp; Usage'!$X26))))+IF('Equipment List &amp; Usage'!$F26="Yes",'Equipment List &amp; Usage'!$C$114*(IF('Equipment List &amp; Usage'!$AA26&gt;0,'Weekly Summary'!J$128,0)+IF('Equipment List &amp; Usage'!$AB26&gt;0,'Weekly Summary'!J$100+'Weekly Summary'!J$101,0)),'Equipment List &amp; Usage'!$C$115*(('Weekly Summary'!J$128*'Equipment List &amp; Usage'!$AA26)+('Weekly Summary'!J$100*'Equipment List &amp; Usage'!$AB26*SelfQuarantine_Mild)+('Weekly Summary'!J$101*'Equipment List &amp; Usage'!$AB26*SelfQuarantine_Moderate)))+IF('Equipment List &amp; Usage'!$F26="Yes",('Equipment List &amp; Usage'!$C$114*(IF('Equipment List &amp; Usage'!$AE26&gt;0,'Weekly Summary'!J$134,0)+IF('Equipment List &amp; Usage'!$AF26&gt;0,'Weekly Summary'!J$135))),'Equipment List &amp; Usage'!$C$115*(('Weekly Summary'!J$134*'Equipment List &amp; Usage'!$AE26)+('Weekly Summary'!J$135*'Equipment List &amp; Usage'!$AF26)))),0)</f>
        <v>156.0908402543952</v>
      </c>
      <c r="Q24" s="1374">
        <f ca="1">MAX(IF($F24="Yes",(
IF($F24="yes",MMULT(--('Equipment List &amp; Usage'!$J26:$N26&gt;0),--('Weekly Summary'!K$112:K$116))*'Equipment List &amp; Usage'!$C$114,MMULT(--('Equipment List &amp; Usage'!$J26:$N26),--('Weekly Summary'!K$112:K$116))*'Equipment List &amp; Usage'!$C$115)+IF('Equipment List &amp; Usage'!$F25="yes",'Equipment List &amp; Usage'!$C$114,'Equipment List &amp; Usage'!$C$115)*(('Weekly Summary'!K$66*'Equipment List &amp; Usage'!$Q26)+('Weekly Summary'!K$64*'Equipment List &amp; Usage'!$O26)+('Weekly Summary'!K$65*'Equipment List &amp; Usage'!$P26)))+(IF('Equipment List &amp; Usage'!$F26="Yes",'Equipment List &amp; Usage'!$C$114*((('Weekly Summary'!K$131*SelfQuarantine_Mild)+('Weekly Summary'!K$100*SelfQuarantine_Mild)+('Weekly Summary'!K$101*SelfQuarantine_Moderate))),'Equipment List &amp; Usage'!$C$115)*((('Weekly Summary'!K$131*SelfQuarantine_Mild*'Equipment List &amp; Usage'!$W26)+('Weekly Summary'!K$100*SelfQuarantine_Mild*'Equipment List &amp; Usage'!$X26)+('Weekly Summary'!K$101*SelfQuarantine_Moderate*'Equipment List &amp; Usage'!$X26)))+IF('Equipment List &amp; Usage'!$F26="Yes",'Equipment List &amp; Usage'!$C$114*(IF('Equipment List &amp; Usage'!$AA26&gt;0,'Weekly Summary'!K$128,0)+IF('Equipment List &amp; Usage'!$AB26&gt;0,'Weekly Summary'!K$100+'Weekly Summary'!K$101,0)),'Equipment List &amp; Usage'!$C$115*(('Weekly Summary'!K$128*'Equipment List &amp; Usage'!$AA26)+('Weekly Summary'!K$100*'Equipment List &amp; Usage'!$AB26*SelfQuarantine_Mild)+('Weekly Summary'!K$101*'Equipment List &amp; Usage'!$AB26*SelfQuarantine_Moderate)))+IF('Equipment List &amp; Usage'!$F26="Yes",('Equipment List &amp; Usage'!$C$114*(IF('Equipment List &amp; Usage'!$AE26&gt;0,'Weekly Summary'!K$134,0)+IF('Equipment List &amp; Usage'!$AF26&gt;0,'Weekly Summary'!K$135))),'Equipment List &amp; Usage'!$C$115*(('Weekly Summary'!K$134*'Equipment List &amp; Usage'!$AE26)+('Weekly Summary'!K$135*'Equipment List &amp; Usage'!$AF26))))-SUM($I24:P24),
IF($F24="yes",MMULT(--('Equipment List &amp; Usage'!$J26:$N26&gt;0),--('Weekly Summary'!K$112:K$116))*'Equipment List &amp; Usage'!$C$114,MMULT(--('Equipment List &amp; Usage'!$J26:$N26),--('Weekly Summary'!K$112:K$116))*'Equipment List &amp; Usage'!$C$115)+IF('Equipment List &amp; Usage'!$F25="yes",'Equipment List &amp; Usage'!$C$114,'Equipment List &amp; Usage'!$C$115)*(('Weekly Summary'!K$66*'Equipment List &amp; Usage'!$Q26)+('Weekly Summary'!K$64*'Equipment List &amp; Usage'!$O26)+('Weekly Summary'!K$65*'Equipment List &amp; Usage'!$P26))+(IF('Equipment List &amp; Usage'!$F26="Yes",'Equipment List &amp; Usage'!$C$114*((('Weekly Summary'!K$131*SelfQuarantine_Mild)+('Weekly Summary'!K$100*SelfQuarantine_Mild)+('Weekly Summary'!K$101*SelfQuarantine_Moderate))),'Equipment List &amp; Usage'!$C$115)*((('Weekly Summary'!K$131*SelfQuarantine_Mild*'Equipment List &amp; Usage'!$W26)+('Weekly Summary'!K$100*SelfQuarantine_Mild*'Equipment List &amp; Usage'!$X26)+('Weekly Summary'!K$101*SelfQuarantine_Moderate*'Equipment List &amp; Usage'!$X26))))+IF('Equipment List &amp; Usage'!$F26="Yes",'Equipment List &amp; Usage'!$C$114*(IF('Equipment List &amp; Usage'!$AA26&gt;0,'Weekly Summary'!K$128,0)+IF('Equipment List &amp; Usage'!$AB26&gt;0,'Weekly Summary'!K$100+'Weekly Summary'!K$101,0)),'Equipment List &amp; Usage'!$C$115*(('Weekly Summary'!K$128*'Equipment List &amp; Usage'!$AA26)+('Weekly Summary'!K$100*'Equipment List &amp; Usage'!$AB26*SelfQuarantine_Mild)+('Weekly Summary'!K$101*'Equipment List &amp; Usage'!$AB26*SelfQuarantine_Moderate)))+IF('Equipment List &amp; Usage'!$F26="Yes",('Equipment List &amp; Usage'!$C$114*(IF('Equipment List &amp; Usage'!$AE26&gt;0,'Weekly Summary'!K$134,0)+IF('Equipment List &amp; Usage'!$AF26&gt;0,'Weekly Summary'!K$135))),'Equipment List &amp; Usage'!$C$115*(('Weekly Summary'!K$134*'Equipment List &amp; Usage'!$AE26)+('Weekly Summary'!K$135*'Equipment List &amp; Usage'!$AF26)))),0)</f>
        <v>0</v>
      </c>
      <c r="R24" s="1374">
        <f ca="1">MAX(IF($F24="Yes",(
IF($F24="yes",MMULT(--('Equipment List &amp; Usage'!$J26:$N26&gt;0),--('Weekly Summary'!L$112:L$116))*'Equipment List &amp; Usage'!$C$114,MMULT(--('Equipment List &amp; Usage'!$J26:$N26),--('Weekly Summary'!L$112:L$116))*'Equipment List &amp; Usage'!$C$115)+IF('Equipment List &amp; Usage'!$F25="yes",'Equipment List &amp; Usage'!$C$114,'Equipment List &amp; Usage'!$C$115)*(('Weekly Summary'!L$66*'Equipment List &amp; Usage'!$Q26)+('Weekly Summary'!L$64*'Equipment List &amp; Usage'!$O26)+('Weekly Summary'!L$65*'Equipment List &amp; Usage'!$P26)))+(IF('Equipment List &amp; Usage'!$F26="Yes",'Equipment List &amp; Usage'!$C$114*((('Weekly Summary'!L$131*SelfQuarantine_Mild)+('Weekly Summary'!L$100*SelfQuarantine_Mild)+('Weekly Summary'!L$101*SelfQuarantine_Moderate))),'Equipment List &amp; Usage'!$C$115)*((('Weekly Summary'!L$131*SelfQuarantine_Mild*'Equipment List &amp; Usage'!$W26)+('Weekly Summary'!L$100*SelfQuarantine_Mild*'Equipment List &amp; Usage'!$X26)+('Weekly Summary'!L$101*SelfQuarantine_Moderate*'Equipment List &amp; Usage'!$X26)))+IF('Equipment List &amp; Usage'!$F26="Yes",'Equipment List &amp; Usage'!$C$114*(IF('Equipment List &amp; Usage'!$AA26&gt;0,'Weekly Summary'!L$128,0)+IF('Equipment List &amp; Usage'!$AB26&gt;0,'Weekly Summary'!L$100+'Weekly Summary'!L$101,0)),'Equipment List &amp; Usage'!$C$115*(('Weekly Summary'!L$128*'Equipment List &amp; Usage'!$AA26)+('Weekly Summary'!L$100*'Equipment List &amp; Usage'!$AB26*SelfQuarantine_Mild)+('Weekly Summary'!L$101*'Equipment List &amp; Usage'!$AB26*SelfQuarantine_Moderate)))+IF('Equipment List &amp; Usage'!$F26="Yes",('Equipment List &amp; Usage'!$C$114*(IF('Equipment List &amp; Usage'!$AE26&gt;0,'Weekly Summary'!L$134,0)+IF('Equipment List &amp; Usage'!$AF26&gt;0,'Weekly Summary'!L$135))),'Equipment List &amp; Usage'!$C$115*(('Weekly Summary'!L$134*'Equipment List &amp; Usage'!$AE26)+('Weekly Summary'!L$135*'Equipment List &amp; Usage'!$AF26))))-SUM($I24:Q24),
IF($F24="yes",MMULT(--('Equipment List &amp; Usage'!$J26:$N26&gt;0),--('Weekly Summary'!L$112:L$116))*'Equipment List &amp; Usage'!$C$114,MMULT(--('Equipment List &amp; Usage'!$J26:$N26),--('Weekly Summary'!L$112:L$116))*'Equipment List &amp; Usage'!$C$115)+IF('Equipment List &amp; Usage'!$F25="yes",'Equipment List &amp; Usage'!$C$114,'Equipment List &amp; Usage'!$C$115)*(('Weekly Summary'!L$66*'Equipment List &amp; Usage'!$Q26)+('Weekly Summary'!L$64*'Equipment List &amp; Usage'!$O26)+('Weekly Summary'!L$65*'Equipment List &amp; Usage'!$P26))+(IF('Equipment List &amp; Usage'!$F26="Yes",'Equipment List &amp; Usage'!$C$114*((('Weekly Summary'!L$131*SelfQuarantine_Mild)+('Weekly Summary'!L$100*SelfQuarantine_Mild)+('Weekly Summary'!L$101*SelfQuarantine_Moderate))),'Equipment List &amp; Usage'!$C$115)*((('Weekly Summary'!L$131*SelfQuarantine_Mild*'Equipment List &amp; Usage'!$W26)+('Weekly Summary'!L$100*SelfQuarantine_Mild*'Equipment List &amp; Usage'!$X26)+('Weekly Summary'!L$101*SelfQuarantine_Moderate*'Equipment List &amp; Usage'!$X26))))+IF('Equipment List &amp; Usage'!$F26="Yes",'Equipment List &amp; Usage'!$C$114*(IF('Equipment List &amp; Usage'!$AA26&gt;0,'Weekly Summary'!L$128,0)+IF('Equipment List &amp; Usage'!$AB26&gt;0,'Weekly Summary'!L$100+'Weekly Summary'!L$101,0)),'Equipment List &amp; Usage'!$C$115*(('Weekly Summary'!L$128*'Equipment List &amp; Usage'!$AA26)+('Weekly Summary'!L$100*'Equipment List &amp; Usage'!$AB26*SelfQuarantine_Mild)+('Weekly Summary'!L$101*'Equipment List &amp; Usage'!$AB26*SelfQuarantine_Moderate)))+IF('Equipment List &amp; Usage'!$F26="Yes",('Equipment List &amp; Usage'!$C$114*(IF('Equipment List &amp; Usage'!$AE26&gt;0,'Weekly Summary'!L$134,0)+IF('Equipment List &amp; Usage'!$AF26&gt;0,'Weekly Summary'!L$135))),'Equipment List &amp; Usage'!$C$115*(('Weekly Summary'!L$134*'Equipment List &amp; Usage'!$AE26)+('Weekly Summary'!L$135*'Equipment List &amp; Usage'!$AF26)))),0)</f>
        <v>0</v>
      </c>
      <c r="S24" s="1374">
        <f ca="1">MAX(IF($F24="Yes",(
IF($F24="yes",MMULT(--('Equipment List &amp; Usage'!$J26:$N26&gt;0),--('Weekly Summary'!M$112:M$116))*'Equipment List &amp; Usage'!$C$114,MMULT(--('Equipment List &amp; Usage'!$J26:$N26),--('Weekly Summary'!M$112:M$116))*'Equipment List &amp; Usage'!$C$115)+IF('Equipment List &amp; Usage'!$F25="yes",'Equipment List &amp; Usage'!$C$114,'Equipment List &amp; Usage'!$C$115)*(('Weekly Summary'!M$66*'Equipment List &amp; Usage'!$Q26)+('Weekly Summary'!M$64*'Equipment List &amp; Usage'!$O26)+('Weekly Summary'!M$65*'Equipment List &amp; Usage'!$P26)))+(IF('Equipment List &amp; Usage'!$F26="Yes",'Equipment List &amp; Usage'!$C$114*((('Weekly Summary'!M$131*SelfQuarantine_Mild)+('Weekly Summary'!M$100*SelfQuarantine_Mild)+('Weekly Summary'!M$101*SelfQuarantine_Moderate))),'Equipment List &amp; Usage'!$C$115)*((('Weekly Summary'!M$131*SelfQuarantine_Mild*'Equipment List &amp; Usage'!$W26)+('Weekly Summary'!M$100*SelfQuarantine_Mild*'Equipment List &amp; Usage'!$X26)+('Weekly Summary'!M$101*SelfQuarantine_Moderate*'Equipment List &amp; Usage'!$X26)))+IF('Equipment List &amp; Usage'!$F26="Yes",'Equipment List &amp; Usage'!$C$114*(IF('Equipment List &amp; Usage'!$AA26&gt;0,'Weekly Summary'!M$128,0)+IF('Equipment List &amp; Usage'!$AB26&gt;0,'Weekly Summary'!M$100+'Weekly Summary'!M$101,0)),'Equipment List &amp; Usage'!$C$115*(('Weekly Summary'!M$128*'Equipment List &amp; Usage'!$AA26)+('Weekly Summary'!M$100*'Equipment List &amp; Usage'!$AB26*SelfQuarantine_Mild)+('Weekly Summary'!M$101*'Equipment List &amp; Usage'!$AB26*SelfQuarantine_Moderate)))+IF('Equipment List &amp; Usage'!$F26="Yes",('Equipment List &amp; Usage'!$C$114*(IF('Equipment List &amp; Usage'!$AE26&gt;0,'Weekly Summary'!M$134,0)+IF('Equipment List &amp; Usage'!$AF26&gt;0,'Weekly Summary'!M$135))),'Equipment List &amp; Usage'!$C$115*(('Weekly Summary'!M$134*'Equipment List &amp; Usage'!$AE26)+('Weekly Summary'!M$135*'Equipment List &amp; Usage'!$AF26))))-SUM($I24:R24),
IF($F24="yes",MMULT(--('Equipment List &amp; Usage'!$J26:$N26&gt;0),--('Weekly Summary'!M$112:M$116))*'Equipment List &amp; Usage'!$C$114,MMULT(--('Equipment List &amp; Usage'!$J26:$N26),--('Weekly Summary'!M$112:M$116))*'Equipment List &amp; Usage'!$C$115)+IF('Equipment List &amp; Usage'!$F25="yes",'Equipment List &amp; Usage'!$C$114,'Equipment List &amp; Usage'!$C$115)*(('Weekly Summary'!M$66*'Equipment List &amp; Usage'!$Q26)+('Weekly Summary'!M$64*'Equipment List &amp; Usage'!$O26)+('Weekly Summary'!M$65*'Equipment List &amp; Usage'!$P26))+(IF('Equipment List &amp; Usage'!$F26="Yes",'Equipment List &amp; Usage'!$C$114*((('Weekly Summary'!M$131*SelfQuarantine_Mild)+('Weekly Summary'!M$100*SelfQuarantine_Mild)+('Weekly Summary'!M$101*SelfQuarantine_Moderate))),'Equipment List &amp; Usage'!$C$115)*((('Weekly Summary'!M$131*SelfQuarantine_Mild*'Equipment List &amp; Usage'!$W26)+('Weekly Summary'!M$100*SelfQuarantine_Mild*'Equipment List &amp; Usage'!$X26)+('Weekly Summary'!M$101*SelfQuarantine_Moderate*'Equipment List &amp; Usage'!$X26))))+IF('Equipment List &amp; Usage'!$F26="Yes",'Equipment List &amp; Usage'!$C$114*(IF('Equipment List &amp; Usage'!$AA26&gt;0,'Weekly Summary'!M$128,0)+IF('Equipment List &amp; Usage'!$AB26&gt;0,'Weekly Summary'!M$100+'Weekly Summary'!M$101,0)),'Equipment List &amp; Usage'!$C$115*(('Weekly Summary'!M$128*'Equipment List &amp; Usage'!$AA26)+('Weekly Summary'!M$100*'Equipment List &amp; Usage'!$AB26*SelfQuarantine_Mild)+('Weekly Summary'!M$101*'Equipment List &amp; Usage'!$AB26*SelfQuarantine_Moderate)))+IF('Equipment List &amp; Usage'!$F26="Yes",('Equipment List &amp; Usage'!$C$114*(IF('Equipment List &amp; Usage'!$AE26&gt;0,'Weekly Summary'!M$134,0)+IF('Equipment List &amp; Usage'!$AF26&gt;0,'Weekly Summary'!M$135))),'Equipment List &amp; Usage'!$C$115*(('Weekly Summary'!M$134*'Equipment List &amp; Usage'!$AE26)+('Weekly Summary'!M$135*'Equipment List &amp; Usage'!$AF26)))),0)</f>
        <v>0</v>
      </c>
      <c r="T24" s="1374">
        <f ca="1">MAX(IF($F24="Yes",(
IF($F24="yes",MMULT(--('Equipment List &amp; Usage'!$J26:$N26&gt;0),--('Weekly Summary'!N$112:N$116))*'Equipment List &amp; Usage'!$C$114,MMULT(--('Equipment List &amp; Usage'!$J26:$N26),--('Weekly Summary'!N$112:N$116))*'Equipment List &amp; Usage'!$C$115)+IF('Equipment List &amp; Usage'!$F25="yes",'Equipment List &amp; Usage'!$C$114,'Equipment List &amp; Usage'!$C$115)*(('Weekly Summary'!N$66*'Equipment List &amp; Usage'!$Q26)+('Weekly Summary'!N$64*'Equipment List &amp; Usage'!$O26)+('Weekly Summary'!N$65*'Equipment List &amp; Usage'!$P26)))+(IF('Equipment List &amp; Usage'!$F26="Yes",'Equipment List &amp; Usage'!$C$114*((('Weekly Summary'!N$131*SelfQuarantine_Mild)+('Weekly Summary'!N$100*SelfQuarantine_Mild)+('Weekly Summary'!N$101*SelfQuarantine_Moderate))),'Equipment List &amp; Usage'!$C$115)*((('Weekly Summary'!N$131*SelfQuarantine_Mild*'Equipment List &amp; Usage'!$W26)+('Weekly Summary'!N$100*SelfQuarantine_Mild*'Equipment List &amp; Usage'!$X26)+('Weekly Summary'!N$101*SelfQuarantine_Moderate*'Equipment List &amp; Usage'!$X26)))+IF('Equipment List &amp; Usage'!$F26="Yes",'Equipment List &amp; Usage'!$C$114*(IF('Equipment List &amp; Usage'!$AA26&gt;0,'Weekly Summary'!N$128,0)+IF('Equipment List &amp; Usage'!$AB26&gt;0,'Weekly Summary'!N$100+'Weekly Summary'!N$101,0)),'Equipment List &amp; Usage'!$C$115*(('Weekly Summary'!N$128*'Equipment List &amp; Usage'!$AA26)+('Weekly Summary'!N$100*'Equipment List &amp; Usage'!$AB26*SelfQuarantine_Mild)+('Weekly Summary'!N$101*'Equipment List &amp; Usage'!$AB26*SelfQuarantine_Moderate)))+IF('Equipment List &amp; Usage'!$F26="Yes",('Equipment List &amp; Usage'!$C$114*(IF('Equipment List &amp; Usage'!$AE26&gt;0,'Weekly Summary'!N$134,0)+IF('Equipment List &amp; Usage'!$AF26&gt;0,'Weekly Summary'!N$135))),'Equipment List &amp; Usage'!$C$115*(('Weekly Summary'!N$134*'Equipment List &amp; Usage'!$AE26)+('Weekly Summary'!N$135*'Equipment List &amp; Usage'!$AF26))))-SUM($I24:S24),
IF($F24="yes",MMULT(--('Equipment List &amp; Usage'!$J26:$N26&gt;0),--('Weekly Summary'!N$112:N$116))*'Equipment List &amp; Usage'!$C$114,MMULT(--('Equipment List &amp; Usage'!$J26:$N26),--('Weekly Summary'!N$112:N$116))*'Equipment List &amp; Usage'!$C$115)+IF('Equipment List &amp; Usage'!$F25="yes",'Equipment List &amp; Usage'!$C$114,'Equipment List &amp; Usage'!$C$115)*(('Weekly Summary'!N$66*'Equipment List &amp; Usage'!$Q26)+('Weekly Summary'!N$64*'Equipment List &amp; Usage'!$O26)+('Weekly Summary'!N$65*'Equipment List &amp; Usage'!$P26))+(IF('Equipment List &amp; Usage'!$F26="Yes",'Equipment List &amp; Usage'!$C$114*((('Weekly Summary'!N$131*SelfQuarantine_Mild)+('Weekly Summary'!N$100*SelfQuarantine_Mild)+('Weekly Summary'!N$101*SelfQuarantine_Moderate))),'Equipment List &amp; Usage'!$C$115)*((('Weekly Summary'!N$131*SelfQuarantine_Mild*'Equipment List &amp; Usage'!$W26)+('Weekly Summary'!N$100*SelfQuarantine_Mild*'Equipment List &amp; Usage'!$X26)+('Weekly Summary'!N$101*SelfQuarantine_Moderate*'Equipment List &amp; Usage'!$X26))))+IF('Equipment List &amp; Usage'!$F26="Yes",'Equipment List &amp; Usage'!$C$114*(IF('Equipment List &amp; Usage'!$AA26&gt;0,'Weekly Summary'!N$128,0)+IF('Equipment List &amp; Usage'!$AB26&gt;0,'Weekly Summary'!N$100+'Weekly Summary'!N$101,0)),'Equipment List &amp; Usage'!$C$115*(('Weekly Summary'!N$128*'Equipment List &amp; Usage'!$AA26)+('Weekly Summary'!N$100*'Equipment List &amp; Usage'!$AB26*SelfQuarantine_Mild)+('Weekly Summary'!N$101*'Equipment List &amp; Usage'!$AB26*SelfQuarantine_Moderate)))+IF('Equipment List &amp; Usage'!$F26="Yes",('Equipment List &amp; Usage'!$C$114*(IF('Equipment List &amp; Usage'!$AE26&gt;0,'Weekly Summary'!N$134,0)+IF('Equipment List &amp; Usage'!$AF26&gt;0,'Weekly Summary'!N$135))),'Equipment List &amp; Usage'!$C$115*(('Weekly Summary'!N$134*'Equipment List &amp; Usage'!$AE26)+('Weekly Summary'!N$135*'Equipment List &amp; Usage'!$AF26)))),0)</f>
        <v>0</v>
      </c>
      <c r="U24" s="1374">
        <f ca="1">MAX(IF($F24="Yes",(
IF($F24="yes",MMULT(--('Equipment List &amp; Usage'!$J26:$N26&gt;0),--('Weekly Summary'!O$112:O$116))*'Equipment List &amp; Usage'!$C$114,MMULT(--('Equipment List &amp; Usage'!$J26:$N26),--('Weekly Summary'!O$112:O$116))*'Equipment List &amp; Usage'!$C$115)+IF('Equipment List &amp; Usage'!$F25="yes",'Equipment List &amp; Usage'!$C$114,'Equipment List &amp; Usage'!$C$115)*(('Weekly Summary'!O$66*'Equipment List &amp; Usage'!$Q26)+('Weekly Summary'!O$64*'Equipment List &amp; Usage'!$O26)+('Weekly Summary'!O$65*'Equipment List &amp; Usage'!$P26)))+(IF('Equipment List &amp; Usage'!$F26="Yes",'Equipment List &amp; Usage'!$C$114*((('Weekly Summary'!O$131*SelfQuarantine_Mild)+('Weekly Summary'!O$100*SelfQuarantine_Mild)+('Weekly Summary'!O$101*SelfQuarantine_Moderate))),'Equipment List &amp; Usage'!$C$115)*((('Weekly Summary'!O$131*SelfQuarantine_Mild*'Equipment List &amp; Usage'!$W26)+('Weekly Summary'!O$100*SelfQuarantine_Mild*'Equipment List &amp; Usage'!$X26)+('Weekly Summary'!O$101*SelfQuarantine_Moderate*'Equipment List &amp; Usage'!$X26)))+IF('Equipment List &amp; Usage'!$F26="Yes",'Equipment List &amp; Usage'!$C$114*(IF('Equipment List &amp; Usage'!$AA26&gt;0,'Weekly Summary'!O$128,0)+IF('Equipment List &amp; Usage'!$AB26&gt;0,'Weekly Summary'!O$100+'Weekly Summary'!O$101,0)),'Equipment List &amp; Usage'!$C$115*(('Weekly Summary'!O$128*'Equipment List &amp; Usage'!$AA26)+('Weekly Summary'!O$100*'Equipment List &amp; Usage'!$AB26*SelfQuarantine_Mild)+('Weekly Summary'!O$101*'Equipment List &amp; Usage'!$AB26*SelfQuarantine_Moderate)))+IF('Equipment List &amp; Usage'!$F26="Yes",('Equipment List &amp; Usage'!$C$114*(IF('Equipment List &amp; Usage'!$AE26&gt;0,'Weekly Summary'!O$134,0)+IF('Equipment List &amp; Usage'!$AF26&gt;0,'Weekly Summary'!O$135))),'Equipment List &amp; Usage'!$C$115*(('Weekly Summary'!O$134*'Equipment List &amp; Usage'!$AE26)+('Weekly Summary'!O$135*'Equipment List &amp; Usage'!$AF26))))-SUM($I24:T24),
IF($F24="yes",MMULT(--('Equipment List &amp; Usage'!$J26:$N26&gt;0),--('Weekly Summary'!O$112:O$116))*'Equipment List &amp; Usage'!$C$114,MMULT(--('Equipment List &amp; Usage'!$J26:$N26),--('Weekly Summary'!O$112:O$116))*'Equipment List &amp; Usage'!$C$115)+IF('Equipment List &amp; Usage'!$F25="yes",'Equipment List &amp; Usage'!$C$114,'Equipment List &amp; Usage'!$C$115)*(('Weekly Summary'!O$66*'Equipment List &amp; Usage'!$Q26)+('Weekly Summary'!O$64*'Equipment List &amp; Usage'!$O26)+('Weekly Summary'!O$65*'Equipment List &amp; Usage'!$P26))+(IF('Equipment List &amp; Usage'!$F26="Yes",'Equipment List &amp; Usage'!$C$114*((('Weekly Summary'!O$131*SelfQuarantine_Mild)+('Weekly Summary'!O$100*SelfQuarantine_Mild)+('Weekly Summary'!O$101*SelfQuarantine_Moderate))),'Equipment List &amp; Usage'!$C$115)*((('Weekly Summary'!O$131*SelfQuarantine_Mild*'Equipment List &amp; Usage'!$W26)+('Weekly Summary'!O$100*SelfQuarantine_Mild*'Equipment List &amp; Usage'!$X26)+('Weekly Summary'!O$101*SelfQuarantine_Moderate*'Equipment List &amp; Usage'!$X26))))+IF('Equipment List &amp; Usage'!$F26="Yes",'Equipment List &amp; Usage'!$C$114*(IF('Equipment List &amp; Usage'!$AA26&gt;0,'Weekly Summary'!O$128,0)+IF('Equipment List &amp; Usage'!$AB26&gt;0,'Weekly Summary'!O$100+'Weekly Summary'!O$101,0)),'Equipment List &amp; Usage'!$C$115*(('Weekly Summary'!O$128*'Equipment List &amp; Usage'!$AA26)+('Weekly Summary'!O$100*'Equipment List &amp; Usage'!$AB26*SelfQuarantine_Mild)+('Weekly Summary'!O$101*'Equipment List &amp; Usage'!$AB26*SelfQuarantine_Moderate)))+IF('Equipment List &amp; Usage'!$F26="Yes",('Equipment List &amp; Usage'!$C$114*(IF('Equipment List &amp; Usage'!$AE26&gt;0,'Weekly Summary'!O$134,0)+IF('Equipment List &amp; Usage'!$AF26&gt;0,'Weekly Summary'!O$135))),'Equipment List &amp; Usage'!$C$115*(('Weekly Summary'!O$134*'Equipment List &amp; Usage'!$AE26)+('Weekly Summary'!O$135*'Equipment List &amp; Usage'!$AF26)))),0)</f>
        <v>0</v>
      </c>
      <c r="V24" s="1374">
        <f ca="1">MAX(IF($F24="Yes",(
IF($F24="yes",MMULT(--('Equipment List &amp; Usage'!$J26:$N26&gt;0),--('Weekly Summary'!P$112:P$116))*'Equipment List &amp; Usage'!$C$114,MMULT(--('Equipment List &amp; Usage'!$J26:$N26),--('Weekly Summary'!P$112:P$116))*'Equipment List &amp; Usage'!$C$115)+IF('Equipment List &amp; Usage'!$F25="yes",'Equipment List &amp; Usage'!$C$114,'Equipment List &amp; Usage'!$C$115)*(('Weekly Summary'!P$66*'Equipment List &amp; Usage'!$Q26)+('Weekly Summary'!P$64*'Equipment List &amp; Usage'!$O26)+('Weekly Summary'!P$65*'Equipment List &amp; Usage'!$P26)))+(IF('Equipment List &amp; Usage'!$F26="Yes",'Equipment List &amp; Usage'!$C$114*((('Weekly Summary'!P$131*SelfQuarantine_Mild)+('Weekly Summary'!P$100*SelfQuarantine_Mild)+('Weekly Summary'!P$101*SelfQuarantine_Moderate))),'Equipment List &amp; Usage'!$C$115)*((('Weekly Summary'!P$131*SelfQuarantine_Mild*'Equipment List &amp; Usage'!$W26)+('Weekly Summary'!P$100*SelfQuarantine_Mild*'Equipment List &amp; Usage'!$X26)+('Weekly Summary'!P$101*SelfQuarantine_Moderate*'Equipment List &amp; Usage'!$X26)))+IF('Equipment List &amp; Usage'!$F26="Yes",'Equipment List &amp; Usage'!$C$114*(IF('Equipment List &amp; Usage'!$AA26&gt;0,'Weekly Summary'!P$128,0)+IF('Equipment List &amp; Usage'!$AB26&gt;0,'Weekly Summary'!P$100+'Weekly Summary'!P$101,0)),'Equipment List &amp; Usage'!$C$115*(('Weekly Summary'!P$128*'Equipment List &amp; Usage'!$AA26)+('Weekly Summary'!P$100*'Equipment List &amp; Usage'!$AB26*SelfQuarantine_Mild)+('Weekly Summary'!P$101*'Equipment List &amp; Usage'!$AB26*SelfQuarantine_Moderate)))+IF('Equipment List &amp; Usage'!$F26="Yes",('Equipment List &amp; Usage'!$C$114*(IF('Equipment List &amp; Usage'!$AE26&gt;0,'Weekly Summary'!P$134,0)+IF('Equipment List &amp; Usage'!$AF26&gt;0,'Weekly Summary'!P$135))),'Equipment List &amp; Usage'!$C$115*(('Weekly Summary'!P$134*'Equipment List &amp; Usage'!$AE26)+('Weekly Summary'!P$135*'Equipment List &amp; Usage'!$AF26))))-SUM($I24:U24),
IF($F24="yes",MMULT(--('Equipment List &amp; Usage'!$J26:$N26&gt;0),--('Weekly Summary'!P$112:P$116))*'Equipment List &amp; Usage'!$C$114,MMULT(--('Equipment List &amp; Usage'!$J26:$N26),--('Weekly Summary'!P$112:P$116))*'Equipment List &amp; Usage'!$C$115)+IF('Equipment List &amp; Usage'!$F25="yes",'Equipment List &amp; Usage'!$C$114,'Equipment List &amp; Usage'!$C$115)*(('Weekly Summary'!P$66*'Equipment List &amp; Usage'!$Q26)+('Weekly Summary'!P$64*'Equipment List &amp; Usage'!$O26)+('Weekly Summary'!P$65*'Equipment List &amp; Usage'!$P26))+(IF('Equipment List &amp; Usage'!$F26="Yes",'Equipment List &amp; Usage'!$C$114*((('Weekly Summary'!P$131*SelfQuarantine_Mild)+('Weekly Summary'!P$100*SelfQuarantine_Mild)+('Weekly Summary'!P$101*SelfQuarantine_Moderate))),'Equipment List &amp; Usage'!$C$115)*((('Weekly Summary'!P$131*SelfQuarantine_Mild*'Equipment List &amp; Usage'!$W26)+('Weekly Summary'!P$100*SelfQuarantine_Mild*'Equipment List &amp; Usage'!$X26)+('Weekly Summary'!P$101*SelfQuarantine_Moderate*'Equipment List &amp; Usage'!$X26))))+IF('Equipment List &amp; Usage'!$F26="Yes",'Equipment List &amp; Usage'!$C$114*(IF('Equipment List &amp; Usage'!$AA26&gt;0,'Weekly Summary'!P$128,0)+IF('Equipment List &amp; Usage'!$AB26&gt;0,'Weekly Summary'!P$100+'Weekly Summary'!P$101,0)),'Equipment List &amp; Usage'!$C$115*(('Weekly Summary'!P$128*'Equipment List &amp; Usage'!$AA26)+('Weekly Summary'!P$100*'Equipment List &amp; Usage'!$AB26*SelfQuarantine_Mild)+('Weekly Summary'!P$101*'Equipment List &amp; Usage'!$AB26*SelfQuarantine_Moderate)))+IF('Equipment List &amp; Usage'!$F26="Yes",('Equipment List &amp; Usage'!$C$114*(IF('Equipment List &amp; Usage'!$AE26&gt;0,'Weekly Summary'!P$134,0)+IF('Equipment List &amp; Usage'!$AF26&gt;0,'Weekly Summary'!P$135))),'Equipment List &amp; Usage'!$C$115*(('Weekly Summary'!P$134*'Equipment List &amp; Usage'!$AE26)+('Weekly Summary'!P$135*'Equipment List &amp; Usage'!$AF26)))),0)</f>
        <v>0</v>
      </c>
      <c r="W24" s="1374">
        <f ca="1">MAX(IF($F24="Yes",(
IF($F24="yes",MMULT(--('Equipment List &amp; Usage'!$J26:$N26&gt;0),--('Weekly Summary'!Q$112:Q$116))*'Equipment List &amp; Usage'!$C$114,MMULT(--('Equipment List &amp; Usage'!$J26:$N26),--('Weekly Summary'!Q$112:Q$116))*'Equipment List &amp; Usage'!$C$115)+IF('Equipment List &amp; Usage'!$F25="yes",'Equipment List &amp; Usage'!$C$114,'Equipment List &amp; Usage'!$C$115)*(('Weekly Summary'!Q$66*'Equipment List &amp; Usage'!$Q26)+('Weekly Summary'!Q$64*'Equipment List &amp; Usage'!$O26)+('Weekly Summary'!Q$65*'Equipment List &amp; Usage'!$P26)))+(IF('Equipment List &amp; Usage'!$F26="Yes",'Equipment List &amp; Usage'!$C$114*((('Weekly Summary'!Q$131*SelfQuarantine_Mild)+('Weekly Summary'!Q$100*SelfQuarantine_Mild)+('Weekly Summary'!Q$101*SelfQuarantine_Moderate))),'Equipment List &amp; Usage'!$C$115)*((('Weekly Summary'!Q$131*SelfQuarantine_Mild*'Equipment List &amp; Usage'!$W26)+('Weekly Summary'!Q$100*SelfQuarantine_Mild*'Equipment List &amp; Usage'!$X26)+('Weekly Summary'!Q$101*SelfQuarantine_Moderate*'Equipment List &amp; Usage'!$X26)))+IF('Equipment List &amp; Usage'!$F26="Yes",'Equipment List &amp; Usage'!$C$114*(IF('Equipment List &amp; Usage'!$AA26&gt;0,'Weekly Summary'!Q$128,0)+IF('Equipment List &amp; Usage'!$AB26&gt;0,'Weekly Summary'!Q$100+'Weekly Summary'!Q$101,0)),'Equipment List &amp; Usage'!$C$115*(('Weekly Summary'!Q$128*'Equipment List &amp; Usage'!$AA26)+('Weekly Summary'!Q$100*'Equipment List &amp; Usage'!$AB26*SelfQuarantine_Mild)+('Weekly Summary'!Q$101*'Equipment List &amp; Usage'!$AB26*SelfQuarantine_Moderate)))+IF('Equipment List &amp; Usage'!$F26="Yes",('Equipment List &amp; Usage'!$C$114*(IF('Equipment List &amp; Usage'!$AE26&gt;0,'Weekly Summary'!Q$134,0)+IF('Equipment List &amp; Usage'!$AF26&gt;0,'Weekly Summary'!Q$135))),'Equipment List &amp; Usage'!$C$115*(('Weekly Summary'!Q$134*'Equipment List &amp; Usage'!$AE26)+('Weekly Summary'!Q$135*'Equipment List &amp; Usage'!$AF26))))-SUM($I24:V24),
IF($F24="yes",MMULT(--('Equipment List &amp; Usage'!$J26:$N26&gt;0),--('Weekly Summary'!Q$112:Q$116))*'Equipment List &amp; Usage'!$C$114,MMULT(--('Equipment List &amp; Usage'!$J26:$N26),--('Weekly Summary'!Q$112:Q$116))*'Equipment List &amp; Usage'!$C$115)+IF('Equipment List &amp; Usage'!$F25="yes",'Equipment List &amp; Usage'!$C$114,'Equipment List &amp; Usage'!$C$115)*(('Weekly Summary'!Q$66*'Equipment List &amp; Usage'!$Q26)+('Weekly Summary'!Q$64*'Equipment List &amp; Usage'!$O26)+('Weekly Summary'!Q$65*'Equipment List &amp; Usage'!$P26))+(IF('Equipment List &amp; Usage'!$F26="Yes",'Equipment List &amp; Usage'!$C$114*((('Weekly Summary'!Q$131*SelfQuarantine_Mild)+('Weekly Summary'!Q$100*SelfQuarantine_Mild)+('Weekly Summary'!Q$101*SelfQuarantine_Moderate))),'Equipment List &amp; Usage'!$C$115)*((('Weekly Summary'!Q$131*SelfQuarantine_Mild*'Equipment List &amp; Usage'!$W26)+('Weekly Summary'!Q$100*SelfQuarantine_Mild*'Equipment List &amp; Usage'!$X26)+('Weekly Summary'!Q$101*SelfQuarantine_Moderate*'Equipment List &amp; Usage'!$X26))))+IF('Equipment List &amp; Usage'!$F26="Yes",'Equipment List &amp; Usage'!$C$114*(IF('Equipment List &amp; Usage'!$AA26&gt;0,'Weekly Summary'!Q$128,0)+IF('Equipment List &amp; Usage'!$AB26&gt;0,'Weekly Summary'!Q$100+'Weekly Summary'!Q$101,0)),'Equipment List &amp; Usage'!$C$115*(('Weekly Summary'!Q$128*'Equipment List &amp; Usage'!$AA26)+('Weekly Summary'!Q$100*'Equipment List &amp; Usage'!$AB26*SelfQuarantine_Mild)+('Weekly Summary'!Q$101*'Equipment List &amp; Usage'!$AB26*SelfQuarantine_Moderate)))+IF('Equipment List &amp; Usage'!$F26="Yes",('Equipment List &amp; Usage'!$C$114*(IF('Equipment List &amp; Usage'!$AE26&gt;0,'Weekly Summary'!Q$134,0)+IF('Equipment List &amp; Usage'!$AF26&gt;0,'Weekly Summary'!Q$135))),'Equipment List &amp; Usage'!$C$115*(('Weekly Summary'!Q$134*'Equipment List &amp; Usage'!$AE26)+('Weekly Summary'!Q$135*'Equipment List &amp; Usage'!$AF26)))),0)</f>
        <v>0</v>
      </c>
      <c r="X24" s="1374">
        <f ca="1">MAX(IF($F24="Yes",(
IF($F24="yes",MMULT(--('Equipment List &amp; Usage'!$J26:$N26&gt;0),--('Weekly Summary'!R$112:R$116))*'Equipment List &amp; Usage'!$C$114,MMULT(--('Equipment List &amp; Usage'!$J26:$N26),--('Weekly Summary'!R$112:R$116))*'Equipment List &amp; Usage'!$C$115)+IF('Equipment List &amp; Usage'!$F25="yes",'Equipment List &amp; Usage'!$C$114,'Equipment List &amp; Usage'!$C$115)*(('Weekly Summary'!R$66*'Equipment List &amp; Usage'!$Q26)+('Weekly Summary'!R$64*'Equipment List &amp; Usage'!$O26)+('Weekly Summary'!R$65*'Equipment List &amp; Usage'!$P26)))+(IF('Equipment List &amp; Usage'!$F26="Yes",'Equipment List &amp; Usage'!$C$114*((('Weekly Summary'!R$131*SelfQuarantine_Mild)+('Weekly Summary'!R$100*SelfQuarantine_Mild)+('Weekly Summary'!R$101*SelfQuarantine_Moderate))),'Equipment List &amp; Usage'!$C$115)*((('Weekly Summary'!R$131*SelfQuarantine_Mild*'Equipment List &amp; Usage'!$W26)+('Weekly Summary'!R$100*SelfQuarantine_Mild*'Equipment List &amp; Usage'!$X26)+('Weekly Summary'!R$101*SelfQuarantine_Moderate*'Equipment List &amp; Usage'!$X26)))+IF('Equipment List &amp; Usage'!$F26="Yes",'Equipment List &amp; Usage'!$C$114*(IF('Equipment List &amp; Usage'!$AA26&gt;0,'Weekly Summary'!R$128,0)+IF('Equipment List &amp; Usage'!$AB26&gt;0,'Weekly Summary'!R$100+'Weekly Summary'!R$101,0)),'Equipment List &amp; Usage'!$C$115*(('Weekly Summary'!R$128*'Equipment List &amp; Usage'!$AA26)+('Weekly Summary'!R$100*'Equipment List &amp; Usage'!$AB26*SelfQuarantine_Mild)+('Weekly Summary'!R$101*'Equipment List &amp; Usage'!$AB26*SelfQuarantine_Moderate)))+IF('Equipment List &amp; Usage'!$F26="Yes",('Equipment List &amp; Usage'!$C$114*(IF('Equipment List &amp; Usage'!$AE26&gt;0,'Weekly Summary'!R$134,0)+IF('Equipment List &amp; Usage'!$AF26&gt;0,'Weekly Summary'!R$135))),'Equipment List &amp; Usage'!$C$115*(('Weekly Summary'!R$134*'Equipment List &amp; Usage'!$AE26)+('Weekly Summary'!R$135*'Equipment List &amp; Usage'!$AF26))))-SUM($I24:W24),
IF($F24="yes",MMULT(--('Equipment List &amp; Usage'!$J26:$N26&gt;0),--('Weekly Summary'!R$112:R$116))*'Equipment List &amp; Usage'!$C$114,MMULT(--('Equipment List &amp; Usage'!$J26:$N26),--('Weekly Summary'!R$112:R$116))*'Equipment List &amp; Usage'!$C$115)+IF('Equipment List &amp; Usage'!$F25="yes",'Equipment List &amp; Usage'!$C$114,'Equipment List &amp; Usage'!$C$115)*(('Weekly Summary'!R$66*'Equipment List &amp; Usage'!$Q26)+('Weekly Summary'!R$64*'Equipment List &amp; Usage'!$O26)+('Weekly Summary'!R$65*'Equipment List &amp; Usage'!$P26))+(IF('Equipment List &amp; Usage'!$F26="Yes",'Equipment List &amp; Usage'!$C$114*((('Weekly Summary'!R$131*SelfQuarantine_Mild)+('Weekly Summary'!R$100*SelfQuarantine_Mild)+('Weekly Summary'!R$101*SelfQuarantine_Moderate))),'Equipment List &amp; Usage'!$C$115)*((('Weekly Summary'!R$131*SelfQuarantine_Mild*'Equipment List &amp; Usage'!$W26)+('Weekly Summary'!R$100*SelfQuarantine_Mild*'Equipment List &amp; Usage'!$X26)+('Weekly Summary'!R$101*SelfQuarantine_Moderate*'Equipment List &amp; Usage'!$X26))))+IF('Equipment List &amp; Usage'!$F26="Yes",'Equipment List &amp; Usage'!$C$114*(IF('Equipment List &amp; Usage'!$AA26&gt;0,'Weekly Summary'!R$128,0)+IF('Equipment List &amp; Usage'!$AB26&gt;0,'Weekly Summary'!R$100+'Weekly Summary'!R$101,0)),'Equipment List &amp; Usage'!$C$115*(('Weekly Summary'!R$128*'Equipment List &amp; Usage'!$AA26)+('Weekly Summary'!R$100*'Equipment List &amp; Usage'!$AB26*SelfQuarantine_Mild)+('Weekly Summary'!R$101*'Equipment List &amp; Usage'!$AB26*SelfQuarantine_Moderate)))+IF('Equipment List &amp; Usage'!$F26="Yes",('Equipment List &amp; Usage'!$C$114*(IF('Equipment List &amp; Usage'!$AE26&gt;0,'Weekly Summary'!R$134,0)+IF('Equipment List &amp; Usage'!$AF26&gt;0,'Weekly Summary'!R$135))),'Equipment List &amp; Usage'!$C$115*(('Weekly Summary'!R$134*'Equipment List &amp; Usage'!$AE26)+('Weekly Summary'!R$135*'Equipment List &amp; Usage'!$AF26)))),0)</f>
        <v>0</v>
      </c>
      <c r="Y24" s="1374">
        <f ca="1">MAX(IF($F24="Yes",(
IF($F24="yes",MMULT(--('Equipment List &amp; Usage'!$J26:$N26&gt;0),--('Weekly Summary'!S$112:S$116))*'Equipment List &amp; Usage'!$C$114,MMULT(--('Equipment List &amp; Usage'!$J26:$N26),--('Weekly Summary'!S$112:S$116))*'Equipment List &amp; Usage'!$C$115)+IF('Equipment List &amp; Usage'!$F25="yes",'Equipment List &amp; Usage'!$C$114,'Equipment List &amp; Usage'!$C$115)*(('Weekly Summary'!S$66*'Equipment List &amp; Usage'!$Q26)+('Weekly Summary'!S$64*'Equipment List &amp; Usage'!$O26)+('Weekly Summary'!S$65*'Equipment List &amp; Usage'!$P26)))+(IF('Equipment List &amp; Usage'!$F26="Yes",'Equipment List &amp; Usage'!$C$114*((('Weekly Summary'!S$131*SelfQuarantine_Mild)+('Weekly Summary'!S$100*SelfQuarantine_Mild)+('Weekly Summary'!S$101*SelfQuarantine_Moderate))),'Equipment List &amp; Usage'!$C$115)*((('Weekly Summary'!S$131*SelfQuarantine_Mild*'Equipment List &amp; Usage'!$W26)+('Weekly Summary'!S$100*SelfQuarantine_Mild*'Equipment List &amp; Usage'!$X26)+('Weekly Summary'!S$101*SelfQuarantine_Moderate*'Equipment List &amp; Usage'!$X26)))+IF('Equipment List &amp; Usage'!$F26="Yes",'Equipment List &amp; Usage'!$C$114*(IF('Equipment List &amp; Usage'!$AA26&gt;0,'Weekly Summary'!S$128,0)+IF('Equipment List &amp; Usage'!$AB26&gt;0,'Weekly Summary'!S$100+'Weekly Summary'!S$101,0)),'Equipment List &amp; Usage'!$C$115*(('Weekly Summary'!S$128*'Equipment List &amp; Usage'!$AA26)+('Weekly Summary'!S$100*'Equipment List &amp; Usage'!$AB26*SelfQuarantine_Mild)+('Weekly Summary'!S$101*'Equipment List &amp; Usage'!$AB26*SelfQuarantine_Moderate)))+IF('Equipment List &amp; Usage'!$F26="Yes",('Equipment List &amp; Usage'!$C$114*(IF('Equipment List &amp; Usage'!$AE26&gt;0,'Weekly Summary'!S$134,0)+IF('Equipment List &amp; Usage'!$AF26&gt;0,'Weekly Summary'!S$135))),'Equipment List &amp; Usage'!$C$115*(('Weekly Summary'!S$134*'Equipment List &amp; Usage'!$AE26)+('Weekly Summary'!S$135*'Equipment List &amp; Usage'!$AF26))))-SUM($I24:X24),
IF($F24="yes",MMULT(--('Equipment List &amp; Usage'!$J26:$N26&gt;0),--('Weekly Summary'!S$112:S$116))*'Equipment List &amp; Usage'!$C$114,MMULT(--('Equipment List &amp; Usage'!$J26:$N26),--('Weekly Summary'!S$112:S$116))*'Equipment List &amp; Usage'!$C$115)+IF('Equipment List &amp; Usage'!$F25="yes",'Equipment List &amp; Usage'!$C$114,'Equipment List &amp; Usage'!$C$115)*(('Weekly Summary'!S$66*'Equipment List &amp; Usage'!$Q26)+('Weekly Summary'!S$64*'Equipment List &amp; Usage'!$O26)+('Weekly Summary'!S$65*'Equipment List &amp; Usage'!$P26))+(IF('Equipment List &amp; Usage'!$F26="Yes",'Equipment List &amp; Usage'!$C$114*((('Weekly Summary'!S$131*SelfQuarantine_Mild)+('Weekly Summary'!S$100*SelfQuarantine_Mild)+('Weekly Summary'!S$101*SelfQuarantine_Moderate))),'Equipment List &amp; Usage'!$C$115)*((('Weekly Summary'!S$131*SelfQuarantine_Mild*'Equipment List &amp; Usage'!$W26)+('Weekly Summary'!S$100*SelfQuarantine_Mild*'Equipment List &amp; Usage'!$X26)+('Weekly Summary'!S$101*SelfQuarantine_Moderate*'Equipment List &amp; Usage'!$X26))))+IF('Equipment List &amp; Usage'!$F26="Yes",'Equipment List &amp; Usage'!$C$114*(IF('Equipment List &amp; Usage'!$AA26&gt;0,'Weekly Summary'!S$128,0)+IF('Equipment List &amp; Usage'!$AB26&gt;0,'Weekly Summary'!S$100+'Weekly Summary'!S$101,0)),'Equipment List &amp; Usage'!$C$115*(('Weekly Summary'!S$128*'Equipment List &amp; Usage'!$AA26)+('Weekly Summary'!S$100*'Equipment List &amp; Usage'!$AB26*SelfQuarantine_Mild)+('Weekly Summary'!S$101*'Equipment List &amp; Usage'!$AB26*SelfQuarantine_Moderate)))+IF('Equipment List &amp; Usage'!$F26="Yes",('Equipment List &amp; Usage'!$C$114*(IF('Equipment List &amp; Usage'!$AE26&gt;0,'Weekly Summary'!S$134,0)+IF('Equipment List &amp; Usage'!$AF26&gt;0,'Weekly Summary'!S$135))),'Equipment List &amp; Usage'!$C$115*(('Weekly Summary'!S$134*'Equipment List &amp; Usage'!$AE26)+('Weekly Summary'!S$135*'Equipment List &amp; Usage'!$AF26)))),0)</f>
        <v>0</v>
      </c>
      <c r="Z24" s="1374">
        <f ca="1">MAX(IF($F24="Yes",(
IF($F24="yes",MMULT(--('Equipment List &amp; Usage'!$J26:$N26&gt;0),--('Weekly Summary'!T$112:T$116))*'Equipment List &amp; Usage'!$C$114,MMULT(--('Equipment List &amp; Usage'!$J26:$N26),--('Weekly Summary'!T$112:T$116))*'Equipment List &amp; Usage'!$C$115)+IF('Equipment List &amp; Usage'!$F25="yes",'Equipment List &amp; Usage'!$C$114,'Equipment List &amp; Usage'!$C$115)*(('Weekly Summary'!T$66*'Equipment List &amp; Usage'!$Q26)+('Weekly Summary'!T$64*'Equipment List &amp; Usage'!$O26)+('Weekly Summary'!T$65*'Equipment List &amp; Usage'!$P26)))+(IF('Equipment List &amp; Usage'!$F26="Yes",'Equipment List &amp; Usage'!$C$114*((('Weekly Summary'!T$131*SelfQuarantine_Mild)+('Weekly Summary'!T$100*SelfQuarantine_Mild)+('Weekly Summary'!T$101*SelfQuarantine_Moderate))),'Equipment List &amp; Usage'!$C$115)*((('Weekly Summary'!T$131*SelfQuarantine_Mild*'Equipment List &amp; Usage'!$W26)+('Weekly Summary'!T$100*SelfQuarantine_Mild*'Equipment List &amp; Usage'!$X26)+('Weekly Summary'!T$101*SelfQuarantine_Moderate*'Equipment List &amp; Usage'!$X26)))+IF('Equipment List &amp; Usage'!$F26="Yes",'Equipment List &amp; Usage'!$C$114*(IF('Equipment List &amp; Usage'!$AA26&gt;0,'Weekly Summary'!T$128,0)+IF('Equipment List &amp; Usage'!$AB26&gt;0,'Weekly Summary'!T$100+'Weekly Summary'!T$101,0)),'Equipment List &amp; Usage'!$C$115*(('Weekly Summary'!T$128*'Equipment List &amp; Usage'!$AA26)+('Weekly Summary'!T$100*'Equipment List &amp; Usage'!$AB26*SelfQuarantine_Mild)+('Weekly Summary'!T$101*'Equipment List &amp; Usage'!$AB26*SelfQuarantine_Moderate)))+IF('Equipment List &amp; Usage'!$F26="Yes",('Equipment List &amp; Usage'!$C$114*(IF('Equipment List &amp; Usage'!$AE26&gt;0,'Weekly Summary'!T$134,0)+IF('Equipment List &amp; Usage'!$AF26&gt;0,'Weekly Summary'!T$135))),'Equipment List &amp; Usage'!$C$115*(('Weekly Summary'!T$134*'Equipment List &amp; Usage'!$AE26)+('Weekly Summary'!T$135*'Equipment List &amp; Usage'!$AF26))))-SUM($I24:Y24),
IF($F24="yes",MMULT(--('Equipment List &amp; Usage'!$J26:$N26&gt;0),--('Weekly Summary'!T$112:T$116))*'Equipment List &amp; Usage'!$C$114,MMULT(--('Equipment List &amp; Usage'!$J26:$N26),--('Weekly Summary'!T$112:T$116))*'Equipment List &amp; Usage'!$C$115)+IF('Equipment List &amp; Usage'!$F25="yes",'Equipment List &amp; Usage'!$C$114,'Equipment List &amp; Usage'!$C$115)*(('Weekly Summary'!T$66*'Equipment List &amp; Usage'!$Q26)+('Weekly Summary'!T$64*'Equipment List &amp; Usage'!$O26)+('Weekly Summary'!T$65*'Equipment List &amp; Usage'!$P26))+(IF('Equipment List &amp; Usage'!$F26="Yes",'Equipment List &amp; Usage'!$C$114*((('Weekly Summary'!T$131*SelfQuarantine_Mild)+('Weekly Summary'!T$100*SelfQuarantine_Mild)+('Weekly Summary'!T$101*SelfQuarantine_Moderate))),'Equipment List &amp; Usage'!$C$115)*((('Weekly Summary'!T$131*SelfQuarantine_Mild*'Equipment List &amp; Usage'!$W26)+('Weekly Summary'!T$100*SelfQuarantine_Mild*'Equipment List &amp; Usage'!$X26)+('Weekly Summary'!T$101*SelfQuarantine_Moderate*'Equipment List &amp; Usage'!$X26))))+IF('Equipment List &amp; Usage'!$F26="Yes",'Equipment List &amp; Usage'!$C$114*(IF('Equipment List &amp; Usage'!$AA26&gt;0,'Weekly Summary'!T$128,0)+IF('Equipment List &amp; Usage'!$AB26&gt;0,'Weekly Summary'!T$100+'Weekly Summary'!T$101,0)),'Equipment List &amp; Usage'!$C$115*(('Weekly Summary'!T$128*'Equipment List &amp; Usage'!$AA26)+('Weekly Summary'!T$100*'Equipment List &amp; Usage'!$AB26*SelfQuarantine_Mild)+('Weekly Summary'!T$101*'Equipment List &amp; Usage'!$AB26*SelfQuarantine_Moderate)))+IF('Equipment List &amp; Usage'!$F26="Yes",('Equipment List &amp; Usage'!$C$114*(IF('Equipment List &amp; Usage'!$AE26&gt;0,'Weekly Summary'!T$134,0)+IF('Equipment List &amp; Usage'!$AF26&gt;0,'Weekly Summary'!T$135))),'Equipment List &amp; Usage'!$C$115*(('Weekly Summary'!T$134*'Equipment List &amp; Usage'!$AE26)+('Weekly Summary'!T$135*'Equipment List &amp; Usage'!$AF26)))),0)</f>
        <v>0</v>
      </c>
      <c r="AA24" s="1374">
        <f ca="1">MAX(IF($F24="Yes",(
IF($F24="yes",MMULT(--('Equipment List &amp; Usage'!$J26:$N26&gt;0),--('Weekly Summary'!U$112:U$116))*'Equipment List &amp; Usage'!$C$114,MMULT(--('Equipment List &amp; Usage'!$J26:$N26),--('Weekly Summary'!U$112:U$116))*'Equipment List &amp; Usage'!$C$115)+IF('Equipment List &amp; Usage'!$F25="yes",'Equipment List &amp; Usage'!$C$114,'Equipment List &amp; Usage'!$C$115)*(('Weekly Summary'!U$66*'Equipment List &amp; Usage'!$Q26)+('Weekly Summary'!U$64*'Equipment List &amp; Usage'!$O26)+('Weekly Summary'!U$65*'Equipment List &amp; Usage'!$P26)))+(IF('Equipment List &amp; Usage'!$F26="Yes",'Equipment List &amp; Usage'!$C$114*((('Weekly Summary'!U$131*SelfQuarantine_Mild)+('Weekly Summary'!U$100*SelfQuarantine_Mild)+('Weekly Summary'!U$101*SelfQuarantine_Moderate))),'Equipment List &amp; Usage'!$C$115)*((('Weekly Summary'!U$131*SelfQuarantine_Mild*'Equipment List &amp; Usage'!$W26)+('Weekly Summary'!U$100*SelfQuarantine_Mild*'Equipment List &amp; Usage'!$X26)+('Weekly Summary'!U$101*SelfQuarantine_Moderate*'Equipment List &amp; Usage'!$X26)))+IF('Equipment List &amp; Usage'!$F26="Yes",'Equipment List &amp; Usage'!$C$114*(IF('Equipment List &amp; Usage'!$AA26&gt;0,'Weekly Summary'!U$128,0)+IF('Equipment List &amp; Usage'!$AB26&gt;0,'Weekly Summary'!U$100+'Weekly Summary'!U$101,0)),'Equipment List &amp; Usage'!$C$115*(('Weekly Summary'!U$128*'Equipment List &amp; Usage'!$AA26)+('Weekly Summary'!U$100*'Equipment List &amp; Usage'!$AB26*SelfQuarantine_Mild)+('Weekly Summary'!U$101*'Equipment List &amp; Usage'!$AB26*SelfQuarantine_Moderate)))+IF('Equipment List &amp; Usage'!$F26="Yes",('Equipment List &amp; Usage'!$C$114*(IF('Equipment List &amp; Usage'!$AE26&gt;0,'Weekly Summary'!U$134,0)+IF('Equipment List &amp; Usage'!$AF26&gt;0,'Weekly Summary'!U$135))),'Equipment List &amp; Usage'!$C$115*(('Weekly Summary'!U$134*'Equipment List &amp; Usage'!$AE26)+('Weekly Summary'!U$135*'Equipment List &amp; Usage'!$AF26))))-SUM($I24:Z24),
IF($F24="yes",MMULT(--('Equipment List &amp; Usage'!$J26:$N26&gt;0),--('Weekly Summary'!U$112:U$116))*'Equipment List &amp; Usage'!$C$114,MMULT(--('Equipment List &amp; Usage'!$J26:$N26),--('Weekly Summary'!U$112:U$116))*'Equipment List &amp; Usage'!$C$115)+IF('Equipment List &amp; Usage'!$F25="yes",'Equipment List &amp; Usage'!$C$114,'Equipment List &amp; Usage'!$C$115)*(('Weekly Summary'!U$66*'Equipment List &amp; Usage'!$Q26)+('Weekly Summary'!U$64*'Equipment List &amp; Usage'!$O26)+('Weekly Summary'!U$65*'Equipment List &amp; Usage'!$P26))+(IF('Equipment List &amp; Usage'!$F26="Yes",'Equipment List &amp; Usage'!$C$114*((('Weekly Summary'!U$131*SelfQuarantine_Mild)+('Weekly Summary'!U$100*SelfQuarantine_Mild)+('Weekly Summary'!U$101*SelfQuarantine_Moderate))),'Equipment List &amp; Usage'!$C$115)*((('Weekly Summary'!U$131*SelfQuarantine_Mild*'Equipment List &amp; Usage'!$W26)+('Weekly Summary'!U$100*SelfQuarantine_Mild*'Equipment List &amp; Usage'!$X26)+('Weekly Summary'!U$101*SelfQuarantine_Moderate*'Equipment List &amp; Usage'!$X26))))+IF('Equipment List &amp; Usage'!$F26="Yes",'Equipment List &amp; Usage'!$C$114*(IF('Equipment List &amp; Usage'!$AA26&gt;0,'Weekly Summary'!U$128,0)+IF('Equipment List &amp; Usage'!$AB26&gt;0,'Weekly Summary'!U$100+'Weekly Summary'!U$101,0)),'Equipment List &amp; Usage'!$C$115*(('Weekly Summary'!U$128*'Equipment List &amp; Usage'!$AA26)+('Weekly Summary'!U$100*'Equipment List &amp; Usage'!$AB26*SelfQuarantine_Mild)+('Weekly Summary'!U$101*'Equipment List &amp; Usage'!$AB26*SelfQuarantine_Moderate)))+IF('Equipment List &amp; Usage'!$F26="Yes",('Equipment List &amp; Usage'!$C$114*(IF('Equipment List &amp; Usage'!$AE26&gt;0,'Weekly Summary'!U$134,0)+IF('Equipment List &amp; Usage'!$AF26&gt;0,'Weekly Summary'!U$135))),'Equipment List &amp; Usage'!$C$115*(('Weekly Summary'!U$134*'Equipment List &amp; Usage'!$AE26)+('Weekly Summary'!U$135*'Equipment List &amp; Usage'!$AF26)))),0)</f>
        <v>0</v>
      </c>
      <c r="AB24" s="1374">
        <f ca="1">MAX(IF($F24="Yes",(
IF($F24="yes",MMULT(--('Equipment List &amp; Usage'!$J26:$N26&gt;0),--('Weekly Summary'!V$112:V$116))*'Equipment List &amp; Usage'!$C$114,MMULT(--('Equipment List &amp; Usage'!$J26:$N26),--('Weekly Summary'!V$112:V$116))*'Equipment List &amp; Usage'!$C$115)+IF('Equipment List &amp; Usage'!$F25="yes",'Equipment List &amp; Usage'!$C$114,'Equipment List &amp; Usage'!$C$115)*(('Weekly Summary'!V$66*'Equipment List &amp; Usage'!$Q26)+('Weekly Summary'!V$64*'Equipment List &amp; Usage'!$O26)+('Weekly Summary'!V$65*'Equipment List &amp; Usage'!$P26)))+(IF('Equipment List &amp; Usage'!$F26="Yes",'Equipment List &amp; Usage'!$C$114*((('Weekly Summary'!V$131*SelfQuarantine_Mild)+('Weekly Summary'!V$100*SelfQuarantine_Mild)+('Weekly Summary'!V$101*SelfQuarantine_Moderate))),'Equipment List &amp; Usage'!$C$115)*((('Weekly Summary'!V$131*SelfQuarantine_Mild*'Equipment List &amp; Usage'!$W26)+('Weekly Summary'!V$100*SelfQuarantine_Mild*'Equipment List &amp; Usage'!$X26)+('Weekly Summary'!V$101*SelfQuarantine_Moderate*'Equipment List &amp; Usage'!$X26)))+IF('Equipment List &amp; Usage'!$F26="Yes",'Equipment List &amp; Usage'!$C$114*(IF('Equipment List &amp; Usage'!$AA26&gt;0,'Weekly Summary'!V$128,0)+IF('Equipment List &amp; Usage'!$AB26&gt;0,'Weekly Summary'!V$100+'Weekly Summary'!V$101,0)),'Equipment List &amp; Usage'!$C$115*(('Weekly Summary'!V$128*'Equipment List &amp; Usage'!$AA26)+('Weekly Summary'!V$100*'Equipment List &amp; Usage'!$AB26*SelfQuarantine_Mild)+('Weekly Summary'!V$101*'Equipment List &amp; Usage'!$AB26*SelfQuarantine_Moderate)))+IF('Equipment List &amp; Usage'!$F26="Yes",('Equipment List &amp; Usage'!$C$114*(IF('Equipment List &amp; Usage'!$AE26&gt;0,'Weekly Summary'!V$134,0)+IF('Equipment List &amp; Usage'!$AF26&gt;0,'Weekly Summary'!V$135))),'Equipment List &amp; Usage'!$C$115*(('Weekly Summary'!V$134*'Equipment List &amp; Usage'!$AE26)+('Weekly Summary'!V$135*'Equipment List &amp; Usage'!$AF26))))-SUM($I24:AA24),
IF($F24="yes",MMULT(--('Equipment List &amp; Usage'!$J26:$N26&gt;0),--('Weekly Summary'!V$112:V$116))*'Equipment List &amp; Usage'!$C$114,MMULT(--('Equipment List &amp; Usage'!$J26:$N26),--('Weekly Summary'!V$112:V$116))*'Equipment List &amp; Usage'!$C$115)+IF('Equipment List &amp; Usage'!$F25="yes",'Equipment List &amp; Usage'!$C$114,'Equipment List &amp; Usage'!$C$115)*(('Weekly Summary'!V$66*'Equipment List &amp; Usage'!$Q26)+('Weekly Summary'!V$64*'Equipment List &amp; Usage'!$O26)+('Weekly Summary'!V$65*'Equipment List &amp; Usage'!$P26))+(IF('Equipment List &amp; Usage'!$F26="Yes",'Equipment List &amp; Usage'!$C$114*((('Weekly Summary'!V$131*SelfQuarantine_Mild)+('Weekly Summary'!V$100*SelfQuarantine_Mild)+('Weekly Summary'!V$101*SelfQuarantine_Moderate))),'Equipment List &amp; Usage'!$C$115)*((('Weekly Summary'!V$131*SelfQuarantine_Mild*'Equipment List &amp; Usage'!$W26)+('Weekly Summary'!V$100*SelfQuarantine_Mild*'Equipment List &amp; Usage'!$X26)+('Weekly Summary'!V$101*SelfQuarantine_Moderate*'Equipment List &amp; Usage'!$X26))))+IF('Equipment List &amp; Usage'!$F26="Yes",'Equipment List &amp; Usage'!$C$114*(IF('Equipment List &amp; Usage'!$AA26&gt;0,'Weekly Summary'!V$128,0)+IF('Equipment List &amp; Usage'!$AB26&gt;0,'Weekly Summary'!V$100+'Weekly Summary'!V$101,0)),'Equipment List &amp; Usage'!$C$115*(('Weekly Summary'!V$128*'Equipment List &amp; Usage'!$AA26)+('Weekly Summary'!V$100*'Equipment List &amp; Usage'!$AB26*SelfQuarantine_Mild)+('Weekly Summary'!V$101*'Equipment List &amp; Usage'!$AB26*SelfQuarantine_Moderate)))+IF('Equipment List &amp; Usage'!$F26="Yes",('Equipment List &amp; Usage'!$C$114*(IF('Equipment List &amp; Usage'!$AE26&gt;0,'Weekly Summary'!V$134,0)+IF('Equipment List &amp; Usage'!$AF26&gt;0,'Weekly Summary'!V$135))),'Equipment List &amp; Usage'!$C$115*(('Weekly Summary'!V$134*'Equipment List &amp; Usage'!$AE26)+('Weekly Summary'!V$135*'Equipment List &amp; Usage'!$AF26)))),0)</f>
        <v>0</v>
      </c>
      <c r="AC24" s="1374">
        <f ca="1">MAX(IF($F24="Yes",(
IF($F24="yes",MMULT(--('Equipment List &amp; Usage'!$J26:$N26&gt;0),--('Weekly Summary'!W$112:W$116))*'Equipment List &amp; Usage'!$C$114,MMULT(--('Equipment List &amp; Usage'!$J26:$N26),--('Weekly Summary'!W$112:W$116))*'Equipment List &amp; Usage'!$C$115)+IF('Equipment List &amp; Usage'!$F25="yes",'Equipment List &amp; Usage'!$C$114,'Equipment List &amp; Usage'!$C$115)*(('Weekly Summary'!W$66*'Equipment List &amp; Usage'!$Q26)+('Weekly Summary'!W$64*'Equipment List &amp; Usage'!$O26)+('Weekly Summary'!W$65*'Equipment List &amp; Usage'!$P26)))+(IF('Equipment List &amp; Usage'!$F26="Yes",'Equipment List &amp; Usage'!$C$114*((('Weekly Summary'!W$131*SelfQuarantine_Mild)+('Weekly Summary'!W$100*SelfQuarantine_Mild)+('Weekly Summary'!W$101*SelfQuarantine_Moderate))),'Equipment List &amp; Usage'!$C$115)*((('Weekly Summary'!W$131*SelfQuarantine_Mild*'Equipment List &amp; Usage'!$W26)+('Weekly Summary'!W$100*SelfQuarantine_Mild*'Equipment List &amp; Usage'!$X26)+('Weekly Summary'!W$101*SelfQuarantine_Moderate*'Equipment List &amp; Usage'!$X26)))+IF('Equipment List &amp; Usage'!$F26="Yes",'Equipment List &amp; Usage'!$C$114*(IF('Equipment List &amp; Usage'!$AA26&gt;0,'Weekly Summary'!W$128,0)+IF('Equipment List &amp; Usage'!$AB26&gt;0,'Weekly Summary'!W$100+'Weekly Summary'!W$101,0)),'Equipment List &amp; Usage'!$C$115*(('Weekly Summary'!W$128*'Equipment List &amp; Usage'!$AA26)+('Weekly Summary'!W$100*'Equipment List &amp; Usage'!$AB26*SelfQuarantine_Mild)+('Weekly Summary'!W$101*'Equipment List &amp; Usage'!$AB26*SelfQuarantine_Moderate)))+IF('Equipment List &amp; Usage'!$F26="Yes",('Equipment List &amp; Usage'!$C$114*(IF('Equipment List &amp; Usage'!$AE26&gt;0,'Weekly Summary'!W$134,0)+IF('Equipment List &amp; Usage'!$AF26&gt;0,'Weekly Summary'!W$135))),'Equipment List &amp; Usage'!$C$115*(('Weekly Summary'!W$134*'Equipment List &amp; Usage'!$AE26)+('Weekly Summary'!W$135*'Equipment List &amp; Usage'!$AF26))))-SUM($I24:AB24),
IF($F24="yes",MMULT(--('Equipment List &amp; Usage'!$J26:$N26&gt;0),--('Weekly Summary'!W$112:W$116))*'Equipment List &amp; Usage'!$C$114,MMULT(--('Equipment List &amp; Usage'!$J26:$N26),--('Weekly Summary'!W$112:W$116))*'Equipment List &amp; Usage'!$C$115)+IF('Equipment List &amp; Usage'!$F25="yes",'Equipment List &amp; Usage'!$C$114,'Equipment List &amp; Usage'!$C$115)*(('Weekly Summary'!W$66*'Equipment List &amp; Usage'!$Q26)+('Weekly Summary'!W$64*'Equipment List &amp; Usage'!$O26)+('Weekly Summary'!W$65*'Equipment List &amp; Usage'!$P26))+(IF('Equipment List &amp; Usage'!$F26="Yes",'Equipment List &amp; Usage'!$C$114*((('Weekly Summary'!W$131*SelfQuarantine_Mild)+('Weekly Summary'!W$100*SelfQuarantine_Mild)+('Weekly Summary'!W$101*SelfQuarantine_Moderate))),'Equipment List &amp; Usage'!$C$115)*((('Weekly Summary'!W$131*SelfQuarantine_Mild*'Equipment List &amp; Usage'!$W26)+('Weekly Summary'!W$100*SelfQuarantine_Mild*'Equipment List &amp; Usage'!$X26)+('Weekly Summary'!W$101*SelfQuarantine_Moderate*'Equipment List &amp; Usage'!$X26))))+IF('Equipment List &amp; Usage'!$F26="Yes",'Equipment List &amp; Usage'!$C$114*(IF('Equipment List &amp; Usage'!$AA26&gt;0,'Weekly Summary'!W$128,0)+IF('Equipment List &amp; Usage'!$AB26&gt;0,'Weekly Summary'!W$100+'Weekly Summary'!W$101,0)),'Equipment List &amp; Usage'!$C$115*(('Weekly Summary'!W$128*'Equipment List &amp; Usage'!$AA26)+('Weekly Summary'!W$100*'Equipment List &amp; Usage'!$AB26*SelfQuarantine_Mild)+('Weekly Summary'!W$101*'Equipment List &amp; Usage'!$AB26*SelfQuarantine_Moderate)))+IF('Equipment List &amp; Usage'!$F26="Yes",('Equipment List &amp; Usage'!$C$114*(IF('Equipment List &amp; Usage'!$AE26&gt;0,'Weekly Summary'!W$134,0)+IF('Equipment List &amp; Usage'!$AF26&gt;0,'Weekly Summary'!W$135))),'Equipment List &amp; Usage'!$C$115*(('Weekly Summary'!W$134*'Equipment List &amp; Usage'!$AE26)+('Weekly Summary'!W$135*'Equipment List &amp; Usage'!$AF26)))),0)</f>
        <v>0</v>
      </c>
      <c r="AD24" s="1374">
        <f ca="1">MAX(IF($F24="Yes",(
IF($F24="yes",MMULT(--('Equipment List &amp; Usage'!$J26:$N26&gt;0),--('Weekly Summary'!X$112:X$116))*'Equipment List &amp; Usage'!$C$114,MMULT(--('Equipment List &amp; Usage'!$J26:$N26),--('Weekly Summary'!X$112:X$116))*'Equipment List &amp; Usage'!$C$115)+IF('Equipment List &amp; Usage'!$F25="yes",'Equipment List &amp; Usage'!$C$114,'Equipment List &amp; Usage'!$C$115)*(('Weekly Summary'!X$66*'Equipment List &amp; Usage'!$Q26)+('Weekly Summary'!X$64*'Equipment List &amp; Usage'!$O26)+('Weekly Summary'!X$65*'Equipment List &amp; Usage'!$P26)))+(IF('Equipment List &amp; Usage'!$F26="Yes",'Equipment List &amp; Usage'!$C$114*((('Weekly Summary'!X$131*SelfQuarantine_Mild)+('Weekly Summary'!X$100*SelfQuarantine_Mild)+('Weekly Summary'!X$101*SelfQuarantine_Moderate))),'Equipment List &amp; Usage'!$C$115)*((('Weekly Summary'!X$131*SelfQuarantine_Mild*'Equipment List &amp; Usage'!$W26)+('Weekly Summary'!X$100*SelfQuarantine_Mild*'Equipment List &amp; Usage'!$X26)+('Weekly Summary'!X$101*SelfQuarantine_Moderate*'Equipment List &amp; Usage'!$X26)))+IF('Equipment List &amp; Usage'!$F26="Yes",'Equipment List &amp; Usage'!$C$114*(IF('Equipment List &amp; Usage'!$AA26&gt;0,'Weekly Summary'!X$128,0)+IF('Equipment List &amp; Usage'!$AB26&gt;0,'Weekly Summary'!X$100+'Weekly Summary'!X$101,0)),'Equipment List &amp; Usage'!$C$115*(('Weekly Summary'!X$128*'Equipment List &amp; Usage'!$AA26)+('Weekly Summary'!X$100*'Equipment List &amp; Usage'!$AB26*SelfQuarantine_Mild)+('Weekly Summary'!X$101*'Equipment List &amp; Usage'!$AB26*SelfQuarantine_Moderate)))+IF('Equipment List &amp; Usage'!$F26="Yes",('Equipment List &amp; Usage'!$C$114*(IF('Equipment List &amp; Usage'!$AE26&gt;0,'Weekly Summary'!X$134,0)+IF('Equipment List &amp; Usage'!$AF26&gt;0,'Weekly Summary'!X$135))),'Equipment List &amp; Usage'!$C$115*(('Weekly Summary'!X$134*'Equipment List &amp; Usage'!$AE26)+('Weekly Summary'!X$135*'Equipment List &amp; Usage'!$AF26))))-SUM($I24:AC24),
IF($F24="yes",MMULT(--('Equipment List &amp; Usage'!$J26:$N26&gt;0),--('Weekly Summary'!X$112:X$116))*'Equipment List &amp; Usage'!$C$114,MMULT(--('Equipment List &amp; Usage'!$J26:$N26),--('Weekly Summary'!X$112:X$116))*'Equipment List &amp; Usage'!$C$115)+IF('Equipment List &amp; Usage'!$F25="yes",'Equipment List &amp; Usage'!$C$114,'Equipment List &amp; Usage'!$C$115)*(('Weekly Summary'!X$66*'Equipment List &amp; Usage'!$Q26)+('Weekly Summary'!X$64*'Equipment List &amp; Usage'!$O26)+('Weekly Summary'!X$65*'Equipment List &amp; Usage'!$P26))+(IF('Equipment List &amp; Usage'!$F26="Yes",'Equipment List &amp; Usage'!$C$114*((('Weekly Summary'!X$131*SelfQuarantine_Mild)+('Weekly Summary'!X$100*SelfQuarantine_Mild)+('Weekly Summary'!X$101*SelfQuarantine_Moderate))),'Equipment List &amp; Usage'!$C$115)*((('Weekly Summary'!X$131*SelfQuarantine_Mild*'Equipment List &amp; Usage'!$W26)+('Weekly Summary'!X$100*SelfQuarantine_Mild*'Equipment List &amp; Usage'!$X26)+('Weekly Summary'!X$101*SelfQuarantine_Moderate*'Equipment List &amp; Usage'!$X26))))+IF('Equipment List &amp; Usage'!$F26="Yes",'Equipment List &amp; Usage'!$C$114*(IF('Equipment List &amp; Usage'!$AA26&gt;0,'Weekly Summary'!X$128,0)+IF('Equipment List &amp; Usage'!$AB26&gt;0,'Weekly Summary'!X$100+'Weekly Summary'!X$101,0)),'Equipment List &amp; Usage'!$C$115*(('Weekly Summary'!X$128*'Equipment List &amp; Usage'!$AA26)+('Weekly Summary'!X$100*'Equipment List &amp; Usage'!$AB26*SelfQuarantine_Mild)+('Weekly Summary'!X$101*'Equipment List &amp; Usage'!$AB26*SelfQuarantine_Moderate)))+IF('Equipment List &amp; Usage'!$F26="Yes",('Equipment List &amp; Usage'!$C$114*(IF('Equipment List &amp; Usage'!$AE26&gt;0,'Weekly Summary'!X$134,0)+IF('Equipment List &amp; Usage'!$AF26&gt;0,'Weekly Summary'!X$135))),'Equipment List &amp; Usage'!$C$115*(('Weekly Summary'!X$134*'Equipment List &amp; Usage'!$AE26)+('Weekly Summary'!X$135*'Equipment List &amp; Usage'!$AF26)))),0)</f>
        <v>0</v>
      </c>
      <c r="AE24" s="1374">
        <f ca="1">MAX(IF($F24="Yes",(
IF($F24="yes",MMULT(--('Equipment List &amp; Usage'!$J26:$N26&gt;0),--('Weekly Summary'!Y$112:Y$116))*'Equipment List &amp; Usage'!$C$114,MMULT(--('Equipment List &amp; Usage'!$J26:$N26),--('Weekly Summary'!Y$112:Y$116))*'Equipment List &amp; Usage'!$C$115)+IF('Equipment List &amp; Usage'!$F25="yes",'Equipment List &amp; Usage'!$C$114,'Equipment List &amp; Usage'!$C$115)*(('Weekly Summary'!Y$66*'Equipment List &amp; Usage'!$Q26)+('Weekly Summary'!Y$64*'Equipment List &amp; Usage'!$O26)+('Weekly Summary'!Y$65*'Equipment List &amp; Usage'!$P26)))+(IF('Equipment List &amp; Usage'!$F26="Yes",'Equipment List &amp; Usage'!$C$114*((('Weekly Summary'!Y$131*SelfQuarantine_Mild)+('Weekly Summary'!Y$100*SelfQuarantine_Mild)+('Weekly Summary'!Y$101*SelfQuarantine_Moderate))),'Equipment List &amp; Usage'!$C$115)*((('Weekly Summary'!Y$131*SelfQuarantine_Mild*'Equipment List &amp; Usage'!$W26)+('Weekly Summary'!Y$100*SelfQuarantine_Mild*'Equipment List &amp; Usage'!$X26)+('Weekly Summary'!Y$101*SelfQuarantine_Moderate*'Equipment List &amp; Usage'!$X26)))+IF('Equipment List &amp; Usage'!$F26="Yes",'Equipment List &amp; Usage'!$C$114*(IF('Equipment List &amp; Usage'!$AA26&gt;0,'Weekly Summary'!Y$128,0)+IF('Equipment List &amp; Usage'!$AB26&gt;0,'Weekly Summary'!Y$100+'Weekly Summary'!Y$101,0)),'Equipment List &amp; Usage'!$C$115*(('Weekly Summary'!Y$128*'Equipment List &amp; Usage'!$AA26)+('Weekly Summary'!Y$100*'Equipment List &amp; Usage'!$AB26*SelfQuarantine_Mild)+('Weekly Summary'!Y$101*'Equipment List &amp; Usage'!$AB26*SelfQuarantine_Moderate)))+IF('Equipment List &amp; Usage'!$F26="Yes",('Equipment List &amp; Usage'!$C$114*(IF('Equipment List &amp; Usage'!$AE26&gt;0,'Weekly Summary'!Y$134,0)+IF('Equipment List &amp; Usage'!$AF26&gt;0,'Weekly Summary'!Y$135))),'Equipment List &amp; Usage'!$C$115*(('Weekly Summary'!Y$134*'Equipment List &amp; Usage'!$AE26)+('Weekly Summary'!Y$135*'Equipment List &amp; Usage'!$AF26))))-SUM($I24:AD24),
IF($F24="yes",MMULT(--('Equipment List &amp; Usage'!$J26:$N26&gt;0),--('Weekly Summary'!Y$112:Y$116))*'Equipment List &amp; Usage'!$C$114,MMULT(--('Equipment List &amp; Usage'!$J26:$N26),--('Weekly Summary'!Y$112:Y$116))*'Equipment List &amp; Usage'!$C$115)+IF('Equipment List &amp; Usage'!$F25="yes",'Equipment List &amp; Usage'!$C$114,'Equipment List &amp; Usage'!$C$115)*(('Weekly Summary'!Y$66*'Equipment List &amp; Usage'!$Q26)+('Weekly Summary'!Y$64*'Equipment List &amp; Usage'!$O26)+('Weekly Summary'!Y$65*'Equipment List &amp; Usage'!$P26))+(IF('Equipment List &amp; Usage'!$F26="Yes",'Equipment List &amp; Usage'!$C$114*((('Weekly Summary'!Y$131*SelfQuarantine_Mild)+('Weekly Summary'!Y$100*SelfQuarantine_Mild)+('Weekly Summary'!Y$101*SelfQuarantine_Moderate))),'Equipment List &amp; Usage'!$C$115)*((('Weekly Summary'!Y$131*SelfQuarantine_Mild*'Equipment List &amp; Usage'!$W26)+('Weekly Summary'!Y$100*SelfQuarantine_Mild*'Equipment List &amp; Usage'!$X26)+('Weekly Summary'!Y$101*SelfQuarantine_Moderate*'Equipment List &amp; Usage'!$X26))))+IF('Equipment List &amp; Usage'!$F26="Yes",'Equipment List &amp; Usage'!$C$114*(IF('Equipment List &amp; Usage'!$AA26&gt;0,'Weekly Summary'!Y$128,0)+IF('Equipment List &amp; Usage'!$AB26&gt;0,'Weekly Summary'!Y$100+'Weekly Summary'!Y$101,0)),'Equipment List &amp; Usage'!$C$115*(('Weekly Summary'!Y$128*'Equipment List &amp; Usage'!$AA26)+('Weekly Summary'!Y$100*'Equipment List &amp; Usage'!$AB26*SelfQuarantine_Mild)+('Weekly Summary'!Y$101*'Equipment List &amp; Usage'!$AB26*SelfQuarantine_Moderate)))+IF('Equipment List &amp; Usage'!$F26="Yes",('Equipment List &amp; Usage'!$C$114*(IF('Equipment List &amp; Usage'!$AE26&gt;0,'Weekly Summary'!Y$134,0)+IF('Equipment List &amp; Usage'!$AF26&gt;0,'Weekly Summary'!Y$135))),'Equipment List &amp; Usage'!$C$115*(('Weekly Summary'!Y$134*'Equipment List &amp; Usage'!$AE26)+('Weekly Summary'!Y$135*'Equipment List &amp; Usage'!$AF26)))),0)</f>
        <v>0</v>
      </c>
      <c r="AF24" s="1374">
        <f ca="1">MAX(IF($F24="Yes",(
IF($F24="yes",MMULT(--('Equipment List &amp; Usage'!$J26:$N26&gt;0),--('Weekly Summary'!Z$112:Z$116))*'Equipment List &amp; Usage'!$C$114,MMULT(--('Equipment List &amp; Usage'!$J26:$N26),--('Weekly Summary'!Z$112:Z$116))*'Equipment List &amp; Usage'!$C$115)+IF('Equipment List &amp; Usage'!$F25="yes",'Equipment List &amp; Usage'!$C$114,'Equipment List &amp; Usage'!$C$115)*(('Weekly Summary'!Z$66*'Equipment List &amp; Usage'!$Q26)+('Weekly Summary'!Z$64*'Equipment List &amp; Usage'!$O26)+('Weekly Summary'!Z$65*'Equipment List &amp; Usage'!$P26)))+(IF('Equipment List &amp; Usage'!$F26="Yes",'Equipment List &amp; Usage'!$C$114*((('Weekly Summary'!Z$131*SelfQuarantine_Mild)+('Weekly Summary'!Z$100*SelfQuarantine_Mild)+('Weekly Summary'!Z$101*SelfQuarantine_Moderate))),'Equipment List &amp; Usage'!$C$115)*((('Weekly Summary'!Z$131*SelfQuarantine_Mild*'Equipment List &amp; Usage'!$W26)+('Weekly Summary'!Z$100*SelfQuarantine_Mild*'Equipment List &amp; Usage'!$X26)+('Weekly Summary'!Z$101*SelfQuarantine_Moderate*'Equipment List &amp; Usage'!$X26)))+IF('Equipment List &amp; Usage'!$F26="Yes",'Equipment List &amp; Usage'!$C$114*(IF('Equipment List &amp; Usage'!$AA26&gt;0,'Weekly Summary'!Z$128,0)+IF('Equipment List &amp; Usage'!$AB26&gt;0,'Weekly Summary'!Z$100+'Weekly Summary'!Z$101,0)),'Equipment List &amp; Usage'!$C$115*(('Weekly Summary'!Z$128*'Equipment List &amp; Usage'!$AA26)+('Weekly Summary'!Z$100*'Equipment List &amp; Usage'!$AB26*SelfQuarantine_Mild)+('Weekly Summary'!Z$101*'Equipment List &amp; Usage'!$AB26*SelfQuarantine_Moderate)))+IF('Equipment List &amp; Usage'!$F26="Yes",('Equipment List &amp; Usage'!$C$114*(IF('Equipment List &amp; Usage'!$AE26&gt;0,'Weekly Summary'!Z$134,0)+IF('Equipment List &amp; Usage'!$AF26&gt;0,'Weekly Summary'!Z$135))),'Equipment List &amp; Usage'!$C$115*(('Weekly Summary'!Z$134*'Equipment List &amp; Usage'!$AE26)+('Weekly Summary'!Z$135*'Equipment List &amp; Usage'!$AF26))))-SUM($I24:AE24),
IF($F24="yes",MMULT(--('Equipment List &amp; Usage'!$J26:$N26&gt;0),--('Weekly Summary'!Z$112:Z$116))*'Equipment List &amp; Usage'!$C$114,MMULT(--('Equipment List &amp; Usage'!$J26:$N26),--('Weekly Summary'!Z$112:Z$116))*'Equipment List &amp; Usage'!$C$115)+IF('Equipment List &amp; Usage'!$F25="yes",'Equipment List &amp; Usage'!$C$114,'Equipment List &amp; Usage'!$C$115)*(('Weekly Summary'!Z$66*'Equipment List &amp; Usage'!$Q26)+('Weekly Summary'!Z$64*'Equipment List &amp; Usage'!$O26)+('Weekly Summary'!Z$65*'Equipment List &amp; Usage'!$P26))+(IF('Equipment List &amp; Usage'!$F26="Yes",'Equipment List &amp; Usage'!$C$114*((('Weekly Summary'!Z$131*SelfQuarantine_Mild)+('Weekly Summary'!Z$100*SelfQuarantine_Mild)+('Weekly Summary'!Z$101*SelfQuarantine_Moderate))),'Equipment List &amp; Usage'!$C$115)*((('Weekly Summary'!Z$131*SelfQuarantine_Mild*'Equipment List &amp; Usage'!$W26)+('Weekly Summary'!Z$100*SelfQuarantine_Mild*'Equipment List &amp; Usage'!$X26)+('Weekly Summary'!Z$101*SelfQuarantine_Moderate*'Equipment List &amp; Usage'!$X26))))+IF('Equipment List &amp; Usage'!$F26="Yes",'Equipment List &amp; Usage'!$C$114*(IF('Equipment List &amp; Usage'!$AA26&gt;0,'Weekly Summary'!Z$128,0)+IF('Equipment List &amp; Usage'!$AB26&gt;0,'Weekly Summary'!Z$100+'Weekly Summary'!Z$101,0)),'Equipment List &amp; Usage'!$C$115*(('Weekly Summary'!Z$128*'Equipment List &amp; Usage'!$AA26)+('Weekly Summary'!Z$100*'Equipment List &amp; Usage'!$AB26*SelfQuarantine_Mild)+('Weekly Summary'!Z$101*'Equipment List &amp; Usage'!$AB26*SelfQuarantine_Moderate)))+IF('Equipment List &amp; Usage'!$F26="Yes",('Equipment List &amp; Usage'!$C$114*(IF('Equipment List &amp; Usage'!$AE26&gt;0,'Weekly Summary'!Z$134,0)+IF('Equipment List &amp; Usage'!$AF26&gt;0,'Weekly Summary'!Z$135))),'Equipment List &amp; Usage'!$C$115*(('Weekly Summary'!Z$134*'Equipment List &amp; Usage'!$AE26)+('Weekly Summary'!Z$135*'Equipment List &amp; Usage'!$AF26)))),0)</f>
        <v>0</v>
      </c>
      <c r="AG24" s="1374">
        <f ca="1">MAX(IF($F24="Yes",(
IF($F24="yes",MMULT(--('Equipment List &amp; Usage'!$J26:$N26&gt;0),--('Weekly Summary'!AA$112:AA$116))*'Equipment List &amp; Usage'!$C$114,MMULT(--('Equipment List &amp; Usage'!$J26:$N26),--('Weekly Summary'!AA$112:AA$116))*'Equipment List &amp; Usage'!$C$115)+IF('Equipment List &amp; Usage'!$F25="yes",'Equipment List &amp; Usage'!$C$114,'Equipment List &amp; Usage'!$C$115)*(('Weekly Summary'!AA$66*'Equipment List &amp; Usage'!$Q26)+('Weekly Summary'!AA$64*'Equipment List &amp; Usage'!$O26)+('Weekly Summary'!AA$65*'Equipment List &amp; Usage'!$P26)))+(IF('Equipment List &amp; Usage'!$F26="Yes",'Equipment List &amp; Usage'!$C$114*((('Weekly Summary'!AA$131*SelfQuarantine_Mild)+('Weekly Summary'!AA$100*SelfQuarantine_Mild)+('Weekly Summary'!AA$101*SelfQuarantine_Moderate))),'Equipment List &amp; Usage'!$C$115)*((('Weekly Summary'!AA$131*SelfQuarantine_Mild*'Equipment List &amp; Usage'!$W26)+('Weekly Summary'!AA$100*SelfQuarantine_Mild*'Equipment List &amp; Usage'!$X26)+('Weekly Summary'!AA$101*SelfQuarantine_Moderate*'Equipment List &amp; Usage'!$X26)))+IF('Equipment List &amp; Usage'!$F26="Yes",'Equipment List &amp; Usage'!$C$114*(IF('Equipment List &amp; Usage'!$AA26&gt;0,'Weekly Summary'!AA$128,0)+IF('Equipment List &amp; Usage'!$AB26&gt;0,'Weekly Summary'!AA$100+'Weekly Summary'!AA$101,0)),'Equipment List &amp; Usage'!$C$115*(('Weekly Summary'!AA$128*'Equipment List &amp; Usage'!$AA26)+('Weekly Summary'!AA$100*'Equipment List &amp; Usage'!$AB26*SelfQuarantine_Mild)+('Weekly Summary'!AA$101*'Equipment List &amp; Usage'!$AB26*SelfQuarantine_Moderate)))+IF('Equipment List &amp; Usage'!$F26="Yes",('Equipment List &amp; Usage'!$C$114*(IF('Equipment List &amp; Usage'!$AE26&gt;0,'Weekly Summary'!AA$134,0)+IF('Equipment List &amp; Usage'!$AF26&gt;0,'Weekly Summary'!AA$135))),'Equipment List &amp; Usage'!$C$115*(('Weekly Summary'!AA$134*'Equipment List &amp; Usage'!$AE26)+('Weekly Summary'!AA$135*'Equipment List &amp; Usage'!$AF26))))-SUM($I24:AF24),
IF($F24="yes",MMULT(--('Equipment List &amp; Usage'!$J26:$N26&gt;0),--('Weekly Summary'!AA$112:AA$116))*'Equipment List &amp; Usage'!$C$114,MMULT(--('Equipment List &amp; Usage'!$J26:$N26),--('Weekly Summary'!AA$112:AA$116))*'Equipment List &amp; Usage'!$C$115)+IF('Equipment List &amp; Usage'!$F25="yes",'Equipment List &amp; Usage'!$C$114,'Equipment List &amp; Usage'!$C$115)*(('Weekly Summary'!AA$66*'Equipment List &amp; Usage'!$Q26)+('Weekly Summary'!AA$64*'Equipment List &amp; Usage'!$O26)+('Weekly Summary'!AA$65*'Equipment List &amp; Usage'!$P26))+(IF('Equipment List &amp; Usage'!$F26="Yes",'Equipment List &amp; Usage'!$C$114*((('Weekly Summary'!AA$131*SelfQuarantine_Mild)+('Weekly Summary'!AA$100*SelfQuarantine_Mild)+('Weekly Summary'!AA$101*SelfQuarantine_Moderate))),'Equipment List &amp; Usage'!$C$115)*((('Weekly Summary'!AA$131*SelfQuarantine_Mild*'Equipment List &amp; Usage'!$W26)+('Weekly Summary'!AA$100*SelfQuarantine_Mild*'Equipment List &amp; Usage'!$X26)+('Weekly Summary'!AA$101*SelfQuarantine_Moderate*'Equipment List &amp; Usage'!$X26))))+IF('Equipment List &amp; Usage'!$F26="Yes",'Equipment List &amp; Usage'!$C$114*(IF('Equipment List &amp; Usage'!$AA26&gt;0,'Weekly Summary'!AA$128,0)+IF('Equipment List &amp; Usage'!$AB26&gt;0,'Weekly Summary'!AA$100+'Weekly Summary'!AA$101,0)),'Equipment List &amp; Usage'!$C$115*(('Weekly Summary'!AA$128*'Equipment List &amp; Usage'!$AA26)+('Weekly Summary'!AA$100*'Equipment List &amp; Usage'!$AB26*SelfQuarantine_Mild)+('Weekly Summary'!AA$101*'Equipment List &amp; Usage'!$AB26*SelfQuarantine_Moderate)))+IF('Equipment List &amp; Usage'!$F26="Yes",('Equipment List &amp; Usage'!$C$114*(IF('Equipment List &amp; Usage'!$AE26&gt;0,'Weekly Summary'!AA$134,0)+IF('Equipment List &amp; Usage'!$AF26&gt;0,'Weekly Summary'!AA$135))),'Equipment List &amp; Usage'!$C$115*(('Weekly Summary'!AA$134*'Equipment List &amp; Usage'!$AE26)+('Weekly Summary'!AA$135*'Equipment List &amp; Usage'!$AF26)))),0)</f>
        <v>0</v>
      </c>
      <c r="AH24" s="1374">
        <f ca="1">MAX(IF($F24="Yes",(
IF($F24="yes",MMULT(--('Equipment List &amp; Usage'!$J26:$N26&gt;0),--('Weekly Summary'!AB$112:AB$116))*'Equipment List &amp; Usage'!$C$114,MMULT(--('Equipment List &amp; Usage'!$J26:$N26),--('Weekly Summary'!AB$112:AB$116))*'Equipment List &amp; Usage'!$C$115)+IF('Equipment List &amp; Usage'!$F25="yes",'Equipment List &amp; Usage'!$C$114,'Equipment List &amp; Usage'!$C$115)*(('Weekly Summary'!AB$66*'Equipment List &amp; Usage'!$Q26)+('Weekly Summary'!AB$64*'Equipment List &amp; Usage'!$O26)+('Weekly Summary'!AB$65*'Equipment List &amp; Usage'!$P26)))+(IF('Equipment List &amp; Usage'!$F26="Yes",'Equipment List &amp; Usage'!$C$114*((('Weekly Summary'!AB$131*SelfQuarantine_Mild)+('Weekly Summary'!AB$100*SelfQuarantine_Mild)+('Weekly Summary'!AB$101*SelfQuarantine_Moderate))),'Equipment List &amp; Usage'!$C$115)*((('Weekly Summary'!AB$131*SelfQuarantine_Mild*'Equipment List &amp; Usage'!$W26)+('Weekly Summary'!AB$100*SelfQuarantine_Mild*'Equipment List &amp; Usage'!$X26)+('Weekly Summary'!AB$101*SelfQuarantine_Moderate*'Equipment List &amp; Usage'!$X26)))+IF('Equipment List &amp; Usage'!$F26="Yes",'Equipment List &amp; Usage'!$C$114*(IF('Equipment List &amp; Usage'!$AA26&gt;0,'Weekly Summary'!AB$128,0)+IF('Equipment List &amp; Usage'!$AB26&gt;0,'Weekly Summary'!AB$100+'Weekly Summary'!AB$101,0)),'Equipment List &amp; Usage'!$C$115*(('Weekly Summary'!AB$128*'Equipment List &amp; Usage'!$AA26)+('Weekly Summary'!AB$100*'Equipment List &amp; Usage'!$AB26*SelfQuarantine_Mild)+('Weekly Summary'!AB$101*'Equipment List &amp; Usage'!$AB26*SelfQuarantine_Moderate)))+IF('Equipment List &amp; Usage'!$F26="Yes",('Equipment List &amp; Usage'!$C$114*(IF('Equipment List &amp; Usage'!$AE26&gt;0,'Weekly Summary'!AB$134,0)+IF('Equipment List &amp; Usage'!$AF26&gt;0,'Weekly Summary'!AB$135))),'Equipment List &amp; Usage'!$C$115*(('Weekly Summary'!AB$134*'Equipment List &amp; Usage'!$AE26)+('Weekly Summary'!AB$135*'Equipment List &amp; Usage'!$AF26))))-SUM($I24:AG24),
IF($F24="yes",MMULT(--('Equipment List &amp; Usage'!$J26:$N26&gt;0),--('Weekly Summary'!AB$112:AB$116))*'Equipment List &amp; Usage'!$C$114,MMULT(--('Equipment List &amp; Usage'!$J26:$N26),--('Weekly Summary'!AB$112:AB$116))*'Equipment List &amp; Usage'!$C$115)+IF('Equipment List &amp; Usage'!$F25="yes",'Equipment List &amp; Usage'!$C$114,'Equipment List &amp; Usage'!$C$115)*(('Weekly Summary'!AB$66*'Equipment List &amp; Usage'!$Q26)+('Weekly Summary'!AB$64*'Equipment List &amp; Usage'!$O26)+('Weekly Summary'!AB$65*'Equipment List &amp; Usage'!$P26))+(IF('Equipment List &amp; Usage'!$F26="Yes",'Equipment List &amp; Usage'!$C$114*((('Weekly Summary'!AB$131*SelfQuarantine_Mild)+('Weekly Summary'!AB$100*SelfQuarantine_Mild)+('Weekly Summary'!AB$101*SelfQuarantine_Moderate))),'Equipment List &amp; Usage'!$C$115)*((('Weekly Summary'!AB$131*SelfQuarantine_Mild*'Equipment List &amp; Usage'!$W26)+('Weekly Summary'!AB$100*SelfQuarantine_Mild*'Equipment List &amp; Usage'!$X26)+('Weekly Summary'!AB$101*SelfQuarantine_Moderate*'Equipment List &amp; Usage'!$X26))))+IF('Equipment List &amp; Usage'!$F26="Yes",'Equipment List &amp; Usage'!$C$114*(IF('Equipment List &amp; Usage'!$AA26&gt;0,'Weekly Summary'!AB$128,0)+IF('Equipment List &amp; Usage'!$AB26&gt;0,'Weekly Summary'!AB$100+'Weekly Summary'!AB$101,0)),'Equipment List &amp; Usage'!$C$115*(('Weekly Summary'!AB$128*'Equipment List &amp; Usage'!$AA26)+('Weekly Summary'!AB$100*'Equipment List &amp; Usage'!$AB26*SelfQuarantine_Mild)+('Weekly Summary'!AB$101*'Equipment List &amp; Usage'!$AB26*SelfQuarantine_Moderate)))+IF('Equipment List &amp; Usage'!$F26="Yes",('Equipment List &amp; Usage'!$C$114*(IF('Equipment List &amp; Usage'!$AE26&gt;0,'Weekly Summary'!AB$134,0)+IF('Equipment List &amp; Usage'!$AF26&gt;0,'Weekly Summary'!AB$135))),'Equipment List &amp; Usage'!$C$115*(('Weekly Summary'!AB$134*'Equipment List &amp; Usage'!$AE26)+('Weekly Summary'!AB$135*'Equipment List &amp; Usage'!$AF26)))),0)</f>
        <v>0</v>
      </c>
      <c r="AI24" s="1374">
        <f ca="1">MAX(IF($F24="Yes",(
IF($F24="yes",MMULT(--('Equipment List &amp; Usage'!$J26:$N26&gt;0),--('Weekly Summary'!AC$112:AC$116))*'Equipment List &amp; Usage'!$C$114,MMULT(--('Equipment List &amp; Usage'!$J26:$N26),--('Weekly Summary'!AC$112:AC$116))*'Equipment List &amp; Usage'!$C$115)+IF('Equipment List &amp; Usage'!$F25="yes",'Equipment List &amp; Usage'!$C$114,'Equipment List &amp; Usage'!$C$115)*(('Weekly Summary'!AC$66*'Equipment List &amp; Usage'!$Q26)+('Weekly Summary'!AC$64*'Equipment List &amp; Usage'!$O26)+('Weekly Summary'!AC$65*'Equipment List &amp; Usage'!$P26)))+(IF('Equipment List &amp; Usage'!$F26="Yes",'Equipment List &amp; Usage'!$C$114*((('Weekly Summary'!AC$131*SelfQuarantine_Mild)+('Weekly Summary'!AC$100*SelfQuarantine_Mild)+('Weekly Summary'!AC$101*SelfQuarantine_Moderate))),'Equipment List &amp; Usage'!$C$115)*((('Weekly Summary'!AC$131*SelfQuarantine_Mild*'Equipment List &amp; Usage'!$W26)+('Weekly Summary'!AC$100*SelfQuarantine_Mild*'Equipment List &amp; Usage'!$X26)+('Weekly Summary'!AC$101*SelfQuarantine_Moderate*'Equipment List &amp; Usage'!$X26)))+IF('Equipment List &amp; Usage'!$F26="Yes",'Equipment List &amp; Usage'!$C$114*(IF('Equipment List &amp; Usage'!$AA26&gt;0,'Weekly Summary'!AC$128,0)+IF('Equipment List &amp; Usage'!$AB26&gt;0,'Weekly Summary'!AC$100+'Weekly Summary'!AC$101,0)),'Equipment List &amp; Usage'!$C$115*(('Weekly Summary'!AC$128*'Equipment List &amp; Usage'!$AA26)+('Weekly Summary'!AC$100*'Equipment List &amp; Usage'!$AB26*SelfQuarantine_Mild)+('Weekly Summary'!AC$101*'Equipment List &amp; Usage'!$AB26*SelfQuarantine_Moderate)))+IF('Equipment List &amp; Usage'!$F26="Yes",('Equipment List &amp; Usage'!$C$114*(IF('Equipment List &amp; Usage'!$AE26&gt;0,'Weekly Summary'!AC$134,0)+IF('Equipment List &amp; Usage'!$AF26&gt;0,'Weekly Summary'!AC$135))),'Equipment List &amp; Usage'!$C$115*(('Weekly Summary'!AC$134*'Equipment List &amp; Usage'!$AE26)+('Weekly Summary'!AC$135*'Equipment List &amp; Usage'!$AF26))))-SUM($I24:AH24),
IF($F24="yes",MMULT(--('Equipment List &amp; Usage'!$J26:$N26&gt;0),--('Weekly Summary'!AC$112:AC$116))*'Equipment List &amp; Usage'!$C$114,MMULT(--('Equipment List &amp; Usage'!$J26:$N26),--('Weekly Summary'!AC$112:AC$116))*'Equipment List &amp; Usage'!$C$115)+IF('Equipment List &amp; Usage'!$F25="yes",'Equipment List &amp; Usage'!$C$114,'Equipment List &amp; Usage'!$C$115)*(('Weekly Summary'!AC$66*'Equipment List &amp; Usage'!$Q26)+('Weekly Summary'!AC$64*'Equipment List &amp; Usage'!$O26)+('Weekly Summary'!AC$65*'Equipment List &amp; Usage'!$P26))+(IF('Equipment List &amp; Usage'!$F26="Yes",'Equipment List &amp; Usage'!$C$114*((('Weekly Summary'!AC$131*SelfQuarantine_Mild)+('Weekly Summary'!AC$100*SelfQuarantine_Mild)+('Weekly Summary'!AC$101*SelfQuarantine_Moderate))),'Equipment List &amp; Usage'!$C$115)*((('Weekly Summary'!AC$131*SelfQuarantine_Mild*'Equipment List &amp; Usage'!$W26)+('Weekly Summary'!AC$100*SelfQuarantine_Mild*'Equipment List &amp; Usage'!$X26)+('Weekly Summary'!AC$101*SelfQuarantine_Moderate*'Equipment List &amp; Usage'!$X26))))+IF('Equipment List &amp; Usage'!$F26="Yes",'Equipment List &amp; Usage'!$C$114*(IF('Equipment List &amp; Usage'!$AA26&gt;0,'Weekly Summary'!AC$128,0)+IF('Equipment List &amp; Usage'!$AB26&gt;0,'Weekly Summary'!AC$100+'Weekly Summary'!AC$101,0)),'Equipment List &amp; Usage'!$C$115*(('Weekly Summary'!AC$128*'Equipment List &amp; Usage'!$AA26)+('Weekly Summary'!AC$100*'Equipment List &amp; Usage'!$AB26*SelfQuarantine_Mild)+('Weekly Summary'!AC$101*'Equipment List &amp; Usage'!$AB26*SelfQuarantine_Moderate)))+IF('Equipment List &amp; Usage'!$F26="Yes",('Equipment List &amp; Usage'!$C$114*(IF('Equipment List &amp; Usage'!$AE26&gt;0,'Weekly Summary'!AC$134,0)+IF('Equipment List &amp; Usage'!$AF26&gt;0,'Weekly Summary'!AC$135))),'Equipment List &amp; Usage'!$C$115*(('Weekly Summary'!AC$134*'Equipment List &amp; Usage'!$AE26)+('Weekly Summary'!AC$135*'Equipment List &amp; Usage'!$AF26)))),0)</f>
        <v>0</v>
      </c>
      <c r="AJ24" s="1374">
        <f ca="1">MAX(IF($F24="Yes",(
IF($F24="yes",MMULT(--('Equipment List &amp; Usage'!$J26:$N26&gt;0),--('Weekly Summary'!AD$112:AD$116))*'Equipment List &amp; Usage'!$C$114,MMULT(--('Equipment List &amp; Usage'!$J26:$N26),--('Weekly Summary'!AD$112:AD$116))*'Equipment List &amp; Usage'!$C$115)+IF('Equipment List &amp; Usage'!$F25="yes",'Equipment List &amp; Usage'!$C$114,'Equipment List &amp; Usage'!$C$115)*(('Weekly Summary'!AD$66*'Equipment List &amp; Usage'!$Q26)+('Weekly Summary'!AD$64*'Equipment List &amp; Usage'!$O26)+('Weekly Summary'!AD$65*'Equipment List &amp; Usage'!$P26)))+(IF('Equipment List &amp; Usage'!$F26="Yes",'Equipment List &amp; Usage'!$C$114*((('Weekly Summary'!AD$131*SelfQuarantine_Mild)+('Weekly Summary'!AD$100*SelfQuarantine_Mild)+('Weekly Summary'!AD$101*SelfQuarantine_Moderate))),'Equipment List &amp; Usage'!$C$115)*((('Weekly Summary'!AD$131*SelfQuarantine_Mild*'Equipment List &amp; Usage'!$W26)+('Weekly Summary'!AD$100*SelfQuarantine_Mild*'Equipment List &amp; Usage'!$X26)+('Weekly Summary'!AD$101*SelfQuarantine_Moderate*'Equipment List &amp; Usage'!$X26)))+IF('Equipment List &amp; Usage'!$F26="Yes",'Equipment List &amp; Usage'!$C$114*(IF('Equipment List &amp; Usage'!$AA26&gt;0,'Weekly Summary'!AD$128,0)+IF('Equipment List &amp; Usage'!$AB26&gt;0,'Weekly Summary'!AD$100+'Weekly Summary'!AD$101,0)),'Equipment List &amp; Usage'!$C$115*(('Weekly Summary'!AD$128*'Equipment List &amp; Usage'!$AA26)+('Weekly Summary'!AD$100*'Equipment List &amp; Usage'!$AB26*SelfQuarantine_Mild)+('Weekly Summary'!AD$101*'Equipment List &amp; Usage'!$AB26*SelfQuarantine_Moderate)))+IF('Equipment List &amp; Usage'!$F26="Yes",('Equipment List &amp; Usage'!$C$114*(IF('Equipment List &amp; Usage'!$AE26&gt;0,'Weekly Summary'!AD$134,0)+IF('Equipment List &amp; Usage'!$AF26&gt;0,'Weekly Summary'!AD$135))),'Equipment List &amp; Usage'!$C$115*(('Weekly Summary'!AD$134*'Equipment List &amp; Usage'!$AE26)+('Weekly Summary'!AD$135*'Equipment List &amp; Usage'!$AF26))))-SUM($I24:AI24),
IF($F24="yes",MMULT(--('Equipment List &amp; Usage'!$J26:$N26&gt;0),--('Weekly Summary'!AD$112:AD$116))*'Equipment List &amp; Usage'!$C$114,MMULT(--('Equipment List &amp; Usage'!$J26:$N26),--('Weekly Summary'!AD$112:AD$116))*'Equipment List &amp; Usage'!$C$115)+IF('Equipment List &amp; Usage'!$F25="yes",'Equipment List &amp; Usage'!$C$114,'Equipment List &amp; Usage'!$C$115)*(('Weekly Summary'!AD$66*'Equipment List &amp; Usage'!$Q26)+('Weekly Summary'!AD$64*'Equipment List &amp; Usage'!$O26)+('Weekly Summary'!AD$65*'Equipment List &amp; Usage'!$P26))+(IF('Equipment List &amp; Usage'!$F26="Yes",'Equipment List &amp; Usage'!$C$114*((('Weekly Summary'!AD$131*SelfQuarantine_Mild)+('Weekly Summary'!AD$100*SelfQuarantine_Mild)+('Weekly Summary'!AD$101*SelfQuarantine_Moderate))),'Equipment List &amp; Usage'!$C$115)*((('Weekly Summary'!AD$131*SelfQuarantine_Mild*'Equipment List &amp; Usage'!$W26)+('Weekly Summary'!AD$100*SelfQuarantine_Mild*'Equipment List &amp; Usage'!$X26)+('Weekly Summary'!AD$101*SelfQuarantine_Moderate*'Equipment List &amp; Usage'!$X26))))+IF('Equipment List &amp; Usage'!$F26="Yes",'Equipment List &amp; Usage'!$C$114*(IF('Equipment List &amp; Usage'!$AA26&gt;0,'Weekly Summary'!AD$128,0)+IF('Equipment List &amp; Usage'!$AB26&gt;0,'Weekly Summary'!AD$100+'Weekly Summary'!AD$101,0)),'Equipment List &amp; Usage'!$C$115*(('Weekly Summary'!AD$128*'Equipment List &amp; Usage'!$AA26)+('Weekly Summary'!AD$100*'Equipment List &amp; Usage'!$AB26*SelfQuarantine_Mild)+('Weekly Summary'!AD$101*'Equipment List &amp; Usage'!$AB26*SelfQuarantine_Moderate)))+IF('Equipment List &amp; Usage'!$F26="Yes",('Equipment List &amp; Usage'!$C$114*(IF('Equipment List &amp; Usage'!$AE26&gt;0,'Weekly Summary'!AD$134,0)+IF('Equipment List &amp; Usage'!$AF26&gt;0,'Weekly Summary'!AD$135))),'Equipment List &amp; Usage'!$C$115*(('Weekly Summary'!AD$134*'Equipment List &amp; Usage'!$AE26)+('Weekly Summary'!AD$135*'Equipment List &amp; Usage'!$AF26)))),0)</f>
        <v>0</v>
      </c>
      <c r="AK24" s="1374">
        <f ca="1">MAX(IF($F24="Yes",(
IF($F24="yes",MMULT(--('Equipment List &amp; Usage'!$J26:$N26&gt;0),--('Weekly Summary'!AE$112:AE$116))*'Equipment List &amp; Usage'!$C$114,MMULT(--('Equipment List &amp; Usage'!$J26:$N26),--('Weekly Summary'!AE$112:AE$116))*'Equipment List &amp; Usage'!$C$115)+IF('Equipment List &amp; Usage'!$F25="yes",'Equipment List &amp; Usage'!$C$114,'Equipment List &amp; Usage'!$C$115)*(('Weekly Summary'!AE$66*'Equipment List &amp; Usage'!$Q26)+('Weekly Summary'!AE$64*'Equipment List &amp; Usage'!$O26)+('Weekly Summary'!AE$65*'Equipment List &amp; Usage'!$P26)))+(IF('Equipment List &amp; Usage'!$F26="Yes",'Equipment List &amp; Usage'!$C$114*((('Weekly Summary'!AE$131*SelfQuarantine_Mild)+('Weekly Summary'!AE$100*SelfQuarantine_Mild)+('Weekly Summary'!AE$101*SelfQuarantine_Moderate))),'Equipment List &amp; Usage'!$C$115)*((('Weekly Summary'!AE$131*SelfQuarantine_Mild*'Equipment List &amp; Usage'!$W26)+('Weekly Summary'!AE$100*SelfQuarantine_Mild*'Equipment List &amp; Usage'!$X26)+('Weekly Summary'!AE$101*SelfQuarantine_Moderate*'Equipment List &amp; Usage'!$X26)))+IF('Equipment List &amp; Usage'!$F26="Yes",'Equipment List &amp; Usage'!$C$114*(IF('Equipment List &amp; Usage'!$AA26&gt;0,'Weekly Summary'!AE$128,0)+IF('Equipment List &amp; Usage'!$AB26&gt;0,'Weekly Summary'!AE$100+'Weekly Summary'!AE$101,0)),'Equipment List &amp; Usage'!$C$115*(('Weekly Summary'!AE$128*'Equipment List &amp; Usage'!$AA26)+('Weekly Summary'!AE$100*'Equipment List &amp; Usage'!$AB26*SelfQuarantine_Mild)+('Weekly Summary'!AE$101*'Equipment List &amp; Usage'!$AB26*SelfQuarantine_Moderate)))+IF('Equipment List &amp; Usage'!$F26="Yes",('Equipment List &amp; Usage'!$C$114*(IF('Equipment List &amp; Usage'!$AE26&gt;0,'Weekly Summary'!AE$134,0)+IF('Equipment List &amp; Usage'!$AF26&gt;0,'Weekly Summary'!AE$135))),'Equipment List &amp; Usage'!$C$115*(('Weekly Summary'!AE$134*'Equipment List &amp; Usage'!$AE26)+('Weekly Summary'!AE$135*'Equipment List &amp; Usage'!$AF26))))-SUM($I24:AJ24),
IF($F24="yes",MMULT(--('Equipment List &amp; Usage'!$J26:$N26&gt;0),--('Weekly Summary'!AE$112:AE$116))*'Equipment List &amp; Usage'!$C$114,MMULT(--('Equipment List &amp; Usage'!$J26:$N26),--('Weekly Summary'!AE$112:AE$116))*'Equipment List &amp; Usage'!$C$115)+IF('Equipment List &amp; Usage'!$F25="yes",'Equipment List &amp; Usage'!$C$114,'Equipment List &amp; Usage'!$C$115)*(('Weekly Summary'!AE$66*'Equipment List &amp; Usage'!$Q26)+('Weekly Summary'!AE$64*'Equipment List &amp; Usage'!$O26)+('Weekly Summary'!AE$65*'Equipment List &amp; Usage'!$P26))+(IF('Equipment List &amp; Usage'!$F26="Yes",'Equipment List &amp; Usage'!$C$114*((('Weekly Summary'!AE$131*SelfQuarantine_Mild)+('Weekly Summary'!AE$100*SelfQuarantine_Mild)+('Weekly Summary'!AE$101*SelfQuarantine_Moderate))),'Equipment List &amp; Usage'!$C$115)*((('Weekly Summary'!AE$131*SelfQuarantine_Mild*'Equipment List &amp; Usage'!$W26)+('Weekly Summary'!AE$100*SelfQuarantine_Mild*'Equipment List &amp; Usage'!$X26)+('Weekly Summary'!AE$101*SelfQuarantine_Moderate*'Equipment List &amp; Usage'!$X26))))+IF('Equipment List &amp; Usage'!$F26="Yes",'Equipment List &amp; Usage'!$C$114*(IF('Equipment List &amp; Usage'!$AA26&gt;0,'Weekly Summary'!AE$128,0)+IF('Equipment List &amp; Usage'!$AB26&gt;0,'Weekly Summary'!AE$100+'Weekly Summary'!AE$101,0)),'Equipment List &amp; Usage'!$C$115*(('Weekly Summary'!AE$128*'Equipment List &amp; Usage'!$AA26)+('Weekly Summary'!AE$100*'Equipment List &amp; Usage'!$AB26*SelfQuarantine_Mild)+('Weekly Summary'!AE$101*'Equipment List &amp; Usage'!$AB26*SelfQuarantine_Moderate)))+IF('Equipment List &amp; Usage'!$F26="Yes",('Equipment List &amp; Usage'!$C$114*(IF('Equipment List &amp; Usage'!$AE26&gt;0,'Weekly Summary'!AE$134,0)+IF('Equipment List &amp; Usage'!$AF26&gt;0,'Weekly Summary'!AE$135))),'Equipment List &amp; Usage'!$C$115*(('Weekly Summary'!AE$134*'Equipment List &amp; Usage'!$AE26)+('Weekly Summary'!AE$135*'Equipment List &amp; Usage'!$AF26)))),0)</f>
        <v>0</v>
      </c>
      <c r="AL24" s="1374">
        <f ca="1">MAX(IF($F24="Yes",(
IF($F24="yes",MMULT(--('Equipment List &amp; Usage'!$J26:$N26&gt;0),--('Weekly Summary'!AF$112:AF$116))*'Equipment List &amp; Usage'!$C$114,MMULT(--('Equipment List &amp; Usage'!$J26:$N26),--('Weekly Summary'!AF$112:AF$116))*'Equipment List &amp; Usage'!$C$115)+IF('Equipment List &amp; Usage'!$F25="yes",'Equipment List &amp; Usage'!$C$114,'Equipment List &amp; Usage'!$C$115)*(('Weekly Summary'!AF$66*'Equipment List &amp; Usage'!$Q26)+('Weekly Summary'!AF$64*'Equipment List &amp; Usage'!$O26)+('Weekly Summary'!AF$65*'Equipment List &amp; Usage'!$P26)))+(IF('Equipment List &amp; Usage'!$F26="Yes",'Equipment List &amp; Usage'!$C$114*((('Weekly Summary'!AF$131*SelfQuarantine_Mild)+('Weekly Summary'!AF$100*SelfQuarantine_Mild)+('Weekly Summary'!AF$101*SelfQuarantine_Moderate))),'Equipment List &amp; Usage'!$C$115)*((('Weekly Summary'!AF$131*SelfQuarantine_Mild*'Equipment List &amp; Usage'!$W26)+('Weekly Summary'!AF$100*SelfQuarantine_Mild*'Equipment List &amp; Usage'!$X26)+('Weekly Summary'!AF$101*SelfQuarantine_Moderate*'Equipment List &amp; Usage'!$X26)))+IF('Equipment List &amp; Usage'!$F26="Yes",'Equipment List &amp; Usage'!$C$114*(IF('Equipment List &amp; Usage'!$AA26&gt;0,'Weekly Summary'!AF$128,0)+IF('Equipment List &amp; Usage'!$AB26&gt;0,'Weekly Summary'!AF$100+'Weekly Summary'!AF$101,0)),'Equipment List &amp; Usage'!$C$115*(('Weekly Summary'!AF$128*'Equipment List &amp; Usage'!$AA26)+('Weekly Summary'!AF$100*'Equipment List &amp; Usage'!$AB26*SelfQuarantine_Mild)+('Weekly Summary'!AF$101*'Equipment List &amp; Usage'!$AB26*SelfQuarantine_Moderate)))+IF('Equipment List &amp; Usage'!$F26="Yes",('Equipment List &amp; Usage'!$C$114*(IF('Equipment List &amp; Usage'!$AE26&gt;0,'Weekly Summary'!AF$134,0)+IF('Equipment List &amp; Usage'!$AF26&gt;0,'Weekly Summary'!AF$135))),'Equipment List &amp; Usage'!$C$115*(('Weekly Summary'!AF$134*'Equipment List &amp; Usage'!$AE26)+('Weekly Summary'!AF$135*'Equipment List &amp; Usage'!$AF26))))-SUM($I24:AK24),
IF($F24="yes",MMULT(--('Equipment List &amp; Usage'!$J26:$N26&gt;0),--('Weekly Summary'!AF$112:AF$116))*'Equipment List &amp; Usage'!$C$114,MMULT(--('Equipment List &amp; Usage'!$J26:$N26),--('Weekly Summary'!AF$112:AF$116))*'Equipment List &amp; Usage'!$C$115)+IF('Equipment List &amp; Usage'!$F25="yes",'Equipment List &amp; Usage'!$C$114,'Equipment List &amp; Usage'!$C$115)*(('Weekly Summary'!AF$66*'Equipment List &amp; Usage'!$Q26)+('Weekly Summary'!AF$64*'Equipment List &amp; Usage'!$O26)+('Weekly Summary'!AF$65*'Equipment List &amp; Usage'!$P26))+(IF('Equipment List &amp; Usage'!$F26="Yes",'Equipment List &amp; Usage'!$C$114*((('Weekly Summary'!AF$131*SelfQuarantine_Mild)+('Weekly Summary'!AF$100*SelfQuarantine_Mild)+('Weekly Summary'!AF$101*SelfQuarantine_Moderate))),'Equipment List &amp; Usage'!$C$115)*((('Weekly Summary'!AF$131*SelfQuarantine_Mild*'Equipment List &amp; Usage'!$W26)+('Weekly Summary'!AF$100*SelfQuarantine_Mild*'Equipment List &amp; Usage'!$X26)+('Weekly Summary'!AF$101*SelfQuarantine_Moderate*'Equipment List &amp; Usage'!$X26))))+IF('Equipment List &amp; Usage'!$F26="Yes",'Equipment List &amp; Usage'!$C$114*(IF('Equipment List &amp; Usage'!$AA26&gt;0,'Weekly Summary'!AF$128,0)+IF('Equipment List &amp; Usage'!$AB26&gt;0,'Weekly Summary'!AF$100+'Weekly Summary'!AF$101,0)),'Equipment List &amp; Usage'!$C$115*(('Weekly Summary'!AF$128*'Equipment List &amp; Usage'!$AA26)+('Weekly Summary'!AF$100*'Equipment List &amp; Usage'!$AB26*SelfQuarantine_Mild)+('Weekly Summary'!AF$101*'Equipment List &amp; Usage'!$AB26*SelfQuarantine_Moderate)))+IF('Equipment List &amp; Usage'!$F26="Yes",('Equipment List &amp; Usage'!$C$114*(IF('Equipment List &amp; Usage'!$AE26&gt;0,'Weekly Summary'!AF$134,0)+IF('Equipment List &amp; Usage'!$AF26&gt;0,'Weekly Summary'!AF$135))),'Equipment List &amp; Usage'!$C$115*(('Weekly Summary'!AF$134*'Equipment List &amp; Usage'!$AE26)+('Weekly Summary'!AF$135*'Equipment List &amp; Usage'!$AF26)))),0)</f>
        <v>0</v>
      </c>
      <c r="AM24" s="1374">
        <f ca="1">MAX(IF($F24="Yes",(
IF($F24="yes",MMULT(--('Equipment List &amp; Usage'!$J26:$N26&gt;0),--('Weekly Summary'!AG$112:AG$116))*'Equipment List &amp; Usage'!$C$114,MMULT(--('Equipment List &amp; Usage'!$J26:$N26),--('Weekly Summary'!AG$112:AG$116))*'Equipment List &amp; Usage'!$C$115)+IF('Equipment List &amp; Usage'!$F25="yes",'Equipment List &amp; Usage'!$C$114,'Equipment List &amp; Usage'!$C$115)*(('Weekly Summary'!AG$66*'Equipment List &amp; Usage'!$Q26)+('Weekly Summary'!AG$64*'Equipment List &amp; Usage'!$O26)+('Weekly Summary'!AG$65*'Equipment List &amp; Usage'!$P26)))+(IF('Equipment List &amp; Usage'!$F26="Yes",'Equipment List &amp; Usage'!$C$114*((('Weekly Summary'!AG$131*SelfQuarantine_Mild)+('Weekly Summary'!AG$100*SelfQuarantine_Mild)+('Weekly Summary'!AG$101*SelfQuarantine_Moderate))),'Equipment List &amp; Usage'!$C$115)*((('Weekly Summary'!AG$131*SelfQuarantine_Mild*'Equipment List &amp; Usage'!$W26)+('Weekly Summary'!AG$100*SelfQuarantine_Mild*'Equipment List &amp; Usage'!$X26)+('Weekly Summary'!AG$101*SelfQuarantine_Moderate*'Equipment List &amp; Usage'!$X26)))+IF('Equipment List &amp; Usage'!$F26="Yes",'Equipment List &amp; Usage'!$C$114*(IF('Equipment List &amp; Usage'!$AA26&gt;0,'Weekly Summary'!AG$128,0)+IF('Equipment List &amp; Usage'!$AB26&gt;0,'Weekly Summary'!AG$100+'Weekly Summary'!AG$101,0)),'Equipment List &amp; Usage'!$C$115*(('Weekly Summary'!AG$128*'Equipment List &amp; Usage'!$AA26)+('Weekly Summary'!AG$100*'Equipment List &amp; Usage'!$AB26*SelfQuarantine_Mild)+('Weekly Summary'!AG$101*'Equipment List &amp; Usage'!$AB26*SelfQuarantine_Moderate)))+IF('Equipment List &amp; Usage'!$F26="Yes",('Equipment List &amp; Usage'!$C$114*(IF('Equipment List &amp; Usage'!$AE26&gt;0,'Weekly Summary'!AG$134,0)+IF('Equipment List &amp; Usage'!$AF26&gt;0,'Weekly Summary'!AG$135))),'Equipment List &amp; Usage'!$C$115*(('Weekly Summary'!AG$134*'Equipment List &amp; Usage'!$AE26)+('Weekly Summary'!AG$135*'Equipment List &amp; Usage'!$AF26))))-SUM($I24:AL24),
IF($F24="yes",MMULT(--('Equipment List &amp; Usage'!$J26:$N26&gt;0),--('Weekly Summary'!AG$112:AG$116))*'Equipment List &amp; Usage'!$C$114,MMULT(--('Equipment List &amp; Usage'!$J26:$N26),--('Weekly Summary'!AG$112:AG$116))*'Equipment List &amp; Usage'!$C$115)+IF('Equipment List &amp; Usage'!$F25="yes",'Equipment List &amp; Usage'!$C$114,'Equipment List &amp; Usage'!$C$115)*(('Weekly Summary'!AG$66*'Equipment List &amp; Usage'!$Q26)+('Weekly Summary'!AG$64*'Equipment List &amp; Usage'!$O26)+('Weekly Summary'!AG$65*'Equipment List &amp; Usage'!$P26))+(IF('Equipment List &amp; Usage'!$F26="Yes",'Equipment List &amp; Usage'!$C$114*((('Weekly Summary'!AG$131*SelfQuarantine_Mild)+('Weekly Summary'!AG$100*SelfQuarantine_Mild)+('Weekly Summary'!AG$101*SelfQuarantine_Moderate))),'Equipment List &amp; Usage'!$C$115)*((('Weekly Summary'!AG$131*SelfQuarantine_Mild*'Equipment List &amp; Usage'!$W26)+('Weekly Summary'!AG$100*SelfQuarantine_Mild*'Equipment List &amp; Usage'!$X26)+('Weekly Summary'!AG$101*SelfQuarantine_Moderate*'Equipment List &amp; Usage'!$X26))))+IF('Equipment List &amp; Usage'!$F26="Yes",'Equipment List &amp; Usage'!$C$114*(IF('Equipment List &amp; Usage'!$AA26&gt;0,'Weekly Summary'!AG$128,0)+IF('Equipment List &amp; Usage'!$AB26&gt;0,'Weekly Summary'!AG$100+'Weekly Summary'!AG$101,0)),'Equipment List &amp; Usage'!$C$115*(('Weekly Summary'!AG$128*'Equipment List &amp; Usage'!$AA26)+('Weekly Summary'!AG$100*'Equipment List &amp; Usage'!$AB26*SelfQuarantine_Mild)+('Weekly Summary'!AG$101*'Equipment List &amp; Usage'!$AB26*SelfQuarantine_Moderate)))+IF('Equipment List &amp; Usage'!$F26="Yes",('Equipment List &amp; Usage'!$C$114*(IF('Equipment List &amp; Usage'!$AE26&gt;0,'Weekly Summary'!AG$134,0)+IF('Equipment List &amp; Usage'!$AF26&gt;0,'Weekly Summary'!AG$135))),'Equipment List &amp; Usage'!$C$115*(('Weekly Summary'!AG$134*'Equipment List &amp; Usage'!$AE26)+('Weekly Summary'!AG$135*'Equipment List &amp; Usage'!$AF26)))),0)</f>
        <v>0</v>
      </c>
      <c r="AN24" s="1374">
        <f ca="1">MAX(IF($F24="Yes",(
IF($F24="yes",MMULT(--('Equipment List &amp; Usage'!$J26:$N26&gt;0),--('Weekly Summary'!AH$112:AH$116))*'Equipment List &amp; Usage'!$C$114,MMULT(--('Equipment List &amp; Usage'!$J26:$N26),--('Weekly Summary'!AH$112:AH$116))*'Equipment List &amp; Usage'!$C$115)+IF('Equipment List &amp; Usage'!$F25="yes",'Equipment List &amp; Usage'!$C$114,'Equipment List &amp; Usage'!$C$115)*(('Weekly Summary'!AH$66*'Equipment List &amp; Usage'!$Q26)+('Weekly Summary'!AH$64*'Equipment List &amp; Usage'!$O26)+('Weekly Summary'!AH$65*'Equipment List &amp; Usage'!$P26)))+(IF('Equipment List &amp; Usage'!$F26="Yes",'Equipment List &amp; Usage'!$C$114*((('Weekly Summary'!AH$131*SelfQuarantine_Mild)+('Weekly Summary'!AH$100*SelfQuarantine_Mild)+('Weekly Summary'!AH$101*SelfQuarantine_Moderate))),'Equipment List &amp; Usage'!$C$115)*((('Weekly Summary'!AH$131*SelfQuarantine_Mild*'Equipment List &amp; Usage'!$W26)+('Weekly Summary'!AH$100*SelfQuarantine_Mild*'Equipment List &amp; Usage'!$X26)+('Weekly Summary'!AH$101*SelfQuarantine_Moderate*'Equipment List &amp; Usage'!$X26)))+IF('Equipment List &amp; Usage'!$F26="Yes",'Equipment List &amp; Usage'!$C$114*(IF('Equipment List &amp; Usage'!$AA26&gt;0,'Weekly Summary'!AH$128,0)+IF('Equipment List &amp; Usage'!$AB26&gt;0,'Weekly Summary'!AH$100+'Weekly Summary'!AH$101,0)),'Equipment List &amp; Usage'!$C$115*(('Weekly Summary'!AH$128*'Equipment List &amp; Usage'!$AA26)+('Weekly Summary'!AH$100*'Equipment List &amp; Usage'!$AB26*SelfQuarantine_Mild)+('Weekly Summary'!AH$101*'Equipment List &amp; Usage'!$AB26*SelfQuarantine_Moderate)))+IF('Equipment List &amp; Usage'!$F26="Yes",('Equipment List &amp; Usage'!$C$114*(IF('Equipment List &amp; Usage'!$AE26&gt;0,'Weekly Summary'!AH$134,0)+IF('Equipment List &amp; Usage'!$AF26&gt;0,'Weekly Summary'!AH$135))),'Equipment List &amp; Usage'!$C$115*(('Weekly Summary'!AH$134*'Equipment List &amp; Usage'!$AE26)+('Weekly Summary'!AH$135*'Equipment List &amp; Usage'!$AF26))))-SUM($I24:AM24),
IF($F24="yes",MMULT(--('Equipment List &amp; Usage'!$J26:$N26&gt;0),--('Weekly Summary'!AH$112:AH$116))*'Equipment List &amp; Usage'!$C$114,MMULT(--('Equipment List &amp; Usage'!$J26:$N26),--('Weekly Summary'!AH$112:AH$116))*'Equipment List &amp; Usage'!$C$115)+IF('Equipment List &amp; Usage'!$F25="yes",'Equipment List &amp; Usage'!$C$114,'Equipment List &amp; Usage'!$C$115)*(('Weekly Summary'!AH$66*'Equipment List &amp; Usage'!$Q26)+('Weekly Summary'!AH$64*'Equipment List &amp; Usage'!$O26)+('Weekly Summary'!AH$65*'Equipment List &amp; Usage'!$P26))+(IF('Equipment List &amp; Usage'!$F26="Yes",'Equipment List &amp; Usage'!$C$114*((('Weekly Summary'!AH$131*SelfQuarantine_Mild)+('Weekly Summary'!AH$100*SelfQuarantine_Mild)+('Weekly Summary'!AH$101*SelfQuarantine_Moderate))),'Equipment List &amp; Usage'!$C$115)*((('Weekly Summary'!AH$131*SelfQuarantine_Mild*'Equipment List &amp; Usage'!$W26)+('Weekly Summary'!AH$100*SelfQuarantine_Mild*'Equipment List &amp; Usage'!$X26)+('Weekly Summary'!AH$101*SelfQuarantine_Moderate*'Equipment List &amp; Usage'!$X26))))+IF('Equipment List &amp; Usage'!$F26="Yes",'Equipment List &amp; Usage'!$C$114*(IF('Equipment List &amp; Usage'!$AA26&gt;0,'Weekly Summary'!AH$128,0)+IF('Equipment List &amp; Usage'!$AB26&gt;0,'Weekly Summary'!AH$100+'Weekly Summary'!AH$101,0)),'Equipment List &amp; Usage'!$C$115*(('Weekly Summary'!AH$128*'Equipment List &amp; Usage'!$AA26)+('Weekly Summary'!AH$100*'Equipment List &amp; Usage'!$AB26*SelfQuarantine_Mild)+('Weekly Summary'!AH$101*'Equipment List &amp; Usage'!$AB26*SelfQuarantine_Moderate)))+IF('Equipment List &amp; Usage'!$F26="Yes",('Equipment List &amp; Usage'!$C$114*(IF('Equipment List &amp; Usage'!$AE26&gt;0,'Weekly Summary'!AH$134,0)+IF('Equipment List &amp; Usage'!$AF26&gt;0,'Weekly Summary'!AH$135))),'Equipment List &amp; Usage'!$C$115*(('Weekly Summary'!AH$134*'Equipment List &amp; Usage'!$AE26)+('Weekly Summary'!AH$135*'Equipment List &amp; Usage'!$AF26)))),0)</f>
        <v>0</v>
      </c>
      <c r="AO24" s="1374">
        <f ca="1">MAX(IF($F24="Yes",(
IF($F24="yes",MMULT(--('Equipment List &amp; Usage'!$J26:$N26&gt;0),--('Weekly Summary'!AI$112:AI$116))*'Equipment List &amp; Usage'!$C$114,MMULT(--('Equipment List &amp; Usage'!$J26:$N26),--('Weekly Summary'!AI$112:AI$116))*'Equipment List &amp; Usage'!$C$115)+IF('Equipment List &amp; Usage'!$F25="yes",'Equipment List &amp; Usage'!$C$114,'Equipment List &amp; Usage'!$C$115)*(('Weekly Summary'!AI$66*'Equipment List &amp; Usage'!$Q26)+('Weekly Summary'!AI$64*'Equipment List &amp; Usage'!$O26)+('Weekly Summary'!AI$65*'Equipment List &amp; Usage'!$P26)))+(IF('Equipment List &amp; Usage'!$F26="Yes",'Equipment List &amp; Usage'!$C$114*((('Weekly Summary'!AI$131*SelfQuarantine_Mild)+('Weekly Summary'!AI$100*SelfQuarantine_Mild)+('Weekly Summary'!AI$101*SelfQuarantine_Moderate))),'Equipment List &amp; Usage'!$C$115)*((('Weekly Summary'!AI$131*SelfQuarantine_Mild*'Equipment List &amp; Usage'!$W26)+('Weekly Summary'!AI$100*SelfQuarantine_Mild*'Equipment List &amp; Usage'!$X26)+('Weekly Summary'!AI$101*SelfQuarantine_Moderate*'Equipment List &amp; Usage'!$X26)))+IF('Equipment List &amp; Usage'!$F26="Yes",'Equipment List &amp; Usage'!$C$114*(IF('Equipment List &amp; Usage'!$AA26&gt;0,'Weekly Summary'!AI$128,0)+IF('Equipment List &amp; Usage'!$AB26&gt;0,'Weekly Summary'!AI$100+'Weekly Summary'!AI$101,0)),'Equipment List &amp; Usage'!$C$115*(('Weekly Summary'!AI$128*'Equipment List &amp; Usage'!$AA26)+('Weekly Summary'!AI$100*'Equipment List &amp; Usage'!$AB26*SelfQuarantine_Mild)+('Weekly Summary'!AI$101*'Equipment List &amp; Usage'!$AB26*SelfQuarantine_Moderate)))+IF('Equipment List &amp; Usage'!$F26="Yes",('Equipment List &amp; Usage'!$C$114*(IF('Equipment List &amp; Usage'!$AE26&gt;0,'Weekly Summary'!AI$134,0)+IF('Equipment List &amp; Usage'!$AF26&gt;0,'Weekly Summary'!AI$135))),'Equipment List &amp; Usage'!$C$115*(('Weekly Summary'!AI$134*'Equipment List &amp; Usage'!$AE26)+('Weekly Summary'!AI$135*'Equipment List &amp; Usage'!$AF26))))-SUM($I24:AN24),
IF($F24="yes",MMULT(--('Equipment List &amp; Usage'!$J26:$N26&gt;0),--('Weekly Summary'!AI$112:AI$116))*'Equipment List &amp; Usage'!$C$114,MMULT(--('Equipment List &amp; Usage'!$J26:$N26),--('Weekly Summary'!AI$112:AI$116))*'Equipment List &amp; Usage'!$C$115)+IF('Equipment List &amp; Usage'!$F25="yes",'Equipment List &amp; Usage'!$C$114,'Equipment List &amp; Usage'!$C$115)*(('Weekly Summary'!AI$66*'Equipment List &amp; Usage'!$Q26)+('Weekly Summary'!AI$64*'Equipment List &amp; Usage'!$O26)+('Weekly Summary'!AI$65*'Equipment List &amp; Usage'!$P26))+(IF('Equipment List &amp; Usage'!$F26="Yes",'Equipment List &amp; Usage'!$C$114*((('Weekly Summary'!AI$131*SelfQuarantine_Mild)+('Weekly Summary'!AI$100*SelfQuarantine_Mild)+('Weekly Summary'!AI$101*SelfQuarantine_Moderate))),'Equipment List &amp; Usage'!$C$115)*((('Weekly Summary'!AI$131*SelfQuarantine_Mild*'Equipment List &amp; Usage'!$W26)+('Weekly Summary'!AI$100*SelfQuarantine_Mild*'Equipment List &amp; Usage'!$X26)+('Weekly Summary'!AI$101*SelfQuarantine_Moderate*'Equipment List &amp; Usage'!$X26))))+IF('Equipment List &amp; Usage'!$F26="Yes",'Equipment List &amp; Usage'!$C$114*(IF('Equipment List &amp; Usage'!$AA26&gt;0,'Weekly Summary'!AI$128,0)+IF('Equipment List &amp; Usage'!$AB26&gt;0,'Weekly Summary'!AI$100+'Weekly Summary'!AI$101,0)),'Equipment List &amp; Usage'!$C$115*(('Weekly Summary'!AI$128*'Equipment List &amp; Usage'!$AA26)+('Weekly Summary'!AI$100*'Equipment List &amp; Usage'!$AB26*SelfQuarantine_Mild)+('Weekly Summary'!AI$101*'Equipment List &amp; Usage'!$AB26*SelfQuarantine_Moderate)))+IF('Equipment List &amp; Usage'!$F26="Yes",('Equipment List &amp; Usage'!$C$114*(IF('Equipment List &amp; Usage'!$AE26&gt;0,'Weekly Summary'!AI$134,0)+IF('Equipment List &amp; Usage'!$AF26&gt;0,'Weekly Summary'!AI$135))),'Equipment List &amp; Usage'!$C$115*(('Weekly Summary'!AI$134*'Equipment List &amp; Usage'!$AE26)+('Weekly Summary'!AI$135*'Equipment List &amp; Usage'!$AF26)))),0)</f>
        <v>0</v>
      </c>
      <c r="AP24" s="1374">
        <f ca="1">MAX(IF($F24="Yes",(
IF($F24="yes",MMULT(--('Equipment List &amp; Usage'!$J26:$N26&gt;0),--('Weekly Summary'!AJ$112:AJ$116))*'Equipment List &amp; Usage'!$C$114,MMULT(--('Equipment List &amp; Usage'!$J26:$N26),--('Weekly Summary'!AJ$112:AJ$116))*'Equipment List &amp; Usage'!$C$115)+IF('Equipment List &amp; Usage'!$F25="yes",'Equipment List &amp; Usage'!$C$114,'Equipment List &amp; Usage'!$C$115)*(('Weekly Summary'!AJ$66*'Equipment List &amp; Usage'!$Q26)+('Weekly Summary'!AJ$64*'Equipment List &amp; Usage'!$O26)+('Weekly Summary'!AJ$65*'Equipment List &amp; Usage'!$P26)))+(IF('Equipment List &amp; Usage'!$F26="Yes",'Equipment List &amp; Usage'!$C$114*((('Weekly Summary'!AJ$131*SelfQuarantine_Mild)+('Weekly Summary'!AJ$100*SelfQuarantine_Mild)+('Weekly Summary'!AJ$101*SelfQuarantine_Moderate))),'Equipment List &amp; Usage'!$C$115)*((('Weekly Summary'!AJ$131*SelfQuarantine_Mild*'Equipment List &amp; Usage'!$W26)+('Weekly Summary'!AJ$100*SelfQuarantine_Mild*'Equipment List &amp; Usage'!$X26)+('Weekly Summary'!AJ$101*SelfQuarantine_Moderate*'Equipment List &amp; Usage'!$X26)))+IF('Equipment List &amp; Usage'!$F26="Yes",'Equipment List &amp; Usage'!$C$114*(IF('Equipment List &amp; Usage'!$AA26&gt;0,'Weekly Summary'!AJ$128,0)+IF('Equipment List &amp; Usage'!$AB26&gt;0,'Weekly Summary'!AJ$100+'Weekly Summary'!AJ$101,0)),'Equipment List &amp; Usage'!$C$115*(('Weekly Summary'!AJ$128*'Equipment List &amp; Usage'!$AA26)+('Weekly Summary'!AJ$100*'Equipment List &amp; Usage'!$AB26*SelfQuarantine_Mild)+('Weekly Summary'!AJ$101*'Equipment List &amp; Usage'!$AB26*SelfQuarantine_Moderate)))+IF('Equipment List &amp; Usage'!$F26="Yes",('Equipment List &amp; Usage'!$C$114*(IF('Equipment List &amp; Usage'!$AE26&gt;0,'Weekly Summary'!AJ$134,0)+IF('Equipment List &amp; Usage'!$AF26&gt;0,'Weekly Summary'!AJ$135))),'Equipment List &amp; Usage'!$C$115*(('Weekly Summary'!AJ$134*'Equipment List &amp; Usage'!$AE26)+('Weekly Summary'!AJ$135*'Equipment List &amp; Usage'!$AF26))))-SUM($I24:AO24),
IF($F24="yes",MMULT(--('Equipment List &amp; Usage'!$J26:$N26&gt;0),--('Weekly Summary'!AJ$112:AJ$116))*'Equipment List &amp; Usage'!$C$114,MMULT(--('Equipment List &amp; Usage'!$J26:$N26),--('Weekly Summary'!AJ$112:AJ$116))*'Equipment List &amp; Usage'!$C$115)+IF('Equipment List &amp; Usage'!$F25="yes",'Equipment List &amp; Usage'!$C$114,'Equipment List &amp; Usage'!$C$115)*(('Weekly Summary'!AJ$66*'Equipment List &amp; Usage'!$Q26)+('Weekly Summary'!AJ$64*'Equipment List &amp; Usage'!$O26)+('Weekly Summary'!AJ$65*'Equipment List &amp; Usage'!$P26))+(IF('Equipment List &amp; Usage'!$F26="Yes",'Equipment List &amp; Usage'!$C$114*((('Weekly Summary'!AJ$131*SelfQuarantine_Mild)+('Weekly Summary'!AJ$100*SelfQuarantine_Mild)+('Weekly Summary'!AJ$101*SelfQuarantine_Moderate))),'Equipment List &amp; Usage'!$C$115)*((('Weekly Summary'!AJ$131*SelfQuarantine_Mild*'Equipment List &amp; Usage'!$W26)+('Weekly Summary'!AJ$100*SelfQuarantine_Mild*'Equipment List &amp; Usage'!$X26)+('Weekly Summary'!AJ$101*SelfQuarantine_Moderate*'Equipment List &amp; Usage'!$X26))))+IF('Equipment List &amp; Usage'!$F26="Yes",'Equipment List &amp; Usage'!$C$114*(IF('Equipment List &amp; Usage'!$AA26&gt;0,'Weekly Summary'!AJ$128,0)+IF('Equipment List &amp; Usage'!$AB26&gt;0,'Weekly Summary'!AJ$100+'Weekly Summary'!AJ$101,0)),'Equipment List &amp; Usage'!$C$115*(('Weekly Summary'!AJ$128*'Equipment List &amp; Usage'!$AA26)+('Weekly Summary'!AJ$100*'Equipment List &amp; Usage'!$AB26*SelfQuarantine_Mild)+('Weekly Summary'!AJ$101*'Equipment List &amp; Usage'!$AB26*SelfQuarantine_Moderate)))+IF('Equipment List &amp; Usage'!$F26="Yes",('Equipment List &amp; Usage'!$C$114*(IF('Equipment List &amp; Usage'!$AE26&gt;0,'Weekly Summary'!AJ$134,0)+IF('Equipment List &amp; Usage'!$AF26&gt;0,'Weekly Summary'!AJ$135))),'Equipment List &amp; Usage'!$C$115*(('Weekly Summary'!AJ$134*'Equipment List &amp; Usage'!$AE26)+('Weekly Summary'!AJ$135*'Equipment List &amp; Usage'!$AF26)))),0)</f>
        <v>0</v>
      </c>
      <c r="AQ24" s="1374">
        <f ca="1">MAX(IF($F24="Yes",(
IF($F24="yes",MMULT(--('Equipment List &amp; Usage'!$J26:$N26&gt;0),--('Weekly Summary'!AK$112:AK$116))*'Equipment List &amp; Usage'!$C$114,MMULT(--('Equipment List &amp; Usage'!$J26:$N26),--('Weekly Summary'!AK$112:AK$116))*'Equipment List &amp; Usage'!$C$115)+IF('Equipment List &amp; Usage'!$F25="yes",'Equipment List &amp; Usage'!$C$114,'Equipment List &amp; Usage'!$C$115)*(('Weekly Summary'!AK$66*'Equipment List &amp; Usage'!$Q26)+('Weekly Summary'!AK$64*'Equipment List &amp; Usage'!$O26)+('Weekly Summary'!AK$65*'Equipment List &amp; Usage'!$P26)))+(IF('Equipment List &amp; Usage'!$F26="Yes",'Equipment List &amp; Usage'!$C$114*((('Weekly Summary'!AK$131*SelfQuarantine_Mild)+('Weekly Summary'!AK$100*SelfQuarantine_Mild)+('Weekly Summary'!AK$101*SelfQuarantine_Moderate))),'Equipment List &amp; Usage'!$C$115)*((('Weekly Summary'!AK$131*SelfQuarantine_Mild*'Equipment List &amp; Usage'!$W26)+('Weekly Summary'!AK$100*SelfQuarantine_Mild*'Equipment List &amp; Usage'!$X26)+('Weekly Summary'!AK$101*SelfQuarantine_Moderate*'Equipment List &amp; Usage'!$X26)))+IF('Equipment List &amp; Usage'!$F26="Yes",'Equipment List &amp; Usage'!$C$114*(IF('Equipment List &amp; Usage'!$AA26&gt;0,'Weekly Summary'!AK$128,0)+IF('Equipment List &amp; Usage'!$AB26&gt;0,'Weekly Summary'!AK$100+'Weekly Summary'!AK$101,0)),'Equipment List &amp; Usage'!$C$115*(('Weekly Summary'!AK$128*'Equipment List &amp; Usage'!$AA26)+('Weekly Summary'!AK$100*'Equipment List &amp; Usage'!$AB26*SelfQuarantine_Mild)+('Weekly Summary'!AK$101*'Equipment List &amp; Usage'!$AB26*SelfQuarantine_Moderate)))+IF('Equipment List &amp; Usage'!$F26="Yes",('Equipment List &amp; Usage'!$C$114*(IF('Equipment List &amp; Usage'!$AE26&gt;0,'Weekly Summary'!AK$134,0)+IF('Equipment List &amp; Usage'!$AF26&gt;0,'Weekly Summary'!AK$135))),'Equipment List &amp; Usage'!$C$115*(('Weekly Summary'!AK$134*'Equipment List &amp; Usage'!$AE26)+('Weekly Summary'!AK$135*'Equipment List &amp; Usage'!$AF26))))-SUM($I24:AP24),
IF($F24="yes",MMULT(--('Equipment List &amp; Usage'!$J26:$N26&gt;0),--('Weekly Summary'!AK$112:AK$116))*'Equipment List &amp; Usage'!$C$114,MMULT(--('Equipment List &amp; Usage'!$J26:$N26),--('Weekly Summary'!AK$112:AK$116))*'Equipment List &amp; Usage'!$C$115)+IF('Equipment List &amp; Usage'!$F25="yes",'Equipment List &amp; Usage'!$C$114,'Equipment List &amp; Usage'!$C$115)*(('Weekly Summary'!AK$66*'Equipment List &amp; Usage'!$Q26)+('Weekly Summary'!AK$64*'Equipment List &amp; Usage'!$O26)+('Weekly Summary'!AK$65*'Equipment List &amp; Usage'!$P26))+(IF('Equipment List &amp; Usage'!$F26="Yes",'Equipment List &amp; Usage'!$C$114*((('Weekly Summary'!AK$131*SelfQuarantine_Mild)+('Weekly Summary'!AK$100*SelfQuarantine_Mild)+('Weekly Summary'!AK$101*SelfQuarantine_Moderate))),'Equipment List &amp; Usage'!$C$115)*((('Weekly Summary'!AK$131*SelfQuarantine_Mild*'Equipment List &amp; Usage'!$W26)+('Weekly Summary'!AK$100*SelfQuarantine_Mild*'Equipment List &amp; Usage'!$X26)+('Weekly Summary'!AK$101*SelfQuarantine_Moderate*'Equipment List &amp; Usage'!$X26))))+IF('Equipment List &amp; Usage'!$F26="Yes",'Equipment List &amp; Usage'!$C$114*(IF('Equipment List &amp; Usage'!$AA26&gt;0,'Weekly Summary'!AK$128,0)+IF('Equipment List &amp; Usage'!$AB26&gt;0,'Weekly Summary'!AK$100+'Weekly Summary'!AK$101,0)),'Equipment List &amp; Usage'!$C$115*(('Weekly Summary'!AK$128*'Equipment List &amp; Usage'!$AA26)+('Weekly Summary'!AK$100*'Equipment List &amp; Usage'!$AB26*SelfQuarantine_Mild)+('Weekly Summary'!AK$101*'Equipment List &amp; Usage'!$AB26*SelfQuarantine_Moderate)))+IF('Equipment List &amp; Usage'!$F26="Yes",('Equipment List &amp; Usage'!$C$114*(IF('Equipment List &amp; Usage'!$AE26&gt;0,'Weekly Summary'!AK$134,0)+IF('Equipment List &amp; Usage'!$AF26&gt;0,'Weekly Summary'!AK$135))),'Equipment List &amp; Usage'!$C$115*(('Weekly Summary'!AK$134*'Equipment List &amp; Usage'!$AE26)+('Weekly Summary'!AK$135*'Equipment List &amp; Usage'!$AF26)))),0)</f>
        <v>0</v>
      </c>
      <c r="AR24" s="1374">
        <f ca="1">MAX(IF($F24="Yes",(
IF($F24="yes",MMULT(--('Equipment List &amp; Usage'!$J26:$N26&gt;0),--('Weekly Summary'!AL$112:AL$116))*'Equipment List &amp; Usage'!$C$114,MMULT(--('Equipment List &amp; Usage'!$J26:$N26),--('Weekly Summary'!AL$112:AL$116))*'Equipment List &amp; Usage'!$C$115)+IF('Equipment List &amp; Usage'!$F25="yes",'Equipment List &amp; Usage'!$C$114,'Equipment List &amp; Usage'!$C$115)*(('Weekly Summary'!AL$66*'Equipment List &amp; Usage'!$Q26)+('Weekly Summary'!AL$64*'Equipment List &amp; Usage'!$O26)+('Weekly Summary'!AL$65*'Equipment List &amp; Usage'!$P26)))+(IF('Equipment List &amp; Usage'!$F26="Yes",'Equipment List &amp; Usage'!$C$114*((('Weekly Summary'!AL$131*SelfQuarantine_Mild)+('Weekly Summary'!AL$100*SelfQuarantine_Mild)+('Weekly Summary'!AL$101*SelfQuarantine_Moderate))),'Equipment List &amp; Usage'!$C$115)*((('Weekly Summary'!AL$131*SelfQuarantine_Mild*'Equipment List &amp; Usage'!$W26)+('Weekly Summary'!AL$100*SelfQuarantine_Mild*'Equipment List &amp; Usage'!$X26)+('Weekly Summary'!AL$101*SelfQuarantine_Moderate*'Equipment List &amp; Usage'!$X26)))+IF('Equipment List &amp; Usage'!$F26="Yes",'Equipment List &amp; Usage'!$C$114*(IF('Equipment List &amp; Usage'!$AA26&gt;0,'Weekly Summary'!AL$128,0)+IF('Equipment List &amp; Usage'!$AB26&gt;0,'Weekly Summary'!AL$100+'Weekly Summary'!AL$101,0)),'Equipment List &amp; Usage'!$C$115*(('Weekly Summary'!AL$128*'Equipment List &amp; Usage'!$AA26)+('Weekly Summary'!AL$100*'Equipment List &amp; Usage'!$AB26*SelfQuarantine_Mild)+('Weekly Summary'!AL$101*'Equipment List &amp; Usage'!$AB26*SelfQuarantine_Moderate)))+IF('Equipment List &amp; Usage'!$F26="Yes",('Equipment List &amp; Usage'!$C$114*(IF('Equipment List &amp; Usage'!$AE26&gt;0,'Weekly Summary'!AL$134,0)+IF('Equipment List &amp; Usage'!$AF26&gt;0,'Weekly Summary'!AL$135))),'Equipment List &amp; Usage'!$C$115*(('Weekly Summary'!AL$134*'Equipment List &amp; Usage'!$AE26)+('Weekly Summary'!AL$135*'Equipment List &amp; Usage'!$AF26))))-SUM($I24:AQ24),
IF($F24="yes",MMULT(--('Equipment List &amp; Usage'!$J26:$N26&gt;0),--('Weekly Summary'!AL$112:AL$116))*'Equipment List &amp; Usage'!$C$114,MMULT(--('Equipment List &amp; Usage'!$J26:$N26),--('Weekly Summary'!AL$112:AL$116))*'Equipment List &amp; Usage'!$C$115)+IF('Equipment List &amp; Usage'!$F25="yes",'Equipment List &amp; Usage'!$C$114,'Equipment List &amp; Usage'!$C$115)*(('Weekly Summary'!AL$66*'Equipment List &amp; Usage'!$Q26)+('Weekly Summary'!AL$64*'Equipment List &amp; Usage'!$O26)+('Weekly Summary'!AL$65*'Equipment List &amp; Usage'!$P26))+(IF('Equipment List &amp; Usage'!$F26="Yes",'Equipment List &amp; Usage'!$C$114*((('Weekly Summary'!AL$131*SelfQuarantine_Mild)+('Weekly Summary'!AL$100*SelfQuarantine_Mild)+('Weekly Summary'!AL$101*SelfQuarantine_Moderate))),'Equipment List &amp; Usage'!$C$115)*((('Weekly Summary'!AL$131*SelfQuarantine_Mild*'Equipment List &amp; Usage'!$W26)+('Weekly Summary'!AL$100*SelfQuarantine_Mild*'Equipment List &amp; Usage'!$X26)+('Weekly Summary'!AL$101*SelfQuarantine_Moderate*'Equipment List &amp; Usage'!$X26))))+IF('Equipment List &amp; Usage'!$F26="Yes",'Equipment List &amp; Usage'!$C$114*(IF('Equipment List &amp; Usage'!$AA26&gt;0,'Weekly Summary'!AL$128,0)+IF('Equipment List &amp; Usage'!$AB26&gt;0,'Weekly Summary'!AL$100+'Weekly Summary'!AL$101,0)),'Equipment List &amp; Usage'!$C$115*(('Weekly Summary'!AL$128*'Equipment List &amp; Usage'!$AA26)+('Weekly Summary'!AL$100*'Equipment List &amp; Usage'!$AB26*SelfQuarantine_Mild)+('Weekly Summary'!AL$101*'Equipment List &amp; Usage'!$AB26*SelfQuarantine_Moderate)))+IF('Equipment List &amp; Usage'!$F26="Yes",('Equipment List &amp; Usage'!$C$114*(IF('Equipment List &amp; Usage'!$AE26&gt;0,'Weekly Summary'!AL$134,0)+IF('Equipment List &amp; Usage'!$AF26&gt;0,'Weekly Summary'!AL$135))),'Equipment List &amp; Usage'!$C$115*(('Weekly Summary'!AL$134*'Equipment List &amp; Usage'!$AE26)+('Weekly Summary'!AL$135*'Equipment List &amp; Usage'!$AF26)))),0)</f>
        <v>0</v>
      </c>
      <c r="AS24" s="1374">
        <f ca="1">MAX(IF($F24="Yes",(
IF($F24="yes",MMULT(--('Equipment List &amp; Usage'!$J26:$N26&gt;0),--('Weekly Summary'!AM$112:AM$116))*'Equipment List &amp; Usage'!$C$114,MMULT(--('Equipment List &amp; Usage'!$J26:$N26),--('Weekly Summary'!AM$112:AM$116))*'Equipment List &amp; Usage'!$C$115)+IF('Equipment List &amp; Usage'!$F25="yes",'Equipment List &amp; Usage'!$C$114,'Equipment List &amp; Usage'!$C$115)*(('Weekly Summary'!AM$66*'Equipment List &amp; Usage'!$Q26)+('Weekly Summary'!AM$64*'Equipment List &amp; Usage'!$O26)+('Weekly Summary'!AM$65*'Equipment List &amp; Usage'!$P26)))+(IF('Equipment List &amp; Usage'!$F26="Yes",'Equipment List &amp; Usage'!$C$114*((('Weekly Summary'!AM$131*SelfQuarantine_Mild)+('Weekly Summary'!AM$100*SelfQuarantine_Mild)+('Weekly Summary'!AM$101*SelfQuarantine_Moderate))),'Equipment List &amp; Usage'!$C$115)*((('Weekly Summary'!AM$131*SelfQuarantine_Mild*'Equipment List &amp; Usage'!$W26)+('Weekly Summary'!AM$100*SelfQuarantine_Mild*'Equipment List &amp; Usage'!$X26)+('Weekly Summary'!AM$101*SelfQuarantine_Moderate*'Equipment List &amp; Usage'!$X26)))+IF('Equipment List &amp; Usage'!$F26="Yes",'Equipment List &amp; Usage'!$C$114*(IF('Equipment List &amp; Usage'!$AA26&gt;0,'Weekly Summary'!AM$128,0)+IF('Equipment List &amp; Usage'!$AB26&gt;0,'Weekly Summary'!AM$100+'Weekly Summary'!AM$101,0)),'Equipment List &amp; Usage'!$C$115*(('Weekly Summary'!AM$128*'Equipment List &amp; Usage'!$AA26)+('Weekly Summary'!AM$100*'Equipment List &amp; Usage'!$AB26*SelfQuarantine_Mild)+('Weekly Summary'!AM$101*'Equipment List &amp; Usage'!$AB26*SelfQuarantine_Moderate)))+IF('Equipment List &amp; Usage'!$F26="Yes",('Equipment List &amp; Usage'!$C$114*(IF('Equipment List &amp; Usage'!$AE26&gt;0,'Weekly Summary'!AM$134,0)+IF('Equipment List &amp; Usage'!$AF26&gt;0,'Weekly Summary'!AM$135))),'Equipment List &amp; Usage'!$C$115*(('Weekly Summary'!AM$134*'Equipment List &amp; Usage'!$AE26)+('Weekly Summary'!AM$135*'Equipment List &amp; Usage'!$AF26))))-SUM($I24:AR24),
IF($F24="yes",MMULT(--('Equipment List &amp; Usage'!$J26:$N26&gt;0),--('Weekly Summary'!AM$112:AM$116))*'Equipment List &amp; Usage'!$C$114,MMULT(--('Equipment List &amp; Usage'!$J26:$N26),--('Weekly Summary'!AM$112:AM$116))*'Equipment List &amp; Usage'!$C$115)+IF('Equipment List &amp; Usage'!$F25="yes",'Equipment List &amp; Usage'!$C$114,'Equipment List &amp; Usage'!$C$115)*(('Weekly Summary'!AM$66*'Equipment List &amp; Usage'!$Q26)+('Weekly Summary'!AM$64*'Equipment List &amp; Usage'!$O26)+('Weekly Summary'!AM$65*'Equipment List &amp; Usage'!$P26))+(IF('Equipment List &amp; Usage'!$F26="Yes",'Equipment List &amp; Usage'!$C$114*((('Weekly Summary'!AM$131*SelfQuarantine_Mild)+('Weekly Summary'!AM$100*SelfQuarantine_Mild)+('Weekly Summary'!AM$101*SelfQuarantine_Moderate))),'Equipment List &amp; Usage'!$C$115)*((('Weekly Summary'!AM$131*SelfQuarantine_Mild*'Equipment List &amp; Usage'!$W26)+('Weekly Summary'!AM$100*SelfQuarantine_Mild*'Equipment List &amp; Usage'!$X26)+('Weekly Summary'!AM$101*SelfQuarantine_Moderate*'Equipment List &amp; Usage'!$X26))))+IF('Equipment List &amp; Usage'!$F26="Yes",'Equipment List &amp; Usage'!$C$114*(IF('Equipment List &amp; Usage'!$AA26&gt;0,'Weekly Summary'!AM$128,0)+IF('Equipment List &amp; Usage'!$AB26&gt;0,'Weekly Summary'!AM$100+'Weekly Summary'!AM$101,0)),'Equipment List &amp; Usage'!$C$115*(('Weekly Summary'!AM$128*'Equipment List &amp; Usage'!$AA26)+('Weekly Summary'!AM$100*'Equipment List &amp; Usage'!$AB26*SelfQuarantine_Mild)+('Weekly Summary'!AM$101*'Equipment List &amp; Usage'!$AB26*SelfQuarantine_Moderate)))+IF('Equipment List &amp; Usage'!$F26="Yes",('Equipment List &amp; Usage'!$C$114*(IF('Equipment List &amp; Usage'!$AE26&gt;0,'Weekly Summary'!AM$134,0)+IF('Equipment List &amp; Usage'!$AF26&gt;0,'Weekly Summary'!AM$135))),'Equipment List &amp; Usage'!$C$115*(('Weekly Summary'!AM$134*'Equipment List &amp; Usage'!$AE26)+('Weekly Summary'!AM$135*'Equipment List &amp; Usage'!$AF26)))),0)</f>
        <v>0</v>
      </c>
      <c r="AT24" s="1374">
        <f ca="1">MAX(IF($F24="Yes",(
IF($F24="yes",MMULT(--('Equipment List &amp; Usage'!$J26:$N26&gt;0),--('Weekly Summary'!AN$112:AN$116))*'Equipment List &amp; Usage'!$C$114,MMULT(--('Equipment List &amp; Usage'!$J26:$N26),--('Weekly Summary'!AN$112:AN$116))*'Equipment List &amp; Usage'!$C$115)+IF('Equipment List &amp; Usage'!$F25="yes",'Equipment List &amp; Usage'!$C$114,'Equipment List &amp; Usage'!$C$115)*(('Weekly Summary'!AN$66*'Equipment List &amp; Usage'!$Q26)+('Weekly Summary'!AN$64*'Equipment List &amp; Usage'!$O26)+('Weekly Summary'!AN$65*'Equipment List &amp; Usage'!$P26)))+(IF('Equipment List &amp; Usage'!$F26="Yes",'Equipment List &amp; Usage'!$C$114*((('Weekly Summary'!AN$131*SelfQuarantine_Mild)+('Weekly Summary'!AN$100*SelfQuarantine_Mild)+('Weekly Summary'!AN$101*SelfQuarantine_Moderate))),'Equipment List &amp; Usage'!$C$115)*((('Weekly Summary'!AN$131*SelfQuarantine_Mild*'Equipment List &amp; Usage'!$W26)+('Weekly Summary'!AN$100*SelfQuarantine_Mild*'Equipment List &amp; Usage'!$X26)+('Weekly Summary'!AN$101*SelfQuarantine_Moderate*'Equipment List &amp; Usage'!$X26)))+IF('Equipment List &amp; Usage'!$F26="Yes",'Equipment List &amp; Usage'!$C$114*(IF('Equipment List &amp; Usage'!$AA26&gt;0,'Weekly Summary'!AN$128,0)+IF('Equipment List &amp; Usage'!$AB26&gt;0,'Weekly Summary'!AN$100+'Weekly Summary'!AN$101,0)),'Equipment List &amp; Usage'!$C$115*(('Weekly Summary'!AN$128*'Equipment List &amp; Usage'!$AA26)+('Weekly Summary'!AN$100*'Equipment List &amp; Usage'!$AB26*SelfQuarantine_Mild)+('Weekly Summary'!AN$101*'Equipment List &amp; Usage'!$AB26*SelfQuarantine_Moderate)))+IF('Equipment List &amp; Usage'!$F26="Yes",('Equipment List &amp; Usage'!$C$114*(IF('Equipment List &amp; Usage'!$AE26&gt;0,'Weekly Summary'!AN$134,0)+IF('Equipment List &amp; Usage'!$AF26&gt;0,'Weekly Summary'!AN$135))),'Equipment List &amp; Usage'!$C$115*(('Weekly Summary'!AN$134*'Equipment List &amp; Usage'!$AE26)+('Weekly Summary'!AN$135*'Equipment List &amp; Usage'!$AF26))))-SUM($I24:AS24),
IF($F24="yes",MMULT(--('Equipment List &amp; Usage'!$J26:$N26&gt;0),--('Weekly Summary'!AN$112:AN$116))*'Equipment List &amp; Usage'!$C$114,MMULT(--('Equipment List &amp; Usage'!$J26:$N26),--('Weekly Summary'!AN$112:AN$116))*'Equipment List &amp; Usage'!$C$115)+IF('Equipment List &amp; Usage'!$F25="yes",'Equipment List &amp; Usage'!$C$114,'Equipment List &amp; Usage'!$C$115)*(('Weekly Summary'!AN$66*'Equipment List &amp; Usage'!$Q26)+('Weekly Summary'!AN$64*'Equipment List &amp; Usage'!$O26)+('Weekly Summary'!AN$65*'Equipment List &amp; Usage'!$P26))+(IF('Equipment List &amp; Usage'!$F26="Yes",'Equipment List &amp; Usage'!$C$114*((('Weekly Summary'!AN$131*SelfQuarantine_Mild)+('Weekly Summary'!AN$100*SelfQuarantine_Mild)+('Weekly Summary'!AN$101*SelfQuarantine_Moderate))),'Equipment List &amp; Usage'!$C$115)*((('Weekly Summary'!AN$131*SelfQuarantine_Mild*'Equipment List &amp; Usage'!$W26)+('Weekly Summary'!AN$100*SelfQuarantine_Mild*'Equipment List &amp; Usage'!$X26)+('Weekly Summary'!AN$101*SelfQuarantine_Moderate*'Equipment List &amp; Usage'!$X26))))+IF('Equipment List &amp; Usage'!$F26="Yes",'Equipment List &amp; Usage'!$C$114*(IF('Equipment List &amp; Usage'!$AA26&gt;0,'Weekly Summary'!AN$128,0)+IF('Equipment List &amp; Usage'!$AB26&gt;0,'Weekly Summary'!AN$100+'Weekly Summary'!AN$101,0)),'Equipment List &amp; Usage'!$C$115*(('Weekly Summary'!AN$128*'Equipment List &amp; Usage'!$AA26)+('Weekly Summary'!AN$100*'Equipment List &amp; Usage'!$AB26*SelfQuarantine_Mild)+('Weekly Summary'!AN$101*'Equipment List &amp; Usage'!$AB26*SelfQuarantine_Moderate)))+IF('Equipment List &amp; Usage'!$F26="Yes",('Equipment List &amp; Usage'!$C$114*(IF('Equipment List &amp; Usage'!$AE26&gt;0,'Weekly Summary'!AN$134,0)+IF('Equipment List &amp; Usage'!$AF26&gt;0,'Weekly Summary'!AN$135))),'Equipment List &amp; Usage'!$C$115*(('Weekly Summary'!AN$134*'Equipment List &amp; Usage'!$AE26)+('Weekly Summary'!AN$135*'Equipment List &amp; Usage'!$AF26)))),0)</f>
        <v>0</v>
      </c>
      <c r="AU24" s="1374">
        <f ca="1">MAX(IF($F24="Yes",(
IF($F24="yes",MMULT(--('Equipment List &amp; Usage'!$J26:$N26&gt;0),--('Weekly Summary'!AO$112:AO$116))*'Equipment List &amp; Usage'!$C$114,MMULT(--('Equipment List &amp; Usage'!$J26:$N26),--('Weekly Summary'!AO$112:AO$116))*'Equipment List &amp; Usage'!$C$115)+IF('Equipment List &amp; Usage'!$F25="yes",'Equipment List &amp; Usage'!$C$114,'Equipment List &amp; Usage'!$C$115)*(('Weekly Summary'!AO$66*'Equipment List &amp; Usage'!$Q26)+('Weekly Summary'!AO$64*'Equipment List &amp; Usage'!$O26)+('Weekly Summary'!AO$65*'Equipment List &amp; Usage'!$P26)))+(IF('Equipment List &amp; Usage'!$F26="Yes",'Equipment List &amp; Usage'!$C$114*((('Weekly Summary'!AO$131*SelfQuarantine_Mild)+('Weekly Summary'!AO$100*SelfQuarantine_Mild)+('Weekly Summary'!AO$101*SelfQuarantine_Moderate))),'Equipment List &amp; Usage'!$C$115)*((('Weekly Summary'!AO$131*SelfQuarantine_Mild*'Equipment List &amp; Usage'!$W26)+('Weekly Summary'!AO$100*SelfQuarantine_Mild*'Equipment List &amp; Usage'!$X26)+('Weekly Summary'!AO$101*SelfQuarantine_Moderate*'Equipment List &amp; Usage'!$X26)))+IF('Equipment List &amp; Usage'!$F26="Yes",'Equipment List &amp; Usage'!$C$114*(IF('Equipment List &amp; Usage'!$AA26&gt;0,'Weekly Summary'!AO$128,0)+IF('Equipment List &amp; Usage'!$AB26&gt;0,'Weekly Summary'!AO$100+'Weekly Summary'!AO$101,0)),'Equipment List &amp; Usage'!$C$115*(('Weekly Summary'!AO$128*'Equipment List &amp; Usage'!$AA26)+('Weekly Summary'!AO$100*'Equipment List &amp; Usage'!$AB26*SelfQuarantine_Mild)+('Weekly Summary'!AO$101*'Equipment List &amp; Usage'!$AB26*SelfQuarantine_Moderate)))+IF('Equipment List &amp; Usage'!$F26="Yes",('Equipment List &amp; Usage'!$C$114*(IF('Equipment List &amp; Usage'!$AE26&gt;0,'Weekly Summary'!AO$134,0)+IF('Equipment List &amp; Usage'!$AF26&gt;0,'Weekly Summary'!AO$135))),'Equipment List &amp; Usage'!$C$115*(('Weekly Summary'!AO$134*'Equipment List &amp; Usage'!$AE26)+('Weekly Summary'!AO$135*'Equipment List &amp; Usage'!$AF26))))-SUM($I24:AT24),
IF($F24="yes",MMULT(--('Equipment List &amp; Usage'!$J26:$N26&gt;0),--('Weekly Summary'!AO$112:AO$116))*'Equipment List &amp; Usage'!$C$114,MMULT(--('Equipment List &amp; Usage'!$J26:$N26),--('Weekly Summary'!AO$112:AO$116))*'Equipment List &amp; Usage'!$C$115)+IF('Equipment List &amp; Usage'!$F25="yes",'Equipment List &amp; Usage'!$C$114,'Equipment List &amp; Usage'!$C$115)*(('Weekly Summary'!AO$66*'Equipment List &amp; Usage'!$Q26)+('Weekly Summary'!AO$64*'Equipment List &amp; Usage'!$O26)+('Weekly Summary'!AO$65*'Equipment List &amp; Usage'!$P26))+(IF('Equipment List &amp; Usage'!$F26="Yes",'Equipment List &amp; Usage'!$C$114*((('Weekly Summary'!AO$131*SelfQuarantine_Mild)+('Weekly Summary'!AO$100*SelfQuarantine_Mild)+('Weekly Summary'!AO$101*SelfQuarantine_Moderate))),'Equipment List &amp; Usage'!$C$115)*((('Weekly Summary'!AO$131*SelfQuarantine_Mild*'Equipment List &amp; Usage'!$W26)+('Weekly Summary'!AO$100*SelfQuarantine_Mild*'Equipment List &amp; Usage'!$X26)+('Weekly Summary'!AO$101*SelfQuarantine_Moderate*'Equipment List &amp; Usage'!$X26))))+IF('Equipment List &amp; Usage'!$F26="Yes",'Equipment List &amp; Usage'!$C$114*(IF('Equipment List &amp; Usage'!$AA26&gt;0,'Weekly Summary'!AO$128,0)+IF('Equipment List &amp; Usage'!$AB26&gt;0,'Weekly Summary'!AO$100+'Weekly Summary'!AO$101,0)),'Equipment List &amp; Usage'!$C$115*(('Weekly Summary'!AO$128*'Equipment List &amp; Usage'!$AA26)+('Weekly Summary'!AO$100*'Equipment List &amp; Usage'!$AB26*SelfQuarantine_Mild)+('Weekly Summary'!AO$101*'Equipment List &amp; Usage'!$AB26*SelfQuarantine_Moderate)))+IF('Equipment List &amp; Usage'!$F26="Yes",('Equipment List &amp; Usage'!$C$114*(IF('Equipment List &amp; Usage'!$AE26&gt;0,'Weekly Summary'!AO$134,0)+IF('Equipment List &amp; Usage'!$AF26&gt;0,'Weekly Summary'!AO$135))),'Equipment List &amp; Usage'!$C$115*(('Weekly Summary'!AO$134*'Equipment List &amp; Usage'!$AE26)+('Weekly Summary'!AO$135*'Equipment List &amp; Usage'!$AF26)))),0)</f>
        <v>0</v>
      </c>
      <c r="AV24" s="1374">
        <f ca="1">MAX(IF($F24="Yes",(
IF($F24="yes",MMULT(--('Equipment List &amp; Usage'!$J26:$N26&gt;0),--('Weekly Summary'!AP$112:AP$116))*'Equipment List &amp; Usage'!$C$114,MMULT(--('Equipment List &amp; Usage'!$J26:$N26),--('Weekly Summary'!AP$112:AP$116))*'Equipment List &amp; Usage'!$C$115)+IF('Equipment List &amp; Usage'!$F25="yes",'Equipment List &amp; Usage'!$C$114,'Equipment List &amp; Usage'!$C$115)*(('Weekly Summary'!AP$66*'Equipment List &amp; Usage'!$Q26)+('Weekly Summary'!AP$64*'Equipment List &amp; Usage'!$O26)+('Weekly Summary'!AP$65*'Equipment List &amp; Usage'!$P26)))+(IF('Equipment List &amp; Usage'!$F26="Yes",'Equipment List &amp; Usage'!$C$114*((('Weekly Summary'!AP$131*SelfQuarantine_Mild)+('Weekly Summary'!AP$100*SelfQuarantine_Mild)+('Weekly Summary'!AP$101*SelfQuarantine_Moderate))),'Equipment List &amp; Usage'!$C$115)*((('Weekly Summary'!AP$131*SelfQuarantine_Mild*'Equipment List &amp; Usage'!$W26)+('Weekly Summary'!AP$100*SelfQuarantine_Mild*'Equipment List &amp; Usage'!$X26)+('Weekly Summary'!AP$101*SelfQuarantine_Moderate*'Equipment List &amp; Usage'!$X26)))+IF('Equipment List &amp; Usage'!$F26="Yes",'Equipment List &amp; Usage'!$C$114*(IF('Equipment List &amp; Usage'!$AA26&gt;0,'Weekly Summary'!AP$128,0)+IF('Equipment List &amp; Usage'!$AB26&gt;0,'Weekly Summary'!AP$100+'Weekly Summary'!AP$101,0)),'Equipment List &amp; Usage'!$C$115*(('Weekly Summary'!AP$128*'Equipment List &amp; Usage'!$AA26)+('Weekly Summary'!AP$100*'Equipment List &amp; Usage'!$AB26*SelfQuarantine_Mild)+('Weekly Summary'!AP$101*'Equipment List &amp; Usage'!$AB26*SelfQuarantine_Moderate)))+IF('Equipment List &amp; Usage'!$F26="Yes",('Equipment List &amp; Usage'!$C$114*(IF('Equipment List &amp; Usage'!$AE26&gt;0,'Weekly Summary'!AP$134,0)+IF('Equipment List &amp; Usage'!$AF26&gt;0,'Weekly Summary'!AP$135))),'Equipment List &amp; Usage'!$C$115*(('Weekly Summary'!AP$134*'Equipment List &amp; Usage'!$AE26)+('Weekly Summary'!AP$135*'Equipment List &amp; Usage'!$AF26))))-SUM($I24:AU24),
IF($F24="yes",MMULT(--('Equipment List &amp; Usage'!$J26:$N26&gt;0),--('Weekly Summary'!AP$112:AP$116))*'Equipment List &amp; Usage'!$C$114,MMULT(--('Equipment List &amp; Usage'!$J26:$N26),--('Weekly Summary'!AP$112:AP$116))*'Equipment List &amp; Usage'!$C$115)+IF('Equipment List &amp; Usage'!$F25="yes",'Equipment List &amp; Usage'!$C$114,'Equipment List &amp; Usage'!$C$115)*(('Weekly Summary'!AP$66*'Equipment List &amp; Usage'!$Q26)+('Weekly Summary'!AP$64*'Equipment List &amp; Usage'!$O26)+('Weekly Summary'!AP$65*'Equipment List &amp; Usage'!$P26))+(IF('Equipment List &amp; Usage'!$F26="Yes",'Equipment List &amp; Usage'!$C$114*((('Weekly Summary'!AP$131*SelfQuarantine_Mild)+('Weekly Summary'!AP$100*SelfQuarantine_Mild)+('Weekly Summary'!AP$101*SelfQuarantine_Moderate))),'Equipment List &amp; Usage'!$C$115)*((('Weekly Summary'!AP$131*SelfQuarantine_Mild*'Equipment List &amp; Usage'!$W26)+('Weekly Summary'!AP$100*SelfQuarantine_Mild*'Equipment List &amp; Usage'!$X26)+('Weekly Summary'!AP$101*SelfQuarantine_Moderate*'Equipment List &amp; Usage'!$X26))))+IF('Equipment List &amp; Usage'!$F26="Yes",'Equipment List &amp; Usage'!$C$114*(IF('Equipment List &amp; Usage'!$AA26&gt;0,'Weekly Summary'!AP$128,0)+IF('Equipment List &amp; Usage'!$AB26&gt;0,'Weekly Summary'!AP$100+'Weekly Summary'!AP$101,0)),'Equipment List &amp; Usage'!$C$115*(('Weekly Summary'!AP$128*'Equipment List &amp; Usage'!$AA26)+('Weekly Summary'!AP$100*'Equipment List &amp; Usage'!$AB26*SelfQuarantine_Mild)+('Weekly Summary'!AP$101*'Equipment List &amp; Usage'!$AB26*SelfQuarantine_Moderate)))+IF('Equipment List &amp; Usage'!$F26="Yes",('Equipment List &amp; Usage'!$C$114*(IF('Equipment List &amp; Usage'!$AE26&gt;0,'Weekly Summary'!AP$134,0)+IF('Equipment List &amp; Usage'!$AF26&gt;0,'Weekly Summary'!AP$135))),'Equipment List &amp; Usage'!$C$115*(('Weekly Summary'!AP$134*'Equipment List &amp; Usage'!$AE26)+('Weekly Summary'!AP$135*'Equipment List &amp; Usage'!$AF26)))),0)</f>
        <v>0</v>
      </c>
      <c r="AW24" s="1374">
        <f ca="1">MAX(IF($F24="Yes",(
IF($F24="yes",MMULT(--('Equipment List &amp; Usage'!$J26:$N26&gt;0),--('Weekly Summary'!AQ$112:AQ$116))*'Equipment List &amp; Usage'!$C$114,MMULT(--('Equipment List &amp; Usage'!$J26:$N26),--('Weekly Summary'!AQ$112:AQ$116))*'Equipment List &amp; Usage'!$C$115)+IF('Equipment List &amp; Usage'!$F25="yes",'Equipment List &amp; Usage'!$C$114,'Equipment List &amp; Usage'!$C$115)*(('Weekly Summary'!AQ$66*'Equipment List &amp; Usage'!$Q26)+('Weekly Summary'!AQ$64*'Equipment List &amp; Usage'!$O26)+('Weekly Summary'!AQ$65*'Equipment List &amp; Usage'!$P26)))+(IF('Equipment List &amp; Usage'!$F26="Yes",'Equipment List &amp; Usage'!$C$114*((('Weekly Summary'!AQ$131*SelfQuarantine_Mild)+('Weekly Summary'!AQ$100*SelfQuarantine_Mild)+('Weekly Summary'!AQ$101*SelfQuarantine_Moderate))),'Equipment List &amp; Usage'!$C$115)*((('Weekly Summary'!AQ$131*SelfQuarantine_Mild*'Equipment List &amp; Usage'!$W26)+('Weekly Summary'!AQ$100*SelfQuarantine_Mild*'Equipment List &amp; Usage'!$X26)+('Weekly Summary'!AQ$101*SelfQuarantine_Moderate*'Equipment List &amp; Usage'!$X26)))+IF('Equipment List &amp; Usage'!$F26="Yes",'Equipment List &amp; Usage'!$C$114*(IF('Equipment List &amp; Usage'!$AA26&gt;0,'Weekly Summary'!AQ$128,0)+IF('Equipment List &amp; Usage'!$AB26&gt;0,'Weekly Summary'!AQ$100+'Weekly Summary'!AQ$101,0)),'Equipment List &amp; Usage'!$C$115*(('Weekly Summary'!AQ$128*'Equipment List &amp; Usage'!$AA26)+('Weekly Summary'!AQ$100*'Equipment List &amp; Usage'!$AB26*SelfQuarantine_Mild)+('Weekly Summary'!AQ$101*'Equipment List &amp; Usage'!$AB26*SelfQuarantine_Moderate)))+IF('Equipment List &amp; Usage'!$F26="Yes",('Equipment List &amp; Usage'!$C$114*(IF('Equipment List &amp; Usage'!$AE26&gt;0,'Weekly Summary'!AQ$134,0)+IF('Equipment List &amp; Usage'!$AF26&gt;0,'Weekly Summary'!AQ$135))),'Equipment List &amp; Usage'!$C$115*(('Weekly Summary'!AQ$134*'Equipment List &amp; Usage'!$AE26)+('Weekly Summary'!AQ$135*'Equipment List &amp; Usage'!$AF26))))-SUM($I24:AV24),
IF($F24="yes",MMULT(--('Equipment List &amp; Usage'!$J26:$N26&gt;0),--('Weekly Summary'!AQ$112:AQ$116))*'Equipment List &amp; Usage'!$C$114,MMULT(--('Equipment List &amp; Usage'!$J26:$N26),--('Weekly Summary'!AQ$112:AQ$116))*'Equipment List &amp; Usage'!$C$115)+IF('Equipment List &amp; Usage'!$F25="yes",'Equipment List &amp; Usage'!$C$114,'Equipment List &amp; Usage'!$C$115)*(('Weekly Summary'!AQ$66*'Equipment List &amp; Usage'!$Q26)+('Weekly Summary'!AQ$64*'Equipment List &amp; Usage'!$O26)+('Weekly Summary'!AQ$65*'Equipment List &amp; Usage'!$P26))+(IF('Equipment List &amp; Usage'!$F26="Yes",'Equipment List &amp; Usage'!$C$114*((('Weekly Summary'!AQ$131*SelfQuarantine_Mild)+('Weekly Summary'!AQ$100*SelfQuarantine_Mild)+('Weekly Summary'!AQ$101*SelfQuarantine_Moderate))),'Equipment List &amp; Usage'!$C$115)*((('Weekly Summary'!AQ$131*SelfQuarantine_Mild*'Equipment List &amp; Usage'!$W26)+('Weekly Summary'!AQ$100*SelfQuarantine_Mild*'Equipment List &amp; Usage'!$X26)+('Weekly Summary'!AQ$101*SelfQuarantine_Moderate*'Equipment List &amp; Usage'!$X26))))+IF('Equipment List &amp; Usage'!$F26="Yes",'Equipment List &amp; Usage'!$C$114*(IF('Equipment List &amp; Usage'!$AA26&gt;0,'Weekly Summary'!AQ$128,0)+IF('Equipment List &amp; Usage'!$AB26&gt;0,'Weekly Summary'!AQ$100+'Weekly Summary'!AQ$101,0)),'Equipment List &amp; Usage'!$C$115*(('Weekly Summary'!AQ$128*'Equipment List &amp; Usage'!$AA26)+('Weekly Summary'!AQ$100*'Equipment List &amp; Usage'!$AB26*SelfQuarantine_Mild)+('Weekly Summary'!AQ$101*'Equipment List &amp; Usage'!$AB26*SelfQuarantine_Moderate)))+IF('Equipment List &amp; Usage'!$F26="Yes",('Equipment List &amp; Usage'!$C$114*(IF('Equipment List &amp; Usage'!$AE26&gt;0,'Weekly Summary'!AQ$134,0)+IF('Equipment List &amp; Usage'!$AF26&gt;0,'Weekly Summary'!AQ$135))),'Equipment List &amp; Usage'!$C$115*(('Weekly Summary'!AQ$134*'Equipment List &amp; Usage'!$AE26)+('Weekly Summary'!AQ$135*'Equipment List &amp; Usage'!$AF26)))),0)</f>
        <v>0</v>
      </c>
      <c r="AX24" s="1374">
        <f ca="1">MAX(IF($F24="Yes",(
IF($F24="yes",MMULT(--('Equipment List &amp; Usage'!$J26:$N26&gt;0),--('Weekly Summary'!AR$112:AR$116))*'Equipment List &amp; Usage'!$C$114,MMULT(--('Equipment List &amp; Usage'!$J26:$N26),--('Weekly Summary'!AR$112:AR$116))*'Equipment List &amp; Usage'!$C$115)+IF('Equipment List &amp; Usage'!$F25="yes",'Equipment List &amp; Usage'!$C$114,'Equipment List &amp; Usage'!$C$115)*(('Weekly Summary'!AR$66*'Equipment List &amp; Usage'!$Q26)+('Weekly Summary'!AR$64*'Equipment List &amp; Usage'!$O26)+('Weekly Summary'!AR$65*'Equipment List &amp; Usage'!$P26)))+(IF('Equipment List &amp; Usage'!$F26="Yes",'Equipment List &amp; Usage'!$C$114*((('Weekly Summary'!AR$131*SelfQuarantine_Mild)+('Weekly Summary'!AR$100*SelfQuarantine_Mild)+('Weekly Summary'!AR$101*SelfQuarantine_Moderate))),'Equipment List &amp; Usage'!$C$115)*((('Weekly Summary'!AR$131*SelfQuarantine_Mild*'Equipment List &amp; Usage'!$W26)+('Weekly Summary'!AR$100*SelfQuarantine_Mild*'Equipment List &amp; Usage'!$X26)+('Weekly Summary'!AR$101*SelfQuarantine_Moderate*'Equipment List &amp; Usage'!$X26)))+IF('Equipment List &amp; Usage'!$F26="Yes",'Equipment List &amp; Usage'!$C$114*(IF('Equipment List &amp; Usage'!$AA26&gt;0,'Weekly Summary'!AR$128,0)+IF('Equipment List &amp; Usage'!$AB26&gt;0,'Weekly Summary'!AR$100+'Weekly Summary'!AR$101,0)),'Equipment List &amp; Usage'!$C$115*(('Weekly Summary'!AR$128*'Equipment List &amp; Usage'!$AA26)+('Weekly Summary'!AR$100*'Equipment List &amp; Usage'!$AB26*SelfQuarantine_Mild)+('Weekly Summary'!AR$101*'Equipment List &amp; Usage'!$AB26*SelfQuarantine_Moderate)))+IF('Equipment List &amp; Usage'!$F26="Yes",('Equipment List &amp; Usage'!$C$114*(IF('Equipment List &amp; Usage'!$AE26&gt;0,'Weekly Summary'!AR$134,0)+IF('Equipment List &amp; Usage'!$AF26&gt;0,'Weekly Summary'!AR$135))),'Equipment List &amp; Usage'!$C$115*(('Weekly Summary'!AR$134*'Equipment List &amp; Usage'!$AE26)+('Weekly Summary'!AR$135*'Equipment List &amp; Usage'!$AF26))))-SUM($I24:AW24),
IF($F24="yes",MMULT(--('Equipment List &amp; Usage'!$J26:$N26&gt;0),--('Weekly Summary'!AR$112:AR$116))*'Equipment List &amp; Usage'!$C$114,MMULT(--('Equipment List &amp; Usage'!$J26:$N26),--('Weekly Summary'!AR$112:AR$116))*'Equipment List &amp; Usage'!$C$115)+IF('Equipment List &amp; Usage'!$F25="yes",'Equipment List &amp; Usage'!$C$114,'Equipment List &amp; Usage'!$C$115)*(('Weekly Summary'!AR$66*'Equipment List &amp; Usage'!$Q26)+('Weekly Summary'!AR$64*'Equipment List &amp; Usage'!$O26)+('Weekly Summary'!AR$65*'Equipment List &amp; Usage'!$P26))+(IF('Equipment List &amp; Usage'!$F26="Yes",'Equipment List &amp; Usage'!$C$114*((('Weekly Summary'!AR$131*SelfQuarantine_Mild)+('Weekly Summary'!AR$100*SelfQuarantine_Mild)+('Weekly Summary'!AR$101*SelfQuarantine_Moderate))),'Equipment List &amp; Usage'!$C$115)*((('Weekly Summary'!AR$131*SelfQuarantine_Mild*'Equipment List &amp; Usage'!$W26)+('Weekly Summary'!AR$100*SelfQuarantine_Mild*'Equipment List &amp; Usage'!$X26)+('Weekly Summary'!AR$101*SelfQuarantine_Moderate*'Equipment List &amp; Usage'!$X26))))+IF('Equipment List &amp; Usage'!$F26="Yes",'Equipment List &amp; Usage'!$C$114*(IF('Equipment List &amp; Usage'!$AA26&gt;0,'Weekly Summary'!AR$128,0)+IF('Equipment List &amp; Usage'!$AB26&gt;0,'Weekly Summary'!AR$100+'Weekly Summary'!AR$101,0)),'Equipment List &amp; Usage'!$C$115*(('Weekly Summary'!AR$128*'Equipment List &amp; Usage'!$AA26)+('Weekly Summary'!AR$100*'Equipment List &amp; Usage'!$AB26*SelfQuarantine_Mild)+('Weekly Summary'!AR$101*'Equipment List &amp; Usage'!$AB26*SelfQuarantine_Moderate)))+IF('Equipment List &amp; Usage'!$F26="Yes",('Equipment List &amp; Usage'!$C$114*(IF('Equipment List &amp; Usage'!$AE26&gt;0,'Weekly Summary'!AR$134,0)+IF('Equipment List &amp; Usage'!$AF26&gt;0,'Weekly Summary'!AR$135))),'Equipment List &amp; Usage'!$C$115*(('Weekly Summary'!AR$134*'Equipment List &amp; Usage'!$AE26)+('Weekly Summary'!AR$135*'Equipment List &amp; Usage'!$AF26)))),0)</f>
        <v>0</v>
      </c>
      <c r="AY24" s="1374">
        <f ca="1">MAX(IF($F24="Yes",(
IF($F24="yes",MMULT(--('Equipment List &amp; Usage'!$J26:$N26&gt;0),--('Weekly Summary'!AS$112:AS$116))*'Equipment List &amp; Usage'!$C$114,MMULT(--('Equipment List &amp; Usage'!$J26:$N26),--('Weekly Summary'!AS$112:AS$116))*'Equipment List &amp; Usage'!$C$115)+IF('Equipment List &amp; Usage'!$F25="yes",'Equipment List &amp; Usage'!$C$114,'Equipment List &amp; Usage'!$C$115)*(('Weekly Summary'!AS$66*'Equipment List &amp; Usage'!$Q26)+('Weekly Summary'!AS$64*'Equipment List &amp; Usage'!$O26)+('Weekly Summary'!AS$65*'Equipment List &amp; Usage'!$P26)))+(IF('Equipment List &amp; Usage'!$F26="Yes",'Equipment List &amp; Usage'!$C$114*((('Weekly Summary'!AS$131*SelfQuarantine_Mild)+('Weekly Summary'!AS$100*SelfQuarantine_Mild)+('Weekly Summary'!AS$101*SelfQuarantine_Moderate))),'Equipment List &amp; Usage'!$C$115)*((('Weekly Summary'!AS$131*SelfQuarantine_Mild*'Equipment List &amp; Usage'!$W26)+('Weekly Summary'!AS$100*SelfQuarantine_Mild*'Equipment List &amp; Usage'!$X26)+('Weekly Summary'!AS$101*SelfQuarantine_Moderate*'Equipment List &amp; Usage'!$X26)))+IF('Equipment List &amp; Usage'!$F26="Yes",'Equipment List &amp; Usage'!$C$114*(IF('Equipment List &amp; Usage'!$AA26&gt;0,'Weekly Summary'!AS$128,0)+IF('Equipment List &amp; Usage'!$AB26&gt;0,'Weekly Summary'!AS$100+'Weekly Summary'!AS$101,0)),'Equipment List &amp; Usage'!$C$115*(('Weekly Summary'!AS$128*'Equipment List &amp; Usage'!$AA26)+('Weekly Summary'!AS$100*'Equipment List &amp; Usage'!$AB26*SelfQuarantine_Mild)+('Weekly Summary'!AS$101*'Equipment List &amp; Usage'!$AB26*SelfQuarantine_Moderate)))+IF('Equipment List &amp; Usage'!$F26="Yes",('Equipment List &amp; Usage'!$C$114*(IF('Equipment List &amp; Usage'!$AE26&gt;0,'Weekly Summary'!AS$134,0)+IF('Equipment List &amp; Usage'!$AF26&gt;0,'Weekly Summary'!AS$135))),'Equipment List &amp; Usage'!$C$115*(('Weekly Summary'!AS$134*'Equipment List &amp; Usage'!$AE26)+('Weekly Summary'!AS$135*'Equipment List &amp; Usage'!$AF26))))-SUM($I24:AX24),
IF($F24="yes",MMULT(--('Equipment List &amp; Usage'!$J26:$N26&gt;0),--('Weekly Summary'!AS$112:AS$116))*'Equipment List &amp; Usage'!$C$114,MMULT(--('Equipment List &amp; Usage'!$J26:$N26),--('Weekly Summary'!AS$112:AS$116))*'Equipment List &amp; Usage'!$C$115)+IF('Equipment List &amp; Usage'!$F25="yes",'Equipment List &amp; Usage'!$C$114,'Equipment List &amp; Usage'!$C$115)*(('Weekly Summary'!AS$66*'Equipment List &amp; Usage'!$Q26)+('Weekly Summary'!AS$64*'Equipment List &amp; Usage'!$O26)+('Weekly Summary'!AS$65*'Equipment List &amp; Usage'!$P26))+(IF('Equipment List &amp; Usage'!$F26="Yes",'Equipment List &amp; Usage'!$C$114*((('Weekly Summary'!AS$131*SelfQuarantine_Mild)+('Weekly Summary'!AS$100*SelfQuarantine_Mild)+('Weekly Summary'!AS$101*SelfQuarantine_Moderate))),'Equipment List &amp; Usage'!$C$115)*((('Weekly Summary'!AS$131*SelfQuarantine_Mild*'Equipment List &amp; Usage'!$W26)+('Weekly Summary'!AS$100*SelfQuarantine_Mild*'Equipment List &amp; Usage'!$X26)+('Weekly Summary'!AS$101*SelfQuarantine_Moderate*'Equipment List &amp; Usage'!$X26))))+IF('Equipment List &amp; Usage'!$F26="Yes",'Equipment List &amp; Usage'!$C$114*(IF('Equipment List &amp; Usage'!$AA26&gt;0,'Weekly Summary'!AS$128,0)+IF('Equipment List &amp; Usage'!$AB26&gt;0,'Weekly Summary'!AS$100+'Weekly Summary'!AS$101,0)),'Equipment List &amp; Usage'!$C$115*(('Weekly Summary'!AS$128*'Equipment List &amp; Usage'!$AA26)+('Weekly Summary'!AS$100*'Equipment List &amp; Usage'!$AB26*SelfQuarantine_Mild)+('Weekly Summary'!AS$101*'Equipment List &amp; Usage'!$AB26*SelfQuarantine_Moderate)))+IF('Equipment List &amp; Usage'!$F26="Yes",('Equipment List &amp; Usage'!$C$114*(IF('Equipment List &amp; Usage'!$AE26&gt;0,'Weekly Summary'!AS$134,0)+IF('Equipment List &amp; Usage'!$AF26&gt;0,'Weekly Summary'!AS$135))),'Equipment List &amp; Usage'!$C$115*(('Weekly Summary'!AS$134*'Equipment List &amp; Usage'!$AE26)+('Weekly Summary'!AS$135*'Equipment List &amp; Usage'!$AF26)))),0)</f>
        <v>0</v>
      </c>
      <c r="AZ24" s="1374">
        <f ca="1">MAX(IF($F24="Yes",(
IF($F24="yes",MMULT(--('Equipment List &amp; Usage'!$J26:$N26&gt;0),--('Weekly Summary'!AT$112:AT$116))*'Equipment List &amp; Usage'!$C$114,MMULT(--('Equipment List &amp; Usage'!$J26:$N26),--('Weekly Summary'!AT$112:AT$116))*'Equipment List &amp; Usage'!$C$115)+IF('Equipment List &amp; Usage'!$F25="yes",'Equipment List &amp; Usage'!$C$114,'Equipment List &amp; Usage'!$C$115)*(('Weekly Summary'!AT$66*'Equipment List &amp; Usage'!$Q26)+('Weekly Summary'!AT$64*'Equipment List &amp; Usage'!$O26)+('Weekly Summary'!AT$65*'Equipment List &amp; Usage'!$P26)))+(IF('Equipment List &amp; Usage'!$F26="Yes",'Equipment List &amp; Usage'!$C$114*((('Weekly Summary'!AT$131*SelfQuarantine_Mild)+('Weekly Summary'!AT$100*SelfQuarantine_Mild)+('Weekly Summary'!AT$101*SelfQuarantine_Moderate))),'Equipment List &amp; Usage'!$C$115)*((('Weekly Summary'!AT$131*SelfQuarantine_Mild*'Equipment List &amp; Usage'!$W26)+('Weekly Summary'!AT$100*SelfQuarantine_Mild*'Equipment List &amp; Usage'!$X26)+('Weekly Summary'!AT$101*SelfQuarantine_Moderate*'Equipment List &amp; Usage'!$X26)))+IF('Equipment List &amp; Usage'!$F26="Yes",'Equipment List &amp; Usage'!$C$114*(IF('Equipment List &amp; Usage'!$AA26&gt;0,'Weekly Summary'!AT$128,0)+IF('Equipment List &amp; Usage'!$AB26&gt;0,'Weekly Summary'!AT$100+'Weekly Summary'!AT$101,0)),'Equipment List &amp; Usage'!$C$115*(('Weekly Summary'!AT$128*'Equipment List &amp; Usage'!$AA26)+('Weekly Summary'!AT$100*'Equipment List &amp; Usage'!$AB26*SelfQuarantine_Mild)+('Weekly Summary'!AT$101*'Equipment List &amp; Usage'!$AB26*SelfQuarantine_Moderate)))+IF('Equipment List &amp; Usage'!$F26="Yes",('Equipment List &amp; Usage'!$C$114*(IF('Equipment List &amp; Usage'!$AE26&gt;0,'Weekly Summary'!AT$134,0)+IF('Equipment List &amp; Usage'!$AF26&gt;0,'Weekly Summary'!AT$135))),'Equipment List &amp; Usage'!$C$115*(('Weekly Summary'!AT$134*'Equipment List &amp; Usage'!$AE26)+('Weekly Summary'!AT$135*'Equipment List &amp; Usage'!$AF26))))-SUM($I24:AY24),
IF($F24="yes",MMULT(--('Equipment List &amp; Usage'!$J26:$N26&gt;0),--('Weekly Summary'!AT$112:AT$116))*'Equipment List &amp; Usage'!$C$114,MMULT(--('Equipment List &amp; Usage'!$J26:$N26),--('Weekly Summary'!AT$112:AT$116))*'Equipment List &amp; Usage'!$C$115)+IF('Equipment List &amp; Usage'!$F25="yes",'Equipment List &amp; Usage'!$C$114,'Equipment List &amp; Usage'!$C$115)*(('Weekly Summary'!AT$66*'Equipment List &amp; Usage'!$Q26)+('Weekly Summary'!AT$64*'Equipment List &amp; Usage'!$O26)+('Weekly Summary'!AT$65*'Equipment List &amp; Usage'!$P26))+(IF('Equipment List &amp; Usage'!$F26="Yes",'Equipment List &amp; Usage'!$C$114*((('Weekly Summary'!AT$131*SelfQuarantine_Mild)+('Weekly Summary'!AT$100*SelfQuarantine_Mild)+('Weekly Summary'!AT$101*SelfQuarantine_Moderate))),'Equipment List &amp; Usage'!$C$115)*((('Weekly Summary'!AT$131*SelfQuarantine_Mild*'Equipment List &amp; Usage'!$W26)+('Weekly Summary'!AT$100*SelfQuarantine_Mild*'Equipment List &amp; Usage'!$X26)+('Weekly Summary'!AT$101*SelfQuarantine_Moderate*'Equipment List &amp; Usage'!$X26))))+IF('Equipment List &amp; Usage'!$F26="Yes",'Equipment List &amp; Usage'!$C$114*(IF('Equipment List &amp; Usage'!$AA26&gt;0,'Weekly Summary'!AT$128,0)+IF('Equipment List &amp; Usage'!$AB26&gt;0,'Weekly Summary'!AT$100+'Weekly Summary'!AT$101,0)),'Equipment List &amp; Usage'!$C$115*(('Weekly Summary'!AT$128*'Equipment List &amp; Usage'!$AA26)+('Weekly Summary'!AT$100*'Equipment List &amp; Usage'!$AB26*SelfQuarantine_Mild)+('Weekly Summary'!AT$101*'Equipment List &amp; Usage'!$AB26*SelfQuarantine_Moderate)))+IF('Equipment List &amp; Usage'!$F26="Yes",('Equipment List &amp; Usage'!$C$114*(IF('Equipment List &amp; Usage'!$AE26&gt;0,'Weekly Summary'!AT$134,0)+IF('Equipment List &amp; Usage'!$AF26&gt;0,'Weekly Summary'!AT$135))),'Equipment List &amp; Usage'!$C$115*(('Weekly Summary'!AT$134*'Equipment List &amp; Usage'!$AE26)+('Weekly Summary'!AT$135*'Equipment List &amp; Usage'!$AF26)))),0)</f>
        <v>0</v>
      </c>
      <c r="BA24" s="1374">
        <f ca="1">MAX(IF($F24="Yes",(
IF($F24="yes",MMULT(--('Equipment List &amp; Usage'!$J26:$N26&gt;0),--('Weekly Summary'!AU$112:AU$116))*'Equipment List &amp; Usage'!$C$114,MMULT(--('Equipment List &amp; Usage'!$J26:$N26),--('Weekly Summary'!AU$112:AU$116))*'Equipment List &amp; Usage'!$C$115)+IF('Equipment List &amp; Usage'!$F25="yes",'Equipment List &amp; Usage'!$C$114,'Equipment List &amp; Usage'!$C$115)*(('Weekly Summary'!AU$66*'Equipment List &amp; Usage'!$Q26)+('Weekly Summary'!AU$64*'Equipment List &amp; Usage'!$O26)+('Weekly Summary'!AU$65*'Equipment List &amp; Usage'!$P26)))+(IF('Equipment List &amp; Usage'!$F26="Yes",'Equipment List &amp; Usage'!$C$114*((('Weekly Summary'!AU$131*SelfQuarantine_Mild)+('Weekly Summary'!AU$100*SelfQuarantine_Mild)+('Weekly Summary'!AU$101*SelfQuarantine_Moderate))),'Equipment List &amp; Usage'!$C$115)*((('Weekly Summary'!AU$131*SelfQuarantine_Mild*'Equipment List &amp; Usage'!$W26)+('Weekly Summary'!AU$100*SelfQuarantine_Mild*'Equipment List &amp; Usage'!$X26)+('Weekly Summary'!AU$101*SelfQuarantine_Moderate*'Equipment List &amp; Usage'!$X26)))+IF('Equipment List &amp; Usage'!$F26="Yes",'Equipment List &amp; Usage'!$C$114*(IF('Equipment List &amp; Usage'!$AA26&gt;0,'Weekly Summary'!AU$128,0)+IF('Equipment List &amp; Usage'!$AB26&gt;0,'Weekly Summary'!AU$100+'Weekly Summary'!AU$101,0)),'Equipment List &amp; Usage'!$C$115*(('Weekly Summary'!AU$128*'Equipment List &amp; Usage'!$AA26)+('Weekly Summary'!AU$100*'Equipment List &amp; Usage'!$AB26*SelfQuarantine_Mild)+('Weekly Summary'!AU$101*'Equipment List &amp; Usage'!$AB26*SelfQuarantine_Moderate)))+IF('Equipment List &amp; Usage'!$F26="Yes",('Equipment List &amp; Usage'!$C$114*(IF('Equipment List &amp; Usage'!$AE26&gt;0,'Weekly Summary'!AU$134,0)+IF('Equipment List &amp; Usage'!$AF26&gt;0,'Weekly Summary'!AU$135))),'Equipment List &amp; Usage'!$C$115*(('Weekly Summary'!AU$134*'Equipment List &amp; Usage'!$AE26)+('Weekly Summary'!AU$135*'Equipment List &amp; Usage'!$AF26))))-SUM($I24:AZ24),
IF($F24="yes",MMULT(--('Equipment List &amp; Usage'!$J26:$N26&gt;0),--('Weekly Summary'!AU$112:AU$116))*'Equipment List &amp; Usage'!$C$114,MMULT(--('Equipment List &amp; Usage'!$J26:$N26),--('Weekly Summary'!AU$112:AU$116))*'Equipment List &amp; Usage'!$C$115)+IF('Equipment List &amp; Usage'!$F25="yes",'Equipment List &amp; Usage'!$C$114,'Equipment List &amp; Usage'!$C$115)*(('Weekly Summary'!AU$66*'Equipment List &amp; Usage'!$Q26)+('Weekly Summary'!AU$64*'Equipment List &amp; Usage'!$O26)+('Weekly Summary'!AU$65*'Equipment List &amp; Usage'!$P26))+(IF('Equipment List &amp; Usage'!$F26="Yes",'Equipment List &amp; Usage'!$C$114*((('Weekly Summary'!AU$131*SelfQuarantine_Mild)+('Weekly Summary'!AU$100*SelfQuarantine_Mild)+('Weekly Summary'!AU$101*SelfQuarantine_Moderate))),'Equipment List &amp; Usage'!$C$115)*((('Weekly Summary'!AU$131*SelfQuarantine_Mild*'Equipment List &amp; Usage'!$W26)+('Weekly Summary'!AU$100*SelfQuarantine_Mild*'Equipment List &amp; Usage'!$X26)+('Weekly Summary'!AU$101*SelfQuarantine_Moderate*'Equipment List &amp; Usage'!$X26))))+IF('Equipment List &amp; Usage'!$F26="Yes",'Equipment List &amp; Usage'!$C$114*(IF('Equipment List &amp; Usage'!$AA26&gt;0,'Weekly Summary'!AU$128,0)+IF('Equipment List &amp; Usage'!$AB26&gt;0,'Weekly Summary'!AU$100+'Weekly Summary'!AU$101,0)),'Equipment List &amp; Usage'!$C$115*(('Weekly Summary'!AU$128*'Equipment List &amp; Usage'!$AA26)+('Weekly Summary'!AU$100*'Equipment List &amp; Usage'!$AB26*SelfQuarantine_Mild)+('Weekly Summary'!AU$101*'Equipment List &amp; Usage'!$AB26*SelfQuarantine_Moderate)))+IF('Equipment List &amp; Usage'!$F26="Yes",('Equipment List &amp; Usage'!$C$114*(IF('Equipment List &amp; Usage'!$AE26&gt;0,'Weekly Summary'!AU$134,0)+IF('Equipment List &amp; Usage'!$AF26&gt;0,'Weekly Summary'!AU$135))),'Equipment List &amp; Usage'!$C$115*(('Weekly Summary'!AU$134*'Equipment List &amp; Usage'!$AE26)+('Weekly Summary'!AU$135*'Equipment List &amp; Usage'!$AF26)))),0)</f>
        <v>0</v>
      </c>
      <c r="BB24" s="1374">
        <f ca="1">MAX(IF($F24="Yes",(
IF($F24="yes",MMULT(--('Equipment List &amp; Usage'!$J26:$N26&gt;0),--('Weekly Summary'!AV$112:AV$116))*'Equipment List &amp; Usage'!$C$114,MMULT(--('Equipment List &amp; Usage'!$J26:$N26),--('Weekly Summary'!AV$112:AV$116))*'Equipment List &amp; Usage'!$C$115)+IF('Equipment List &amp; Usage'!$F25="yes",'Equipment List &amp; Usage'!$C$114,'Equipment List &amp; Usage'!$C$115)*(('Weekly Summary'!AV$66*'Equipment List &amp; Usage'!$Q26)+('Weekly Summary'!AV$64*'Equipment List &amp; Usage'!$O26)+('Weekly Summary'!AV$65*'Equipment List &amp; Usage'!$P26)))+(IF('Equipment List &amp; Usage'!$F26="Yes",'Equipment List &amp; Usage'!$C$114*((('Weekly Summary'!AV$131*SelfQuarantine_Mild)+('Weekly Summary'!AV$100*SelfQuarantine_Mild)+('Weekly Summary'!AV$101*SelfQuarantine_Moderate))),'Equipment List &amp; Usage'!$C$115)*((('Weekly Summary'!AV$131*SelfQuarantine_Mild*'Equipment List &amp; Usage'!$W26)+('Weekly Summary'!AV$100*SelfQuarantine_Mild*'Equipment List &amp; Usage'!$X26)+('Weekly Summary'!AV$101*SelfQuarantine_Moderate*'Equipment List &amp; Usage'!$X26)))+IF('Equipment List &amp; Usage'!$F26="Yes",'Equipment List &amp; Usage'!$C$114*(IF('Equipment List &amp; Usage'!$AA26&gt;0,'Weekly Summary'!AV$128,0)+IF('Equipment List &amp; Usage'!$AB26&gt;0,'Weekly Summary'!AV$100+'Weekly Summary'!AV$101,0)),'Equipment List &amp; Usage'!$C$115*(('Weekly Summary'!AV$128*'Equipment List &amp; Usage'!$AA26)+('Weekly Summary'!AV$100*'Equipment List &amp; Usage'!$AB26*SelfQuarantine_Mild)+('Weekly Summary'!AV$101*'Equipment List &amp; Usage'!$AB26*SelfQuarantine_Moderate)))+IF('Equipment List &amp; Usage'!$F26="Yes",('Equipment List &amp; Usage'!$C$114*(IF('Equipment List &amp; Usage'!$AE26&gt;0,'Weekly Summary'!AV$134,0)+IF('Equipment List &amp; Usage'!$AF26&gt;0,'Weekly Summary'!AV$135))),'Equipment List &amp; Usage'!$C$115*(('Weekly Summary'!AV$134*'Equipment List &amp; Usage'!$AE26)+('Weekly Summary'!AV$135*'Equipment List &amp; Usage'!$AF26))))-SUM($I24:BA24),
IF($F24="yes",MMULT(--('Equipment List &amp; Usage'!$J26:$N26&gt;0),--('Weekly Summary'!AV$112:AV$116))*'Equipment List &amp; Usage'!$C$114,MMULT(--('Equipment List &amp; Usage'!$J26:$N26),--('Weekly Summary'!AV$112:AV$116))*'Equipment List &amp; Usage'!$C$115)+IF('Equipment List &amp; Usage'!$F25="yes",'Equipment List &amp; Usage'!$C$114,'Equipment List &amp; Usage'!$C$115)*(('Weekly Summary'!AV$66*'Equipment List &amp; Usage'!$Q26)+('Weekly Summary'!AV$64*'Equipment List &amp; Usage'!$O26)+('Weekly Summary'!AV$65*'Equipment List &amp; Usage'!$P26))+(IF('Equipment List &amp; Usage'!$F26="Yes",'Equipment List &amp; Usage'!$C$114*((('Weekly Summary'!AV$131*SelfQuarantine_Mild)+('Weekly Summary'!AV$100*SelfQuarantine_Mild)+('Weekly Summary'!AV$101*SelfQuarantine_Moderate))),'Equipment List &amp; Usage'!$C$115)*((('Weekly Summary'!AV$131*SelfQuarantine_Mild*'Equipment List &amp; Usage'!$W26)+('Weekly Summary'!AV$100*SelfQuarantine_Mild*'Equipment List &amp; Usage'!$X26)+('Weekly Summary'!AV$101*SelfQuarantine_Moderate*'Equipment List &amp; Usage'!$X26))))+IF('Equipment List &amp; Usage'!$F26="Yes",'Equipment List &amp; Usage'!$C$114*(IF('Equipment List &amp; Usage'!$AA26&gt;0,'Weekly Summary'!AV$128,0)+IF('Equipment List &amp; Usage'!$AB26&gt;0,'Weekly Summary'!AV$100+'Weekly Summary'!AV$101,0)),'Equipment List &amp; Usage'!$C$115*(('Weekly Summary'!AV$128*'Equipment List &amp; Usage'!$AA26)+('Weekly Summary'!AV$100*'Equipment List &amp; Usage'!$AB26*SelfQuarantine_Mild)+('Weekly Summary'!AV$101*'Equipment List &amp; Usage'!$AB26*SelfQuarantine_Moderate)))+IF('Equipment List &amp; Usage'!$F26="Yes",('Equipment List &amp; Usage'!$C$114*(IF('Equipment List &amp; Usage'!$AE26&gt;0,'Weekly Summary'!AV$134,0)+IF('Equipment List &amp; Usage'!$AF26&gt;0,'Weekly Summary'!AV$135))),'Equipment List &amp; Usage'!$C$115*(('Weekly Summary'!AV$134*'Equipment List &amp; Usage'!$AE26)+('Weekly Summary'!AV$135*'Equipment List &amp; Usage'!$AF26)))),0)</f>
        <v>0</v>
      </c>
      <c r="BC24" s="1374">
        <f ca="1">MAX(IF($F24="Yes",(
IF($F24="yes",MMULT(--('Equipment List &amp; Usage'!$J26:$N26&gt;0),--('Weekly Summary'!AW$112:AW$116))*'Equipment List &amp; Usage'!$C$114,MMULT(--('Equipment List &amp; Usage'!$J26:$N26),--('Weekly Summary'!AW$112:AW$116))*'Equipment List &amp; Usage'!$C$115)+IF('Equipment List &amp; Usage'!$F25="yes",'Equipment List &amp; Usage'!$C$114,'Equipment List &amp; Usage'!$C$115)*(('Weekly Summary'!AW$66*'Equipment List &amp; Usage'!$Q26)+('Weekly Summary'!AW$64*'Equipment List &amp; Usage'!$O26)+('Weekly Summary'!AW$65*'Equipment List &amp; Usage'!$P26)))+(IF('Equipment List &amp; Usage'!$F26="Yes",'Equipment List &amp; Usage'!$C$114*((('Weekly Summary'!AW$131*SelfQuarantine_Mild)+('Weekly Summary'!AW$100*SelfQuarantine_Mild)+('Weekly Summary'!AW$101*SelfQuarantine_Moderate))),'Equipment List &amp; Usage'!$C$115)*((('Weekly Summary'!AW$131*SelfQuarantine_Mild*'Equipment List &amp; Usage'!$W26)+('Weekly Summary'!AW$100*SelfQuarantine_Mild*'Equipment List &amp; Usage'!$X26)+('Weekly Summary'!AW$101*SelfQuarantine_Moderate*'Equipment List &amp; Usage'!$X26)))+IF('Equipment List &amp; Usage'!$F26="Yes",'Equipment List &amp; Usage'!$C$114*(IF('Equipment List &amp; Usage'!$AA26&gt;0,'Weekly Summary'!AW$128,0)+IF('Equipment List &amp; Usage'!$AB26&gt;0,'Weekly Summary'!AW$100+'Weekly Summary'!AW$101,0)),'Equipment List &amp; Usage'!$C$115*(('Weekly Summary'!AW$128*'Equipment List &amp; Usage'!$AA26)+('Weekly Summary'!AW$100*'Equipment List &amp; Usage'!$AB26*SelfQuarantine_Mild)+('Weekly Summary'!AW$101*'Equipment List &amp; Usage'!$AB26*SelfQuarantine_Moderate)))+IF('Equipment List &amp; Usage'!$F26="Yes",('Equipment List &amp; Usage'!$C$114*(IF('Equipment List &amp; Usage'!$AE26&gt;0,'Weekly Summary'!AW$134,0)+IF('Equipment List &amp; Usage'!$AF26&gt;0,'Weekly Summary'!AW$135))),'Equipment List &amp; Usage'!$C$115*(('Weekly Summary'!AW$134*'Equipment List &amp; Usage'!$AE26)+('Weekly Summary'!AW$135*'Equipment List &amp; Usage'!$AF26))))-SUM($I24:BB24),
IF($F24="yes",MMULT(--('Equipment List &amp; Usage'!$J26:$N26&gt;0),--('Weekly Summary'!AW$112:AW$116))*'Equipment List &amp; Usage'!$C$114,MMULT(--('Equipment List &amp; Usage'!$J26:$N26),--('Weekly Summary'!AW$112:AW$116))*'Equipment List &amp; Usage'!$C$115)+IF('Equipment List &amp; Usage'!$F25="yes",'Equipment List &amp; Usage'!$C$114,'Equipment List &amp; Usage'!$C$115)*(('Weekly Summary'!AW$66*'Equipment List &amp; Usage'!$Q26)+('Weekly Summary'!AW$64*'Equipment List &amp; Usage'!$O26)+('Weekly Summary'!AW$65*'Equipment List &amp; Usage'!$P26))+(IF('Equipment List &amp; Usage'!$F26="Yes",'Equipment List &amp; Usage'!$C$114*((('Weekly Summary'!AW$131*SelfQuarantine_Mild)+('Weekly Summary'!AW$100*SelfQuarantine_Mild)+('Weekly Summary'!AW$101*SelfQuarantine_Moderate))),'Equipment List &amp; Usage'!$C$115)*((('Weekly Summary'!AW$131*SelfQuarantine_Mild*'Equipment List &amp; Usage'!$W26)+('Weekly Summary'!AW$100*SelfQuarantine_Mild*'Equipment List &amp; Usage'!$X26)+('Weekly Summary'!AW$101*SelfQuarantine_Moderate*'Equipment List &amp; Usage'!$X26))))+IF('Equipment List &amp; Usage'!$F26="Yes",'Equipment List &amp; Usage'!$C$114*(IF('Equipment List &amp; Usage'!$AA26&gt;0,'Weekly Summary'!AW$128,0)+IF('Equipment List &amp; Usage'!$AB26&gt;0,'Weekly Summary'!AW$100+'Weekly Summary'!AW$101,0)),'Equipment List &amp; Usage'!$C$115*(('Weekly Summary'!AW$128*'Equipment List &amp; Usage'!$AA26)+('Weekly Summary'!AW$100*'Equipment List &amp; Usage'!$AB26*SelfQuarantine_Mild)+('Weekly Summary'!AW$101*'Equipment List &amp; Usage'!$AB26*SelfQuarantine_Moderate)))+IF('Equipment List &amp; Usage'!$F26="Yes",('Equipment List &amp; Usage'!$C$114*(IF('Equipment List &amp; Usage'!$AE26&gt;0,'Weekly Summary'!AW$134,0)+IF('Equipment List &amp; Usage'!$AF26&gt;0,'Weekly Summary'!AW$135))),'Equipment List &amp; Usage'!$C$115*(('Weekly Summary'!AW$134*'Equipment List &amp; Usage'!$AE26)+('Weekly Summary'!AW$135*'Equipment List &amp; Usage'!$AF26)))),0)</f>
        <v>0</v>
      </c>
      <c r="BD24" s="1374">
        <f ca="1">MAX(IF($F24="Yes",(
IF($F24="yes",MMULT(--('Equipment List &amp; Usage'!$J26:$N26&gt;0),--('Weekly Summary'!AX$112:AX$116))*'Equipment List &amp; Usage'!$C$114,MMULT(--('Equipment List &amp; Usage'!$J26:$N26),--('Weekly Summary'!AX$112:AX$116))*'Equipment List &amp; Usage'!$C$115)+IF('Equipment List &amp; Usage'!$F25="yes",'Equipment List &amp; Usage'!$C$114,'Equipment List &amp; Usage'!$C$115)*(('Weekly Summary'!AX$66*'Equipment List &amp; Usage'!$Q26)+('Weekly Summary'!AX$64*'Equipment List &amp; Usage'!$O26)+('Weekly Summary'!AX$65*'Equipment List &amp; Usage'!$P26)))+(IF('Equipment List &amp; Usage'!$F26="Yes",'Equipment List &amp; Usage'!$C$114*((('Weekly Summary'!AX$131*SelfQuarantine_Mild)+('Weekly Summary'!AX$100*SelfQuarantine_Mild)+('Weekly Summary'!AX$101*SelfQuarantine_Moderate))),'Equipment List &amp; Usage'!$C$115)*((('Weekly Summary'!AX$131*SelfQuarantine_Mild*'Equipment List &amp; Usage'!$W26)+('Weekly Summary'!AX$100*SelfQuarantine_Mild*'Equipment List &amp; Usage'!$X26)+('Weekly Summary'!AX$101*SelfQuarantine_Moderate*'Equipment List &amp; Usage'!$X26)))+IF('Equipment List &amp; Usage'!$F26="Yes",'Equipment List &amp; Usage'!$C$114*(IF('Equipment List &amp; Usage'!$AA26&gt;0,'Weekly Summary'!AX$128,0)+IF('Equipment List &amp; Usage'!$AB26&gt;0,'Weekly Summary'!AX$100+'Weekly Summary'!AX$101,0)),'Equipment List &amp; Usage'!$C$115*(('Weekly Summary'!AX$128*'Equipment List &amp; Usage'!$AA26)+('Weekly Summary'!AX$100*'Equipment List &amp; Usage'!$AB26*SelfQuarantine_Mild)+('Weekly Summary'!AX$101*'Equipment List &amp; Usage'!$AB26*SelfQuarantine_Moderate)))+IF('Equipment List &amp; Usage'!$F26="Yes",('Equipment List &amp; Usage'!$C$114*(IF('Equipment List &amp; Usage'!$AE26&gt;0,'Weekly Summary'!AX$134,0)+IF('Equipment List &amp; Usage'!$AF26&gt;0,'Weekly Summary'!AX$135))),'Equipment List &amp; Usage'!$C$115*(('Weekly Summary'!AX$134*'Equipment List &amp; Usage'!$AE26)+('Weekly Summary'!AX$135*'Equipment List &amp; Usage'!$AF26))))-SUM($I24:BC24),
IF($F24="yes",MMULT(--('Equipment List &amp; Usage'!$J26:$N26&gt;0),--('Weekly Summary'!AX$112:AX$116))*'Equipment List &amp; Usage'!$C$114,MMULT(--('Equipment List &amp; Usage'!$J26:$N26),--('Weekly Summary'!AX$112:AX$116))*'Equipment List &amp; Usage'!$C$115)+IF('Equipment List &amp; Usage'!$F25="yes",'Equipment List &amp; Usage'!$C$114,'Equipment List &amp; Usage'!$C$115)*(('Weekly Summary'!AX$66*'Equipment List &amp; Usage'!$Q26)+('Weekly Summary'!AX$64*'Equipment List &amp; Usage'!$O26)+('Weekly Summary'!AX$65*'Equipment List &amp; Usage'!$P26))+(IF('Equipment List &amp; Usage'!$F26="Yes",'Equipment List &amp; Usage'!$C$114*((('Weekly Summary'!AX$131*SelfQuarantine_Mild)+('Weekly Summary'!AX$100*SelfQuarantine_Mild)+('Weekly Summary'!AX$101*SelfQuarantine_Moderate))),'Equipment List &amp; Usage'!$C$115)*((('Weekly Summary'!AX$131*SelfQuarantine_Mild*'Equipment List &amp; Usage'!$W26)+('Weekly Summary'!AX$100*SelfQuarantine_Mild*'Equipment List &amp; Usage'!$X26)+('Weekly Summary'!AX$101*SelfQuarantine_Moderate*'Equipment List &amp; Usage'!$X26))))+IF('Equipment List &amp; Usage'!$F26="Yes",'Equipment List &amp; Usage'!$C$114*(IF('Equipment List &amp; Usage'!$AA26&gt;0,'Weekly Summary'!AX$128,0)+IF('Equipment List &amp; Usage'!$AB26&gt;0,'Weekly Summary'!AX$100+'Weekly Summary'!AX$101,0)),'Equipment List &amp; Usage'!$C$115*(('Weekly Summary'!AX$128*'Equipment List &amp; Usage'!$AA26)+('Weekly Summary'!AX$100*'Equipment List &amp; Usage'!$AB26*SelfQuarantine_Mild)+('Weekly Summary'!AX$101*'Equipment List &amp; Usage'!$AB26*SelfQuarantine_Moderate)))+IF('Equipment List &amp; Usage'!$F26="Yes",('Equipment List &amp; Usage'!$C$114*(IF('Equipment List &amp; Usage'!$AE26&gt;0,'Weekly Summary'!AX$134,0)+IF('Equipment List &amp; Usage'!$AF26&gt;0,'Weekly Summary'!AX$135))),'Equipment List &amp; Usage'!$C$115*(('Weekly Summary'!AX$134*'Equipment List &amp; Usage'!$AE26)+('Weekly Summary'!AX$135*'Equipment List &amp; Usage'!$AF26)))),0)</f>
        <v>0</v>
      </c>
      <c r="BE24" s="1374">
        <f ca="1">MAX(IF($F24="Yes",(
IF($F24="yes",MMULT(--('Equipment List &amp; Usage'!$J26:$N26&gt;0),--('Weekly Summary'!AY$112:AY$116))*'Equipment List &amp; Usage'!$C$114,MMULT(--('Equipment List &amp; Usage'!$J26:$N26),--('Weekly Summary'!AY$112:AY$116))*'Equipment List &amp; Usage'!$C$115)+IF('Equipment List &amp; Usage'!$F25="yes",'Equipment List &amp; Usage'!$C$114,'Equipment List &amp; Usage'!$C$115)*(('Weekly Summary'!AY$66*'Equipment List &amp; Usage'!$Q26)+('Weekly Summary'!AY$64*'Equipment List &amp; Usage'!$O26)+('Weekly Summary'!AY$65*'Equipment List &amp; Usage'!$P26)))+(IF('Equipment List &amp; Usage'!$F26="Yes",'Equipment List &amp; Usage'!$C$114*((('Weekly Summary'!AY$131*SelfQuarantine_Mild)+('Weekly Summary'!AY$100*SelfQuarantine_Mild)+('Weekly Summary'!AY$101*SelfQuarantine_Moderate))),'Equipment List &amp; Usage'!$C$115)*((('Weekly Summary'!AY$131*SelfQuarantine_Mild*'Equipment List &amp; Usage'!$W26)+('Weekly Summary'!AY$100*SelfQuarantine_Mild*'Equipment List &amp; Usage'!$X26)+('Weekly Summary'!AY$101*SelfQuarantine_Moderate*'Equipment List &amp; Usage'!$X26)))+IF('Equipment List &amp; Usage'!$F26="Yes",'Equipment List &amp; Usage'!$C$114*(IF('Equipment List &amp; Usage'!$AA26&gt;0,'Weekly Summary'!AY$128,0)+IF('Equipment List &amp; Usage'!$AB26&gt;0,'Weekly Summary'!AY$100+'Weekly Summary'!AY$101,0)),'Equipment List &amp; Usage'!$C$115*(('Weekly Summary'!AY$128*'Equipment List &amp; Usage'!$AA26)+('Weekly Summary'!AY$100*'Equipment List &amp; Usage'!$AB26*SelfQuarantine_Mild)+('Weekly Summary'!AY$101*'Equipment List &amp; Usage'!$AB26*SelfQuarantine_Moderate)))+IF('Equipment List &amp; Usage'!$F26="Yes",('Equipment List &amp; Usage'!$C$114*(IF('Equipment List &amp; Usage'!$AE26&gt;0,'Weekly Summary'!AY$134,0)+IF('Equipment List &amp; Usage'!$AF26&gt;0,'Weekly Summary'!AY$135))),'Equipment List &amp; Usage'!$C$115*(('Weekly Summary'!AY$134*'Equipment List &amp; Usage'!$AE26)+('Weekly Summary'!AY$135*'Equipment List &amp; Usage'!$AF26))))-SUM($I24:BD24),
IF($F24="yes",MMULT(--('Equipment List &amp; Usage'!$J26:$N26&gt;0),--('Weekly Summary'!AY$112:AY$116))*'Equipment List &amp; Usage'!$C$114,MMULT(--('Equipment List &amp; Usage'!$J26:$N26),--('Weekly Summary'!AY$112:AY$116))*'Equipment List &amp; Usage'!$C$115)+IF('Equipment List &amp; Usage'!$F25="yes",'Equipment List &amp; Usage'!$C$114,'Equipment List &amp; Usage'!$C$115)*(('Weekly Summary'!AY$66*'Equipment List &amp; Usage'!$Q26)+('Weekly Summary'!AY$64*'Equipment List &amp; Usage'!$O26)+('Weekly Summary'!AY$65*'Equipment List &amp; Usage'!$P26))+(IF('Equipment List &amp; Usage'!$F26="Yes",'Equipment List &amp; Usage'!$C$114*((('Weekly Summary'!AY$131*SelfQuarantine_Mild)+('Weekly Summary'!AY$100*SelfQuarantine_Mild)+('Weekly Summary'!AY$101*SelfQuarantine_Moderate))),'Equipment List &amp; Usage'!$C$115)*((('Weekly Summary'!AY$131*SelfQuarantine_Mild*'Equipment List &amp; Usage'!$W26)+('Weekly Summary'!AY$100*SelfQuarantine_Mild*'Equipment List &amp; Usage'!$X26)+('Weekly Summary'!AY$101*SelfQuarantine_Moderate*'Equipment List &amp; Usage'!$X26))))+IF('Equipment List &amp; Usage'!$F26="Yes",'Equipment List &amp; Usage'!$C$114*(IF('Equipment List &amp; Usage'!$AA26&gt;0,'Weekly Summary'!AY$128,0)+IF('Equipment List &amp; Usage'!$AB26&gt;0,'Weekly Summary'!AY$100+'Weekly Summary'!AY$101,0)),'Equipment List &amp; Usage'!$C$115*(('Weekly Summary'!AY$128*'Equipment List &amp; Usage'!$AA26)+('Weekly Summary'!AY$100*'Equipment List &amp; Usage'!$AB26*SelfQuarantine_Mild)+('Weekly Summary'!AY$101*'Equipment List &amp; Usage'!$AB26*SelfQuarantine_Moderate)))+IF('Equipment List &amp; Usage'!$F26="Yes",('Equipment List &amp; Usage'!$C$114*(IF('Equipment List &amp; Usage'!$AE26&gt;0,'Weekly Summary'!AY$134,0)+IF('Equipment List &amp; Usage'!$AF26&gt;0,'Weekly Summary'!AY$135))),'Equipment List &amp; Usage'!$C$115*(('Weekly Summary'!AY$134*'Equipment List &amp; Usage'!$AE26)+('Weekly Summary'!AY$135*'Equipment List &amp; Usage'!$AF26)))),0)</f>
        <v>0</v>
      </c>
      <c r="BF24" s="1374">
        <f ca="1">MAX(IF($F24="Yes",(
IF($F24="yes",MMULT(--('Equipment List &amp; Usage'!$J26:$N26&gt;0),--('Weekly Summary'!AZ$112:AZ$116))*'Equipment List &amp; Usage'!$C$114,MMULT(--('Equipment List &amp; Usage'!$J26:$N26),--('Weekly Summary'!AZ$112:AZ$116))*'Equipment List &amp; Usage'!$C$115)+IF('Equipment List &amp; Usage'!$F25="yes",'Equipment List &amp; Usage'!$C$114,'Equipment List &amp; Usage'!$C$115)*(('Weekly Summary'!AZ$66*'Equipment List &amp; Usage'!$Q26)+('Weekly Summary'!AZ$64*'Equipment List &amp; Usage'!$O26)+('Weekly Summary'!AZ$65*'Equipment List &amp; Usage'!$P26)))+(IF('Equipment List &amp; Usage'!$F26="Yes",'Equipment List &amp; Usage'!$C$114*((('Weekly Summary'!AZ$131*SelfQuarantine_Mild)+('Weekly Summary'!AZ$100*SelfQuarantine_Mild)+('Weekly Summary'!AZ$101*SelfQuarantine_Moderate))),'Equipment List &amp; Usage'!$C$115)*((('Weekly Summary'!AZ$131*SelfQuarantine_Mild*'Equipment List &amp; Usage'!$W26)+('Weekly Summary'!AZ$100*SelfQuarantine_Mild*'Equipment List &amp; Usage'!$X26)+('Weekly Summary'!AZ$101*SelfQuarantine_Moderate*'Equipment List &amp; Usage'!$X26)))+IF('Equipment List &amp; Usage'!$F26="Yes",'Equipment List &amp; Usage'!$C$114*(IF('Equipment List &amp; Usage'!$AA26&gt;0,'Weekly Summary'!AZ$128,0)+IF('Equipment List &amp; Usage'!$AB26&gt;0,'Weekly Summary'!AZ$100+'Weekly Summary'!AZ$101,0)),'Equipment List &amp; Usage'!$C$115*(('Weekly Summary'!AZ$128*'Equipment List &amp; Usage'!$AA26)+('Weekly Summary'!AZ$100*'Equipment List &amp; Usage'!$AB26*SelfQuarantine_Mild)+('Weekly Summary'!AZ$101*'Equipment List &amp; Usage'!$AB26*SelfQuarantine_Moderate)))+IF('Equipment List &amp; Usage'!$F26="Yes",('Equipment List &amp; Usage'!$C$114*(IF('Equipment List &amp; Usage'!$AE26&gt;0,'Weekly Summary'!AZ$134,0)+IF('Equipment List &amp; Usage'!$AF26&gt;0,'Weekly Summary'!AZ$135))),'Equipment List &amp; Usage'!$C$115*(('Weekly Summary'!AZ$134*'Equipment List &amp; Usage'!$AE26)+('Weekly Summary'!AZ$135*'Equipment List &amp; Usage'!$AF26))))-SUM($I24:BE24),
IF($F24="yes",MMULT(--('Equipment List &amp; Usage'!$J26:$N26&gt;0),--('Weekly Summary'!AZ$112:AZ$116))*'Equipment List &amp; Usage'!$C$114,MMULT(--('Equipment List &amp; Usage'!$J26:$N26),--('Weekly Summary'!AZ$112:AZ$116))*'Equipment List &amp; Usage'!$C$115)+IF('Equipment List &amp; Usage'!$F25="yes",'Equipment List &amp; Usage'!$C$114,'Equipment List &amp; Usage'!$C$115)*(('Weekly Summary'!AZ$66*'Equipment List &amp; Usage'!$Q26)+('Weekly Summary'!AZ$64*'Equipment List &amp; Usage'!$O26)+('Weekly Summary'!AZ$65*'Equipment List &amp; Usage'!$P26))+(IF('Equipment List &amp; Usage'!$F26="Yes",'Equipment List &amp; Usage'!$C$114*((('Weekly Summary'!AZ$131*SelfQuarantine_Mild)+('Weekly Summary'!AZ$100*SelfQuarantine_Mild)+('Weekly Summary'!AZ$101*SelfQuarantine_Moderate))),'Equipment List &amp; Usage'!$C$115)*((('Weekly Summary'!AZ$131*SelfQuarantine_Mild*'Equipment List &amp; Usage'!$W26)+('Weekly Summary'!AZ$100*SelfQuarantine_Mild*'Equipment List &amp; Usage'!$X26)+('Weekly Summary'!AZ$101*SelfQuarantine_Moderate*'Equipment List &amp; Usage'!$X26))))+IF('Equipment List &amp; Usage'!$F26="Yes",'Equipment List &amp; Usage'!$C$114*(IF('Equipment List &amp; Usage'!$AA26&gt;0,'Weekly Summary'!AZ$128,0)+IF('Equipment List &amp; Usage'!$AB26&gt;0,'Weekly Summary'!AZ$100+'Weekly Summary'!AZ$101,0)),'Equipment List &amp; Usage'!$C$115*(('Weekly Summary'!AZ$128*'Equipment List &amp; Usage'!$AA26)+('Weekly Summary'!AZ$100*'Equipment List &amp; Usage'!$AB26*SelfQuarantine_Mild)+('Weekly Summary'!AZ$101*'Equipment List &amp; Usage'!$AB26*SelfQuarantine_Moderate)))+IF('Equipment List &amp; Usage'!$F26="Yes",('Equipment List &amp; Usage'!$C$114*(IF('Equipment List &amp; Usage'!$AE26&gt;0,'Weekly Summary'!AZ$134,0)+IF('Equipment List &amp; Usage'!$AF26&gt;0,'Weekly Summary'!AZ$135))),'Equipment List &amp; Usage'!$C$115*(('Weekly Summary'!AZ$134*'Equipment List &amp; Usage'!$AE26)+('Weekly Summary'!AZ$135*'Equipment List &amp; Usage'!$AF26)))),0)</f>
        <v>0</v>
      </c>
      <c r="BG24" s="1374">
        <f ca="1">MAX(IF($F24="Yes",(
IF($F24="yes",MMULT(--('Equipment List &amp; Usage'!$J26:$N26&gt;0),--('Weekly Summary'!BA$112:BA$116))*'Equipment List &amp; Usage'!$C$114,MMULT(--('Equipment List &amp; Usage'!$J26:$N26),--('Weekly Summary'!BA$112:BA$116))*'Equipment List &amp; Usage'!$C$115)+IF('Equipment List &amp; Usage'!$F25="yes",'Equipment List &amp; Usage'!$C$114,'Equipment List &amp; Usage'!$C$115)*(('Weekly Summary'!BA$66*'Equipment List &amp; Usage'!$Q26)+('Weekly Summary'!BA$64*'Equipment List &amp; Usage'!$O26)+('Weekly Summary'!BA$65*'Equipment List &amp; Usage'!$P26)))+(IF('Equipment List &amp; Usage'!$F26="Yes",'Equipment List &amp; Usage'!$C$114*((('Weekly Summary'!BA$131*SelfQuarantine_Mild)+('Weekly Summary'!BA$100*SelfQuarantine_Mild)+('Weekly Summary'!BA$101*SelfQuarantine_Moderate))),'Equipment List &amp; Usage'!$C$115)*((('Weekly Summary'!BA$131*SelfQuarantine_Mild*'Equipment List &amp; Usage'!$W26)+('Weekly Summary'!BA$100*SelfQuarantine_Mild*'Equipment List &amp; Usage'!$X26)+('Weekly Summary'!BA$101*SelfQuarantine_Moderate*'Equipment List &amp; Usage'!$X26)))+IF('Equipment List &amp; Usage'!$F26="Yes",'Equipment List &amp; Usage'!$C$114*(IF('Equipment List &amp; Usage'!$AA26&gt;0,'Weekly Summary'!BA$128,0)+IF('Equipment List &amp; Usage'!$AB26&gt;0,'Weekly Summary'!BA$100+'Weekly Summary'!BA$101,0)),'Equipment List &amp; Usage'!$C$115*(('Weekly Summary'!BA$128*'Equipment List &amp; Usage'!$AA26)+('Weekly Summary'!BA$100*'Equipment List &amp; Usage'!$AB26*SelfQuarantine_Mild)+('Weekly Summary'!BA$101*'Equipment List &amp; Usage'!$AB26*SelfQuarantine_Moderate)))+IF('Equipment List &amp; Usage'!$F26="Yes",('Equipment List &amp; Usage'!$C$114*(IF('Equipment List &amp; Usage'!$AE26&gt;0,'Weekly Summary'!BA$134,0)+IF('Equipment List &amp; Usage'!$AF26&gt;0,'Weekly Summary'!BA$135))),'Equipment List &amp; Usage'!$C$115*(('Weekly Summary'!BA$134*'Equipment List &amp; Usage'!$AE26)+('Weekly Summary'!BA$135*'Equipment List &amp; Usage'!$AF26))))-SUM($I24:BF24),
IF($F24="yes",MMULT(--('Equipment List &amp; Usage'!$J26:$N26&gt;0),--('Weekly Summary'!BA$112:BA$116))*'Equipment List &amp; Usage'!$C$114,MMULT(--('Equipment List &amp; Usage'!$J26:$N26),--('Weekly Summary'!BA$112:BA$116))*'Equipment List &amp; Usage'!$C$115)+IF('Equipment List &amp; Usage'!$F25="yes",'Equipment List &amp; Usage'!$C$114,'Equipment List &amp; Usage'!$C$115)*(('Weekly Summary'!BA$66*'Equipment List &amp; Usage'!$Q26)+('Weekly Summary'!BA$64*'Equipment List &amp; Usage'!$O26)+('Weekly Summary'!BA$65*'Equipment List &amp; Usage'!$P26))+(IF('Equipment List &amp; Usage'!$F26="Yes",'Equipment List &amp; Usage'!$C$114*((('Weekly Summary'!BA$131*SelfQuarantine_Mild)+('Weekly Summary'!BA$100*SelfQuarantine_Mild)+('Weekly Summary'!BA$101*SelfQuarantine_Moderate))),'Equipment List &amp; Usage'!$C$115)*((('Weekly Summary'!BA$131*SelfQuarantine_Mild*'Equipment List &amp; Usage'!$W26)+('Weekly Summary'!BA$100*SelfQuarantine_Mild*'Equipment List &amp; Usage'!$X26)+('Weekly Summary'!BA$101*SelfQuarantine_Moderate*'Equipment List &amp; Usage'!$X26))))+IF('Equipment List &amp; Usage'!$F26="Yes",'Equipment List &amp; Usage'!$C$114*(IF('Equipment List &amp; Usage'!$AA26&gt;0,'Weekly Summary'!BA$128,0)+IF('Equipment List &amp; Usage'!$AB26&gt;0,'Weekly Summary'!BA$100+'Weekly Summary'!BA$101,0)),'Equipment List &amp; Usage'!$C$115*(('Weekly Summary'!BA$128*'Equipment List &amp; Usage'!$AA26)+('Weekly Summary'!BA$100*'Equipment List &amp; Usage'!$AB26*SelfQuarantine_Mild)+('Weekly Summary'!BA$101*'Equipment List &amp; Usage'!$AB26*SelfQuarantine_Moderate)))+IF('Equipment List &amp; Usage'!$F26="Yes",('Equipment List &amp; Usage'!$C$114*(IF('Equipment List &amp; Usage'!$AE26&gt;0,'Weekly Summary'!BA$134,0)+IF('Equipment List &amp; Usage'!$AF26&gt;0,'Weekly Summary'!BA$135))),'Equipment List &amp; Usage'!$C$115*(('Weekly Summary'!BA$134*'Equipment List &amp; Usage'!$AE26)+('Weekly Summary'!BA$135*'Equipment List &amp; Usage'!$AF26)))),0)</f>
        <v>0</v>
      </c>
      <c r="BH24" s="1374">
        <f ca="1">MAX(IF($F24="Yes",(
IF($F24="yes",MMULT(--('Equipment List &amp; Usage'!$J26:$N26&gt;0),--('Weekly Summary'!BB$112:BB$116))*'Equipment List &amp; Usage'!$C$114,MMULT(--('Equipment List &amp; Usage'!$J26:$N26),--('Weekly Summary'!BB$112:BB$116))*'Equipment List &amp; Usage'!$C$115)+IF('Equipment List &amp; Usage'!$F25="yes",'Equipment List &amp; Usage'!$C$114,'Equipment List &amp; Usage'!$C$115)*(('Weekly Summary'!BB$66*'Equipment List &amp; Usage'!$Q26)+('Weekly Summary'!BB$64*'Equipment List &amp; Usage'!$O26)+('Weekly Summary'!BB$65*'Equipment List &amp; Usage'!$P26)))+(IF('Equipment List &amp; Usage'!$F26="Yes",'Equipment List &amp; Usage'!$C$114*((('Weekly Summary'!BB$131*SelfQuarantine_Mild)+('Weekly Summary'!BB$100*SelfQuarantine_Mild)+('Weekly Summary'!BB$101*SelfQuarantine_Moderate))),'Equipment List &amp; Usage'!$C$115)*((('Weekly Summary'!BB$131*SelfQuarantine_Mild*'Equipment List &amp; Usage'!$W26)+('Weekly Summary'!BB$100*SelfQuarantine_Mild*'Equipment List &amp; Usage'!$X26)+('Weekly Summary'!BB$101*SelfQuarantine_Moderate*'Equipment List &amp; Usage'!$X26)))+IF('Equipment List &amp; Usage'!$F26="Yes",'Equipment List &amp; Usage'!$C$114*(IF('Equipment List &amp; Usage'!$AA26&gt;0,'Weekly Summary'!BB$128,0)+IF('Equipment List &amp; Usage'!$AB26&gt;0,'Weekly Summary'!BB$100+'Weekly Summary'!BB$101,0)),'Equipment List &amp; Usage'!$C$115*(('Weekly Summary'!BB$128*'Equipment List &amp; Usage'!$AA26)+('Weekly Summary'!BB$100*'Equipment List &amp; Usage'!$AB26*SelfQuarantine_Mild)+('Weekly Summary'!BB$101*'Equipment List &amp; Usage'!$AB26*SelfQuarantine_Moderate)))+IF('Equipment List &amp; Usage'!$F26="Yes",('Equipment List &amp; Usage'!$C$114*(IF('Equipment List &amp; Usage'!$AE26&gt;0,'Weekly Summary'!BB$134,0)+IF('Equipment List &amp; Usage'!$AF26&gt;0,'Weekly Summary'!BB$135))),'Equipment List &amp; Usage'!$C$115*(('Weekly Summary'!BB$134*'Equipment List &amp; Usage'!$AE26)+('Weekly Summary'!BB$135*'Equipment List &amp; Usage'!$AF26))))-SUM($I24:BG24),
IF($F24="yes",MMULT(--('Equipment List &amp; Usage'!$J26:$N26&gt;0),--('Weekly Summary'!BB$112:BB$116))*'Equipment List &amp; Usage'!$C$114,MMULT(--('Equipment List &amp; Usage'!$J26:$N26),--('Weekly Summary'!BB$112:BB$116))*'Equipment List &amp; Usage'!$C$115)+IF('Equipment List &amp; Usage'!$F25="yes",'Equipment List &amp; Usage'!$C$114,'Equipment List &amp; Usage'!$C$115)*(('Weekly Summary'!BB$66*'Equipment List &amp; Usage'!$Q26)+('Weekly Summary'!BB$64*'Equipment List &amp; Usage'!$O26)+('Weekly Summary'!BB$65*'Equipment List &amp; Usage'!$P26))+(IF('Equipment List &amp; Usage'!$F26="Yes",'Equipment List &amp; Usage'!$C$114*((('Weekly Summary'!BB$131*SelfQuarantine_Mild)+('Weekly Summary'!BB$100*SelfQuarantine_Mild)+('Weekly Summary'!BB$101*SelfQuarantine_Moderate))),'Equipment List &amp; Usage'!$C$115)*((('Weekly Summary'!BB$131*SelfQuarantine_Mild*'Equipment List &amp; Usage'!$W26)+('Weekly Summary'!BB$100*SelfQuarantine_Mild*'Equipment List &amp; Usage'!$X26)+('Weekly Summary'!BB$101*SelfQuarantine_Moderate*'Equipment List &amp; Usage'!$X26))))+IF('Equipment List &amp; Usage'!$F26="Yes",'Equipment List &amp; Usage'!$C$114*(IF('Equipment List &amp; Usage'!$AA26&gt;0,'Weekly Summary'!BB$128,0)+IF('Equipment List &amp; Usage'!$AB26&gt;0,'Weekly Summary'!BB$100+'Weekly Summary'!BB$101,0)),'Equipment List &amp; Usage'!$C$115*(('Weekly Summary'!BB$128*'Equipment List &amp; Usage'!$AA26)+('Weekly Summary'!BB$100*'Equipment List &amp; Usage'!$AB26*SelfQuarantine_Mild)+('Weekly Summary'!BB$101*'Equipment List &amp; Usage'!$AB26*SelfQuarantine_Moderate)))+IF('Equipment List &amp; Usage'!$F26="Yes",('Equipment List &amp; Usage'!$C$114*(IF('Equipment List &amp; Usage'!$AE26&gt;0,'Weekly Summary'!BB$134,0)+IF('Equipment List &amp; Usage'!$AF26&gt;0,'Weekly Summary'!BB$135))),'Equipment List &amp; Usage'!$C$115*(('Weekly Summary'!BB$134*'Equipment List &amp; Usage'!$AE26)+('Weekly Summary'!BB$135*'Equipment List &amp; Usage'!$AF26)))),0)</f>
        <v>0</v>
      </c>
      <c r="BI24" s="1374">
        <f ca="1">MAX(IF($F24="Yes",(
IF($F24="yes",MMULT(--('Equipment List &amp; Usage'!$J26:$N26&gt;0),--('Weekly Summary'!BC$112:BC$116))*'Equipment List &amp; Usage'!$C$114,MMULT(--('Equipment List &amp; Usage'!$J26:$N26),--('Weekly Summary'!BC$112:BC$116))*'Equipment List &amp; Usage'!$C$115)+IF('Equipment List &amp; Usage'!$F25="yes",'Equipment List &amp; Usage'!$C$114,'Equipment List &amp; Usage'!$C$115)*(('Weekly Summary'!BC$66*'Equipment List &amp; Usage'!$Q26)+('Weekly Summary'!BC$64*'Equipment List &amp; Usage'!$O26)+('Weekly Summary'!BC$65*'Equipment List &amp; Usage'!$P26)))+(IF('Equipment List &amp; Usage'!$F26="Yes",'Equipment List &amp; Usage'!$C$114*((('Weekly Summary'!BC$131*SelfQuarantine_Mild)+('Weekly Summary'!BC$100*SelfQuarantine_Mild)+('Weekly Summary'!BC$101*SelfQuarantine_Moderate))),'Equipment List &amp; Usage'!$C$115)*((('Weekly Summary'!BC$131*SelfQuarantine_Mild*'Equipment List &amp; Usage'!$W26)+('Weekly Summary'!BC$100*SelfQuarantine_Mild*'Equipment List &amp; Usage'!$X26)+('Weekly Summary'!BC$101*SelfQuarantine_Moderate*'Equipment List &amp; Usage'!$X26)))+IF('Equipment List &amp; Usage'!$F26="Yes",'Equipment List &amp; Usage'!$C$114*(IF('Equipment List &amp; Usage'!$AA26&gt;0,'Weekly Summary'!BC$128,0)+IF('Equipment List &amp; Usage'!$AB26&gt;0,'Weekly Summary'!BC$100+'Weekly Summary'!BC$101,0)),'Equipment List &amp; Usage'!$C$115*(('Weekly Summary'!BC$128*'Equipment List &amp; Usage'!$AA26)+('Weekly Summary'!BC$100*'Equipment List &amp; Usage'!$AB26*SelfQuarantine_Mild)+('Weekly Summary'!BC$101*'Equipment List &amp; Usage'!$AB26*SelfQuarantine_Moderate)))+IF('Equipment List &amp; Usage'!$F26="Yes",('Equipment List &amp; Usage'!$C$114*(IF('Equipment List &amp; Usage'!$AE26&gt;0,'Weekly Summary'!BC$134,0)+IF('Equipment List &amp; Usage'!$AF26&gt;0,'Weekly Summary'!BC$135))),'Equipment List &amp; Usage'!$C$115*(('Weekly Summary'!BC$134*'Equipment List &amp; Usage'!$AE26)+('Weekly Summary'!BC$135*'Equipment List &amp; Usage'!$AF26))))-SUM($I24:BH24),
IF($F24="yes",MMULT(--('Equipment List &amp; Usage'!$J26:$N26&gt;0),--('Weekly Summary'!BC$112:BC$116))*'Equipment List &amp; Usage'!$C$114,MMULT(--('Equipment List &amp; Usage'!$J26:$N26),--('Weekly Summary'!BC$112:BC$116))*'Equipment List &amp; Usage'!$C$115)+IF('Equipment List &amp; Usage'!$F25="yes",'Equipment List &amp; Usage'!$C$114,'Equipment List &amp; Usage'!$C$115)*(('Weekly Summary'!BC$66*'Equipment List &amp; Usage'!$Q26)+('Weekly Summary'!BC$64*'Equipment List &amp; Usage'!$O26)+('Weekly Summary'!BC$65*'Equipment List &amp; Usage'!$P26))+(IF('Equipment List &amp; Usage'!$F26="Yes",'Equipment List &amp; Usage'!$C$114*((('Weekly Summary'!BC$131*SelfQuarantine_Mild)+('Weekly Summary'!BC$100*SelfQuarantine_Mild)+('Weekly Summary'!BC$101*SelfQuarantine_Moderate))),'Equipment List &amp; Usage'!$C$115)*((('Weekly Summary'!BC$131*SelfQuarantine_Mild*'Equipment List &amp; Usage'!$W26)+('Weekly Summary'!BC$100*SelfQuarantine_Mild*'Equipment List &amp; Usage'!$X26)+('Weekly Summary'!BC$101*SelfQuarantine_Moderate*'Equipment List &amp; Usage'!$X26))))+IF('Equipment List &amp; Usage'!$F26="Yes",'Equipment List &amp; Usage'!$C$114*(IF('Equipment List &amp; Usage'!$AA26&gt;0,'Weekly Summary'!BC$128,0)+IF('Equipment List &amp; Usage'!$AB26&gt;0,'Weekly Summary'!BC$100+'Weekly Summary'!BC$101,0)),'Equipment List &amp; Usage'!$C$115*(('Weekly Summary'!BC$128*'Equipment List &amp; Usage'!$AA26)+('Weekly Summary'!BC$100*'Equipment List &amp; Usage'!$AB26*SelfQuarantine_Mild)+('Weekly Summary'!BC$101*'Equipment List &amp; Usage'!$AB26*SelfQuarantine_Moderate)))+IF('Equipment List &amp; Usage'!$F26="Yes",('Equipment List &amp; Usage'!$C$114*(IF('Equipment List &amp; Usage'!$AE26&gt;0,'Weekly Summary'!BC$134,0)+IF('Equipment List &amp; Usage'!$AF26&gt;0,'Weekly Summary'!BC$135))),'Equipment List &amp; Usage'!$C$115*(('Weekly Summary'!BC$134*'Equipment List &amp; Usage'!$AE26)+('Weekly Summary'!BC$135*'Equipment List &amp; Usage'!$AF26)))),0)</f>
        <v>0</v>
      </c>
      <c r="BJ24" s="1377">
        <f ca="1">MAX(IF($F24="Yes",(
IF($F24="yes",MMULT(--('Equipment List &amp; Usage'!$J26:$N26&gt;0),--('Weekly Summary'!BD$112:BD$116))*'Equipment List &amp; Usage'!$C$114,MMULT(--('Equipment List &amp; Usage'!$J26:$N26),--('Weekly Summary'!BD$112:BD$116))*'Equipment List &amp; Usage'!$C$115)+IF('Equipment List &amp; Usage'!$F25="yes",'Equipment List &amp; Usage'!$C$114,'Equipment List &amp; Usage'!$C$115)*(('Weekly Summary'!BD$66*'Equipment List &amp; Usage'!$Q26)+('Weekly Summary'!BD$64*'Equipment List &amp; Usage'!$O26)+('Weekly Summary'!BD$65*'Equipment List &amp; Usage'!$P26)))+(IF('Equipment List &amp; Usage'!$F26="Yes",'Equipment List &amp; Usage'!$C$114*((('Weekly Summary'!BD$131*SelfQuarantine_Mild)+('Weekly Summary'!BD$100*SelfQuarantine_Mild)+('Weekly Summary'!BD$101*SelfQuarantine_Moderate))),'Equipment List &amp; Usage'!$C$115)*((('Weekly Summary'!BD$131*SelfQuarantine_Mild*'Equipment List &amp; Usage'!$W26)+('Weekly Summary'!BD$100*SelfQuarantine_Mild*'Equipment List &amp; Usage'!$X26)+('Weekly Summary'!BD$101*SelfQuarantine_Moderate*'Equipment List &amp; Usage'!$X26)))+IF('Equipment List &amp; Usage'!$F26="Yes",'Equipment List &amp; Usage'!$C$114*(IF('Equipment List &amp; Usage'!$AA26&gt;0,'Weekly Summary'!BD$128,0)+IF('Equipment List &amp; Usage'!$AB26&gt;0,'Weekly Summary'!BD$100+'Weekly Summary'!BD$101,0)),'Equipment List &amp; Usage'!$C$115*(('Weekly Summary'!BD$128*'Equipment List &amp; Usage'!$AA26)+('Weekly Summary'!BD$100*'Equipment List &amp; Usage'!$AB26*SelfQuarantine_Mild)+('Weekly Summary'!BD$101*'Equipment List &amp; Usage'!$AB26*SelfQuarantine_Moderate)))+IF('Equipment List &amp; Usage'!$F26="Yes",('Equipment List &amp; Usage'!$C$114*(IF('Equipment List &amp; Usage'!$AE26&gt;0,'Weekly Summary'!BD$134,0)+IF('Equipment List &amp; Usage'!$AF26&gt;0,'Weekly Summary'!BD$135))),'Equipment List &amp; Usage'!$C$115*(('Weekly Summary'!BD$134*'Equipment List &amp; Usage'!$AE26)+('Weekly Summary'!BD$135*'Equipment List &amp; Usage'!$AF26))))-SUM($I24:BI24),
IF($F24="yes",MMULT(--('Equipment List &amp; Usage'!$J26:$N26&gt;0),--('Weekly Summary'!BD$112:BD$116))*'Equipment List &amp; Usage'!$C$114,MMULT(--('Equipment List &amp; Usage'!$J26:$N26),--('Weekly Summary'!BD$112:BD$116))*'Equipment List &amp; Usage'!$C$115)+IF('Equipment List &amp; Usage'!$F25="yes",'Equipment List &amp; Usage'!$C$114,'Equipment List &amp; Usage'!$C$115)*(('Weekly Summary'!BD$66*'Equipment List &amp; Usage'!$Q26)+('Weekly Summary'!BD$64*'Equipment List &amp; Usage'!$O26)+('Weekly Summary'!BD$65*'Equipment List &amp; Usage'!$P26))+(IF('Equipment List &amp; Usage'!$F26="Yes",'Equipment List &amp; Usage'!$C$114*((('Weekly Summary'!BD$131*SelfQuarantine_Mild)+('Weekly Summary'!BD$100*SelfQuarantine_Mild)+('Weekly Summary'!BD$101*SelfQuarantine_Moderate))),'Equipment List &amp; Usage'!$C$115)*((('Weekly Summary'!BD$131*SelfQuarantine_Mild*'Equipment List &amp; Usage'!$W26)+('Weekly Summary'!BD$100*SelfQuarantine_Mild*'Equipment List &amp; Usage'!$X26)+('Weekly Summary'!BD$101*SelfQuarantine_Moderate*'Equipment List &amp; Usage'!$X26))))+IF('Equipment List &amp; Usage'!$F26="Yes",'Equipment List &amp; Usage'!$C$114*(IF('Equipment List &amp; Usage'!$AA26&gt;0,'Weekly Summary'!BD$128,0)+IF('Equipment List &amp; Usage'!$AB26&gt;0,'Weekly Summary'!BD$100+'Weekly Summary'!BD$101,0)),'Equipment List &amp; Usage'!$C$115*(('Weekly Summary'!BD$128*'Equipment List &amp; Usage'!$AA26)+('Weekly Summary'!BD$100*'Equipment List &amp; Usage'!$AB26*SelfQuarantine_Mild)+('Weekly Summary'!BD$101*'Equipment List &amp; Usage'!$AB26*SelfQuarantine_Moderate)))+IF('Equipment List &amp; Usage'!$F26="Yes",('Equipment List &amp; Usage'!$C$114*(IF('Equipment List &amp; Usage'!$AE26&gt;0,'Weekly Summary'!BD$134,0)+IF('Equipment List &amp; Usage'!$AF26&gt;0,'Weekly Summary'!BD$135))),'Equipment List &amp; Usage'!$C$115*(('Weekly Summary'!BD$134*'Equipment List &amp; Usage'!$AE26)+('Weekly Summary'!BD$135*'Equipment List &amp; Usage'!$AF26)))),0)</f>
        <v>0</v>
      </c>
    </row>
    <row r="25" spans="2:62" x14ac:dyDescent="0.35">
      <c r="B25" s="949" t="str">
        <f>'Equipment List &amp; Usage'!B27</f>
        <v>IPC</v>
      </c>
      <c r="C25" s="948" t="str">
        <f>'Equipment List &amp; Usage'!C27</f>
        <v>PPE</v>
      </c>
      <c r="D25" s="948" t="str">
        <f>'Equipment List &amp; Usage'!D27</f>
        <v>Gloves, examination</v>
      </c>
      <c r="E25" s="948" t="str">
        <f>'Equipment List &amp; Usage'!E27</f>
        <v>Pair</v>
      </c>
      <c r="F25" s="948" t="str">
        <f>'Equipment List &amp; Usage'!F27</f>
        <v>No</v>
      </c>
      <c r="G25" s="948" t="str">
        <f>'Equipment List &amp; Usage'!G27</f>
        <v>N/A</v>
      </c>
      <c r="H25" s="1365">
        <f t="shared" ca="1" si="2"/>
        <v>321352.86586837051</v>
      </c>
      <c r="J25" s="1341"/>
      <c r="K25" s="1374">
        <f ca="1">IF('User Dashboard'!$H$13=1,0,IF($F25="Yes",(
IF($F25="yes",MMULT(--('Equipment List &amp; Usage'!$J27:$N27&gt;0),--('Weekly Summary'!E$112:E$116))*'Equipment List &amp; Usage'!$C$114,MMULT(--('Equipment List &amp; Usage'!$J27:$N27),--('Weekly Summary'!E$112:E$116))*'Equipment List &amp; Usage'!$C$115)+IF('Equipment List &amp; Usage'!$F26="yes",'Equipment List &amp; Usage'!$C$114,'Equipment List &amp; Usage'!$C$115)*(('Weekly Summary'!E$66*'Equipment List &amp; Usage'!$Q27)+('Weekly Summary'!E$64*'Equipment List &amp; Usage'!$O27)+('Weekly Summary'!E$65*'Equipment List &amp; Usage'!$P27)))+(IF('Equipment List &amp; Usage'!$F27="Yes",'Equipment List &amp; Usage'!$C$114*((('Weekly Summary'!E$131*SelfQuarantine_Mild)+('Weekly Summary'!E$100*SelfQuarantine_Mild)+('Weekly Summary'!E$101*SelfQuarantine_Moderate))),'Equipment List &amp; Usage'!$C$115)*((('Weekly Summary'!E$131*SelfQuarantine_Mild*'Equipment List &amp; Usage'!$W27)+('Weekly Summary'!E$100*SelfQuarantine_Mild*'Equipment List &amp; Usage'!$X27)+('Weekly Summary'!E$101*SelfQuarantine_Moderate*'Equipment List &amp; Usage'!$X27)))+IF('Equipment List &amp; Usage'!$F27="Yes",'Equipment List &amp; Usage'!$C$114*(IF('Equipment List &amp; Usage'!$AA27&gt;0,'Weekly Summary'!E$128,0)+IF('Equipment List &amp; Usage'!$AB27&gt;0,'Weekly Summary'!E$100+'Weekly Summary'!E$101,0)),'Equipment List &amp; Usage'!$C$115*(('Weekly Summary'!E$128*'Equipment List &amp; Usage'!$AA27)+('Weekly Summary'!E$100*'Equipment List &amp; Usage'!$AB27*SelfQuarantine_Mild)+('Weekly Summary'!E$101*'Equipment List &amp; Usage'!$AB27*SelfQuarantine_Moderate)))+IF('Equipment List &amp; Usage'!$F27="Yes",('Equipment List &amp; Usage'!$C$114*(IF('Equipment List &amp; Usage'!$AE27&gt;0,'Weekly Summary'!E$134,0)+IF('Equipment List &amp; Usage'!$AF27&gt;0,'Weekly Summary'!E$135))),'Equipment List &amp; Usage'!$C$115*(('Weekly Summary'!E$134*'Equipment List &amp; Usage'!$AE27)+('Weekly Summary'!E$135*'Equipment List &amp; Usage'!$AF27)))),
IF($F25="yes",MMULT(--('Equipment List &amp; Usage'!$J27:$N27&gt;0),--('Weekly Summary'!E$112:E$116))*'Equipment List &amp; Usage'!$C$114,MMULT(--('Equipment List &amp; Usage'!$J27:$N27),--('Weekly Summary'!E$112:E$116))*'Equipment List &amp; Usage'!$C$115)+IF('Equipment List &amp; Usage'!$F26="yes",'Equipment List &amp; Usage'!$C$114,'Equipment List &amp; Usage'!$C$115)*(('Weekly Summary'!E$66*'Equipment List &amp; Usage'!$Q27)+('Weekly Summary'!E$64*'Equipment List &amp; Usage'!$O27)+('Weekly Summary'!E$65*'Equipment List &amp; Usage'!$P27))+(IF('Equipment List &amp; Usage'!$F27="Yes",'Equipment List &amp; Usage'!$C$114*((('Weekly Summary'!E$131*SelfQuarantine_Mild)+('Weekly Summary'!E$100*SelfQuarantine_Mild)+('Weekly Summary'!E$101*SelfQuarantine_Moderate))),'Equipment List &amp; Usage'!$C$115)*((('Weekly Summary'!E$131*SelfQuarantine_Mild*'Equipment List &amp; Usage'!$W27)+('Weekly Summary'!E$100*SelfQuarantine_Mild*'Equipment List &amp; Usage'!$X27)+('Weekly Summary'!E$101*SelfQuarantine_Moderate*'Equipment List &amp; Usage'!$X27))))+IF('Equipment List &amp; Usage'!$F27="Yes",'Equipment List &amp; Usage'!$C$114*(IF('Equipment List &amp; Usage'!$AA27&gt;0,'Weekly Summary'!E$128,0)+IF('Equipment List &amp; Usage'!$AB27&gt;0,'Weekly Summary'!E$100+'Weekly Summary'!E$101,0)),'Equipment List &amp; Usage'!$C$115*(('Weekly Summary'!E$128*'Equipment List &amp; Usage'!$AA27)+('Weekly Summary'!E$100*'Equipment List &amp; Usage'!$AB27*SelfQuarantine_Mild)+('Weekly Summary'!E$101*'Equipment List &amp; Usage'!$AB27*SelfQuarantine_Moderate)))+IF('Equipment List &amp; Usage'!$F27="Yes",('Equipment List &amp; Usage'!$C$114*(IF('Equipment List &amp; Usage'!$AE27&gt;0,'Weekly Summary'!E$134,0)+IF('Equipment List &amp; Usage'!$AF27&gt;0,'Weekly Summary'!E$135))),'Equipment List &amp; Usage'!$C$115*(('Weekly Summary'!E$134*'Equipment List &amp; Usage'!$AE27)+('Weekly Summary'!E$135*'Equipment List &amp; Usage'!$AF27)))))</f>
        <v>17848.929927998157</v>
      </c>
      <c r="L25" s="1374">
        <f ca="1">MAX(IF($F25="Yes",(
IF($F25="yes",MMULT(--('Equipment List &amp; Usage'!$J27:$N27&gt;0),--('Weekly Summary'!F$112:F$116))*'Equipment List &amp; Usage'!$C$114,MMULT(--('Equipment List &amp; Usage'!$J27:$N27),--('Weekly Summary'!F$112:F$116))*'Equipment List &amp; Usage'!$C$115)+IF('Equipment List &amp; Usage'!$F26="yes",'Equipment List &amp; Usage'!$C$114,'Equipment List &amp; Usage'!$C$115)*(('Weekly Summary'!F$66*'Equipment List &amp; Usage'!$Q27)+('Weekly Summary'!F$64*'Equipment List &amp; Usage'!$O27)+('Weekly Summary'!F$65*'Equipment List &amp; Usage'!$P27)))+(IF('Equipment List &amp; Usage'!$F27="Yes",'Equipment List &amp; Usage'!$C$114*((('Weekly Summary'!F$131*SelfQuarantine_Mild)+('Weekly Summary'!F$100*SelfQuarantine_Mild)+('Weekly Summary'!F$101*SelfQuarantine_Moderate))),'Equipment List &amp; Usage'!$C$115)*((('Weekly Summary'!F$131*SelfQuarantine_Mild*'Equipment List &amp; Usage'!$W27)+('Weekly Summary'!F$100*SelfQuarantine_Mild*'Equipment List &amp; Usage'!$X27)+('Weekly Summary'!F$101*SelfQuarantine_Moderate*'Equipment List &amp; Usage'!$X27)))+IF('Equipment List &amp; Usage'!$F27="Yes",'Equipment List &amp; Usage'!$C$114*(IF('Equipment List &amp; Usage'!$AA27&gt;0,'Weekly Summary'!F$128,0)+IF('Equipment List &amp; Usage'!$AB27&gt;0,'Weekly Summary'!F$100+'Weekly Summary'!F$101,0)),'Equipment List &amp; Usage'!$C$115*(('Weekly Summary'!F$128*'Equipment List &amp; Usage'!$AA27)+('Weekly Summary'!F$100*'Equipment List &amp; Usage'!$AB27*SelfQuarantine_Mild)+('Weekly Summary'!F$101*'Equipment List &amp; Usage'!$AB27*SelfQuarantine_Moderate)))+IF('Equipment List &amp; Usage'!$F27="Yes",('Equipment List &amp; Usage'!$C$114*(IF('Equipment List &amp; Usage'!$AE27&gt;0,'Weekly Summary'!F$134,0)+IF('Equipment List &amp; Usage'!$AF27&gt;0,'Weekly Summary'!F$135))),'Equipment List &amp; Usage'!$C$115*(('Weekly Summary'!F$134*'Equipment List &amp; Usage'!$AE27)+('Weekly Summary'!F$135*'Equipment List &amp; Usage'!$AF27))))-SUM($I25:K25),
IF($F25="yes",MMULT(--('Equipment List &amp; Usage'!$J27:$N27&gt;0),--('Weekly Summary'!F$112:F$116))*'Equipment List &amp; Usage'!$C$114,MMULT(--('Equipment List &amp; Usage'!$J27:$N27),--('Weekly Summary'!F$112:F$116))*'Equipment List &amp; Usage'!$C$115)+IF('Equipment List &amp; Usage'!$F26="yes",'Equipment List &amp; Usage'!$C$114,'Equipment List &amp; Usage'!$C$115)*(('Weekly Summary'!F$66*'Equipment List &amp; Usage'!$Q27)+('Weekly Summary'!F$64*'Equipment List &amp; Usage'!$O27)+('Weekly Summary'!F$65*'Equipment List &amp; Usage'!$P27))+(IF('Equipment List &amp; Usage'!$F27="Yes",'Equipment List &amp; Usage'!$C$114*((('Weekly Summary'!F$131*SelfQuarantine_Mild)+('Weekly Summary'!F$100*SelfQuarantine_Mild)+('Weekly Summary'!F$101*SelfQuarantine_Moderate))),'Equipment List &amp; Usage'!$C$115)*((('Weekly Summary'!F$131*SelfQuarantine_Mild*'Equipment List &amp; Usage'!$W27)+('Weekly Summary'!F$100*SelfQuarantine_Mild*'Equipment List &amp; Usage'!$X27)+('Weekly Summary'!F$101*SelfQuarantine_Moderate*'Equipment List &amp; Usage'!$X27))))+IF('Equipment List &amp; Usage'!$F27="Yes",'Equipment List &amp; Usage'!$C$114*(IF('Equipment List &amp; Usage'!$AA27&gt;0,'Weekly Summary'!F$128,0)+IF('Equipment List &amp; Usage'!$AB27&gt;0,'Weekly Summary'!F$100+'Weekly Summary'!F$101,0)),'Equipment List &amp; Usage'!$C$115*(('Weekly Summary'!F$128*'Equipment List &amp; Usage'!$AA27)+('Weekly Summary'!F$100*'Equipment List &amp; Usage'!$AB27*SelfQuarantine_Mild)+('Weekly Summary'!F$101*'Equipment List &amp; Usage'!$AB27*SelfQuarantine_Moderate)))+IF('Equipment List &amp; Usage'!$F27="Yes",('Equipment List &amp; Usage'!$C$114*(IF('Equipment List &amp; Usage'!$AE27&gt;0,'Weekly Summary'!F$134,0)+IF('Equipment List &amp; Usage'!$AF27&gt;0,'Weekly Summary'!F$135))),'Equipment List &amp; Usage'!$C$115*(('Weekly Summary'!F$134*'Equipment List &amp; Usage'!$AE27)+('Weekly Summary'!F$135*'Equipment List &amp; Usage'!$AF27)))),0)</f>
        <v>18620.021048711562</v>
      </c>
      <c r="M25" s="1374">
        <f ca="1">MAX(IF($F25="Yes",(
IF($F25="yes",MMULT(--('Equipment List &amp; Usage'!$J27:$N27&gt;0),--('Weekly Summary'!G$112:G$116))*'Equipment List &amp; Usage'!$C$114,MMULT(--('Equipment List &amp; Usage'!$J27:$N27),--('Weekly Summary'!G$112:G$116))*'Equipment List &amp; Usage'!$C$115)+IF('Equipment List &amp; Usage'!$F26="yes",'Equipment List &amp; Usage'!$C$114,'Equipment List &amp; Usage'!$C$115)*(('Weekly Summary'!G$66*'Equipment List &amp; Usage'!$Q27)+('Weekly Summary'!G$64*'Equipment List &amp; Usage'!$O27)+('Weekly Summary'!G$65*'Equipment List &amp; Usage'!$P27)))+(IF('Equipment List &amp; Usage'!$F27="Yes",'Equipment List &amp; Usage'!$C$114*((('Weekly Summary'!G$131*SelfQuarantine_Mild)+('Weekly Summary'!G$100*SelfQuarantine_Mild)+('Weekly Summary'!G$101*SelfQuarantine_Moderate))),'Equipment List &amp; Usage'!$C$115)*((('Weekly Summary'!G$131*SelfQuarantine_Mild*'Equipment List &amp; Usage'!$W27)+('Weekly Summary'!G$100*SelfQuarantine_Mild*'Equipment List &amp; Usage'!$X27)+('Weekly Summary'!G$101*SelfQuarantine_Moderate*'Equipment List &amp; Usage'!$X27)))+IF('Equipment List &amp; Usage'!$F27="Yes",'Equipment List &amp; Usage'!$C$114*(IF('Equipment List &amp; Usage'!$AA27&gt;0,'Weekly Summary'!G$128,0)+IF('Equipment List &amp; Usage'!$AB27&gt;0,'Weekly Summary'!G$100+'Weekly Summary'!G$101,0)),'Equipment List &amp; Usage'!$C$115*(('Weekly Summary'!G$128*'Equipment List &amp; Usage'!$AA27)+('Weekly Summary'!G$100*'Equipment List &amp; Usage'!$AB27*SelfQuarantine_Mild)+('Weekly Summary'!G$101*'Equipment List &amp; Usage'!$AB27*SelfQuarantine_Moderate)))+IF('Equipment List &amp; Usage'!$F27="Yes",('Equipment List &amp; Usage'!$C$114*(IF('Equipment List &amp; Usage'!$AE27&gt;0,'Weekly Summary'!G$134,0)+IF('Equipment List &amp; Usage'!$AF27&gt;0,'Weekly Summary'!G$135))),'Equipment List &amp; Usage'!$C$115*(('Weekly Summary'!G$134*'Equipment List &amp; Usage'!$AE27)+('Weekly Summary'!G$135*'Equipment List &amp; Usage'!$AF27))))-SUM($I25:L25),
IF($F25="yes",MMULT(--('Equipment List &amp; Usage'!$J27:$N27&gt;0),--('Weekly Summary'!G$112:G$116))*'Equipment List &amp; Usage'!$C$114,MMULT(--('Equipment List &amp; Usage'!$J27:$N27),--('Weekly Summary'!G$112:G$116))*'Equipment List &amp; Usage'!$C$115)+IF('Equipment List &amp; Usage'!$F26="yes",'Equipment List &amp; Usage'!$C$114,'Equipment List &amp; Usage'!$C$115)*(('Weekly Summary'!G$66*'Equipment List &amp; Usage'!$Q27)+('Weekly Summary'!G$64*'Equipment List &amp; Usage'!$O27)+('Weekly Summary'!G$65*'Equipment List &amp; Usage'!$P27))+(IF('Equipment List &amp; Usage'!$F27="Yes",'Equipment List &amp; Usage'!$C$114*((('Weekly Summary'!G$131*SelfQuarantine_Mild)+('Weekly Summary'!G$100*SelfQuarantine_Mild)+('Weekly Summary'!G$101*SelfQuarantine_Moderate))),'Equipment List &amp; Usage'!$C$115)*((('Weekly Summary'!G$131*SelfQuarantine_Mild*'Equipment List &amp; Usage'!$W27)+('Weekly Summary'!G$100*SelfQuarantine_Mild*'Equipment List &amp; Usage'!$X27)+('Weekly Summary'!G$101*SelfQuarantine_Moderate*'Equipment List &amp; Usage'!$X27))))+IF('Equipment List &amp; Usage'!$F27="Yes",'Equipment List &amp; Usage'!$C$114*(IF('Equipment List &amp; Usage'!$AA27&gt;0,'Weekly Summary'!G$128,0)+IF('Equipment List &amp; Usage'!$AB27&gt;0,'Weekly Summary'!G$100+'Weekly Summary'!G$101,0)),'Equipment List &amp; Usage'!$C$115*(('Weekly Summary'!G$128*'Equipment List &amp; Usage'!$AA27)+('Weekly Summary'!G$100*'Equipment List &amp; Usage'!$AB27*SelfQuarantine_Mild)+('Weekly Summary'!G$101*'Equipment List &amp; Usage'!$AB27*SelfQuarantine_Moderate)))+IF('Equipment List &amp; Usage'!$F27="Yes",('Equipment List &amp; Usage'!$C$114*(IF('Equipment List &amp; Usage'!$AE27&gt;0,'Weekly Summary'!G$134,0)+IF('Equipment List &amp; Usage'!$AF27&gt;0,'Weekly Summary'!G$135))),'Equipment List &amp; Usage'!$C$115*(('Weekly Summary'!G$134*'Equipment List &amp; Usage'!$AE27)+('Weekly Summary'!G$135*'Equipment List &amp; Usage'!$AF27)))),0)</f>
        <v>21280.705273888572</v>
      </c>
      <c r="N25" s="1374">
        <f ca="1">MAX(IF($F25="Yes",(
IF($F25="yes",MMULT(--('Equipment List &amp; Usage'!$J27:$N27&gt;0),--('Weekly Summary'!H$112:H$116))*'Equipment List &amp; Usage'!$C$114,MMULT(--('Equipment List &amp; Usage'!$J27:$N27),--('Weekly Summary'!H$112:H$116))*'Equipment List &amp; Usage'!$C$115)+IF('Equipment List &amp; Usage'!$F26="yes",'Equipment List &amp; Usage'!$C$114,'Equipment List &amp; Usage'!$C$115)*(('Weekly Summary'!H$66*'Equipment List &amp; Usage'!$Q27)+('Weekly Summary'!H$64*'Equipment List &amp; Usage'!$O27)+('Weekly Summary'!H$65*'Equipment List &amp; Usage'!$P27)))+(IF('Equipment List &amp; Usage'!$F27="Yes",'Equipment List &amp; Usage'!$C$114*((('Weekly Summary'!H$131*SelfQuarantine_Mild)+('Weekly Summary'!H$100*SelfQuarantine_Mild)+('Weekly Summary'!H$101*SelfQuarantine_Moderate))),'Equipment List &amp; Usage'!$C$115)*((('Weekly Summary'!H$131*SelfQuarantine_Mild*'Equipment List &amp; Usage'!$W27)+('Weekly Summary'!H$100*SelfQuarantine_Mild*'Equipment List &amp; Usage'!$X27)+('Weekly Summary'!H$101*SelfQuarantine_Moderate*'Equipment List &amp; Usage'!$X27)))+IF('Equipment List &amp; Usage'!$F27="Yes",'Equipment List &amp; Usage'!$C$114*(IF('Equipment List &amp; Usage'!$AA27&gt;0,'Weekly Summary'!H$128,0)+IF('Equipment List &amp; Usage'!$AB27&gt;0,'Weekly Summary'!H$100+'Weekly Summary'!H$101,0)),'Equipment List &amp; Usage'!$C$115*(('Weekly Summary'!H$128*'Equipment List &amp; Usage'!$AA27)+('Weekly Summary'!H$100*'Equipment List &amp; Usage'!$AB27*SelfQuarantine_Mild)+('Weekly Summary'!H$101*'Equipment List &amp; Usage'!$AB27*SelfQuarantine_Moderate)))+IF('Equipment List &amp; Usage'!$F27="Yes",('Equipment List &amp; Usage'!$C$114*(IF('Equipment List &amp; Usage'!$AE27&gt;0,'Weekly Summary'!H$134,0)+IF('Equipment List &amp; Usage'!$AF27&gt;0,'Weekly Summary'!H$135))),'Equipment List &amp; Usage'!$C$115*(('Weekly Summary'!H$134*'Equipment List &amp; Usage'!$AE27)+('Weekly Summary'!H$135*'Equipment List &amp; Usage'!$AF27))))-SUM($I25:M25),
IF($F25="yes",MMULT(--('Equipment List &amp; Usage'!$J27:$N27&gt;0),--('Weekly Summary'!H$112:H$116))*'Equipment List &amp; Usage'!$C$114,MMULT(--('Equipment List &amp; Usage'!$J27:$N27),--('Weekly Summary'!H$112:H$116))*'Equipment List &amp; Usage'!$C$115)+IF('Equipment List &amp; Usage'!$F26="yes",'Equipment List &amp; Usage'!$C$114,'Equipment List &amp; Usage'!$C$115)*(('Weekly Summary'!H$66*'Equipment List &amp; Usage'!$Q27)+('Weekly Summary'!H$64*'Equipment List &amp; Usage'!$O27)+('Weekly Summary'!H$65*'Equipment List &amp; Usage'!$P27))+(IF('Equipment List &amp; Usage'!$F27="Yes",'Equipment List &amp; Usage'!$C$114*((('Weekly Summary'!H$131*SelfQuarantine_Mild)+('Weekly Summary'!H$100*SelfQuarantine_Mild)+('Weekly Summary'!H$101*SelfQuarantine_Moderate))),'Equipment List &amp; Usage'!$C$115)*((('Weekly Summary'!H$131*SelfQuarantine_Mild*'Equipment List &amp; Usage'!$W27)+('Weekly Summary'!H$100*SelfQuarantine_Mild*'Equipment List &amp; Usage'!$X27)+('Weekly Summary'!H$101*SelfQuarantine_Moderate*'Equipment List &amp; Usage'!$X27))))+IF('Equipment List &amp; Usage'!$F27="Yes",'Equipment List &amp; Usage'!$C$114*(IF('Equipment List &amp; Usage'!$AA27&gt;0,'Weekly Summary'!H$128,0)+IF('Equipment List &amp; Usage'!$AB27&gt;0,'Weekly Summary'!H$100+'Weekly Summary'!H$101,0)),'Equipment List &amp; Usage'!$C$115*(('Weekly Summary'!H$128*'Equipment List &amp; Usage'!$AA27)+('Weekly Summary'!H$100*'Equipment List &amp; Usage'!$AB27*SelfQuarantine_Mild)+('Weekly Summary'!H$101*'Equipment List &amp; Usage'!$AB27*SelfQuarantine_Moderate)))+IF('Equipment List &amp; Usage'!$F27="Yes",('Equipment List &amp; Usage'!$C$114*(IF('Equipment List &amp; Usage'!$AE27&gt;0,'Weekly Summary'!H$134,0)+IF('Equipment List &amp; Usage'!$AF27&gt;0,'Weekly Summary'!H$135))),'Equipment List &amp; Usage'!$C$115*(('Weekly Summary'!H$134*'Equipment List &amp; Usage'!$AE27)+('Weekly Summary'!H$135*'Equipment List &amp; Usage'!$AF27)))),0)</f>
        <v>30479.676695251015</v>
      </c>
      <c r="O25" s="1374">
        <f ca="1">MAX(IF($F25="Yes",(
IF($F25="yes",MMULT(--('Equipment List &amp; Usage'!$J27:$N27&gt;0),--('Weekly Summary'!I$112:I$116))*'Equipment List &amp; Usage'!$C$114,MMULT(--('Equipment List &amp; Usage'!$J27:$N27),--('Weekly Summary'!I$112:I$116))*'Equipment List &amp; Usage'!$C$115)+IF('Equipment List &amp; Usage'!$F26="yes",'Equipment List &amp; Usage'!$C$114,'Equipment List &amp; Usage'!$C$115)*(('Weekly Summary'!I$66*'Equipment List &amp; Usage'!$Q27)+('Weekly Summary'!I$64*'Equipment List &amp; Usage'!$O27)+('Weekly Summary'!I$65*'Equipment List &amp; Usage'!$P27)))+(IF('Equipment List &amp; Usage'!$F27="Yes",'Equipment List &amp; Usage'!$C$114*((('Weekly Summary'!I$131*SelfQuarantine_Mild)+('Weekly Summary'!I$100*SelfQuarantine_Mild)+('Weekly Summary'!I$101*SelfQuarantine_Moderate))),'Equipment List &amp; Usage'!$C$115)*((('Weekly Summary'!I$131*SelfQuarantine_Mild*'Equipment List &amp; Usage'!$W27)+('Weekly Summary'!I$100*SelfQuarantine_Mild*'Equipment List &amp; Usage'!$X27)+('Weekly Summary'!I$101*SelfQuarantine_Moderate*'Equipment List &amp; Usage'!$X27)))+IF('Equipment List &amp; Usage'!$F27="Yes",'Equipment List &amp; Usage'!$C$114*(IF('Equipment List &amp; Usage'!$AA27&gt;0,'Weekly Summary'!I$128,0)+IF('Equipment List &amp; Usage'!$AB27&gt;0,'Weekly Summary'!I$100+'Weekly Summary'!I$101,0)),'Equipment List &amp; Usage'!$C$115*(('Weekly Summary'!I$128*'Equipment List &amp; Usage'!$AA27)+('Weekly Summary'!I$100*'Equipment List &amp; Usage'!$AB27*SelfQuarantine_Mild)+('Weekly Summary'!I$101*'Equipment List &amp; Usage'!$AB27*SelfQuarantine_Moderate)))+IF('Equipment List &amp; Usage'!$F27="Yes",('Equipment List &amp; Usage'!$C$114*(IF('Equipment List &amp; Usage'!$AE27&gt;0,'Weekly Summary'!I$134,0)+IF('Equipment List &amp; Usage'!$AF27&gt;0,'Weekly Summary'!I$135))),'Equipment List &amp; Usage'!$C$115*(('Weekly Summary'!I$134*'Equipment List &amp; Usage'!$AE27)+('Weekly Summary'!I$135*'Equipment List &amp; Usage'!$AF27))))-SUM($I25:N25),
IF($F25="yes",MMULT(--('Equipment List &amp; Usage'!$J27:$N27&gt;0),--('Weekly Summary'!I$112:I$116))*'Equipment List &amp; Usage'!$C$114,MMULT(--('Equipment List &amp; Usage'!$J27:$N27),--('Weekly Summary'!I$112:I$116))*'Equipment List &amp; Usage'!$C$115)+IF('Equipment List &amp; Usage'!$F26="yes",'Equipment List &amp; Usage'!$C$114,'Equipment List &amp; Usage'!$C$115)*(('Weekly Summary'!I$66*'Equipment List &amp; Usage'!$Q27)+('Weekly Summary'!I$64*'Equipment List &amp; Usage'!$O27)+('Weekly Summary'!I$65*'Equipment List &amp; Usage'!$P27))+(IF('Equipment List &amp; Usage'!$F27="Yes",'Equipment List &amp; Usage'!$C$114*((('Weekly Summary'!I$131*SelfQuarantine_Mild)+('Weekly Summary'!I$100*SelfQuarantine_Mild)+('Weekly Summary'!I$101*SelfQuarantine_Moderate))),'Equipment List &amp; Usage'!$C$115)*((('Weekly Summary'!I$131*SelfQuarantine_Mild*'Equipment List &amp; Usage'!$W27)+('Weekly Summary'!I$100*SelfQuarantine_Mild*'Equipment List &amp; Usage'!$X27)+('Weekly Summary'!I$101*SelfQuarantine_Moderate*'Equipment List &amp; Usage'!$X27))))+IF('Equipment List &amp; Usage'!$F27="Yes",'Equipment List &amp; Usage'!$C$114*(IF('Equipment List &amp; Usage'!$AA27&gt;0,'Weekly Summary'!I$128,0)+IF('Equipment List &amp; Usage'!$AB27&gt;0,'Weekly Summary'!I$100+'Weekly Summary'!I$101,0)),'Equipment List &amp; Usage'!$C$115*(('Weekly Summary'!I$128*'Equipment List &amp; Usage'!$AA27)+('Weekly Summary'!I$100*'Equipment List &amp; Usage'!$AB27*SelfQuarantine_Mild)+('Weekly Summary'!I$101*'Equipment List &amp; Usage'!$AB27*SelfQuarantine_Moderate)))+IF('Equipment List &amp; Usage'!$F27="Yes",('Equipment List &amp; Usage'!$C$114*(IF('Equipment List &amp; Usage'!$AE27&gt;0,'Weekly Summary'!I$134,0)+IF('Equipment List &amp; Usage'!$AF27&gt;0,'Weekly Summary'!I$135))),'Equipment List &amp; Usage'!$C$115*(('Weekly Summary'!I$134*'Equipment List &amp; Usage'!$AE27)+('Weekly Summary'!I$135*'Equipment List &amp; Usage'!$AF27)))),0)</f>
        <v>62173.464458841103</v>
      </c>
      <c r="P25" s="1374">
        <f ca="1">MAX(IF($F25="Yes",(
IF($F25="yes",MMULT(--('Equipment List &amp; Usage'!$J27:$N27&gt;0),--('Weekly Summary'!J$112:J$116))*'Equipment List &amp; Usage'!$C$114,MMULT(--('Equipment List &amp; Usage'!$J27:$N27),--('Weekly Summary'!J$112:J$116))*'Equipment List &amp; Usage'!$C$115)+IF('Equipment List &amp; Usage'!$F26="yes",'Equipment List &amp; Usage'!$C$114,'Equipment List &amp; Usage'!$C$115)*(('Weekly Summary'!J$66*'Equipment List &amp; Usage'!$Q27)+('Weekly Summary'!J$64*'Equipment List &amp; Usage'!$O27)+('Weekly Summary'!J$65*'Equipment List &amp; Usage'!$P27)))+(IF('Equipment List &amp; Usage'!$F27="Yes",'Equipment List &amp; Usage'!$C$114*((('Weekly Summary'!J$131*SelfQuarantine_Mild)+('Weekly Summary'!J$100*SelfQuarantine_Mild)+('Weekly Summary'!J$101*SelfQuarantine_Moderate))),'Equipment List &amp; Usage'!$C$115)*((('Weekly Summary'!J$131*SelfQuarantine_Mild*'Equipment List &amp; Usage'!$W27)+('Weekly Summary'!J$100*SelfQuarantine_Mild*'Equipment List &amp; Usage'!$X27)+('Weekly Summary'!J$101*SelfQuarantine_Moderate*'Equipment List &amp; Usage'!$X27)))+IF('Equipment List &amp; Usage'!$F27="Yes",'Equipment List &amp; Usage'!$C$114*(IF('Equipment List &amp; Usage'!$AA27&gt;0,'Weekly Summary'!J$128,0)+IF('Equipment List &amp; Usage'!$AB27&gt;0,'Weekly Summary'!J$100+'Weekly Summary'!J$101,0)),'Equipment List &amp; Usage'!$C$115*(('Weekly Summary'!J$128*'Equipment List &amp; Usage'!$AA27)+('Weekly Summary'!J$100*'Equipment List &amp; Usage'!$AB27*SelfQuarantine_Mild)+('Weekly Summary'!J$101*'Equipment List &amp; Usage'!$AB27*SelfQuarantine_Moderate)))+IF('Equipment List &amp; Usage'!$F27="Yes",('Equipment List &amp; Usage'!$C$114*(IF('Equipment List &amp; Usage'!$AE27&gt;0,'Weekly Summary'!J$134,0)+IF('Equipment List &amp; Usage'!$AF27&gt;0,'Weekly Summary'!J$135))),'Equipment List &amp; Usage'!$C$115*(('Weekly Summary'!J$134*'Equipment List &amp; Usage'!$AE27)+('Weekly Summary'!J$135*'Equipment List &amp; Usage'!$AF27))))-SUM($I25:O25),
IF($F25="yes",MMULT(--('Equipment List &amp; Usage'!$J27:$N27&gt;0),--('Weekly Summary'!J$112:J$116))*'Equipment List &amp; Usage'!$C$114,MMULT(--('Equipment List &amp; Usage'!$J27:$N27),--('Weekly Summary'!J$112:J$116))*'Equipment List &amp; Usage'!$C$115)+IF('Equipment List &amp; Usage'!$F26="yes",'Equipment List &amp; Usage'!$C$114,'Equipment List &amp; Usage'!$C$115)*(('Weekly Summary'!J$66*'Equipment List &amp; Usage'!$Q27)+('Weekly Summary'!J$64*'Equipment List &amp; Usage'!$O27)+('Weekly Summary'!J$65*'Equipment List &amp; Usage'!$P27))+(IF('Equipment List &amp; Usage'!$F27="Yes",'Equipment List &amp; Usage'!$C$114*((('Weekly Summary'!J$131*SelfQuarantine_Mild)+('Weekly Summary'!J$100*SelfQuarantine_Mild)+('Weekly Summary'!J$101*SelfQuarantine_Moderate))),'Equipment List &amp; Usage'!$C$115)*((('Weekly Summary'!J$131*SelfQuarantine_Mild*'Equipment List &amp; Usage'!$W27)+('Weekly Summary'!J$100*SelfQuarantine_Mild*'Equipment List &amp; Usage'!$X27)+('Weekly Summary'!J$101*SelfQuarantine_Moderate*'Equipment List &amp; Usage'!$X27))))+IF('Equipment List &amp; Usage'!$F27="Yes",'Equipment List &amp; Usage'!$C$114*(IF('Equipment List &amp; Usage'!$AA27&gt;0,'Weekly Summary'!J$128,0)+IF('Equipment List &amp; Usage'!$AB27&gt;0,'Weekly Summary'!J$100+'Weekly Summary'!J$101,0)),'Equipment List &amp; Usage'!$C$115*(('Weekly Summary'!J$128*'Equipment List &amp; Usage'!$AA27)+('Weekly Summary'!J$100*'Equipment List &amp; Usage'!$AB27*SelfQuarantine_Mild)+('Weekly Summary'!J$101*'Equipment List &amp; Usage'!$AB27*SelfQuarantine_Moderate)))+IF('Equipment List &amp; Usage'!$F27="Yes",('Equipment List &amp; Usage'!$C$114*(IF('Equipment List &amp; Usage'!$AE27&gt;0,'Weekly Summary'!J$134,0)+IF('Equipment List &amp; Usage'!$AF27&gt;0,'Weekly Summary'!J$135))),'Equipment List &amp; Usage'!$C$115*(('Weekly Summary'!J$134*'Equipment List &amp; Usage'!$AE27)+('Weekly Summary'!J$135*'Equipment List &amp; Usage'!$AF27)))),0)</f>
        <v>170950.0684636801</v>
      </c>
      <c r="Q25" s="1374">
        <f ca="1">MAX(IF($F25="Yes",(
IF($F25="yes",MMULT(--('Equipment List &amp; Usage'!$J27:$N27&gt;0),--('Weekly Summary'!K$112:K$116))*'Equipment List &amp; Usage'!$C$114,MMULT(--('Equipment List &amp; Usage'!$J27:$N27),--('Weekly Summary'!K$112:K$116))*'Equipment List &amp; Usage'!$C$115)+IF('Equipment List &amp; Usage'!$F26="yes",'Equipment List &amp; Usage'!$C$114,'Equipment List &amp; Usage'!$C$115)*(('Weekly Summary'!K$66*'Equipment List &amp; Usage'!$Q27)+('Weekly Summary'!K$64*'Equipment List &amp; Usage'!$O27)+('Weekly Summary'!K$65*'Equipment List &amp; Usage'!$P27)))+(IF('Equipment List &amp; Usage'!$F27="Yes",'Equipment List &amp; Usage'!$C$114*((('Weekly Summary'!K$131*SelfQuarantine_Mild)+('Weekly Summary'!K$100*SelfQuarantine_Mild)+('Weekly Summary'!K$101*SelfQuarantine_Moderate))),'Equipment List &amp; Usage'!$C$115)*((('Weekly Summary'!K$131*SelfQuarantine_Mild*'Equipment List &amp; Usage'!$W27)+('Weekly Summary'!K$100*SelfQuarantine_Mild*'Equipment List &amp; Usage'!$X27)+('Weekly Summary'!K$101*SelfQuarantine_Moderate*'Equipment List &amp; Usage'!$X27)))+IF('Equipment List &amp; Usage'!$F27="Yes",'Equipment List &amp; Usage'!$C$114*(IF('Equipment List &amp; Usage'!$AA27&gt;0,'Weekly Summary'!K$128,0)+IF('Equipment List &amp; Usage'!$AB27&gt;0,'Weekly Summary'!K$100+'Weekly Summary'!K$101,0)),'Equipment List &amp; Usage'!$C$115*(('Weekly Summary'!K$128*'Equipment List &amp; Usage'!$AA27)+('Weekly Summary'!K$100*'Equipment List &amp; Usage'!$AB27*SelfQuarantine_Mild)+('Weekly Summary'!K$101*'Equipment List &amp; Usage'!$AB27*SelfQuarantine_Moderate)))+IF('Equipment List &amp; Usage'!$F27="Yes",('Equipment List &amp; Usage'!$C$114*(IF('Equipment List &amp; Usage'!$AE27&gt;0,'Weekly Summary'!K$134,0)+IF('Equipment List &amp; Usage'!$AF27&gt;0,'Weekly Summary'!K$135))),'Equipment List &amp; Usage'!$C$115*(('Weekly Summary'!K$134*'Equipment List &amp; Usage'!$AE27)+('Weekly Summary'!K$135*'Equipment List &amp; Usage'!$AF27))))-SUM($I25:P25),
IF($F25="yes",MMULT(--('Equipment List &amp; Usage'!$J27:$N27&gt;0),--('Weekly Summary'!K$112:K$116))*'Equipment List &amp; Usage'!$C$114,MMULT(--('Equipment List &amp; Usage'!$J27:$N27),--('Weekly Summary'!K$112:K$116))*'Equipment List &amp; Usage'!$C$115)+IF('Equipment List &amp; Usage'!$F26="yes",'Equipment List &amp; Usage'!$C$114,'Equipment List &amp; Usage'!$C$115)*(('Weekly Summary'!K$66*'Equipment List &amp; Usage'!$Q27)+('Weekly Summary'!K$64*'Equipment List &amp; Usage'!$O27)+('Weekly Summary'!K$65*'Equipment List &amp; Usage'!$P27))+(IF('Equipment List &amp; Usage'!$F27="Yes",'Equipment List &amp; Usage'!$C$114*((('Weekly Summary'!K$131*SelfQuarantine_Mild)+('Weekly Summary'!K$100*SelfQuarantine_Mild)+('Weekly Summary'!K$101*SelfQuarantine_Moderate))),'Equipment List &amp; Usage'!$C$115)*((('Weekly Summary'!K$131*SelfQuarantine_Mild*'Equipment List &amp; Usage'!$W27)+('Weekly Summary'!K$100*SelfQuarantine_Mild*'Equipment List &amp; Usage'!$X27)+('Weekly Summary'!K$101*SelfQuarantine_Moderate*'Equipment List &amp; Usage'!$X27))))+IF('Equipment List &amp; Usage'!$F27="Yes",'Equipment List &amp; Usage'!$C$114*(IF('Equipment List &amp; Usage'!$AA27&gt;0,'Weekly Summary'!K$128,0)+IF('Equipment List &amp; Usage'!$AB27&gt;0,'Weekly Summary'!K$100+'Weekly Summary'!K$101,0)),'Equipment List &amp; Usage'!$C$115*(('Weekly Summary'!K$128*'Equipment List &amp; Usage'!$AA27)+('Weekly Summary'!K$100*'Equipment List &amp; Usage'!$AB27*SelfQuarantine_Mild)+('Weekly Summary'!K$101*'Equipment List &amp; Usage'!$AB27*SelfQuarantine_Moderate)))+IF('Equipment List &amp; Usage'!$F27="Yes",('Equipment List &amp; Usage'!$C$114*(IF('Equipment List &amp; Usage'!$AE27&gt;0,'Weekly Summary'!K$134,0)+IF('Equipment List &amp; Usage'!$AF27&gt;0,'Weekly Summary'!K$135))),'Equipment List &amp; Usage'!$C$115*(('Weekly Summary'!K$134*'Equipment List &amp; Usage'!$AE27)+('Weekly Summary'!K$135*'Equipment List &amp; Usage'!$AF27)))),0)</f>
        <v>0</v>
      </c>
      <c r="R25" s="1374">
        <f ca="1">MAX(IF($F25="Yes",(
IF($F25="yes",MMULT(--('Equipment List &amp; Usage'!$J27:$N27&gt;0),--('Weekly Summary'!L$112:L$116))*'Equipment List &amp; Usage'!$C$114,MMULT(--('Equipment List &amp; Usage'!$J27:$N27),--('Weekly Summary'!L$112:L$116))*'Equipment List &amp; Usage'!$C$115)+IF('Equipment List &amp; Usage'!$F26="yes",'Equipment List &amp; Usage'!$C$114,'Equipment List &amp; Usage'!$C$115)*(('Weekly Summary'!L$66*'Equipment List &amp; Usage'!$Q27)+('Weekly Summary'!L$64*'Equipment List &amp; Usage'!$O27)+('Weekly Summary'!L$65*'Equipment List &amp; Usage'!$P27)))+(IF('Equipment List &amp; Usage'!$F27="Yes",'Equipment List &amp; Usage'!$C$114*((('Weekly Summary'!L$131*SelfQuarantine_Mild)+('Weekly Summary'!L$100*SelfQuarantine_Mild)+('Weekly Summary'!L$101*SelfQuarantine_Moderate))),'Equipment List &amp; Usage'!$C$115)*((('Weekly Summary'!L$131*SelfQuarantine_Mild*'Equipment List &amp; Usage'!$W27)+('Weekly Summary'!L$100*SelfQuarantine_Mild*'Equipment List &amp; Usage'!$X27)+('Weekly Summary'!L$101*SelfQuarantine_Moderate*'Equipment List &amp; Usage'!$X27)))+IF('Equipment List &amp; Usage'!$F27="Yes",'Equipment List &amp; Usage'!$C$114*(IF('Equipment List &amp; Usage'!$AA27&gt;0,'Weekly Summary'!L$128,0)+IF('Equipment List &amp; Usage'!$AB27&gt;0,'Weekly Summary'!L$100+'Weekly Summary'!L$101,0)),'Equipment List &amp; Usage'!$C$115*(('Weekly Summary'!L$128*'Equipment List &amp; Usage'!$AA27)+('Weekly Summary'!L$100*'Equipment List &amp; Usage'!$AB27*SelfQuarantine_Mild)+('Weekly Summary'!L$101*'Equipment List &amp; Usage'!$AB27*SelfQuarantine_Moderate)))+IF('Equipment List &amp; Usage'!$F27="Yes",('Equipment List &amp; Usage'!$C$114*(IF('Equipment List &amp; Usage'!$AE27&gt;0,'Weekly Summary'!L$134,0)+IF('Equipment List &amp; Usage'!$AF27&gt;0,'Weekly Summary'!L$135))),'Equipment List &amp; Usage'!$C$115*(('Weekly Summary'!L$134*'Equipment List &amp; Usage'!$AE27)+('Weekly Summary'!L$135*'Equipment List &amp; Usage'!$AF27))))-SUM($I25:Q25),
IF($F25="yes",MMULT(--('Equipment List &amp; Usage'!$J27:$N27&gt;0),--('Weekly Summary'!L$112:L$116))*'Equipment List &amp; Usage'!$C$114,MMULT(--('Equipment List &amp; Usage'!$J27:$N27),--('Weekly Summary'!L$112:L$116))*'Equipment List &amp; Usage'!$C$115)+IF('Equipment List &amp; Usage'!$F26="yes",'Equipment List &amp; Usage'!$C$114,'Equipment List &amp; Usage'!$C$115)*(('Weekly Summary'!L$66*'Equipment List &amp; Usage'!$Q27)+('Weekly Summary'!L$64*'Equipment List &amp; Usage'!$O27)+('Weekly Summary'!L$65*'Equipment List &amp; Usage'!$P27))+(IF('Equipment List &amp; Usage'!$F27="Yes",'Equipment List &amp; Usage'!$C$114*((('Weekly Summary'!L$131*SelfQuarantine_Mild)+('Weekly Summary'!L$100*SelfQuarantine_Mild)+('Weekly Summary'!L$101*SelfQuarantine_Moderate))),'Equipment List &amp; Usage'!$C$115)*((('Weekly Summary'!L$131*SelfQuarantine_Mild*'Equipment List &amp; Usage'!$W27)+('Weekly Summary'!L$100*SelfQuarantine_Mild*'Equipment List &amp; Usage'!$X27)+('Weekly Summary'!L$101*SelfQuarantine_Moderate*'Equipment List &amp; Usage'!$X27))))+IF('Equipment List &amp; Usage'!$F27="Yes",'Equipment List &amp; Usage'!$C$114*(IF('Equipment List &amp; Usage'!$AA27&gt;0,'Weekly Summary'!L$128,0)+IF('Equipment List &amp; Usage'!$AB27&gt;0,'Weekly Summary'!L$100+'Weekly Summary'!L$101,0)),'Equipment List &amp; Usage'!$C$115*(('Weekly Summary'!L$128*'Equipment List &amp; Usage'!$AA27)+('Weekly Summary'!L$100*'Equipment List &amp; Usage'!$AB27*SelfQuarantine_Mild)+('Weekly Summary'!L$101*'Equipment List &amp; Usage'!$AB27*SelfQuarantine_Moderate)))+IF('Equipment List &amp; Usage'!$F27="Yes",('Equipment List &amp; Usage'!$C$114*(IF('Equipment List &amp; Usage'!$AE27&gt;0,'Weekly Summary'!L$134,0)+IF('Equipment List &amp; Usage'!$AF27&gt;0,'Weekly Summary'!L$135))),'Equipment List &amp; Usage'!$C$115*(('Weekly Summary'!L$134*'Equipment List &amp; Usage'!$AE27)+('Weekly Summary'!L$135*'Equipment List &amp; Usage'!$AF27)))),0)</f>
        <v>0</v>
      </c>
      <c r="S25" s="1374">
        <f ca="1">MAX(IF($F25="Yes",(
IF($F25="yes",MMULT(--('Equipment List &amp; Usage'!$J27:$N27&gt;0),--('Weekly Summary'!M$112:M$116))*'Equipment List &amp; Usage'!$C$114,MMULT(--('Equipment List &amp; Usage'!$J27:$N27),--('Weekly Summary'!M$112:M$116))*'Equipment List &amp; Usage'!$C$115)+IF('Equipment List &amp; Usage'!$F26="yes",'Equipment List &amp; Usage'!$C$114,'Equipment List &amp; Usage'!$C$115)*(('Weekly Summary'!M$66*'Equipment List &amp; Usage'!$Q27)+('Weekly Summary'!M$64*'Equipment List &amp; Usage'!$O27)+('Weekly Summary'!M$65*'Equipment List &amp; Usage'!$P27)))+(IF('Equipment List &amp; Usage'!$F27="Yes",'Equipment List &amp; Usage'!$C$114*((('Weekly Summary'!M$131*SelfQuarantine_Mild)+('Weekly Summary'!M$100*SelfQuarantine_Mild)+('Weekly Summary'!M$101*SelfQuarantine_Moderate))),'Equipment List &amp; Usage'!$C$115)*((('Weekly Summary'!M$131*SelfQuarantine_Mild*'Equipment List &amp; Usage'!$W27)+('Weekly Summary'!M$100*SelfQuarantine_Mild*'Equipment List &amp; Usage'!$X27)+('Weekly Summary'!M$101*SelfQuarantine_Moderate*'Equipment List &amp; Usage'!$X27)))+IF('Equipment List &amp; Usage'!$F27="Yes",'Equipment List &amp; Usage'!$C$114*(IF('Equipment List &amp; Usage'!$AA27&gt;0,'Weekly Summary'!M$128,0)+IF('Equipment List &amp; Usage'!$AB27&gt;0,'Weekly Summary'!M$100+'Weekly Summary'!M$101,0)),'Equipment List &amp; Usage'!$C$115*(('Weekly Summary'!M$128*'Equipment List &amp; Usage'!$AA27)+('Weekly Summary'!M$100*'Equipment List &amp; Usage'!$AB27*SelfQuarantine_Mild)+('Weekly Summary'!M$101*'Equipment List &amp; Usage'!$AB27*SelfQuarantine_Moderate)))+IF('Equipment List &amp; Usage'!$F27="Yes",('Equipment List &amp; Usage'!$C$114*(IF('Equipment List &amp; Usage'!$AE27&gt;0,'Weekly Summary'!M$134,0)+IF('Equipment List &amp; Usage'!$AF27&gt;0,'Weekly Summary'!M$135))),'Equipment List &amp; Usage'!$C$115*(('Weekly Summary'!M$134*'Equipment List &amp; Usage'!$AE27)+('Weekly Summary'!M$135*'Equipment List &amp; Usage'!$AF27))))-SUM($I25:R25),
IF($F25="yes",MMULT(--('Equipment List &amp; Usage'!$J27:$N27&gt;0),--('Weekly Summary'!M$112:M$116))*'Equipment List &amp; Usage'!$C$114,MMULT(--('Equipment List &amp; Usage'!$J27:$N27),--('Weekly Summary'!M$112:M$116))*'Equipment List &amp; Usage'!$C$115)+IF('Equipment List &amp; Usage'!$F26="yes",'Equipment List &amp; Usage'!$C$114,'Equipment List &amp; Usage'!$C$115)*(('Weekly Summary'!M$66*'Equipment List &amp; Usage'!$Q27)+('Weekly Summary'!M$64*'Equipment List &amp; Usage'!$O27)+('Weekly Summary'!M$65*'Equipment List &amp; Usage'!$P27))+(IF('Equipment List &amp; Usage'!$F27="Yes",'Equipment List &amp; Usage'!$C$114*((('Weekly Summary'!M$131*SelfQuarantine_Mild)+('Weekly Summary'!M$100*SelfQuarantine_Mild)+('Weekly Summary'!M$101*SelfQuarantine_Moderate))),'Equipment List &amp; Usage'!$C$115)*((('Weekly Summary'!M$131*SelfQuarantine_Mild*'Equipment List &amp; Usage'!$W27)+('Weekly Summary'!M$100*SelfQuarantine_Mild*'Equipment List &amp; Usage'!$X27)+('Weekly Summary'!M$101*SelfQuarantine_Moderate*'Equipment List &amp; Usage'!$X27))))+IF('Equipment List &amp; Usage'!$F27="Yes",'Equipment List &amp; Usage'!$C$114*(IF('Equipment List &amp; Usage'!$AA27&gt;0,'Weekly Summary'!M$128,0)+IF('Equipment List &amp; Usage'!$AB27&gt;0,'Weekly Summary'!M$100+'Weekly Summary'!M$101,0)),'Equipment List &amp; Usage'!$C$115*(('Weekly Summary'!M$128*'Equipment List &amp; Usage'!$AA27)+('Weekly Summary'!M$100*'Equipment List &amp; Usage'!$AB27*SelfQuarantine_Mild)+('Weekly Summary'!M$101*'Equipment List &amp; Usage'!$AB27*SelfQuarantine_Moderate)))+IF('Equipment List &amp; Usage'!$F27="Yes",('Equipment List &amp; Usage'!$C$114*(IF('Equipment List &amp; Usage'!$AE27&gt;0,'Weekly Summary'!M$134,0)+IF('Equipment List &amp; Usage'!$AF27&gt;0,'Weekly Summary'!M$135))),'Equipment List &amp; Usage'!$C$115*(('Weekly Summary'!M$134*'Equipment List &amp; Usage'!$AE27)+('Weekly Summary'!M$135*'Equipment List &amp; Usage'!$AF27)))),0)</f>
        <v>0</v>
      </c>
      <c r="T25" s="1374">
        <f ca="1">MAX(IF($F25="Yes",(
IF($F25="yes",MMULT(--('Equipment List &amp; Usage'!$J27:$N27&gt;0),--('Weekly Summary'!N$112:N$116))*'Equipment List &amp; Usage'!$C$114,MMULT(--('Equipment List &amp; Usage'!$J27:$N27),--('Weekly Summary'!N$112:N$116))*'Equipment List &amp; Usage'!$C$115)+IF('Equipment List &amp; Usage'!$F26="yes",'Equipment List &amp; Usage'!$C$114,'Equipment List &amp; Usage'!$C$115)*(('Weekly Summary'!N$66*'Equipment List &amp; Usage'!$Q27)+('Weekly Summary'!N$64*'Equipment List &amp; Usage'!$O27)+('Weekly Summary'!N$65*'Equipment List &amp; Usage'!$P27)))+(IF('Equipment List &amp; Usage'!$F27="Yes",'Equipment List &amp; Usage'!$C$114*((('Weekly Summary'!N$131*SelfQuarantine_Mild)+('Weekly Summary'!N$100*SelfQuarantine_Mild)+('Weekly Summary'!N$101*SelfQuarantine_Moderate))),'Equipment List &amp; Usage'!$C$115)*((('Weekly Summary'!N$131*SelfQuarantine_Mild*'Equipment List &amp; Usage'!$W27)+('Weekly Summary'!N$100*SelfQuarantine_Mild*'Equipment List &amp; Usage'!$X27)+('Weekly Summary'!N$101*SelfQuarantine_Moderate*'Equipment List &amp; Usage'!$X27)))+IF('Equipment List &amp; Usage'!$F27="Yes",'Equipment List &amp; Usage'!$C$114*(IF('Equipment List &amp; Usage'!$AA27&gt;0,'Weekly Summary'!N$128,0)+IF('Equipment List &amp; Usage'!$AB27&gt;0,'Weekly Summary'!N$100+'Weekly Summary'!N$101,0)),'Equipment List &amp; Usage'!$C$115*(('Weekly Summary'!N$128*'Equipment List &amp; Usage'!$AA27)+('Weekly Summary'!N$100*'Equipment List &amp; Usage'!$AB27*SelfQuarantine_Mild)+('Weekly Summary'!N$101*'Equipment List &amp; Usage'!$AB27*SelfQuarantine_Moderate)))+IF('Equipment List &amp; Usage'!$F27="Yes",('Equipment List &amp; Usage'!$C$114*(IF('Equipment List &amp; Usage'!$AE27&gt;0,'Weekly Summary'!N$134,0)+IF('Equipment List &amp; Usage'!$AF27&gt;0,'Weekly Summary'!N$135))),'Equipment List &amp; Usage'!$C$115*(('Weekly Summary'!N$134*'Equipment List &amp; Usage'!$AE27)+('Weekly Summary'!N$135*'Equipment List &amp; Usage'!$AF27))))-SUM($I25:S25),
IF($F25="yes",MMULT(--('Equipment List &amp; Usage'!$J27:$N27&gt;0),--('Weekly Summary'!N$112:N$116))*'Equipment List &amp; Usage'!$C$114,MMULT(--('Equipment List &amp; Usage'!$J27:$N27),--('Weekly Summary'!N$112:N$116))*'Equipment List &amp; Usage'!$C$115)+IF('Equipment List &amp; Usage'!$F26="yes",'Equipment List &amp; Usage'!$C$114,'Equipment List &amp; Usage'!$C$115)*(('Weekly Summary'!N$66*'Equipment List &amp; Usage'!$Q27)+('Weekly Summary'!N$64*'Equipment List &amp; Usage'!$O27)+('Weekly Summary'!N$65*'Equipment List &amp; Usage'!$P27))+(IF('Equipment List &amp; Usage'!$F27="Yes",'Equipment List &amp; Usage'!$C$114*((('Weekly Summary'!N$131*SelfQuarantine_Mild)+('Weekly Summary'!N$100*SelfQuarantine_Mild)+('Weekly Summary'!N$101*SelfQuarantine_Moderate))),'Equipment List &amp; Usage'!$C$115)*((('Weekly Summary'!N$131*SelfQuarantine_Mild*'Equipment List &amp; Usage'!$W27)+('Weekly Summary'!N$100*SelfQuarantine_Mild*'Equipment List &amp; Usage'!$X27)+('Weekly Summary'!N$101*SelfQuarantine_Moderate*'Equipment List &amp; Usage'!$X27))))+IF('Equipment List &amp; Usage'!$F27="Yes",'Equipment List &amp; Usage'!$C$114*(IF('Equipment List &amp; Usage'!$AA27&gt;0,'Weekly Summary'!N$128,0)+IF('Equipment List &amp; Usage'!$AB27&gt;0,'Weekly Summary'!N$100+'Weekly Summary'!N$101,0)),'Equipment List &amp; Usage'!$C$115*(('Weekly Summary'!N$128*'Equipment List &amp; Usage'!$AA27)+('Weekly Summary'!N$100*'Equipment List &amp; Usage'!$AB27*SelfQuarantine_Mild)+('Weekly Summary'!N$101*'Equipment List &amp; Usage'!$AB27*SelfQuarantine_Moderate)))+IF('Equipment List &amp; Usage'!$F27="Yes",('Equipment List &amp; Usage'!$C$114*(IF('Equipment List &amp; Usage'!$AE27&gt;0,'Weekly Summary'!N$134,0)+IF('Equipment List &amp; Usage'!$AF27&gt;0,'Weekly Summary'!N$135))),'Equipment List &amp; Usage'!$C$115*(('Weekly Summary'!N$134*'Equipment List &amp; Usage'!$AE27)+('Weekly Summary'!N$135*'Equipment List &amp; Usage'!$AF27)))),0)</f>
        <v>0</v>
      </c>
      <c r="U25" s="1374">
        <f ca="1">MAX(IF($F25="Yes",(
IF($F25="yes",MMULT(--('Equipment List &amp; Usage'!$J27:$N27&gt;0),--('Weekly Summary'!O$112:O$116))*'Equipment List &amp; Usage'!$C$114,MMULT(--('Equipment List &amp; Usage'!$J27:$N27),--('Weekly Summary'!O$112:O$116))*'Equipment List &amp; Usage'!$C$115)+IF('Equipment List &amp; Usage'!$F26="yes",'Equipment List &amp; Usage'!$C$114,'Equipment List &amp; Usage'!$C$115)*(('Weekly Summary'!O$66*'Equipment List &amp; Usage'!$Q27)+('Weekly Summary'!O$64*'Equipment List &amp; Usage'!$O27)+('Weekly Summary'!O$65*'Equipment List &amp; Usage'!$P27)))+(IF('Equipment List &amp; Usage'!$F27="Yes",'Equipment List &amp; Usage'!$C$114*((('Weekly Summary'!O$131*SelfQuarantine_Mild)+('Weekly Summary'!O$100*SelfQuarantine_Mild)+('Weekly Summary'!O$101*SelfQuarantine_Moderate))),'Equipment List &amp; Usage'!$C$115)*((('Weekly Summary'!O$131*SelfQuarantine_Mild*'Equipment List &amp; Usage'!$W27)+('Weekly Summary'!O$100*SelfQuarantine_Mild*'Equipment List &amp; Usage'!$X27)+('Weekly Summary'!O$101*SelfQuarantine_Moderate*'Equipment List &amp; Usage'!$X27)))+IF('Equipment List &amp; Usage'!$F27="Yes",'Equipment List &amp; Usage'!$C$114*(IF('Equipment List &amp; Usage'!$AA27&gt;0,'Weekly Summary'!O$128,0)+IF('Equipment List &amp; Usage'!$AB27&gt;0,'Weekly Summary'!O$100+'Weekly Summary'!O$101,0)),'Equipment List &amp; Usage'!$C$115*(('Weekly Summary'!O$128*'Equipment List &amp; Usage'!$AA27)+('Weekly Summary'!O$100*'Equipment List &amp; Usage'!$AB27*SelfQuarantine_Mild)+('Weekly Summary'!O$101*'Equipment List &amp; Usage'!$AB27*SelfQuarantine_Moderate)))+IF('Equipment List &amp; Usage'!$F27="Yes",('Equipment List &amp; Usage'!$C$114*(IF('Equipment List &amp; Usage'!$AE27&gt;0,'Weekly Summary'!O$134,0)+IF('Equipment List &amp; Usage'!$AF27&gt;0,'Weekly Summary'!O$135))),'Equipment List &amp; Usage'!$C$115*(('Weekly Summary'!O$134*'Equipment List &amp; Usage'!$AE27)+('Weekly Summary'!O$135*'Equipment List &amp; Usage'!$AF27))))-SUM($I25:T25),
IF($F25="yes",MMULT(--('Equipment List &amp; Usage'!$J27:$N27&gt;0),--('Weekly Summary'!O$112:O$116))*'Equipment List &amp; Usage'!$C$114,MMULT(--('Equipment List &amp; Usage'!$J27:$N27),--('Weekly Summary'!O$112:O$116))*'Equipment List &amp; Usage'!$C$115)+IF('Equipment List &amp; Usage'!$F26="yes",'Equipment List &amp; Usage'!$C$114,'Equipment List &amp; Usage'!$C$115)*(('Weekly Summary'!O$66*'Equipment List &amp; Usage'!$Q27)+('Weekly Summary'!O$64*'Equipment List &amp; Usage'!$O27)+('Weekly Summary'!O$65*'Equipment List &amp; Usage'!$P27))+(IF('Equipment List &amp; Usage'!$F27="Yes",'Equipment List &amp; Usage'!$C$114*((('Weekly Summary'!O$131*SelfQuarantine_Mild)+('Weekly Summary'!O$100*SelfQuarantine_Mild)+('Weekly Summary'!O$101*SelfQuarantine_Moderate))),'Equipment List &amp; Usage'!$C$115)*((('Weekly Summary'!O$131*SelfQuarantine_Mild*'Equipment List &amp; Usage'!$W27)+('Weekly Summary'!O$100*SelfQuarantine_Mild*'Equipment List &amp; Usage'!$X27)+('Weekly Summary'!O$101*SelfQuarantine_Moderate*'Equipment List &amp; Usage'!$X27))))+IF('Equipment List &amp; Usage'!$F27="Yes",'Equipment List &amp; Usage'!$C$114*(IF('Equipment List &amp; Usage'!$AA27&gt;0,'Weekly Summary'!O$128,0)+IF('Equipment List &amp; Usage'!$AB27&gt;0,'Weekly Summary'!O$100+'Weekly Summary'!O$101,0)),'Equipment List &amp; Usage'!$C$115*(('Weekly Summary'!O$128*'Equipment List &amp; Usage'!$AA27)+('Weekly Summary'!O$100*'Equipment List &amp; Usage'!$AB27*SelfQuarantine_Mild)+('Weekly Summary'!O$101*'Equipment List &amp; Usage'!$AB27*SelfQuarantine_Moderate)))+IF('Equipment List &amp; Usage'!$F27="Yes",('Equipment List &amp; Usage'!$C$114*(IF('Equipment List &amp; Usage'!$AE27&gt;0,'Weekly Summary'!O$134,0)+IF('Equipment List &amp; Usage'!$AF27&gt;0,'Weekly Summary'!O$135))),'Equipment List &amp; Usage'!$C$115*(('Weekly Summary'!O$134*'Equipment List &amp; Usage'!$AE27)+('Weekly Summary'!O$135*'Equipment List &amp; Usage'!$AF27)))),0)</f>
        <v>0</v>
      </c>
      <c r="V25" s="1374">
        <f ca="1">MAX(IF($F25="Yes",(
IF($F25="yes",MMULT(--('Equipment List &amp; Usage'!$J27:$N27&gt;0),--('Weekly Summary'!P$112:P$116))*'Equipment List &amp; Usage'!$C$114,MMULT(--('Equipment List &amp; Usage'!$J27:$N27),--('Weekly Summary'!P$112:P$116))*'Equipment List &amp; Usage'!$C$115)+IF('Equipment List &amp; Usage'!$F26="yes",'Equipment List &amp; Usage'!$C$114,'Equipment List &amp; Usage'!$C$115)*(('Weekly Summary'!P$66*'Equipment List &amp; Usage'!$Q27)+('Weekly Summary'!P$64*'Equipment List &amp; Usage'!$O27)+('Weekly Summary'!P$65*'Equipment List &amp; Usage'!$P27)))+(IF('Equipment List &amp; Usage'!$F27="Yes",'Equipment List &amp; Usage'!$C$114*((('Weekly Summary'!P$131*SelfQuarantine_Mild)+('Weekly Summary'!P$100*SelfQuarantine_Mild)+('Weekly Summary'!P$101*SelfQuarantine_Moderate))),'Equipment List &amp; Usage'!$C$115)*((('Weekly Summary'!P$131*SelfQuarantine_Mild*'Equipment List &amp; Usage'!$W27)+('Weekly Summary'!P$100*SelfQuarantine_Mild*'Equipment List &amp; Usage'!$X27)+('Weekly Summary'!P$101*SelfQuarantine_Moderate*'Equipment List &amp; Usage'!$X27)))+IF('Equipment List &amp; Usage'!$F27="Yes",'Equipment List &amp; Usage'!$C$114*(IF('Equipment List &amp; Usage'!$AA27&gt;0,'Weekly Summary'!P$128,0)+IF('Equipment List &amp; Usage'!$AB27&gt;0,'Weekly Summary'!P$100+'Weekly Summary'!P$101,0)),'Equipment List &amp; Usage'!$C$115*(('Weekly Summary'!P$128*'Equipment List &amp; Usage'!$AA27)+('Weekly Summary'!P$100*'Equipment List &amp; Usage'!$AB27*SelfQuarantine_Mild)+('Weekly Summary'!P$101*'Equipment List &amp; Usage'!$AB27*SelfQuarantine_Moderate)))+IF('Equipment List &amp; Usage'!$F27="Yes",('Equipment List &amp; Usage'!$C$114*(IF('Equipment List &amp; Usage'!$AE27&gt;0,'Weekly Summary'!P$134,0)+IF('Equipment List &amp; Usage'!$AF27&gt;0,'Weekly Summary'!P$135))),'Equipment List &amp; Usage'!$C$115*(('Weekly Summary'!P$134*'Equipment List &amp; Usage'!$AE27)+('Weekly Summary'!P$135*'Equipment List &amp; Usage'!$AF27))))-SUM($I25:U25),
IF($F25="yes",MMULT(--('Equipment List &amp; Usage'!$J27:$N27&gt;0),--('Weekly Summary'!P$112:P$116))*'Equipment List &amp; Usage'!$C$114,MMULT(--('Equipment List &amp; Usage'!$J27:$N27),--('Weekly Summary'!P$112:P$116))*'Equipment List &amp; Usage'!$C$115)+IF('Equipment List &amp; Usage'!$F26="yes",'Equipment List &amp; Usage'!$C$114,'Equipment List &amp; Usage'!$C$115)*(('Weekly Summary'!P$66*'Equipment List &amp; Usage'!$Q27)+('Weekly Summary'!P$64*'Equipment List &amp; Usage'!$O27)+('Weekly Summary'!P$65*'Equipment List &amp; Usage'!$P27))+(IF('Equipment List &amp; Usage'!$F27="Yes",'Equipment List &amp; Usage'!$C$114*((('Weekly Summary'!P$131*SelfQuarantine_Mild)+('Weekly Summary'!P$100*SelfQuarantine_Mild)+('Weekly Summary'!P$101*SelfQuarantine_Moderate))),'Equipment List &amp; Usage'!$C$115)*((('Weekly Summary'!P$131*SelfQuarantine_Mild*'Equipment List &amp; Usage'!$W27)+('Weekly Summary'!P$100*SelfQuarantine_Mild*'Equipment List &amp; Usage'!$X27)+('Weekly Summary'!P$101*SelfQuarantine_Moderate*'Equipment List &amp; Usage'!$X27))))+IF('Equipment List &amp; Usage'!$F27="Yes",'Equipment List &amp; Usage'!$C$114*(IF('Equipment List &amp; Usage'!$AA27&gt;0,'Weekly Summary'!P$128,0)+IF('Equipment List &amp; Usage'!$AB27&gt;0,'Weekly Summary'!P$100+'Weekly Summary'!P$101,0)),'Equipment List &amp; Usage'!$C$115*(('Weekly Summary'!P$128*'Equipment List &amp; Usage'!$AA27)+('Weekly Summary'!P$100*'Equipment List &amp; Usage'!$AB27*SelfQuarantine_Mild)+('Weekly Summary'!P$101*'Equipment List &amp; Usage'!$AB27*SelfQuarantine_Moderate)))+IF('Equipment List &amp; Usage'!$F27="Yes",('Equipment List &amp; Usage'!$C$114*(IF('Equipment List &amp; Usage'!$AE27&gt;0,'Weekly Summary'!P$134,0)+IF('Equipment List &amp; Usage'!$AF27&gt;0,'Weekly Summary'!P$135))),'Equipment List &amp; Usage'!$C$115*(('Weekly Summary'!P$134*'Equipment List &amp; Usage'!$AE27)+('Weekly Summary'!P$135*'Equipment List &amp; Usage'!$AF27)))),0)</f>
        <v>0</v>
      </c>
      <c r="W25" s="1374">
        <f ca="1">MAX(IF($F25="Yes",(
IF($F25="yes",MMULT(--('Equipment List &amp; Usage'!$J27:$N27&gt;0),--('Weekly Summary'!Q$112:Q$116))*'Equipment List &amp; Usage'!$C$114,MMULT(--('Equipment List &amp; Usage'!$J27:$N27),--('Weekly Summary'!Q$112:Q$116))*'Equipment List &amp; Usage'!$C$115)+IF('Equipment List &amp; Usage'!$F26="yes",'Equipment List &amp; Usage'!$C$114,'Equipment List &amp; Usage'!$C$115)*(('Weekly Summary'!Q$66*'Equipment List &amp; Usage'!$Q27)+('Weekly Summary'!Q$64*'Equipment List &amp; Usage'!$O27)+('Weekly Summary'!Q$65*'Equipment List &amp; Usage'!$P27)))+(IF('Equipment List &amp; Usage'!$F27="Yes",'Equipment List &amp; Usage'!$C$114*((('Weekly Summary'!Q$131*SelfQuarantine_Mild)+('Weekly Summary'!Q$100*SelfQuarantine_Mild)+('Weekly Summary'!Q$101*SelfQuarantine_Moderate))),'Equipment List &amp; Usage'!$C$115)*((('Weekly Summary'!Q$131*SelfQuarantine_Mild*'Equipment List &amp; Usage'!$W27)+('Weekly Summary'!Q$100*SelfQuarantine_Mild*'Equipment List &amp; Usage'!$X27)+('Weekly Summary'!Q$101*SelfQuarantine_Moderate*'Equipment List &amp; Usage'!$X27)))+IF('Equipment List &amp; Usage'!$F27="Yes",'Equipment List &amp; Usage'!$C$114*(IF('Equipment List &amp; Usage'!$AA27&gt;0,'Weekly Summary'!Q$128,0)+IF('Equipment List &amp; Usage'!$AB27&gt;0,'Weekly Summary'!Q$100+'Weekly Summary'!Q$101,0)),'Equipment List &amp; Usage'!$C$115*(('Weekly Summary'!Q$128*'Equipment List &amp; Usage'!$AA27)+('Weekly Summary'!Q$100*'Equipment List &amp; Usage'!$AB27*SelfQuarantine_Mild)+('Weekly Summary'!Q$101*'Equipment List &amp; Usage'!$AB27*SelfQuarantine_Moderate)))+IF('Equipment List &amp; Usage'!$F27="Yes",('Equipment List &amp; Usage'!$C$114*(IF('Equipment List &amp; Usage'!$AE27&gt;0,'Weekly Summary'!Q$134,0)+IF('Equipment List &amp; Usage'!$AF27&gt;0,'Weekly Summary'!Q$135))),'Equipment List &amp; Usage'!$C$115*(('Weekly Summary'!Q$134*'Equipment List &amp; Usage'!$AE27)+('Weekly Summary'!Q$135*'Equipment List &amp; Usage'!$AF27))))-SUM($I25:V25),
IF($F25="yes",MMULT(--('Equipment List &amp; Usage'!$J27:$N27&gt;0),--('Weekly Summary'!Q$112:Q$116))*'Equipment List &amp; Usage'!$C$114,MMULT(--('Equipment List &amp; Usage'!$J27:$N27),--('Weekly Summary'!Q$112:Q$116))*'Equipment List &amp; Usage'!$C$115)+IF('Equipment List &amp; Usage'!$F26="yes",'Equipment List &amp; Usage'!$C$114,'Equipment List &amp; Usage'!$C$115)*(('Weekly Summary'!Q$66*'Equipment List &amp; Usage'!$Q27)+('Weekly Summary'!Q$64*'Equipment List &amp; Usage'!$O27)+('Weekly Summary'!Q$65*'Equipment List &amp; Usage'!$P27))+(IF('Equipment List &amp; Usage'!$F27="Yes",'Equipment List &amp; Usage'!$C$114*((('Weekly Summary'!Q$131*SelfQuarantine_Mild)+('Weekly Summary'!Q$100*SelfQuarantine_Mild)+('Weekly Summary'!Q$101*SelfQuarantine_Moderate))),'Equipment List &amp; Usage'!$C$115)*((('Weekly Summary'!Q$131*SelfQuarantine_Mild*'Equipment List &amp; Usage'!$W27)+('Weekly Summary'!Q$100*SelfQuarantine_Mild*'Equipment List &amp; Usage'!$X27)+('Weekly Summary'!Q$101*SelfQuarantine_Moderate*'Equipment List &amp; Usage'!$X27))))+IF('Equipment List &amp; Usage'!$F27="Yes",'Equipment List &amp; Usage'!$C$114*(IF('Equipment List &amp; Usage'!$AA27&gt;0,'Weekly Summary'!Q$128,0)+IF('Equipment List &amp; Usage'!$AB27&gt;0,'Weekly Summary'!Q$100+'Weekly Summary'!Q$101,0)),'Equipment List &amp; Usage'!$C$115*(('Weekly Summary'!Q$128*'Equipment List &amp; Usage'!$AA27)+('Weekly Summary'!Q$100*'Equipment List &amp; Usage'!$AB27*SelfQuarantine_Mild)+('Weekly Summary'!Q$101*'Equipment List &amp; Usage'!$AB27*SelfQuarantine_Moderate)))+IF('Equipment List &amp; Usage'!$F27="Yes",('Equipment List &amp; Usage'!$C$114*(IF('Equipment List &amp; Usage'!$AE27&gt;0,'Weekly Summary'!Q$134,0)+IF('Equipment List &amp; Usage'!$AF27&gt;0,'Weekly Summary'!Q$135))),'Equipment List &amp; Usage'!$C$115*(('Weekly Summary'!Q$134*'Equipment List &amp; Usage'!$AE27)+('Weekly Summary'!Q$135*'Equipment List &amp; Usage'!$AF27)))),0)</f>
        <v>0</v>
      </c>
      <c r="X25" s="1374">
        <f ca="1">MAX(IF($F25="Yes",(
IF($F25="yes",MMULT(--('Equipment List &amp; Usage'!$J27:$N27&gt;0),--('Weekly Summary'!R$112:R$116))*'Equipment List &amp; Usage'!$C$114,MMULT(--('Equipment List &amp; Usage'!$J27:$N27),--('Weekly Summary'!R$112:R$116))*'Equipment List &amp; Usage'!$C$115)+IF('Equipment List &amp; Usage'!$F26="yes",'Equipment List &amp; Usage'!$C$114,'Equipment List &amp; Usage'!$C$115)*(('Weekly Summary'!R$66*'Equipment List &amp; Usage'!$Q27)+('Weekly Summary'!R$64*'Equipment List &amp; Usage'!$O27)+('Weekly Summary'!R$65*'Equipment List &amp; Usage'!$P27)))+(IF('Equipment List &amp; Usage'!$F27="Yes",'Equipment List &amp; Usage'!$C$114*((('Weekly Summary'!R$131*SelfQuarantine_Mild)+('Weekly Summary'!R$100*SelfQuarantine_Mild)+('Weekly Summary'!R$101*SelfQuarantine_Moderate))),'Equipment List &amp; Usage'!$C$115)*((('Weekly Summary'!R$131*SelfQuarantine_Mild*'Equipment List &amp; Usage'!$W27)+('Weekly Summary'!R$100*SelfQuarantine_Mild*'Equipment List &amp; Usage'!$X27)+('Weekly Summary'!R$101*SelfQuarantine_Moderate*'Equipment List &amp; Usage'!$X27)))+IF('Equipment List &amp; Usage'!$F27="Yes",'Equipment List &amp; Usage'!$C$114*(IF('Equipment List &amp; Usage'!$AA27&gt;0,'Weekly Summary'!R$128,0)+IF('Equipment List &amp; Usage'!$AB27&gt;0,'Weekly Summary'!R$100+'Weekly Summary'!R$101,0)),'Equipment List &amp; Usage'!$C$115*(('Weekly Summary'!R$128*'Equipment List &amp; Usage'!$AA27)+('Weekly Summary'!R$100*'Equipment List &amp; Usage'!$AB27*SelfQuarantine_Mild)+('Weekly Summary'!R$101*'Equipment List &amp; Usage'!$AB27*SelfQuarantine_Moderate)))+IF('Equipment List &amp; Usage'!$F27="Yes",('Equipment List &amp; Usage'!$C$114*(IF('Equipment List &amp; Usage'!$AE27&gt;0,'Weekly Summary'!R$134,0)+IF('Equipment List &amp; Usage'!$AF27&gt;0,'Weekly Summary'!R$135))),'Equipment List &amp; Usage'!$C$115*(('Weekly Summary'!R$134*'Equipment List &amp; Usage'!$AE27)+('Weekly Summary'!R$135*'Equipment List &amp; Usage'!$AF27))))-SUM($I25:W25),
IF($F25="yes",MMULT(--('Equipment List &amp; Usage'!$J27:$N27&gt;0),--('Weekly Summary'!R$112:R$116))*'Equipment List &amp; Usage'!$C$114,MMULT(--('Equipment List &amp; Usage'!$J27:$N27),--('Weekly Summary'!R$112:R$116))*'Equipment List &amp; Usage'!$C$115)+IF('Equipment List &amp; Usage'!$F26="yes",'Equipment List &amp; Usage'!$C$114,'Equipment List &amp; Usage'!$C$115)*(('Weekly Summary'!R$66*'Equipment List &amp; Usage'!$Q27)+('Weekly Summary'!R$64*'Equipment List &amp; Usage'!$O27)+('Weekly Summary'!R$65*'Equipment List &amp; Usage'!$P27))+(IF('Equipment List &amp; Usage'!$F27="Yes",'Equipment List &amp; Usage'!$C$114*((('Weekly Summary'!R$131*SelfQuarantine_Mild)+('Weekly Summary'!R$100*SelfQuarantine_Mild)+('Weekly Summary'!R$101*SelfQuarantine_Moderate))),'Equipment List &amp; Usage'!$C$115)*((('Weekly Summary'!R$131*SelfQuarantine_Mild*'Equipment List &amp; Usage'!$W27)+('Weekly Summary'!R$100*SelfQuarantine_Mild*'Equipment List &amp; Usage'!$X27)+('Weekly Summary'!R$101*SelfQuarantine_Moderate*'Equipment List &amp; Usage'!$X27))))+IF('Equipment List &amp; Usage'!$F27="Yes",'Equipment List &amp; Usage'!$C$114*(IF('Equipment List &amp; Usage'!$AA27&gt;0,'Weekly Summary'!R$128,0)+IF('Equipment List &amp; Usage'!$AB27&gt;0,'Weekly Summary'!R$100+'Weekly Summary'!R$101,0)),'Equipment List &amp; Usage'!$C$115*(('Weekly Summary'!R$128*'Equipment List &amp; Usage'!$AA27)+('Weekly Summary'!R$100*'Equipment List &amp; Usage'!$AB27*SelfQuarantine_Mild)+('Weekly Summary'!R$101*'Equipment List &amp; Usage'!$AB27*SelfQuarantine_Moderate)))+IF('Equipment List &amp; Usage'!$F27="Yes",('Equipment List &amp; Usage'!$C$114*(IF('Equipment List &amp; Usage'!$AE27&gt;0,'Weekly Summary'!R$134,0)+IF('Equipment List &amp; Usage'!$AF27&gt;0,'Weekly Summary'!R$135))),'Equipment List &amp; Usage'!$C$115*(('Weekly Summary'!R$134*'Equipment List &amp; Usage'!$AE27)+('Weekly Summary'!R$135*'Equipment List &amp; Usage'!$AF27)))),0)</f>
        <v>0</v>
      </c>
      <c r="Y25" s="1374">
        <f ca="1">MAX(IF($F25="Yes",(
IF($F25="yes",MMULT(--('Equipment List &amp; Usage'!$J27:$N27&gt;0),--('Weekly Summary'!S$112:S$116))*'Equipment List &amp; Usage'!$C$114,MMULT(--('Equipment List &amp; Usage'!$J27:$N27),--('Weekly Summary'!S$112:S$116))*'Equipment List &amp; Usage'!$C$115)+IF('Equipment List &amp; Usage'!$F26="yes",'Equipment List &amp; Usage'!$C$114,'Equipment List &amp; Usage'!$C$115)*(('Weekly Summary'!S$66*'Equipment List &amp; Usage'!$Q27)+('Weekly Summary'!S$64*'Equipment List &amp; Usage'!$O27)+('Weekly Summary'!S$65*'Equipment List &amp; Usage'!$P27)))+(IF('Equipment List &amp; Usage'!$F27="Yes",'Equipment List &amp; Usage'!$C$114*((('Weekly Summary'!S$131*SelfQuarantine_Mild)+('Weekly Summary'!S$100*SelfQuarantine_Mild)+('Weekly Summary'!S$101*SelfQuarantine_Moderate))),'Equipment List &amp; Usage'!$C$115)*((('Weekly Summary'!S$131*SelfQuarantine_Mild*'Equipment List &amp; Usage'!$W27)+('Weekly Summary'!S$100*SelfQuarantine_Mild*'Equipment List &amp; Usage'!$X27)+('Weekly Summary'!S$101*SelfQuarantine_Moderate*'Equipment List &amp; Usage'!$X27)))+IF('Equipment List &amp; Usage'!$F27="Yes",'Equipment List &amp; Usage'!$C$114*(IF('Equipment List &amp; Usage'!$AA27&gt;0,'Weekly Summary'!S$128,0)+IF('Equipment List &amp; Usage'!$AB27&gt;0,'Weekly Summary'!S$100+'Weekly Summary'!S$101,0)),'Equipment List &amp; Usage'!$C$115*(('Weekly Summary'!S$128*'Equipment List &amp; Usage'!$AA27)+('Weekly Summary'!S$100*'Equipment List &amp; Usage'!$AB27*SelfQuarantine_Mild)+('Weekly Summary'!S$101*'Equipment List &amp; Usage'!$AB27*SelfQuarantine_Moderate)))+IF('Equipment List &amp; Usage'!$F27="Yes",('Equipment List &amp; Usage'!$C$114*(IF('Equipment List &amp; Usage'!$AE27&gt;0,'Weekly Summary'!S$134,0)+IF('Equipment List &amp; Usage'!$AF27&gt;0,'Weekly Summary'!S$135))),'Equipment List &amp; Usage'!$C$115*(('Weekly Summary'!S$134*'Equipment List &amp; Usage'!$AE27)+('Weekly Summary'!S$135*'Equipment List &amp; Usage'!$AF27))))-SUM($I25:X25),
IF($F25="yes",MMULT(--('Equipment List &amp; Usage'!$J27:$N27&gt;0),--('Weekly Summary'!S$112:S$116))*'Equipment List &amp; Usage'!$C$114,MMULT(--('Equipment List &amp; Usage'!$J27:$N27),--('Weekly Summary'!S$112:S$116))*'Equipment List &amp; Usage'!$C$115)+IF('Equipment List &amp; Usage'!$F26="yes",'Equipment List &amp; Usage'!$C$114,'Equipment List &amp; Usage'!$C$115)*(('Weekly Summary'!S$66*'Equipment List &amp; Usage'!$Q27)+('Weekly Summary'!S$64*'Equipment List &amp; Usage'!$O27)+('Weekly Summary'!S$65*'Equipment List &amp; Usage'!$P27))+(IF('Equipment List &amp; Usage'!$F27="Yes",'Equipment List &amp; Usage'!$C$114*((('Weekly Summary'!S$131*SelfQuarantine_Mild)+('Weekly Summary'!S$100*SelfQuarantine_Mild)+('Weekly Summary'!S$101*SelfQuarantine_Moderate))),'Equipment List &amp; Usage'!$C$115)*((('Weekly Summary'!S$131*SelfQuarantine_Mild*'Equipment List &amp; Usage'!$W27)+('Weekly Summary'!S$100*SelfQuarantine_Mild*'Equipment List &amp; Usage'!$X27)+('Weekly Summary'!S$101*SelfQuarantine_Moderate*'Equipment List &amp; Usage'!$X27))))+IF('Equipment List &amp; Usage'!$F27="Yes",'Equipment List &amp; Usage'!$C$114*(IF('Equipment List &amp; Usage'!$AA27&gt;0,'Weekly Summary'!S$128,0)+IF('Equipment List &amp; Usage'!$AB27&gt;0,'Weekly Summary'!S$100+'Weekly Summary'!S$101,0)),'Equipment List &amp; Usage'!$C$115*(('Weekly Summary'!S$128*'Equipment List &amp; Usage'!$AA27)+('Weekly Summary'!S$100*'Equipment List &amp; Usage'!$AB27*SelfQuarantine_Mild)+('Weekly Summary'!S$101*'Equipment List &amp; Usage'!$AB27*SelfQuarantine_Moderate)))+IF('Equipment List &amp; Usage'!$F27="Yes",('Equipment List &amp; Usage'!$C$114*(IF('Equipment List &amp; Usage'!$AE27&gt;0,'Weekly Summary'!S$134,0)+IF('Equipment List &amp; Usage'!$AF27&gt;0,'Weekly Summary'!S$135))),'Equipment List &amp; Usage'!$C$115*(('Weekly Summary'!S$134*'Equipment List &amp; Usage'!$AE27)+('Weekly Summary'!S$135*'Equipment List &amp; Usage'!$AF27)))),0)</f>
        <v>0</v>
      </c>
      <c r="Z25" s="1374">
        <f ca="1">MAX(IF($F25="Yes",(
IF($F25="yes",MMULT(--('Equipment List &amp; Usage'!$J27:$N27&gt;0),--('Weekly Summary'!T$112:T$116))*'Equipment List &amp; Usage'!$C$114,MMULT(--('Equipment List &amp; Usage'!$J27:$N27),--('Weekly Summary'!T$112:T$116))*'Equipment List &amp; Usage'!$C$115)+IF('Equipment List &amp; Usage'!$F26="yes",'Equipment List &amp; Usage'!$C$114,'Equipment List &amp; Usage'!$C$115)*(('Weekly Summary'!T$66*'Equipment List &amp; Usage'!$Q27)+('Weekly Summary'!T$64*'Equipment List &amp; Usage'!$O27)+('Weekly Summary'!T$65*'Equipment List &amp; Usage'!$P27)))+(IF('Equipment List &amp; Usage'!$F27="Yes",'Equipment List &amp; Usage'!$C$114*((('Weekly Summary'!T$131*SelfQuarantine_Mild)+('Weekly Summary'!T$100*SelfQuarantine_Mild)+('Weekly Summary'!T$101*SelfQuarantine_Moderate))),'Equipment List &amp; Usage'!$C$115)*((('Weekly Summary'!T$131*SelfQuarantine_Mild*'Equipment List &amp; Usage'!$W27)+('Weekly Summary'!T$100*SelfQuarantine_Mild*'Equipment List &amp; Usage'!$X27)+('Weekly Summary'!T$101*SelfQuarantine_Moderate*'Equipment List &amp; Usage'!$X27)))+IF('Equipment List &amp; Usage'!$F27="Yes",'Equipment List &amp; Usage'!$C$114*(IF('Equipment List &amp; Usage'!$AA27&gt;0,'Weekly Summary'!T$128,0)+IF('Equipment List &amp; Usage'!$AB27&gt;0,'Weekly Summary'!T$100+'Weekly Summary'!T$101,0)),'Equipment List &amp; Usage'!$C$115*(('Weekly Summary'!T$128*'Equipment List &amp; Usage'!$AA27)+('Weekly Summary'!T$100*'Equipment List &amp; Usage'!$AB27*SelfQuarantine_Mild)+('Weekly Summary'!T$101*'Equipment List &amp; Usage'!$AB27*SelfQuarantine_Moderate)))+IF('Equipment List &amp; Usage'!$F27="Yes",('Equipment List &amp; Usage'!$C$114*(IF('Equipment List &amp; Usage'!$AE27&gt;0,'Weekly Summary'!T$134,0)+IF('Equipment List &amp; Usage'!$AF27&gt;0,'Weekly Summary'!T$135))),'Equipment List &amp; Usage'!$C$115*(('Weekly Summary'!T$134*'Equipment List &amp; Usage'!$AE27)+('Weekly Summary'!T$135*'Equipment List &amp; Usage'!$AF27))))-SUM($I25:Y25),
IF($F25="yes",MMULT(--('Equipment List &amp; Usage'!$J27:$N27&gt;0),--('Weekly Summary'!T$112:T$116))*'Equipment List &amp; Usage'!$C$114,MMULT(--('Equipment List &amp; Usage'!$J27:$N27),--('Weekly Summary'!T$112:T$116))*'Equipment List &amp; Usage'!$C$115)+IF('Equipment List &amp; Usage'!$F26="yes",'Equipment List &amp; Usage'!$C$114,'Equipment List &amp; Usage'!$C$115)*(('Weekly Summary'!T$66*'Equipment List &amp; Usage'!$Q27)+('Weekly Summary'!T$64*'Equipment List &amp; Usage'!$O27)+('Weekly Summary'!T$65*'Equipment List &amp; Usage'!$P27))+(IF('Equipment List &amp; Usage'!$F27="Yes",'Equipment List &amp; Usage'!$C$114*((('Weekly Summary'!T$131*SelfQuarantine_Mild)+('Weekly Summary'!T$100*SelfQuarantine_Mild)+('Weekly Summary'!T$101*SelfQuarantine_Moderate))),'Equipment List &amp; Usage'!$C$115)*((('Weekly Summary'!T$131*SelfQuarantine_Mild*'Equipment List &amp; Usage'!$W27)+('Weekly Summary'!T$100*SelfQuarantine_Mild*'Equipment List &amp; Usage'!$X27)+('Weekly Summary'!T$101*SelfQuarantine_Moderate*'Equipment List &amp; Usage'!$X27))))+IF('Equipment List &amp; Usage'!$F27="Yes",'Equipment List &amp; Usage'!$C$114*(IF('Equipment List &amp; Usage'!$AA27&gt;0,'Weekly Summary'!T$128,0)+IF('Equipment List &amp; Usage'!$AB27&gt;0,'Weekly Summary'!T$100+'Weekly Summary'!T$101,0)),'Equipment List &amp; Usage'!$C$115*(('Weekly Summary'!T$128*'Equipment List &amp; Usage'!$AA27)+('Weekly Summary'!T$100*'Equipment List &amp; Usage'!$AB27*SelfQuarantine_Mild)+('Weekly Summary'!T$101*'Equipment List &amp; Usage'!$AB27*SelfQuarantine_Moderate)))+IF('Equipment List &amp; Usage'!$F27="Yes",('Equipment List &amp; Usage'!$C$114*(IF('Equipment List &amp; Usage'!$AE27&gt;0,'Weekly Summary'!T$134,0)+IF('Equipment List &amp; Usage'!$AF27&gt;0,'Weekly Summary'!T$135))),'Equipment List &amp; Usage'!$C$115*(('Weekly Summary'!T$134*'Equipment List &amp; Usage'!$AE27)+('Weekly Summary'!T$135*'Equipment List &amp; Usage'!$AF27)))),0)</f>
        <v>0</v>
      </c>
      <c r="AA25" s="1374">
        <f ca="1">MAX(IF($F25="Yes",(
IF($F25="yes",MMULT(--('Equipment List &amp; Usage'!$J27:$N27&gt;0),--('Weekly Summary'!U$112:U$116))*'Equipment List &amp; Usage'!$C$114,MMULT(--('Equipment List &amp; Usage'!$J27:$N27),--('Weekly Summary'!U$112:U$116))*'Equipment List &amp; Usage'!$C$115)+IF('Equipment List &amp; Usage'!$F26="yes",'Equipment List &amp; Usage'!$C$114,'Equipment List &amp; Usage'!$C$115)*(('Weekly Summary'!U$66*'Equipment List &amp; Usage'!$Q27)+('Weekly Summary'!U$64*'Equipment List &amp; Usage'!$O27)+('Weekly Summary'!U$65*'Equipment List &amp; Usage'!$P27)))+(IF('Equipment List &amp; Usage'!$F27="Yes",'Equipment List &amp; Usage'!$C$114*((('Weekly Summary'!U$131*SelfQuarantine_Mild)+('Weekly Summary'!U$100*SelfQuarantine_Mild)+('Weekly Summary'!U$101*SelfQuarantine_Moderate))),'Equipment List &amp; Usage'!$C$115)*((('Weekly Summary'!U$131*SelfQuarantine_Mild*'Equipment List &amp; Usage'!$W27)+('Weekly Summary'!U$100*SelfQuarantine_Mild*'Equipment List &amp; Usage'!$X27)+('Weekly Summary'!U$101*SelfQuarantine_Moderate*'Equipment List &amp; Usage'!$X27)))+IF('Equipment List &amp; Usage'!$F27="Yes",'Equipment List &amp; Usage'!$C$114*(IF('Equipment List &amp; Usage'!$AA27&gt;0,'Weekly Summary'!U$128,0)+IF('Equipment List &amp; Usage'!$AB27&gt;0,'Weekly Summary'!U$100+'Weekly Summary'!U$101,0)),'Equipment List &amp; Usage'!$C$115*(('Weekly Summary'!U$128*'Equipment List &amp; Usage'!$AA27)+('Weekly Summary'!U$100*'Equipment List &amp; Usage'!$AB27*SelfQuarantine_Mild)+('Weekly Summary'!U$101*'Equipment List &amp; Usage'!$AB27*SelfQuarantine_Moderate)))+IF('Equipment List &amp; Usage'!$F27="Yes",('Equipment List &amp; Usage'!$C$114*(IF('Equipment List &amp; Usage'!$AE27&gt;0,'Weekly Summary'!U$134,0)+IF('Equipment List &amp; Usage'!$AF27&gt;0,'Weekly Summary'!U$135))),'Equipment List &amp; Usage'!$C$115*(('Weekly Summary'!U$134*'Equipment List &amp; Usage'!$AE27)+('Weekly Summary'!U$135*'Equipment List &amp; Usage'!$AF27))))-SUM($I25:Z25),
IF($F25="yes",MMULT(--('Equipment List &amp; Usage'!$J27:$N27&gt;0),--('Weekly Summary'!U$112:U$116))*'Equipment List &amp; Usage'!$C$114,MMULT(--('Equipment List &amp; Usage'!$J27:$N27),--('Weekly Summary'!U$112:U$116))*'Equipment List &amp; Usage'!$C$115)+IF('Equipment List &amp; Usage'!$F26="yes",'Equipment List &amp; Usage'!$C$114,'Equipment List &amp; Usage'!$C$115)*(('Weekly Summary'!U$66*'Equipment List &amp; Usage'!$Q27)+('Weekly Summary'!U$64*'Equipment List &amp; Usage'!$O27)+('Weekly Summary'!U$65*'Equipment List &amp; Usage'!$P27))+(IF('Equipment List &amp; Usage'!$F27="Yes",'Equipment List &amp; Usage'!$C$114*((('Weekly Summary'!U$131*SelfQuarantine_Mild)+('Weekly Summary'!U$100*SelfQuarantine_Mild)+('Weekly Summary'!U$101*SelfQuarantine_Moderate))),'Equipment List &amp; Usage'!$C$115)*((('Weekly Summary'!U$131*SelfQuarantine_Mild*'Equipment List &amp; Usage'!$W27)+('Weekly Summary'!U$100*SelfQuarantine_Mild*'Equipment List &amp; Usage'!$X27)+('Weekly Summary'!U$101*SelfQuarantine_Moderate*'Equipment List &amp; Usage'!$X27))))+IF('Equipment List &amp; Usage'!$F27="Yes",'Equipment List &amp; Usage'!$C$114*(IF('Equipment List &amp; Usage'!$AA27&gt;0,'Weekly Summary'!U$128,0)+IF('Equipment List &amp; Usage'!$AB27&gt;0,'Weekly Summary'!U$100+'Weekly Summary'!U$101,0)),'Equipment List &amp; Usage'!$C$115*(('Weekly Summary'!U$128*'Equipment List &amp; Usage'!$AA27)+('Weekly Summary'!U$100*'Equipment List &amp; Usage'!$AB27*SelfQuarantine_Mild)+('Weekly Summary'!U$101*'Equipment List &amp; Usage'!$AB27*SelfQuarantine_Moderate)))+IF('Equipment List &amp; Usage'!$F27="Yes",('Equipment List &amp; Usage'!$C$114*(IF('Equipment List &amp; Usage'!$AE27&gt;0,'Weekly Summary'!U$134,0)+IF('Equipment List &amp; Usage'!$AF27&gt;0,'Weekly Summary'!U$135))),'Equipment List &amp; Usage'!$C$115*(('Weekly Summary'!U$134*'Equipment List &amp; Usage'!$AE27)+('Weekly Summary'!U$135*'Equipment List &amp; Usage'!$AF27)))),0)</f>
        <v>0</v>
      </c>
      <c r="AB25" s="1374">
        <f ca="1">MAX(IF($F25="Yes",(
IF($F25="yes",MMULT(--('Equipment List &amp; Usage'!$J27:$N27&gt;0),--('Weekly Summary'!V$112:V$116))*'Equipment List &amp; Usage'!$C$114,MMULT(--('Equipment List &amp; Usage'!$J27:$N27),--('Weekly Summary'!V$112:V$116))*'Equipment List &amp; Usage'!$C$115)+IF('Equipment List &amp; Usage'!$F26="yes",'Equipment List &amp; Usage'!$C$114,'Equipment List &amp; Usage'!$C$115)*(('Weekly Summary'!V$66*'Equipment List &amp; Usage'!$Q27)+('Weekly Summary'!V$64*'Equipment List &amp; Usage'!$O27)+('Weekly Summary'!V$65*'Equipment List &amp; Usage'!$P27)))+(IF('Equipment List &amp; Usage'!$F27="Yes",'Equipment List &amp; Usage'!$C$114*((('Weekly Summary'!V$131*SelfQuarantine_Mild)+('Weekly Summary'!V$100*SelfQuarantine_Mild)+('Weekly Summary'!V$101*SelfQuarantine_Moderate))),'Equipment List &amp; Usage'!$C$115)*((('Weekly Summary'!V$131*SelfQuarantine_Mild*'Equipment List &amp; Usage'!$W27)+('Weekly Summary'!V$100*SelfQuarantine_Mild*'Equipment List &amp; Usage'!$X27)+('Weekly Summary'!V$101*SelfQuarantine_Moderate*'Equipment List &amp; Usage'!$X27)))+IF('Equipment List &amp; Usage'!$F27="Yes",'Equipment List &amp; Usage'!$C$114*(IF('Equipment List &amp; Usage'!$AA27&gt;0,'Weekly Summary'!V$128,0)+IF('Equipment List &amp; Usage'!$AB27&gt;0,'Weekly Summary'!V$100+'Weekly Summary'!V$101,0)),'Equipment List &amp; Usage'!$C$115*(('Weekly Summary'!V$128*'Equipment List &amp; Usage'!$AA27)+('Weekly Summary'!V$100*'Equipment List &amp; Usage'!$AB27*SelfQuarantine_Mild)+('Weekly Summary'!V$101*'Equipment List &amp; Usage'!$AB27*SelfQuarantine_Moderate)))+IF('Equipment List &amp; Usage'!$F27="Yes",('Equipment List &amp; Usage'!$C$114*(IF('Equipment List &amp; Usage'!$AE27&gt;0,'Weekly Summary'!V$134,0)+IF('Equipment List &amp; Usage'!$AF27&gt;0,'Weekly Summary'!V$135))),'Equipment List &amp; Usage'!$C$115*(('Weekly Summary'!V$134*'Equipment List &amp; Usage'!$AE27)+('Weekly Summary'!V$135*'Equipment List &amp; Usage'!$AF27))))-SUM($I25:AA25),
IF($F25="yes",MMULT(--('Equipment List &amp; Usage'!$J27:$N27&gt;0),--('Weekly Summary'!V$112:V$116))*'Equipment List &amp; Usage'!$C$114,MMULT(--('Equipment List &amp; Usage'!$J27:$N27),--('Weekly Summary'!V$112:V$116))*'Equipment List &amp; Usage'!$C$115)+IF('Equipment List &amp; Usage'!$F26="yes",'Equipment List &amp; Usage'!$C$114,'Equipment List &amp; Usage'!$C$115)*(('Weekly Summary'!V$66*'Equipment List &amp; Usage'!$Q27)+('Weekly Summary'!V$64*'Equipment List &amp; Usage'!$O27)+('Weekly Summary'!V$65*'Equipment List &amp; Usage'!$P27))+(IF('Equipment List &amp; Usage'!$F27="Yes",'Equipment List &amp; Usage'!$C$114*((('Weekly Summary'!V$131*SelfQuarantine_Mild)+('Weekly Summary'!V$100*SelfQuarantine_Mild)+('Weekly Summary'!V$101*SelfQuarantine_Moderate))),'Equipment List &amp; Usage'!$C$115)*((('Weekly Summary'!V$131*SelfQuarantine_Mild*'Equipment List &amp; Usage'!$W27)+('Weekly Summary'!V$100*SelfQuarantine_Mild*'Equipment List &amp; Usage'!$X27)+('Weekly Summary'!V$101*SelfQuarantine_Moderate*'Equipment List &amp; Usage'!$X27))))+IF('Equipment List &amp; Usage'!$F27="Yes",'Equipment List &amp; Usage'!$C$114*(IF('Equipment List &amp; Usage'!$AA27&gt;0,'Weekly Summary'!V$128,0)+IF('Equipment List &amp; Usage'!$AB27&gt;0,'Weekly Summary'!V$100+'Weekly Summary'!V$101,0)),'Equipment List &amp; Usage'!$C$115*(('Weekly Summary'!V$128*'Equipment List &amp; Usage'!$AA27)+('Weekly Summary'!V$100*'Equipment List &amp; Usage'!$AB27*SelfQuarantine_Mild)+('Weekly Summary'!V$101*'Equipment List &amp; Usage'!$AB27*SelfQuarantine_Moderate)))+IF('Equipment List &amp; Usage'!$F27="Yes",('Equipment List &amp; Usage'!$C$114*(IF('Equipment List &amp; Usage'!$AE27&gt;0,'Weekly Summary'!V$134,0)+IF('Equipment List &amp; Usage'!$AF27&gt;0,'Weekly Summary'!V$135))),'Equipment List &amp; Usage'!$C$115*(('Weekly Summary'!V$134*'Equipment List &amp; Usage'!$AE27)+('Weekly Summary'!V$135*'Equipment List &amp; Usage'!$AF27)))),0)</f>
        <v>0</v>
      </c>
      <c r="AC25" s="1374">
        <f ca="1">MAX(IF($F25="Yes",(
IF($F25="yes",MMULT(--('Equipment List &amp; Usage'!$J27:$N27&gt;0),--('Weekly Summary'!W$112:W$116))*'Equipment List &amp; Usage'!$C$114,MMULT(--('Equipment List &amp; Usage'!$J27:$N27),--('Weekly Summary'!W$112:W$116))*'Equipment List &amp; Usage'!$C$115)+IF('Equipment List &amp; Usage'!$F26="yes",'Equipment List &amp; Usage'!$C$114,'Equipment List &amp; Usage'!$C$115)*(('Weekly Summary'!W$66*'Equipment List &amp; Usage'!$Q27)+('Weekly Summary'!W$64*'Equipment List &amp; Usage'!$O27)+('Weekly Summary'!W$65*'Equipment List &amp; Usage'!$P27)))+(IF('Equipment List &amp; Usage'!$F27="Yes",'Equipment List &amp; Usage'!$C$114*((('Weekly Summary'!W$131*SelfQuarantine_Mild)+('Weekly Summary'!W$100*SelfQuarantine_Mild)+('Weekly Summary'!W$101*SelfQuarantine_Moderate))),'Equipment List &amp; Usage'!$C$115)*((('Weekly Summary'!W$131*SelfQuarantine_Mild*'Equipment List &amp; Usage'!$W27)+('Weekly Summary'!W$100*SelfQuarantine_Mild*'Equipment List &amp; Usage'!$X27)+('Weekly Summary'!W$101*SelfQuarantine_Moderate*'Equipment List &amp; Usage'!$X27)))+IF('Equipment List &amp; Usage'!$F27="Yes",'Equipment List &amp; Usage'!$C$114*(IF('Equipment List &amp; Usage'!$AA27&gt;0,'Weekly Summary'!W$128,0)+IF('Equipment List &amp; Usage'!$AB27&gt;0,'Weekly Summary'!W$100+'Weekly Summary'!W$101,0)),'Equipment List &amp; Usage'!$C$115*(('Weekly Summary'!W$128*'Equipment List &amp; Usage'!$AA27)+('Weekly Summary'!W$100*'Equipment List &amp; Usage'!$AB27*SelfQuarantine_Mild)+('Weekly Summary'!W$101*'Equipment List &amp; Usage'!$AB27*SelfQuarantine_Moderate)))+IF('Equipment List &amp; Usage'!$F27="Yes",('Equipment List &amp; Usage'!$C$114*(IF('Equipment List &amp; Usage'!$AE27&gt;0,'Weekly Summary'!W$134,0)+IF('Equipment List &amp; Usage'!$AF27&gt;0,'Weekly Summary'!W$135))),'Equipment List &amp; Usage'!$C$115*(('Weekly Summary'!W$134*'Equipment List &amp; Usage'!$AE27)+('Weekly Summary'!W$135*'Equipment List &amp; Usage'!$AF27))))-SUM($I25:AB25),
IF($F25="yes",MMULT(--('Equipment List &amp; Usage'!$J27:$N27&gt;0),--('Weekly Summary'!W$112:W$116))*'Equipment List &amp; Usage'!$C$114,MMULT(--('Equipment List &amp; Usage'!$J27:$N27),--('Weekly Summary'!W$112:W$116))*'Equipment List &amp; Usage'!$C$115)+IF('Equipment List &amp; Usage'!$F26="yes",'Equipment List &amp; Usage'!$C$114,'Equipment List &amp; Usage'!$C$115)*(('Weekly Summary'!W$66*'Equipment List &amp; Usage'!$Q27)+('Weekly Summary'!W$64*'Equipment List &amp; Usage'!$O27)+('Weekly Summary'!W$65*'Equipment List &amp; Usage'!$P27))+(IF('Equipment List &amp; Usage'!$F27="Yes",'Equipment List &amp; Usage'!$C$114*((('Weekly Summary'!W$131*SelfQuarantine_Mild)+('Weekly Summary'!W$100*SelfQuarantine_Mild)+('Weekly Summary'!W$101*SelfQuarantine_Moderate))),'Equipment List &amp; Usage'!$C$115)*((('Weekly Summary'!W$131*SelfQuarantine_Mild*'Equipment List &amp; Usage'!$W27)+('Weekly Summary'!W$100*SelfQuarantine_Mild*'Equipment List &amp; Usage'!$X27)+('Weekly Summary'!W$101*SelfQuarantine_Moderate*'Equipment List &amp; Usage'!$X27))))+IF('Equipment List &amp; Usage'!$F27="Yes",'Equipment List &amp; Usage'!$C$114*(IF('Equipment List &amp; Usage'!$AA27&gt;0,'Weekly Summary'!W$128,0)+IF('Equipment List &amp; Usage'!$AB27&gt;0,'Weekly Summary'!W$100+'Weekly Summary'!W$101,0)),'Equipment List &amp; Usage'!$C$115*(('Weekly Summary'!W$128*'Equipment List &amp; Usage'!$AA27)+('Weekly Summary'!W$100*'Equipment List &amp; Usage'!$AB27*SelfQuarantine_Mild)+('Weekly Summary'!W$101*'Equipment List &amp; Usage'!$AB27*SelfQuarantine_Moderate)))+IF('Equipment List &amp; Usage'!$F27="Yes",('Equipment List &amp; Usage'!$C$114*(IF('Equipment List &amp; Usage'!$AE27&gt;0,'Weekly Summary'!W$134,0)+IF('Equipment List &amp; Usage'!$AF27&gt;0,'Weekly Summary'!W$135))),'Equipment List &amp; Usage'!$C$115*(('Weekly Summary'!W$134*'Equipment List &amp; Usage'!$AE27)+('Weekly Summary'!W$135*'Equipment List &amp; Usage'!$AF27)))),0)</f>
        <v>0</v>
      </c>
      <c r="AD25" s="1374">
        <f ca="1">MAX(IF($F25="Yes",(
IF($F25="yes",MMULT(--('Equipment List &amp; Usage'!$J27:$N27&gt;0),--('Weekly Summary'!X$112:X$116))*'Equipment List &amp; Usage'!$C$114,MMULT(--('Equipment List &amp; Usage'!$J27:$N27),--('Weekly Summary'!X$112:X$116))*'Equipment List &amp; Usage'!$C$115)+IF('Equipment List &amp; Usage'!$F26="yes",'Equipment List &amp; Usage'!$C$114,'Equipment List &amp; Usage'!$C$115)*(('Weekly Summary'!X$66*'Equipment List &amp; Usage'!$Q27)+('Weekly Summary'!X$64*'Equipment List &amp; Usage'!$O27)+('Weekly Summary'!X$65*'Equipment List &amp; Usage'!$P27)))+(IF('Equipment List &amp; Usage'!$F27="Yes",'Equipment List &amp; Usage'!$C$114*((('Weekly Summary'!X$131*SelfQuarantine_Mild)+('Weekly Summary'!X$100*SelfQuarantine_Mild)+('Weekly Summary'!X$101*SelfQuarantine_Moderate))),'Equipment List &amp; Usage'!$C$115)*((('Weekly Summary'!X$131*SelfQuarantine_Mild*'Equipment List &amp; Usage'!$W27)+('Weekly Summary'!X$100*SelfQuarantine_Mild*'Equipment List &amp; Usage'!$X27)+('Weekly Summary'!X$101*SelfQuarantine_Moderate*'Equipment List &amp; Usage'!$X27)))+IF('Equipment List &amp; Usage'!$F27="Yes",'Equipment List &amp; Usage'!$C$114*(IF('Equipment List &amp; Usage'!$AA27&gt;0,'Weekly Summary'!X$128,0)+IF('Equipment List &amp; Usage'!$AB27&gt;0,'Weekly Summary'!X$100+'Weekly Summary'!X$101,0)),'Equipment List &amp; Usage'!$C$115*(('Weekly Summary'!X$128*'Equipment List &amp; Usage'!$AA27)+('Weekly Summary'!X$100*'Equipment List &amp; Usage'!$AB27*SelfQuarantine_Mild)+('Weekly Summary'!X$101*'Equipment List &amp; Usage'!$AB27*SelfQuarantine_Moderate)))+IF('Equipment List &amp; Usage'!$F27="Yes",('Equipment List &amp; Usage'!$C$114*(IF('Equipment List &amp; Usage'!$AE27&gt;0,'Weekly Summary'!X$134,0)+IF('Equipment List &amp; Usage'!$AF27&gt;0,'Weekly Summary'!X$135))),'Equipment List &amp; Usage'!$C$115*(('Weekly Summary'!X$134*'Equipment List &amp; Usage'!$AE27)+('Weekly Summary'!X$135*'Equipment List &amp; Usage'!$AF27))))-SUM($I25:AC25),
IF($F25="yes",MMULT(--('Equipment List &amp; Usage'!$J27:$N27&gt;0),--('Weekly Summary'!X$112:X$116))*'Equipment List &amp; Usage'!$C$114,MMULT(--('Equipment List &amp; Usage'!$J27:$N27),--('Weekly Summary'!X$112:X$116))*'Equipment List &amp; Usage'!$C$115)+IF('Equipment List &amp; Usage'!$F26="yes",'Equipment List &amp; Usage'!$C$114,'Equipment List &amp; Usage'!$C$115)*(('Weekly Summary'!X$66*'Equipment List &amp; Usage'!$Q27)+('Weekly Summary'!X$64*'Equipment List &amp; Usage'!$O27)+('Weekly Summary'!X$65*'Equipment List &amp; Usage'!$P27))+(IF('Equipment List &amp; Usage'!$F27="Yes",'Equipment List &amp; Usage'!$C$114*((('Weekly Summary'!X$131*SelfQuarantine_Mild)+('Weekly Summary'!X$100*SelfQuarantine_Mild)+('Weekly Summary'!X$101*SelfQuarantine_Moderate))),'Equipment List &amp; Usage'!$C$115)*((('Weekly Summary'!X$131*SelfQuarantine_Mild*'Equipment List &amp; Usage'!$W27)+('Weekly Summary'!X$100*SelfQuarantine_Mild*'Equipment List &amp; Usage'!$X27)+('Weekly Summary'!X$101*SelfQuarantine_Moderate*'Equipment List &amp; Usage'!$X27))))+IF('Equipment List &amp; Usage'!$F27="Yes",'Equipment List &amp; Usage'!$C$114*(IF('Equipment List &amp; Usage'!$AA27&gt;0,'Weekly Summary'!X$128,0)+IF('Equipment List &amp; Usage'!$AB27&gt;0,'Weekly Summary'!X$100+'Weekly Summary'!X$101,0)),'Equipment List &amp; Usage'!$C$115*(('Weekly Summary'!X$128*'Equipment List &amp; Usage'!$AA27)+('Weekly Summary'!X$100*'Equipment List &amp; Usage'!$AB27*SelfQuarantine_Mild)+('Weekly Summary'!X$101*'Equipment List &amp; Usage'!$AB27*SelfQuarantine_Moderate)))+IF('Equipment List &amp; Usage'!$F27="Yes",('Equipment List &amp; Usage'!$C$114*(IF('Equipment List &amp; Usage'!$AE27&gt;0,'Weekly Summary'!X$134,0)+IF('Equipment List &amp; Usage'!$AF27&gt;0,'Weekly Summary'!X$135))),'Equipment List &amp; Usage'!$C$115*(('Weekly Summary'!X$134*'Equipment List &amp; Usage'!$AE27)+('Weekly Summary'!X$135*'Equipment List &amp; Usage'!$AF27)))),0)</f>
        <v>0</v>
      </c>
      <c r="AE25" s="1374">
        <f ca="1">MAX(IF($F25="Yes",(
IF($F25="yes",MMULT(--('Equipment List &amp; Usage'!$J27:$N27&gt;0),--('Weekly Summary'!Y$112:Y$116))*'Equipment List &amp; Usage'!$C$114,MMULT(--('Equipment List &amp; Usage'!$J27:$N27),--('Weekly Summary'!Y$112:Y$116))*'Equipment List &amp; Usage'!$C$115)+IF('Equipment List &amp; Usage'!$F26="yes",'Equipment List &amp; Usage'!$C$114,'Equipment List &amp; Usage'!$C$115)*(('Weekly Summary'!Y$66*'Equipment List &amp; Usage'!$Q27)+('Weekly Summary'!Y$64*'Equipment List &amp; Usage'!$O27)+('Weekly Summary'!Y$65*'Equipment List &amp; Usage'!$P27)))+(IF('Equipment List &amp; Usage'!$F27="Yes",'Equipment List &amp; Usage'!$C$114*((('Weekly Summary'!Y$131*SelfQuarantine_Mild)+('Weekly Summary'!Y$100*SelfQuarantine_Mild)+('Weekly Summary'!Y$101*SelfQuarantine_Moderate))),'Equipment List &amp; Usage'!$C$115)*((('Weekly Summary'!Y$131*SelfQuarantine_Mild*'Equipment List &amp; Usage'!$W27)+('Weekly Summary'!Y$100*SelfQuarantine_Mild*'Equipment List &amp; Usage'!$X27)+('Weekly Summary'!Y$101*SelfQuarantine_Moderate*'Equipment List &amp; Usage'!$X27)))+IF('Equipment List &amp; Usage'!$F27="Yes",'Equipment List &amp; Usage'!$C$114*(IF('Equipment List &amp; Usage'!$AA27&gt;0,'Weekly Summary'!Y$128,0)+IF('Equipment List &amp; Usage'!$AB27&gt;0,'Weekly Summary'!Y$100+'Weekly Summary'!Y$101,0)),'Equipment List &amp; Usage'!$C$115*(('Weekly Summary'!Y$128*'Equipment List &amp; Usage'!$AA27)+('Weekly Summary'!Y$100*'Equipment List &amp; Usage'!$AB27*SelfQuarantine_Mild)+('Weekly Summary'!Y$101*'Equipment List &amp; Usage'!$AB27*SelfQuarantine_Moderate)))+IF('Equipment List &amp; Usage'!$F27="Yes",('Equipment List &amp; Usage'!$C$114*(IF('Equipment List &amp; Usage'!$AE27&gt;0,'Weekly Summary'!Y$134,0)+IF('Equipment List &amp; Usage'!$AF27&gt;0,'Weekly Summary'!Y$135))),'Equipment List &amp; Usage'!$C$115*(('Weekly Summary'!Y$134*'Equipment List &amp; Usage'!$AE27)+('Weekly Summary'!Y$135*'Equipment List &amp; Usage'!$AF27))))-SUM($I25:AD25),
IF($F25="yes",MMULT(--('Equipment List &amp; Usage'!$J27:$N27&gt;0),--('Weekly Summary'!Y$112:Y$116))*'Equipment List &amp; Usage'!$C$114,MMULT(--('Equipment List &amp; Usage'!$J27:$N27),--('Weekly Summary'!Y$112:Y$116))*'Equipment List &amp; Usage'!$C$115)+IF('Equipment List &amp; Usage'!$F26="yes",'Equipment List &amp; Usage'!$C$114,'Equipment List &amp; Usage'!$C$115)*(('Weekly Summary'!Y$66*'Equipment List &amp; Usage'!$Q27)+('Weekly Summary'!Y$64*'Equipment List &amp; Usage'!$O27)+('Weekly Summary'!Y$65*'Equipment List &amp; Usage'!$P27))+(IF('Equipment List &amp; Usage'!$F27="Yes",'Equipment List &amp; Usage'!$C$114*((('Weekly Summary'!Y$131*SelfQuarantine_Mild)+('Weekly Summary'!Y$100*SelfQuarantine_Mild)+('Weekly Summary'!Y$101*SelfQuarantine_Moderate))),'Equipment List &amp; Usage'!$C$115)*((('Weekly Summary'!Y$131*SelfQuarantine_Mild*'Equipment List &amp; Usage'!$W27)+('Weekly Summary'!Y$100*SelfQuarantine_Mild*'Equipment List &amp; Usage'!$X27)+('Weekly Summary'!Y$101*SelfQuarantine_Moderate*'Equipment List &amp; Usage'!$X27))))+IF('Equipment List &amp; Usage'!$F27="Yes",'Equipment List &amp; Usage'!$C$114*(IF('Equipment List &amp; Usage'!$AA27&gt;0,'Weekly Summary'!Y$128,0)+IF('Equipment List &amp; Usage'!$AB27&gt;0,'Weekly Summary'!Y$100+'Weekly Summary'!Y$101,0)),'Equipment List &amp; Usage'!$C$115*(('Weekly Summary'!Y$128*'Equipment List &amp; Usage'!$AA27)+('Weekly Summary'!Y$100*'Equipment List &amp; Usage'!$AB27*SelfQuarantine_Mild)+('Weekly Summary'!Y$101*'Equipment List &amp; Usage'!$AB27*SelfQuarantine_Moderate)))+IF('Equipment List &amp; Usage'!$F27="Yes",('Equipment List &amp; Usage'!$C$114*(IF('Equipment List &amp; Usage'!$AE27&gt;0,'Weekly Summary'!Y$134,0)+IF('Equipment List &amp; Usage'!$AF27&gt;0,'Weekly Summary'!Y$135))),'Equipment List &amp; Usage'!$C$115*(('Weekly Summary'!Y$134*'Equipment List &amp; Usage'!$AE27)+('Weekly Summary'!Y$135*'Equipment List &amp; Usage'!$AF27)))),0)</f>
        <v>0</v>
      </c>
      <c r="AF25" s="1374">
        <f ca="1">MAX(IF($F25="Yes",(
IF($F25="yes",MMULT(--('Equipment List &amp; Usage'!$J27:$N27&gt;0),--('Weekly Summary'!Z$112:Z$116))*'Equipment List &amp; Usage'!$C$114,MMULT(--('Equipment List &amp; Usage'!$J27:$N27),--('Weekly Summary'!Z$112:Z$116))*'Equipment List &amp; Usage'!$C$115)+IF('Equipment List &amp; Usage'!$F26="yes",'Equipment List &amp; Usage'!$C$114,'Equipment List &amp; Usage'!$C$115)*(('Weekly Summary'!Z$66*'Equipment List &amp; Usage'!$Q27)+('Weekly Summary'!Z$64*'Equipment List &amp; Usage'!$O27)+('Weekly Summary'!Z$65*'Equipment List &amp; Usage'!$P27)))+(IF('Equipment List &amp; Usage'!$F27="Yes",'Equipment List &amp; Usage'!$C$114*((('Weekly Summary'!Z$131*SelfQuarantine_Mild)+('Weekly Summary'!Z$100*SelfQuarantine_Mild)+('Weekly Summary'!Z$101*SelfQuarantine_Moderate))),'Equipment List &amp; Usage'!$C$115)*((('Weekly Summary'!Z$131*SelfQuarantine_Mild*'Equipment List &amp; Usage'!$W27)+('Weekly Summary'!Z$100*SelfQuarantine_Mild*'Equipment List &amp; Usage'!$X27)+('Weekly Summary'!Z$101*SelfQuarantine_Moderate*'Equipment List &amp; Usage'!$X27)))+IF('Equipment List &amp; Usage'!$F27="Yes",'Equipment List &amp; Usage'!$C$114*(IF('Equipment List &amp; Usage'!$AA27&gt;0,'Weekly Summary'!Z$128,0)+IF('Equipment List &amp; Usage'!$AB27&gt;0,'Weekly Summary'!Z$100+'Weekly Summary'!Z$101,0)),'Equipment List &amp; Usage'!$C$115*(('Weekly Summary'!Z$128*'Equipment List &amp; Usage'!$AA27)+('Weekly Summary'!Z$100*'Equipment List &amp; Usage'!$AB27*SelfQuarantine_Mild)+('Weekly Summary'!Z$101*'Equipment List &amp; Usage'!$AB27*SelfQuarantine_Moderate)))+IF('Equipment List &amp; Usage'!$F27="Yes",('Equipment List &amp; Usage'!$C$114*(IF('Equipment List &amp; Usage'!$AE27&gt;0,'Weekly Summary'!Z$134,0)+IF('Equipment List &amp; Usage'!$AF27&gt;0,'Weekly Summary'!Z$135))),'Equipment List &amp; Usage'!$C$115*(('Weekly Summary'!Z$134*'Equipment List &amp; Usage'!$AE27)+('Weekly Summary'!Z$135*'Equipment List &amp; Usage'!$AF27))))-SUM($I25:AE25),
IF($F25="yes",MMULT(--('Equipment List &amp; Usage'!$J27:$N27&gt;0),--('Weekly Summary'!Z$112:Z$116))*'Equipment List &amp; Usage'!$C$114,MMULT(--('Equipment List &amp; Usage'!$J27:$N27),--('Weekly Summary'!Z$112:Z$116))*'Equipment List &amp; Usage'!$C$115)+IF('Equipment List &amp; Usage'!$F26="yes",'Equipment List &amp; Usage'!$C$114,'Equipment List &amp; Usage'!$C$115)*(('Weekly Summary'!Z$66*'Equipment List &amp; Usage'!$Q27)+('Weekly Summary'!Z$64*'Equipment List &amp; Usage'!$O27)+('Weekly Summary'!Z$65*'Equipment List &amp; Usage'!$P27))+(IF('Equipment List &amp; Usage'!$F27="Yes",'Equipment List &amp; Usage'!$C$114*((('Weekly Summary'!Z$131*SelfQuarantine_Mild)+('Weekly Summary'!Z$100*SelfQuarantine_Mild)+('Weekly Summary'!Z$101*SelfQuarantine_Moderate))),'Equipment List &amp; Usage'!$C$115)*((('Weekly Summary'!Z$131*SelfQuarantine_Mild*'Equipment List &amp; Usage'!$W27)+('Weekly Summary'!Z$100*SelfQuarantine_Mild*'Equipment List &amp; Usage'!$X27)+('Weekly Summary'!Z$101*SelfQuarantine_Moderate*'Equipment List &amp; Usage'!$X27))))+IF('Equipment List &amp; Usage'!$F27="Yes",'Equipment List &amp; Usage'!$C$114*(IF('Equipment List &amp; Usage'!$AA27&gt;0,'Weekly Summary'!Z$128,0)+IF('Equipment List &amp; Usage'!$AB27&gt;0,'Weekly Summary'!Z$100+'Weekly Summary'!Z$101,0)),'Equipment List &amp; Usage'!$C$115*(('Weekly Summary'!Z$128*'Equipment List &amp; Usage'!$AA27)+('Weekly Summary'!Z$100*'Equipment List &amp; Usage'!$AB27*SelfQuarantine_Mild)+('Weekly Summary'!Z$101*'Equipment List &amp; Usage'!$AB27*SelfQuarantine_Moderate)))+IF('Equipment List &amp; Usage'!$F27="Yes",('Equipment List &amp; Usage'!$C$114*(IF('Equipment List &amp; Usage'!$AE27&gt;0,'Weekly Summary'!Z$134,0)+IF('Equipment List &amp; Usage'!$AF27&gt;0,'Weekly Summary'!Z$135))),'Equipment List &amp; Usage'!$C$115*(('Weekly Summary'!Z$134*'Equipment List &amp; Usage'!$AE27)+('Weekly Summary'!Z$135*'Equipment List &amp; Usage'!$AF27)))),0)</f>
        <v>0</v>
      </c>
      <c r="AG25" s="1374">
        <f ca="1">MAX(IF($F25="Yes",(
IF($F25="yes",MMULT(--('Equipment List &amp; Usage'!$J27:$N27&gt;0),--('Weekly Summary'!AA$112:AA$116))*'Equipment List &amp; Usage'!$C$114,MMULT(--('Equipment List &amp; Usage'!$J27:$N27),--('Weekly Summary'!AA$112:AA$116))*'Equipment List &amp; Usage'!$C$115)+IF('Equipment List &amp; Usage'!$F26="yes",'Equipment List &amp; Usage'!$C$114,'Equipment List &amp; Usage'!$C$115)*(('Weekly Summary'!AA$66*'Equipment List &amp; Usage'!$Q27)+('Weekly Summary'!AA$64*'Equipment List &amp; Usage'!$O27)+('Weekly Summary'!AA$65*'Equipment List &amp; Usage'!$P27)))+(IF('Equipment List &amp; Usage'!$F27="Yes",'Equipment List &amp; Usage'!$C$114*((('Weekly Summary'!AA$131*SelfQuarantine_Mild)+('Weekly Summary'!AA$100*SelfQuarantine_Mild)+('Weekly Summary'!AA$101*SelfQuarantine_Moderate))),'Equipment List &amp; Usage'!$C$115)*((('Weekly Summary'!AA$131*SelfQuarantine_Mild*'Equipment List &amp; Usage'!$W27)+('Weekly Summary'!AA$100*SelfQuarantine_Mild*'Equipment List &amp; Usage'!$X27)+('Weekly Summary'!AA$101*SelfQuarantine_Moderate*'Equipment List &amp; Usage'!$X27)))+IF('Equipment List &amp; Usage'!$F27="Yes",'Equipment List &amp; Usage'!$C$114*(IF('Equipment List &amp; Usage'!$AA27&gt;0,'Weekly Summary'!AA$128,0)+IF('Equipment List &amp; Usage'!$AB27&gt;0,'Weekly Summary'!AA$100+'Weekly Summary'!AA$101,0)),'Equipment List &amp; Usage'!$C$115*(('Weekly Summary'!AA$128*'Equipment List &amp; Usage'!$AA27)+('Weekly Summary'!AA$100*'Equipment List &amp; Usage'!$AB27*SelfQuarantine_Mild)+('Weekly Summary'!AA$101*'Equipment List &amp; Usage'!$AB27*SelfQuarantine_Moderate)))+IF('Equipment List &amp; Usage'!$F27="Yes",('Equipment List &amp; Usage'!$C$114*(IF('Equipment List &amp; Usage'!$AE27&gt;0,'Weekly Summary'!AA$134,0)+IF('Equipment List &amp; Usage'!$AF27&gt;0,'Weekly Summary'!AA$135))),'Equipment List &amp; Usage'!$C$115*(('Weekly Summary'!AA$134*'Equipment List &amp; Usage'!$AE27)+('Weekly Summary'!AA$135*'Equipment List &amp; Usage'!$AF27))))-SUM($I25:AF25),
IF($F25="yes",MMULT(--('Equipment List &amp; Usage'!$J27:$N27&gt;0),--('Weekly Summary'!AA$112:AA$116))*'Equipment List &amp; Usage'!$C$114,MMULT(--('Equipment List &amp; Usage'!$J27:$N27),--('Weekly Summary'!AA$112:AA$116))*'Equipment List &amp; Usage'!$C$115)+IF('Equipment List &amp; Usage'!$F26="yes",'Equipment List &amp; Usage'!$C$114,'Equipment List &amp; Usage'!$C$115)*(('Weekly Summary'!AA$66*'Equipment List &amp; Usage'!$Q27)+('Weekly Summary'!AA$64*'Equipment List &amp; Usage'!$O27)+('Weekly Summary'!AA$65*'Equipment List &amp; Usage'!$P27))+(IF('Equipment List &amp; Usage'!$F27="Yes",'Equipment List &amp; Usage'!$C$114*((('Weekly Summary'!AA$131*SelfQuarantine_Mild)+('Weekly Summary'!AA$100*SelfQuarantine_Mild)+('Weekly Summary'!AA$101*SelfQuarantine_Moderate))),'Equipment List &amp; Usage'!$C$115)*((('Weekly Summary'!AA$131*SelfQuarantine_Mild*'Equipment List &amp; Usage'!$W27)+('Weekly Summary'!AA$100*SelfQuarantine_Mild*'Equipment List &amp; Usage'!$X27)+('Weekly Summary'!AA$101*SelfQuarantine_Moderate*'Equipment List &amp; Usage'!$X27))))+IF('Equipment List &amp; Usage'!$F27="Yes",'Equipment List &amp; Usage'!$C$114*(IF('Equipment List &amp; Usage'!$AA27&gt;0,'Weekly Summary'!AA$128,0)+IF('Equipment List &amp; Usage'!$AB27&gt;0,'Weekly Summary'!AA$100+'Weekly Summary'!AA$101,0)),'Equipment List &amp; Usage'!$C$115*(('Weekly Summary'!AA$128*'Equipment List &amp; Usage'!$AA27)+('Weekly Summary'!AA$100*'Equipment List &amp; Usage'!$AB27*SelfQuarantine_Mild)+('Weekly Summary'!AA$101*'Equipment List &amp; Usage'!$AB27*SelfQuarantine_Moderate)))+IF('Equipment List &amp; Usage'!$F27="Yes",('Equipment List &amp; Usage'!$C$114*(IF('Equipment List &amp; Usage'!$AE27&gt;0,'Weekly Summary'!AA$134,0)+IF('Equipment List &amp; Usage'!$AF27&gt;0,'Weekly Summary'!AA$135))),'Equipment List &amp; Usage'!$C$115*(('Weekly Summary'!AA$134*'Equipment List &amp; Usage'!$AE27)+('Weekly Summary'!AA$135*'Equipment List &amp; Usage'!$AF27)))),0)</f>
        <v>0</v>
      </c>
      <c r="AH25" s="1374">
        <f ca="1">MAX(IF($F25="Yes",(
IF($F25="yes",MMULT(--('Equipment List &amp; Usage'!$J27:$N27&gt;0),--('Weekly Summary'!AB$112:AB$116))*'Equipment List &amp; Usage'!$C$114,MMULT(--('Equipment List &amp; Usage'!$J27:$N27),--('Weekly Summary'!AB$112:AB$116))*'Equipment List &amp; Usage'!$C$115)+IF('Equipment List &amp; Usage'!$F26="yes",'Equipment List &amp; Usage'!$C$114,'Equipment List &amp; Usage'!$C$115)*(('Weekly Summary'!AB$66*'Equipment List &amp; Usage'!$Q27)+('Weekly Summary'!AB$64*'Equipment List &amp; Usage'!$O27)+('Weekly Summary'!AB$65*'Equipment List &amp; Usage'!$P27)))+(IF('Equipment List &amp; Usage'!$F27="Yes",'Equipment List &amp; Usage'!$C$114*((('Weekly Summary'!AB$131*SelfQuarantine_Mild)+('Weekly Summary'!AB$100*SelfQuarantine_Mild)+('Weekly Summary'!AB$101*SelfQuarantine_Moderate))),'Equipment List &amp; Usage'!$C$115)*((('Weekly Summary'!AB$131*SelfQuarantine_Mild*'Equipment List &amp; Usage'!$W27)+('Weekly Summary'!AB$100*SelfQuarantine_Mild*'Equipment List &amp; Usage'!$X27)+('Weekly Summary'!AB$101*SelfQuarantine_Moderate*'Equipment List &amp; Usage'!$X27)))+IF('Equipment List &amp; Usage'!$F27="Yes",'Equipment List &amp; Usage'!$C$114*(IF('Equipment List &amp; Usage'!$AA27&gt;0,'Weekly Summary'!AB$128,0)+IF('Equipment List &amp; Usage'!$AB27&gt;0,'Weekly Summary'!AB$100+'Weekly Summary'!AB$101,0)),'Equipment List &amp; Usage'!$C$115*(('Weekly Summary'!AB$128*'Equipment List &amp; Usage'!$AA27)+('Weekly Summary'!AB$100*'Equipment List &amp; Usage'!$AB27*SelfQuarantine_Mild)+('Weekly Summary'!AB$101*'Equipment List &amp; Usage'!$AB27*SelfQuarantine_Moderate)))+IF('Equipment List &amp; Usage'!$F27="Yes",('Equipment List &amp; Usage'!$C$114*(IF('Equipment List &amp; Usage'!$AE27&gt;0,'Weekly Summary'!AB$134,0)+IF('Equipment List &amp; Usage'!$AF27&gt;0,'Weekly Summary'!AB$135))),'Equipment List &amp; Usage'!$C$115*(('Weekly Summary'!AB$134*'Equipment List &amp; Usage'!$AE27)+('Weekly Summary'!AB$135*'Equipment List &amp; Usage'!$AF27))))-SUM($I25:AG25),
IF($F25="yes",MMULT(--('Equipment List &amp; Usage'!$J27:$N27&gt;0),--('Weekly Summary'!AB$112:AB$116))*'Equipment List &amp; Usage'!$C$114,MMULT(--('Equipment List &amp; Usage'!$J27:$N27),--('Weekly Summary'!AB$112:AB$116))*'Equipment List &amp; Usage'!$C$115)+IF('Equipment List &amp; Usage'!$F26="yes",'Equipment List &amp; Usage'!$C$114,'Equipment List &amp; Usage'!$C$115)*(('Weekly Summary'!AB$66*'Equipment List &amp; Usage'!$Q27)+('Weekly Summary'!AB$64*'Equipment List &amp; Usage'!$O27)+('Weekly Summary'!AB$65*'Equipment List &amp; Usage'!$P27))+(IF('Equipment List &amp; Usage'!$F27="Yes",'Equipment List &amp; Usage'!$C$114*((('Weekly Summary'!AB$131*SelfQuarantine_Mild)+('Weekly Summary'!AB$100*SelfQuarantine_Mild)+('Weekly Summary'!AB$101*SelfQuarantine_Moderate))),'Equipment List &amp; Usage'!$C$115)*((('Weekly Summary'!AB$131*SelfQuarantine_Mild*'Equipment List &amp; Usage'!$W27)+('Weekly Summary'!AB$100*SelfQuarantine_Mild*'Equipment List &amp; Usage'!$X27)+('Weekly Summary'!AB$101*SelfQuarantine_Moderate*'Equipment List &amp; Usage'!$X27))))+IF('Equipment List &amp; Usage'!$F27="Yes",'Equipment List &amp; Usage'!$C$114*(IF('Equipment List &amp; Usage'!$AA27&gt;0,'Weekly Summary'!AB$128,0)+IF('Equipment List &amp; Usage'!$AB27&gt;0,'Weekly Summary'!AB$100+'Weekly Summary'!AB$101,0)),'Equipment List &amp; Usage'!$C$115*(('Weekly Summary'!AB$128*'Equipment List &amp; Usage'!$AA27)+('Weekly Summary'!AB$100*'Equipment List &amp; Usage'!$AB27*SelfQuarantine_Mild)+('Weekly Summary'!AB$101*'Equipment List &amp; Usage'!$AB27*SelfQuarantine_Moderate)))+IF('Equipment List &amp; Usage'!$F27="Yes",('Equipment List &amp; Usage'!$C$114*(IF('Equipment List &amp; Usage'!$AE27&gt;0,'Weekly Summary'!AB$134,0)+IF('Equipment List &amp; Usage'!$AF27&gt;0,'Weekly Summary'!AB$135))),'Equipment List &amp; Usage'!$C$115*(('Weekly Summary'!AB$134*'Equipment List &amp; Usage'!$AE27)+('Weekly Summary'!AB$135*'Equipment List &amp; Usage'!$AF27)))),0)</f>
        <v>0</v>
      </c>
      <c r="AI25" s="1374">
        <f ca="1">MAX(IF($F25="Yes",(
IF($F25="yes",MMULT(--('Equipment List &amp; Usage'!$J27:$N27&gt;0),--('Weekly Summary'!AC$112:AC$116))*'Equipment List &amp; Usage'!$C$114,MMULT(--('Equipment List &amp; Usage'!$J27:$N27),--('Weekly Summary'!AC$112:AC$116))*'Equipment List &amp; Usage'!$C$115)+IF('Equipment List &amp; Usage'!$F26="yes",'Equipment List &amp; Usage'!$C$114,'Equipment List &amp; Usage'!$C$115)*(('Weekly Summary'!AC$66*'Equipment List &amp; Usage'!$Q27)+('Weekly Summary'!AC$64*'Equipment List &amp; Usage'!$O27)+('Weekly Summary'!AC$65*'Equipment List &amp; Usage'!$P27)))+(IF('Equipment List &amp; Usage'!$F27="Yes",'Equipment List &amp; Usage'!$C$114*((('Weekly Summary'!AC$131*SelfQuarantine_Mild)+('Weekly Summary'!AC$100*SelfQuarantine_Mild)+('Weekly Summary'!AC$101*SelfQuarantine_Moderate))),'Equipment List &amp; Usage'!$C$115)*((('Weekly Summary'!AC$131*SelfQuarantine_Mild*'Equipment List &amp; Usage'!$W27)+('Weekly Summary'!AC$100*SelfQuarantine_Mild*'Equipment List &amp; Usage'!$X27)+('Weekly Summary'!AC$101*SelfQuarantine_Moderate*'Equipment List &amp; Usage'!$X27)))+IF('Equipment List &amp; Usage'!$F27="Yes",'Equipment List &amp; Usage'!$C$114*(IF('Equipment List &amp; Usage'!$AA27&gt;0,'Weekly Summary'!AC$128,0)+IF('Equipment List &amp; Usage'!$AB27&gt;0,'Weekly Summary'!AC$100+'Weekly Summary'!AC$101,0)),'Equipment List &amp; Usage'!$C$115*(('Weekly Summary'!AC$128*'Equipment List &amp; Usage'!$AA27)+('Weekly Summary'!AC$100*'Equipment List &amp; Usage'!$AB27*SelfQuarantine_Mild)+('Weekly Summary'!AC$101*'Equipment List &amp; Usage'!$AB27*SelfQuarantine_Moderate)))+IF('Equipment List &amp; Usage'!$F27="Yes",('Equipment List &amp; Usage'!$C$114*(IF('Equipment List &amp; Usage'!$AE27&gt;0,'Weekly Summary'!AC$134,0)+IF('Equipment List &amp; Usage'!$AF27&gt;0,'Weekly Summary'!AC$135))),'Equipment List &amp; Usage'!$C$115*(('Weekly Summary'!AC$134*'Equipment List &amp; Usage'!$AE27)+('Weekly Summary'!AC$135*'Equipment List &amp; Usage'!$AF27))))-SUM($I25:AH25),
IF($F25="yes",MMULT(--('Equipment List &amp; Usage'!$J27:$N27&gt;0),--('Weekly Summary'!AC$112:AC$116))*'Equipment List &amp; Usage'!$C$114,MMULT(--('Equipment List &amp; Usage'!$J27:$N27),--('Weekly Summary'!AC$112:AC$116))*'Equipment List &amp; Usage'!$C$115)+IF('Equipment List &amp; Usage'!$F26="yes",'Equipment List &amp; Usage'!$C$114,'Equipment List &amp; Usage'!$C$115)*(('Weekly Summary'!AC$66*'Equipment List &amp; Usage'!$Q27)+('Weekly Summary'!AC$64*'Equipment List &amp; Usage'!$O27)+('Weekly Summary'!AC$65*'Equipment List &amp; Usage'!$P27))+(IF('Equipment List &amp; Usage'!$F27="Yes",'Equipment List &amp; Usage'!$C$114*((('Weekly Summary'!AC$131*SelfQuarantine_Mild)+('Weekly Summary'!AC$100*SelfQuarantine_Mild)+('Weekly Summary'!AC$101*SelfQuarantine_Moderate))),'Equipment List &amp; Usage'!$C$115)*((('Weekly Summary'!AC$131*SelfQuarantine_Mild*'Equipment List &amp; Usage'!$W27)+('Weekly Summary'!AC$100*SelfQuarantine_Mild*'Equipment List &amp; Usage'!$X27)+('Weekly Summary'!AC$101*SelfQuarantine_Moderate*'Equipment List &amp; Usage'!$X27))))+IF('Equipment List &amp; Usage'!$F27="Yes",'Equipment List &amp; Usage'!$C$114*(IF('Equipment List &amp; Usage'!$AA27&gt;0,'Weekly Summary'!AC$128,0)+IF('Equipment List &amp; Usage'!$AB27&gt;0,'Weekly Summary'!AC$100+'Weekly Summary'!AC$101,0)),'Equipment List &amp; Usage'!$C$115*(('Weekly Summary'!AC$128*'Equipment List &amp; Usage'!$AA27)+('Weekly Summary'!AC$100*'Equipment List &amp; Usage'!$AB27*SelfQuarantine_Mild)+('Weekly Summary'!AC$101*'Equipment List &amp; Usage'!$AB27*SelfQuarantine_Moderate)))+IF('Equipment List &amp; Usage'!$F27="Yes",('Equipment List &amp; Usage'!$C$114*(IF('Equipment List &amp; Usage'!$AE27&gt;0,'Weekly Summary'!AC$134,0)+IF('Equipment List &amp; Usage'!$AF27&gt;0,'Weekly Summary'!AC$135))),'Equipment List &amp; Usage'!$C$115*(('Weekly Summary'!AC$134*'Equipment List &amp; Usage'!$AE27)+('Weekly Summary'!AC$135*'Equipment List &amp; Usage'!$AF27)))),0)</f>
        <v>0</v>
      </c>
      <c r="AJ25" s="1374">
        <f ca="1">MAX(IF($F25="Yes",(
IF($F25="yes",MMULT(--('Equipment List &amp; Usage'!$J27:$N27&gt;0),--('Weekly Summary'!AD$112:AD$116))*'Equipment List &amp; Usage'!$C$114,MMULT(--('Equipment List &amp; Usage'!$J27:$N27),--('Weekly Summary'!AD$112:AD$116))*'Equipment List &amp; Usage'!$C$115)+IF('Equipment List &amp; Usage'!$F26="yes",'Equipment List &amp; Usage'!$C$114,'Equipment List &amp; Usage'!$C$115)*(('Weekly Summary'!AD$66*'Equipment List &amp; Usage'!$Q27)+('Weekly Summary'!AD$64*'Equipment List &amp; Usage'!$O27)+('Weekly Summary'!AD$65*'Equipment List &amp; Usage'!$P27)))+(IF('Equipment List &amp; Usage'!$F27="Yes",'Equipment List &amp; Usage'!$C$114*((('Weekly Summary'!AD$131*SelfQuarantine_Mild)+('Weekly Summary'!AD$100*SelfQuarantine_Mild)+('Weekly Summary'!AD$101*SelfQuarantine_Moderate))),'Equipment List &amp; Usage'!$C$115)*((('Weekly Summary'!AD$131*SelfQuarantine_Mild*'Equipment List &amp; Usage'!$W27)+('Weekly Summary'!AD$100*SelfQuarantine_Mild*'Equipment List &amp; Usage'!$X27)+('Weekly Summary'!AD$101*SelfQuarantine_Moderate*'Equipment List &amp; Usage'!$X27)))+IF('Equipment List &amp; Usage'!$F27="Yes",'Equipment List &amp; Usage'!$C$114*(IF('Equipment List &amp; Usage'!$AA27&gt;0,'Weekly Summary'!AD$128,0)+IF('Equipment List &amp; Usage'!$AB27&gt;0,'Weekly Summary'!AD$100+'Weekly Summary'!AD$101,0)),'Equipment List &amp; Usage'!$C$115*(('Weekly Summary'!AD$128*'Equipment List &amp; Usage'!$AA27)+('Weekly Summary'!AD$100*'Equipment List &amp; Usage'!$AB27*SelfQuarantine_Mild)+('Weekly Summary'!AD$101*'Equipment List &amp; Usage'!$AB27*SelfQuarantine_Moderate)))+IF('Equipment List &amp; Usage'!$F27="Yes",('Equipment List &amp; Usage'!$C$114*(IF('Equipment List &amp; Usage'!$AE27&gt;0,'Weekly Summary'!AD$134,0)+IF('Equipment List &amp; Usage'!$AF27&gt;0,'Weekly Summary'!AD$135))),'Equipment List &amp; Usage'!$C$115*(('Weekly Summary'!AD$134*'Equipment List &amp; Usage'!$AE27)+('Weekly Summary'!AD$135*'Equipment List &amp; Usage'!$AF27))))-SUM($I25:AI25),
IF($F25="yes",MMULT(--('Equipment List &amp; Usage'!$J27:$N27&gt;0),--('Weekly Summary'!AD$112:AD$116))*'Equipment List &amp; Usage'!$C$114,MMULT(--('Equipment List &amp; Usage'!$J27:$N27),--('Weekly Summary'!AD$112:AD$116))*'Equipment List &amp; Usage'!$C$115)+IF('Equipment List &amp; Usage'!$F26="yes",'Equipment List &amp; Usage'!$C$114,'Equipment List &amp; Usage'!$C$115)*(('Weekly Summary'!AD$66*'Equipment List &amp; Usage'!$Q27)+('Weekly Summary'!AD$64*'Equipment List &amp; Usage'!$O27)+('Weekly Summary'!AD$65*'Equipment List &amp; Usage'!$P27))+(IF('Equipment List &amp; Usage'!$F27="Yes",'Equipment List &amp; Usage'!$C$114*((('Weekly Summary'!AD$131*SelfQuarantine_Mild)+('Weekly Summary'!AD$100*SelfQuarantine_Mild)+('Weekly Summary'!AD$101*SelfQuarantine_Moderate))),'Equipment List &amp; Usage'!$C$115)*((('Weekly Summary'!AD$131*SelfQuarantine_Mild*'Equipment List &amp; Usage'!$W27)+('Weekly Summary'!AD$100*SelfQuarantine_Mild*'Equipment List &amp; Usage'!$X27)+('Weekly Summary'!AD$101*SelfQuarantine_Moderate*'Equipment List &amp; Usage'!$X27))))+IF('Equipment List &amp; Usage'!$F27="Yes",'Equipment List &amp; Usage'!$C$114*(IF('Equipment List &amp; Usage'!$AA27&gt;0,'Weekly Summary'!AD$128,0)+IF('Equipment List &amp; Usage'!$AB27&gt;0,'Weekly Summary'!AD$100+'Weekly Summary'!AD$101,0)),'Equipment List &amp; Usage'!$C$115*(('Weekly Summary'!AD$128*'Equipment List &amp; Usage'!$AA27)+('Weekly Summary'!AD$100*'Equipment List &amp; Usage'!$AB27*SelfQuarantine_Mild)+('Weekly Summary'!AD$101*'Equipment List &amp; Usage'!$AB27*SelfQuarantine_Moderate)))+IF('Equipment List &amp; Usage'!$F27="Yes",('Equipment List &amp; Usage'!$C$114*(IF('Equipment List &amp; Usage'!$AE27&gt;0,'Weekly Summary'!AD$134,0)+IF('Equipment List &amp; Usage'!$AF27&gt;0,'Weekly Summary'!AD$135))),'Equipment List &amp; Usage'!$C$115*(('Weekly Summary'!AD$134*'Equipment List &amp; Usage'!$AE27)+('Weekly Summary'!AD$135*'Equipment List &amp; Usage'!$AF27)))),0)</f>
        <v>0</v>
      </c>
      <c r="AK25" s="1374">
        <f ca="1">MAX(IF($F25="Yes",(
IF($F25="yes",MMULT(--('Equipment List &amp; Usage'!$J27:$N27&gt;0),--('Weekly Summary'!AE$112:AE$116))*'Equipment List &amp; Usage'!$C$114,MMULT(--('Equipment List &amp; Usage'!$J27:$N27),--('Weekly Summary'!AE$112:AE$116))*'Equipment List &amp; Usage'!$C$115)+IF('Equipment List &amp; Usage'!$F26="yes",'Equipment List &amp; Usage'!$C$114,'Equipment List &amp; Usage'!$C$115)*(('Weekly Summary'!AE$66*'Equipment List &amp; Usage'!$Q27)+('Weekly Summary'!AE$64*'Equipment List &amp; Usage'!$O27)+('Weekly Summary'!AE$65*'Equipment List &amp; Usage'!$P27)))+(IF('Equipment List &amp; Usage'!$F27="Yes",'Equipment List &amp; Usage'!$C$114*((('Weekly Summary'!AE$131*SelfQuarantine_Mild)+('Weekly Summary'!AE$100*SelfQuarantine_Mild)+('Weekly Summary'!AE$101*SelfQuarantine_Moderate))),'Equipment List &amp; Usage'!$C$115)*((('Weekly Summary'!AE$131*SelfQuarantine_Mild*'Equipment List &amp; Usage'!$W27)+('Weekly Summary'!AE$100*SelfQuarantine_Mild*'Equipment List &amp; Usage'!$X27)+('Weekly Summary'!AE$101*SelfQuarantine_Moderate*'Equipment List &amp; Usage'!$X27)))+IF('Equipment List &amp; Usage'!$F27="Yes",'Equipment List &amp; Usage'!$C$114*(IF('Equipment List &amp; Usage'!$AA27&gt;0,'Weekly Summary'!AE$128,0)+IF('Equipment List &amp; Usage'!$AB27&gt;0,'Weekly Summary'!AE$100+'Weekly Summary'!AE$101,0)),'Equipment List &amp; Usage'!$C$115*(('Weekly Summary'!AE$128*'Equipment List &amp; Usage'!$AA27)+('Weekly Summary'!AE$100*'Equipment List &amp; Usage'!$AB27*SelfQuarantine_Mild)+('Weekly Summary'!AE$101*'Equipment List &amp; Usage'!$AB27*SelfQuarantine_Moderate)))+IF('Equipment List &amp; Usage'!$F27="Yes",('Equipment List &amp; Usage'!$C$114*(IF('Equipment List &amp; Usage'!$AE27&gt;0,'Weekly Summary'!AE$134,0)+IF('Equipment List &amp; Usage'!$AF27&gt;0,'Weekly Summary'!AE$135))),'Equipment List &amp; Usage'!$C$115*(('Weekly Summary'!AE$134*'Equipment List &amp; Usage'!$AE27)+('Weekly Summary'!AE$135*'Equipment List &amp; Usage'!$AF27))))-SUM($I25:AJ25),
IF($F25="yes",MMULT(--('Equipment List &amp; Usage'!$J27:$N27&gt;0),--('Weekly Summary'!AE$112:AE$116))*'Equipment List &amp; Usage'!$C$114,MMULT(--('Equipment List &amp; Usage'!$J27:$N27),--('Weekly Summary'!AE$112:AE$116))*'Equipment List &amp; Usage'!$C$115)+IF('Equipment List &amp; Usage'!$F26="yes",'Equipment List &amp; Usage'!$C$114,'Equipment List &amp; Usage'!$C$115)*(('Weekly Summary'!AE$66*'Equipment List &amp; Usage'!$Q27)+('Weekly Summary'!AE$64*'Equipment List &amp; Usage'!$O27)+('Weekly Summary'!AE$65*'Equipment List &amp; Usage'!$P27))+(IF('Equipment List &amp; Usage'!$F27="Yes",'Equipment List &amp; Usage'!$C$114*((('Weekly Summary'!AE$131*SelfQuarantine_Mild)+('Weekly Summary'!AE$100*SelfQuarantine_Mild)+('Weekly Summary'!AE$101*SelfQuarantine_Moderate))),'Equipment List &amp; Usage'!$C$115)*((('Weekly Summary'!AE$131*SelfQuarantine_Mild*'Equipment List &amp; Usage'!$W27)+('Weekly Summary'!AE$100*SelfQuarantine_Mild*'Equipment List &amp; Usage'!$X27)+('Weekly Summary'!AE$101*SelfQuarantine_Moderate*'Equipment List &amp; Usage'!$X27))))+IF('Equipment List &amp; Usage'!$F27="Yes",'Equipment List &amp; Usage'!$C$114*(IF('Equipment List &amp; Usage'!$AA27&gt;0,'Weekly Summary'!AE$128,0)+IF('Equipment List &amp; Usage'!$AB27&gt;0,'Weekly Summary'!AE$100+'Weekly Summary'!AE$101,0)),'Equipment List &amp; Usage'!$C$115*(('Weekly Summary'!AE$128*'Equipment List &amp; Usage'!$AA27)+('Weekly Summary'!AE$100*'Equipment List &amp; Usage'!$AB27*SelfQuarantine_Mild)+('Weekly Summary'!AE$101*'Equipment List &amp; Usage'!$AB27*SelfQuarantine_Moderate)))+IF('Equipment List &amp; Usage'!$F27="Yes",('Equipment List &amp; Usage'!$C$114*(IF('Equipment List &amp; Usage'!$AE27&gt;0,'Weekly Summary'!AE$134,0)+IF('Equipment List &amp; Usage'!$AF27&gt;0,'Weekly Summary'!AE$135))),'Equipment List &amp; Usage'!$C$115*(('Weekly Summary'!AE$134*'Equipment List &amp; Usage'!$AE27)+('Weekly Summary'!AE$135*'Equipment List &amp; Usage'!$AF27)))),0)</f>
        <v>0</v>
      </c>
      <c r="AL25" s="1374">
        <f ca="1">MAX(IF($F25="Yes",(
IF($F25="yes",MMULT(--('Equipment List &amp; Usage'!$J27:$N27&gt;0),--('Weekly Summary'!AF$112:AF$116))*'Equipment List &amp; Usage'!$C$114,MMULT(--('Equipment List &amp; Usage'!$J27:$N27),--('Weekly Summary'!AF$112:AF$116))*'Equipment List &amp; Usage'!$C$115)+IF('Equipment List &amp; Usage'!$F26="yes",'Equipment List &amp; Usage'!$C$114,'Equipment List &amp; Usage'!$C$115)*(('Weekly Summary'!AF$66*'Equipment List &amp; Usage'!$Q27)+('Weekly Summary'!AF$64*'Equipment List &amp; Usage'!$O27)+('Weekly Summary'!AF$65*'Equipment List &amp; Usage'!$P27)))+(IF('Equipment List &amp; Usage'!$F27="Yes",'Equipment List &amp; Usage'!$C$114*((('Weekly Summary'!AF$131*SelfQuarantine_Mild)+('Weekly Summary'!AF$100*SelfQuarantine_Mild)+('Weekly Summary'!AF$101*SelfQuarantine_Moderate))),'Equipment List &amp; Usage'!$C$115)*((('Weekly Summary'!AF$131*SelfQuarantine_Mild*'Equipment List &amp; Usage'!$W27)+('Weekly Summary'!AF$100*SelfQuarantine_Mild*'Equipment List &amp; Usage'!$X27)+('Weekly Summary'!AF$101*SelfQuarantine_Moderate*'Equipment List &amp; Usage'!$X27)))+IF('Equipment List &amp; Usage'!$F27="Yes",'Equipment List &amp; Usage'!$C$114*(IF('Equipment List &amp; Usage'!$AA27&gt;0,'Weekly Summary'!AF$128,0)+IF('Equipment List &amp; Usage'!$AB27&gt;0,'Weekly Summary'!AF$100+'Weekly Summary'!AF$101,0)),'Equipment List &amp; Usage'!$C$115*(('Weekly Summary'!AF$128*'Equipment List &amp; Usage'!$AA27)+('Weekly Summary'!AF$100*'Equipment List &amp; Usage'!$AB27*SelfQuarantine_Mild)+('Weekly Summary'!AF$101*'Equipment List &amp; Usage'!$AB27*SelfQuarantine_Moderate)))+IF('Equipment List &amp; Usage'!$F27="Yes",('Equipment List &amp; Usage'!$C$114*(IF('Equipment List &amp; Usage'!$AE27&gt;0,'Weekly Summary'!AF$134,0)+IF('Equipment List &amp; Usage'!$AF27&gt;0,'Weekly Summary'!AF$135))),'Equipment List &amp; Usage'!$C$115*(('Weekly Summary'!AF$134*'Equipment List &amp; Usage'!$AE27)+('Weekly Summary'!AF$135*'Equipment List &amp; Usage'!$AF27))))-SUM($I25:AK25),
IF($F25="yes",MMULT(--('Equipment List &amp; Usage'!$J27:$N27&gt;0),--('Weekly Summary'!AF$112:AF$116))*'Equipment List &amp; Usage'!$C$114,MMULT(--('Equipment List &amp; Usage'!$J27:$N27),--('Weekly Summary'!AF$112:AF$116))*'Equipment List &amp; Usage'!$C$115)+IF('Equipment List &amp; Usage'!$F26="yes",'Equipment List &amp; Usage'!$C$114,'Equipment List &amp; Usage'!$C$115)*(('Weekly Summary'!AF$66*'Equipment List &amp; Usage'!$Q27)+('Weekly Summary'!AF$64*'Equipment List &amp; Usage'!$O27)+('Weekly Summary'!AF$65*'Equipment List &amp; Usage'!$P27))+(IF('Equipment List &amp; Usage'!$F27="Yes",'Equipment List &amp; Usage'!$C$114*((('Weekly Summary'!AF$131*SelfQuarantine_Mild)+('Weekly Summary'!AF$100*SelfQuarantine_Mild)+('Weekly Summary'!AF$101*SelfQuarantine_Moderate))),'Equipment List &amp; Usage'!$C$115)*((('Weekly Summary'!AF$131*SelfQuarantine_Mild*'Equipment List &amp; Usage'!$W27)+('Weekly Summary'!AF$100*SelfQuarantine_Mild*'Equipment List &amp; Usage'!$X27)+('Weekly Summary'!AF$101*SelfQuarantine_Moderate*'Equipment List &amp; Usage'!$X27))))+IF('Equipment List &amp; Usage'!$F27="Yes",'Equipment List &amp; Usage'!$C$114*(IF('Equipment List &amp; Usage'!$AA27&gt;0,'Weekly Summary'!AF$128,0)+IF('Equipment List &amp; Usage'!$AB27&gt;0,'Weekly Summary'!AF$100+'Weekly Summary'!AF$101,0)),'Equipment List &amp; Usage'!$C$115*(('Weekly Summary'!AF$128*'Equipment List &amp; Usage'!$AA27)+('Weekly Summary'!AF$100*'Equipment List &amp; Usage'!$AB27*SelfQuarantine_Mild)+('Weekly Summary'!AF$101*'Equipment List &amp; Usage'!$AB27*SelfQuarantine_Moderate)))+IF('Equipment List &amp; Usage'!$F27="Yes",('Equipment List &amp; Usage'!$C$114*(IF('Equipment List &amp; Usage'!$AE27&gt;0,'Weekly Summary'!AF$134,0)+IF('Equipment List &amp; Usage'!$AF27&gt;0,'Weekly Summary'!AF$135))),'Equipment List &amp; Usage'!$C$115*(('Weekly Summary'!AF$134*'Equipment List &amp; Usage'!$AE27)+('Weekly Summary'!AF$135*'Equipment List &amp; Usage'!$AF27)))),0)</f>
        <v>0</v>
      </c>
      <c r="AM25" s="1374">
        <f ca="1">MAX(IF($F25="Yes",(
IF($F25="yes",MMULT(--('Equipment List &amp; Usage'!$J27:$N27&gt;0),--('Weekly Summary'!AG$112:AG$116))*'Equipment List &amp; Usage'!$C$114,MMULT(--('Equipment List &amp; Usage'!$J27:$N27),--('Weekly Summary'!AG$112:AG$116))*'Equipment List &amp; Usage'!$C$115)+IF('Equipment List &amp; Usage'!$F26="yes",'Equipment List &amp; Usage'!$C$114,'Equipment List &amp; Usage'!$C$115)*(('Weekly Summary'!AG$66*'Equipment List &amp; Usage'!$Q27)+('Weekly Summary'!AG$64*'Equipment List &amp; Usage'!$O27)+('Weekly Summary'!AG$65*'Equipment List &amp; Usage'!$P27)))+(IF('Equipment List &amp; Usage'!$F27="Yes",'Equipment List &amp; Usage'!$C$114*((('Weekly Summary'!AG$131*SelfQuarantine_Mild)+('Weekly Summary'!AG$100*SelfQuarantine_Mild)+('Weekly Summary'!AG$101*SelfQuarantine_Moderate))),'Equipment List &amp; Usage'!$C$115)*((('Weekly Summary'!AG$131*SelfQuarantine_Mild*'Equipment List &amp; Usage'!$W27)+('Weekly Summary'!AG$100*SelfQuarantine_Mild*'Equipment List &amp; Usage'!$X27)+('Weekly Summary'!AG$101*SelfQuarantine_Moderate*'Equipment List &amp; Usage'!$X27)))+IF('Equipment List &amp; Usage'!$F27="Yes",'Equipment List &amp; Usage'!$C$114*(IF('Equipment List &amp; Usage'!$AA27&gt;0,'Weekly Summary'!AG$128,0)+IF('Equipment List &amp; Usage'!$AB27&gt;0,'Weekly Summary'!AG$100+'Weekly Summary'!AG$101,0)),'Equipment List &amp; Usage'!$C$115*(('Weekly Summary'!AG$128*'Equipment List &amp; Usage'!$AA27)+('Weekly Summary'!AG$100*'Equipment List &amp; Usage'!$AB27*SelfQuarantine_Mild)+('Weekly Summary'!AG$101*'Equipment List &amp; Usage'!$AB27*SelfQuarantine_Moderate)))+IF('Equipment List &amp; Usage'!$F27="Yes",('Equipment List &amp; Usage'!$C$114*(IF('Equipment List &amp; Usage'!$AE27&gt;0,'Weekly Summary'!AG$134,0)+IF('Equipment List &amp; Usage'!$AF27&gt;0,'Weekly Summary'!AG$135))),'Equipment List &amp; Usage'!$C$115*(('Weekly Summary'!AG$134*'Equipment List &amp; Usage'!$AE27)+('Weekly Summary'!AG$135*'Equipment List &amp; Usage'!$AF27))))-SUM($I25:AL25),
IF($F25="yes",MMULT(--('Equipment List &amp; Usage'!$J27:$N27&gt;0),--('Weekly Summary'!AG$112:AG$116))*'Equipment List &amp; Usage'!$C$114,MMULT(--('Equipment List &amp; Usage'!$J27:$N27),--('Weekly Summary'!AG$112:AG$116))*'Equipment List &amp; Usage'!$C$115)+IF('Equipment List &amp; Usage'!$F26="yes",'Equipment List &amp; Usage'!$C$114,'Equipment List &amp; Usage'!$C$115)*(('Weekly Summary'!AG$66*'Equipment List &amp; Usage'!$Q27)+('Weekly Summary'!AG$64*'Equipment List &amp; Usage'!$O27)+('Weekly Summary'!AG$65*'Equipment List &amp; Usage'!$P27))+(IF('Equipment List &amp; Usage'!$F27="Yes",'Equipment List &amp; Usage'!$C$114*((('Weekly Summary'!AG$131*SelfQuarantine_Mild)+('Weekly Summary'!AG$100*SelfQuarantine_Mild)+('Weekly Summary'!AG$101*SelfQuarantine_Moderate))),'Equipment List &amp; Usage'!$C$115)*((('Weekly Summary'!AG$131*SelfQuarantine_Mild*'Equipment List &amp; Usage'!$W27)+('Weekly Summary'!AG$100*SelfQuarantine_Mild*'Equipment List &amp; Usage'!$X27)+('Weekly Summary'!AG$101*SelfQuarantine_Moderate*'Equipment List &amp; Usage'!$X27))))+IF('Equipment List &amp; Usage'!$F27="Yes",'Equipment List &amp; Usage'!$C$114*(IF('Equipment List &amp; Usage'!$AA27&gt;0,'Weekly Summary'!AG$128,0)+IF('Equipment List &amp; Usage'!$AB27&gt;0,'Weekly Summary'!AG$100+'Weekly Summary'!AG$101,0)),'Equipment List &amp; Usage'!$C$115*(('Weekly Summary'!AG$128*'Equipment List &amp; Usage'!$AA27)+('Weekly Summary'!AG$100*'Equipment List &amp; Usage'!$AB27*SelfQuarantine_Mild)+('Weekly Summary'!AG$101*'Equipment List &amp; Usage'!$AB27*SelfQuarantine_Moderate)))+IF('Equipment List &amp; Usage'!$F27="Yes",('Equipment List &amp; Usage'!$C$114*(IF('Equipment List &amp; Usage'!$AE27&gt;0,'Weekly Summary'!AG$134,0)+IF('Equipment List &amp; Usage'!$AF27&gt;0,'Weekly Summary'!AG$135))),'Equipment List &amp; Usage'!$C$115*(('Weekly Summary'!AG$134*'Equipment List &amp; Usage'!$AE27)+('Weekly Summary'!AG$135*'Equipment List &amp; Usage'!$AF27)))),0)</f>
        <v>0</v>
      </c>
      <c r="AN25" s="1374">
        <f ca="1">MAX(IF($F25="Yes",(
IF($F25="yes",MMULT(--('Equipment List &amp; Usage'!$J27:$N27&gt;0),--('Weekly Summary'!AH$112:AH$116))*'Equipment List &amp; Usage'!$C$114,MMULT(--('Equipment List &amp; Usage'!$J27:$N27),--('Weekly Summary'!AH$112:AH$116))*'Equipment List &amp; Usage'!$C$115)+IF('Equipment List &amp; Usage'!$F26="yes",'Equipment List &amp; Usage'!$C$114,'Equipment List &amp; Usage'!$C$115)*(('Weekly Summary'!AH$66*'Equipment List &amp; Usage'!$Q27)+('Weekly Summary'!AH$64*'Equipment List &amp; Usage'!$O27)+('Weekly Summary'!AH$65*'Equipment List &amp; Usage'!$P27)))+(IF('Equipment List &amp; Usage'!$F27="Yes",'Equipment List &amp; Usage'!$C$114*((('Weekly Summary'!AH$131*SelfQuarantine_Mild)+('Weekly Summary'!AH$100*SelfQuarantine_Mild)+('Weekly Summary'!AH$101*SelfQuarantine_Moderate))),'Equipment List &amp; Usage'!$C$115)*((('Weekly Summary'!AH$131*SelfQuarantine_Mild*'Equipment List &amp; Usage'!$W27)+('Weekly Summary'!AH$100*SelfQuarantine_Mild*'Equipment List &amp; Usage'!$X27)+('Weekly Summary'!AH$101*SelfQuarantine_Moderate*'Equipment List &amp; Usage'!$X27)))+IF('Equipment List &amp; Usage'!$F27="Yes",'Equipment List &amp; Usage'!$C$114*(IF('Equipment List &amp; Usage'!$AA27&gt;0,'Weekly Summary'!AH$128,0)+IF('Equipment List &amp; Usage'!$AB27&gt;0,'Weekly Summary'!AH$100+'Weekly Summary'!AH$101,0)),'Equipment List &amp; Usage'!$C$115*(('Weekly Summary'!AH$128*'Equipment List &amp; Usage'!$AA27)+('Weekly Summary'!AH$100*'Equipment List &amp; Usage'!$AB27*SelfQuarantine_Mild)+('Weekly Summary'!AH$101*'Equipment List &amp; Usage'!$AB27*SelfQuarantine_Moderate)))+IF('Equipment List &amp; Usage'!$F27="Yes",('Equipment List &amp; Usage'!$C$114*(IF('Equipment List &amp; Usage'!$AE27&gt;0,'Weekly Summary'!AH$134,0)+IF('Equipment List &amp; Usage'!$AF27&gt;0,'Weekly Summary'!AH$135))),'Equipment List &amp; Usage'!$C$115*(('Weekly Summary'!AH$134*'Equipment List &amp; Usage'!$AE27)+('Weekly Summary'!AH$135*'Equipment List &amp; Usage'!$AF27))))-SUM($I25:AM25),
IF($F25="yes",MMULT(--('Equipment List &amp; Usage'!$J27:$N27&gt;0),--('Weekly Summary'!AH$112:AH$116))*'Equipment List &amp; Usage'!$C$114,MMULT(--('Equipment List &amp; Usage'!$J27:$N27),--('Weekly Summary'!AH$112:AH$116))*'Equipment List &amp; Usage'!$C$115)+IF('Equipment List &amp; Usage'!$F26="yes",'Equipment List &amp; Usage'!$C$114,'Equipment List &amp; Usage'!$C$115)*(('Weekly Summary'!AH$66*'Equipment List &amp; Usage'!$Q27)+('Weekly Summary'!AH$64*'Equipment List &amp; Usage'!$O27)+('Weekly Summary'!AH$65*'Equipment List &amp; Usage'!$P27))+(IF('Equipment List &amp; Usage'!$F27="Yes",'Equipment List &amp; Usage'!$C$114*((('Weekly Summary'!AH$131*SelfQuarantine_Mild)+('Weekly Summary'!AH$100*SelfQuarantine_Mild)+('Weekly Summary'!AH$101*SelfQuarantine_Moderate))),'Equipment List &amp; Usage'!$C$115)*((('Weekly Summary'!AH$131*SelfQuarantine_Mild*'Equipment List &amp; Usage'!$W27)+('Weekly Summary'!AH$100*SelfQuarantine_Mild*'Equipment List &amp; Usage'!$X27)+('Weekly Summary'!AH$101*SelfQuarantine_Moderate*'Equipment List &amp; Usage'!$X27))))+IF('Equipment List &amp; Usage'!$F27="Yes",'Equipment List &amp; Usage'!$C$114*(IF('Equipment List &amp; Usage'!$AA27&gt;0,'Weekly Summary'!AH$128,0)+IF('Equipment List &amp; Usage'!$AB27&gt;0,'Weekly Summary'!AH$100+'Weekly Summary'!AH$101,0)),'Equipment List &amp; Usage'!$C$115*(('Weekly Summary'!AH$128*'Equipment List &amp; Usage'!$AA27)+('Weekly Summary'!AH$100*'Equipment List &amp; Usage'!$AB27*SelfQuarantine_Mild)+('Weekly Summary'!AH$101*'Equipment List &amp; Usage'!$AB27*SelfQuarantine_Moderate)))+IF('Equipment List &amp; Usage'!$F27="Yes",('Equipment List &amp; Usage'!$C$114*(IF('Equipment List &amp; Usage'!$AE27&gt;0,'Weekly Summary'!AH$134,0)+IF('Equipment List &amp; Usage'!$AF27&gt;0,'Weekly Summary'!AH$135))),'Equipment List &amp; Usage'!$C$115*(('Weekly Summary'!AH$134*'Equipment List &amp; Usage'!$AE27)+('Weekly Summary'!AH$135*'Equipment List &amp; Usage'!$AF27)))),0)</f>
        <v>0</v>
      </c>
      <c r="AO25" s="1374">
        <f ca="1">MAX(IF($F25="Yes",(
IF($F25="yes",MMULT(--('Equipment List &amp; Usage'!$J27:$N27&gt;0),--('Weekly Summary'!AI$112:AI$116))*'Equipment List &amp; Usage'!$C$114,MMULT(--('Equipment List &amp; Usage'!$J27:$N27),--('Weekly Summary'!AI$112:AI$116))*'Equipment List &amp; Usage'!$C$115)+IF('Equipment List &amp; Usage'!$F26="yes",'Equipment List &amp; Usage'!$C$114,'Equipment List &amp; Usage'!$C$115)*(('Weekly Summary'!AI$66*'Equipment List &amp; Usage'!$Q27)+('Weekly Summary'!AI$64*'Equipment List &amp; Usage'!$O27)+('Weekly Summary'!AI$65*'Equipment List &amp; Usage'!$P27)))+(IF('Equipment List &amp; Usage'!$F27="Yes",'Equipment List &amp; Usage'!$C$114*((('Weekly Summary'!AI$131*SelfQuarantine_Mild)+('Weekly Summary'!AI$100*SelfQuarantine_Mild)+('Weekly Summary'!AI$101*SelfQuarantine_Moderate))),'Equipment List &amp; Usage'!$C$115)*((('Weekly Summary'!AI$131*SelfQuarantine_Mild*'Equipment List &amp; Usage'!$W27)+('Weekly Summary'!AI$100*SelfQuarantine_Mild*'Equipment List &amp; Usage'!$X27)+('Weekly Summary'!AI$101*SelfQuarantine_Moderate*'Equipment List &amp; Usage'!$X27)))+IF('Equipment List &amp; Usage'!$F27="Yes",'Equipment List &amp; Usage'!$C$114*(IF('Equipment List &amp; Usage'!$AA27&gt;0,'Weekly Summary'!AI$128,0)+IF('Equipment List &amp; Usage'!$AB27&gt;0,'Weekly Summary'!AI$100+'Weekly Summary'!AI$101,0)),'Equipment List &amp; Usage'!$C$115*(('Weekly Summary'!AI$128*'Equipment List &amp; Usage'!$AA27)+('Weekly Summary'!AI$100*'Equipment List &amp; Usage'!$AB27*SelfQuarantine_Mild)+('Weekly Summary'!AI$101*'Equipment List &amp; Usage'!$AB27*SelfQuarantine_Moderate)))+IF('Equipment List &amp; Usage'!$F27="Yes",('Equipment List &amp; Usage'!$C$114*(IF('Equipment List &amp; Usage'!$AE27&gt;0,'Weekly Summary'!AI$134,0)+IF('Equipment List &amp; Usage'!$AF27&gt;0,'Weekly Summary'!AI$135))),'Equipment List &amp; Usage'!$C$115*(('Weekly Summary'!AI$134*'Equipment List &amp; Usage'!$AE27)+('Weekly Summary'!AI$135*'Equipment List &amp; Usage'!$AF27))))-SUM($I25:AN25),
IF($F25="yes",MMULT(--('Equipment List &amp; Usage'!$J27:$N27&gt;0),--('Weekly Summary'!AI$112:AI$116))*'Equipment List &amp; Usage'!$C$114,MMULT(--('Equipment List &amp; Usage'!$J27:$N27),--('Weekly Summary'!AI$112:AI$116))*'Equipment List &amp; Usage'!$C$115)+IF('Equipment List &amp; Usage'!$F26="yes",'Equipment List &amp; Usage'!$C$114,'Equipment List &amp; Usage'!$C$115)*(('Weekly Summary'!AI$66*'Equipment List &amp; Usage'!$Q27)+('Weekly Summary'!AI$64*'Equipment List &amp; Usage'!$O27)+('Weekly Summary'!AI$65*'Equipment List &amp; Usage'!$P27))+(IF('Equipment List &amp; Usage'!$F27="Yes",'Equipment List &amp; Usage'!$C$114*((('Weekly Summary'!AI$131*SelfQuarantine_Mild)+('Weekly Summary'!AI$100*SelfQuarantine_Mild)+('Weekly Summary'!AI$101*SelfQuarantine_Moderate))),'Equipment List &amp; Usage'!$C$115)*((('Weekly Summary'!AI$131*SelfQuarantine_Mild*'Equipment List &amp; Usage'!$W27)+('Weekly Summary'!AI$100*SelfQuarantine_Mild*'Equipment List &amp; Usage'!$X27)+('Weekly Summary'!AI$101*SelfQuarantine_Moderate*'Equipment List &amp; Usage'!$X27))))+IF('Equipment List &amp; Usage'!$F27="Yes",'Equipment List &amp; Usage'!$C$114*(IF('Equipment List &amp; Usage'!$AA27&gt;0,'Weekly Summary'!AI$128,0)+IF('Equipment List &amp; Usage'!$AB27&gt;0,'Weekly Summary'!AI$100+'Weekly Summary'!AI$101,0)),'Equipment List &amp; Usage'!$C$115*(('Weekly Summary'!AI$128*'Equipment List &amp; Usage'!$AA27)+('Weekly Summary'!AI$100*'Equipment List &amp; Usage'!$AB27*SelfQuarantine_Mild)+('Weekly Summary'!AI$101*'Equipment List &amp; Usage'!$AB27*SelfQuarantine_Moderate)))+IF('Equipment List &amp; Usage'!$F27="Yes",('Equipment List &amp; Usage'!$C$114*(IF('Equipment List &amp; Usage'!$AE27&gt;0,'Weekly Summary'!AI$134,0)+IF('Equipment List &amp; Usage'!$AF27&gt;0,'Weekly Summary'!AI$135))),'Equipment List &amp; Usage'!$C$115*(('Weekly Summary'!AI$134*'Equipment List &amp; Usage'!$AE27)+('Weekly Summary'!AI$135*'Equipment List &amp; Usage'!$AF27)))),0)</f>
        <v>0</v>
      </c>
      <c r="AP25" s="1374">
        <f ca="1">MAX(IF($F25="Yes",(
IF($F25="yes",MMULT(--('Equipment List &amp; Usage'!$J27:$N27&gt;0),--('Weekly Summary'!AJ$112:AJ$116))*'Equipment List &amp; Usage'!$C$114,MMULT(--('Equipment List &amp; Usage'!$J27:$N27),--('Weekly Summary'!AJ$112:AJ$116))*'Equipment List &amp; Usage'!$C$115)+IF('Equipment List &amp; Usage'!$F26="yes",'Equipment List &amp; Usage'!$C$114,'Equipment List &amp; Usage'!$C$115)*(('Weekly Summary'!AJ$66*'Equipment List &amp; Usage'!$Q27)+('Weekly Summary'!AJ$64*'Equipment List &amp; Usage'!$O27)+('Weekly Summary'!AJ$65*'Equipment List &amp; Usage'!$P27)))+(IF('Equipment List &amp; Usage'!$F27="Yes",'Equipment List &amp; Usage'!$C$114*((('Weekly Summary'!AJ$131*SelfQuarantine_Mild)+('Weekly Summary'!AJ$100*SelfQuarantine_Mild)+('Weekly Summary'!AJ$101*SelfQuarantine_Moderate))),'Equipment List &amp; Usage'!$C$115)*((('Weekly Summary'!AJ$131*SelfQuarantine_Mild*'Equipment List &amp; Usage'!$W27)+('Weekly Summary'!AJ$100*SelfQuarantine_Mild*'Equipment List &amp; Usage'!$X27)+('Weekly Summary'!AJ$101*SelfQuarantine_Moderate*'Equipment List &amp; Usage'!$X27)))+IF('Equipment List &amp; Usage'!$F27="Yes",'Equipment List &amp; Usage'!$C$114*(IF('Equipment List &amp; Usage'!$AA27&gt;0,'Weekly Summary'!AJ$128,0)+IF('Equipment List &amp; Usage'!$AB27&gt;0,'Weekly Summary'!AJ$100+'Weekly Summary'!AJ$101,0)),'Equipment List &amp; Usage'!$C$115*(('Weekly Summary'!AJ$128*'Equipment List &amp; Usage'!$AA27)+('Weekly Summary'!AJ$100*'Equipment List &amp; Usage'!$AB27*SelfQuarantine_Mild)+('Weekly Summary'!AJ$101*'Equipment List &amp; Usage'!$AB27*SelfQuarantine_Moderate)))+IF('Equipment List &amp; Usage'!$F27="Yes",('Equipment List &amp; Usage'!$C$114*(IF('Equipment List &amp; Usage'!$AE27&gt;0,'Weekly Summary'!AJ$134,0)+IF('Equipment List &amp; Usage'!$AF27&gt;0,'Weekly Summary'!AJ$135))),'Equipment List &amp; Usage'!$C$115*(('Weekly Summary'!AJ$134*'Equipment List &amp; Usage'!$AE27)+('Weekly Summary'!AJ$135*'Equipment List &amp; Usage'!$AF27))))-SUM($I25:AO25),
IF($F25="yes",MMULT(--('Equipment List &amp; Usage'!$J27:$N27&gt;0),--('Weekly Summary'!AJ$112:AJ$116))*'Equipment List &amp; Usage'!$C$114,MMULT(--('Equipment List &amp; Usage'!$J27:$N27),--('Weekly Summary'!AJ$112:AJ$116))*'Equipment List &amp; Usage'!$C$115)+IF('Equipment List &amp; Usage'!$F26="yes",'Equipment List &amp; Usage'!$C$114,'Equipment List &amp; Usage'!$C$115)*(('Weekly Summary'!AJ$66*'Equipment List &amp; Usage'!$Q27)+('Weekly Summary'!AJ$64*'Equipment List &amp; Usage'!$O27)+('Weekly Summary'!AJ$65*'Equipment List &amp; Usage'!$P27))+(IF('Equipment List &amp; Usage'!$F27="Yes",'Equipment List &amp; Usage'!$C$114*((('Weekly Summary'!AJ$131*SelfQuarantine_Mild)+('Weekly Summary'!AJ$100*SelfQuarantine_Mild)+('Weekly Summary'!AJ$101*SelfQuarantine_Moderate))),'Equipment List &amp; Usage'!$C$115)*((('Weekly Summary'!AJ$131*SelfQuarantine_Mild*'Equipment List &amp; Usage'!$W27)+('Weekly Summary'!AJ$100*SelfQuarantine_Mild*'Equipment List &amp; Usage'!$X27)+('Weekly Summary'!AJ$101*SelfQuarantine_Moderate*'Equipment List &amp; Usage'!$X27))))+IF('Equipment List &amp; Usage'!$F27="Yes",'Equipment List &amp; Usage'!$C$114*(IF('Equipment List &amp; Usage'!$AA27&gt;0,'Weekly Summary'!AJ$128,0)+IF('Equipment List &amp; Usage'!$AB27&gt;0,'Weekly Summary'!AJ$100+'Weekly Summary'!AJ$101,0)),'Equipment List &amp; Usage'!$C$115*(('Weekly Summary'!AJ$128*'Equipment List &amp; Usage'!$AA27)+('Weekly Summary'!AJ$100*'Equipment List &amp; Usage'!$AB27*SelfQuarantine_Mild)+('Weekly Summary'!AJ$101*'Equipment List &amp; Usage'!$AB27*SelfQuarantine_Moderate)))+IF('Equipment List &amp; Usage'!$F27="Yes",('Equipment List &amp; Usage'!$C$114*(IF('Equipment List &amp; Usage'!$AE27&gt;0,'Weekly Summary'!AJ$134,0)+IF('Equipment List &amp; Usage'!$AF27&gt;0,'Weekly Summary'!AJ$135))),'Equipment List &amp; Usage'!$C$115*(('Weekly Summary'!AJ$134*'Equipment List &amp; Usage'!$AE27)+('Weekly Summary'!AJ$135*'Equipment List &amp; Usage'!$AF27)))),0)</f>
        <v>0</v>
      </c>
      <c r="AQ25" s="1374">
        <f ca="1">MAX(IF($F25="Yes",(
IF($F25="yes",MMULT(--('Equipment List &amp; Usage'!$J27:$N27&gt;0),--('Weekly Summary'!AK$112:AK$116))*'Equipment List &amp; Usage'!$C$114,MMULT(--('Equipment List &amp; Usage'!$J27:$N27),--('Weekly Summary'!AK$112:AK$116))*'Equipment List &amp; Usage'!$C$115)+IF('Equipment List &amp; Usage'!$F26="yes",'Equipment List &amp; Usage'!$C$114,'Equipment List &amp; Usage'!$C$115)*(('Weekly Summary'!AK$66*'Equipment List &amp; Usage'!$Q27)+('Weekly Summary'!AK$64*'Equipment List &amp; Usage'!$O27)+('Weekly Summary'!AK$65*'Equipment List &amp; Usage'!$P27)))+(IF('Equipment List &amp; Usage'!$F27="Yes",'Equipment List &amp; Usage'!$C$114*((('Weekly Summary'!AK$131*SelfQuarantine_Mild)+('Weekly Summary'!AK$100*SelfQuarantine_Mild)+('Weekly Summary'!AK$101*SelfQuarantine_Moderate))),'Equipment List &amp; Usage'!$C$115)*((('Weekly Summary'!AK$131*SelfQuarantine_Mild*'Equipment List &amp; Usage'!$W27)+('Weekly Summary'!AK$100*SelfQuarantine_Mild*'Equipment List &amp; Usage'!$X27)+('Weekly Summary'!AK$101*SelfQuarantine_Moderate*'Equipment List &amp; Usage'!$X27)))+IF('Equipment List &amp; Usage'!$F27="Yes",'Equipment List &amp; Usage'!$C$114*(IF('Equipment List &amp; Usage'!$AA27&gt;0,'Weekly Summary'!AK$128,0)+IF('Equipment List &amp; Usage'!$AB27&gt;0,'Weekly Summary'!AK$100+'Weekly Summary'!AK$101,0)),'Equipment List &amp; Usage'!$C$115*(('Weekly Summary'!AK$128*'Equipment List &amp; Usage'!$AA27)+('Weekly Summary'!AK$100*'Equipment List &amp; Usage'!$AB27*SelfQuarantine_Mild)+('Weekly Summary'!AK$101*'Equipment List &amp; Usage'!$AB27*SelfQuarantine_Moderate)))+IF('Equipment List &amp; Usage'!$F27="Yes",('Equipment List &amp; Usage'!$C$114*(IF('Equipment List &amp; Usage'!$AE27&gt;0,'Weekly Summary'!AK$134,0)+IF('Equipment List &amp; Usage'!$AF27&gt;0,'Weekly Summary'!AK$135))),'Equipment List &amp; Usage'!$C$115*(('Weekly Summary'!AK$134*'Equipment List &amp; Usage'!$AE27)+('Weekly Summary'!AK$135*'Equipment List &amp; Usage'!$AF27))))-SUM($I25:AP25),
IF($F25="yes",MMULT(--('Equipment List &amp; Usage'!$J27:$N27&gt;0),--('Weekly Summary'!AK$112:AK$116))*'Equipment List &amp; Usage'!$C$114,MMULT(--('Equipment List &amp; Usage'!$J27:$N27),--('Weekly Summary'!AK$112:AK$116))*'Equipment List &amp; Usage'!$C$115)+IF('Equipment List &amp; Usage'!$F26="yes",'Equipment List &amp; Usage'!$C$114,'Equipment List &amp; Usage'!$C$115)*(('Weekly Summary'!AK$66*'Equipment List &amp; Usage'!$Q27)+('Weekly Summary'!AK$64*'Equipment List &amp; Usage'!$O27)+('Weekly Summary'!AK$65*'Equipment List &amp; Usage'!$P27))+(IF('Equipment List &amp; Usage'!$F27="Yes",'Equipment List &amp; Usage'!$C$114*((('Weekly Summary'!AK$131*SelfQuarantine_Mild)+('Weekly Summary'!AK$100*SelfQuarantine_Mild)+('Weekly Summary'!AK$101*SelfQuarantine_Moderate))),'Equipment List &amp; Usage'!$C$115)*((('Weekly Summary'!AK$131*SelfQuarantine_Mild*'Equipment List &amp; Usage'!$W27)+('Weekly Summary'!AK$100*SelfQuarantine_Mild*'Equipment List &amp; Usage'!$X27)+('Weekly Summary'!AK$101*SelfQuarantine_Moderate*'Equipment List &amp; Usage'!$X27))))+IF('Equipment List &amp; Usage'!$F27="Yes",'Equipment List &amp; Usage'!$C$114*(IF('Equipment List &amp; Usage'!$AA27&gt;0,'Weekly Summary'!AK$128,0)+IF('Equipment List &amp; Usage'!$AB27&gt;0,'Weekly Summary'!AK$100+'Weekly Summary'!AK$101,0)),'Equipment List &amp; Usage'!$C$115*(('Weekly Summary'!AK$128*'Equipment List &amp; Usage'!$AA27)+('Weekly Summary'!AK$100*'Equipment List &amp; Usage'!$AB27*SelfQuarantine_Mild)+('Weekly Summary'!AK$101*'Equipment List &amp; Usage'!$AB27*SelfQuarantine_Moderate)))+IF('Equipment List &amp; Usage'!$F27="Yes",('Equipment List &amp; Usage'!$C$114*(IF('Equipment List &amp; Usage'!$AE27&gt;0,'Weekly Summary'!AK$134,0)+IF('Equipment List &amp; Usage'!$AF27&gt;0,'Weekly Summary'!AK$135))),'Equipment List &amp; Usage'!$C$115*(('Weekly Summary'!AK$134*'Equipment List &amp; Usage'!$AE27)+('Weekly Summary'!AK$135*'Equipment List &amp; Usage'!$AF27)))),0)</f>
        <v>0</v>
      </c>
      <c r="AR25" s="1374">
        <f ca="1">MAX(IF($F25="Yes",(
IF($F25="yes",MMULT(--('Equipment List &amp; Usage'!$J27:$N27&gt;0),--('Weekly Summary'!AL$112:AL$116))*'Equipment List &amp; Usage'!$C$114,MMULT(--('Equipment List &amp; Usage'!$J27:$N27),--('Weekly Summary'!AL$112:AL$116))*'Equipment List &amp; Usage'!$C$115)+IF('Equipment List &amp; Usage'!$F26="yes",'Equipment List &amp; Usage'!$C$114,'Equipment List &amp; Usage'!$C$115)*(('Weekly Summary'!AL$66*'Equipment List &amp; Usage'!$Q27)+('Weekly Summary'!AL$64*'Equipment List &amp; Usage'!$O27)+('Weekly Summary'!AL$65*'Equipment List &amp; Usage'!$P27)))+(IF('Equipment List &amp; Usage'!$F27="Yes",'Equipment List &amp; Usage'!$C$114*((('Weekly Summary'!AL$131*SelfQuarantine_Mild)+('Weekly Summary'!AL$100*SelfQuarantine_Mild)+('Weekly Summary'!AL$101*SelfQuarantine_Moderate))),'Equipment List &amp; Usage'!$C$115)*((('Weekly Summary'!AL$131*SelfQuarantine_Mild*'Equipment List &amp; Usage'!$W27)+('Weekly Summary'!AL$100*SelfQuarantine_Mild*'Equipment List &amp; Usage'!$X27)+('Weekly Summary'!AL$101*SelfQuarantine_Moderate*'Equipment List &amp; Usage'!$X27)))+IF('Equipment List &amp; Usage'!$F27="Yes",'Equipment List &amp; Usage'!$C$114*(IF('Equipment List &amp; Usage'!$AA27&gt;0,'Weekly Summary'!AL$128,0)+IF('Equipment List &amp; Usage'!$AB27&gt;0,'Weekly Summary'!AL$100+'Weekly Summary'!AL$101,0)),'Equipment List &amp; Usage'!$C$115*(('Weekly Summary'!AL$128*'Equipment List &amp; Usage'!$AA27)+('Weekly Summary'!AL$100*'Equipment List &amp; Usage'!$AB27*SelfQuarantine_Mild)+('Weekly Summary'!AL$101*'Equipment List &amp; Usage'!$AB27*SelfQuarantine_Moderate)))+IF('Equipment List &amp; Usage'!$F27="Yes",('Equipment List &amp; Usage'!$C$114*(IF('Equipment List &amp; Usage'!$AE27&gt;0,'Weekly Summary'!AL$134,0)+IF('Equipment List &amp; Usage'!$AF27&gt;0,'Weekly Summary'!AL$135))),'Equipment List &amp; Usage'!$C$115*(('Weekly Summary'!AL$134*'Equipment List &amp; Usage'!$AE27)+('Weekly Summary'!AL$135*'Equipment List &amp; Usage'!$AF27))))-SUM($I25:AQ25),
IF($F25="yes",MMULT(--('Equipment List &amp; Usage'!$J27:$N27&gt;0),--('Weekly Summary'!AL$112:AL$116))*'Equipment List &amp; Usage'!$C$114,MMULT(--('Equipment List &amp; Usage'!$J27:$N27),--('Weekly Summary'!AL$112:AL$116))*'Equipment List &amp; Usage'!$C$115)+IF('Equipment List &amp; Usage'!$F26="yes",'Equipment List &amp; Usage'!$C$114,'Equipment List &amp; Usage'!$C$115)*(('Weekly Summary'!AL$66*'Equipment List &amp; Usage'!$Q27)+('Weekly Summary'!AL$64*'Equipment List &amp; Usage'!$O27)+('Weekly Summary'!AL$65*'Equipment List &amp; Usage'!$P27))+(IF('Equipment List &amp; Usage'!$F27="Yes",'Equipment List &amp; Usage'!$C$114*((('Weekly Summary'!AL$131*SelfQuarantine_Mild)+('Weekly Summary'!AL$100*SelfQuarantine_Mild)+('Weekly Summary'!AL$101*SelfQuarantine_Moderate))),'Equipment List &amp; Usage'!$C$115)*((('Weekly Summary'!AL$131*SelfQuarantine_Mild*'Equipment List &amp; Usage'!$W27)+('Weekly Summary'!AL$100*SelfQuarantine_Mild*'Equipment List &amp; Usage'!$X27)+('Weekly Summary'!AL$101*SelfQuarantine_Moderate*'Equipment List &amp; Usage'!$X27))))+IF('Equipment List &amp; Usage'!$F27="Yes",'Equipment List &amp; Usage'!$C$114*(IF('Equipment List &amp; Usage'!$AA27&gt;0,'Weekly Summary'!AL$128,0)+IF('Equipment List &amp; Usage'!$AB27&gt;0,'Weekly Summary'!AL$100+'Weekly Summary'!AL$101,0)),'Equipment List &amp; Usage'!$C$115*(('Weekly Summary'!AL$128*'Equipment List &amp; Usage'!$AA27)+('Weekly Summary'!AL$100*'Equipment List &amp; Usage'!$AB27*SelfQuarantine_Mild)+('Weekly Summary'!AL$101*'Equipment List &amp; Usage'!$AB27*SelfQuarantine_Moderate)))+IF('Equipment List &amp; Usage'!$F27="Yes",('Equipment List &amp; Usage'!$C$114*(IF('Equipment List &amp; Usage'!$AE27&gt;0,'Weekly Summary'!AL$134,0)+IF('Equipment List &amp; Usage'!$AF27&gt;0,'Weekly Summary'!AL$135))),'Equipment List &amp; Usage'!$C$115*(('Weekly Summary'!AL$134*'Equipment List &amp; Usage'!$AE27)+('Weekly Summary'!AL$135*'Equipment List &amp; Usage'!$AF27)))),0)</f>
        <v>0</v>
      </c>
      <c r="AS25" s="1374">
        <f ca="1">MAX(IF($F25="Yes",(
IF($F25="yes",MMULT(--('Equipment List &amp; Usage'!$J27:$N27&gt;0),--('Weekly Summary'!AM$112:AM$116))*'Equipment List &amp; Usage'!$C$114,MMULT(--('Equipment List &amp; Usage'!$J27:$N27),--('Weekly Summary'!AM$112:AM$116))*'Equipment List &amp; Usage'!$C$115)+IF('Equipment List &amp; Usage'!$F26="yes",'Equipment List &amp; Usage'!$C$114,'Equipment List &amp; Usage'!$C$115)*(('Weekly Summary'!AM$66*'Equipment List &amp; Usage'!$Q27)+('Weekly Summary'!AM$64*'Equipment List &amp; Usage'!$O27)+('Weekly Summary'!AM$65*'Equipment List &amp; Usage'!$P27)))+(IF('Equipment List &amp; Usage'!$F27="Yes",'Equipment List &amp; Usage'!$C$114*((('Weekly Summary'!AM$131*SelfQuarantine_Mild)+('Weekly Summary'!AM$100*SelfQuarantine_Mild)+('Weekly Summary'!AM$101*SelfQuarantine_Moderate))),'Equipment List &amp; Usage'!$C$115)*((('Weekly Summary'!AM$131*SelfQuarantine_Mild*'Equipment List &amp; Usage'!$W27)+('Weekly Summary'!AM$100*SelfQuarantine_Mild*'Equipment List &amp; Usage'!$X27)+('Weekly Summary'!AM$101*SelfQuarantine_Moderate*'Equipment List &amp; Usage'!$X27)))+IF('Equipment List &amp; Usage'!$F27="Yes",'Equipment List &amp; Usage'!$C$114*(IF('Equipment List &amp; Usage'!$AA27&gt;0,'Weekly Summary'!AM$128,0)+IF('Equipment List &amp; Usage'!$AB27&gt;0,'Weekly Summary'!AM$100+'Weekly Summary'!AM$101,0)),'Equipment List &amp; Usage'!$C$115*(('Weekly Summary'!AM$128*'Equipment List &amp; Usage'!$AA27)+('Weekly Summary'!AM$100*'Equipment List &amp; Usage'!$AB27*SelfQuarantine_Mild)+('Weekly Summary'!AM$101*'Equipment List &amp; Usage'!$AB27*SelfQuarantine_Moderate)))+IF('Equipment List &amp; Usage'!$F27="Yes",('Equipment List &amp; Usage'!$C$114*(IF('Equipment List &amp; Usage'!$AE27&gt;0,'Weekly Summary'!AM$134,0)+IF('Equipment List &amp; Usage'!$AF27&gt;0,'Weekly Summary'!AM$135))),'Equipment List &amp; Usage'!$C$115*(('Weekly Summary'!AM$134*'Equipment List &amp; Usage'!$AE27)+('Weekly Summary'!AM$135*'Equipment List &amp; Usage'!$AF27))))-SUM($I25:AR25),
IF($F25="yes",MMULT(--('Equipment List &amp; Usage'!$J27:$N27&gt;0),--('Weekly Summary'!AM$112:AM$116))*'Equipment List &amp; Usage'!$C$114,MMULT(--('Equipment List &amp; Usage'!$J27:$N27),--('Weekly Summary'!AM$112:AM$116))*'Equipment List &amp; Usage'!$C$115)+IF('Equipment List &amp; Usage'!$F26="yes",'Equipment List &amp; Usage'!$C$114,'Equipment List &amp; Usage'!$C$115)*(('Weekly Summary'!AM$66*'Equipment List &amp; Usage'!$Q27)+('Weekly Summary'!AM$64*'Equipment List &amp; Usage'!$O27)+('Weekly Summary'!AM$65*'Equipment List &amp; Usage'!$P27))+(IF('Equipment List &amp; Usage'!$F27="Yes",'Equipment List &amp; Usage'!$C$114*((('Weekly Summary'!AM$131*SelfQuarantine_Mild)+('Weekly Summary'!AM$100*SelfQuarantine_Mild)+('Weekly Summary'!AM$101*SelfQuarantine_Moderate))),'Equipment List &amp; Usage'!$C$115)*((('Weekly Summary'!AM$131*SelfQuarantine_Mild*'Equipment List &amp; Usage'!$W27)+('Weekly Summary'!AM$100*SelfQuarantine_Mild*'Equipment List &amp; Usage'!$X27)+('Weekly Summary'!AM$101*SelfQuarantine_Moderate*'Equipment List &amp; Usage'!$X27))))+IF('Equipment List &amp; Usage'!$F27="Yes",'Equipment List &amp; Usage'!$C$114*(IF('Equipment List &amp; Usage'!$AA27&gt;0,'Weekly Summary'!AM$128,0)+IF('Equipment List &amp; Usage'!$AB27&gt;0,'Weekly Summary'!AM$100+'Weekly Summary'!AM$101,0)),'Equipment List &amp; Usage'!$C$115*(('Weekly Summary'!AM$128*'Equipment List &amp; Usage'!$AA27)+('Weekly Summary'!AM$100*'Equipment List &amp; Usage'!$AB27*SelfQuarantine_Mild)+('Weekly Summary'!AM$101*'Equipment List &amp; Usage'!$AB27*SelfQuarantine_Moderate)))+IF('Equipment List &amp; Usage'!$F27="Yes",('Equipment List &amp; Usage'!$C$114*(IF('Equipment List &amp; Usage'!$AE27&gt;0,'Weekly Summary'!AM$134,0)+IF('Equipment List &amp; Usage'!$AF27&gt;0,'Weekly Summary'!AM$135))),'Equipment List &amp; Usage'!$C$115*(('Weekly Summary'!AM$134*'Equipment List &amp; Usage'!$AE27)+('Weekly Summary'!AM$135*'Equipment List &amp; Usage'!$AF27)))),0)</f>
        <v>0</v>
      </c>
      <c r="AT25" s="1374">
        <f ca="1">MAX(IF($F25="Yes",(
IF($F25="yes",MMULT(--('Equipment List &amp; Usage'!$J27:$N27&gt;0),--('Weekly Summary'!AN$112:AN$116))*'Equipment List &amp; Usage'!$C$114,MMULT(--('Equipment List &amp; Usage'!$J27:$N27),--('Weekly Summary'!AN$112:AN$116))*'Equipment List &amp; Usage'!$C$115)+IF('Equipment List &amp; Usage'!$F26="yes",'Equipment List &amp; Usage'!$C$114,'Equipment List &amp; Usage'!$C$115)*(('Weekly Summary'!AN$66*'Equipment List &amp; Usage'!$Q27)+('Weekly Summary'!AN$64*'Equipment List &amp; Usage'!$O27)+('Weekly Summary'!AN$65*'Equipment List &amp; Usage'!$P27)))+(IF('Equipment List &amp; Usage'!$F27="Yes",'Equipment List &amp; Usage'!$C$114*((('Weekly Summary'!AN$131*SelfQuarantine_Mild)+('Weekly Summary'!AN$100*SelfQuarantine_Mild)+('Weekly Summary'!AN$101*SelfQuarantine_Moderate))),'Equipment List &amp; Usage'!$C$115)*((('Weekly Summary'!AN$131*SelfQuarantine_Mild*'Equipment List &amp; Usage'!$W27)+('Weekly Summary'!AN$100*SelfQuarantine_Mild*'Equipment List &amp; Usage'!$X27)+('Weekly Summary'!AN$101*SelfQuarantine_Moderate*'Equipment List &amp; Usage'!$X27)))+IF('Equipment List &amp; Usage'!$F27="Yes",'Equipment List &amp; Usage'!$C$114*(IF('Equipment List &amp; Usage'!$AA27&gt;0,'Weekly Summary'!AN$128,0)+IF('Equipment List &amp; Usage'!$AB27&gt;0,'Weekly Summary'!AN$100+'Weekly Summary'!AN$101,0)),'Equipment List &amp; Usage'!$C$115*(('Weekly Summary'!AN$128*'Equipment List &amp; Usage'!$AA27)+('Weekly Summary'!AN$100*'Equipment List &amp; Usage'!$AB27*SelfQuarantine_Mild)+('Weekly Summary'!AN$101*'Equipment List &amp; Usage'!$AB27*SelfQuarantine_Moderate)))+IF('Equipment List &amp; Usage'!$F27="Yes",('Equipment List &amp; Usage'!$C$114*(IF('Equipment List &amp; Usage'!$AE27&gt;0,'Weekly Summary'!AN$134,0)+IF('Equipment List &amp; Usage'!$AF27&gt;0,'Weekly Summary'!AN$135))),'Equipment List &amp; Usage'!$C$115*(('Weekly Summary'!AN$134*'Equipment List &amp; Usage'!$AE27)+('Weekly Summary'!AN$135*'Equipment List &amp; Usage'!$AF27))))-SUM($I25:AS25),
IF($F25="yes",MMULT(--('Equipment List &amp; Usage'!$J27:$N27&gt;0),--('Weekly Summary'!AN$112:AN$116))*'Equipment List &amp; Usage'!$C$114,MMULT(--('Equipment List &amp; Usage'!$J27:$N27),--('Weekly Summary'!AN$112:AN$116))*'Equipment List &amp; Usage'!$C$115)+IF('Equipment List &amp; Usage'!$F26="yes",'Equipment List &amp; Usage'!$C$114,'Equipment List &amp; Usage'!$C$115)*(('Weekly Summary'!AN$66*'Equipment List &amp; Usage'!$Q27)+('Weekly Summary'!AN$64*'Equipment List &amp; Usage'!$O27)+('Weekly Summary'!AN$65*'Equipment List &amp; Usage'!$P27))+(IF('Equipment List &amp; Usage'!$F27="Yes",'Equipment List &amp; Usage'!$C$114*((('Weekly Summary'!AN$131*SelfQuarantine_Mild)+('Weekly Summary'!AN$100*SelfQuarantine_Mild)+('Weekly Summary'!AN$101*SelfQuarantine_Moderate))),'Equipment List &amp; Usage'!$C$115)*((('Weekly Summary'!AN$131*SelfQuarantine_Mild*'Equipment List &amp; Usage'!$W27)+('Weekly Summary'!AN$100*SelfQuarantine_Mild*'Equipment List &amp; Usage'!$X27)+('Weekly Summary'!AN$101*SelfQuarantine_Moderate*'Equipment List &amp; Usage'!$X27))))+IF('Equipment List &amp; Usage'!$F27="Yes",'Equipment List &amp; Usage'!$C$114*(IF('Equipment List &amp; Usage'!$AA27&gt;0,'Weekly Summary'!AN$128,0)+IF('Equipment List &amp; Usage'!$AB27&gt;0,'Weekly Summary'!AN$100+'Weekly Summary'!AN$101,0)),'Equipment List &amp; Usage'!$C$115*(('Weekly Summary'!AN$128*'Equipment List &amp; Usage'!$AA27)+('Weekly Summary'!AN$100*'Equipment List &amp; Usage'!$AB27*SelfQuarantine_Mild)+('Weekly Summary'!AN$101*'Equipment List &amp; Usage'!$AB27*SelfQuarantine_Moderate)))+IF('Equipment List &amp; Usage'!$F27="Yes",('Equipment List &amp; Usage'!$C$114*(IF('Equipment List &amp; Usage'!$AE27&gt;0,'Weekly Summary'!AN$134,0)+IF('Equipment List &amp; Usage'!$AF27&gt;0,'Weekly Summary'!AN$135))),'Equipment List &amp; Usage'!$C$115*(('Weekly Summary'!AN$134*'Equipment List &amp; Usage'!$AE27)+('Weekly Summary'!AN$135*'Equipment List &amp; Usage'!$AF27)))),0)</f>
        <v>0</v>
      </c>
      <c r="AU25" s="1374">
        <f ca="1">MAX(IF($F25="Yes",(
IF($F25="yes",MMULT(--('Equipment List &amp; Usage'!$J27:$N27&gt;0),--('Weekly Summary'!AO$112:AO$116))*'Equipment List &amp; Usage'!$C$114,MMULT(--('Equipment List &amp; Usage'!$J27:$N27),--('Weekly Summary'!AO$112:AO$116))*'Equipment List &amp; Usage'!$C$115)+IF('Equipment List &amp; Usage'!$F26="yes",'Equipment List &amp; Usage'!$C$114,'Equipment List &amp; Usage'!$C$115)*(('Weekly Summary'!AO$66*'Equipment List &amp; Usage'!$Q27)+('Weekly Summary'!AO$64*'Equipment List &amp; Usage'!$O27)+('Weekly Summary'!AO$65*'Equipment List &amp; Usage'!$P27)))+(IF('Equipment List &amp; Usage'!$F27="Yes",'Equipment List &amp; Usage'!$C$114*((('Weekly Summary'!AO$131*SelfQuarantine_Mild)+('Weekly Summary'!AO$100*SelfQuarantine_Mild)+('Weekly Summary'!AO$101*SelfQuarantine_Moderate))),'Equipment List &amp; Usage'!$C$115)*((('Weekly Summary'!AO$131*SelfQuarantine_Mild*'Equipment List &amp; Usage'!$W27)+('Weekly Summary'!AO$100*SelfQuarantine_Mild*'Equipment List &amp; Usage'!$X27)+('Weekly Summary'!AO$101*SelfQuarantine_Moderate*'Equipment List &amp; Usage'!$X27)))+IF('Equipment List &amp; Usage'!$F27="Yes",'Equipment List &amp; Usage'!$C$114*(IF('Equipment List &amp; Usage'!$AA27&gt;0,'Weekly Summary'!AO$128,0)+IF('Equipment List &amp; Usage'!$AB27&gt;0,'Weekly Summary'!AO$100+'Weekly Summary'!AO$101,0)),'Equipment List &amp; Usage'!$C$115*(('Weekly Summary'!AO$128*'Equipment List &amp; Usage'!$AA27)+('Weekly Summary'!AO$100*'Equipment List &amp; Usage'!$AB27*SelfQuarantine_Mild)+('Weekly Summary'!AO$101*'Equipment List &amp; Usage'!$AB27*SelfQuarantine_Moderate)))+IF('Equipment List &amp; Usage'!$F27="Yes",('Equipment List &amp; Usage'!$C$114*(IF('Equipment List &amp; Usage'!$AE27&gt;0,'Weekly Summary'!AO$134,0)+IF('Equipment List &amp; Usage'!$AF27&gt;0,'Weekly Summary'!AO$135))),'Equipment List &amp; Usage'!$C$115*(('Weekly Summary'!AO$134*'Equipment List &amp; Usage'!$AE27)+('Weekly Summary'!AO$135*'Equipment List &amp; Usage'!$AF27))))-SUM($I25:AT25),
IF($F25="yes",MMULT(--('Equipment List &amp; Usage'!$J27:$N27&gt;0),--('Weekly Summary'!AO$112:AO$116))*'Equipment List &amp; Usage'!$C$114,MMULT(--('Equipment List &amp; Usage'!$J27:$N27),--('Weekly Summary'!AO$112:AO$116))*'Equipment List &amp; Usage'!$C$115)+IF('Equipment List &amp; Usage'!$F26="yes",'Equipment List &amp; Usage'!$C$114,'Equipment List &amp; Usage'!$C$115)*(('Weekly Summary'!AO$66*'Equipment List &amp; Usage'!$Q27)+('Weekly Summary'!AO$64*'Equipment List &amp; Usage'!$O27)+('Weekly Summary'!AO$65*'Equipment List &amp; Usage'!$P27))+(IF('Equipment List &amp; Usage'!$F27="Yes",'Equipment List &amp; Usage'!$C$114*((('Weekly Summary'!AO$131*SelfQuarantine_Mild)+('Weekly Summary'!AO$100*SelfQuarantine_Mild)+('Weekly Summary'!AO$101*SelfQuarantine_Moderate))),'Equipment List &amp; Usage'!$C$115)*((('Weekly Summary'!AO$131*SelfQuarantine_Mild*'Equipment List &amp; Usage'!$W27)+('Weekly Summary'!AO$100*SelfQuarantine_Mild*'Equipment List &amp; Usage'!$X27)+('Weekly Summary'!AO$101*SelfQuarantine_Moderate*'Equipment List &amp; Usage'!$X27))))+IF('Equipment List &amp; Usage'!$F27="Yes",'Equipment List &amp; Usage'!$C$114*(IF('Equipment List &amp; Usage'!$AA27&gt;0,'Weekly Summary'!AO$128,0)+IF('Equipment List &amp; Usage'!$AB27&gt;0,'Weekly Summary'!AO$100+'Weekly Summary'!AO$101,0)),'Equipment List &amp; Usage'!$C$115*(('Weekly Summary'!AO$128*'Equipment List &amp; Usage'!$AA27)+('Weekly Summary'!AO$100*'Equipment List &amp; Usage'!$AB27*SelfQuarantine_Mild)+('Weekly Summary'!AO$101*'Equipment List &amp; Usage'!$AB27*SelfQuarantine_Moderate)))+IF('Equipment List &amp; Usage'!$F27="Yes",('Equipment List &amp; Usage'!$C$114*(IF('Equipment List &amp; Usage'!$AE27&gt;0,'Weekly Summary'!AO$134,0)+IF('Equipment List &amp; Usage'!$AF27&gt;0,'Weekly Summary'!AO$135))),'Equipment List &amp; Usage'!$C$115*(('Weekly Summary'!AO$134*'Equipment List &amp; Usage'!$AE27)+('Weekly Summary'!AO$135*'Equipment List &amp; Usage'!$AF27)))),0)</f>
        <v>0</v>
      </c>
      <c r="AV25" s="1374">
        <f ca="1">MAX(IF($F25="Yes",(
IF($F25="yes",MMULT(--('Equipment List &amp; Usage'!$J27:$N27&gt;0),--('Weekly Summary'!AP$112:AP$116))*'Equipment List &amp; Usage'!$C$114,MMULT(--('Equipment List &amp; Usage'!$J27:$N27),--('Weekly Summary'!AP$112:AP$116))*'Equipment List &amp; Usage'!$C$115)+IF('Equipment List &amp; Usage'!$F26="yes",'Equipment List &amp; Usage'!$C$114,'Equipment List &amp; Usage'!$C$115)*(('Weekly Summary'!AP$66*'Equipment List &amp; Usage'!$Q27)+('Weekly Summary'!AP$64*'Equipment List &amp; Usage'!$O27)+('Weekly Summary'!AP$65*'Equipment List &amp; Usage'!$P27)))+(IF('Equipment List &amp; Usage'!$F27="Yes",'Equipment List &amp; Usage'!$C$114*((('Weekly Summary'!AP$131*SelfQuarantine_Mild)+('Weekly Summary'!AP$100*SelfQuarantine_Mild)+('Weekly Summary'!AP$101*SelfQuarantine_Moderate))),'Equipment List &amp; Usage'!$C$115)*((('Weekly Summary'!AP$131*SelfQuarantine_Mild*'Equipment List &amp; Usage'!$W27)+('Weekly Summary'!AP$100*SelfQuarantine_Mild*'Equipment List &amp; Usage'!$X27)+('Weekly Summary'!AP$101*SelfQuarantine_Moderate*'Equipment List &amp; Usage'!$X27)))+IF('Equipment List &amp; Usage'!$F27="Yes",'Equipment List &amp; Usage'!$C$114*(IF('Equipment List &amp; Usage'!$AA27&gt;0,'Weekly Summary'!AP$128,0)+IF('Equipment List &amp; Usage'!$AB27&gt;0,'Weekly Summary'!AP$100+'Weekly Summary'!AP$101,0)),'Equipment List &amp; Usage'!$C$115*(('Weekly Summary'!AP$128*'Equipment List &amp; Usage'!$AA27)+('Weekly Summary'!AP$100*'Equipment List &amp; Usage'!$AB27*SelfQuarantine_Mild)+('Weekly Summary'!AP$101*'Equipment List &amp; Usage'!$AB27*SelfQuarantine_Moderate)))+IF('Equipment List &amp; Usage'!$F27="Yes",('Equipment List &amp; Usage'!$C$114*(IF('Equipment List &amp; Usage'!$AE27&gt;0,'Weekly Summary'!AP$134,0)+IF('Equipment List &amp; Usage'!$AF27&gt;0,'Weekly Summary'!AP$135))),'Equipment List &amp; Usage'!$C$115*(('Weekly Summary'!AP$134*'Equipment List &amp; Usage'!$AE27)+('Weekly Summary'!AP$135*'Equipment List &amp; Usage'!$AF27))))-SUM($I25:AU25),
IF($F25="yes",MMULT(--('Equipment List &amp; Usage'!$J27:$N27&gt;0),--('Weekly Summary'!AP$112:AP$116))*'Equipment List &amp; Usage'!$C$114,MMULT(--('Equipment List &amp; Usage'!$J27:$N27),--('Weekly Summary'!AP$112:AP$116))*'Equipment List &amp; Usage'!$C$115)+IF('Equipment List &amp; Usage'!$F26="yes",'Equipment List &amp; Usage'!$C$114,'Equipment List &amp; Usage'!$C$115)*(('Weekly Summary'!AP$66*'Equipment List &amp; Usage'!$Q27)+('Weekly Summary'!AP$64*'Equipment List &amp; Usage'!$O27)+('Weekly Summary'!AP$65*'Equipment List &amp; Usage'!$P27))+(IF('Equipment List &amp; Usage'!$F27="Yes",'Equipment List &amp; Usage'!$C$114*((('Weekly Summary'!AP$131*SelfQuarantine_Mild)+('Weekly Summary'!AP$100*SelfQuarantine_Mild)+('Weekly Summary'!AP$101*SelfQuarantine_Moderate))),'Equipment List &amp; Usage'!$C$115)*((('Weekly Summary'!AP$131*SelfQuarantine_Mild*'Equipment List &amp; Usage'!$W27)+('Weekly Summary'!AP$100*SelfQuarantine_Mild*'Equipment List &amp; Usage'!$X27)+('Weekly Summary'!AP$101*SelfQuarantine_Moderate*'Equipment List &amp; Usage'!$X27))))+IF('Equipment List &amp; Usage'!$F27="Yes",'Equipment List &amp; Usage'!$C$114*(IF('Equipment List &amp; Usage'!$AA27&gt;0,'Weekly Summary'!AP$128,0)+IF('Equipment List &amp; Usage'!$AB27&gt;0,'Weekly Summary'!AP$100+'Weekly Summary'!AP$101,0)),'Equipment List &amp; Usage'!$C$115*(('Weekly Summary'!AP$128*'Equipment List &amp; Usage'!$AA27)+('Weekly Summary'!AP$100*'Equipment List &amp; Usage'!$AB27*SelfQuarantine_Mild)+('Weekly Summary'!AP$101*'Equipment List &amp; Usage'!$AB27*SelfQuarantine_Moderate)))+IF('Equipment List &amp; Usage'!$F27="Yes",('Equipment List &amp; Usage'!$C$114*(IF('Equipment List &amp; Usage'!$AE27&gt;0,'Weekly Summary'!AP$134,0)+IF('Equipment List &amp; Usage'!$AF27&gt;0,'Weekly Summary'!AP$135))),'Equipment List &amp; Usage'!$C$115*(('Weekly Summary'!AP$134*'Equipment List &amp; Usage'!$AE27)+('Weekly Summary'!AP$135*'Equipment List &amp; Usage'!$AF27)))),0)</f>
        <v>0</v>
      </c>
      <c r="AW25" s="1374">
        <f ca="1">MAX(IF($F25="Yes",(
IF($F25="yes",MMULT(--('Equipment List &amp; Usage'!$J27:$N27&gt;0),--('Weekly Summary'!AQ$112:AQ$116))*'Equipment List &amp; Usage'!$C$114,MMULT(--('Equipment List &amp; Usage'!$J27:$N27),--('Weekly Summary'!AQ$112:AQ$116))*'Equipment List &amp; Usage'!$C$115)+IF('Equipment List &amp; Usage'!$F26="yes",'Equipment List &amp; Usage'!$C$114,'Equipment List &amp; Usage'!$C$115)*(('Weekly Summary'!AQ$66*'Equipment List &amp; Usage'!$Q27)+('Weekly Summary'!AQ$64*'Equipment List &amp; Usage'!$O27)+('Weekly Summary'!AQ$65*'Equipment List &amp; Usage'!$P27)))+(IF('Equipment List &amp; Usage'!$F27="Yes",'Equipment List &amp; Usage'!$C$114*((('Weekly Summary'!AQ$131*SelfQuarantine_Mild)+('Weekly Summary'!AQ$100*SelfQuarantine_Mild)+('Weekly Summary'!AQ$101*SelfQuarantine_Moderate))),'Equipment List &amp; Usage'!$C$115)*((('Weekly Summary'!AQ$131*SelfQuarantine_Mild*'Equipment List &amp; Usage'!$W27)+('Weekly Summary'!AQ$100*SelfQuarantine_Mild*'Equipment List &amp; Usage'!$X27)+('Weekly Summary'!AQ$101*SelfQuarantine_Moderate*'Equipment List &amp; Usage'!$X27)))+IF('Equipment List &amp; Usage'!$F27="Yes",'Equipment List &amp; Usage'!$C$114*(IF('Equipment List &amp; Usage'!$AA27&gt;0,'Weekly Summary'!AQ$128,0)+IF('Equipment List &amp; Usage'!$AB27&gt;0,'Weekly Summary'!AQ$100+'Weekly Summary'!AQ$101,0)),'Equipment List &amp; Usage'!$C$115*(('Weekly Summary'!AQ$128*'Equipment List &amp; Usage'!$AA27)+('Weekly Summary'!AQ$100*'Equipment List &amp; Usage'!$AB27*SelfQuarantine_Mild)+('Weekly Summary'!AQ$101*'Equipment List &amp; Usage'!$AB27*SelfQuarantine_Moderate)))+IF('Equipment List &amp; Usage'!$F27="Yes",('Equipment List &amp; Usage'!$C$114*(IF('Equipment List &amp; Usage'!$AE27&gt;0,'Weekly Summary'!AQ$134,0)+IF('Equipment List &amp; Usage'!$AF27&gt;0,'Weekly Summary'!AQ$135))),'Equipment List &amp; Usage'!$C$115*(('Weekly Summary'!AQ$134*'Equipment List &amp; Usage'!$AE27)+('Weekly Summary'!AQ$135*'Equipment List &amp; Usage'!$AF27))))-SUM($I25:AV25),
IF($F25="yes",MMULT(--('Equipment List &amp; Usage'!$J27:$N27&gt;0),--('Weekly Summary'!AQ$112:AQ$116))*'Equipment List &amp; Usage'!$C$114,MMULT(--('Equipment List &amp; Usage'!$J27:$N27),--('Weekly Summary'!AQ$112:AQ$116))*'Equipment List &amp; Usage'!$C$115)+IF('Equipment List &amp; Usage'!$F26="yes",'Equipment List &amp; Usage'!$C$114,'Equipment List &amp; Usage'!$C$115)*(('Weekly Summary'!AQ$66*'Equipment List &amp; Usage'!$Q27)+('Weekly Summary'!AQ$64*'Equipment List &amp; Usage'!$O27)+('Weekly Summary'!AQ$65*'Equipment List &amp; Usage'!$P27))+(IF('Equipment List &amp; Usage'!$F27="Yes",'Equipment List &amp; Usage'!$C$114*((('Weekly Summary'!AQ$131*SelfQuarantine_Mild)+('Weekly Summary'!AQ$100*SelfQuarantine_Mild)+('Weekly Summary'!AQ$101*SelfQuarantine_Moderate))),'Equipment List &amp; Usage'!$C$115)*((('Weekly Summary'!AQ$131*SelfQuarantine_Mild*'Equipment List &amp; Usage'!$W27)+('Weekly Summary'!AQ$100*SelfQuarantine_Mild*'Equipment List &amp; Usage'!$X27)+('Weekly Summary'!AQ$101*SelfQuarantine_Moderate*'Equipment List &amp; Usage'!$X27))))+IF('Equipment List &amp; Usage'!$F27="Yes",'Equipment List &amp; Usage'!$C$114*(IF('Equipment List &amp; Usage'!$AA27&gt;0,'Weekly Summary'!AQ$128,0)+IF('Equipment List &amp; Usage'!$AB27&gt;0,'Weekly Summary'!AQ$100+'Weekly Summary'!AQ$101,0)),'Equipment List &amp; Usage'!$C$115*(('Weekly Summary'!AQ$128*'Equipment List &amp; Usage'!$AA27)+('Weekly Summary'!AQ$100*'Equipment List &amp; Usage'!$AB27*SelfQuarantine_Mild)+('Weekly Summary'!AQ$101*'Equipment List &amp; Usage'!$AB27*SelfQuarantine_Moderate)))+IF('Equipment List &amp; Usage'!$F27="Yes",('Equipment List &amp; Usage'!$C$114*(IF('Equipment List &amp; Usage'!$AE27&gt;0,'Weekly Summary'!AQ$134,0)+IF('Equipment List &amp; Usage'!$AF27&gt;0,'Weekly Summary'!AQ$135))),'Equipment List &amp; Usage'!$C$115*(('Weekly Summary'!AQ$134*'Equipment List &amp; Usage'!$AE27)+('Weekly Summary'!AQ$135*'Equipment List &amp; Usage'!$AF27)))),0)</f>
        <v>0</v>
      </c>
      <c r="AX25" s="1374">
        <f ca="1">MAX(IF($F25="Yes",(
IF($F25="yes",MMULT(--('Equipment List &amp; Usage'!$J27:$N27&gt;0),--('Weekly Summary'!AR$112:AR$116))*'Equipment List &amp; Usage'!$C$114,MMULT(--('Equipment List &amp; Usage'!$J27:$N27),--('Weekly Summary'!AR$112:AR$116))*'Equipment List &amp; Usage'!$C$115)+IF('Equipment List &amp; Usage'!$F26="yes",'Equipment List &amp; Usage'!$C$114,'Equipment List &amp; Usage'!$C$115)*(('Weekly Summary'!AR$66*'Equipment List &amp; Usage'!$Q27)+('Weekly Summary'!AR$64*'Equipment List &amp; Usage'!$O27)+('Weekly Summary'!AR$65*'Equipment List &amp; Usage'!$P27)))+(IF('Equipment List &amp; Usage'!$F27="Yes",'Equipment List &amp; Usage'!$C$114*((('Weekly Summary'!AR$131*SelfQuarantine_Mild)+('Weekly Summary'!AR$100*SelfQuarantine_Mild)+('Weekly Summary'!AR$101*SelfQuarantine_Moderate))),'Equipment List &amp; Usage'!$C$115)*((('Weekly Summary'!AR$131*SelfQuarantine_Mild*'Equipment List &amp; Usage'!$W27)+('Weekly Summary'!AR$100*SelfQuarantine_Mild*'Equipment List &amp; Usage'!$X27)+('Weekly Summary'!AR$101*SelfQuarantine_Moderate*'Equipment List &amp; Usage'!$X27)))+IF('Equipment List &amp; Usage'!$F27="Yes",'Equipment List &amp; Usage'!$C$114*(IF('Equipment List &amp; Usage'!$AA27&gt;0,'Weekly Summary'!AR$128,0)+IF('Equipment List &amp; Usage'!$AB27&gt;0,'Weekly Summary'!AR$100+'Weekly Summary'!AR$101,0)),'Equipment List &amp; Usage'!$C$115*(('Weekly Summary'!AR$128*'Equipment List &amp; Usage'!$AA27)+('Weekly Summary'!AR$100*'Equipment List &amp; Usage'!$AB27*SelfQuarantine_Mild)+('Weekly Summary'!AR$101*'Equipment List &amp; Usage'!$AB27*SelfQuarantine_Moderate)))+IF('Equipment List &amp; Usage'!$F27="Yes",('Equipment List &amp; Usage'!$C$114*(IF('Equipment List &amp; Usage'!$AE27&gt;0,'Weekly Summary'!AR$134,0)+IF('Equipment List &amp; Usage'!$AF27&gt;0,'Weekly Summary'!AR$135))),'Equipment List &amp; Usage'!$C$115*(('Weekly Summary'!AR$134*'Equipment List &amp; Usage'!$AE27)+('Weekly Summary'!AR$135*'Equipment List &amp; Usage'!$AF27))))-SUM($I25:AW25),
IF($F25="yes",MMULT(--('Equipment List &amp; Usage'!$J27:$N27&gt;0),--('Weekly Summary'!AR$112:AR$116))*'Equipment List &amp; Usage'!$C$114,MMULT(--('Equipment List &amp; Usage'!$J27:$N27),--('Weekly Summary'!AR$112:AR$116))*'Equipment List &amp; Usage'!$C$115)+IF('Equipment List &amp; Usage'!$F26="yes",'Equipment List &amp; Usage'!$C$114,'Equipment List &amp; Usage'!$C$115)*(('Weekly Summary'!AR$66*'Equipment List &amp; Usage'!$Q27)+('Weekly Summary'!AR$64*'Equipment List &amp; Usage'!$O27)+('Weekly Summary'!AR$65*'Equipment List &amp; Usage'!$P27))+(IF('Equipment List &amp; Usage'!$F27="Yes",'Equipment List &amp; Usage'!$C$114*((('Weekly Summary'!AR$131*SelfQuarantine_Mild)+('Weekly Summary'!AR$100*SelfQuarantine_Mild)+('Weekly Summary'!AR$101*SelfQuarantine_Moderate))),'Equipment List &amp; Usage'!$C$115)*((('Weekly Summary'!AR$131*SelfQuarantine_Mild*'Equipment List &amp; Usage'!$W27)+('Weekly Summary'!AR$100*SelfQuarantine_Mild*'Equipment List &amp; Usage'!$X27)+('Weekly Summary'!AR$101*SelfQuarantine_Moderate*'Equipment List &amp; Usage'!$X27))))+IF('Equipment List &amp; Usage'!$F27="Yes",'Equipment List &amp; Usage'!$C$114*(IF('Equipment List &amp; Usage'!$AA27&gt;0,'Weekly Summary'!AR$128,0)+IF('Equipment List &amp; Usage'!$AB27&gt;0,'Weekly Summary'!AR$100+'Weekly Summary'!AR$101,0)),'Equipment List &amp; Usage'!$C$115*(('Weekly Summary'!AR$128*'Equipment List &amp; Usage'!$AA27)+('Weekly Summary'!AR$100*'Equipment List &amp; Usage'!$AB27*SelfQuarantine_Mild)+('Weekly Summary'!AR$101*'Equipment List &amp; Usage'!$AB27*SelfQuarantine_Moderate)))+IF('Equipment List &amp; Usage'!$F27="Yes",('Equipment List &amp; Usage'!$C$114*(IF('Equipment List &amp; Usage'!$AE27&gt;0,'Weekly Summary'!AR$134,0)+IF('Equipment List &amp; Usage'!$AF27&gt;0,'Weekly Summary'!AR$135))),'Equipment List &amp; Usage'!$C$115*(('Weekly Summary'!AR$134*'Equipment List &amp; Usage'!$AE27)+('Weekly Summary'!AR$135*'Equipment List &amp; Usage'!$AF27)))),0)</f>
        <v>0</v>
      </c>
      <c r="AY25" s="1374">
        <f ca="1">MAX(IF($F25="Yes",(
IF($F25="yes",MMULT(--('Equipment List &amp; Usage'!$J27:$N27&gt;0),--('Weekly Summary'!AS$112:AS$116))*'Equipment List &amp; Usage'!$C$114,MMULT(--('Equipment List &amp; Usage'!$J27:$N27),--('Weekly Summary'!AS$112:AS$116))*'Equipment List &amp; Usage'!$C$115)+IF('Equipment List &amp; Usage'!$F26="yes",'Equipment List &amp; Usage'!$C$114,'Equipment List &amp; Usage'!$C$115)*(('Weekly Summary'!AS$66*'Equipment List &amp; Usage'!$Q27)+('Weekly Summary'!AS$64*'Equipment List &amp; Usage'!$O27)+('Weekly Summary'!AS$65*'Equipment List &amp; Usage'!$P27)))+(IF('Equipment List &amp; Usage'!$F27="Yes",'Equipment List &amp; Usage'!$C$114*((('Weekly Summary'!AS$131*SelfQuarantine_Mild)+('Weekly Summary'!AS$100*SelfQuarantine_Mild)+('Weekly Summary'!AS$101*SelfQuarantine_Moderate))),'Equipment List &amp; Usage'!$C$115)*((('Weekly Summary'!AS$131*SelfQuarantine_Mild*'Equipment List &amp; Usage'!$W27)+('Weekly Summary'!AS$100*SelfQuarantine_Mild*'Equipment List &amp; Usage'!$X27)+('Weekly Summary'!AS$101*SelfQuarantine_Moderate*'Equipment List &amp; Usage'!$X27)))+IF('Equipment List &amp; Usage'!$F27="Yes",'Equipment List &amp; Usage'!$C$114*(IF('Equipment List &amp; Usage'!$AA27&gt;0,'Weekly Summary'!AS$128,0)+IF('Equipment List &amp; Usage'!$AB27&gt;0,'Weekly Summary'!AS$100+'Weekly Summary'!AS$101,0)),'Equipment List &amp; Usage'!$C$115*(('Weekly Summary'!AS$128*'Equipment List &amp; Usage'!$AA27)+('Weekly Summary'!AS$100*'Equipment List &amp; Usage'!$AB27*SelfQuarantine_Mild)+('Weekly Summary'!AS$101*'Equipment List &amp; Usage'!$AB27*SelfQuarantine_Moderate)))+IF('Equipment List &amp; Usage'!$F27="Yes",('Equipment List &amp; Usage'!$C$114*(IF('Equipment List &amp; Usage'!$AE27&gt;0,'Weekly Summary'!AS$134,0)+IF('Equipment List &amp; Usage'!$AF27&gt;0,'Weekly Summary'!AS$135))),'Equipment List &amp; Usage'!$C$115*(('Weekly Summary'!AS$134*'Equipment List &amp; Usage'!$AE27)+('Weekly Summary'!AS$135*'Equipment List &amp; Usage'!$AF27))))-SUM($I25:AX25),
IF($F25="yes",MMULT(--('Equipment List &amp; Usage'!$J27:$N27&gt;0),--('Weekly Summary'!AS$112:AS$116))*'Equipment List &amp; Usage'!$C$114,MMULT(--('Equipment List &amp; Usage'!$J27:$N27),--('Weekly Summary'!AS$112:AS$116))*'Equipment List &amp; Usage'!$C$115)+IF('Equipment List &amp; Usage'!$F26="yes",'Equipment List &amp; Usage'!$C$114,'Equipment List &amp; Usage'!$C$115)*(('Weekly Summary'!AS$66*'Equipment List &amp; Usage'!$Q27)+('Weekly Summary'!AS$64*'Equipment List &amp; Usage'!$O27)+('Weekly Summary'!AS$65*'Equipment List &amp; Usage'!$P27))+(IF('Equipment List &amp; Usage'!$F27="Yes",'Equipment List &amp; Usage'!$C$114*((('Weekly Summary'!AS$131*SelfQuarantine_Mild)+('Weekly Summary'!AS$100*SelfQuarantine_Mild)+('Weekly Summary'!AS$101*SelfQuarantine_Moderate))),'Equipment List &amp; Usage'!$C$115)*((('Weekly Summary'!AS$131*SelfQuarantine_Mild*'Equipment List &amp; Usage'!$W27)+('Weekly Summary'!AS$100*SelfQuarantine_Mild*'Equipment List &amp; Usage'!$X27)+('Weekly Summary'!AS$101*SelfQuarantine_Moderate*'Equipment List &amp; Usage'!$X27))))+IF('Equipment List &amp; Usage'!$F27="Yes",'Equipment List &amp; Usage'!$C$114*(IF('Equipment List &amp; Usage'!$AA27&gt;0,'Weekly Summary'!AS$128,0)+IF('Equipment List &amp; Usage'!$AB27&gt;0,'Weekly Summary'!AS$100+'Weekly Summary'!AS$101,0)),'Equipment List &amp; Usage'!$C$115*(('Weekly Summary'!AS$128*'Equipment List &amp; Usage'!$AA27)+('Weekly Summary'!AS$100*'Equipment List &amp; Usage'!$AB27*SelfQuarantine_Mild)+('Weekly Summary'!AS$101*'Equipment List &amp; Usage'!$AB27*SelfQuarantine_Moderate)))+IF('Equipment List &amp; Usage'!$F27="Yes",('Equipment List &amp; Usage'!$C$114*(IF('Equipment List &amp; Usage'!$AE27&gt;0,'Weekly Summary'!AS$134,0)+IF('Equipment List &amp; Usage'!$AF27&gt;0,'Weekly Summary'!AS$135))),'Equipment List &amp; Usage'!$C$115*(('Weekly Summary'!AS$134*'Equipment List &amp; Usage'!$AE27)+('Weekly Summary'!AS$135*'Equipment List &amp; Usage'!$AF27)))),0)</f>
        <v>0</v>
      </c>
      <c r="AZ25" s="1374">
        <f ca="1">MAX(IF($F25="Yes",(
IF($F25="yes",MMULT(--('Equipment List &amp; Usage'!$J27:$N27&gt;0),--('Weekly Summary'!AT$112:AT$116))*'Equipment List &amp; Usage'!$C$114,MMULT(--('Equipment List &amp; Usage'!$J27:$N27),--('Weekly Summary'!AT$112:AT$116))*'Equipment List &amp; Usage'!$C$115)+IF('Equipment List &amp; Usage'!$F26="yes",'Equipment List &amp; Usage'!$C$114,'Equipment List &amp; Usage'!$C$115)*(('Weekly Summary'!AT$66*'Equipment List &amp; Usage'!$Q27)+('Weekly Summary'!AT$64*'Equipment List &amp; Usage'!$O27)+('Weekly Summary'!AT$65*'Equipment List &amp; Usage'!$P27)))+(IF('Equipment List &amp; Usage'!$F27="Yes",'Equipment List &amp; Usage'!$C$114*((('Weekly Summary'!AT$131*SelfQuarantine_Mild)+('Weekly Summary'!AT$100*SelfQuarantine_Mild)+('Weekly Summary'!AT$101*SelfQuarantine_Moderate))),'Equipment List &amp; Usage'!$C$115)*((('Weekly Summary'!AT$131*SelfQuarantine_Mild*'Equipment List &amp; Usage'!$W27)+('Weekly Summary'!AT$100*SelfQuarantine_Mild*'Equipment List &amp; Usage'!$X27)+('Weekly Summary'!AT$101*SelfQuarantine_Moderate*'Equipment List &amp; Usage'!$X27)))+IF('Equipment List &amp; Usage'!$F27="Yes",'Equipment List &amp; Usage'!$C$114*(IF('Equipment List &amp; Usage'!$AA27&gt;0,'Weekly Summary'!AT$128,0)+IF('Equipment List &amp; Usage'!$AB27&gt;0,'Weekly Summary'!AT$100+'Weekly Summary'!AT$101,0)),'Equipment List &amp; Usage'!$C$115*(('Weekly Summary'!AT$128*'Equipment List &amp; Usage'!$AA27)+('Weekly Summary'!AT$100*'Equipment List &amp; Usage'!$AB27*SelfQuarantine_Mild)+('Weekly Summary'!AT$101*'Equipment List &amp; Usage'!$AB27*SelfQuarantine_Moderate)))+IF('Equipment List &amp; Usage'!$F27="Yes",('Equipment List &amp; Usage'!$C$114*(IF('Equipment List &amp; Usage'!$AE27&gt;0,'Weekly Summary'!AT$134,0)+IF('Equipment List &amp; Usage'!$AF27&gt;0,'Weekly Summary'!AT$135))),'Equipment List &amp; Usage'!$C$115*(('Weekly Summary'!AT$134*'Equipment List &amp; Usage'!$AE27)+('Weekly Summary'!AT$135*'Equipment List &amp; Usage'!$AF27))))-SUM($I25:AY25),
IF($F25="yes",MMULT(--('Equipment List &amp; Usage'!$J27:$N27&gt;0),--('Weekly Summary'!AT$112:AT$116))*'Equipment List &amp; Usage'!$C$114,MMULT(--('Equipment List &amp; Usage'!$J27:$N27),--('Weekly Summary'!AT$112:AT$116))*'Equipment List &amp; Usage'!$C$115)+IF('Equipment List &amp; Usage'!$F26="yes",'Equipment List &amp; Usage'!$C$114,'Equipment List &amp; Usage'!$C$115)*(('Weekly Summary'!AT$66*'Equipment List &amp; Usage'!$Q27)+('Weekly Summary'!AT$64*'Equipment List &amp; Usage'!$O27)+('Weekly Summary'!AT$65*'Equipment List &amp; Usage'!$P27))+(IF('Equipment List &amp; Usage'!$F27="Yes",'Equipment List &amp; Usage'!$C$114*((('Weekly Summary'!AT$131*SelfQuarantine_Mild)+('Weekly Summary'!AT$100*SelfQuarantine_Mild)+('Weekly Summary'!AT$101*SelfQuarantine_Moderate))),'Equipment List &amp; Usage'!$C$115)*((('Weekly Summary'!AT$131*SelfQuarantine_Mild*'Equipment List &amp; Usage'!$W27)+('Weekly Summary'!AT$100*SelfQuarantine_Mild*'Equipment List &amp; Usage'!$X27)+('Weekly Summary'!AT$101*SelfQuarantine_Moderate*'Equipment List &amp; Usage'!$X27))))+IF('Equipment List &amp; Usage'!$F27="Yes",'Equipment List &amp; Usage'!$C$114*(IF('Equipment List &amp; Usage'!$AA27&gt;0,'Weekly Summary'!AT$128,0)+IF('Equipment List &amp; Usage'!$AB27&gt;0,'Weekly Summary'!AT$100+'Weekly Summary'!AT$101,0)),'Equipment List &amp; Usage'!$C$115*(('Weekly Summary'!AT$128*'Equipment List &amp; Usage'!$AA27)+('Weekly Summary'!AT$100*'Equipment List &amp; Usage'!$AB27*SelfQuarantine_Mild)+('Weekly Summary'!AT$101*'Equipment List &amp; Usage'!$AB27*SelfQuarantine_Moderate)))+IF('Equipment List &amp; Usage'!$F27="Yes",('Equipment List &amp; Usage'!$C$114*(IF('Equipment List &amp; Usage'!$AE27&gt;0,'Weekly Summary'!AT$134,0)+IF('Equipment List &amp; Usage'!$AF27&gt;0,'Weekly Summary'!AT$135))),'Equipment List &amp; Usage'!$C$115*(('Weekly Summary'!AT$134*'Equipment List &amp; Usage'!$AE27)+('Weekly Summary'!AT$135*'Equipment List &amp; Usage'!$AF27)))),0)</f>
        <v>0</v>
      </c>
      <c r="BA25" s="1374">
        <f ca="1">MAX(IF($F25="Yes",(
IF($F25="yes",MMULT(--('Equipment List &amp; Usage'!$J27:$N27&gt;0),--('Weekly Summary'!AU$112:AU$116))*'Equipment List &amp; Usage'!$C$114,MMULT(--('Equipment List &amp; Usage'!$J27:$N27),--('Weekly Summary'!AU$112:AU$116))*'Equipment List &amp; Usage'!$C$115)+IF('Equipment List &amp; Usage'!$F26="yes",'Equipment List &amp; Usage'!$C$114,'Equipment List &amp; Usage'!$C$115)*(('Weekly Summary'!AU$66*'Equipment List &amp; Usage'!$Q27)+('Weekly Summary'!AU$64*'Equipment List &amp; Usage'!$O27)+('Weekly Summary'!AU$65*'Equipment List &amp; Usage'!$P27)))+(IF('Equipment List &amp; Usage'!$F27="Yes",'Equipment List &amp; Usage'!$C$114*((('Weekly Summary'!AU$131*SelfQuarantine_Mild)+('Weekly Summary'!AU$100*SelfQuarantine_Mild)+('Weekly Summary'!AU$101*SelfQuarantine_Moderate))),'Equipment List &amp; Usage'!$C$115)*((('Weekly Summary'!AU$131*SelfQuarantine_Mild*'Equipment List &amp; Usage'!$W27)+('Weekly Summary'!AU$100*SelfQuarantine_Mild*'Equipment List &amp; Usage'!$X27)+('Weekly Summary'!AU$101*SelfQuarantine_Moderate*'Equipment List &amp; Usage'!$X27)))+IF('Equipment List &amp; Usage'!$F27="Yes",'Equipment List &amp; Usage'!$C$114*(IF('Equipment List &amp; Usage'!$AA27&gt;0,'Weekly Summary'!AU$128,0)+IF('Equipment List &amp; Usage'!$AB27&gt;0,'Weekly Summary'!AU$100+'Weekly Summary'!AU$101,0)),'Equipment List &amp; Usage'!$C$115*(('Weekly Summary'!AU$128*'Equipment List &amp; Usage'!$AA27)+('Weekly Summary'!AU$100*'Equipment List &amp; Usage'!$AB27*SelfQuarantine_Mild)+('Weekly Summary'!AU$101*'Equipment List &amp; Usage'!$AB27*SelfQuarantine_Moderate)))+IF('Equipment List &amp; Usage'!$F27="Yes",('Equipment List &amp; Usage'!$C$114*(IF('Equipment List &amp; Usage'!$AE27&gt;0,'Weekly Summary'!AU$134,0)+IF('Equipment List &amp; Usage'!$AF27&gt;0,'Weekly Summary'!AU$135))),'Equipment List &amp; Usage'!$C$115*(('Weekly Summary'!AU$134*'Equipment List &amp; Usage'!$AE27)+('Weekly Summary'!AU$135*'Equipment List &amp; Usage'!$AF27))))-SUM($I25:AZ25),
IF($F25="yes",MMULT(--('Equipment List &amp; Usage'!$J27:$N27&gt;0),--('Weekly Summary'!AU$112:AU$116))*'Equipment List &amp; Usage'!$C$114,MMULT(--('Equipment List &amp; Usage'!$J27:$N27),--('Weekly Summary'!AU$112:AU$116))*'Equipment List &amp; Usage'!$C$115)+IF('Equipment List &amp; Usage'!$F26="yes",'Equipment List &amp; Usage'!$C$114,'Equipment List &amp; Usage'!$C$115)*(('Weekly Summary'!AU$66*'Equipment List &amp; Usage'!$Q27)+('Weekly Summary'!AU$64*'Equipment List &amp; Usage'!$O27)+('Weekly Summary'!AU$65*'Equipment List &amp; Usage'!$P27))+(IF('Equipment List &amp; Usage'!$F27="Yes",'Equipment List &amp; Usage'!$C$114*((('Weekly Summary'!AU$131*SelfQuarantine_Mild)+('Weekly Summary'!AU$100*SelfQuarantine_Mild)+('Weekly Summary'!AU$101*SelfQuarantine_Moderate))),'Equipment List &amp; Usage'!$C$115)*((('Weekly Summary'!AU$131*SelfQuarantine_Mild*'Equipment List &amp; Usage'!$W27)+('Weekly Summary'!AU$100*SelfQuarantine_Mild*'Equipment List &amp; Usage'!$X27)+('Weekly Summary'!AU$101*SelfQuarantine_Moderate*'Equipment List &amp; Usage'!$X27))))+IF('Equipment List &amp; Usage'!$F27="Yes",'Equipment List &amp; Usage'!$C$114*(IF('Equipment List &amp; Usage'!$AA27&gt;0,'Weekly Summary'!AU$128,0)+IF('Equipment List &amp; Usage'!$AB27&gt;0,'Weekly Summary'!AU$100+'Weekly Summary'!AU$101,0)),'Equipment List &amp; Usage'!$C$115*(('Weekly Summary'!AU$128*'Equipment List &amp; Usage'!$AA27)+('Weekly Summary'!AU$100*'Equipment List &amp; Usage'!$AB27*SelfQuarantine_Mild)+('Weekly Summary'!AU$101*'Equipment List &amp; Usage'!$AB27*SelfQuarantine_Moderate)))+IF('Equipment List &amp; Usage'!$F27="Yes",('Equipment List &amp; Usage'!$C$114*(IF('Equipment List &amp; Usage'!$AE27&gt;0,'Weekly Summary'!AU$134,0)+IF('Equipment List &amp; Usage'!$AF27&gt;0,'Weekly Summary'!AU$135))),'Equipment List &amp; Usage'!$C$115*(('Weekly Summary'!AU$134*'Equipment List &amp; Usage'!$AE27)+('Weekly Summary'!AU$135*'Equipment List &amp; Usage'!$AF27)))),0)</f>
        <v>0</v>
      </c>
      <c r="BB25" s="1374">
        <f ca="1">MAX(IF($F25="Yes",(
IF($F25="yes",MMULT(--('Equipment List &amp; Usage'!$J27:$N27&gt;0),--('Weekly Summary'!AV$112:AV$116))*'Equipment List &amp; Usage'!$C$114,MMULT(--('Equipment List &amp; Usage'!$J27:$N27),--('Weekly Summary'!AV$112:AV$116))*'Equipment List &amp; Usage'!$C$115)+IF('Equipment List &amp; Usage'!$F26="yes",'Equipment List &amp; Usage'!$C$114,'Equipment List &amp; Usage'!$C$115)*(('Weekly Summary'!AV$66*'Equipment List &amp; Usage'!$Q27)+('Weekly Summary'!AV$64*'Equipment List &amp; Usage'!$O27)+('Weekly Summary'!AV$65*'Equipment List &amp; Usage'!$P27)))+(IF('Equipment List &amp; Usage'!$F27="Yes",'Equipment List &amp; Usage'!$C$114*((('Weekly Summary'!AV$131*SelfQuarantine_Mild)+('Weekly Summary'!AV$100*SelfQuarantine_Mild)+('Weekly Summary'!AV$101*SelfQuarantine_Moderate))),'Equipment List &amp; Usage'!$C$115)*((('Weekly Summary'!AV$131*SelfQuarantine_Mild*'Equipment List &amp; Usage'!$W27)+('Weekly Summary'!AV$100*SelfQuarantine_Mild*'Equipment List &amp; Usage'!$X27)+('Weekly Summary'!AV$101*SelfQuarantine_Moderate*'Equipment List &amp; Usage'!$X27)))+IF('Equipment List &amp; Usage'!$F27="Yes",'Equipment List &amp; Usage'!$C$114*(IF('Equipment List &amp; Usage'!$AA27&gt;0,'Weekly Summary'!AV$128,0)+IF('Equipment List &amp; Usage'!$AB27&gt;0,'Weekly Summary'!AV$100+'Weekly Summary'!AV$101,0)),'Equipment List &amp; Usage'!$C$115*(('Weekly Summary'!AV$128*'Equipment List &amp; Usage'!$AA27)+('Weekly Summary'!AV$100*'Equipment List &amp; Usage'!$AB27*SelfQuarantine_Mild)+('Weekly Summary'!AV$101*'Equipment List &amp; Usage'!$AB27*SelfQuarantine_Moderate)))+IF('Equipment List &amp; Usage'!$F27="Yes",('Equipment List &amp; Usage'!$C$114*(IF('Equipment List &amp; Usage'!$AE27&gt;0,'Weekly Summary'!AV$134,0)+IF('Equipment List &amp; Usage'!$AF27&gt;0,'Weekly Summary'!AV$135))),'Equipment List &amp; Usage'!$C$115*(('Weekly Summary'!AV$134*'Equipment List &amp; Usage'!$AE27)+('Weekly Summary'!AV$135*'Equipment List &amp; Usage'!$AF27))))-SUM($I25:BA25),
IF($F25="yes",MMULT(--('Equipment List &amp; Usage'!$J27:$N27&gt;0),--('Weekly Summary'!AV$112:AV$116))*'Equipment List &amp; Usage'!$C$114,MMULT(--('Equipment List &amp; Usage'!$J27:$N27),--('Weekly Summary'!AV$112:AV$116))*'Equipment List &amp; Usage'!$C$115)+IF('Equipment List &amp; Usage'!$F26="yes",'Equipment List &amp; Usage'!$C$114,'Equipment List &amp; Usage'!$C$115)*(('Weekly Summary'!AV$66*'Equipment List &amp; Usage'!$Q27)+('Weekly Summary'!AV$64*'Equipment List &amp; Usage'!$O27)+('Weekly Summary'!AV$65*'Equipment List &amp; Usage'!$P27))+(IF('Equipment List &amp; Usage'!$F27="Yes",'Equipment List &amp; Usage'!$C$114*((('Weekly Summary'!AV$131*SelfQuarantine_Mild)+('Weekly Summary'!AV$100*SelfQuarantine_Mild)+('Weekly Summary'!AV$101*SelfQuarantine_Moderate))),'Equipment List &amp; Usage'!$C$115)*((('Weekly Summary'!AV$131*SelfQuarantine_Mild*'Equipment List &amp; Usage'!$W27)+('Weekly Summary'!AV$100*SelfQuarantine_Mild*'Equipment List &amp; Usage'!$X27)+('Weekly Summary'!AV$101*SelfQuarantine_Moderate*'Equipment List &amp; Usage'!$X27))))+IF('Equipment List &amp; Usage'!$F27="Yes",'Equipment List &amp; Usage'!$C$114*(IF('Equipment List &amp; Usage'!$AA27&gt;0,'Weekly Summary'!AV$128,0)+IF('Equipment List &amp; Usage'!$AB27&gt;0,'Weekly Summary'!AV$100+'Weekly Summary'!AV$101,0)),'Equipment List &amp; Usage'!$C$115*(('Weekly Summary'!AV$128*'Equipment List &amp; Usage'!$AA27)+('Weekly Summary'!AV$100*'Equipment List &amp; Usage'!$AB27*SelfQuarantine_Mild)+('Weekly Summary'!AV$101*'Equipment List &amp; Usage'!$AB27*SelfQuarantine_Moderate)))+IF('Equipment List &amp; Usage'!$F27="Yes",('Equipment List &amp; Usage'!$C$114*(IF('Equipment List &amp; Usage'!$AE27&gt;0,'Weekly Summary'!AV$134,0)+IF('Equipment List &amp; Usage'!$AF27&gt;0,'Weekly Summary'!AV$135))),'Equipment List &amp; Usage'!$C$115*(('Weekly Summary'!AV$134*'Equipment List &amp; Usage'!$AE27)+('Weekly Summary'!AV$135*'Equipment List &amp; Usage'!$AF27)))),0)</f>
        <v>0</v>
      </c>
      <c r="BC25" s="1374">
        <f ca="1">MAX(IF($F25="Yes",(
IF($F25="yes",MMULT(--('Equipment List &amp; Usage'!$J27:$N27&gt;0),--('Weekly Summary'!AW$112:AW$116))*'Equipment List &amp; Usage'!$C$114,MMULT(--('Equipment List &amp; Usage'!$J27:$N27),--('Weekly Summary'!AW$112:AW$116))*'Equipment List &amp; Usage'!$C$115)+IF('Equipment List &amp; Usage'!$F26="yes",'Equipment List &amp; Usage'!$C$114,'Equipment List &amp; Usage'!$C$115)*(('Weekly Summary'!AW$66*'Equipment List &amp; Usage'!$Q27)+('Weekly Summary'!AW$64*'Equipment List &amp; Usage'!$O27)+('Weekly Summary'!AW$65*'Equipment List &amp; Usage'!$P27)))+(IF('Equipment List &amp; Usage'!$F27="Yes",'Equipment List &amp; Usage'!$C$114*((('Weekly Summary'!AW$131*SelfQuarantine_Mild)+('Weekly Summary'!AW$100*SelfQuarantine_Mild)+('Weekly Summary'!AW$101*SelfQuarantine_Moderate))),'Equipment List &amp; Usage'!$C$115)*((('Weekly Summary'!AW$131*SelfQuarantine_Mild*'Equipment List &amp; Usage'!$W27)+('Weekly Summary'!AW$100*SelfQuarantine_Mild*'Equipment List &amp; Usage'!$X27)+('Weekly Summary'!AW$101*SelfQuarantine_Moderate*'Equipment List &amp; Usage'!$X27)))+IF('Equipment List &amp; Usage'!$F27="Yes",'Equipment List &amp; Usage'!$C$114*(IF('Equipment List &amp; Usage'!$AA27&gt;0,'Weekly Summary'!AW$128,0)+IF('Equipment List &amp; Usage'!$AB27&gt;0,'Weekly Summary'!AW$100+'Weekly Summary'!AW$101,0)),'Equipment List &amp; Usage'!$C$115*(('Weekly Summary'!AW$128*'Equipment List &amp; Usage'!$AA27)+('Weekly Summary'!AW$100*'Equipment List &amp; Usage'!$AB27*SelfQuarantine_Mild)+('Weekly Summary'!AW$101*'Equipment List &amp; Usage'!$AB27*SelfQuarantine_Moderate)))+IF('Equipment List &amp; Usage'!$F27="Yes",('Equipment List &amp; Usage'!$C$114*(IF('Equipment List &amp; Usage'!$AE27&gt;0,'Weekly Summary'!AW$134,0)+IF('Equipment List &amp; Usage'!$AF27&gt;0,'Weekly Summary'!AW$135))),'Equipment List &amp; Usage'!$C$115*(('Weekly Summary'!AW$134*'Equipment List &amp; Usage'!$AE27)+('Weekly Summary'!AW$135*'Equipment List &amp; Usage'!$AF27))))-SUM($I25:BB25),
IF($F25="yes",MMULT(--('Equipment List &amp; Usage'!$J27:$N27&gt;0),--('Weekly Summary'!AW$112:AW$116))*'Equipment List &amp; Usage'!$C$114,MMULT(--('Equipment List &amp; Usage'!$J27:$N27),--('Weekly Summary'!AW$112:AW$116))*'Equipment List &amp; Usage'!$C$115)+IF('Equipment List &amp; Usage'!$F26="yes",'Equipment List &amp; Usage'!$C$114,'Equipment List &amp; Usage'!$C$115)*(('Weekly Summary'!AW$66*'Equipment List &amp; Usage'!$Q27)+('Weekly Summary'!AW$64*'Equipment List &amp; Usage'!$O27)+('Weekly Summary'!AW$65*'Equipment List &amp; Usage'!$P27))+(IF('Equipment List &amp; Usage'!$F27="Yes",'Equipment List &amp; Usage'!$C$114*((('Weekly Summary'!AW$131*SelfQuarantine_Mild)+('Weekly Summary'!AW$100*SelfQuarantine_Mild)+('Weekly Summary'!AW$101*SelfQuarantine_Moderate))),'Equipment List &amp; Usage'!$C$115)*((('Weekly Summary'!AW$131*SelfQuarantine_Mild*'Equipment List &amp; Usage'!$W27)+('Weekly Summary'!AW$100*SelfQuarantine_Mild*'Equipment List &amp; Usage'!$X27)+('Weekly Summary'!AW$101*SelfQuarantine_Moderate*'Equipment List &amp; Usage'!$X27))))+IF('Equipment List &amp; Usage'!$F27="Yes",'Equipment List &amp; Usage'!$C$114*(IF('Equipment List &amp; Usage'!$AA27&gt;0,'Weekly Summary'!AW$128,0)+IF('Equipment List &amp; Usage'!$AB27&gt;0,'Weekly Summary'!AW$100+'Weekly Summary'!AW$101,0)),'Equipment List &amp; Usage'!$C$115*(('Weekly Summary'!AW$128*'Equipment List &amp; Usage'!$AA27)+('Weekly Summary'!AW$100*'Equipment List &amp; Usage'!$AB27*SelfQuarantine_Mild)+('Weekly Summary'!AW$101*'Equipment List &amp; Usage'!$AB27*SelfQuarantine_Moderate)))+IF('Equipment List &amp; Usage'!$F27="Yes",('Equipment List &amp; Usage'!$C$114*(IF('Equipment List &amp; Usage'!$AE27&gt;0,'Weekly Summary'!AW$134,0)+IF('Equipment List &amp; Usage'!$AF27&gt;0,'Weekly Summary'!AW$135))),'Equipment List &amp; Usage'!$C$115*(('Weekly Summary'!AW$134*'Equipment List &amp; Usage'!$AE27)+('Weekly Summary'!AW$135*'Equipment List &amp; Usage'!$AF27)))),0)</f>
        <v>0</v>
      </c>
      <c r="BD25" s="1374">
        <f ca="1">MAX(IF($F25="Yes",(
IF($F25="yes",MMULT(--('Equipment List &amp; Usage'!$J27:$N27&gt;0),--('Weekly Summary'!AX$112:AX$116))*'Equipment List &amp; Usage'!$C$114,MMULT(--('Equipment List &amp; Usage'!$J27:$N27),--('Weekly Summary'!AX$112:AX$116))*'Equipment List &amp; Usage'!$C$115)+IF('Equipment List &amp; Usage'!$F26="yes",'Equipment List &amp; Usage'!$C$114,'Equipment List &amp; Usage'!$C$115)*(('Weekly Summary'!AX$66*'Equipment List &amp; Usage'!$Q27)+('Weekly Summary'!AX$64*'Equipment List &amp; Usage'!$O27)+('Weekly Summary'!AX$65*'Equipment List &amp; Usage'!$P27)))+(IF('Equipment List &amp; Usage'!$F27="Yes",'Equipment List &amp; Usage'!$C$114*((('Weekly Summary'!AX$131*SelfQuarantine_Mild)+('Weekly Summary'!AX$100*SelfQuarantine_Mild)+('Weekly Summary'!AX$101*SelfQuarantine_Moderate))),'Equipment List &amp; Usage'!$C$115)*((('Weekly Summary'!AX$131*SelfQuarantine_Mild*'Equipment List &amp; Usage'!$W27)+('Weekly Summary'!AX$100*SelfQuarantine_Mild*'Equipment List &amp; Usage'!$X27)+('Weekly Summary'!AX$101*SelfQuarantine_Moderate*'Equipment List &amp; Usage'!$X27)))+IF('Equipment List &amp; Usage'!$F27="Yes",'Equipment List &amp; Usage'!$C$114*(IF('Equipment List &amp; Usage'!$AA27&gt;0,'Weekly Summary'!AX$128,0)+IF('Equipment List &amp; Usage'!$AB27&gt;0,'Weekly Summary'!AX$100+'Weekly Summary'!AX$101,0)),'Equipment List &amp; Usage'!$C$115*(('Weekly Summary'!AX$128*'Equipment List &amp; Usage'!$AA27)+('Weekly Summary'!AX$100*'Equipment List &amp; Usage'!$AB27*SelfQuarantine_Mild)+('Weekly Summary'!AX$101*'Equipment List &amp; Usage'!$AB27*SelfQuarantine_Moderate)))+IF('Equipment List &amp; Usage'!$F27="Yes",('Equipment List &amp; Usage'!$C$114*(IF('Equipment List &amp; Usage'!$AE27&gt;0,'Weekly Summary'!AX$134,0)+IF('Equipment List &amp; Usage'!$AF27&gt;0,'Weekly Summary'!AX$135))),'Equipment List &amp; Usage'!$C$115*(('Weekly Summary'!AX$134*'Equipment List &amp; Usage'!$AE27)+('Weekly Summary'!AX$135*'Equipment List &amp; Usage'!$AF27))))-SUM($I25:BC25),
IF($F25="yes",MMULT(--('Equipment List &amp; Usage'!$J27:$N27&gt;0),--('Weekly Summary'!AX$112:AX$116))*'Equipment List &amp; Usage'!$C$114,MMULT(--('Equipment List &amp; Usage'!$J27:$N27),--('Weekly Summary'!AX$112:AX$116))*'Equipment List &amp; Usage'!$C$115)+IF('Equipment List &amp; Usage'!$F26="yes",'Equipment List &amp; Usage'!$C$114,'Equipment List &amp; Usage'!$C$115)*(('Weekly Summary'!AX$66*'Equipment List &amp; Usage'!$Q27)+('Weekly Summary'!AX$64*'Equipment List &amp; Usage'!$O27)+('Weekly Summary'!AX$65*'Equipment List &amp; Usage'!$P27))+(IF('Equipment List &amp; Usage'!$F27="Yes",'Equipment List &amp; Usage'!$C$114*((('Weekly Summary'!AX$131*SelfQuarantine_Mild)+('Weekly Summary'!AX$100*SelfQuarantine_Mild)+('Weekly Summary'!AX$101*SelfQuarantine_Moderate))),'Equipment List &amp; Usage'!$C$115)*((('Weekly Summary'!AX$131*SelfQuarantine_Mild*'Equipment List &amp; Usage'!$W27)+('Weekly Summary'!AX$100*SelfQuarantine_Mild*'Equipment List &amp; Usage'!$X27)+('Weekly Summary'!AX$101*SelfQuarantine_Moderate*'Equipment List &amp; Usage'!$X27))))+IF('Equipment List &amp; Usage'!$F27="Yes",'Equipment List &amp; Usage'!$C$114*(IF('Equipment List &amp; Usage'!$AA27&gt;0,'Weekly Summary'!AX$128,0)+IF('Equipment List &amp; Usage'!$AB27&gt;0,'Weekly Summary'!AX$100+'Weekly Summary'!AX$101,0)),'Equipment List &amp; Usage'!$C$115*(('Weekly Summary'!AX$128*'Equipment List &amp; Usage'!$AA27)+('Weekly Summary'!AX$100*'Equipment List &amp; Usage'!$AB27*SelfQuarantine_Mild)+('Weekly Summary'!AX$101*'Equipment List &amp; Usage'!$AB27*SelfQuarantine_Moderate)))+IF('Equipment List &amp; Usage'!$F27="Yes",('Equipment List &amp; Usage'!$C$114*(IF('Equipment List &amp; Usage'!$AE27&gt;0,'Weekly Summary'!AX$134,0)+IF('Equipment List &amp; Usage'!$AF27&gt;0,'Weekly Summary'!AX$135))),'Equipment List &amp; Usage'!$C$115*(('Weekly Summary'!AX$134*'Equipment List &amp; Usage'!$AE27)+('Weekly Summary'!AX$135*'Equipment List &amp; Usage'!$AF27)))),0)</f>
        <v>0</v>
      </c>
      <c r="BE25" s="1374">
        <f ca="1">MAX(IF($F25="Yes",(
IF($F25="yes",MMULT(--('Equipment List &amp; Usage'!$J27:$N27&gt;0),--('Weekly Summary'!AY$112:AY$116))*'Equipment List &amp; Usage'!$C$114,MMULT(--('Equipment List &amp; Usage'!$J27:$N27),--('Weekly Summary'!AY$112:AY$116))*'Equipment List &amp; Usage'!$C$115)+IF('Equipment List &amp; Usage'!$F26="yes",'Equipment List &amp; Usage'!$C$114,'Equipment List &amp; Usage'!$C$115)*(('Weekly Summary'!AY$66*'Equipment List &amp; Usage'!$Q27)+('Weekly Summary'!AY$64*'Equipment List &amp; Usage'!$O27)+('Weekly Summary'!AY$65*'Equipment List &amp; Usage'!$P27)))+(IF('Equipment List &amp; Usage'!$F27="Yes",'Equipment List &amp; Usage'!$C$114*((('Weekly Summary'!AY$131*SelfQuarantine_Mild)+('Weekly Summary'!AY$100*SelfQuarantine_Mild)+('Weekly Summary'!AY$101*SelfQuarantine_Moderate))),'Equipment List &amp; Usage'!$C$115)*((('Weekly Summary'!AY$131*SelfQuarantine_Mild*'Equipment List &amp; Usage'!$W27)+('Weekly Summary'!AY$100*SelfQuarantine_Mild*'Equipment List &amp; Usage'!$X27)+('Weekly Summary'!AY$101*SelfQuarantine_Moderate*'Equipment List &amp; Usage'!$X27)))+IF('Equipment List &amp; Usage'!$F27="Yes",'Equipment List &amp; Usage'!$C$114*(IF('Equipment List &amp; Usage'!$AA27&gt;0,'Weekly Summary'!AY$128,0)+IF('Equipment List &amp; Usage'!$AB27&gt;0,'Weekly Summary'!AY$100+'Weekly Summary'!AY$101,0)),'Equipment List &amp; Usage'!$C$115*(('Weekly Summary'!AY$128*'Equipment List &amp; Usage'!$AA27)+('Weekly Summary'!AY$100*'Equipment List &amp; Usage'!$AB27*SelfQuarantine_Mild)+('Weekly Summary'!AY$101*'Equipment List &amp; Usage'!$AB27*SelfQuarantine_Moderate)))+IF('Equipment List &amp; Usage'!$F27="Yes",('Equipment List &amp; Usage'!$C$114*(IF('Equipment List &amp; Usage'!$AE27&gt;0,'Weekly Summary'!AY$134,0)+IF('Equipment List &amp; Usage'!$AF27&gt;0,'Weekly Summary'!AY$135))),'Equipment List &amp; Usage'!$C$115*(('Weekly Summary'!AY$134*'Equipment List &amp; Usage'!$AE27)+('Weekly Summary'!AY$135*'Equipment List &amp; Usage'!$AF27))))-SUM($I25:BD25),
IF($F25="yes",MMULT(--('Equipment List &amp; Usage'!$J27:$N27&gt;0),--('Weekly Summary'!AY$112:AY$116))*'Equipment List &amp; Usage'!$C$114,MMULT(--('Equipment List &amp; Usage'!$J27:$N27),--('Weekly Summary'!AY$112:AY$116))*'Equipment List &amp; Usage'!$C$115)+IF('Equipment List &amp; Usage'!$F26="yes",'Equipment List &amp; Usage'!$C$114,'Equipment List &amp; Usage'!$C$115)*(('Weekly Summary'!AY$66*'Equipment List &amp; Usage'!$Q27)+('Weekly Summary'!AY$64*'Equipment List &amp; Usage'!$O27)+('Weekly Summary'!AY$65*'Equipment List &amp; Usage'!$P27))+(IF('Equipment List &amp; Usage'!$F27="Yes",'Equipment List &amp; Usage'!$C$114*((('Weekly Summary'!AY$131*SelfQuarantine_Mild)+('Weekly Summary'!AY$100*SelfQuarantine_Mild)+('Weekly Summary'!AY$101*SelfQuarantine_Moderate))),'Equipment List &amp; Usage'!$C$115)*((('Weekly Summary'!AY$131*SelfQuarantine_Mild*'Equipment List &amp; Usage'!$W27)+('Weekly Summary'!AY$100*SelfQuarantine_Mild*'Equipment List &amp; Usage'!$X27)+('Weekly Summary'!AY$101*SelfQuarantine_Moderate*'Equipment List &amp; Usage'!$X27))))+IF('Equipment List &amp; Usage'!$F27="Yes",'Equipment List &amp; Usage'!$C$114*(IF('Equipment List &amp; Usage'!$AA27&gt;0,'Weekly Summary'!AY$128,0)+IF('Equipment List &amp; Usage'!$AB27&gt;0,'Weekly Summary'!AY$100+'Weekly Summary'!AY$101,0)),'Equipment List &amp; Usage'!$C$115*(('Weekly Summary'!AY$128*'Equipment List &amp; Usage'!$AA27)+('Weekly Summary'!AY$100*'Equipment List &amp; Usage'!$AB27*SelfQuarantine_Mild)+('Weekly Summary'!AY$101*'Equipment List &amp; Usage'!$AB27*SelfQuarantine_Moderate)))+IF('Equipment List &amp; Usage'!$F27="Yes",('Equipment List &amp; Usage'!$C$114*(IF('Equipment List &amp; Usage'!$AE27&gt;0,'Weekly Summary'!AY$134,0)+IF('Equipment List &amp; Usage'!$AF27&gt;0,'Weekly Summary'!AY$135))),'Equipment List &amp; Usage'!$C$115*(('Weekly Summary'!AY$134*'Equipment List &amp; Usage'!$AE27)+('Weekly Summary'!AY$135*'Equipment List &amp; Usage'!$AF27)))),0)</f>
        <v>0</v>
      </c>
      <c r="BF25" s="1374">
        <f ca="1">MAX(IF($F25="Yes",(
IF($F25="yes",MMULT(--('Equipment List &amp; Usage'!$J27:$N27&gt;0),--('Weekly Summary'!AZ$112:AZ$116))*'Equipment List &amp; Usage'!$C$114,MMULT(--('Equipment List &amp; Usage'!$J27:$N27),--('Weekly Summary'!AZ$112:AZ$116))*'Equipment List &amp; Usage'!$C$115)+IF('Equipment List &amp; Usage'!$F26="yes",'Equipment List &amp; Usage'!$C$114,'Equipment List &amp; Usage'!$C$115)*(('Weekly Summary'!AZ$66*'Equipment List &amp; Usage'!$Q27)+('Weekly Summary'!AZ$64*'Equipment List &amp; Usage'!$O27)+('Weekly Summary'!AZ$65*'Equipment List &amp; Usage'!$P27)))+(IF('Equipment List &amp; Usage'!$F27="Yes",'Equipment List &amp; Usage'!$C$114*((('Weekly Summary'!AZ$131*SelfQuarantine_Mild)+('Weekly Summary'!AZ$100*SelfQuarantine_Mild)+('Weekly Summary'!AZ$101*SelfQuarantine_Moderate))),'Equipment List &amp; Usage'!$C$115)*((('Weekly Summary'!AZ$131*SelfQuarantine_Mild*'Equipment List &amp; Usage'!$W27)+('Weekly Summary'!AZ$100*SelfQuarantine_Mild*'Equipment List &amp; Usage'!$X27)+('Weekly Summary'!AZ$101*SelfQuarantine_Moderate*'Equipment List &amp; Usage'!$X27)))+IF('Equipment List &amp; Usage'!$F27="Yes",'Equipment List &amp; Usage'!$C$114*(IF('Equipment List &amp; Usage'!$AA27&gt;0,'Weekly Summary'!AZ$128,0)+IF('Equipment List &amp; Usage'!$AB27&gt;0,'Weekly Summary'!AZ$100+'Weekly Summary'!AZ$101,0)),'Equipment List &amp; Usage'!$C$115*(('Weekly Summary'!AZ$128*'Equipment List &amp; Usage'!$AA27)+('Weekly Summary'!AZ$100*'Equipment List &amp; Usage'!$AB27*SelfQuarantine_Mild)+('Weekly Summary'!AZ$101*'Equipment List &amp; Usage'!$AB27*SelfQuarantine_Moderate)))+IF('Equipment List &amp; Usage'!$F27="Yes",('Equipment List &amp; Usage'!$C$114*(IF('Equipment List &amp; Usage'!$AE27&gt;0,'Weekly Summary'!AZ$134,0)+IF('Equipment List &amp; Usage'!$AF27&gt;0,'Weekly Summary'!AZ$135))),'Equipment List &amp; Usage'!$C$115*(('Weekly Summary'!AZ$134*'Equipment List &amp; Usage'!$AE27)+('Weekly Summary'!AZ$135*'Equipment List &amp; Usage'!$AF27))))-SUM($I25:BE25),
IF($F25="yes",MMULT(--('Equipment List &amp; Usage'!$J27:$N27&gt;0),--('Weekly Summary'!AZ$112:AZ$116))*'Equipment List &amp; Usage'!$C$114,MMULT(--('Equipment List &amp; Usage'!$J27:$N27),--('Weekly Summary'!AZ$112:AZ$116))*'Equipment List &amp; Usage'!$C$115)+IF('Equipment List &amp; Usage'!$F26="yes",'Equipment List &amp; Usage'!$C$114,'Equipment List &amp; Usage'!$C$115)*(('Weekly Summary'!AZ$66*'Equipment List &amp; Usage'!$Q27)+('Weekly Summary'!AZ$64*'Equipment List &amp; Usage'!$O27)+('Weekly Summary'!AZ$65*'Equipment List &amp; Usage'!$P27))+(IF('Equipment List &amp; Usage'!$F27="Yes",'Equipment List &amp; Usage'!$C$114*((('Weekly Summary'!AZ$131*SelfQuarantine_Mild)+('Weekly Summary'!AZ$100*SelfQuarantine_Mild)+('Weekly Summary'!AZ$101*SelfQuarantine_Moderate))),'Equipment List &amp; Usage'!$C$115)*((('Weekly Summary'!AZ$131*SelfQuarantine_Mild*'Equipment List &amp; Usage'!$W27)+('Weekly Summary'!AZ$100*SelfQuarantine_Mild*'Equipment List &amp; Usage'!$X27)+('Weekly Summary'!AZ$101*SelfQuarantine_Moderate*'Equipment List &amp; Usage'!$X27))))+IF('Equipment List &amp; Usage'!$F27="Yes",'Equipment List &amp; Usage'!$C$114*(IF('Equipment List &amp; Usage'!$AA27&gt;0,'Weekly Summary'!AZ$128,0)+IF('Equipment List &amp; Usage'!$AB27&gt;0,'Weekly Summary'!AZ$100+'Weekly Summary'!AZ$101,0)),'Equipment List &amp; Usage'!$C$115*(('Weekly Summary'!AZ$128*'Equipment List &amp; Usage'!$AA27)+('Weekly Summary'!AZ$100*'Equipment List &amp; Usage'!$AB27*SelfQuarantine_Mild)+('Weekly Summary'!AZ$101*'Equipment List &amp; Usage'!$AB27*SelfQuarantine_Moderate)))+IF('Equipment List &amp; Usage'!$F27="Yes",('Equipment List &amp; Usage'!$C$114*(IF('Equipment List &amp; Usage'!$AE27&gt;0,'Weekly Summary'!AZ$134,0)+IF('Equipment List &amp; Usage'!$AF27&gt;0,'Weekly Summary'!AZ$135))),'Equipment List &amp; Usage'!$C$115*(('Weekly Summary'!AZ$134*'Equipment List &amp; Usage'!$AE27)+('Weekly Summary'!AZ$135*'Equipment List &amp; Usage'!$AF27)))),0)</f>
        <v>0</v>
      </c>
      <c r="BG25" s="1374">
        <f ca="1">MAX(IF($F25="Yes",(
IF($F25="yes",MMULT(--('Equipment List &amp; Usage'!$J27:$N27&gt;0),--('Weekly Summary'!BA$112:BA$116))*'Equipment List &amp; Usage'!$C$114,MMULT(--('Equipment List &amp; Usage'!$J27:$N27),--('Weekly Summary'!BA$112:BA$116))*'Equipment List &amp; Usage'!$C$115)+IF('Equipment List &amp; Usage'!$F26="yes",'Equipment List &amp; Usage'!$C$114,'Equipment List &amp; Usage'!$C$115)*(('Weekly Summary'!BA$66*'Equipment List &amp; Usage'!$Q27)+('Weekly Summary'!BA$64*'Equipment List &amp; Usage'!$O27)+('Weekly Summary'!BA$65*'Equipment List &amp; Usage'!$P27)))+(IF('Equipment List &amp; Usage'!$F27="Yes",'Equipment List &amp; Usage'!$C$114*((('Weekly Summary'!BA$131*SelfQuarantine_Mild)+('Weekly Summary'!BA$100*SelfQuarantine_Mild)+('Weekly Summary'!BA$101*SelfQuarantine_Moderate))),'Equipment List &amp; Usage'!$C$115)*((('Weekly Summary'!BA$131*SelfQuarantine_Mild*'Equipment List &amp; Usage'!$W27)+('Weekly Summary'!BA$100*SelfQuarantine_Mild*'Equipment List &amp; Usage'!$X27)+('Weekly Summary'!BA$101*SelfQuarantine_Moderate*'Equipment List &amp; Usage'!$X27)))+IF('Equipment List &amp; Usage'!$F27="Yes",'Equipment List &amp; Usage'!$C$114*(IF('Equipment List &amp; Usage'!$AA27&gt;0,'Weekly Summary'!BA$128,0)+IF('Equipment List &amp; Usage'!$AB27&gt;0,'Weekly Summary'!BA$100+'Weekly Summary'!BA$101,0)),'Equipment List &amp; Usage'!$C$115*(('Weekly Summary'!BA$128*'Equipment List &amp; Usage'!$AA27)+('Weekly Summary'!BA$100*'Equipment List &amp; Usage'!$AB27*SelfQuarantine_Mild)+('Weekly Summary'!BA$101*'Equipment List &amp; Usage'!$AB27*SelfQuarantine_Moderate)))+IF('Equipment List &amp; Usage'!$F27="Yes",('Equipment List &amp; Usage'!$C$114*(IF('Equipment List &amp; Usage'!$AE27&gt;0,'Weekly Summary'!BA$134,0)+IF('Equipment List &amp; Usage'!$AF27&gt;0,'Weekly Summary'!BA$135))),'Equipment List &amp; Usage'!$C$115*(('Weekly Summary'!BA$134*'Equipment List &amp; Usage'!$AE27)+('Weekly Summary'!BA$135*'Equipment List &amp; Usage'!$AF27))))-SUM($I25:BF25),
IF($F25="yes",MMULT(--('Equipment List &amp; Usage'!$J27:$N27&gt;0),--('Weekly Summary'!BA$112:BA$116))*'Equipment List &amp; Usage'!$C$114,MMULT(--('Equipment List &amp; Usage'!$J27:$N27),--('Weekly Summary'!BA$112:BA$116))*'Equipment List &amp; Usage'!$C$115)+IF('Equipment List &amp; Usage'!$F26="yes",'Equipment List &amp; Usage'!$C$114,'Equipment List &amp; Usage'!$C$115)*(('Weekly Summary'!BA$66*'Equipment List &amp; Usage'!$Q27)+('Weekly Summary'!BA$64*'Equipment List &amp; Usage'!$O27)+('Weekly Summary'!BA$65*'Equipment List &amp; Usage'!$P27))+(IF('Equipment List &amp; Usage'!$F27="Yes",'Equipment List &amp; Usage'!$C$114*((('Weekly Summary'!BA$131*SelfQuarantine_Mild)+('Weekly Summary'!BA$100*SelfQuarantine_Mild)+('Weekly Summary'!BA$101*SelfQuarantine_Moderate))),'Equipment List &amp; Usage'!$C$115)*((('Weekly Summary'!BA$131*SelfQuarantine_Mild*'Equipment List &amp; Usage'!$W27)+('Weekly Summary'!BA$100*SelfQuarantine_Mild*'Equipment List &amp; Usage'!$X27)+('Weekly Summary'!BA$101*SelfQuarantine_Moderate*'Equipment List &amp; Usage'!$X27))))+IF('Equipment List &amp; Usage'!$F27="Yes",'Equipment List &amp; Usage'!$C$114*(IF('Equipment List &amp; Usage'!$AA27&gt;0,'Weekly Summary'!BA$128,0)+IF('Equipment List &amp; Usage'!$AB27&gt;0,'Weekly Summary'!BA$100+'Weekly Summary'!BA$101,0)),'Equipment List &amp; Usage'!$C$115*(('Weekly Summary'!BA$128*'Equipment List &amp; Usage'!$AA27)+('Weekly Summary'!BA$100*'Equipment List &amp; Usage'!$AB27*SelfQuarantine_Mild)+('Weekly Summary'!BA$101*'Equipment List &amp; Usage'!$AB27*SelfQuarantine_Moderate)))+IF('Equipment List &amp; Usage'!$F27="Yes",('Equipment List &amp; Usage'!$C$114*(IF('Equipment List &amp; Usage'!$AE27&gt;0,'Weekly Summary'!BA$134,0)+IF('Equipment List &amp; Usage'!$AF27&gt;0,'Weekly Summary'!BA$135))),'Equipment List &amp; Usage'!$C$115*(('Weekly Summary'!BA$134*'Equipment List &amp; Usage'!$AE27)+('Weekly Summary'!BA$135*'Equipment List &amp; Usage'!$AF27)))),0)</f>
        <v>0</v>
      </c>
      <c r="BH25" s="1374">
        <f ca="1">MAX(IF($F25="Yes",(
IF($F25="yes",MMULT(--('Equipment List &amp; Usage'!$J27:$N27&gt;0),--('Weekly Summary'!BB$112:BB$116))*'Equipment List &amp; Usage'!$C$114,MMULT(--('Equipment List &amp; Usage'!$J27:$N27),--('Weekly Summary'!BB$112:BB$116))*'Equipment List &amp; Usage'!$C$115)+IF('Equipment List &amp; Usage'!$F26="yes",'Equipment List &amp; Usage'!$C$114,'Equipment List &amp; Usage'!$C$115)*(('Weekly Summary'!BB$66*'Equipment List &amp; Usage'!$Q27)+('Weekly Summary'!BB$64*'Equipment List &amp; Usage'!$O27)+('Weekly Summary'!BB$65*'Equipment List &amp; Usage'!$P27)))+(IF('Equipment List &amp; Usage'!$F27="Yes",'Equipment List &amp; Usage'!$C$114*((('Weekly Summary'!BB$131*SelfQuarantine_Mild)+('Weekly Summary'!BB$100*SelfQuarantine_Mild)+('Weekly Summary'!BB$101*SelfQuarantine_Moderate))),'Equipment List &amp; Usage'!$C$115)*((('Weekly Summary'!BB$131*SelfQuarantine_Mild*'Equipment List &amp; Usage'!$W27)+('Weekly Summary'!BB$100*SelfQuarantine_Mild*'Equipment List &amp; Usage'!$X27)+('Weekly Summary'!BB$101*SelfQuarantine_Moderate*'Equipment List &amp; Usage'!$X27)))+IF('Equipment List &amp; Usage'!$F27="Yes",'Equipment List &amp; Usage'!$C$114*(IF('Equipment List &amp; Usage'!$AA27&gt;0,'Weekly Summary'!BB$128,0)+IF('Equipment List &amp; Usage'!$AB27&gt;0,'Weekly Summary'!BB$100+'Weekly Summary'!BB$101,0)),'Equipment List &amp; Usage'!$C$115*(('Weekly Summary'!BB$128*'Equipment List &amp; Usage'!$AA27)+('Weekly Summary'!BB$100*'Equipment List &amp; Usage'!$AB27*SelfQuarantine_Mild)+('Weekly Summary'!BB$101*'Equipment List &amp; Usage'!$AB27*SelfQuarantine_Moderate)))+IF('Equipment List &amp; Usage'!$F27="Yes",('Equipment List &amp; Usage'!$C$114*(IF('Equipment List &amp; Usage'!$AE27&gt;0,'Weekly Summary'!BB$134,0)+IF('Equipment List &amp; Usage'!$AF27&gt;0,'Weekly Summary'!BB$135))),'Equipment List &amp; Usage'!$C$115*(('Weekly Summary'!BB$134*'Equipment List &amp; Usage'!$AE27)+('Weekly Summary'!BB$135*'Equipment List &amp; Usage'!$AF27))))-SUM($I25:BG25),
IF($F25="yes",MMULT(--('Equipment List &amp; Usage'!$J27:$N27&gt;0),--('Weekly Summary'!BB$112:BB$116))*'Equipment List &amp; Usage'!$C$114,MMULT(--('Equipment List &amp; Usage'!$J27:$N27),--('Weekly Summary'!BB$112:BB$116))*'Equipment List &amp; Usage'!$C$115)+IF('Equipment List &amp; Usage'!$F26="yes",'Equipment List &amp; Usage'!$C$114,'Equipment List &amp; Usage'!$C$115)*(('Weekly Summary'!BB$66*'Equipment List &amp; Usage'!$Q27)+('Weekly Summary'!BB$64*'Equipment List &amp; Usage'!$O27)+('Weekly Summary'!BB$65*'Equipment List &amp; Usage'!$P27))+(IF('Equipment List &amp; Usage'!$F27="Yes",'Equipment List &amp; Usage'!$C$114*((('Weekly Summary'!BB$131*SelfQuarantine_Mild)+('Weekly Summary'!BB$100*SelfQuarantine_Mild)+('Weekly Summary'!BB$101*SelfQuarantine_Moderate))),'Equipment List &amp; Usage'!$C$115)*((('Weekly Summary'!BB$131*SelfQuarantine_Mild*'Equipment List &amp; Usage'!$W27)+('Weekly Summary'!BB$100*SelfQuarantine_Mild*'Equipment List &amp; Usage'!$X27)+('Weekly Summary'!BB$101*SelfQuarantine_Moderate*'Equipment List &amp; Usage'!$X27))))+IF('Equipment List &amp; Usage'!$F27="Yes",'Equipment List &amp; Usage'!$C$114*(IF('Equipment List &amp; Usage'!$AA27&gt;0,'Weekly Summary'!BB$128,0)+IF('Equipment List &amp; Usage'!$AB27&gt;0,'Weekly Summary'!BB$100+'Weekly Summary'!BB$101,0)),'Equipment List &amp; Usage'!$C$115*(('Weekly Summary'!BB$128*'Equipment List &amp; Usage'!$AA27)+('Weekly Summary'!BB$100*'Equipment List &amp; Usage'!$AB27*SelfQuarantine_Mild)+('Weekly Summary'!BB$101*'Equipment List &amp; Usage'!$AB27*SelfQuarantine_Moderate)))+IF('Equipment List &amp; Usage'!$F27="Yes",('Equipment List &amp; Usage'!$C$114*(IF('Equipment List &amp; Usage'!$AE27&gt;0,'Weekly Summary'!BB$134,0)+IF('Equipment List &amp; Usage'!$AF27&gt;0,'Weekly Summary'!BB$135))),'Equipment List &amp; Usage'!$C$115*(('Weekly Summary'!BB$134*'Equipment List &amp; Usage'!$AE27)+('Weekly Summary'!BB$135*'Equipment List &amp; Usage'!$AF27)))),0)</f>
        <v>0</v>
      </c>
      <c r="BI25" s="1374">
        <f ca="1">MAX(IF($F25="Yes",(
IF($F25="yes",MMULT(--('Equipment List &amp; Usage'!$J27:$N27&gt;0),--('Weekly Summary'!BC$112:BC$116))*'Equipment List &amp; Usage'!$C$114,MMULT(--('Equipment List &amp; Usage'!$J27:$N27),--('Weekly Summary'!BC$112:BC$116))*'Equipment List &amp; Usage'!$C$115)+IF('Equipment List &amp; Usage'!$F26="yes",'Equipment List &amp; Usage'!$C$114,'Equipment List &amp; Usage'!$C$115)*(('Weekly Summary'!BC$66*'Equipment List &amp; Usage'!$Q27)+('Weekly Summary'!BC$64*'Equipment List &amp; Usage'!$O27)+('Weekly Summary'!BC$65*'Equipment List &amp; Usage'!$P27)))+(IF('Equipment List &amp; Usage'!$F27="Yes",'Equipment List &amp; Usage'!$C$114*((('Weekly Summary'!BC$131*SelfQuarantine_Mild)+('Weekly Summary'!BC$100*SelfQuarantine_Mild)+('Weekly Summary'!BC$101*SelfQuarantine_Moderate))),'Equipment List &amp; Usage'!$C$115)*((('Weekly Summary'!BC$131*SelfQuarantine_Mild*'Equipment List &amp; Usage'!$W27)+('Weekly Summary'!BC$100*SelfQuarantine_Mild*'Equipment List &amp; Usage'!$X27)+('Weekly Summary'!BC$101*SelfQuarantine_Moderate*'Equipment List &amp; Usage'!$X27)))+IF('Equipment List &amp; Usage'!$F27="Yes",'Equipment List &amp; Usage'!$C$114*(IF('Equipment List &amp; Usage'!$AA27&gt;0,'Weekly Summary'!BC$128,0)+IF('Equipment List &amp; Usage'!$AB27&gt;0,'Weekly Summary'!BC$100+'Weekly Summary'!BC$101,0)),'Equipment List &amp; Usage'!$C$115*(('Weekly Summary'!BC$128*'Equipment List &amp; Usage'!$AA27)+('Weekly Summary'!BC$100*'Equipment List &amp; Usage'!$AB27*SelfQuarantine_Mild)+('Weekly Summary'!BC$101*'Equipment List &amp; Usage'!$AB27*SelfQuarantine_Moderate)))+IF('Equipment List &amp; Usage'!$F27="Yes",('Equipment List &amp; Usage'!$C$114*(IF('Equipment List &amp; Usage'!$AE27&gt;0,'Weekly Summary'!BC$134,0)+IF('Equipment List &amp; Usage'!$AF27&gt;0,'Weekly Summary'!BC$135))),'Equipment List &amp; Usage'!$C$115*(('Weekly Summary'!BC$134*'Equipment List &amp; Usage'!$AE27)+('Weekly Summary'!BC$135*'Equipment List &amp; Usage'!$AF27))))-SUM($I25:BH25),
IF($F25="yes",MMULT(--('Equipment List &amp; Usage'!$J27:$N27&gt;0),--('Weekly Summary'!BC$112:BC$116))*'Equipment List &amp; Usage'!$C$114,MMULT(--('Equipment List &amp; Usage'!$J27:$N27),--('Weekly Summary'!BC$112:BC$116))*'Equipment List &amp; Usage'!$C$115)+IF('Equipment List &amp; Usage'!$F26="yes",'Equipment List &amp; Usage'!$C$114,'Equipment List &amp; Usage'!$C$115)*(('Weekly Summary'!BC$66*'Equipment List &amp; Usage'!$Q27)+('Weekly Summary'!BC$64*'Equipment List &amp; Usage'!$O27)+('Weekly Summary'!BC$65*'Equipment List &amp; Usage'!$P27))+(IF('Equipment List &amp; Usage'!$F27="Yes",'Equipment List &amp; Usage'!$C$114*((('Weekly Summary'!BC$131*SelfQuarantine_Mild)+('Weekly Summary'!BC$100*SelfQuarantine_Mild)+('Weekly Summary'!BC$101*SelfQuarantine_Moderate))),'Equipment List &amp; Usage'!$C$115)*((('Weekly Summary'!BC$131*SelfQuarantine_Mild*'Equipment List &amp; Usage'!$W27)+('Weekly Summary'!BC$100*SelfQuarantine_Mild*'Equipment List &amp; Usage'!$X27)+('Weekly Summary'!BC$101*SelfQuarantine_Moderate*'Equipment List &amp; Usage'!$X27))))+IF('Equipment List &amp; Usage'!$F27="Yes",'Equipment List &amp; Usage'!$C$114*(IF('Equipment List &amp; Usage'!$AA27&gt;0,'Weekly Summary'!BC$128,0)+IF('Equipment List &amp; Usage'!$AB27&gt;0,'Weekly Summary'!BC$100+'Weekly Summary'!BC$101,0)),'Equipment List &amp; Usage'!$C$115*(('Weekly Summary'!BC$128*'Equipment List &amp; Usage'!$AA27)+('Weekly Summary'!BC$100*'Equipment List &amp; Usage'!$AB27*SelfQuarantine_Mild)+('Weekly Summary'!BC$101*'Equipment List &amp; Usage'!$AB27*SelfQuarantine_Moderate)))+IF('Equipment List &amp; Usage'!$F27="Yes",('Equipment List &amp; Usage'!$C$114*(IF('Equipment List &amp; Usage'!$AE27&gt;0,'Weekly Summary'!BC$134,0)+IF('Equipment List &amp; Usage'!$AF27&gt;0,'Weekly Summary'!BC$135))),'Equipment List &amp; Usage'!$C$115*(('Weekly Summary'!BC$134*'Equipment List &amp; Usage'!$AE27)+('Weekly Summary'!BC$135*'Equipment List &amp; Usage'!$AF27)))),0)</f>
        <v>0</v>
      </c>
      <c r="BJ25" s="1377">
        <f ca="1">MAX(IF($F25="Yes",(
IF($F25="yes",MMULT(--('Equipment List &amp; Usage'!$J27:$N27&gt;0),--('Weekly Summary'!BD$112:BD$116))*'Equipment List &amp; Usage'!$C$114,MMULT(--('Equipment List &amp; Usage'!$J27:$N27),--('Weekly Summary'!BD$112:BD$116))*'Equipment List &amp; Usage'!$C$115)+IF('Equipment List &amp; Usage'!$F26="yes",'Equipment List &amp; Usage'!$C$114,'Equipment List &amp; Usage'!$C$115)*(('Weekly Summary'!BD$66*'Equipment List &amp; Usage'!$Q27)+('Weekly Summary'!BD$64*'Equipment List &amp; Usage'!$O27)+('Weekly Summary'!BD$65*'Equipment List &amp; Usage'!$P27)))+(IF('Equipment List &amp; Usage'!$F27="Yes",'Equipment List &amp; Usage'!$C$114*((('Weekly Summary'!BD$131*SelfQuarantine_Mild)+('Weekly Summary'!BD$100*SelfQuarantine_Mild)+('Weekly Summary'!BD$101*SelfQuarantine_Moderate))),'Equipment List &amp; Usage'!$C$115)*((('Weekly Summary'!BD$131*SelfQuarantine_Mild*'Equipment List &amp; Usage'!$W27)+('Weekly Summary'!BD$100*SelfQuarantine_Mild*'Equipment List &amp; Usage'!$X27)+('Weekly Summary'!BD$101*SelfQuarantine_Moderate*'Equipment List &amp; Usage'!$X27)))+IF('Equipment List &amp; Usage'!$F27="Yes",'Equipment List &amp; Usage'!$C$114*(IF('Equipment List &amp; Usage'!$AA27&gt;0,'Weekly Summary'!BD$128,0)+IF('Equipment List &amp; Usage'!$AB27&gt;0,'Weekly Summary'!BD$100+'Weekly Summary'!BD$101,0)),'Equipment List &amp; Usage'!$C$115*(('Weekly Summary'!BD$128*'Equipment List &amp; Usage'!$AA27)+('Weekly Summary'!BD$100*'Equipment List &amp; Usage'!$AB27*SelfQuarantine_Mild)+('Weekly Summary'!BD$101*'Equipment List &amp; Usage'!$AB27*SelfQuarantine_Moderate)))+IF('Equipment List &amp; Usage'!$F27="Yes",('Equipment List &amp; Usage'!$C$114*(IF('Equipment List &amp; Usage'!$AE27&gt;0,'Weekly Summary'!BD$134,0)+IF('Equipment List &amp; Usage'!$AF27&gt;0,'Weekly Summary'!BD$135))),'Equipment List &amp; Usage'!$C$115*(('Weekly Summary'!BD$134*'Equipment List &amp; Usage'!$AE27)+('Weekly Summary'!BD$135*'Equipment List &amp; Usage'!$AF27))))-SUM($I25:BI25),
IF($F25="yes",MMULT(--('Equipment List &amp; Usage'!$J27:$N27&gt;0),--('Weekly Summary'!BD$112:BD$116))*'Equipment List &amp; Usage'!$C$114,MMULT(--('Equipment List &amp; Usage'!$J27:$N27),--('Weekly Summary'!BD$112:BD$116))*'Equipment List &amp; Usage'!$C$115)+IF('Equipment List &amp; Usage'!$F26="yes",'Equipment List &amp; Usage'!$C$114,'Equipment List &amp; Usage'!$C$115)*(('Weekly Summary'!BD$66*'Equipment List &amp; Usage'!$Q27)+('Weekly Summary'!BD$64*'Equipment List &amp; Usage'!$O27)+('Weekly Summary'!BD$65*'Equipment List &amp; Usage'!$P27))+(IF('Equipment List &amp; Usage'!$F27="Yes",'Equipment List &amp; Usage'!$C$114*((('Weekly Summary'!BD$131*SelfQuarantine_Mild)+('Weekly Summary'!BD$100*SelfQuarantine_Mild)+('Weekly Summary'!BD$101*SelfQuarantine_Moderate))),'Equipment List &amp; Usage'!$C$115)*((('Weekly Summary'!BD$131*SelfQuarantine_Mild*'Equipment List &amp; Usage'!$W27)+('Weekly Summary'!BD$100*SelfQuarantine_Mild*'Equipment List &amp; Usage'!$X27)+('Weekly Summary'!BD$101*SelfQuarantine_Moderate*'Equipment List &amp; Usage'!$X27))))+IF('Equipment List &amp; Usage'!$F27="Yes",'Equipment List &amp; Usage'!$C$114*(IF('Equipment List &amp; Usage'!$AA27&gt;0,'Weekly Summary'!BD$128,0)+IF('Equipment List &amp; Usage'!$AB27&gt;0,'Weekly Summary'!BD$100+'Weekly Summary'!BD$101,0)),'Equipment List &amp; Usage'!$C$115*(('Weekly Summary'!BD$128*'Equipment List &amp; Usage'!$AA27)+('Weekly Summary'!BD$100*'Equipment List &amp; Usage'!$AB27*SelfQuarantine_Mild)+('Weekly Summary'!BD$101*'Equipment List &amp; Usage'!$AB27*SelfQuarantine_Moderate)))+IF('Equipment List &amp; Usage'!$F27="Yes",('Equipment List &amp; Usage'!$C$114*(IF('Equipment List &amp; Usage'!$AE27&gt;0,'Weekly Summary'!BD$134,0)+IF('Equipment List &amp; Usage'!$AF27&gt;0,'Weekly Summary'!BD$135))),'Equipment List &amp; Usage'!$C$115*(('Weekly Summary'!BD$134*'Equipment List &amp; Usage'!$AE27)+('Weekly Summary'!BD$135*'Equipment List &amp; Usage'!$AF27)))),0)</f>
        <v>0</v>
      </c>
    </row>
    <row r="26" spans="2:62" x14ac:dyDescent="0.35">
      <c r="B26" s="949" t="str">
        <f>'Equipment List &amp; Usage'!B28</f>
        <v>IPC</v>
      </c>
      <c r="C26" s="948" t="str">
        <f>'Equipment List &amp; Usage'!C28</f>
        <v>PPE</v>
      </c>
      <c r="D26" s="948" t="str">
        <f>'Equipment List &amp; Usage'!D28</f>
        <v>Gloves, surgical</v>
      </c>
      <c r="E26" s="948" t="str">
        <f>'Equipment List &amp; Usage'!E28</f>
        <v>Pair</v>
      </c>
      <c r="F26" s="948" t="str">
        <f>'Equipment List &amp; Usage'!F28</f>
        <v>No</v>
      </c>
      <c r="G26" s="948" t="str">
        <f>'Equipment List &amp; Usage'!G28</f>
        <v>N/A</v>
      </c>
      <c r="H26" s="1365">
        <f t="shared" ca="1" si="2"/>
        <v>8529.1479905391716</v>
      </c>
      <c r="J26" s="1341"/>
      <c r="K26" s="1374">
        <f ca="1">IF('User Dashboard'!$H$13=1,0,IF($F26="Yes",(
IF($F26="yes",MMULT(--('Equipment List &amp; Usage'!$J28:$N28&gt;0),--('Weekly Summary'!E$112:E$116))*'Equipment List &amp; Usage'!$C$114,MMULT(--('Equipment List &amp; Usage'!$J28:$N28),--('Weekly Summary'!E$112:E$116))*'Equipment List &amp; Usage'!$C$115)+IF('Equipment List &amp; Usage'!$F27="yes",'Equipment List &amp; Usage'!$C$114,'Equipment List &amp; Usage'!$C$115)*(('Weekly Summary'!E$66*'Equipment List &amp; Usage'!$Q28)+('Weekly Summary'!E$64*'Equipment List &amp; Usage'!$O28)+('Weekly Summary'!E$65*'Equipment List &amp; Usage'!$P28)))+(IF('Equipment List &amp; Usage'!$F28="Yes",'Equipment List &amp; Usage'!$C$114*((('Weekly Summary'!E$131*SelfQuarantine_Mild)+('Weekly Summary'!E$100*SelfQuarantine_Mild)+('Weekly Summary'!E$101*SelfQuarantine_Moderate))),'Equipment List &amp; Usage'!$C$115)*((('Weekly Summary'!E$131*SelfQuarantine_Mild*'Equipment List &amp; Usage'!$W28)+('Weekly Summary'!E$100*SelfQuarantine_Mild*'Equipment List &amp; Usage'!$X28)+('Weekly Summary'!E$101*SelfQuarantine_Moderate*'Equipment List &amp; Usage'!$X28)))+IF('Equipment List &amp; Usage'!$F28="Yes",'Equipment List &amp; Usage'!$C$114*(IF('Equipment List &amp; Usage'!$AA28&gt;0,'Weekly Summary'!E$128,0)+IF('Equipment List &amp; Usage'!$AB28&gt;0,'Weekly Summary'!E$100+'Weekly Summary'!E$101,0)),'Equipment List &amp; Usage'!$C$115*(('Weekly Summary'!E$128*'Equipment List &amp; Usage'!$AA28)+('Weekly Summary'!E$100*'Equipment List &amp; Usage'!$AB28*SelfQuarantine_Mild)+('Weekly Summary'!E$101*'Equipment List &amp; Usage'!$AB28*SelfQuarantine_Moderate)))+IF('Equipment List &amp; Usage'!$F28="Yes",('Equipment List &amp; Usage'!$C$114*(IF('Equipment List &amp; Usage'!$AE28&gt;0,'Weekly Summary'!E$134,0)+IF('Equipment List &amp; Usage'!$AF28&gt;0,'Weekly Summary'!E$135))),'Equipment List &amp; Usage'!$C$115*(('Weekly Summary'!E$134*'Equipment List &amp; Usage'!$AE28)+('Weekly Summary'!E$135*'Equipment List &amp; Usage'!$AF28)))),
IF($F26="yes",MMULT(--('Equipment List &amp; Usage'!$J28:$N28&gt;0),--('Weekly Summary'!E$112:E$116))*'Equipment List &amp; Usage'!$C$114,MMULT(--('Equipment List &amp; Usage'!$J28:$N28),--('Weekly Summary'!E$112:E$116))*'Equipment List &amp; Usage'!$C$115)+IF('Equipment List &amp; Usage'!$F27="yes",'Equipment List &amp; Usage'!$C$114,'Equipment List &amp; Usage'!$C$115)*(('Weekly Summary'!E$66*'Equipment List &amp; Usage'!$Q28)+('Weekly Summary'!E$64*'Equipment List &amp; Usage'!$O28)+('Weekly Summary'!E$65*'Equipment List &amp; Usage'!$P28))+(IF('Equipment List &amp; Usage'!$F28="Yes",'Equipment List &amp; Usage'!$C$114*((('Weekly Summary'!E$131*SelfQuarantine_Mild)+('Weekly Summary'!E$100*SelfQuarantine_Mild)+('Weekly Summary'!E$101*SelfQuarantine_Moderate))),'Equipment List &amp; Usage'!$C$115)*((('Weekly Summary'!E$131*SelfQuarantine_Mild*'Equipment List &amp; Usage'!$W28)+('Weekly Summary'!E$100*SelfQuarantine_Mild*'Equipment List &amp; Usage'!$X28)+('Weekly Summary'!E$101*SelfQuarantine_Moderate*'Equipment List &amp; Usage'!$X28))))+IF('Equipment List &amp; Usage'!$F28="Yes",'Equipment List &amp; Usage'!$C$114*(IF('Equipment List &amp; Usage'!$AA28&gt;0,'Weekly Summary'!E$128,0)+IF('Equipment List &amp; Usage'!$AB28&gt;0,'Weekly Summary'!E$100+'Weekly Summary'!E$101,0)),'Equipment List &amp; Usage'!$C$115*(('Weekly Summary'!E$128*'Equipment List &amp; Usage'!$AA28)+('Weekly Summary'!E$100*'Equipment List &amp; Usage'!$AB28*SelfQuarantine_Mild)+('Weekly Summary'!E$101*'Equipment List &amp; Usage'!$AB28*SelfQuarantine_Moderate)))+IF('Equipment List &amp; Usage'!$F28="Yes",('Equipment List &amp; Usage'!$C$114*(IF('Equipment List &amp; Usage'!$AE28&gt;0,'Weekly Summary'!E$134,0)+IF('Equipment List &amp; Usage'!$AF28&gt;0,'Weekly Summary'!E$135))),'Equipment List &amp; Usage'!$C$115*(('Weekly Summary'!E$134*'Equipment List &amp; Usage'!$AE28)+('Weekly Summary'!E$135*'Equipment List &amp; Usage'!$AF28)))))</f>
        <v>12.762978349261932</v>
      </c>
      <c r="L26" s="1374">
        <f ca="1">MAX(IF($F26="Yes",(
IF($F26="yes",MMULT(--('Equipment List &amp; Usage'!$J28:$N28&gt;0),--('Weekly Summary'!F$112:F$116))*'Equipment List &amp; Usage'!$C$114,MMULT(--('Equipment List &amp; Usage'!$J28:$N28),--('Weekly Summary'!F$112:F$116))*'Equipment List &amp; Usage'!$C$115)+IF('Equipment List &amp; Usage'!$F27="yes",'Equipment List &amp; Usage'!$C$114,'Equipment List &amp; Usage'!$C$115)*(('Weekly Summary'!F$66*'Equipment List &amp; Usage'!$Q28)+('Weekly Summary'!F$64*'Equipment List &amp; Usage'!$O28)+('Weekly Summary'!F$65*'Equipment List &amp; Usage'!$P28)))+(IF('Equipment List &amp; Usage'!$F28="Yes",'Equipment List &amp; Usage'!$C$114*((('Weekly Summary'!F$131*SelfQuarantine_Mild)+('Weekly Summary'!F$100*SelfQuarantine_Mild)+('Weekly Summary'!F$101*SelfQuarantine_Moderate))),'Equipment List &amp; Usage'!$C$115)*((('Weekly Summary'!F$131*SelfQuarantine_Mild*'Equipment List &amp; Usage'!$W28)+('Weekly Summary'!F$100*SelfQuarantine_Mild*'Equipment List &amp; Usage'!$X28)+('Weekly Summary'!F$101*SelfQuarantine_Moderate*'Equipment List &amp; Usage'!$X28)))+IF('Equipment List &amp; Usage'!$F28="Yes",'Equipment List &amp; Usage'!$C$114*(IF('Equipment List &amp; Usage'!$AA28&gt;0,'Weekly Summary'!F$128,0)+IF('Equipment List &amp; Usage'!$AB28&gt;0,'Weekly Summary'!F$100+'Weekly Summary'!F$101,0)),'Equipment List &amp; Usage'!$C$115*(('Weekly Summary'!F$128*'Equipment List &amp; Usage'!$AA28)+('Weekly Summary'!F$100*'Equipment List &amp; Usage'!$AB28*SelfQuarantine_Mild)+('Weekly Summary'!F$101*'Equipment List &amp; Usage'!$AB28*SelfQuarantine_Moderate)))+IF('Equipment List &amp; Usage'!$F28="Yes",('Equipment List &amp; Usage'!$C$114*(IF('Equipment List &amp; Usage'!$AE28&gt;0,'Weekly Summary'!F$134,0)+IF('Equipment List &amp; Usage'!$AF28&gt;0,'Weekly Summary'!F$135))),'Equipment List &amp; Usage'!$C$115*(('Weekly Summary'!F$134*'Equipment List &amp; Usage'!$AE28)+('Weekly Summary'!F$135*'Equipment List &amp; Usage'!$AF28))))-SUM($I26:K26),
IF($F26="yes",MMULT(--('Equipment List &amp; Usage'!$J28:$N28&gt;0),--('Weekly Summary'!F$112:F$116))*'Equipment List &amp; Usage'!$C$114,MMULT(--('Equipment List &amp; Usage'!$J28:$N28),--('Weekly Summary'!F$112:F$116))*'Equipment List &amp; Usage'!$C$115)+IF('Equipment List &amp; Usage'!$F27="yes",'Equipment List &amp; Usage'!$C$114,'Equipment List &amp; Usage'!$C$115)*(('Weekly Summary'!F$66*'Equipment List &amp; Usage'!$Q28)+('Weekly Summary'!F$64*'Equipment List &amp; Usage'!$O28)+('Weekly Summary'!F$65*'Equipment List &amp; Usage'!$P28))+(IF('Equipment List &amp; Usage'!$F28="Yes",'Equipment List &amp; Usage'!$C$114*((('Weekly Summary'!F$131*SelfQuarantine_Mild)+('Weekly Summary'!F$100*SelfQuarantine_Mild)+('Weekly Summary'!F$101*SelfQuarantine_Moderate))),'Equipment List &amp; Usage'!$C$115)*((('Weekly Summary'!F$131*SelfQuarantine_Mild*'Equipment List &amp; Usage'!$W28)+('Weekly Summary'!F$100*SelfQuarantine_Mild*'Equipment List &amp; Usage'!$X28)+('Weekly Summary'!F$101*SelfQuarantine_Moderate*'Equipment List &amp; Usage'!$X28))))+IF('Equipment List &amp; Usage'!$F28="Yes",'Equipment List &amp; Usage'!$C$114*(IF('Equipment List &amp; Usage'!$AA28&gt;0,'Weekly Summary'!F$128,0)+IF('Equipment List &amp; Usage'!$AB28&gt;0,'Weekly Summary'!F$100+'Weekly Summary'!F$101,0)),'Equipment List &amp; Usage'!$C$115*(('Weekly Summary'!F$128*'Equipment List &amp; Usage'!$AA28)+('Weekly Summary'!F$100*'Equipment List &amp; Usage'!$AB28*SelfQuarantine_Mild)+('Weekly Summary'!F$101*'Equipment List &amp; Usage'!$AB28*SelfQuarantine_Moderate)))+IF('Equipment List &amp; Usage'!$F28="Yes",('Equipment List &amp; Usage'!$C$114*(IF('Equipment List &amp; Usage'!$AE28&gt;0,'Weekly Summary'!F$134,0)+IF('Equipment List &amp; Usage'!$AF28&gt;0,'Weekly Summary'!F$135))),'Equipment List &amp; Usage'!$C$115*(('Weekly Summary'!F$134*'Equipment List &amp; Usage'!$AE28)+('Weekly Summary'!F$135*'Equipment List &amp; Usage'!$AF28)))),0)</f>
        <v>43.40955560332084</v>
      </c>
      <c r="M26" s="1374">
        <f ca="1">MAX(IF($F26="Yes",(
IF($F26="yes",MMULT(--('Equipment List &amp; Usage'!$J28:$N28&gt;0),--('Weekly Summary'!G$112:G$116))*'Equipment List &amp; Usage'!$C$114,MMULT(--('Equipment List &amp; Usage'!$J28:$N28),--('Weekly Summary'!G$112:G$116))*'Equipment List &amp; Usage'!$C$115)+IF('Equipment List &amp; Usage'!$F27="yes",'Equipment List &amp; Usage'!$C$114,'Equipment List &amp; Usage'!$C$115)*(('Weekly Summary'!G$66*'Equipment List &amp; Usage'!$Q28)+('Weekly Summary'!G$64*'Equipment List &amp; Usage'!$O28)+('Weekly Summary'!G$65*'Equipment List &amp; Usage'!$P28)))+(IF('Equipment List &amp; Usage'!$F28="Yes",'Equipment List &amp; Usage'!$C$114*((('Weekly Summary'!G$131*SelfQuarantine_Mild)+('Weekly Summary'!G$100*SelfQuarantine_Mild)+('Weekly Summary'!G$101*SelfQuarantine_Moderate))),'Equipment List &amp; Usage'!$C$115)*((('Weekly Summary'!G$131*SelfQuarantine_Mild*'Equipment List &amp; Usage'!$W28)+('Weekly Summary'!G$100*SelfQuarantine_Mild*'Equipment List &amp; Usage'!$X28)+('Weekly Summary'!G$101*SelfQuarantine_Moderate*'Equipment List &amp; Usage'!$X28)))+IF('Equipment List &amp; Usage'!$F28="Yes",'Equipment List &amp; Usage'!$C$114*(IF('Equipment List &amp; Usage'!$AA28&gt;0,'Weekly Summary'!G$128,0)+IF('Equipment List &amp; Usage'!$AB28&gt;0,'Weekly Summary'!G$100+'Weekly Summary'!G$101,0)),'Equipment List &amp; Usage'!$C$115*(('Weekly Summary'!G$128*'Equipment List &amp; Usage'!$AA28)+('Weekly Summary'!G$100*'Equipment List &amp; Usage'!$AB28*SelfQuarantine_Mild)+('Weekly Summary'!G$101*'Equipment List &amp; Usage'!$AB28*SelfQuarantine_Moderate)))+IF('Equipment List &amp; Usage'!$F28="Yes",('Equipment List &amp; Usage'!$C$114*(IF('Equipment List &amp; Usage'!$AE28&gt;0,'Weekly Summary'!G$134,0)+IF('Equipment List &amp; Usage'!$AF28&gt;0,'Weekly Summary'!G$135))),'Equipment List &amp; Usage'!$C$115*(('Weekly Summary'!G$134*'Equipment List &amp; Usage'!$AE28)+('Weekly Summary'!G$135*'Equipment List &amp; Usage'!$AF28))))-SUM($I26:L26),
IF($F26="yes",MMULT(--('Equipment List &amp; Usage'!$J28:$N28&gt;0),--('Weekly Summary'!G$112:G$116))*'Equipment List &amp; Usage'!$C$114,MMULT(--('Equipment List &amp; Usage'!$J28:$N28),--('Weekly Summary'!G$112:G$116))*'Equipment List &amp; Usage'!$C$115)+IF('Equipment List &amp; Usage'!$F27="yes",'Equipment List &amp; Usage'!$C$114,'Equipment List &amp; Usage'!$C$115)*(('Weekly Summary'!G$66*'Equipment List &amp; Usage'!$Q28)+('Weekly Summary'!G$64*'Equipment List &amp; Usage'!$O28)+('Weekly Summary'!G$65*'Equipment List &amp; Usage'!$P28))+(IF('Equipment List &amp; Usage'!$F28="Yes",'Equipment List &amp; Usage'!$C$114*((('Weekly Summary'!G$131*SelfQuarantine_Mild)+('Weekly Summary'!G$100*SelfQuarantine_Mild)+('Weekly Summary'!G$101*SelfQuarantine_Moderate))),'Equipment List &amp; Usage'!$C$115)*((('Weekly Summary'!G$131*SelfQuarantine_Mild*'Equipment List &amp; Usage'!$W28)+('Weekly Summary'!G$100*SelfQuarantine_Mild*'Equipment List &amp; Usage'!$X28)+('Weekly Summary'!G$101*SelfQuarantine_Moderate*'Equipment List &amp; Usage'!$X28))))+IF('Equipment List &amp; Usage'!$F28="Yes",'Equipment List &amp; Usage'!$C$114*(IF('Equipment List &amp; Usage'!$AA28&gt;0,'Weekly Summary'!G$128,0)+IF('Equipment List &amp; Usage'!$AB28&gt;0,'Weekly Summary'!G$100+'Weekly Summary'!G$101,0)),'Equipment List &amp; Usage'!$C$115*(('Weekly Summary'!G$128*'Equipment List &amp; Usage'!$AA28)+('Weekly Summary'!G$100*'Equipment List &amp; Usage'!$AB28*SelfQuarantine_Mild)+('Weekly Summary'!G$101*'Equipment List &amp; Usage'!$AB28*SelfQuarantine_Moderate)))+IF('Equipment List &amp; Usage'!$F28="Yes",('Equipment List &amp; Usage'!$C$114*(IF('Equipment List &amp; Usage'!$AE28&gt;0,'Weekly Summary'!G$134,0)+IF('Equipment List &amp; Usage'!$AF28&gt;0,'Weekly Summary'!G$135))),'Equipment List &amp; Usage'!$C$115*(('Weekly Summary'!G$134*'Equipment List &amp; Usage'!$AE28)+('Weekly Summary'!G$135*'Equipment List &amp; Usage'!$AF28)))),0)</f>
        <v>149.17594576710795</v>
      </c>
      <c r="N26" s="1374">
        <f ca="1">MAX(IF($F26="Yes",(
IF($F26="yes",MMULT(--('Equipment List &amp; Usage'!$J28:$N28&gt;0),--('Weekly Summary'!H$112:H$116))*'Equipment List &amp; Usage'!$C$114,MMULT(--('Equipment List &amp; Usage'!$J28:$N28),--('Weekly Summary'!H$112:H$116))*'Equipment List &amp; Usage'!$C$115)+IF('Equipment List &amp; Usage'!$F27="yes",'Equipment List &amp; Usage'!$C$114,'Equipment List &amp; Usage'!$C$115)*(('Weekly Summary'!H$66*'Equipment List &amp; Usage'!$Q28)+('Weekly Summary'!H$64*'Equipment List &amp; Usage'!$O28)+('Weekly Summary'!H$65*'Equipment List &amp; Usage'!$P28)))+(IF('Equipment List &amp; Usage'!$F28="Yes",'Equipment List &amp; Usage'!$C$114*((('Weekly Summary'!H$131*SelfQuarantine_Mild)+('Weekly Summary'!H$100*SelfQuarantine_Mild)+('Weekly Summary'!H$101*SelfQuarantine_Moderate))),'Equipment List &amp; Usage'!$C$115)*((('Weekly Summary'!H$131*SelfQuarantine_Mild*'Equipment List &amp; Usage'!$W28)+('Weekly Summary'!H$100*SelfQuarantine_Mild*'Equipment List &amp; Usage'!$X28)+('Weekly Summary'!H$101*SelfQuarantine_Moderate*'Equipment List &amp; Usage'!$X28)))+IF('Equipment List &amp; Usage'!$F28="Yes",'Equipment List &amp; Usage'!$C$114*(IF('Equipment List &amp; Usage'!$AA28&gt;0,'Weekly Summary'!H$128,0)+IF('Equipment List &amp; Usage'!$AB28&gt;0,'Weekly Summary'!H$100+'Weekly Summary'!H$101,0)),'Equipment List &amp; Usage'!$C$115*(('Weekly Summary'!H$128*'Equipment List &amp; Usage'!$AA28)+('Weekly Summary'!H$100*'Equipment List &amp; Usage'!$AB28*SelfQuarantine_Mild)+('Weekly Summary'!H$101*'Equipment List &amp; Usage'!$AB28*SelfQuarantine_Moderate)))+IF('Equipment List &amp; Usage'!$F28="Yes",('Equipment List &amp; Usage'!$C$114*(IF('Equipment List &amp; Usage'!$AE28&gt;0,'Weekly Summary'!H$134,0)+IF('Equipment List &amp; Usage'!$AF28&gt;0,'Weekly Summary'!H$135))),'Equipment List &amp; Usage'!$C$115*(('Weekly Summary'!H$134*'Equipment List &amp; Usage'!$AE28)+('Weekly Summary'!H$135*'Equipment List &amp; Usage'!$AF28))))-SUM($I26:M26),
IF($F26="yes",MMULT(--('Equipment List &amp; Usage'!$J28:$N28&gt;0),--('Weekly Summary'!H$112:H$116))*'Equipment List &amp; Usage'!$C$114,MMULT(--('Equipment List &amp; Usage'!$J28:$N28),--('Weekly Summary'!H$112:H$116))*'Equipment List &amp; Usage'!$C$115)+IF('Equipment List &amp; Usage'!$F27="yes",'Equipment List &amp; Usage'!$C$114,'Equipment List &amp; Usage'!$C$115)*(('Weekly Summary'!H$66*'Equipment List &amp; Usage'!$Q28)+('Weekly Summary'!H$64*'Equipment List &amp; Usage'!$O28)+('Weekly Summary'!H$65*'Equipment List &amp; Usage'!$P28))+(IF('Equipment List &amp; Usage'!$F28="Yes",'Equipment List &amp; Usage'!$C$114*((('Weekly Summary'!H$131*SelfQuarantine_Mild)+('Weekly Summary'!H$100*SelfQuarantine_Mild)+('Weekly Summary'!H$101*SelfQuarantine_Moderate))),'Equipment List &amp; Usage'!$C$115)*((('Weekly Summary'!H$131*SelfQuarantine_Mild*'Equipment List &amp; Usage'!$W28)+('Weekly Summary'!H$100*SelfQuarantine_Mild*'Equipment List &amp; Usage'!$X28)+('Weekly Summary'!H$101*SelfQuarantine_Moderate*'Equipment List &amp; Usage'!$X28))))+IF('Equipment List &amp; Usage'!$F28="Yes",'Equipment List &amp; Usage'!$C$114*(IF('Equipment List &amp; Usage'!$AA28&gt;0,'Weekly Summary'!H$128,0)+IF('Equipment List &amp; Usage'!$AB28&gt;0,'Weekly Summary'!H$100+'Weekly Summary'!H$101,0)),'Equipment List &amp; Usage'!$C$115*(('Weekly Summary'!H$128*'Equipment List &amp; Usage'!$AA28)+('Weekly Summary'!H$100*'Equipment List &amp; Usage'!$AB28*SelfQuarantine_Mild)+('Weekly Summary'!H$101*'Equipment List &amp; Usage'!$AB28*SelfQuarantine_Moderate)))+IF('Equipment List &amp; Usage'!$F28="Yes",('Equipment List &amp; Usage'!$C$114*(IF('Equipment List &amp; Usage'!$AE28&gt;0,'Weekly Summary'!H$134,0)+IF('Equipment List &amp; Usage'!$AF28&gt;0,'Weekly Summary'!H$135))),'Equipment List &amp; Usage'!$C$115*(('Weekly Summary'!H$134*'Equipment List &amp; Usage'!$AE28)+('Weekly Summary'!H$135*'Equipment List &amp; Usage'!$AF28)))),0)</f>
        <v>512.62351000324225</v>
      </c>
      <c r="O26" s="1374">
        <f ca="1">MAX(IF($F26="Yes",(
IF($F26="yes",MMULT(--('Equipment List &amp; Usage'!$J28:$N28&gt;0),--('Weekly Summary'!I$112:I$116))*'Equipment List &amp; Usage'!$C$114,MMULT(--('Equipment List &amp; Usage'!$J28:$N28),--('Weekly Summary'!I$112:I$116))*'Equipment List &amp; Usage'!$C$115)+IF('Equipment List &amp; Usage'!$F27="yes",'Equipment List &amp; Usage'!$C$114,'Equipment List &amp; Usage'!$C$115)*(('Weekly Summary'!I$66*'Equipment List &amp; Usage'!$Q28)+('Weekly Summary'!I$64*'Equipment List &amp; Usage'!$O28)+('Weekly Summary'!I$65*'Equipment List &amp; Usage'!$P28)))+(IF('Equipment List &amp; Usage'!$F28="Yes",'Equipment List &amp; Usage'!$C$114*((('Weekly Summary'!I$131*SelfQuarantine_Mild)+('Weekly Summary'!I$100*SelfQuarantine_Mild)+('Weekly Summary'!I$101*SelfQuarantine_Moderate))),'Equipment List &amp; Usage'!$C$115)*((('Weekly Summary'!I$131*SelfQuarantine_Mild*'Equipment List &amp; Usage'!$W28)+('Weekly Summary'!I$100*SelfQuarantine_Mild*'Equipment List &amp; Usage'!$X28)+('Weekly Summary'!I$101*SelfQuarantine_Moderate*'Equipment List &amp; Usage'!$X28)))+IF('Equipment List &amp; Usage'!$F28="Yes",'Equipment List &amp; Usage'!$C$114*(IF('Equipment List &amp; Usage'!$AA28&gt;0,'Weekly Summary'!I$128,0)+IF('Equipment List &amp; Usage'!$AB28&gt;0,'Weekly Summary'!I$100+'Weekly Summary'!I$101,0)),'Equipment List &amp; Usage'!$C$115*(('Weekly Summary'!I$128*'Equipment List &amp; Usage'!$AA28)+('Weekly Summary'!I$100*'Equipment List &amp; Usage'!$AB28*SelfQuarantine_Mild)+('Weekly Summary'!I$101*'Equipment List &amp; Usage'!$AB28*SelfQuarantine_Moderate)))+IF('Equipment List &amp; Usage'!$F28="Yes",('Equipment List &amp; Usage'!$C$114*(IF('Equipment List &amp; Usage'!$AE28&gt;0,'Weekly Summary'!I$134,0)+IF('Equipment List &amp; Usage'!$AF28&gt;0,'Weekly Summary'!I$135))),'Equipment List &amp; Usage'!$C$115*(('Weekly Summary'!I$134*'Equipment List &amp; Usage'!$AE28)+('Weekly Summary'!I$135*'Equipment List &amp; Usage'!$AF28))))-SUM($I26:N26),
IF($F26="yes",MMULT(--('Equipment List &amp; Usage'!$J28:$N28&gt;0),--('Weekly Summary'!I$112:I$116))*'Equipment List &amp; Usage'!$C$114,MMULT(--('Equipment List &amp; Usage'!$J28:$N28),--('Weekly Summary'!I$112:I$116))*'Equipment List &amp; Usage'!$C$115)+IF('Equipment List &amp; Usage'!$F27="yes",'Equipment List &amp; Usage'!$C$114,'Equipment List &amp; Usage'!$C$115)*(('Weekly Summary'!I$66*'Equipment List &amp; Usage'!$Q28)+('Weekly Summary'!I$64*'Equipment List &amp; Usage'!$O28)+('Weekly Summary'!I$65*'Equipment List &amp; Usage'!$P28))+(IF('Equipment List &amp; Usage'!$F28="Yes",'Equipment List &amp; Usage'!$C$114*((('Weekly Summary'!I$131*SelfQuarantine_Mild)+('Weekly Summary'!I$100*SelfQuarantine_Mild)+('Weekly Summary'!I$101*SelfQuarantine_Moderate))),'Equipment List &amp; Usage'!$C$115)*((('Weekly Summary'!I$131*SelfQuarantine_Mild*'Equipment List &amp; Usage'!$W28)+('Weekly Summary'!I$100*SelfQuarantine_Mild*'Equipment List &amp; Usage'!$X28)+('Weekly Summary'!I$101*SelfQuarantine_Moderate*'Equipment List &amp; Usage'!$X28))))+IF('Equipment List &amp; Usage'!$F28="Yes",'Equipment List &amp; Usage'!$C$114*(IF('Equipment List &amp; Usage'!$AA28&gt;0,'Weekly Summary'!I$128,0)+IF('Equipment List &amp; Usage'!$AB28&gt;0,'Weekly Summary'!I$100+'Weekly Summary'!I$101,0)),'Equipment List &amp; Usage'!$C$115*(('Weekly Summary'!I$128*'Equipment List &amp; Usage'!$AA28)+('Weekly Summary'!I$100*'Equipment List &amp; Usage'!$AB28*SelfQuarantine_Mild)+('Weekly Summary'!I$101*'Equipment List &amp; Usage'!$AB28*SelfQuarantine_Moderate)))+IF('Equipment List &amp; Usage'!$F28="Yes",('Equipment List &amp; Usage'!$C$114*(IF('Equipment List &amp; Usage'!$AE28&gt;0,'Weekly Summary'!I$134,0)+IF('Equipment List &amp; Usage'!$AF28&gt;0,'Weekly Summary'!I$135))),'Equipment List &amp; Usage'!$C$115*(('Weekly Summary'!I$134*'Equipment List &amp; Usage'!$AE28)+('Weekly Summary'!I$135*'Equipment List &amp; Usage'!$AF28)))),0)</f>
        <v>1761.3717470143415</v>
      </c>
      <c r="P26" s="1374">
        <f ca="1">MAX(IF($F26="Yes",(
IF($F26="yes",MMULT(--('Equipment List &amp; Usage'!$J28:$N28&gt;0),--('Weekly Summary'!J$112:J$116))*'Equipment List &amp; Usage'!$C$114,MMULT(--('Equipment List &amp; Usage'!$J28:$N28),--('Weekly Summary'!J$112:J$116))*'Equipment List &amp; Usage'!$C$115)+IF('Equipment List &amp; Usage'!$F27="yes",'Equipment List &amp; Usage'!$C$114,'Equipment List &amp; Usage'!$C$115)*(('Weekly Summary'!J$66*'Equipment List &amp; Usage'!$Q28)+('Weekly Summary'!J$64*'Equipment List &amp; Usage'!$O28)+('Weekly Summary'!J$65*'Equipment List &amp; Usage'!$P28)))+(IF('Equipment List &amp; Usage'!$F28="Yes",'Equipment List &amp; Usage'!$C$114*((('Weekly Summary'!J$131*SelfQuarantine_Mild)+('Weekly Summary'!J$100*SelfQuarantine_Mild)+('Weekly Summary'!J$101*SelfQuarantine_Moderate))),'Equipment List &amp; Usage'!$C$115)*((('Weekly Summary'!J$131*SelfQuarantine_Mild*'Equipment List &amp; Usage'!$W28)+('Weekly Summary'!J$100*SelfQuarantine_Mild*'Equipment List &amp; Usage'!$X28)+('Weekly Summary'!J$101*SelfQuarantine_Moderate*'Equipment List &amp; Usage'!$X28)))+IF('Equipment List &amp; Usage'!$F28="Yes",'Equipment List &amp; Usage'!$C$114*(IF('Equipment List &amp; Usage'!$AA28&gt;0,'Weekly Summary'!J$128,0)+IF('Equipment List &amp; Usage'!$AB28&gt;0,'Weekly Summary'!J$100+'Weekly Summary'!J$101,0)),'Equipment List &amp; Usage'!$C$115*(('Weekly Summary'!J$128*'Equipment List &amp; Usage'!$AA28)+('Weekly Summary'!J$100*'Equipment List &amp; Usage'!$AB28*SelfQuarantine_Mild)+('Weekly Summary'!J$101*'Equipment List &amp; Usage'!$AB28*SelfQuarantine_Moderate)))+IF('Equipment List &amp; Usage'!$F28="Yes",('Equipment List &amp; Usage'!$C$114*(IF('Equipment List &amp; Usage'!$AE28&gt;0,'Weekly Summary'!J$134,0)+IF('Equipment List &amp; Usage'!$AF28&gt;0,'Weekly Summary'!J$135))),'Equipment List &amp; Usage'!$C$115*(('Weekly Summary'!J$134*'Equipment List &amp; Usage'!$AE28)+('Weekly Summary'!J$135*'Equipment List &amp; Usage'!$AF28))))-SUM($I26:O26),
IF($F26="yes",MMULT(--('Equipment List &amp; Usage'!$J28:$N28&gt;0),--('Weekly Summary'!J$112:J$116))*'Equipment List &amp; Usage'!$C$114,MMULT(--('Equipment List &amp; Usage'!$J28:$N28),--('Weekly Summary'!J$112:J$116))*'Equipment List &amp; Usage'!$C$115)+IF('Equipment List &amp; Usage'!$F27="yes",'Equipment List &amp; Usage'!$C$114,'Equipment List &amp; Usage'!$C$115)*(('Weekly Summary'!J$66*'Equipment List &amp; Usage'!$Q28)+('Weekly Summary'!J$64*'Equipment List &amp; Usage'!$O28)+('Weekly Summary'!J$65*'Equipment List &amp; Usage'!$P28))+(IF('Equipment List &amp; Usage'!$F28="Yes",'Equipment List &amp; Usage'!$C$114*((('Weekly Summary'!J$131*SelfQuarantine_Mild)+('Weekly Summary'!J$100*SelfQuarantine_Mild)+('Weekly Summary'!J$101*SelfQuarantine_Moderate))),'Equipment List &amp; Usage'!$C$115)*((('Weekly Summary'!J$131*SelfQuarantine_Mild*'Equipment List &amp; Usage'!$W28)+('Weekly Summary'!J$100*SelfQuarantine_Mild*'Equipment List &amp; Usage'!$X28)+('Weekly Summary'!J$101*SelfQuarantine_Moderate*'Equipment List &amp; Usage'!$X28))))+IF('Equipment List &amp; Usage'!$F28="Yes",'Equipment List &amp; Usage'!$C$114*(IF('Equipment List &amp; Usage'!$AA28&gt;0,'Weekly Summary'!J$128,0)+IF('Equipment List &amp; Usage'!$AB28&gt;0,'Weekly Summary'!J$100+'Weekly Summary'!J$101,0)),'Equipment List &amp; Usage'!$C$115*(('Weekly Summary'!J$128*'Equipment List &amp; Usage'!$AA28)+('Weekly Summary'!J$100*'Equipment List &amp; Usage'!$AB28*SelfQuarantine_Mild)+('Weekly Summary'!J$101*'Equipment List &amp; Usage'!$AB28*SelfQuarantine_Moderate)))+IF('Equipment List &amp; Usage'!$F28="Yes",('Equipment List &amp; Usage'!$C$114*(IF('Equipment List &amp; Usage'!$AE28&gt;0,'Weekly Summary'!J$134,0)+IF('Equipment List &amp; Usage'!$AF28&gt;0,'Weekly Summary'!J$135))),'Equipment List &amp; Usage'!$C$115*(('Weekly Summary'!J$134*'Equipment List &amp; Usage'!$AE28)+('Weekly Summary'!J$135*'Equipment List &amp; Usage'!$AF28)))),0)</f>
        <v>6049.8042538018981</v>
      </c>
      <c r="Q26" s="1374">
        <f ca="1">MAX(IF($F26="Yes",(
IF($F26="yes",MMULT(--('Equipment List &amp; Usage'!$J28:$N28&gt;0),--('Weekly Summary'!K$112:K$116))*'Equipment List &amp; Usage'!$C$114,MMULT(--('Equipment List &amp; Usage'!$J28:$N28),--('Weekly Summary'!K$112:K$116))*'Equipment List &amp; Usage'!$C$115)+IF('Equipment List &amp; Usage'!$F27="yes",'Equipment List &amp; Usage'!$C$114,'Equipment List &amp; Usage'!$C$115)*(('Weekly Summary'!K$66*'Equipment List &amp; Usage'!$Q28)+('Weekly Summary'!K$64*'Equipment List &amp; Usage'!$O28)+('Weekly Summary'!K$65*'Equipment List &amp; Usage'!$P28)))+(IF('Equipment List &amp; Usage'!$F28="Yes",'Equipment List &amp; Usage'!$C$114*((('Weekly Summary'!K$131*SelfQuarantine_Mild)+('Weekly Summary'!K$100*SelfQuarantine_Mild)+('Weekly Summary'!K$101*SelfQuarantine_Moderate))),'Equipment List &amp; Usage'!$C$115)*((('Weekly Summary'!K$131*SelfQuarantine_Mild*'Equipment List &amp; Usage'!$W28)+('Weekly Summary'!K$100*SelfQuarantine_Mild*'Equipment List &amp; Usage'!$X28)+('Weekly Summary'!K$101*SelfQuarantine_Moderate*'Equipment List &amp; Usage'!$X28)))+IF('Equipment List &amp; Usage'!$F28="Yes",'Equipment List &amp; Usage'!$C$114*(IF('Equipment List &amp; Usage'!$AA28&gt;0,'Weekly Summary'!K$128,0)+IF('Equipment List &amp; Usage'!$AB28&gt;0,'Weekly Summary'!K$100+'Weekly Summary'!K$101,0)),'Equipment List &amp; Usage'!$C$115*(('Weekly Summary'!K$128*'Equipment List &amp; Usage'!$AA28)+('Weekly Summary'!K$100*'Equipment List &amp; Usage'!$AB28*SelfQuarantine_Mild)+('Weekly Summary'!K$101*'Equipment List &amp; Usage'!$AB28*SelfQuarantine_Moderate)))+IF('Equipment List &amp; Usage'!$F28="Yes",('Equipment List &amp; Usage'!$C$114*(IF('Equipment List &amp; Usage'!$AE28&gt;0,'Weekly Summary'!K$134,0)+IF('Equipment List &amp; Usage'!$AF28&gt;0,'Weekly Summary'!K$135))),'Equipment List &amp; Usage'!$C$115*(('Weekly Summary'!K$134*'Equipment List &amp; Usage'!$AE28)+('Weekly Summary'!K$135*'Equipment List &amp; Usage'!$AF28))))-SUM($I26:P26),
IF($F26="yes",MMULT(--('Equipment List &amp; Usage'!$J28:$N28&gt;0),--('Weekly Summary'!K$112:K$116))*'Equipment List &amp; Usage'!$C$114,MMULT(--('Equipment List &amp; Usage'!$J28:$N28),--('Weekly Summary'!K$112:K$116))*'Equipment List &amp; Usage'!$C$115)+IF('Equipment List &amp; Usage'!$F27="yes",'Equipment List &amp; Usage'!$C$114,'Equipment List &amp; Usage'!$C$115)*(('Weekly Summary'!K$66*'Equipment List &amp; Usage'!$Q28)+('Weekly Summary'!K$64*'Equipment List &amp; Usage'!$O28)+('Weekly Summary'!K$65*'Equipment List &amp; Usage'!$P28))+(IF('Equipment List &amp; Usage'!$F28="Yes",'Equipment List &amp; Usage'!$C$114*((('Weekly Summary'!K$131*SelfQuarantine_Mild)+('Weekly Summary'!K$100*SelfQuarantine_Mild)+('Weekly Summary'!K$101*SelfQuarantine_Moderate))),'Equipment List &amp; Usage'!$C$115)*((('Weekly Summary'!K$131*SelfQuarantine_Mild*'Equipment List &amp; Usage'!$W28)+('Weekly Summary'!K$100*SelfQuarantine_Mild*'Equipment List &amp; Usage'!$X28)+('Weekly Summary'!K$101*SelfQuarantine_Moderate*'Equipment List &amp; Usage'!$X28))))+IF('Equipment List &amp; Usage'!$F28="Yes",'Equipment List &amp; Usage'!$C$114*(IF('Equipment List &amp; Usage'!$AA28&gt;0,'Weekly Summary'!K$128,0)+IF('Equipment List &amp; Usage'!$AB28&gt;0,'Weekly Summary'!K$100+'Weekly Summary'!K$101,0)),'Equipment List &amp; Usage'!$C$115*(('Weekly Summary'!K$128*'Equipment List &amp; Usage'!$AA28)+('Weekly Summary'!K$100*'Equipment List &amp; Usage'!$AB28*SelfQuarantine_Mild)+('Weekly Summary'!K$101*'Equipment List &amp; Usage'!$AB28*SelfQuarantine_Moderate)))+IF('Equipment List &amp; Usage'!$F28="Yes",('Equipment List &amp; Usage'!$C$114*(IF('Equipment List &amp; Usage'!$AE28&gt;0,'Weekly Summary'!K$134,0)+IF('Equipment List &amp; Usage'!$AF28&gt;0,'Weekly Summary'!K$135))),'Equipment List &amp; Usage'!$C$115*(('Weekly Summary'!K$134*'Equipment List &amp; Usage'!$AE28)+('Weekly Summary'!K$135*'Equipment List &amp; Usage'!$AF28)))),0)</f>
        <v>0</v>
      </c>
      <c r="R26" s="1374">
        <f ca="1">MAX(IF($F26="Yes",(
IF($F26="yes",MMULT(--('Equipment List &amp; Usage'!$J28:$N28&gt;0),--('Weekly Summary'!L$112:L$116))*'Equipment List &amp; Usage'!$C$114,MMULT(--('Equipment List &amp; Usage'!$J28:$N28),--('Weekly Summary'!L$112:L$116))*'Equipment List &amp; Usage'!$C$115)+IF('Equipment List &amp; Usage'!$F27="yes",'Equipment List &amp; Usage'!$C$114,'Equipment List &amp; Usage'!$C$115)*(('Weekly Summary'!L$66*'Equipment List &amp; Usage'!$Q28)+('Weekly Summary'!L$64*'Equipment List &amp; Usage'!$O28)+('Weekly Summary'!L$65*'Equipment List &amp; Usage'!$P28)))+(IF('Equipment List &amp; Usage'!$F28="Yes",'Equipment List &amp; Usage'!$C$114*((('Weekly Summary'!L$131*SelfQuarantine_Mild)+('Weekly Summary'!L$100*SelfQuarantine_Mild)+('Weekly Summary'!L$101*SelfQuarantine_Moderate))),'Equipment List &amp; Usage'!$C$115)*((('Weekly Summary'!L$131*SelfQuarantine_Mild*'Equipment List &amp; Usage'!$W28)+('Weekly Summary'!L$100*SelfQuarantine_Mild*'Equipment List &amp; Usage'!$X28)+('Weekly Summary'!L$101*SelfQuarantine_Moderate*'Equipment List &amp; Usage'!$X28)))+IF('Equipment List &amp; Usage'!$F28="Yes",'Equipment List &amp; Usage'!$C$114*(IF('Equipment List &amp; Usage'!$AA28&gt;0,'Weekly Summary'!L$128,0)+IF('Equipment List &amp; Usage'!$AB28&gt;0,'Weekly Summary'!L$100+'Weekly Summary'!L$101,0)),'Equipment List &amp; Usage'!$C$115*(('Weekly Summary'!L$128*'Equipment List &amp; Usage'!$AA28)+('Weekly Summary'!L$100*'Equipment List &amp; Usage'!$AB28*SelfQuarantine_Mild)+('Weekly Summary'!L$101*'Equipment List &amp; Usage'!$AB28*SelfQuarantine_Moderate)))+IF('Equipment List &amp; Usage'!$F28="Yes",('Equipment List &amp; Usage'!$C$114*(IF('Equipment List &amp; Usage'!$AE28&gt;0,'Weekly Summary'!L$134,0)+IF('Equipment List &amp; Usage'!$AF28&gt;0,'Weekly Summary'!L$135))),'Equipment List &amp; Usage'!$C$115*(('Weekly Summary'!L$134*'Equipment List &amp; Usage'!$AE28)+('Weekly Summary'!L$135*'Equipment List &amp; Usage'!$AF28))))-SUM($I26:Q26),
IF($F26="yes",MMULT(--('Equipment List &amp; Usage'!$J28:$N28&gt;0),--('Weekly Summary'!L$112:L$116))*'Equipment List &amp; Usage'!$C$114,MMULT(--('Equipment List &amp; Usage'!$J28:$N28),--('Weekly Summary'!L$112:L$116))*'Equipment List &amp; Usage'!$C$115)+IF('Equipment List &amp; Usage'!$F27="yes",'Equipment List &amp; Usage'!$C$114,'Equipment List &amp; Usage'!$C$115)*(('Weekly Summary'!L$66*'Equipment List &amp; Usage'!$Q28)+('Weekly Summary'!L$64*'Equipment List &amp; Usage'!$O28)+('Weekly Summary'!L$65*'Equipment List &amp; Usage'!$P28))+(IF('Equipment List &amp; Usage'!$F28="Yes",'Equipment List &amp; Usage'!$C$114*((('Weekly Summary'!L$131*SelfQuarantine_Mild)+('Weekly Summary'!L$100*SelfQuarantine_Mild)+('Weekly Summary'!L$101*SelfQuarantine_Moderate))),'Equipment List &amp; Usage'!$C$115)*((('Weekly Summary'!L$131*SelfQuarantine_Mild*'Equipment List &amp; Usage'!$W28)+('Weekly Summary'!L$100*SelfQuarantine_Mild*'Equipment List &amp; Usage'!$X28)+('Weekly Summary'!L$101*SelfQuarantine_Moderate*'Equipment List &amp; Usage'!$X28))))+IF('Equipment List &amp; Usage'!$F28="Yes",'Equipment List &amp; Usage'!$C$114*(IF('Equipment List &amp; Usage'!$AA28&gt;0,'Weekly Summary'!L$128,0)+IF('Equipment List &amp; Usage'!$AB28&gt;0,'Weekly Summary'!L$100+'Weekly Summary'!L$101,0)),'Equipment List &amp; Usage'!$C$115*(('Weekly Summary'!L$128*'Equipment List &amp; Usage'!$AA28)+('Weekly Summary'!L$100*'Equipment List &amp; Usage'!$AB28*SelfQuarantine_Mild)+('Weekly Summary'!L$101*'Equipment List &amp; Usage'!$AB28*SelfQuarantine_Moderate)))+IF('Equipment List &amp; Usage'!$F28="Yes",('Equipment List &amp; Usage'!$C$114*(IF('Equipment List &amp; Usage'!$AE28&gt;0,'Weekly Summary'!L$134,0)+IF('Equipment List &amp; Usage'!$AF28&gt;0,'Weekly Summary'!L$135))),'Equipment List &amp; Usage'!$C$115*(('Weekly Summary'!L$134*'Equipment List &amp; Usage'!$AE28)+('Weekly Summary'!L$135*'Equipment List &amp; Usage'!$AF28)))),0)</f>
        <v>0</v>
      </c>
      <c r="S26" s="1374">
        <f ca="1">MAX(IF($F26="Yes",(
IF($F26="yes",MMULT(--('Equipment List &amp; Usage'!$J28:$N28&gt;0),--('Weekly Summary'!M$112:M$116))*'Equipment List &amp; Usage'!$C$114,MMULT(--('Equipment List &amp; Usage'!$J28:$N28),--('Weekly Summary'!M$112:M$116))*'Equipment List &amp; Usage'!$C$115)+IF('Equipment List &amp; Usage'!$F27="yes",'Equipment List &amp; Usage'!$C$114,'Equipment List &amp; Usage'!$C$115)*(('Weekly Summary'!M$66*'Equipment List &amp; Usage'!$Q28)+('Weekly Summary'!M$64*'Equipment List &amp; Usage'!$O28)+('Weekly Summary'!M$65*'Equipment List &amp; Usage'!$P28)))+(IF('Equipment List &amp; Usage'!$F28="Yes",'Equipment List &amp; Usage'!$C$114*((('Weekly Summary'!M$131*SelfQuarantine_Mild)+('Weekly Summary'!M$100*SelfQuarantine_Mild)+('Weekly Summary'!M$101*SelfQuarantine_Moderate))),'Equipment List &amp; Usage'!$C$115)*((('Weekly Summary'!M$131*SelfQuarantine_Mild*'Equipment List &amp; Usage'!$W28)+('Weekly Summary'!M$100*SelfQuarantine_Mild*'Equipment List &amp; Usage'!$X28)+('Weekly Summary'!M$101*SelfQuarantine_Moderate*'Equipment List &amp; Usage'!$X28)))+IF('Equipment List &amp; Usage'!$F28="Yes",'Equipment List &amp; Usage'!$C$114*(IF('Equipment List &amp; Usage'!$AA28&gt;0,'Weekly Summary'!M$128,0)+IF('Equipment List &amp; Usage'!$AB28&gt;0,'Weekly Summary'!M$100+'Weekly Summary'!M$101,0)),'Equipment List &amp; Usage'!$C$115*(('Weekly Summary'!M$128*'Equipment List &amp; Usage'!$AA28)+('Weekly Summary'!M$100*'Equipment List &amp; Usage'!$AB28*SelfQuarantine_Mild)+('Weekly Summary'!M$101*'Equipment List &amp; Usage'!$AB28*SelfQuarantine_Moderate)))+IF('Equipment List &amp; Usage'!$F28="Yes",('Equipment List &amp; Usage'!$C$114*(IF('Equipment List &amp; Usage'!$AE28&gt;0,'Weekly Summary'!M$134,0)+IF('Equipment List &amp; Usage'!$AF28&gt;0,'Weekly Summary'!M$135))),'Equipment List &amp; Usage'!$C$115*(('Weekly Summary'!M$134*'Equipment List &amp; Usage'!$AE28)+('Weekly Summary'!M$135*'Equipment List &amp; Usage'!$AF28))))-SUM($I26:R26),
IF($F26="yes",MMULT(--('Equipment List &amp; Usage'!$J28:$N28&gt;0),--('Weekly Summary'!M$112:M$116))*'Equipment List &amp; Usage'!$C$114,MMULT(--('Equipment List &amp; Usage'!$J28:$N28),--('Weekly Summary'!M$112:M$116))*'Equipment List &amp; Usage'!$C$115)+IF('Equipment List &amp; Usage'!$F27="yes",'Equipment List &amp; Usage'!$C$114,'Equipment List &amp; Usage'!$C$115)*(('Weekly Summary'!M$66*'Equipment List &amp; Usage'!$Q28)+('Weekly Summary'!M$64*'Equipment List &amp; Usage'!$O28)+('Weekly Summary'!M$65*'Equipment List &amp; Usage'!$P28))+(IF('Equipment List &amp; Usage'!$F28="Yes",'Equipment List &amp; Usage'!$C$114*((('Weekly Summary'!M$131*SelfQuarantine_Mild)+('Weekly Summary'!M$100*SelfQuarantine_Mild)+('Weekly Summary'!M$101*SelfQuarantine_Moderate))),'Equipment List &amp; Usage'!$C$115)*((('Weekly Summary'!M$131*SelfQuarantine_Mild*'Equipment List &amp; Usage'!$W28)+('Weekly Summary'!M$100*SelfQuarantine_Mild*'Equipment List &amp; Usage'!$X28)+('Weekly Summary'!M$101*SelfQuarantine_Moderate*'Equipment List &amp; Usage'!$X28))))+IF('Equipment List &amp; Usage'!$F28="Yes",'Equipment List &amp; Usage'!$C$114*(IF('Equipment List &amp; Usage'!$AA28&gt;0,'Weekly Summary'!M$128,0)+IF('Equipment List &amp; Usage'!$AB28&gt;0,'Weekly Summary'!M$100+'Weekly Summary'!M$101,0)),'Equipment List &amp; Usage'!$C$115*(('Weekly Summary'!M$128*'Equipment List &amp; Usage'!$AA28)+('Weekly Summary'!M$100*'Equipment List &amp; Usage'!$AB28*SelfQuarantine_Mild)+('Weekly Summary'!M$101*'Equipment List &amp; Usage'!$AB28*SelfQuarantine_Moderate)))+IF('Equipment List &amp; Usage'!$F28="Yes",('Equipment List &amp; Usage'!$C$114*(IF('Equipment List &amp; Usage'!$AE28&gt;0,'Weekly Summary'!M$134,0)+IF('Equipment List &amp; Usage'!$AF28&gt;0,'Weekly Summary'!M$135))),'Equipment List &amp; Usage'!$C$115*(('Weekly Summary'!M$134*'Equipment List &amp; Usage'!$AE28)+('Weekly Summary'!M$135*'Equipment List &amp; Usage'!$AF28)))),0)</f>
        <v>0</v>
      </c>
      <c r="T26" s="1374">
        <f ca="1">MAX(IF($F26="Yes",(
IF($F26="yes",MMULT(--('Equipment List &amp; Usage'!$J28:$N28&gt;0),--('Weekly Summary'!N$112:N$116))*'Equipment List &amp; Usage'!$C$114,MMULT(--('Equipment List &amp; Usage'!$J28:$N28),--('Weekly Summary'!N$112:N$116))*'Equipment List &amp; Usage'!$C$115)+IF('Equipment List &amp; Usage'!$F27="yes",'Equipment List &amp; Usage'!$C$114,'Equipment List &amp; Usage'!$C$115)*(('Weekly Summary'!N$66*'Equipment List &amp; Usage'!$Q28)+('Weekly Summary'!N$64*'Equipment List &amp; Usage'!$O28)+('Weekly Summary'!N$65*'Equipment List &amp; Usage'!$P28)))+(IF('Equipment List &amp; Usage'!$F28="Yes",'Equipment List &amp; Usage'!$C$114*((('Weekly Summary'!N$131*SelfQuarantine_Mild)+('Weekly Summary'!N$100*SelfQuarantine_Mild)+('Weekly Summary'!N$101*SelfQuarantine_Moderate))),'Equipment List &amp; Usage'!$C$115)*((('Weekly Summary'!N$131*SelfQuarantine_Mild*'Equipment List &amp; Usage'!$W28)+('Weekly Summary'!N$100*SelfQuarantine_Mild*'Equipment List &amp; Usage'!$X28)+('Weekly Summary'!N$101*SelfQuarantine_Moderate*'Equipment List &amp; Usage'!$X28)))+IF('Equipment List &amp; Usage'!$F28="Yes",'Equipment List &amp; Usage'!$C$114*(IF('Equipment List &amp; Usage'!$AA28&gt;0,'Weekly Summary'!N$128,0)+IF('Equipment List &amp; Usage'!$AB28&gt;0,'Weekly Summary'!N$100+'Weekly Summary'!N$101,0)),'Equipment List &amp; Usage'!$C$115*(('Weekly Summary'!N$128*'Equipment List &amp; Usage'!$AA28)+('Weekly Summary'!N$100*'Equipment List &amp; Usage'!$AB28*SelfQuarantine_Mild)+('Weekly Summary'!N$101*'Equipment List &amp; Usage'!$AB28*SelfQuarantine_Moderate)))+IF('Equipment List &amp; Usage'!$F28="Yes",('Equipment List &amp; Usage'!$C$114*(IF('Equipment List &amp; Usage'!$AE28&gt;0,'Weekly Summary'!N$134,0)+IF('Equipment List &amp; Usage'!$AF28&gt;0,'Weekly Summary'!N$135))),'Equipment List &amp; Usage'!$C$115*(('Weekly Summary'!N$134*'Equipment List &amp; Usage'!$AE28)+('Weekly Summary'!N$135*'Equipment List &amp; Usage'!$AF28))))-SUM($I26:S26),
IF($F26="yes",MMULT(--('Equipment List &amp; Usage'!$J28:$N28&gt;0),--('Weekly Summary'!N$112:N$116))*'Equipment List &amp; Usage'!$C$114,MMULT(--('Equipment List &amp; Usage'!$J28:$N28),--('Weekly Summary'!N$112:N$116))*'Equipment List &amp; Usage'!$C$115)+IF('Equipment List &amp; Usage'!$F27="yes",'Equipment List &amp; Usage'!$C$114,'Equipment List &amp; Usage'!$C$115)*(('Weekly Summary'!N$66*'Equipment List &amp; Usage'!$Q28)+('Weekly Summary'!N$64*'Equipment List &amp; Usage'!$O28)+('Weekly Summary'!N$65*'Equipment List &amp; Usage'!$P28))+(IF('Equipment List &amp; Usage'!$F28="Yes",'Equipment List &amp; Usage'!$C$114*((('Weekly Summary'!N$131*SelfQuarantine_Mild)+('Weekly Summary'!N$100*SelfQuarantine_Mild)+('Weekly Summary'!N$101*SelfQuarantine_Moderate))),'Equipment List &amp; Usage'!$C$115)*((('Weekly Summary'!N$131*SelfQuarantine_Mild*'Equipment List &amp; Usage'!$W28)+('Weekly Summary'!N$100*SelfQuarantine_Mild*'Equipment List &amp; Usage'!$X28)+('Weekly Summary'!N$101*SelfQuarantine_Moderate*'Equipment List &amp; Usage'!$X28))))+IF('Equipment List &amp; Usage'!$F28="Yes",'Equipment List &amp; Usage'!$C$114*(IF('Equipment List &amp; Usage'!$AA28&gt;0,'Weekly Summary'!N$128,0)+IF('Equipment List &amp; Usage'!$AB28&gt;0,'Weekly Summary'!N$100+'Weekly Summary'!N$101,0)),'Equipment List &amp; Usage'!$C$115*(('Weekly Summary'!N$128*'Equipment List &amp; Usage'!$AA28)+('Weekly Summary'!N$100*'Equipment List &amp; Usage'!$AB28*SelfQuarantine_Mild)+('Weekly Summary'!N$101*'Equipment List &amp; Usage'!$AB28*SelfQuarantine_Moderate)))+IF('Equipment List &amp; Usage'!$F28="Yes",('Equipment List &amp; Usage'!$C$114*(IF('Equipment List &amp; Usage'!$AE28&gt;0,'Weekly Summary'!N$134,0)+IF('Equipment List &amp; Usage'!$AF28&gt;0,'Weekly Summary'!N$135))),'Equipment List &amp; Usage'!$C$115*(('Weekly Summary'!N$134*'Equipment List &amp; Usage'!$AE28)+('Weekly Summary'!N$135*'Equipment List &amp; Usage'!$AF28)))),0)</f>
        <v>0</v>
      </c>
      <c r="U26" s="1374">
        <f ca="1">MAX(IF($F26="Yes",(
IF($F26="yes",MMULT(--('Equipment List &amp; Usage'!$J28:$N28&gt;0),--('Weekly Summary'!O$112:O$116))*'Equipment List &amp; Usage'!$C$114,MMULT(--('Equipment List &amp; Usage'!$J28:$N28),--('Weekly Summary'!O$112:O$116))*'Equipment List &amp; Usage'!$C$115)+IF('Equipment List &amp; Usage'!$F27="yes",'Equipment List &amp; Usage'!$C$114,'Equipment List &amp; Usage'!$C$115)*(('Weekly Summary'!O$66*'Equipment List &amp; Usage'!$Q28)+('Weekly Summary'!O$64*'Equipment List &amp; Usage'!$O28)+('Weekly Summary'!O$65*'Equipment List &amp; Usage'!$P28)))+(IF('Equipment List &amp; Usage'!$F28="Yes",'Equipment List &amp; Usage'!$C$114*((('Weekly Summary'!O$131*SelfQuarantine_Mild)+('Weekly Summary'!O$100*SelfQuarantine_Mild)+('Weekly Summary'!O$101*SelfQuarantine_Moderate))),'Equipment List &amp; Usage'!$C$115)*((('Weekly Summary'!O$131*SelfQuarantine_Mild*'Equipment List &amp; Usage'!$W28)+('Weekly Summary'!O$100*SelfQuarantine_Mild*'Equipment List &amp; Usage'!$X28)+('Weekly Summary'!O$101*SelfQuarantine_Moderate*'Equipment List &amp; Usage'!$X28)))+IF('Equipment List &amp; Usage'!$F28="Yes",'Equipment List &amp; Usage'!$C$114*(IF('Equipment List &amp; Usage'!$AA28&gt;0,'Weekly Summary'!O$128,0)+IF('Equipment List &amp; Usage'!$AB28&gt;0,'Weekly Summary'!O$100+'Weekly Summary'!O$101,0)),'Equipment List &amp; Usage'!$C$115*(('Weekly Summary'!O$128*'Equipment List &amp; Usage'!$AA28)+('Weekly Summary'!O$100*'Equipment List &amp; Usage'!$AB28*SelfQuarantine_Mild)+('Weekly Summary'!O$101*'Equipment List &amp; Usage'!$AB28*SelfQuarantine_Moderate)))+IF('Equipment List &amp; Usage'!$F28="Yes",('Equipment List &amp; Usage'!$C$114*(IF('Equipment List &amp; Usage'!$AE28&gt;0,'Weekly Summary'!O$134,0)+IF('Equipment List &amp; Usage'!$AF28&gt;0,'Weekly Summary'!O$135))),'Equipment List &amp; Usage'!$C$115*(('Weekly Summary'!O$134*'Equipment List &amp; Usage'!$AE28)+('Weekly Summary'!O$135*'Equipment List &amp; Usage'!$AF28))))-SUM($I26:T26),
IF($F26="yes",MMULT(--('Equipment List &amp; Usage'!$J28:$N28&gt;0),--('Weekly Summary'!O$112:O$116))*'Equipment List &amp; Usage'!$C$114,MMULT(--('Equipment List &amp; Usage'!$J28:$N28),--('Weekly Summary'!O$112:O$116))*'Equipment List &amp; Usage'!$C$115)+IF('Equipment List &amp; Usage'!$F27="yes",'Equipment List &amp; Usage'!$C$114,'Equipment List &amp; Usage'!$C$115)*(('Weekly Summary'!O$66*'Equipment List &amp; Usage'!$Q28)+('Weekly Summary'!O$64*'Equipment List &amp; Usage'!$O28)+('Weekly Summary'!O$65*'Equipment List &amp; Usage'!$P28))+(IF('Equipment List &amp; Usage'!$F28="Yes",'Equipment List &amp; Usage'!$C$114*((('Weekly Summary'!O$131*SelfQuarantine_Mild)+('Weekly Summary'!O$100*SelfQuarantine_Mild)+('Weekly Summary'!O$101*SelfQuarantine_Moderate))),'Equipment List &amp; Usage'!$C$115)*((('Weekly Summary'!O$131*SelfQuarantine_Mild*'Equipment List &amp; Usage'!$W28)+('Weekly Summary'!O$100*SelfQuarantine_Mild*'Equipment List &amp; Usage'!$X28)+('Weekly Summary'!O$101*SelfQuarantine_Moderate*'Equipment List &amp; Usage'!$X28))))+IF('Equipment List &amp; Usage'!$F28="Yes",'Equipment List &amp; Usage'!$C$114*(IF('Equipment List &amp; Usage'!$AA28&gt;0,'Weekly Summary'!O$128,0)+IF('Equipment List &amp; Usage'!$AB28&gt;0,'Weekly Summary'!O$100+'Weekly Summary'!O$101,0)),'Equipment List &amp; Usage'!$C$115*(('Weekly Summary'!O$128*'Equipment List &amp; Usage'!$AA28)+('Weekly Summary'!O$100*'Equipment List &amp; Usage'!$AB28*SelfQuarantine_Mild)+('Weekly Summary'!O$101*'Equipment List &amp; Usage'!$AB28*SelfQuarantine_Moderate)))+IF('Equipment List &amp; Usage'!$F28="Yes",('Equipment List &amp; Usage'!$C$114*(IF('Equipment List &amp; Usage'!$AE28&gt;0,'Weekly Summary'!O$134,0)+IF('Equipment List &amp; Usage'!$AF28&gt;0,'Weekly Summary'!O$135))),'Equipment List &amp; Usage'!$C$115*(('Weekly Summary'!O$134*'Equipment List &amp; Usage'!$AE28)+('Weekly Summary'!O$135*'Equipment List &amp; Usage'!$AF28)))),0)</f>
        <v>0</v>
      </c>
      <c r="V26" s="1374">
        <f ca="1">MAX(IF($F26="Yes",(
IF($F26="yes",MMULT(--('Equipment List &amp; Usage'!$J28:$N28&gt;0),--('Weekly Summary'!P$112:P$116))*'Equipment List &amp; Usage'!$C$114,MMULT(--('Equipment List &amp; Usage'!$J28:$N28),--('Weekly Summary'!P$112:P$116))*'Equipment List &amp; Usage'!$C$115)+IF('Equipment List &amp; Usage'!$F27="yes",'Equipment List &amp; Usage'!$C$114,'Equipment List &amp; Usage'!$C$115)*(('Weekly Summary'!P$66*'Equipment List &amp; Usage'!$Q28)+('Weekly Summary'!P$64*'Equipment List &amp; Usage'!$O28)+('Weekly Summary'!P$65*'Equipment List &amp; Usage'!$P28)))+(IF('Equipment List &amp; Usage'!$F28="Yes",'Equipment List &amp; Usage'!$C$114*((('Weekly Summary'!P$131*SelfQuarantine_Mild)+('Weekly Summary'!P$100*SelfQuarantine_Mild)+('Weekly Summary'!P$101*SelfQuarantine_Moderate))),'Equipment List &amp; Usage'!$C$115)*((('Weekly Summary'!P$131*SelfQuarantine_Mild*'Equipment List &amp; Usage'!$W28)+('Weekly Summary'!P$100*SelfQuarantine_Mild*'Equipment List &amp; Usage'!$X28)+('Weekly Summary'!P$101*SelfQuarantine_Moderate*'Equipment List &amp; Usage'!$X28)))+IF('Equipment List &amp; Usage'!$F28="Yes",'Equipment List &amp; Usage'!$C$114*(IF('Equipment List &amp; Usage'!$AA28&gt;0,'Weekly Summary'!P$128,0)+IF('Equipment List &amp; Usage'!$AB28&gt;0,'Weekly Summary'!P$100+'Weekly Summary'!P$101,0)),'Equipment List &amp; Usage'!$C$115*(('Weekly Summary'!P$128*'Equipment List &amp; Usage'!$AA28)+('Weekly Summary'!P$100*'Equipment List &amp; Usage'!$AB28*SelfQuarantine_Mild)+('Weekly Summary'!P$101*'Equipment List &amp; Usage'!$AB28*SelfQuarantine_Moderate)))+IF('Equipment List &amp; Usage'!$F28="Yes",('Equipment List &amp; Usage'!$C$114*(IF('Equipment List &amp; Usage'!$AE28&gt;0,'Weekly Summary'!P$134,0)+IF('Equipment List &amp; Usage'!$AF28&gt;0,'Weekly Summary'!P$135))),'Equipment List &amp; Usage'!$C$115*(('Weekly Summary'!P$134*'Equipment List &amp; Usage'!$AE28)+('Weekly Summary'!P$135*'Equipment List &amp; Usage'!$AF28))))-SUM($I26:U26),
IF($F26="yes",MMULT(--('Equipment List &amp; Usage'!$J28:$N28&gt;0),--('Weekly Summary'!P$112:P$116))*'Equipment List &amp; Usage'!$C$114,MMULT(--('Equipment List &amp; Usage'!$J28:$N28),--('Weekly Summary'!P$112:P$116))*'Equipment List &amp; Usage'!$C$115)+IF('Equipment List &amp; Usage'!$F27="yes",'Equipment List &amp; Usage'!$C$114,'Equipment List &amp; Usage'!$C$115)*(('Weekly Summary'!P$66*'Equipment List &amp; Usage'!$Q28)+('Weekly Summary'!P$64*'Equipment List &amp; Usage'!$O28)+('Weekly Summary'!P$65*'Equipment List &amp; Usage'!$P28))+(IF('Equipment List &amp; Usage'!$F28="Yes",'Equipment List &amp; Usage'!$C$114*((('Weekly Summary'!P$131*SelfQuarantine_Mild)+('Weekly Summary'!P$100*SelfQuarantine_Mild)+('Weekly Summary'!P$101*SelfQuarantine_Moderate))),'Equipment List &amp; Usage'!$C$115)*((('Weekly Summary'!P$131*SelfQuarantine_Mild*'Equipment List &amp; Usage'!$W28)+('Weekly Summary'!P$100*SelfQuarantine_Mild*'Equipment List &amp; Usage'!$X28)+('Weekly Summary'!P$101*SelfQuarantine_Moderate*'Equipment List &amp; Usage'!$X28))))+IF('Equipment List &amp; Usage'!$F28="Yes",'Equipment List &amp; Usage'!$C$114*(IF('Equipment List &amp; Usage'!$AA28&gt;0,'Weekly Summary'!P$128,0)+IF('Equipment List &amp; Usage'!$AB28&gt;0,'Weekly Summary'!P$100+'Weekly Summary'!P$101,0)),'Equipment List &amp; Usage'!$C$115*(('Weekly Summary'!P$128*'Equipment List &amp; Usage'!$AA28)+('Weekly Summary'!P$100*'Equipment List &amp; Usage'!$AB28*SelfQuarantine_Mild)+('Weekly Summary'!P$101*'Equipment List &amp; Usage'!$AB28*SelfQuarantine_Moderate)))+IF('Equipment List &amp; Usage'!$F28="Yes",('Equipment List &amp; Usage'!$C$114*(IF('Equipment List &amp; Usage'!$AE28&gt;0,'Weekly Summary'!P$134,0)+IF('Equipment List &amp; Usage'!$AF28&gt;0,'Weekly Summary'!P$135))),'Equipment List &amp; Usage'!$C$115*(('Weekly Summary'!P$134*'Equipment List &amp; Usage'!$AE28)+('Weekly Summary'!P$135*'Equipment List &amp; Usage'!$AF28)))),0)</f>
        <v>0</v>
      </c>
      <c r="W26" s="1374">
        <f ca="1">MAX(IF($F26="Yes",(
IF($F26="yes",MMULT(--('Equipment List &amp; Usage'!$J28:$N28&gt;0),--('Weekly Summary'!Q$112:Q$116))*'Equipment List &amp; Usage'!$C$114,MMULT(--('Equipment List &amp; Usage'!$J28:$N28),--('Weekly Summary'!Q$112:Q$116))*'Equipment List &amp; Usage'!$C$115)+IF('Equipment List &amp; Usage'!$F27="yes",'Equipment List &amp; Usage'!$C$114,'Equipment List &amp; Usage'!$C$115)*(('Weekly Summary'!Q$66*'Equipment List &amp; Usage'!$Q28)+('Weekly Summary'!Q$64*'Equipment List &amp; Usage'!$O28)+('Weekly Summary'!Q$65*'Equipment List &amp; Usage'!$P28)))+(IF('Equipment List &amp; Usage'!$F28="Yes",'Equipment List &amp; Usage'!$C$114*((('Weekly Summary'!Q$131*SelfQuarantine_Mild)+('Weekly Summary'!Q$100*SelfQuarantine_Mild)+('Weekly Summary'!Q$101*SelfQuarantine_Moderate))),'Equipment List &amp; Usage'!$C$115)*((('Weekly Summary'!Q$131*SelfQuarantine_Mild*'Equipment List &amp; Usage'!$W28)+('Weekly Summary'!Q$100*SelfQuarantine_Mild*'Equipment List &amp; Usage'!$X28)+('Weekly Summary'!Q$101*SelfQuarantine_Moderate*'Equipment List &amp; Usage'!$X28)))+IF('Equipment List &amp; Usage'!$F28="Yes",'Equipment List &amp; Usage'!$C$114*(IF('Equipment List &amp; Usage'!$AA28&gt;0,'Weekly Summary'!Q$128,0)+IF('Equipment List &amp; Usage'!$AB28&gt;0,'Weekly Summary'!Q$100+'Weekly Summary'!Q$101,0)),'Equipment List &amp; Usage'!$C$115*(('Weekly Summary'!Q$128*'Equipment List &amp; Usage'!$AA28)+('Weekly Summary'!Q$100*'Equipment List &amp; Usage'!$AB28*SelfQuarantine_Mild)+('Weekly Summary'!Q$101*'Equipment List &amp; Usage'!$AB28*SelfQuarantine_Moderate)))+IF('Equipment List &amp; Usage'!$F28="Yes",('Equipment List &amp; Usage'!$C$114*(IF('Equipment List &amp; Usage'!$AE28&gt;0,'Weekly Summary'!Q$134,0)+IF('Equipment List &amp; Usage'!$AF28&gt;0,'Weekly Summary'!Q$135))),'Equipment List &amp; Usage'!$C$115*(('Weekly Summary'!Q$134*'Equipment List &amp; Usage'!$AE28)+('Weekly Summary'!Q$135*'Equipment List &amp; Usage'!$AF28))))-SUM($I26:V26),
IF($F26="yes",MMULT(--('Equipment List &amp; Usage'!$J28:$N28&gt;0),--('Weekly Summary'!Q$112:Q$116))*'Equipment List &amp; Usage'!$C$114,MMULT(--('Equipment List &amp; Usage'!$J28:$N28),--('Weekly Summary'!Q$112:Q$116))*'Equipment List &amp; Usage'!$C$115)+IF('Equipment List &amp; Usage'!$F27="yes",'Equipment List &amp; Usage'!$C$114,'Equipment List &amp; Usage'!$C$115)*(('Weekly Summary'!Q$66*'Equipment List &amp; Usage'!$Q28)+('Weekly Summary'!Q$64*'Equipment List &amp; Usage'!$O28)+('Weekly Summary'!Q$65*'Equipment List &amp; Usage'!$P28))+(IF('Equipment List &amp; Usage'!$F28="Yes",'Equipment List &amp; Usage'!$C$114*((('Weekly Summary'!Q$131*SelfQuarantine_Mild)+('Weekly Summary'!Q$100*SelfQuarantine_Mild)+('Weekly Summary'!Q$101*SelfQuarantine_Moderate))),'Equipment List &amp; Usage'!$C$115)*((('Weekly Summary'!Q$131*SelfQuarantine_Mild*'Equipment List &amp; Usage'!$W28)+('Weekly Summary'!Q$100*SelfQuarantine_Mild*'Equipment List &amp; Usage'!$X28)+('Weekly Summary'!Q$101*SelfQuarantine_Moderate*'Equipment List &amp; Usage'!$X28))))+IF('Equipment List &amp; Usage'!$F28="Yes",'Equipment List &amp; Usage'!$C$114*(IF('Equipment List &amp; Usage'!$AA28&gt;0,'Weekly Summary'!Q$128,0)+IF('Equipment List &amp; Usage'!$AB28&gt;0,'Weekly Summary'!Q$100+'Weekly Summary'!Q$101,0)),'Equipment List &amp; Usage'!$C$115*(('Weekly Summary'!Q$128*'Equipment List &amp; Usage'!$AA28)+('Weekly Summary'!Q$100*'Equipment List &amp; Usage'!$AB28*SelfQuarantine_Mild)+('Weekly Summary'!Q$101*'Equipment List &amp; Usage'!$AB28*SelfQuarantine_Moderate)))+IF('Equipment List &amp; Usage'!$F28="Yes",('Equipment List &amp; Usage'!$C$114*(IF('Equipment List &amp; Usage'!$AE28&gt;0,'Weekly Summary'!Q$134,0)+IF('Equipment List &amp; Usage'!$AF28&gt;0,'Weekly Summary'!Q$135))),'Equipment List &amp; Usage'!$C$115*(('Weekly Summary'!Q$134*'Equipment List &amp; Usage'!$AE28)+('Weekly Summary'!Q$135*'Equipment List &amp; Usage'!$AF28)))),0)</f>
        <v>0</v>
      </c>
      <c r="X26" s="1374">
        <f ca="1">MAX(IF($F26="Yes",(
IF($F26="yes",MMULT(--('Equipment List &amp; Usage'!$J28:$N28&gt;0),--('Weekly Summary'!R$112:R$116))*'Equipment List &amp; Usage'!$C$114,MMULT(--('Equipment List &amp; Usage'!$J28:$N28),--('Weekly Summary'!R$112:R$116))*'Equipment List &amp; Usage'!$C$115)+IF('Equipment List &amp; Usage'!$F27="yes",'Equipment List &amp; Usage'!$C$114,'Equipment List &amp; Usage'!$C$115)*(('Weekly Summary'!R$66*'Equipment List &amp; Usage'!$Q28)+('Weekly Summary'!R$64*'Equipment List &amp; Usage'!$O28)+('Weekly Summary'!R$65*'Equipment List &amp; Usage'!$P28)))+(IF('Equipment List &amp; Usage'!$F28="Yes",'Equipment List &amp; Usage'!$C$114*((('Weekly Summary'!R$131*SelfQuarantine_Mild)+('Weekly Summary'!R$100*SelfQuarantine_Mild)+('Weekly Summary'!R$101*SelfQuarantine_Moderate))),'Equipment List &amp; Usage'!$C$115)*((('Weekly Summary'!R$131*SelfQuarantine_Mild*'Equipment List &amp; Usage'!$W28)+('Weekly Summary'!R$100*SelfQuarantine_Mild*'Equipment List &amp; Usage'!$X28)+('Weekly Summary'!R$101*SelfQuarantine_Moderate*'Equipment List &amp; Usage'!$X28)))+IF('Equipment List &amp; Usage'!$F28="Yes",'Equipment List &amp; Usage'!$C$114*(IF('Equipment List &amp; Usage'!$AA28&gt;0,'Weekly Summary'!R$128,0)+IF('Equipment List &amp; Usage'!$AB28&gt;0,'Weekly Summary'!R$100+'Weekly Summary'!R$101,0)),'Equipment List &amp; Usage'!$C$115*(('Weekly Summary'!R$128*'Equipment List &amp; Usage'!$AA28)+('Weekly Summary'!R$100*'Equipment List &amp; Usage'!$AB28*SelfQuarantine_Mild)+('Weekly Summary'!R$101*'Equipment List &amp; Usage'!$AB28*SelfQuarantine_Moderate)))+IF('Equipment List &amp; Usage'!$F28="Yes",('Equipment List &amp; Usage'!$C$114*(IF('Equipment List &amp; Usage'!$AE28&gt;0,'Weekly Summary'!R$134,0)+IF('Equipment List &amp; Usage'!$AF28&gt;0,'Weekly Summary'!R$135))),'Equipment List &amp; Usage'!$C$115*(('Weekly Summary'!R$134*'Equipment List &amp; Usage'!$AE28)+('Weekly Summary'!R$135*'Equipment List &amp; Usage'!$AF28))))-SUM($I26:W26),
IF($F26="yes",MMULT(--('Equipment List &amp; Usage'!$J28:$N28&gt;0),--('Weekly Summary'!R$112:R$116))*'Equipment List &amp; Usage'!$C$114,MMULT(--('Equipment List &amp; Usage'!$J28:$N28),--('Weekly Summary'!R$112:R$116))*'Equipment List &amp; Usage'!$C$115)+IF('Equipment List &amp; Usage'!$F27="yes",'Equipment List &amp; Usage'!$C$114,'Equipment List &amp; Usage'!$C$115)*(('Weekly Summary'!R$66*'Equipment List &amp; Usage'!$Q28)+('Weekly Summary'!R$64*'Equipment List &amp; Usage'!$O28)+('Weekly Summary'!R$65*'Equipment List &amp; Usage'!$P28))+(IF('Equipment List &amp; Usage'!$F28="Yes",'Equipment List &amp; Usage'!$C$114*((('Weekly Summary'!R$131*SelfQuarantine_Mild)+('Weekly Summary'!R$100*SelfQuarantine_Mild)+('Weekly Summary'!R$101*SelfQuarantine_Moderate))),'Equipment List &amp; Usage'!$C$115)*((('Weekly Summary'!R$131*SelfQuarantine_Mild*'Equipment List &amp; Usage'!$W28)+('Weekly Summary'!R$100*SelfQuarantine_Mild*'Equipment List &amp; Usage'!$X28)+('Weekly Summary'!R$101*SelfQuarantine_Moderate*'Equipment List &amp; Usage'!$X28))))+IF('Equipment List &amp; Usage'!$F28="Yes",'Equipment List &amp; Usage'!$C$114*(IF('Equipment List &amp; Usage'!$AA28&gt;0,'Weekly Summary'!R$128,0)+IF('Equipment List &amp; Usage'!$AB28&gt;0,'Weekly Summary'!R$100+'Weekly Summary'!R$101,0)),'Equipment List &amp; Usage'!$C$115*(('Weekly Summary'!R$128*'Equipment List &amp; Usage'!$AA28)+('Weekly Summary'!R$100*'Equipment List &amp; Usage'!$AB28*SelfQuarantine_Mild)+('Weekly Summary'!R$101*'Equipment List &amp; Usage'!$AB28*SelfQuarantine_Moderate)))+IF('Equipment List &amp; Usage'!$F28="Yes",('Equipment List &amp; Usage'!$C$114*(IF('Equipment List &amp; Usage'!$AE28&gt;0,'Weekly Summary'!R$134,0)+IF('Equipment List &amp; Usage'!$AF28&gt;0,'Weekly Summary'!R$135))),'Equipment List &amp; Usage'!$C$115*(('Weekly Summary'!R$134*'Equipment List &amp; Usage'!$AE28)+('Weekly Summary'!R$135*'Equipment List &amp; Usage'!$AF28)))),0)</f>
        <v>0</v>
      </c>
      <c r="Y26" s="1374">
        <f ca="1">MAX(IF($F26="Yes",(
IF($F26="yes",MMULT(--('Equipment List &amp; Usage'!$J28:$N28&gt;0),--('Weekly Summary'!S$112:S$116))*'Equipment List &amp; Usage'!$C$114,MMULT(--('Equipment List &amp; Usage'!$J28:$N28),--('Weekly Summary'!S$112:S$116))*'Equipment List &amp; Usage'!$C$115)+IF('Equipment List &amp; Usage'!$F27="yes",'Equipment List &amp; Usage'!$C$114,'Equipment List &amp; Usage'!$C$115)*(('Weekly Summary'!S$66*'Equipment List &amp; Usage'!$Q28)+('Weekly Summary'!S$64*'Equipment List &amp; Usage'!$O28)+('Weekly Summary'!S$65*'Equipment List &amp; Usage'!$P28)))+(IF('Equipment List &amp; Usage'!$F28="Yes",'Equipment List &amp; Usage'!$C$114*((('Weekly Summary'!S$131*SelfQuarantine_Mild)+('Weekly Summary'!S$100*SelfQuarantine_Mild)+('Weekly Summary'!S$101*SelfQuarantine_Moderate))),'Equipment List &amp; Usage'!$C$115)*((('Weekly Summary'!S$131*SelfQuarantine_Mild*'Equipment List &amp; Usage'!$W28)+('Weekly Summary'!S$100*SelfQuarantine_Mild*'Equipment List &amp; Usage'!$X28)+('Weekly Summary'!S$101*SelfQuarantine_Moderate*'Equipment List &amp; Usage'!$X28)))+IF('Equipment List &amp; Usage'!$F28="Yes",'Equipment List &amp; Usage'!$C$114*(IF('Equipment List &amp; Usage'!$AA28&gt;0,'Weekly Summary'!S$128,0)+IF('Equipment List &amp; Usage'!$AB28&gt;0,'Weekly Summary'!S$100+'Weekly Summary'!S$101,0)),'Equipment List &amp; Usage'!$C$115*(('Weekly Summary'!S$128*'Equipment List &amp; Usage'!$AA28)+('Weekly Summary'!S$100*'Equipment List &amp; Usage'!$AB28*SelfQuarantine_Mild)+('Weekly Summary'!S$101*'Equipment List &amp; Usage'!$AB28*SelfQuarantine_Moderate)))+IF('Equipment List &amp; Usage'!$F28="Yes",('Equipment List &amp; Usage'!$C$114*(IF('Equipment List &amp; Usage'!$AE28&gt;0,'Weekly Summary'!S$134,0)+IF('Equipment List &amp; Usage'!$AF28&gt;0,'Weekly Summary'!S$135))),'Equipment List &amp; Usage'!$C$115*(('Weekly Summary'!S$134*'Equipment List &amp; Usage'!$AE28)+('Weekly Summary'!S$135*'Equipment List &amp; Usage'!$AF28))))-SUM($I26:X26),
IF($F26="yes",MMULT(--('Equipment List &amp; Usage'!$J28:$N28&gt;0),--('Weekly Summary'!S$112:S$116))*'Equipment List &amp; Usage'!$C$114,MMULT(--('Equipment List &amp; Usage'!$J28:$N28),--('Weekly Summary'!S$112:S$116))*'Equipment List &amp; Usage'!$C$115)+IF('Equipment List &amp; Usage'!$F27="yes",'Equipment List &amp; Usage'!$C$114,'Equipment List &amp; Usage'!$C$115)*(('Weekly Summary'!S$66*'Equipment List &amp; Usage'!$Q28)+('Weekly Summary'!S$64*'Equipment List &amp; Usage'!$O28)+('Weekly Summary'!S$65*'Equipment List &amp; Usage'!$P28))+(IF('Equipment List &amp; Usage'!$F28="Yes",'Equipment List &amp; Usage'!$C$114*((('Weekly Summary'!S$131*SelfQuarantine_Mild)+('Weekly Summary'!S$100*SelfQuarantine_Mild)+('Weekly Summary'!S$101*SelfQuarantine_Moderate))),'Equipment List &amp; Usage'!$C$115)*((('Weekly Summary'!S$131*SelfQuarantine_Mild*'Equipment List &amp; Usage'!$W28)+('Weekly Summary'!S$100*SelfQuarantine_Mild*'Equipment List &amp; Usage'!$X28)+('Weekly Summary'!S$101*SelfQuarantine_Moderate*'Equipment List &amp; Usage'!$X28))))+IF('Equipment List &amp; Usage'!$F28="Yes",'Equipment List &amp; Usage'!$C$114*(IF('Equipment List &amp; Usage'!$AA28&gt;0,'Weekly Summary'!S$128,0)+IF('Equipment List &amp; Usage'!$AB28&gt;0,'Weekly Summary'!S$100+'Weekly Summary'!S$101,0)),'Equipment List &amp; Usage'!$C$115*(('Weekly Summary'!S$128*'Equipment List &amp; Usage'!$AA28)+('Weekly Summary'!S$100*'Equipment List &amp; Usage'!$AB28*SelfQuarantine_Mild)+('Weekly Summary'!S$101*'Equipment List &amp; Usage'!$AB28*SelfQuarantine_Moderate)))+IF('Equipment List &amp; Usage'!$F28="Yes",('Equipment List &amp; Usage'!$C$114*(IF('Equipment List &amp; Usage'!$AE28&gt;0,'Weekly Summary'!S$134,0)+IF('Equipment List &amp; Usage'!$AF28&gt;0,'Weekly Summary'!S$135))),'Equipment List &amp; Usage'!$C$115*(('Weekly Summary'!S$134*'Equipment List &amp; Usage'!$AE28)+('Weekly Summary'!S$135*'Equipment List &amp; Usage'!$AF28)))),0)</f>
        <v>0</v>
      </c>
      <c r="Z26" s="1374">
        <f ca="1">MAX(IF($F26="Yes",(
IF($F26="yes",MMULT(--('Equipment List &amp; Usage'!$J28:$N28&gt;0),--('Weekly Summary'!T$112:T$116))*'Equipment List &amp; Usage'!$C$114,MMULT(--('Equipment List &amp; Usage'!$J28:$N28),--('Weekly Summary'!T$112:T$116))*'Equipment List &amp; Usage'!$C$115)+IF('Equipment List &amp; Usage'!$F27="yes",'Equipment List &amp; Usage'!$C$114,'Equipment List &amp; Usage'!$C$115)*(('Weekly Summary'!T$66*'Equipment List &amp; Usage'!$Q28)+('Weekly Summary'!T$64*'Equipment List &amp; Usage'!$O28)+('Weekly Summary'!T$65*'Equipment List &amp; Usage'!$P28)))+(IF('Equipment List &amp; Usage'!$F28="Yes",'Equipment List &amp; Usage'!$C$114*((('Weekly Summary'!T$131*SelfQuarantine_Mild)+('Weekly Summary'!T$100*SelfQuarantine_Mild)+('Weekly Summary'!T$101*SelfQuarantine_Moderate))),'Equipment List &amp; Usage'!$C$115)*((('Weekly Summary'!T$131*SelfQuarantine_Mild*'Equipment List &amp; Usage'!$W28)+('Weekly Summary'!T$100*SelfQuarantine_Mild*'Equipment List &amp; Usage'!$X28)+('Weekly Summary'!T$101*SelfQuarantine_Moderate*'Equipment List &amp; Usage'!$X28)))+IF('Equipment List &amp; Usage'!$F28="Yes",'Equipment List &amp; Usage'!$C$114*(IF('Equipment List &amp; Usage'!$AA28&gt;0,'Weekly Summary'!T$128,0)+IF('Equipment List &amp; Usage'!$AB28&gt;0,'Weekly Summary'!T$100+'Weekly Summary'!T$101,0)),'Equipment List &amp; Usage'!$C$115*(('Weekly Summary'!T$128*'Equipment List &amp; Usage'!$AA28)+('Weekly Summary'!T$100*'Equipment List &amp; Usage'!$AB28*SelfQuarantine_Mild)+('Weekly Summary'!T$101*'Equipment List &amp; Usage'!$AB28*SelfQuarantine_Moderate)))+IF('Equipment List &amp; Usage'!$F28="Yes",('Equipment List &amp; Usage'!$C$114*(IF('Equipment List &amp; Usage'!$AE28&gt;0,'Weekly Summary'!T$134,0)+IF('Equipment List &amp; Usage'!$AF28&gt;0,'Weekly Summary'!T$135))),'Equipment List &amp; Usage'!$C$115*(('Weekly Summary'!T$134*'Equipment List &amp; Usage'!$AE28)+('Weekly Summary'!T$135*'Equipment List &amp; Usage'!$AF28))))-SUM($I26:Y26),
IF($F26="yes",MMULT(--('Equipment List &amp; Usage'!$J28:$N28&gt;0),--('Weekly Summary'!T$112:T$116))*'Equipment List &amp; Usage'!$C$114,MMULT(--('Equipment List &amp; Usage'!$J28:$N28),--('Weekly Summary'!T$112:T$116))*'Equipment List &amp; Usage'!$C$115)+IF('Equipment List &amp; Usage'!$F27="yes",'Equipment List &amp; Usage'!$C$114,'Equipment List &amp; Usage'!$C$115)*(('Weekly Summary'!T$66*'Equipment List &amp; Usage'!$Q28)+('Weekly Summary'!T$64*'Equipment List &amp; Usage'!$O28)+('Weekly Summary'!T$65*'Equipment List &amp; Usage'!$P28))+(IF('Equipment List &amp; Usage'!$F28="Yes",'Equipment List &amp; Usage'!$C$114*((('Weekly Summary'!T$131*SelfQuarantine_Mild)+('Weekly Summary'!T$100*SelfQuarantine_Mild)+('Weekly Summary'!T$101*SelfQuarantine_Moderate))),'Equipment List &amp; Usage'!$C$115)*((('Weekly Summary'!T$131*SelfQuarantine_Mild*'Equipment List &amp; Usage'!$W28)+('Weekly Summary'!T$100*SelfQuarantine_Mild*'Equipment List &amp; Usage'!$X28)+('Weekly Summary'!T$101*SelfQuarantine_Moderate*'Equipment List &amp; Usage'!$X28))))+IF('Equipment List &amp; Usage'!$F28="Yes",'Equipment List &amp; Usage'!$C$114*(IF('Equipment List &amp; Usage'!$AA28&gt;0,'Weekly Summary'!T$128,0)+IF('Equipment List &amp; Usage'!$AB28&gt;0,'Weekly Summary'!T$100+'Weekly Summary'!T$101,0)),'Equipment List &amp; Usage'!$C$115*(('Weekly Summary'!T$128*'Equipment List &amp; Usage'!$AA28)+('Weekly Summary'!T$100*'Equipment List &amp; Usage'!$AB28*SelfQuarantine_Mild)+('Weekly Summary'!T$101*'Equipment List &amp; Usage'!$AB28*SelfQuarantine_Moderate)))+IF('Equipment List &amp; Usage'!$F28="Yes",('Equipment List &amp; Usage'!$C$114*(IF('Equipment List &amp; Usage'!$AE28&gt;0,'Weekly Summary'!T$134,0)+IF('Equipment List &amp; Usage'!$AF28&gt;0,'Weekly Summary'!T$135))),'Equipment List &amp; Usage'!$C$115*(('Weekly Summary'!T$134*'Equipment List &amp; Usage'!$AE28)+('Weekly Summary'!T$135*'Equipment List &amp; Usage'!$AF28)))),0)</f>
        <v>0</v>
      </c>
      <c r="AA26" s="1374">
        <f ca="1">MAX(IF($F26="Yes",(
IF($F26="yes",MMULT(--('Equipment List &amp; Usage'!$J28:$N28&gt;0),--('Weekly Summary'!U$112:U$116))*'Equipment List &amp; Usage'!$C$114,MMULT(--('Equipment List &amp; Usage'!$J28:$N28),--('Weekly Summary'!U$112:U$116))*'Equipment List &amp; Usage'!$C$115)+IF('Equipment List &amp; Usage'!$F27="yes",'Equipment List &amp; Usage'!$C$114,'Equipment List &amp; Usage'!$C$115)*(('Weekly Summary'!U$66*'Equipment List &amp; Usage'!$Q28)+('Weekly Summary'!U$64*'Equipment List &amp; Usage'!$O28)+('Weekly Summary'!U$65*'Equipment List &amp; Usage'!$P28)))+(IF('Equipment List &amp; Usage'!$F28="Yes",'Equipment List &amp; Usage'!$C$114*((('Weekly Summary'!U$131*SelfQuarantine_Mild)+('Weekly Summary'!U$100*SelfQuarantine_Mild)+('Weekly Summary'!U$101*SelfQuarantine_Moderate))),'Equipment List &amp; Usage'!$C$115)*((('Weekly Summary'!U$131*SelfQuarantine_Mild*'Equipment List &amp; Usage'!$W28)+('Weekly Summary'!U$100*SelfQuarantine_Mild*'Equipment List &amp; Usage'!$X28)+('Weekly Summary'!U$101*SelfQuarantine_Moderate*'Equipment List &amp; Usage'!$X28)))+IF('Equipment List &amp; Usage'!$F28="Yes",'Equipment List &amp; Usage'!$C$114*(IF('Equipment List &amp; Usage'!$AA28&gt;0,'Weekly Summary'!U$128,0)+IF('Equipment List &amp; Usage'!$AB28&gt;0,'Weekly Summary'!U$100+'Weekly Summary'!U$101,0)),'Equipment List &amp; Usage'!$C$115*(('Weekly Summary'!U$128*'Equipment List &amp; Usage'!$AA28)+('Weekly Summary'!U$100*'Equipment List &amp; Usage'!$AB28*SelfQuarantine_Mild)+('Weekly Summary'!U$101*'Equipment List &amp; Usage'!$AB28*SelfQuarantine_Moderate)))+IF('Equipment List &amp; Usage'!$F28="Yes",('Equipment List &amp; Usage'!$C$114*(IF('Equipment List &amp; Usage'!$AE28&gt;0,'Weekly Summary'!U$134,0)+IF('Equipment List &amp; Usage'!$AF28&gt;0,'Weekly Summary'!U$135))),'Equipment List &amp; Usage'!$C$115*(('Weekly Summary'!U$134*'Equipment List &amp; Usage'!$AE28)+('Weekly Summary'!U$135*'Equipment List &amp; Usage'!$AF28))))-SUM($I26:Z26),
IF($F26="yes",MMULT(--('Equipment List &amp; Usage'!$J28:$N28&gt;0),--('Weekly Summary'!U$112:U$116))*'Equipment List &amp; Usage'!$C$114,MMULT(--('Equipment List &amp; Usage'!$J28:$N28),--('Weekly Summary'!U$112:U$116))*'Equipment List &amp; Usage'!$C$115)+IF('Equipment List &amp; Usage'!$F27="yes",'Equipment List &amp; Usage'!$C$114,'Equipment List &amp; Usage'!$C$115)*(('Weekly Summary'!U$66*'Equipment List &amp; Usage'!$Q28)+('Weekly Summary'!U$64*'Equipment List &amp; Usage'!$O28)+('Weekly Summary'!U$65*'Equipment List &amp; Usage'!$P28))+(IF('Equipment List &amp; Usage'!$F28="Yes",'Equipment List &amp; Usage'!$C$114*((('Weekly Summary'!U$131*SelfQuarantine_Mild)+('Weekly Summary'!U$100*SelfQuarantine_Mild)+('Weekly Summary'!U$101*SelfQuarantine_Moderate))),'Equipment List &amp; Usage'!$C$115)*((('Weekly Summary'!U$131*SelfQuarantine_Mild*'Equipment List &amp; Usage'!$W28)+('Weekly Summary'!U$100*SelfQuarantine_Mild*'Equipment List &amp; Usage'!$X28)+('Weekly Summary'!U$101*SelfQuarantine_Moderate*'Equipment List &amp; Usage'!$X28))))+IF('Equipment List &amp; Usage'!$F28="Yes",'Equipment List &amp; Usage'!$C$114*(IF('Equipment List &amp; Usage'!$AA28&gt;0,'Weekly Summary'!U$128,0)+IF('Equipment List &amp; Usage'!$AB28&gt;0,'Weekly Summary'!U$100+'Weekly Summary'!U$101,0)),'Equipment List &amp; Usage'!$C$115*(('Weekly Summary'!U$128*'Equipment List &amp; Usage'!$AA28)+('Weekly Summary'!U$100*'Equipment List &amp; Usage'!$AB28*SelfQuarantine_Mild)+('Weekly Summary'!U$101*'Equipment List &amp; Usage'!$AB28*SelfQuarantine_Moderate)))+IF('Equipment List &amp; Usage'!$F28="Yes",('Equipment List &amp; Usage'!$C$114*(IF('Equipment List &amp; Usage'!$AE28&gt;0,'Weekly Summary'!U$134,0)+IF('Equipment List &amp; Usage'!$AF28&gt;0,'Weekly Summary'!U$135))),'Equipment List &amp; Usage'!$C$115*(('Weekly Summary'!U$134*'Equipment List &amp; Usage'!$AE28)+('Weekly Summary'!U$135*'Equipment List &amp; Usage'!$AF28)))),0)</f>
        <v>0</v>
      </c>
      <c r="AB26" s="1374">
        <f ca="1">MAX(IF($F26="Yes",(
IF($F26="yes",MMULT(--('Equipment List &amp; Usage'!$J28:$N28&gt;0),--('Weekly Summary'!V$112:V$116))*'Equipment List &amp; Usage'!$C$114,MMULT(--('Equipment List &amp; Usage'!$J28:$N28),--('Weekly Summary'!V$112:V$116))*'Equipment List &amp; Usage'!$C$115)+IF('Equipment List &amp; Usage'!$F27="yes",'Equipment List &amp; Usage'!$C$114,'Equipment List &amp; Usage'!$C$115)*(('Weekly Summary'!V$66*'Equipment List &amp; Usage'!$Q28)+('Weekly Summary'!V$64*'Equipment List &amp; Usage'!$O28)+('Weekly Summary'!V$65*'Equipment List &amp; Usage'!$P28)))+(IF('Equipment List &amp; Usage'!$F28="Yes",'Equipment List &amp; Usage'!$C$114*((('Weekly Summary'!V$131*SelfQuarantine_Mild)+('Weekly Summary'!V$100*SelfQuarantine_Mild)+('Weekly Summary'!V$101*SelfQuarantine_Moderate))),'Equipment List &amp; Usage'!$C$115)*((('Weekly Summary'!V$131*SelfQuarantine_Mild*'Equipment List &amp; Usage'!$W28)+('Weekly Summary'!V$100*SelfQuarantine_Mild*'Equipment List &amp; Usage'!$X28)+('Weekly Summary'!V$101*SelfQuarantine_Moderate*'Equipment List &amp; Usage'!$X28)))+IF('Equipment List &amp; Usage'!$F28="Yes",'Equipment List &amp; Usage'!$C$114*(IF('Equipment List &amp; Usage'!$AA28&gt;0,'Weekly Summary'!V$128,0)+IF('Equipment List &amp; Usage'!$AB28&gt;0,'Weekly Summary'!V$100+'Weekly Summary'!V$101,0)),'Equipment List &amp; Usage'!$C$115*(('Weekly Summary'!V$128*'Equipment List &amp; Usage'!$AA28)+('Weekly Summary'!V$100*'Equipment List &amp; Usage'!$AB28*SelfQuarantine_Mild)+('Weekly Summary'!V$101*'Equipment List &amp; Usage'!$AB28*SelfQuarantine_Moderate)))+IF('Equipment List &amp; Usage'!$F28="Yes",('Equipment List &amp; Usage'!$C$114*(IF('Equipment List &amp; Usage'!$AE28&gt;0,'Weekly Summary'!V$134,0)+IF('Equipment List &amp; Usage'!$AF28&gt;0,'Weekly Summary'!V$135))),'Equipment List &amp; Usage'!$C$115*(('Weekly Summary'!V$134*'Equipment List &amp; Usage'!$AE28)+('Weekly Summary'!V$135*'Equipment List &amp; Usage'!$AF28))))-SUM($I26:AA26),
IF($F26="yes",MMULT(--('Equipment List &amp; Usage'!$J28:$N28&gt;0),--('Weekly Summary'!V$112:V$116))*'Equipment List &amp; Usage'!$C$114,MMULT(--('Equipment List &amp; Usage'!$J28:$N28),--('Weekly Summary'!V$112:V$116))*'Equipment List &amp; Usage'!$C$115)+IF('Equipment List &amp; Usage'!$F27="yes",'Equipment List &amp; Usage'!$C$114,'Equipment List &amp; Usage'!$C$115)*(('Weekly Summary'!V$66*'Equipment List &amp; Usage'!$Q28)+('Weekly Summary'!V$64*'Equipment List &amp; Usage'!$O28)+('Weekly Summary'!V$65*'Equipment List &amp; Usage'!$P28))+(IF('Equipment List &amp; Usage'!$F28="Yes",'Equipment List &amp; Usage'!$C$114*((('Weekly Summary'!V$131*SelfQuarantine_Mild)+('Weekly Summary'!V$100*SelfQuarantine_Mild)+('Weekly Summary'!V$101*SelfQuarantine_Moderate))),'Equipment List &amp; Usage'!$C$115)*((('Weekly Summary'!V$131*SelfQuarantine_Mild*'Equipment List &amp; Usage'!$W28)+('Weekly Summary'!V$100*SelfQuarantine_Mild*'Equipment List &amp; Usage'!$X28)+('Weekly Summary'!V$101*SelfQuarantine_Moderate*'Equipment List &amp; Usage'!$X28))))+IF('Equipment List &amp; Usage'!$F28="Yes",'Equipment List &amp; Usage'!$C$114*(IF('Equipment List &amp; Usage'!$AA28&gt;0,'Weekly Summary'!V$128,0)+IF('Equipment List &amp; Usage'!$AB28&gt;0,'Weekly Summary'!V$100+'Weekly Summary'!V$101,0)),'Equipment List &amp; Usage'!$C$115*(('Weekly Summary'!V$128*'Equipment List &amp; Usage'!$AA28)+('Weekly Summary'!V$100*'Equipment List &amp; Usage'!$AB28*SelfQuarantine_Mild)+('Weekly Summary'!V$101*'Equipment List &amp; Usage'!$AB28*SelfQuarantine_Moderate)))+IF('Equipment List &amp; Usage'!$F28="Yes",('Equipment List &amp; Usage'!$C$114*(IF('Equipment List &amp; Usage'!$AE28&gt;0,'Weekly Summary'!V$134,0)+IF('Equipment List &amp; Usage'!$AF28&gt;0,'Weekly Summary'!V$135))),'Equipment List &amp; Usage'!$C$115*(('Weekly Summary'!V$134*'Equipment List &amp; Usage'!$AE28)+('Weekly Summary'!V$135*'Equipment List &amp; Usage'!$AF28)))),0)</f>
        <v>0</v>
      </c>
      <c r="AC26" s="1374">
        <f ca="1">MAX(IF($F26="Yes",(
IF($F26="yes",MMULT(--('Equipment List &amp; Usage'!$J28:$N28&gt;0),--('Weekly Summary'!W$112:W$116))*'Equipment List &amp; Usage'!$C$114,MMULT(--('Equipment List &amp; Usage'!$J28:$N28),--('Weekly Summary'!W$112:W$116))*'Equipment List &amp; Usage'!$C$115)+IF('Equipment List &amp; Usage'!$F27="yes",'Equipment List &amp; Usage'!$C$114,'Equipment List &amp; Usage'!$C$115)*(('Weekly Summary'!W$66*'Equipment List &amp; Usage'!$Q28)+('Weekly Summary'!W$64*'Equipment List &amp; Usage'!$O28)+('Weekly Summary'!W$65*'Equipment List &amp; Usage'!$P28)))+(IF('Equipment List &amp; Usage'!$F28="Yes",'Equipment List &amp; Usage'!$C$114*((('Weekly Summary'!W$131*SelfQuarantine_Mild)+('Weekly Summary'!W$100*SelfQuarantine_Mild)+('Weekly Summary'!W$101*SelfQuarantine_Moderate))),'Equipment List &amp; Usage'!$C$115)*((('Weekly Summary'!W$131*SelfQuarantine_Mild*'Equipment List &amp; Usage'!$W28)+('Weekly Summary'!W$100*SelfQuarantine_Mild*'Equipment List &amp; Usage'!$X28)+('Weekly Summary'!W$101*SelfQuarantine_Moderate*'Equipment List &amp; Usage'!$X28)))+IF('Equipment List &amp; Usage'!$F28="Yes",'Equipment List &amp; Usage'!$C$114*(IF('Equipment List &amp; Usage'!$AA28&gt;0,'Weekly Summary'!W$128,0)+IF('Equipment List &amp; Usage'!$AB28&gt;0,'Weekly Summary'!W$100+'Weekly Summary'!W$101,0)),'Equipment List &amp; Usage'!$C$115*(('Weekly Summary'!W$128*'Equipment List &amp; Usage'!$AA28)+('Weekly Summary'!W$100*'Equipment List &amp; Usage'!$AB28*SelfQuarantine_Mild)+('Weekly Summary'!W$101*'Equipment List &amp; Usage'!$AB28*SelfQuarantine_Moderate)))+IF('Equipment List &amp; Usage'!$F28="Yes",('Equipment List &amp; Usage'!$C$114*(IF('Equipment List &amp; Usage'!$AE28&gt;0,'Weekly Summary'!W$134,0)+IF('Equipment List &amp; Usage'!$AF28&gt;0,'Weekly Summary'!W$135))),'Equipment List &amp; Usage'!$C$115*(('Weekly Summary'!W$134*'Equipment List &amp; Usage'!$AE28)+('Weekly Summary'!W$135*'Equipment List &amp; Usage'!$AF28))))-SUM($I26:AB26),
IF($F26="yes",MMULT(--('Equipment List &amp; Usage'!$J28:$N28&gt;0),--('Weekly Summary'!W$112:W$116))*'Equipment List &amp; Usage'!$C$114,MMULT(--('Equipment List &amp; Usage'!$J28:$N28),--('Weekly Summary'!W$112:W$116))*'Equipment List &amp; Usage'!$C$115)+IF('Equipment List &amp; Usage'!$F27="yes",'Equipment List &amp; Usage'!$C$114,'Equipment List &amp; Usage'!$C$115)*(('Weekly Summary'!W$66*'Equipment List &amp; Usage'!$Q28)+('Weekly Summary'!W$64*'Equipment List &amp; Usage'!$O28)+('Weekly Summary'!W$65*'Equipment List &amp; Usage'!$P28))+(IF('Equipment List &amp; Usage'!$F28="Yes",'Equipment List &amp; Usage'!$C$114*((('Weekly Summary'!W$131*SelfQuarantine_Mild)+('Weekly Summary'!W$100*SelfQuarantine_Mild)+('Weekly Summary'!W$101*SelfQuarantine_Moderate))),'Equipment List &amp; Usage'!$C$115)*((('Weekly Summary'!W$131*SelfQuarantine_Mild*'Equipment List &amp; Usage'!$W28)+('Weekly Summary'!W$100*SelfQuarantine_Mild*'Equipment List &amp; Usage'!$X28)+('Weekly Summary'!W$101*SelfQuarantine_Moderate*'Equipment List &amp; Usage'!$X28))))+IF('Equipment List &amp; Usage'!$F28="Yes",'Equipment List &amp; Usage'!$C$114*(IF('Equipment List &amp; Usage'!$AA28&gt;0,'Weekly Summary'!W$128,0)+IF('Equipment List &amp; Usage'!$AB28&gt;0,'Weekly Summary'!W$100+'Weekly Summary'!W$101,0)),'Equipment List &amp; Usage'!$C$115*(('Weekly Summary'!W$128*'Equipment List &amp; Usage'!$AA28)+('Weekly Summary'!W$100*'Equipment List &amp; Usage'!$AB28*SelfQuarantine_Mild)+('Weekly Summary'!W$101*'Equipment List &amp; Usage'!$AB28*SelfQuarantine_Moderate)))+IF('Equipment List &amp; Usage'!$F28="Yes",('Equipment List &amp; Usage'!$C$114*(IF('Equipment List &amp; Usage'!$AE28&gt;0,'Weekly Summary'!W$134,0)+IF('Equipment List &amp; Usage'!$AF28&gt;0,'Weekly Summary'!W$135))),'Equipment List &amp; Usage'!$C$115*(('Weekly Summary'!W$134*'Equipment List &amp; Usage'!$AE28)+('Weekly Summary'!W$135*'Equipment List &amp; Usage'!$AF28)))),0)</f>
        <v>0</v>
      </c>
      <c r="AD26" s="1374">
        <f ca="1">MAX(IF($F26="Yes",(
IF($F26="yes",MMULT(--('Equipment List &amp; Usage'!$J28:$N28&gt;0),--('Weekly Summary'!X$112:X$116))*'Equipment List &amp; Usage'!$C$114,MMULT(--('Equipment List &amp; Usage'!$J28:$N28),--('Weekly Summary'!X$112:X$116))*'Equipment List &amp; Usage'!$C$115)+IF('Equipment List &amp; Usage'!$F27="yes",'Equipment List &amp; Usage'!$C$114,'Equipment List &amp; Usage'!$C$115)*(('Weekly Summary'!X$66*'Equipment List &amp; Usage'!$Q28)+('Weekly Summary'!X$64*'Equipment List &amp; Usage'!$O28)+('Weekly Summary'!X$65*'Equipment List &amp; Usage'!$P28)))+(IF('Equipment List &amp; Usage'!$F28="Yes",'Equipment List &amp; Usage'!$C$114*((('Weekly Summary'!X$131*SelfQuarantine_Mild)+('Weekly Summary'!X$100*SelfQuarantine_Mild)+('Weekly Summary'!X$101*SelfQuarantine_Moderate))),'Equipment List &amp; Usage'!$C$115)*((('Weekly Summary'!X$131*SelfQuarantine_Mild*'Equipment List &amp; Usage'!$W28)+('Weekly Summary'!X$100*SelfQuarantine_Mild*'Equipment List &amp; Usage'!$X28)+('Weekly Summary'!X$101*SelfQuarantine_Moderate*'Equipment List &amp; Usage'!$X28)))+IF('Equipment List &amp; Usage'!$F28="Yes",'Equipment List &amp; Usage'!$C$114*(IF('Equipment List &amp; Usage'!$AA28&gt;0,'Weekly Summary'!X$128,0)+IF('Equipment List &amp; Usage'!$AB28&gt;0,'Weekly Summary'!X$100+'Weekly Summary'!X$101,0)),'Equipment List &amp; Usage'!$C$115*(('Weekly Summary'!X$128*'Equipment List &amp; Usage'!$AA28)+('Weekly Summary'!X$100*'Equipment List &amp; Usage'!$AB28*SelfQuarantine_Mild)+('Weekly Summary'!X$101*'Equipment List &amp; Usage'!$AB28*SelfQuarantine_Moderate)))+IF('Equipment List &amp; Usage'!$F28="Yes",('Equipment List &amp; Usage'!$C$114*(IF('Equipment List &amp; Usage'!$AE28&gt;0,'Weekly Summary'!X$134,0)+IF('Equipment List &amp; Usage'!$AF28&gt;0,'Weekly Summary'!X$135))),'Equipment List &amp; Usage'!$C$115*(('Weekly Summary'!X$134*'Equipment List &amp; Usage'!$AE28)+('Weekly Summary'!X$135*'Equipment List &amp; Usage'!$AF28))))-SUM($I26:AC26),
IF($F26="yes",MMULT(--('Equipment List &amp; Usage'!$J28:$N28&gt;0),--('Weekly Summary'!X$112:X$116))*'Equipment List &amp; Usage'!$C$114,MMULT(--('Equipment List &amp; Usage'!$J28:$N28),--('Weekly Summary'!X$112:X$116))*'Equipment List &amp; Usage'!$C$115)+IF('Equipment List &amp; Usage'!$F27="yes",'Equipment List &amp; Usage'!$C$114,'Equipment List &amp; Usage'!$C$115)*(('Weekly Summary'!X$66*'Equipment List &amp; Usage'!$Q28)+('Weekly Summary'!X$64*'Equipment List &amp; Usage'!$O28)+('Weekly Summary'!X$65*'Equipment List &amp; Usage'!$P28))+(IF('Equipment List &amp; Usage'!$F28="Yes",'Equipment List &amp; Usage'!$C$114*((('Weekly Summary'!X$131*SelfQuarantine_Mild)+('Weekly Summary'!X$100*SelfQuarantine_Mild)+('Weekly Summary'!X$101*SelfQuarantine_Moderate))),'Equipment List &amp; Usage'!$C$115)*((('Weekly Summary'!X$131*SelfQuarantine_Mild*'Equipment List &amp; Usage'!$W28)+('Weekly Summary'!X$100*SelfQuarantine_Mild*'Equipment List &amp; Usage'!$X28)+('Weekly Summary'!X$101*SelfQuarantine_Moderate*'Equipment List &amp; Usage'!$X28))))+IF('Equipment List &amp; Usage'!$F28="Yes",'Equipment List &amp; Usage'!$C$114*(IF('Equipment List &amp; Usage'!$AA28&gt;0,'Weekly Summary'!X$128,0)+IF('Equipment List &amp; Usage'!$AB28&gt;0,'Weekly Summary'!X$100+'Weekly Summary'!X$101,0)),'Equipment List &amp; Usage'!$C$115*(('Weekly Summary'!X$128*'Equipment List &amp; Usage'!$AA28)+('Weekly Summary'!X$100*'Equipment List &amp; Usage'!$AB28*SelfQuarantine_Mild)+('Weekly Summary'!X$101*'Equipment List &amp; Usage'!$AB28*SelfQuarantine_Moderate)))+IF('Equipment List &amp; Usage'!$F28="Yes",('Equipment List &amp; Usage'!$C$114*(IF('Equipment List &amp; Usage'!$AE28&gt;0,'Weekly Summary'!X$134,0)+IF('Equipment List &amp; Usage'!$AF28&gt;0,'Weekly Summary'!X$135))),'Equipment List &amp; Usage'!$C$115*(('Weekly Summary'!X$134*'Equipment List &amp; Usage'!$AE28)+('Weekly Summary'!X$135*'Equipment List &amp; Usage'!$AF28)))),0)</f>
        <v>0</v>
      </c>
      <c r="AE26" s="1374">
        <f ca="1">MAX(IF($F26="Yes",(
IF($F26="yes",MMULT(--('Equipment List &amp; Usage'!$J28:$N28&gt;0),--('Weekly Summary'!Y$112:Y$116))*'Equipment List &amp; Usage'!$C$114,MMULT(--('Equipment List &amp; Usage'!$J28:$N28),--('Weekly Summary'!Y$112:Y$116))*'Equipment List &amp; Usage'!$C$115)+IF('Equipment List &amp; Usage'!$F27="yes",'Equipment List &amp; Usage'!$C$114,'Equipment List &amp; Usage'!$C$115)*(('Weekly Summary'!Y$66*'Equipment List &amp; Usage'!$Q28)+('Weekly Summary'!Y$64*'Equipment List &amp; Usage'!$O28)+('Weekly Summary'!Y$65*'Equipment List &amp; Usage'!$P28)))+(IF('Equipment List &amp; Usage'!$F28="Yes",'Equipment List &amp; Usage'!$C$114*((('Weekly Summary'!Y$131*SelfQuarantine_Mild)+('Weekly Summary'!Y$100*SelfQuarantine_Mild)+('Weekly Summary'!Y$101*SelfQuarantine_Moderate))),'Equipment List &amp; Usage'!$C$115)*((('Weekly Summary'!Y$131*SelfQuarantine_Mild*'Equipment List &amp; Usage'!$W28)+('Weekly Summary'!Y$100*SelfQuarantine_Mild*'Equipment List &amp; Usage'!$X28)+('Weekly Summary'!Y$101*SelfQuarantine_Moderate*'Equipment List &amp; Usage'!$X28)))+IF('Equipment List &amp; Usage'!$F28="Yes",'Equipment List &amp; Usage'!$C$114*(IF('Equipment List &amp; Usage'!$AA28&gt;0,'Weekly Summary'!Y$128,0)+IF('Equipment List &amp; Usage'!$AB28&gt;0,'Weekly Summary'!Y$100+'Weekly Summary'!Y$101,0)),'Equipment List &amp; Usage'!$C$115*(('Weekly Summary'!Y$128*'Equipment List &amp; Usage'!$AA28)+('Weekly Summary'!Y$100*'Equipment List &amp; Usage'!$AB28*SelfQuarantine_Mild)+('Weekly Summary'!Y$101*'Equipment List &amp; Usage'!$AB28*SelfQuarantine_Moderate)))+IF('Equipment List &amp; Usage'!$F28="Yes",('Equipment List &amp; Usage'!$C$114*(IF('Equipment List &amp; Usage'!$AE28&gt;0,'Weekly Summary'!Y$134,0)+IF('Equipment List &amp; Usage'!$AF28&gt;0,'Weekly Summary'!Y$135))),'Equipment List &amp; Usage'!$C$115*(('Weekly Summary'!Y$134*'Equipment List &amp; Usage'!$AE28)+('Weekly Summary'!Y$135*'Equipment List &amp; Usage'!$AF28))))-SUM($I26:AD26),
IF($F26="yes",MMULT(--('Equipment List &amp; Usage'!$J28:$N28&gt;0),--('Weekly Summary'!Y$112:Y$116))*'Equipment List &amp; Usage'!$C$114,MMULT(--('Equipment List &amp; Usage'!$J28:$N28),--('Weekly Summary'!Y$112:Y$116))*'Equipment List &amp; Usage'!$C$115)+IF('Equipment List &amp; Usage'!$F27="yes",'Equipment List &amp; Usage'!$C$114,'Equipment List &amp; Usage'!$C$115)*(('Weekly Summary'!Y$66*'Equipment List &amp; Usage'!$Q28)+('Weekly Summary'!Y$64*'Equipment List &amp; Usage'!$O28)+('Weekly Summary'!Y$65*'Equipment List &amp; Usage'!$P28))+(IF('Equipment List &amp; Usage'!$F28="Yes",'Equipment List &amp; Usage'!$C$114*((('Weekly Summary'!Y$131*SelfQuarantine_Mild)+('Weekly Summary'!Y$100*SelfQuarantine_Mild)+('Weekly Summary'!Y$101*SelfQuarantine_Moderate))),'Equipment List &amp; Usage'!$C$115)*((('Weekly Summary'!Y$131*SelfQuarantine_Mild*'Equipment List &amp; Usage'!$W28)+('Weekly Summary'!Y$100*SelfQuarantine_Mild*'Equipment List &amp; Usage'!$X28)+('Weekly Summary'!Y$101*SelfQuarantine_Moderate*'Equipment List &amp; Usage'!$X28))))+IF('Equipment List &amp; Usage'!$F28="Yes",'Equipment List &amp; Usage'!$C$114*(IF('Equipment List &amp; Usage'!$AA28&gt;0,'Weekly Summary'!Y$128,0)+IF('Equipment List &amp; Usage'!$AB28&gt;0,'Weekly Summary'!Y$100+'Weekly Summary'!Y$101,0)),'Equipment List &amp; Usage'!$C$115*(('Weekly Summary'!Y$128*'Equipment List &amp; Usage'!$AA28)+('Weekly Summary'!Y$100*'Equipment List &amp; Usage'!$AB28*SelfQuarantine_Mild)+('Weekly Summary'!Y$101*'Equipment List &amp; Usage'!$AB28*SelfQuarantine_Moderate)))+IF('Equipment List &amp; Usage'!$F28="Yes",('Equipment List &amp; Usage'!$C$114*(IF('Equipment List &amp; Usage'!$AE28&gt;0,'Weekly Summary'!Y$134,0)+IF('Equipment List &amp; Usage'!$AF28&gt;0,'Weekly Summary'!Y$135))),'Equipment List &amp; Usage'!$C$115*(('Weekly Summary'!Y$134*'Equipment List &amp; Usage'!$AE28)+('Weekly Summary'!Y$135*'Equipment List &amp; Usage'!$AF28)))),0)</f>
        <v>0</v>
      </c>
      <c r="AF26" s="1374">
        <f ca="1">MAX(IF($F26="Yes",(
IF($F26="yes",MMULT(--('Equipment List &amp; Usage'!$J28:$N28&gt;0),--('Weekly Summary'!Z$112:Z$116))*'Equipment List &amp; Usage'!$C$114,MMULT(--('Equipment List &amp; Usage'!$J28:$N28),--('Weekly Summary'!Z$112:Z$116))*'Equipment List &amp; Usage'!$C$115)+IF('Equipment List &amp; Usage'!$F27="yes",'Equipment List &amp; Usage'!$C$114,'Equipment List &amp; Usage'!$C$115)*(('Weekly Summary'!Z$66*'Equipment List &amp; Usage'!$Q28)+('Weekly Summary'!Z$64*'Equipment List &amp; Usage'!$O28)+('Weekly Summary'!Z$65*'Equipment List &amp; Usage'!$P28)))+(IF('Equipment List &amp; Usage'!$F28="Yes",'Equipment List &amp; Usage'!$C$114*((('Weekly Summary'!Z$131*SelfQuarantine_Mild)+('Weekly Summary'!Z$100*SelfQuarantine_Mild)+('Weekly Summary'!Z$101*SelfQuarantine_Moderate))),'Equipment List &amp; Usage'!$C$115)*((('Weekly Summary'!Z$131*SelfQuarantine_Mild*'Equipment List &amp; Usage'!$W28)+('Weekly Summary'!Z$100*SelfQuarantine_Mild*'Equipment List &amp; Usage'!$X28)+('Weekly Summary'!Z$101*SelfQuarantine_Moderate*'Equipment List &amp; Usage'!$X28)))+IF('Equipment List &amp; Usage'!$F28="Yes",'Equipment List &amp; Usage'!$C$114*(IF('Equipment List &amp; Usage'!$AA28&gt;0,'Weekly Summary'!Z$128,0)+IF('Equipment List &amp; Usage'!$AB28&gt;0,'Weekly Summary'!Z$100+'Weekly Summary'!Z$101,0)),'Equipment List &amp; Usage'!$C$115*(('Weekly Summary'!Z$128*'Equipment List &amp; Usage'!$AA28)+('Weekly Summary'!Z$100*'Equipment List &amp; Usage'!$AB28*SelfQuarantine_Mild)+('Weekly Summary'!Z$101*'Equipment List &amp; Usage'!$AB28*SelfQuarantine_Moderate)))+IF('Equipment List &amp; Usage'!$F28="Yes",('Equipment List &amp; Usage'!$C$114*(IF('Equipment List &amp; Usage'!$AE28&gt;0,'Weekly Summary'!Z$134,0)+IF('Equipment List &amp; Usage'!$AF28&gt;0,'Weekly Summary'!Z$135))),'Equipment List &amp; Usage'!$C$115*(('Weekly Summary'!Z$134*'Equipment List &amp; Usage'!$AE28)+('Weekly Summary'!Z$135*'Equipment List &amp; Usage'!$AF28))))-SUM($I26:AE26),
IF($F26="yes",MMULT(--('Equipment List &amp; Usage'!$J28:$N28&gt;0),--('Weekly Summary'!Z$112:Z$116))*'Equipment List &amp; Usage'!$C$114,MMULT(--('Equipment List &amp; Usage'!$J28:$N28),--('Weekly Summary'!Z$112:Z$116))*'Equipment List &amp; Usage'!$C$115)+IF('Equipment List &amp; Usage'!$F27="yes",'Equipment List &amp; Usage'!$C$114,'Equipment List &amp; Usage'!$C$115)*(('Weekly Summary'!Z$66*'Equipment List &amp; Usage'!$Q28)+('Weekly Summary'!Z$64*'Equipment List &amp; Usage'!$O28)+('Weekly Summary'!Z$65*'Equipment List &amp; Usage'!$P28))+(IF('Equipment List &amp; Usage'!$F28="Yes",'Equipment List &amp; Usage'!$C$114*((('Weekly Summary'!Z$131*SelfQuarantine_Mild)+('Weekly Summary'!Z$100*SelfQuarantine_Mild)+('Weekly Summary'!Z$101*SelfQuarantine_Moderate))),'Equipment List &amp; Usage'!$C$115)*((('Weekly Summary'!Z$131*SelfQuarantine_Mild*'Equipment List &amp; Usage'!$W28)+('Weekly Summary'!Z$100*SelfQuarantine_Mild*'Equipment List &amp; Usage'!$X28)+('Weekly Summary'!Z$101*SelfQuarantine_Moderate*'Equipment List &amp; Usage'!$X28))))+IF('Equipment List &amp; Usage'!$F28="Yes",'Equipment List &amp; Usage'!$C$114*(IF('Equipment List &amp; Usage'!$AA28&gt;0,'Weekly Summary'!Z$128,0)+IF('Equipment List &amp; Usage'!$AB28&gt;0,'Weekly Summary'!Z$100+'Weekly Summary'!Z$101,0)),'Equipment List &amp; Usage'!$C$115*(('Weekly Summary'!Z$128*'Equipment List &amp; Usage'!$AA28)+('Weekly Summary'!Z$100*'Equipment List &amp; Usage'!$AB28*SelfQuarantine_Mild)+('Weekly Summary'!Z$101*'Equipment List &amp; Usage'!$AB28*SelfQuarantine_Moderate)))+IF('Equipment List &amp; Usage'!$F28="Yes",('Equipment List &amp; Usage'!$C$114*(IF('Equipment List &amp; Usage'!$AE28&gt;0,'Weekly Summary'!Z$134,0)+IF('Equipment List &amp; Usage'!$AF28&gt;0,'Weekly Summary'!Z$135))),'Equipment List &amp; Usage'!$C$115*(('Weekly Summary'!Z$134*'Equipment List &amp; Usage'!$AE28)+('Weekly Summary'!Z$135*'Equipment List &amp; Usage'!$AF28)))),0)</f>
        <v>0</v>
      </c>
      <c r="AG26" s="1374">
        <f ca="1">MAX(IF($F26="Yes",(
IF($F26="yes",MMULT(--('Equipment List &amp; Usage'!$J28:$N28&gt;0),--('Weekly Summary'!AA$112:AA$116))*'Equipment List &amp; Usage'!$C$114,MMULT(--('Equipment List &amp; Usage'!$J28:$N28),--('Weekly Summary'!AA$112:AA$116))*'Equipment List &amp; Usage'!$C$115)+IF('Equipment List &amp; Usage'!$F27="yes",'Equipment List &amp; Usage'!$C$114,'Equipment List &amp; Usage'!$C$115)*(('Weekly Summary'!AA$66*'Equipment List &amp; Usage'!$Q28)+('Weekly Summary'!AA$64*'Equipment List &amp; Usage'!$O28)+('Weekly Summary'!AA$65*'Equipment List &amp; Usage'!$P28)))+(IF('Equipment List &amp; Usage'!$F28="Yes",'Equipment List &amp; Usage'!$C$114*((('Weekly Summary'!AA$131*SelfQuarantine_Mild)+('Weekly Summary'!AA$100*SelfQuarantine_Mild)+('Weekly Summary'!AA$101*SelfQuarantine_Moderate))),'Equipment List &amp; Usage'!$C$115)*((('Weekly Summary'!AA$131*SelfQuarantine_Mild*'Equipment List &amp; Usage'!$W28)+('Weekly Summary'!AA$100*SelfQuarantine_Mild*'Equipment List &amp; Usage'!$X28)+('Weekly Summary'!AA$101*SelfQuarantine_Moderate*'Equipment List &amp; Usage'!$X28)))+IF('Equipment List &amp; Usage'!$F28="Yes",'Equipment List &amp; Usage'!$C$114*(IF('Equipment List &amp; Usage'!$AA28&gt;0,'Weekly Summary'!AA$128,0)+IF('Equipment List &amp; Usage'!$AB28&gt;0,'Weekly Summary'!AA$100+'Weekly Summary'!AA$101,0)),'Equipment List &amp; Usage'!$C$115*(('Weekly Summary'!AA$128*'Equipment List &amp; Usage'!$AA28)+('Weekly Summary'!AA$100*'Equipment List &amp; Usage'!$AB28*SelfQuarantine_Mild)+('Weekly Summary'!AA$101*'Equipment List &amp; Usage'!$AB28*SelfQuarantine_Moderate)))+IF('Equipment List &amp; Usage'!$F28="Yes",('Equipment List &amp; Usage'!$C$114*(IF('Equipment List &amp; Usage'!$AE28&gt;0,'Weekly Summary'!AA$134,0)+IF('Equipment List &amp; Usage'!$AF28&gt;0,'Weekly Summary'!AA$135))),'Equipment List &amp; Usage'!$C$115*(('Weekly Summary'!AA$134*'Equipment List &amp; Usage'!$AE28)+('Weekly Summary'!AA$135*'Equipment List &amp; Usage'!$AF28))))-SUM($I26:AF26),
IF($F26="yes",MMULT(--('Equipment List &amp; Usage'!$J28:$N28&gt;0),--('Weekly Summary'!AA$112:AA$116))*'Equipment List &amp; Usage'!$C$114,MMULT(--('Equipment List &amp; Usage'!$J28:$N28),--('Weekly Summary'!AA$112:AA$116))*'Equipment List &amp; Usage'!$C$115)+IF('Equipment List &amp; Usage'!$F27="yes",'Equipment List &amp; Usage'!$C$114,'Equipment List &amp; Usage'!$C$115)*(('Weekly Summary'!AA$66*'Equipment List &amp; Usage'!$Q28)+('Weekly Summary'!AA$64*'Equipment List &amp; Usage'!$O28)+('Weekly Summary'!AA$65*'Equipment List &amp; Usage'!$P28))+(IF('Equipment List &amp; Usage'!$F28="Yes",'Equipment List &amp; Usage'!$C$114*((('Weekly Summary'!AA$131*SelfQuarantine_Mild)+('Weekly Summary'!AA$100*SelfQuarantine_Mild)+('Weekly Summary'!AA$101*SelfQuarantine_Moderate))),'Equipment List &amp; Usage'!$C$115)*((('Weekly Summary'!AA$131*SelfQuarantine_Mild*'Equipment List &amp; Usage'!$W28)+('Weekly Summary'!AA$100*SelfQuarantine_Mild*'Equipment List &amp; Usage'!$X28)+('Weekly Summary'!AA$101*SelfQuarantine_Moderate*'Equipment List &amp; Usage'!$X28))))+IF('Equipment List &amp; Usage'!$F28="Yes",'Equipment List &amp; Usage'!$C$114*(IF('Equipment List &amp; Usage'!$AA28&gt;0,'Weekly Summary'!AA$128,0)+IF('Equipment List &amp; Usage'!$AB28&gt;0,'Weekly Summary'!AA$100+'Weekly Summary'!AA$101,0)),'Equipment List &amp; Usage'!$C$115*(('Weekly Summary'!AA$128*'Equipment List &amp; Usage'!$AA28)+('Weekly Summary'!AA$100*'Equipment List &amp; Usage'!$AB28*SelfQuarantine_Mild)+('Weekly Summary'!AA$101*'Equipment List &amp; Usage'!$AB28*SelfQuarantine_Moderate)))+IF('Equipment List &amp; Usage'!$F28="Yes",('Equipment List &amp; Usage'!$C$114*(IF('Equipment List &amp; Usage'!$AE28&gt;0,'Weekly Summary'!AA$134,0)+IF('Equipment List &amp; Usage'!$AF28&gt;0,'Weekly Summary'!AA$135))),'Equipment List &amp; Usage'!$C$115*(('Weekly Summary'!AA$134*'Equipment List &amp; Usage'!$AE28)+('Weekly Summary'!AA$135*'Equipment List &amp; Usage'!$AF28)))),0)</f>
        <v>0</v>
      </c>
      <c r="AH26" s="1374">
        <f ca="1">MAX(IF($F26="Yes",(
IF($F26="yes",MMULT(--('Equipment List &amp; Usage'!$J28:$N28&gt;0),--('Weekly Summary'!AB$112:AB$116))*'Equipment List &amp; Usage'!$C$114,MMULT(--('Equipment List &amp; Usage'!$J28:$N28),--('Weekly Summary'!AB$112:AB$116))*'Equipment List &amp; Usage'!$C$115)+IF('Equipment List &amp; Usage'!$F27="yes",'Equipment List &amp; Usage'!$C$114,'Equipment List &amp; Usage'!$C$115)*(('Weekly Summary'!AB$66*'Equipment List &amp; Usage'!$Q28)+('Weekly Summary'!AB$64*'Equipment List &amp; Usage'!$O28)+('Weekly Summary'!AB$65*'Equipment List &amp; Usage'!$P28)))+(IF('Equipment List &amp; Usage'!$F28="Yes",'Equipment List &amp; Usage'!$C$114*((('Weekly Summary'!AB$131*SelfQuarantine_Mild)+('Weekly Summary'!AB$100*SelfQuarantine_Mild)+('Weekly Summary'!AB$101*SelfQuarantine_Moderate))),'Equipment List &amp; Usage'!$C$115)*((('Weekly Summary'!AB$131*SelfQuarantine_Mild*'Equipment List &amp; Usage'!$W28)+('Weekly Summary'!AB$100*SelfQuarantine_Mild*'Equipment List &amp; Usage'!$X28)+('Weekly Summary'!AB$101*SelfQuarantine_Moderate*'Equipment List &amp; Usage'!$X28)))+IF('Equipment List &amp; Usage'!$F28="Yes",'Equipment List &amp; Usage'!$C$114*(IF('Equipment List &amp; Usage'!$AA28&gt;0,'Weekly Summary'!AB$128,0)+IF('Equipment List &amp; Usage'!$AB28&gt;0,'Weekly Summary'!AB$100+'Weekly Summary'!AB$101,0)),'Equipment List &amp; Usage'!$C$115*(('Weekly Summary'!AB$128*'Equipment List &amp; Usage'!$AA28)+('Weekly Summary'!AB$100*'Equipment List &amp; Usage'!$AB28*SelfQuarantine_Mild)+('Weekly Summary'!AB$101*'Equipment List &amp; Usage'!$AB28*SelfQuarantine_Moderate)))+IF('Equipment List &amp; Usage'!$F28="Yes",('Equipment List &amp; Usage'!$C$114*(IF('Equipment List &amp; Usage'!$AE28&gt;0,'Weekly Summary'!AB$134,0)+IF('Equipment List &amp; Usage'!$AF28&gt;0,'Weekly Summary'!AB$135))),'Equipment List &amp; Usage'!$C$115*(('Weekly Summary'!AB$134*'Equipment List &amp; Usage'!$AE28)+('Weekly Summary'!AB$135*'Equipment List &amp; Usage'!$AF28))))-SUM($I26:AG26),
IF($F26="yes",MMULT(--('Equipment List &amp; Usage'!$J28:$N28&gt;0),--('Weekly Summary'!AB$112:AB$116))*'Equipment List &amp; Usage'!$C$114,MMULT(--('Equipment List &amp; Usage'!$J28:$N28),--('Weekly Summary'!AB$112:AB$116))*'Equipment List &amp; Usage'!$C$115)+IF('Equipment List &amp; Usage'!$F27="yes",'Equipment List &amp; Usage'!$C$114,'Equipment List &amp; Usage'!$C$115)*(('Weekly Summary'!AB$66*'Equipment List &amp; Usage'!$Q28)+('Weekly Summary'!AB$64*'Equipment List &amp; Usage'!$O28)+('Weekly Summary'!AB$65*'Equipment List &amp; Usage'!$P28))+(IF('Equipment List &amp; Usage'!$F28="Yes",'Equipment List &amp; Usage'!$C$114*((('Weekly Summary'!AB$131*SelfQuarantine_Mild)+('Weekly Summary'!AB$100*SelfQuarantine_Mild)+('Weekly Summary'!AB$101*SelfQuarantine_Moderate))),'Equipment List &amp; Usage'!$C$115)*((('Weekly Summary'!AB$131*SelfQuarantine_Mild*'Equipment List &amp; Usage'!$W28)+('Weekly Summary'!AB$100*SelfQuarantine_Mild*'Equipment List &amp; Usage'!$X28)+('Weekly Summary'!AB$101*SelfQuarantine_Moderate*'Equipment List &amp; Usage'!$X28))))+IF('Equipment List &amp; Usage'!$F28="Yes",'Equipment List &amp; Usage'!$C$114*(IF('Equipment List &amp; Usage'!$AA28&gt;0,'Weekly Summary'!AB$128,0)+IF('Equipment List &amp; Usage'!$AB28&gt;0,'Weekly Summary'!AB$100+'Weekly Summary'!AB$101,0)),'Equipment List &amp; Usage'!$C$115*(('Weekly Summary'!AB$128*'Equipment List &amp; Usage'!$AA28)+('Weekly Summary'!AB$100*'Equipment List &amp; Usage'!$AB28*SelfQuarantine_Mild)+('Weekly Summary'!AB$101*'Equipment List &amp; Usage'!$AB28*SelfQuarantine_Moderate)))+IF('Equipment List &amp; Usage'!$F28="Yes",('Equipment List &amp; Usage'!$C$114*(IF('Equipment List &amp; Usage'!$AE28&gt;0,'Weekly Summary'!AB$134,0)+IF('Equipment List &amp; Usage'!$AF28&gt;0,'Weekly Summary'!AB$135))),'Equipment List &amp; Usage'!$C$115*(('Weekly Summary'!AB$134*'Equipment List &amp; Usage'!$AE28)+('Weekly Summary'!AB$135*'Equipment List &amp; Usage'!$AF28)))),0)</f>
        <v>0</v>
      </c>
      <c r="AI26" s="1374">
        <f ca="1">MAX(IF($F26="Yes",(
IF($F26="yes",MMULT(--('Equipment List &amp; Usage'!$J28:$N28&gt;0),--('Weekly Summary'!AC$112:AC$116))*'Equipment List &amp; Usage'!$C$114,MMULT(--('Equipment List &amp; Usage'!$J28:$N28),--('Weekly Summary'!AC$112:AC$116))*'Equipment List &amp; Usage'!$C$115)+IF('Equipment List &amp; Usage'!$F27="yes",'Equipment List &amp; Usage'!$C$114,'Equipment List &amp; Usage'!$C$115)*(('Weekly Summary'!AC$66*'Equipment List &amp; Usage'!$Q28)+('Weekly Summary'!AC$64*'Equipment List &amp; Usage'!$O28)+('Weekly Summary'!AC$65*'Equipment List &amp; Usage'!$P28)))+(IF('Equipment List &amp; Usage'!$F28="Yes",'Equipment List &amp; Usage'!$C$114*((('Weekly Summary'!AC$131*SelfQuarantine_Mild)+('Weekly Summary'!AC$100*SelfQuarantine_Mild)+('Weekly Summary'!AC$101*SelfQuarantine_Moderate))),'Equipment List &amp; Usage'!$C$115)*((('Weekly Summary'!AC$131*SelfQuarantine_Mild*'Equipment List &amp; Usage'!$W28)+('Weekly Summary'!AC$100*SelfQuarantine_Mild*'Equipment List &amp; Usage'!$X28)+('Weekly Summary'!AC$101*SelfQuarantine_Moderate*'Equipment List &amp; Usage'!$X28)))+IF('Equipment List &amp; Usage'!$F28="Yes",'Equipment List &amp; Usage'!$C$114*(IF('Equipment List &amp; Usage'!$AA28&gt;0,'Weekly Summary'!AC$128,0)+IF('Equipment List &amp; Usage'!$AB28&gt;0,'Weekly Summary'!AC$100+'Weekly Summary'!AC$101,0)),'Equipment List &amp; Usage'!$C$115*(('Weekly Summary'!AC$128*'Equipment List &amp; Usage'!$AA28)+('Weekly Summary'!AC$100*'Equipment List &amp; Usage'!$AB28*SelfQuarantine_Mild)+('Weekly Summary'!AC$101*'Equipment List &amp; Usage'!$AB28*SelfQuarantine_Moderate)))+IF('Equipment List &amp; Usage'!$F28="Yes",('Equipment List &amp; Usage'!$C$114*(IF('Equipment List &amp; Usage'!$AE28&gt;0,'Weekly Summary'!AC$134,0)+IF('Equipment List &amp; Usage'!$AF28&gt;0,'Weekly Summary'!AC$135))),'Equipment List &amp; Usage'!$C$115*(('Weekly Summary'!AC$134*'Equipment List &amp; Usage'!$AE28)+('Weekly Summary'!AC$135*'Equipment List &amp; Usage'!$AF28))))-SUM($I26:AH26),
IF($F26="yes",MMULT(--('Equipment List &amp; Usage'!$J28:$N28&gt;0),--('Weekly Summary'!AC$112:AC$116))*'Equipment List &amp; Usage'!$C$114,MMULT(--('Equipment List &amp; Usage'!$J28:$N28),--('Weekly Summary'!AC$112:AC$116))*'Equipment List &amp; Usage'!$C$115)+IF('Equipment List &amp; Usage'!$F27="yes",'Equipment List &amp; Usage'!$C$114,'Equipment List &amp; Usage'!$C$115)*(('Weekly Summary'!AC$66*'Equipment List &amp; Usage'!$Q28)+('Weekly Summary'!AC$64*'Equipment List &amp; Usage'!$O28)+('Weekly Summary'!AC$65*'Equipment List &amp; Usage'!$P28))+(IF('Equipment List &amp; Usage'!$F28="Yes",'Equipment List &amp; Usage'!$C$114*((('Weekly Summary'!AC$131*SelfQuarantine_Mild)+('Weekly Summary'!AC$100*SelfQuarantine_Mild)+('Weekly Summary'!AC$101*SelfQuarantine_Moderate))),'Equipment List &amp; Usage'!$C$115)*((('Weekly Summary'!AC$131*SelfQuarantine_Mild*'Equipment List &amp; Usage'!$W28)+('Weekly Summary'!AC$100*SelfQuarantine_Mild*'Equipment List &amp; Usage'!$X28)+('Weekly Summary'!AC$101*SelfQuarantine_Moderate*'Equipment List &amp; Usage'!$X28))))+IF('Equipment List &amp; Usage'!$F28="Yes",'Equipment List &amp; Usage'!$C$114*(IF('Equipment List &amp; Usage'!$AA28&gt;0,'Weekly Summary'!AC$128,0)+IF('Equipment List &amp; Usage'!$AB28&gt;0,'Weekly Summary'!AC$100+'Weekly Summary'!AC$101,0)),'Equipment List &amp; Usage'!$C$115*(('Weekly Summary'!AC$128*'Equipment List &amp; Usage'!$AA28)+('Weekly Summary'!AC$100*'Equipment List &amp; Usage'!$AB28*SelfQuarantine_Mild)+('Weekly Summary'!AC$101*'Equipment List &amp; Usage'!$AB28*SelfQuarantine_Moderate)))+IF('Equipment List &amp; Usage'!$F28="Yes",('Equipment List &amp; Usage'!$C$114*(IF('Equipment List &amp; Usage'!$AE28&gt;0,'Weekly Summary'!AC$134,0)+IF('Equipment List &amp; Usage'!$AF28&gt;0,'Weekly Summary'!AC$135))),'Equipment List &amp; Usage'!$C$115*(('Weekly Summary'!AC$134*'Equipment List &amp; Usage'!$AE28)+('Weekly Summary'!AC$135*'Equipment List &amp; Usage'!$AF28)))),0)</f>
        <v>0</v>
      </c>
      <c r="AJ26" s="1374">
        <f ca="1">MAX(IF($F26="Yes",(
IF($F26="yes",MMULT(--('Equipment List &amp; Usage'!$J28:$N28&gt;0),--('Weekly Summary'!AD$112:AD$116))*'Equipment List &amp; Usage'!$C$114,MMULT(--('Equipment List &amp; Usage'!$J28:$N28),--('Weekly Summary'!AD$112:AD$116))*'Equipment List &amp; Usage'!$C$115)+IF('Equipment List &amp; Usage'!$F27="yes",'Equipment List &amp; Usage'!$C$114,'Equipment List &amp; Usage'!$C$115)*(('Weekly Summary'!AD$66*'Equipment List &amp; Usage'!$Q28)+('Weekly Summary'!AD$64*'Equipment List &amp; Usage'!$O28)+('Weekly Summary'!AD$65*'Equipment List &amp; Usage'!$P28)))+(IF('Equipment List &amp; Usage'!$F28="Yes",'Equipment List &amp; Usage'!$C$114*((('Weekly Summary'!AD$131*SelfQuarantine_Mild)+('Weekly Summary'!AD$100*SelfQuarantine_Mild)+('Weekly Summary'!AD$101*SelfQuarantine_Moderate))),'Equipment List &amp; Usage'!$C$115)*((('Weekly Summary'!AD$131*SelfQuarantine_Mild*'Equipment List &amp; Usage'!$W28)+('Weekly Summary'!AD$100*SelfQuarantine_Mild*'Equipment List &amp; Usage'!$X28)+('Weekly Summary'!AD$101*SelfQuarantine_Moderate*'Equipment List &amp; Usage'!$X28)))+IF('Equipment List &amp; Usage'!$F28="Yes",'Equipment List &amp; Usage'!$C$114*(IF('Equipment List &amp; Usage'!$AA28&gt;0,'Weekly Summary'!AD$128,0)+IF('Equipment List &amp; Usage'!$AB28&gt;0,'Weekly Summary'!AD$100+'Weekly Summary'!AD$101,0)),'Equipment List &amp; Usage'!$C$115*(('Weekly Summary'!AD$128*'Equipment List &amp; Usage'!$AA28)+('Weekly Summary'!AD$100*'Equipment List &amp; Usage'!$AB28*SelfQuarantine_Mild)+('Weekly Summary'!AD$101*'Equipment List &amp; Usage'!$AB28*SelfQuarantine_Moderate)))+IF('Equipment List &amp; Usage'!$F28="Yes",('Equipment List &amp; Usage'!$C$114*(IF('Equipment List &amp; Usage'!$AE28&gt;0,'Weekly Summary'!AD$134,0)+IF('Equipment List &amp; Usage'!$AF28&gt;0,'Weekly Summary'!AD$135))),'Equipment List &amp; Usage'!$C$115*(('Weekly Summary'!AD$134*'Equipment List &amp; Usage'!$AE28)+('Weekly Summary'!AD$135*'Equipment List &amp; Usage'!$AF28))))-SUM($I26:AI26),
IF($F26="yes",MMULT(--('Equipment List &amp; Usage'!$J28:$N28&gt;0),--('Weekly Summary'!AD$112:AD$116))*'Equipment List &amp; Usage'!$C$114,MMULT(--('Equipment List &amp; Usage'!$J28:$N28),--('Weekly Summary'!AD$112:AD$116))*'Equipment List &amp; Usage'!$C$115)+IF('Equipment List &amp; Usage'!$F27="yes",'Equipment List &amp; Usage'!$C$114,'Equipment List &amp; Usage'!$C$115)*(('Weekly Summary'!AD$66*'Equipment List &amp; Usage'!$Q28)+('Weekly Summary'!AD$64*'Equipment List &amp; Usage'!$O28)+('Weekly Summary'!AD$65*'Equipment List &amp; Usage'!$P28))+(IF('Equipment List &amp; Usage'!$F28="Yes",'Equipment List &amp; Usage'!$C$114*((('Weekly Summary'!AD$131*SelfQuarantine_Mild)+('Weekly Summary'!AD$100*SelfQuarantine_Mild)+('Weekly Summary'!AD$101*SelfQuarantine_Moderate))),'Equipment List &amp; Usage'!$C$115)*((('Weekly Summary'!AD$131*SelfQuarantine_Mild*'Equipment List &amp; Usage'!$W28)+('Weekly Summary'!AD$100*SelfQuarantine_Mild*'Equipment List &amp; Usage'!$X28)+('Weekly Summary'!AD$101*SelfQuarantine_Moderate*'Equipment List &amp; Usage'!$X28))))+IF('Equipment List &amp; Usage'!$F28="Yes",'Equipment List &amp; Usage'!$C$114*(IF('Equipment List &amp; Usage'!$AA28&gt;0,'Weekly Summary'!AD$128,0)+IF('Equipment List &amp; Usage'!$AB28&gt;0,'Weekly Summary'!AD$100+'Weekly Summary'!AD$101,0)),'Equipment List &amp; Usage'!$C$115*(('Weekly Summary'!AD$128*'Equipment List &amp; Usage'!$AA28)+('Weekly Summary'!AD$100*'Equipment List &amp; Usage'!$AB28*SelfQuarantine_Mild)+('Weekly Summary'!AD$101*'Equipment List &amp; Usage'!$AB28*SelfQuarantine_Moderate)))+IF('Equipment List &amp; Usage'!$F28="Yes",('Equipment List &amp; Usage'!$C$114*(IF('Equipment List &amp; Usage'!$AE28&gt;0,'Weekly Summary'!AD$134,0)+IF('Equipment List &amp; Usage'!$AF28&gt;0,'Weekly Summary'!AD$135))),'Equipment List &amp; Usage'!$C$115*(('Weekly Summary'!AD$134*'Equipment List &amp; Usage'!$AE28)+('Weekly Summary'!AD$135*'Equipment List &amp; Usage'!$AF28)))),0)</f>
        <v>0</v>
      </c>
      <c r="AK26" s="1374">
        <f ca="1">MAX(IF($F26="Yes",(
IF($F26="yes",MMULT(--('Equipment List &amp; Usage'!$J28:$N28&gt;0),--('Weekly Summary'!AE$112:AE$116))*'Equipment List &amp; Usage'!$C$114,MMULT(--('Equipment List &amp; Usage'!$J28:$N28),--('Weekly Summary'!AE$112:AE$116))*'Equipment List &amp; Usage'!$C$115)+IF('Equipment List &amp; Usage'!$F27="yes",'Equipment List &amp; Usage'!$C$114,'Equipment List &amp; Usage'!$C$115)*(('Weekly Summary'!AE$66*'Equipment List &amp; Usage'!$Q28)+('Weekly Summary'!AE$64*'Equipment List &amp; Usage'!$O28)+('Weekly Summary'!AE$65*'Equipment List &amp; Usage'!$P28)))+(IF('Equipment List &amp; Usage'!$F28="Yes",'Equipment List &amp; Usage'!$C$114*((('Weekly Summary'!AE$131*SelfQuarantine_Mild)+('Weekly Summary'!AE$100*SelfQuarantine_Mild)+('Weekly Summary'!AE$101*SelfQuarantine_Moderate))),'Equipment List &amp; Usage'!$C$115)*((('Weekly Summary'!AE$131*SelfQuarantine_Mild*'Equipment List &amp; Usage'!$W28)+('Weekly Summary'!AE$100*SelfQuarantine_Mild*'Equipment List &amp; Usage'!$X28)+('Weekly Summary'!AE$101*SelfQuarantine_Moderate*'Equipment List &amp; Usage'!$X28)))+IF('Equipment List &amp; Usage'!$F28="Yes",'Equipment List &amp; Usage'!$C$114*(IF('Equipment List &amp; Usage'!$AA28&gt;0,'Weekly Summary'!AE$128,0)+IF('Equipment List &amp; Usage'!$AB28&gt;0,'Weekly Summary'!AE$100+'Weekly Summary'!AE$101,0)),'Equipment List &amp; Usage'!$C$115*(('Weekly Summary'!AE$128*'Equipment List &amp; Usage'!$AA28)+('Weekly Summary'!AE$100*'Equipment List &amp; Usage'!$AB28*SelfQuarantine_Mild)+('Weekly Summary'!AE$101*'Equipment List &amp; Usage'!$AB28*SelfQuarantine_Moderate)))+IF('Equipment List &amp; Usage'!$F28="Yes",('Equipment List &amp; Usage'!$C$114*(IF('Equipment List &amp; Usage'!$AE28&gt;0,'Weekly Summary'!AE$134,0)+IF('Equipment List &amp; Usage'!$AF28&gt;0,'Weekly Summary'!AE$135))),'Equipment List &amp; Usage'!$C$115*(('Weekly Summary'!AE$134*'Equipment List &amp; Usage'!$AE28)+('Weekly Summary'!AE$135*'Equipment List &amp; Usage'!$AF28))))-SUM($I26:AJ26),
IF($F26="yes",MMULT(--('Equipment List &amp; Usage'!$J28:$N28&gt;0),--('Weekly Summary'!AE$112:AE$116))*'Equipment List &amp; Usage'!$C$114,MMULT(--('Equipment List &amp; Usage'!$J28:$N28),--('Weekly Summary'!AE$112:AE$116))*'Equipment List &amp; Usage'!$C$115)+IF('Equipment List &amp; Usage'!$F27="yes",'Equipment List &amp; Usage'!$C$114,'Equipment List &amp; Usage'!$C$115)*(('Weekly Summary'!AE$66*'Equipment List &amp; Usage'!$Q28)+('Weekly Summary'!AE$64*'Equipment List &amp; Usage'!$O28)+('Weekly Summary'!AE$65*'Equipment List &amp; Usage'!$P28))+(IF('Equipment List &amp; Usage'!$F28="Yes",'Equipment List &amp; Usage'!$C$114*((('Weekly Summary'!AE$131*SelfQuarantine_Mild)+('Weekly Summary'!AE$100*SelfQuarantine_Mild)+('Weekly Summary'!AE$101*SelfQuarantine_Moderate))),'Equipment List &amp; Usage'!$C$115)*((('Weekly Summary'!AE$131*SelfQuarantine_Mild*'Equipment List &amp; Usage'!$W28)+('Weekly Summary'!AE$100*SelfQuarantine_Mild*'Equipment List &amp; Usage'!$X28)+('Weekly Summary'!AE$101*SelfQuarantine_Moderate*'Equipment List &amp; Usage'!$X28))))+IF('Equipment List &amp; Usage'!$F28="Yes",'Equipment List &amp; Usage'!$C$114*(IF('Equipment List &amp; Usage'!$AA28&gt;0,'Weekly Summary'!AE$128,0)+IF('Equipment List &amp; Usage'!$AB28&gt;0,'Weekly Summary'!AE$100+'Weekly Summary'!AE$101,0)),'Equipment List &amp; Usage'!$C$115*(('Weekly Summary'!AE$128*'Equipment List &amp; Usage'!$AA28)+('Weekly Summary'!AE$100*'Equipment List &amp; Usage'!$AB28*SelfQuarantine_Mild)+('Weekly Summary'!AE$101*'Equipment List &amp; Usage'!$AB28*SelfQuarantine_Moderate)))+IF('Equipment List &amp; Usage'!$F28="Yes",('Equipment List &amp; Usage'!$C$114*(IF('Equipment List &amp; Usage'!$AE28&gt;0,'Weekly Summary'!AE$134,0)+IF('Equipment List &amp; Usage'!$AF28&gt;0,'Weekly Summary'!AE$135))),'Equipment List &amp; Usage'!$C$115*(('Weekly Summary'!AE$134*'Equipment List &amp; Usage'!$AE28)+('Weekly Summary'!AE$135*'Equipment List &amp; Usage'!$AF28)))),0)</f>
        <v>0</v>
      </c>
      <c r="AL26" s="1374">
        <f ca="1">MAX(IF($F26="Yes",(
IF($F26="yes",MMULT(--('Equipment List &amp; Usage'!$J28:$N28&gt;0),--('Weekly Summary'!AF$112:AF$116))*'Equipment List &amp; Usage'!$C$114,MMULT(--('Equipment List &amp; Usage'!$J28:$N28),--('Weekly Summary'!AF$112:AF$116))*'Equipment List &amp; Usage'!$C$115)+IF('Equipment List &amp; Usage'!$F27="yes",'Equipment List &amp; Usage'!$C$114,'Equipment List &amp; Usage'!$C$115)*(('Weekly Summary'!AF$66*'Equipment List &amp; Usage'!$Q28)+('Weekly Summary'!AF$64*'Equipment List &amp; Usage'!$O28)+('Weekly Summary'!AF$65*'Equipment List &amp; Usage'!$P28)))+(IF('Equipment List &amp; Usage'!$F28="Yes",'Equipment List &amp; Usage'!$C$114*((('Weekly Summary'!AF$131*SelfQuarantine_Mild)+('Weekly Summary'!AF$100*SelfQuarantine_Mild)+('Weekly Summary'!AF$101*SelfQuarantine_Moderate))),'Equipment List &amp; Usage'!$C$115)*((('Weekly Summary'!AF$131*SelfQuarantine_Mild*'Equipment List &amp; Usage'!$W28)+('Weekly Summary'!AF$100*SelfQuarantine_Mild*'Equipment List &amp; Usage'!$X28)+('Weekly Summary'!AF$101*SelfQuarantine_Moderate*'Equipment List &amp; Usage'!$X28)))+IF('Equipment List &amp; Usage'!$F28="Yes",'Equipment List &amp; Usage'!$C$114*(IF('Equipment List &amp; Usage'!$AA28&gt;0,'Weekly Summary'!AF$128,0)+IF('Equipment List &amp; Usage'!$AB28&gt;0,'Weekly Summary'!AF$100+'Weekly Summary'!AF$101,0)),'Equipment List &amp; Usage'!$C$115*(('Weekly Summary'!AF$128*'Equipment List &amp; Usage'!$AA28)+('Weekly Summary'!AF$100*'Equipment List &amp; Usage'!$AB28*SelfQuarantine_Mild)+('Weekly Summary'!AF$101*'Equipment List &amp; Usage'!$AB28*SelfQuarantine_Moderate)))+IF('Equipment List &amp; Usage'!$F28="Yes",('Equipment List &amp; Usage'!$C$114*(IF('Equipment List &amp; Usage'!$AE28&gt;0,'Weekly Summary'!AF$134,0)+IF('Equipment List &amp; Usage'!$AF28&gt;0,'Weekly Summary'!AF$135))),'Equipment List &amp; Usage'!$C$115*(('Weekly Summary'!AF$134*'Equipment List &amp; Usage'!$AE28)+('Weekly Summary'!AF$135*'Equipment List &amp; Usage'!$AF28))))-SUM($I26:AK26),
IF($F26="yes",MMULT(--('Equipment List &amp; Usage'!$J28:$N28&gt;0),--('Weekly Summary'!AF$112:AF$116))*'Equipment List &amp; Usage'!$C$114,MMULT(--('Equipment List &amp; Usage'!$J28:$N28),--('Weekly Summary'!AF$112:AF$116))*'Equipment List &amp; Usage'!$C$115)+IF('Equipment List &amp; Usage'!$F27="yes",'Equipment List &amp; Usage'!$C$114,'Equipment List &amp; Usage'!$C$115)*(('Weekly Summary'!AF$66*'Equipment List &amp; Usage'!$Q28)+('Weekly Summary'!AF$64*'Equipment List &amp; Usage'!$O28)+('Weekly Summary'!AF$65*'Equipment List &amp; Usage'!$P28))+(IF('Equipment List &amp; Usage'!$F28="Yes",'Equipment List &amp; Usage'!$C$114*((('Weekly Summary'!AF$131*SelfQuarantine_Mild)+('Weekly Summary'!AF$100*SelfQuarantine_Mild)+('Weekly Summary'!AF$101*SelfQuarantine_Moderate))),'Equipment List &amp; Usage'!$C$115)*((('Weekly Summary'!AF$131*SelfQuarantine_Mild*'Equipment List &amp; Usage'!$W28)+('Weekly Summary'!AF$100*SelfQuarantine_Mild*'Equipment List &amp; Usage'!$X28)+('Weekly Summary'!AF$101*SelfQuarantine_Moderate*'Equipment List &amp; Usage'!$X28))))+IF('Equipment List &amp; Usage'!$F28="Yes",'Equipment List &amp; Usage'!$C$114*(IF('Equipment List &amp; Usage'!$AA28&gt;0,'Weekly Summary'!AF$128,0)+IF('Equipment List &amp; Usage'!$AB28&gt;0,'Weekly Summary'!AF$100+'Weekly Summary'!AF$101,0)),'Equipment List &amp; Usage'!$C$115*(('Weekly Summary'!AF$128*'Equipment List &amp; Usage'!$AA28)+('Weekly Summary'!AF$100*'Equipment List &amp; Usage'!$AB28*SelfQuarantine_Mild)+('Weekly Summary'!AF$101*'Equipment List &amp; Usage'!$AB28*SelfQuarantine_Moderate)))+IF('Equipment List &amp; Usage'!$F28="Yes",('Equipment List &amp; Usage'!$C$114*(IF('Equipment List &amp; Usage'!$AE28&gt;0,'Weekly Summary'!AF$134,0)+IF('Equipment List &amp; Usage'!$AF28&gt;0,'Weekly Summary'!AF$135))),'Equipment List &amp; Usage'!$C$115*(('Weekly Summary'!AF$134*'Equipment List &amp; Usage'!$AE28)+('Weekly Summary'!AF$135*'Equipment List &amp; Usage'!$AF28)))),0)</f>
        <v>0</v>
      </c>
      <c r="AM26" s="1374">
        <f ca="1">MAX(IF($F26="Yes",(
IF($F26="yes",MMULT(--('Equipment List &amp; Usage'!$J28:$N28&gt;0),--('Weekly Summary'!AG$112:AG$116))*'Equipment List &amp; Usage'!$C$114,MMULT(--('Equipment List &amp; Usage'!$J28:$N28),--('Weekly Summary'!AG$112:AG$116))*'Equipment List &amp; Usage'!$C$115)+IF('Equipment List &amp; Usage'!$F27="yes",'Equipment List &amp; Usage'!$C$114,'Equipment List &amp; Usage'!$C$115)*(('Weekly Summary'!AG$66*'Equipment List &amp; Usage'!$Q28)+('Weekly Summary'!AG$64*'Equipment List &amp; Usage'!$O28)+('Weekly Summary'!AG$65*'Equipment List &amp; Usage'!$P28)))+(IF('Equipment List &amp; Usage'!$F28="Yes",'Equipment List &amp; Usage'!$C$114*((('Weekly Summary'!AG$131*SelfQuarantine_Mild)+('Weekly Summary'!AG$100*SelfQuarantine_Mild)+('Weekly Summary'!AG$101*SelfQuarantine_Moderate))),'Equipment List &amp; Usage'!$C$115)*((('Weekly Summary'!AG$131*SelfQuarantine_Mild*'Equipment List &amp; Usage'!$W28)+('Weekly Summary'!AG$100*SelfQuarantine_Mild*'Equipment List &amp; Usage'!$X28)+('Weekly Summary'!AG$101*SelfQuarantine_Moderate*'Equipment List &amp; Usage'!$X28)))+IF('Equipment List &amp; Usage'!$F28="Yes",'Equipment List &amp; Usage'!$C$114*(IF('Equipment List &amp; Usage'!$AA28&gt;0,'Weekly Summary'!AG$128,0)+IF('Equipment List &amp; Usage'!$AB28&gt;0,'Weekly Summary'!AG$100+'Weekly Summary'!AG$101,0)),'Equipment List &amp; Usage'!$C$115*(('Weekly Summary'!AG$128*'Equipment List &amp; Usage'!$AA28)+('Weekly Summary'!AG$100*'Equipment List &amp; Usage'!$AB28*SelfQuarantine_Mild)+('Weekly Summary'!AG$101*'Equipment List &amp; Usage'!$AB28*SelfQuarantine_Moderate)))+IF('Equipment List &amp; Usage'!$F28="Yes",('Equipment List &amp; Usage'!$C$114*(IF('Equipment List &amp; Usage'!$AE28&gt;0,'Weekly Summary'!AG$134,0)+IF('Equipment List &amp; Usage'!$AF28&gt;0,'Weekly Summary'!AG$135))),'Equipment List &amp; Usage'!$C$115*(('Weekly Summary'!AG$134*'Equipment List &amp; Usage'!$AE28)+('Weekly Summary'!AG$135*'Equipment List &amp; Usage'!$AF28))))-SUM($I26:AL26),
IF($F26="yes",MMULT(--('Equipment List &amp; Usage'!$J28:$N28&gt;0),--('Weekly Summary'!AG$112:AG$116))*'Equipment List &amp; Usage'!$C$114,MMULT(--('Equipment List &amp; Usage'!$J28:$N28),--('Weekly Summary'!AG$112:AG$116))*'Equipment List &amp; Usage'!$C$115)+IF('Equipment List &amp; Usage'!$F27="yes",'Equipment List &amp; Usage'!$C$114,'Equipment List &amp; Usage'!$C$115)*(('Weekly Summary'!AG$66*'Equipment List &amp; Usage'!$Q28)+('Weekly Summary'!AG$64*'Equipment List &amp; Usage'!$O28)+('Weekly Summary'!AG$65*'Equipment List &amp; Usage'!$P28))+(IF('Equipment List &amp; Usage'!$F28="Yes",'Equipment List &amp; Usage'!$C$114*((('Weekly Summary'!AG$131*SelfQuarantine_Mild)+('Weekly Summary'!AG$100*SelfQuarantine_Mild)+('Weekly Summary'!AG$101*SelfQuarantine_Moderate))),'Equipment List &amp; Usage'!$C$115)*((('Weekly Summary'!AG$131*SelfQuarantine_Mild*'Equipment List &amp; Usage'!$W28)+('Weekly Summary'!AG$100*SelfQuarantine_Mild*'Equipment List &amp; Usage'!$X28)+('Weekly Summary'!AG$101*SelfQuarantine_Moderate*'Equipment List &amp; Usage'!$X28))))+IF('Equipment List &amp; Usage'!$F28="Yes",'Equipment List &amp; Usage'!$C$114*(IF('Equipment List &amp; Usage'!$AA28&gt;0,'Weekly Summary'!AG$128,0)+IF('Equipment List &amp; Usage'!$AB28&gt;0,'Weekly Summary'!AG$100+'Weekly Summary'!AG$101,0)),'Equipment List &amp; Usage'!$C$115*(('Weekly Summary'!AG$128*'Equipment List &amp; Usage'!$AA28)+('Weekly Summary'!AG$100*'Equipment List &amp; Usage'!$AB28*SelfQuarantine_Mild)+('Weekly Summary'!AG$101*'Equipment List &amp; Usage'!$AB28*SelfQuarantine_Moderate)))+IF('Equipment List &amp; Usage'!$F28="Yes",('Equipment List &amp; Usage'!$C$114*(IF('Equipment List &amp; Usage'!$AE28&gt;0,'Weekly Summary'!AG$134,0)+IF('Equipment List &amp; Usage'!$AF28&gt;0,'Weekly Summary'!AG$135))),'Equipment List &amp; Usage'!$C$115*(('Weekly Summary'!AG$134*'Equipment List &amp; Usage'!$AE28)+('Weekly Summary'!AG$135*'Equipment List &amp; Usage'!$AF28)))),0)</f>
        <v>0</v>
      </c>
      <c r="AN26" s="1374">
        <f ca="1">MAX(IF($F26="Yes",(
IF($F26="yes",MMULT(--('Equipment List &amp; Usage'!$J28:$N28&gt;0),--('Weekly Summary'!AH$112:AH$116))*'Equipment List &amp; Usage'!$C$114,MMULT(--('Equipment List &amp; Usage'!$J28:$N28),--('Weekly Summary'!AH$112:AH$116))*'Equipment List &amp; Usage'!$C$115)+IF('Equipment List &amp; Usage'!$F27="yes",'Equipment List &amp; Usage'!$C$114,'Equipment List &amp; Usage'!$C$115)*(('Weekly Summary'!AH$66*'Equipment List &amp; Usage'!$Q28)+('Weekly Summary'!AH$64*'Equipment List &amp; Usage'!$O28)+('Weekly Summary'!AH$65*'Equipment List &amp; Usage'!$P28)))+(IF('Equipment List &amp; Usage'!$F28="Yes",'Equipment List &amp; Usage'!$C$114*((('Weekly Summary'!AH$131*SelfQuarantine_Mild)+('Weekly Summary'!AH$100*SelfQuarantine_Mild)+('Weekly Summary'!AH$101*SelfQuarantine_Moderate))),'Equipment List &amp; Usage'!$C$115)*((('Weekly Summary'!AH$131*SelfQuarantine_Mild*'Equipment List &amp; Usage'!$W28)+('Weekly Summary'!AH$100*SelfQuarantine_Mild*'Equipment List &amp; Usage'!$X28)+('Weekly Summary'!AH$101*SelfQuarantine_Moderate*'Equipment List &amp; Usage'!$X28)))+IF('Equipment List &amp; Usage'!$F28="Yes",'Equipment List &amp; Usage'!$C$114*(IF('Equipment List &amp; Usage'!$AA28&gt;0,'Weekly Summary'!AH$128,0)+IF('Equipment List &amp; Usage'!$AB28&gt;0,'Weekly Summary'!AH$100+'Weekly Summary'!AH$101,0)),'Equipment List &amp; Usage'!$C$115*(('Weekly Summary'!AH$128*'Equipment List &amp; Usage'!$AA28)+('Weekly Summary'!AH$100*'Equipment List &amp; Usage'!$AB28*SelfQuarantine_Mild)+('Weekly Summary'!AH$101*'Equipment List &amp; Usage'!$AB28*SelfQuarantine_Moderate)))+IF('Equipment List &amp; Usage'!$F28="Yes",('Equipment List &amp; Usage'!$C$114*(IF('Equipment List &amp; Usage'!$AE28&gt;0,'Weekly Summary'!AH$134,0)+IF('Equipment List &amp; Usage'!$AF28&gt;0,'Weekly Summary'!AH$135))),'Equipment List &amp; Usage'!$C$115*(('Weekly Summary'!AH$134*'Equipment List &amp; Usage'!$AE28)+('Weekly Summary'!AH$135*'Equipment List &amp; Usage'!$AF28))))-SUM($I26:AM26),
IF($F26="yes",MMULT(--('Equipment List &amp; Usage'!$J28:$N28&gt;0),--('Weekly Summary'!AH$112:AH$116))*'Equipment List &amp; Usage'!$C$114,MMULT(--('Equipment List &amp; Usage'!$J28:$N28),--('Weekly Summary'!AH$112:AH$116))*'Equipment List &amp; Usage'!$C$115)+IF('Equipment List &amp; Usage'!$F27="yes",'Equipment List &amp; Usage'!$C$114,'Equipment List &amp; Usage'!$C$115)*(('Weekly Summary'!AH$66*'Equipment List &amp; Usage'!$Q28)+('Weekly Summary'!AH$64*'Equipment List &amp; Usage'!$O28)+('Weekly Summary'!AH$65*'Equipment List &amp; Usage'!$P28))+(IF('Equipment List &amp; Usage'!$F28="Yes",'Equipment List &amp; Usage'!$C$114*((('Weekly Summary'!AH$131*SelfQuarantine_Mild)+('Weekly Summary'!AH$100*SelfQuarantine_Mild)+('Weekly Summary'!AH$101*SelfQuarantine_Moderate))),'Equipment List &amp; Usage'!$C$115)*((('Weekly Summary'!AH$131*SelfQuarantine_Mild*'Equipment List &amp; Usage'!$W28)+('Weekly Summary'!AH$100*SelfQuarantine_Mild*'Equipment List &amp; Usage'!$X28)+('Weekly Summary'!AH$101*SelfQuarantine_Moderate*'Equipment List &amp; Usage'!$X28))))+IF('Equipment List &amp; Usage'!$F28="Yes",'Equipment List &amp; Usage'!$C$114*(IF('Equipment List &amp; Usage'!$AA28&gt;0,'Weekly Summary'!AH$128,0)+IF('Equipment List &amp; Usage'!$AB28&gt;0,'Weekly Summary'!AH$100+'Weekly Summary'!AH$101,0)),'Equipment List &amp; Usage'!$C$115*(('Weekly Summary'!AH$128*'Equipment List &amp; Usage'!$AA28)+('Weekly Summary'!AH$100*'Equipment List &amp; Usage'!$AB28*SelfQuarantine_Mild)+('Weekly Summary'!AH$101*'Equipment List &amp; Usage'!$AB28*SelfQuarantine_Moderate)))+IF('Equipment List &amp; Usage'!$F28="Yes",('Equipment List &amp; Usage'!$C$114*(IF('Equipment List &amp; Usage'!$AE28&gt;0,'Weekly Summary'!AH$134,0)+IF('Equipment List &amp; Usage'!$AF28&gt;0,'Weekly Summary'!AH$135))),'Equipment List &amp; Usage'!$C$115*(('Weekly Summary'!AH$134*'Equipment List &amp; Usage'!$AE28)+('Weekly Summary'!AH$135*'Equipment List &amp; Usage'!$AF28)))),0)</f>
        <v>0</v>
      </c>
      <c r="AO26" s="1374">
        <f ca="1">MAX(IF($F26="Yes",(
IF($F26="yes",MMULT(--('Equipment List &amp; Usage'!$J28:$N28&gt;0),--('Weekly Summary'!AI$112:AI$116))*'Equipment List &amp; Usage'!$C$114,MMULT(--('Equipment List &amp; Usage'!$J28:$N28),--('Weekly Summary'!AI$112:AI$116))*'Equipment List &amp; Usage'!$C$115)+IF('Equipment List &amp; Usage'!$F27="yes",'Equipment List &amp; Usage'!$C$114,'Equipment List &amp; Usage'!$C$115)*(('Weekly Summary'!AI$66*'Equipment List &amp; Usage'!$Q28)+('Weekly Summary'!AI$64*'Equipment List &amp; Usage'!$O28)+('Weekly Summary'!AI$65*'Equipment List &amp; Usage'!$P28)))+(IF('Equipment List &amp; Usage'!$F28="Yes",'Equipment List &amp; Usage'!$C$114*((('Weekly Summary'!AI$131*SelfQuarantine_Mild)+('Weekly Summary'!AI$100*SelfQuarantine_Mild)+('Weekly Summary'!AI$101*SelfQuarantine_Moderate))),'Equipment List &amp; Usage'!$C$115)*((('Weekly Summary'!AI$131*SelfQuarantine_Mild*'Equipment List &amp; Usage'!$W28)+('Weekly Summary'!AI$100*SelfQuarantine_Mild*'Equipment List &amp; Usage'!$X28)+('Weekly Summary'!AI$101*SelfQuarantine_Moderate*'Equipment List &amp; Usage'!$X28)))+IF('Equipment List &amp; Usage'!$F28="Yes",'Equipment List &amp; Usage'!$C$114*(IF('Equipment List &amp; Usage'!$AA28&gt;0,'Weekly Summary'!AI$128,0)+IF('Equipment List &amp; Usage'!$AB28&gt;0,'Weekly Summary'!AI$100+'Weekly Summary'!AI$101,0)),'Equipment List &amp; Usage'!$C$115*(('Weekly Summary'!AI$128*'Equipment List &amp; Usage'!$AA28)+('Weekly Summary'!AI$100*'Equipment List &amp; Usage'!$AB28*SelfQuarantine_Mild)+('Weekly Summary'!AI$101*'Equipment List &amp; Usage'!$AB28*SelfQuarantine_Moderate)))+IF('Equipment List &amp; Usage'!$F28="Yes",('Equipment List &amp; Usage'!$C$114*(IF('Equipment List &amp; Usage'!$AE28&gt;0,'Weekly Summary'!AI$134,0)+IF('Equipment List &amp; Usage'!$AF28&gt;0,'Weekly Summary'!AI$135))),'Equipment List &amp; Usage'!$C$115*(('Weekly Summary'!AI$134*'Equipment List &amp; Usage'!$AE28)+('Weekly Summary'!AI$135*'Equipment List &amp; Usage'!$AF28))))-SUM($I26:AN26),
IF($F26="yes",MMULT(--('Equipment List &amp; Usage'!$J28:$N28&gt;0),--('Weekly Summary'!AI$112:AI$116))*'Equipment List &amp; Usage'!$C$114,MMULT(--('Equipment List &amp; Usage'!$J28:$N28),--('Weekly Summary'!AI$112:AI$116))*'Equipment List &amp; Usage'!$C$115)+IF('Equipment List &amp; Usage'!$F27="yes",'Equipment List &amp; Usage'!$C$114,'Equipment List &amp; Usage'!$C$115)*(('Weekly Summary'!AI$66*'Equipment List &amp; Usage'!$Q28)+('Weekly Summary'!AI$64*'Equipment List &amp; Usage'!$O28)+('Weekly Summary'!AI$65*'Equipment List &amp; Usage'!$P28))+(IF('Equipment List &amp; Usage'!$F28="Yes",'Equipment List &amp; Usage'!$C$114*((('Weekly Summary'!AI$131*SelfQuarantine_Mild)+('Weekly Summary'!AI$100*SelfQuarantine_Mild)+('Weekly Summary'!AI$101*SelfQuarantine_Moderate))),'Equipment List &amp; Usage'!$C$115)*((('Weekly Summary'!AI$131*SelfQuarantine_Mild*'Equipment List &amp; Usage'!$W28)+('Weekly Summary'!AI$100*SelfQuarantine_Mild*'Equipment List &amp; Usage'!$X28)+('Weekly Summary'!AI$101*SelfQuarantine_Moderate*'Equipment List &amp; Usage'!$X28))))+IF('Equipment List &amp; Usage'!$F28="Yes",'Equipment List &amp; Usage'!$C$114*(IF('Equipment List &amp; Usage'!$AA28&gt;0,'Weekly Summary'!AI$128,0)+IF('Equipment List &amp; Usage'!$AB28&gt;0,'Weekly Summary'!AI$100+'Weekly Summary'!AI$101,0)),'Equipment List &amp; Usage'!$C$115*(('Weekly Summary'!AI$128*'Equipment List &amp; Usage'!$AA28)+('Weekly Summary'!AI$100*'Equipment List &amp; Usage'!$AB28*SelfQuarantine_Mild)+('Weekly Summary'!AI$101*'Equipment List &amp; Usage'!$AB28*SelfQuarantine_Moderate)))+IF('Equipment List &amp; Usage'!$F28="Yes",('Equipment List &amp; Usage'!$C$114*(IF('Equipment List &amp; Usage'!$AE28&gt;0,'Weekly Summary'!AI$134,0)+IF('Equipment List &amp; Usage'!$AF28&gt;0,'Weekly Summary'!AI$135))),'Equipment List &amp; Usage'!$C$115*(('Weekly Summary'!AI$134*'Equipment List &amp; Usage'!$AE28)+('Weekly Summary'!AI$135*'Equipment List &amp; Usage'!$AF28)))),0)</f>
        <v>0</v>
      </c>
      <c r="AP26" s="1374">
        <f ca="1">MAX(IF($F26="Yes",(
IF($F26="yes",MMULT(--('Equipment List &amp; Usage'!$J28:$N28&gt;0),--('Weekly Summary'!AJ$112:AJ$116))*'Equipment List &amp; Usage'!$C$114,MMULT(--('Equipment List &amp; Usage'!$J28:$N28),--('Weekly Summary'!AJ$112:AJ$116))*'Equipment List &amp; Usage'!$C$115)+IF('Equipment List &amp; Usage'!$F27="yes",'Equipment List &amp; Usage'!$C$114,'Equipment List &amp; Usage'!$C$115)*(('Weekly Summary'!AJ$66*'Equipment List &amp; Usage'!$Q28)+('Weekly Summary'!AJ$64*'Equipment List &amp; Usage'!$O28)+('Weekly Summary'!AJ$65*'Equipment List &amp; Usage'!$P28)))+(IF('Equipment List &amp; Usage'!$F28="Yes",'Equipment List &amp; Usage'!$C$114*((('Weekly Summary'!AJ$131*SelfQuarantine_Mild)+('Weekly Summary'!AJ$100*SelfQuarantine_Mild)+('Weekly Summary'!AJ$101*SelfQuarantine_Moderate))),'Equipment List &amp; Usage'!$C$115)*((('Weekly Summary'!AJ$131*SelfQuarantine_Mild*'Equipment List &amp; Usage'!$W28)+('Weekly Summary'!AJ$100*SelfQuarantine_Mild*'Equipment List &amp; Usage'!$X28)+('Weekly Summary'!AJ$101*SelfQuarantine_Moderate*'Equipment List &amp; Usage'!$X28)))+IF('Equipment List &amp; Usage'!$F28="Yes",'Equipment List &amp; Usage'!$C$114*(IF('Equipment List &amp; Usage'!$AA28&gt;0,'Weekly Summary'!AJ$128,0)+IF('Equipment List &amp; Usage'!$AB28&gt;0,'Weekly Summary'!AJ$100+'Weekly Summary'!AJ$101,0)),'Equipment List &amp; Usage'!$C$115*(('Weekly Summary'!AJ$128*'Equipment List &amp; Usage'!$AA28)+('Weekly Summary'!AJ$100*'Equipment List &amp; Usage'!$AB28*SelfQuarantine_Mild)+('Weekly Summary'!AJ$101*'Equipment List &amp; Usage'!$AB28*SelfQuarantine_Moderate)))+IF('Equipment List &amp; Usage'!$F28="Yes",('Equipment List &amp; Usage'!$C$114*(IF('Equipment List &amp; Usage'!$AE28&gt;0,'Weekly Summary'!AJ$134,0)+IF('Equipment List &amp; Usage'!$AF28&gt;0,'Weekly Summary'!AJ$135))),'Equipment List &amp; Usage'!$C$115*(('Weekly Summary'!AJ$134*'Equipment List &amp; Usage'!$AE28)+('Weekly Summary'!AJ$135*'Equipment List &amp; Usage'!$AF28))))-SUM($I26:AO26),
IF($F26="yes",MMULT(--('Equipment List &amp; Usage'!$J28:$N28&gt;0),--('Weekly Summary'!AJ$112:AJ$116))*'Equipment List &amp; Usage'!$C$114,MMULT(--('Equipment List &amp; Usage'!$J28:$N28),--('Weekly Summary'!AJ$112:AJ$116))*'Equipment List &amp; Usage'!$C$115)+IF('Equipment List &amp; Usage'!$F27="yes",'Equipment List &amp; Usage'!$C$114,'Equipment List &amp; Usage'!$C$115)*(('Weekly Summary'!AJ$66*'Equipment List &amp; Usage'!$Q28)+('Weekly Summary'!AJ$64*'Equipment List &amp; Usage'!$O28)+('Weekly Summary'!AJ$65*'Equipment List &amp; Usage'!$P28))+(IF('Equipment List &amp; Usage'!$F28="Yes",'Equipment List &amp; Usage'!$C$114*((('Weekly Summary'!AJ$131*SelfQuarantine_Mild)+('Weekly Summary'!AJ$100*SelfQuarantine_Mild)+('Weekly Summary'!AJ$101*SelfQuarantine_Moderate))),'Equipment List &amp; Usage'!$C$115)*((('Weekly Summary'!AJ$131*SelfQuarantine_Mild*'Equipment List &amp; Usage'!$W28)+('Weekly Summary'!AJ$100*SelfQuarantine_Mild*'Equipment List &amp; Usage'!$X28)+('Weekly Summary'!AJ$101*SelfQuarantine_Moderate*'Equipment List &amp; Usage'!$X28))))+IF('Equipment List &amp; Usage'!$F28="Yes",'Equipment List &amp; Usage'!$C$114*(IF('Equipment List &amp; Usage'!$AA28&gt;0,'Weekly Summary'!AJ$128,0)+IF('Equipment List &amp; Usage'!$AB28&gt;0,'Weekly Summary'!AJ$100+'Weekly Summary'!AJ$101,0)),'Equipment List &amp; Usage'!$C$115*(('Weekly Summary'!AJ$128*'Equipment List &amp; Usage'!$AA28)+('Weekly Summary'!AJ$100*'Equipment List &amp; Usage'!$AB28*SelfQuarantine_Mild)+('Weekly Summary'!AJ$101*'Equipment List &amp; Usage'!$AB28*SelfQuarantine_Moderate)))+IF('Equipment List &amp; Usage'!$F28="Yes",('Equipment List &amp; Usage'!$C$114*(IF('Equipment List &amp; Usage'!$AE28&gt;0,'Weekly Summary'!AJ$134,0)+IF('Equipment List &amp; Usage'!$AF28&gt;0,'Weekly Summary'!AJ$135))),'Equipment List &amp; Usage'!$C$115*(('Weekly Summary'!AJ$134*'Equipment List &amp; Usage'!$AE28)+('Weekly Summary'!AJ$135*'Equipment List &amp; Usage'!$AF28)))),0)</f>
        <v>0</v>
      </c>
      <c r="AQ26" s="1374">
        <f ca="1">MAX(IF($F26="Yes",(
IF($F26="yes",MMULT(--('Equipment List &amp; Usage'!$J28:$N28&gt;0),--('Weekly Summary'!AK$112:AK$116))*'Equipment List &amp; Usage'!$C$114,MMULT(--('Equipment List &amp; Usage'!$J28:$N28),--('Weekly Summary'!AK$112:AK$116))*'Equipment List &amp; Usage'!$C$115)+IF('Equipment List &amp; Usage'!$F27="yes",'Equipment List &amp; Usage'!$C$114,'Equipment List &amp; Usage'!$C$115)*(('Weekly Summary'!AK$66*'Equipment List &amp; Usage'!$Q28)+('Weekly Summary'!AK$64*'Equipment List &amp; Usage'!$O28)+('Weekly Summary'!AK$65*'Equipment List &amp; Usage'!$P28)))+(IF('Equipment List &amp; Usage'!$F28="Yes",'Equipment List &amp; Usage'!$C$114*((('Weekly Summary'!AK$131*SelfQuarantine_Mild)+('Weekly Summary'!AK$100*SelfQuarantine_Mild)+('Weekly Summary'!AK$101*SelfQuarantine_Moderate))),'Equipment List &amp; Usage'!$C$115)*((('Weekly Summary'!AK$131*SelfQuarantine_Mild*'Equipment List &amp; Usage'!$W28)+('Weekly Summary'!AK$100*SelfQuarantine_Mild*'Equipment List &amp; Usage'!$X28)+('Weekly Summary'!AK$101*SelfQuarantine_Moderate*'Equipment List &amp; Usage'!$X28)))+IF('Equipment List &amp; Usage'!$F28="Yes",'Equipment List &amp; Usage'!$C$114*(IF('Equipment List &amp; Usage'!$AA28&gt;0,'Weekly Summary'!AK$128,0)+IF('Equipment List &amp; Usage'!$AB28&gt;0,'Weekly Summary'!AK$100+'Weekly Summary'!AK$101,0)),'Equipment List &amp; Usage'!$C$115*(('Weekly Summary'!AK$128*'Equipment List &amp; Usage'!$AA28)+('Weekly Summary'!AK$100*'Equipment List &amp; Usage'!$AB28*SelfQuarantine_Mild)+('Weekly Summary'!AK$101*'Equipment List &amp; Usage'!$AB28*SelfQuarantine_Moderate)))+IF('Equipment List &amp; Usage'!$F28="Yes",('Equipment List &amp; Usage'!$C$114*(IF('Equipment List &amp; Usage'!$AE28&gt;0,'Weekly Summary'!AK$134,0)+IF('Equipment List &amp; Usage'!$AF28&gt;0,'Weekly Summary'!AK$135))),'Equipment List &amp; Usage'!$C$115*(('Weekly Summary'!AK$134*'Equipment List &amp; Usage'!$AE28)+('Weekly Summary'!AK$135*'Equipment List &amp; Usage'!$AF28))))-SUM($I26:AP26),
IF($F26="yes",MMULT(--('Equipment List &amp; Usage'!$J28:$N28&gt;0),--('Weekly Summary'!AK$112:AK$116))*'Equipment List &amp; Usage'!$C$114,MMULT(--('Equipment List &amp; Usage'!$J28:$N28),--('Weekly Summary'!AK$112:AK$116))*'Equipment List &amp; Usage'!$C$115)+IF('Equipment List &amp; Usage'!$F27="yes",'Equipment List &amp; Usage'!$C$114,'Equipment List &amp; Usage'!$C$115)*(('Weekly Summary'!AK$66*'Equipment List &amp; Usage'!$Q28)+('Weekly Summary'!AK$64*'Equipment List &amp; Usage'!$O28)+('Weekly Summary'!AK$65*'Equipment List &amp; Usage'!$P28))+(IF('Equipment List &amp; Usage'!$F28="Yes",'Equipment List &amp; Usage'!$C$114*((('Weekly Summary'!AK$131*SelfQuarantine_Mild)+('Weekly Summary'!AK$100*SelfQuarantine_Mild)+('Weekly Summary'!AK$101*SelfQuarantine_Moderate))),'Equipment List &amp; Usage'!$C$115)*((('Weekly Summary'!AK$131*SelfQuarantine_Mild*'Equipment List &amp; Usage'!$W28)+('Weekly Summary'!AK$100*SelfQuarantine_Mild*'Equipment List &amp; Usage'!$X28)+('Weekly Summary'!AK$101*SelfQuarantine_Moderate*'Equipment List &amp; Usage'!$X28))))+IF('Equipment List &amp; Usage'!$F28="Yes",'Equipment List &amp; Usage'!$C$114*(IF('Equipment List &amp; Usage'!$AA28&gt;0,'Weekly Summary'!AK$128,0)+IF('Equipment List &amp; Usage'!$AB28&gt;0,'Weekly Summary'!AK$100+'Weekly Summary'!AK$101,0)),'Equipment List &amp; Usage'!$C$115*(('Weekly Summary'!AK$128*'Equipment List &amp; Usage'!$AA28)+('Weekly Summary'!AK$100*'Equipment List &amp; Usage'!$AB28*SelfQuarantine_Mild)+('Weekly Summary'!AK$101*'Equipment List &amp; Usage'!$AB28*SelfQuarantine_Moderate)))+IF('Equipment List &amp; Usage'!$F28="Yes",('Equipment List &amp; Usage'!$C$114*(IF('Equipment List &amp; Usage'!$AE28&gt;0,'Weekly Summary'!AK$134,0)+IF('Equipment List &amp; Usage'!$AF28&gt;0,'Weekly Summary'!AK$135))),'Equipment List &amp; Usage'!$C$115*(('Weekly Summary'!AK$134*'Equipment List &amp; Usage'!$AE28)+('Weekly Summary'!AK$135*'Equipment List &amp; Usage'!$AF28)))),0)</f>
        <v>0</v>
      </c>
      <c r="AR26" s="1374">
        <f ca="1">MAX(IF($F26="Yes",(
IF($F26="yes",MMULT(--('Equipment List &amp; Usage'!$J28:$N28&gt;0),--('Weekly Summary'!AL$112:AL$116))*'Equipment List &amp; Usage'!$C$114,MMULT(--('Equipment List &amp; Usage'!$J28:$N28),--('Weekly Summary'!AL$112:AL$116))*'Equipment List &amp; Usage'!$C$115)+IF('Equipment List &amp; Usage'!$F27="yes",'Equipment List &amp; Usage'!$C$114,'Equipment List &amp; Usage'!$C$115)*(('Weekly Summary'!AL$66*'Equipment List &amp; Usage'!$Q28)+('Weekly Summary'!AL$64*'Equipment List &amp; Usage'!$O28)+('Weekly Summary'!AL$65*'Equipment List &amp; Usage'!$P28)))+(IF('Equipment List &amp; Usage'!$F28="Yes",'Equipment List &amp; Usage'!$C$114*((('Weekly Summary'!AL$131*SelfQuarantine_Mild)+('Weekly Summary'!AL$100*SelfQuarantine_Mild)+('Weekly Summary'!AL$101*SelfQuarantine_Moderate))),'Equipment List &amp; Usage'!$C$115)*((('Weekly Summary'!AL$131*SelfQuarantine_Mild*'Equipment List &amp; Usage'!$W28)+('Weekly Summary'!AL$100*SelfQuarantine_Mild*'Equipment List &amp; Usage'!$X28)+('Weekly Summary'!AL$101*SelfQuarantine_Moderate*'Equipment List &amp; Usage'!$X28)))+IF('Equipment List &amp; Usage'!$F28="Yes",'Equipment List &amp; Usage'!$C$114*(IF('Equipment List &amp; Usage'!$AA28&gt;0,'Weekly Summary'!AL$128,0)+IF('Equipment List &amp; Usage'!$AB28&gt;0,'Weekly Summary'!AL$100+'Weekly Summary'!AL$101,0)),'Equipment List &amp; Usage'!$C$115*(('Weekly Summary'!AL$128*'Equipment List &amp; Usage'!$AA28)+('Weekly Summary'!AL$100*'Equipment List &amp; Usage'!$AB28*SelfQuarantine_Mild)+('Weekly Summary'!AL$101*'Equipment List &amp; Usage'!$AB28*SelfQuarantine_Moderate)))+IF('Equipment List &amp; Usage'!$F28="Yes",('Equipment List &amp; Usage'!$C$114*(IF('Equipment List &amp; Usage'!$AE28&gt;0,'Weekly Summary'!AL$134,0)+IF('Equipment List &amp; Usage'!$AF28&gt;0,'Weekly Summary'!AL$135))),'Equipment List &amp; Usage'!$C$115*(('Weekly Summary'!AL$134*'Equipment List &amp; Usage'!$AE28)+('Weekly Summary'!AL$135*'Equipment List &amp; Usage'!$AF28))))-SUM($I26:AQ26),
IF($F26="yes",MMULT(--('Equipment List &amp; Usage'!$J28:$N28&gt;0),--('Weekly Summary'!AL$112:AL$116))*'Equipment List &amp; Usage'!$C$114,MMULT(--('Equipment List &amp; Usage'!$J28:$N28),--('Weekly Summary'!AL$112:AL$116))*'Equipment List &amp; Usage'!$C$115)+IF('Equipment List &amp; Usage'!$F27="yes",'Equipment List &amp; Usage'!$C$114,'Equipment List &amp; Usage'!$C$115)*(('Weekly Summary'!AL$66*'Equipment List &amp; Usage'!$Q28)+('Weekly Summary'!AL$64*'Equipment List &amp; Usage'!$O28)+('Weekly Summary'!AL$65*'Equipment List &amp; Usage'!$P28))+(IF('Equipment List &amp; Usage'!$F28="Yes",'Equipment List &amp; Usage'!$C$114*((('Weekly Summary'!AL$131*SelfQuarantine_Mild)+('Weekly Summary'!AL$100*SelfQuarantine_Mild)+('Weekly Summary'!AL$101*SelfQuarantine_Moderate))),'Equipment List &amp; Usage'!$C$115)*((('Weekly Summary'!AL$131*SelfQuarantine_Mild*'Equipment List &amp; Usage'!$W28)+('Weekly Summary'!AL$100*SelfQuarantine_Mild*'Equipment List &amp; Usage'!$X28)+('Weekly Summary'!AL$101*SelfQuarantine_Moderate*'Equipment List &amp; Usage'!$X28))))+IF('Equipment List &amp; Usage'!$F28="Yes",'Equipment List &amp; Usage'!$C$114*(IF('Equipment List &amp; Usage'!$AA28&gt;0,'Weekly Summary'!AL$128,0)+IF('Equipment List &amp; Usage'!$AB28&gt;0,'Weekly Summary'!AL$100+'Weekly Summary'!AL$101,0)),'Equipment List &amp; Usage'!$C$115*(('Weekly Summary'!AL$128*'Equipment List &amp; Usage'!$AA28)+('Weekly Summary'!AL$100*'Equipment List &amp; Usage'!$AB28*SelfQuarantine_Mild)+('Weekly Summary'!AL$101*'Equipment List &amp; Usage'!$AB28*SelfQuarantine_Moderate)))+IF('Equipment List &amp; Usage'!$F28="Yes",('Equipment List &amp; Usage'!$C$114*(IF('Equipment List &amp; Usage'!$AE28&gt;0,'Weekly Summary'!AL$134,0)+IF('Equipment List &amp; Usage'!$AF28&gt;0,'Weekly Summary'!AL$135))),'Equipment List &amp; Usage'!$C$115*(('Weekly Summary'!AL$134*'Equipment List &amp; Usage'!$AE28)+('Weekly Summary'!AL$135*'Equipment List &amp; Usage'!$AF28)))),0)</f>
        <v>0</v>
      </c>
      <c r="AS26" s="1374">
        <f ca="1">MAX(IF($F26="Yes",(
IF($F26="yes",MMULT(--('Equipment List &amp; Usage'!$J28:$N28&gt;0),--('Weekly Summary'!AM$112:AM$116))*'Equipment List &amp; Usage'!$C$114,MMULT(--('Equipment List &amp; Usage'!$J28:$N28),--('Weekly Summary'!AM$112:AM$116))*'Equipment List &amp; Usage'!$C$115)+IF('Equipment List &amp; Usage'!$F27="yes",'Equipment List &amp; Usage'!$C$114,'Equipment List &amp; Usage'!$C$115)*(('Weekly Summary'!AM$66*'Equipment List &amp; Usage'!$Q28)+('Weekly Summary'!AM$64*'Equipment List &amp; Usage'!$O28)+('Weekly Summary'!AM$65*'Equipment List &amp; Usage'!$P28)))+(IF('Equipment List &amp; Usage'!$F28="Yes",'Equipment List &amp; Usage'!$C$114*((('Weekly Summary'!AM$131*SelfQuarantine_Mild)+('Weekly Summary'!AM$100*SelfQuarantine_Mild)+('Weekly Summary'!AM$101*SelfQuarantine_Moderate))),'Equipment List &amp; Usage'!$C$115)*((('Weekly Summary'!AM$131*SelfQuarantine_Mild*'Equipment List &amp; Usage'!$W28)+('Weekly Summary'!AM$100*SelfQuarantine_Mild*'Equipment List &amp; Usage'!$X28)+('Weekly Summary'!AM$101*SelfQuarantine_Moderate*'Equipment List &amp; Usage'!$X28)))+IF('Equipment List &amp; Usage'!$F28="Yes",'Equipment List &amp; Usage'!$C$114*(IF('Equipment List &amp; Usage'!$AA28&gt;0,'Weekly Summary'!AM$128,0)+IF('Equipment List &amp; Usage'!$AB28&gt;0,'Weekly Summary'!AM$100+'Weekly Summary'!AM$101,0)),'Equipment List &amp; Usage'!$C$115*(('Weekly Summary'!AM$128*'Equipment List &amp; Usage'!$AA28)+('Weekly Summary'!AM$100*'Equipment List &amp; Usage'!$AB28*SelfQuarantine_Mild)+('Weekly Summary'!AM$101*'Equipment List &amp; Usage'!$AB28*SelfQuarantine_Moderate)))+IF('Equipment List &amp; Usage'!$F28="Yes",('Equipment List &amp; Usage'!$C$114*(IF('Equipment List &amp; Usage'!$AE28&gt;0,'Weekly Summary'!AM$134,0)+IF('Equipment List &amp; Usage'!$AF28&gt;0,'Weekly Summary'!AM$135))),'Equipment List &amp; Usage'!$C$115*(('Weekly Summary'!AM$134*'Equipment List &amp; Usage'!$AE28)+('Weekly Summary'!AM$135*'Equipment List &amp; Usage'!$AF28))))-SUM($I26:AR26),
IF($F26="yes",MMULT(--('Equipment List &amp; Usage'!$J28:$N28&gt;0),--('Weekly Summary'!AM$112:AM$116))*'Equipment List &amp; Usage'!$C$114,MMULT(--('Equipment List &amp; Usage'!$J28:$N28),--('Weekly Summary'!AM$112:AM$116))*'Equipment List &amp; Usage'!$C$115)+IF('Equipment List &amp; Usage'!$F27="yes",'Equipment List &amp; Usage'!$C$114,'Equipment List &amp; Usage'!$C$115)*(('Weekly Summary'!AM$66*'Equipment List &amp; Usage'!$Q28)+('Weekly Summary'!AM$64*'Equipment List &amp; Usage'!$O28)+('Weekly Summary'!AM$65*'Equipment List &amp; Usage'!$P28))+(IF('Equipment List &amp; Usage'!$F28="Yes",'Equipment List &amp; Usage'!$C$114*((('Weekly Summary'!AM$131*SelfQuarantine_Mild)+('Weekly Summary'!AM$100*SelfQuarantine_Mild)+('Weekly Summary'!AM$101*SelfQuarantine_Moderate))),'Equipment List &amp; Usage'!$C$115)*((('Weekly Summary'!AM$131*SelfQuarantine_Mild*'Equipment List &amp; Usage'!$W28)+('Weekly Summary'!AM$100*SelfQuarantine_Mild*'Equipment List &amp; Usage'!$X28)+('Weekly Summary'!AM$101*SelfQuarantine_Moderate*'Equipment List &amp; Usage'!$X28))))+IF('Equipment List &amp; Usage'!$F28="Yes",'Equipment List &amp; Usage'!$C$114*(IF('Equipment List &amp; Usage'!$AA28&gt;0,'Weekly Summary'!AM$128,0)+IF('Equipment List &amp; Usage'!$AB28&gt;0,'Weekly Summary'!AM$100+'Weekly Summary'!AM$101,0)),'Equipment List &amp; Usage'!$C$115*(('Weekly Summary'!AM$128*'Equipment List &amp; Usage'!$AA28)+('Weekly Summary'!AM$100*'Equipment List &amp; Usage'!$AB28*SelfQuarantine_Mild)+('Weekly Summary'!AM$101*'Equipment List &amp; Usage'!$AB28*SelfQuarantine_Moderate)))+IF('Equipment List &amp; Usage'!$F28="Yes",('Equipment List &amp; Usage'!$C$114*(IF('Equipment List &amp; Usage'!$AE28&gt;0,'Weekly Summary'!AM$134,0)+IF('Equipment List &amp; Usage'!$AF28&gt;0,'Weekly Summary'!AM$135))),'Equipment List &amp; Usage'!$C$115*(('Weekly Summary'!AM$134*'Equipment List &amp; Usage'!$AE28)+('Weekly Summary'!AM$135*'Equipment List &amp; Usage'!$AF28)))),0)</f>
        <v>0</v>
      </c>
      <c r="AT26" s="1374">
        <f ca="1">MAX(IF($F26="Yes",(
IF($F26="yes",MMULT(--('Equipment List &amp; Usage'!$J28:$N28&gt;0),--('Weekly Summary'!AN$112:AN$116))*'Equipment List &amp; Usage'!$C$114,MMULT(--('Equipment List &amp; Usage'!$J28:$N28),--('Weekly Summary'!AN$112:AN$116))*'Equipment List &amp; Usage'!$C$115)+IF('Equipment List &amp; Usage'!$F27="yes",'Equipment List &amp; Usage'!$C$114,'Equipment List &amp; Usage'!$C$115)*(('Weekly Summary'!AN$66*'Equipment List &amp; Usage'!$Q28)+('Weekly Summary'!AN$64*'Equipment List &amp; Usage'!$O28)+('Weekly Summary'!AN$65*'Equipment List &amp; Usage'!$P28)))+(IF('Equipment List &amp; Usage'!$F28="Yes",'Equipment List &amp; Usage'!$C$114*((('Weekly Summary'!AN$131*SelfQuarantine_Mild)+('Weekly Summary'!AN$100*SelfQuarantine_Mild)+('Weekly Summary'!AN$101*SelfQuarantine_Moderate))),'Equipment List &amp; Usage'!$C$115)*((('Weekly Summary'!AN$131*SelfQuarantine_Mild*'Equipment List &amp; Usage'!$W28)+('Weekly Summary'!AN$100*SelfQuarantine_Mild*'Equipment List &amp; Usage'!$X28)+('Weekly Summary'!AN$101*SelfQuarantine_Moderate*'Equipment List &amp; Usage'!$X28)))+IF('Equipment List &amp; Usage'!$F28="Yes",'Equipment List &amp; Usage'!$C$114*(IF('Equipment List &amp; Usage'!$AA28&gt;0,'Weekly Summary'!AN$128,0)+IF('Equipment List &amp; Usage'!$AB28&gt;0,'Weekly Summary'!AN$100+'Weekly Summary'!AN$101,0)),'Equipment List &amp; Usage'!$C$115*(('Weekly Summary'!AN$128*'Equipment List &amp; Usage'!$AA28)+('Weekly Summary'!AN$100*'Equipment List &amp; Usage'!$AB28*SelfQuarantine_Mild)+('Weekly Summary'!AN$101*'Equipment List &amp; Usage'!$AB28*SelfQuarantine_Moderate)))+IF('Equipment List &amp; Usage'!$F28="Yes",('Equipment List &amp; Usage'!$C$114*(IF('Equipment List &amp; Usage'!$AE28&gt;0,'Weekly Summary'!AN$134,0)+IF('Equipment List &amp; Usage'!$AF28&gt;0,'Weekly Summary'!AN$135))),'Equipment List &amp; Usage'!$C$115*(('Weekly Summary'!AN$134*'Equipment List &amp; Usage'!$AE28)+('Weekly Summary'!AN$135*'Equipment List &amp; Usage'!$AF28))))-SUM($I26:AS26),
IF($F26="yes",MMULT(--('Equipment List &amp; Usage'!$J28:$N28&gt;0),--('Weekly Summary'!AN$112:AN$116))*'Equipment List &amp; Usage'!$C$114,MMULT(--('Equipment List &amp; Usage'!$J28:$N28),--('Weekly Summary'!AN$112:AN$116))*'Equipment List &amp; Usage'!$C$115)+IF('Equipment List &amp; Usage'!$F27="yes",'Equipment List &amp; Usage'!$C$114,'Equipment List &amp; Usage'!$C$115)*(('Weekly Summary'!AN$66*'Equipment List &amp; Usage'!$Q28)+('Weekly Summary'!AN$64*'Equipment List &amp; Usage'!$O28)+('Weekly Summary'!AN$65*'Equipment List &amp; Usage'!$P28))+(IF('Equipment List &amp; Usage'!$F28="Yes",'Equipment List &amp; Usage'!$C$114*((('Weekly Summary'!AN$131*SelfQuarantine_Mild)+('Weekly Summary'!AN$100*SelfQuarantine_Mild)+('Weekly Summary'!AN$101*SelfQuarantine_Moderate))),'Equipment List &amp; Usage'!$C$115)*((('Weekly Summary'!AN$131*SelfQuarantine_Mild*'Equipment List &amp; Usage'!$W28)+('Weekly Summary'!AN$100*SelfQuarantine_Mild*'Equipment List &amp; Usage'!$X28)+('Weekly Summary'!AN$101*SelfQuarantine_Moderate*'Equipment List &amp; Usage'!$X28))))+IF('Equipment List &amp; Usage'!$F28="Yes",'Equipment List &amp; Usage'!$C$114*(IF('Equipment List &amp; Usage'!$AA28&gt;0,'Weekly Summary'!AN$128,0)+IF('Equipment List &amp; Usage'!$AB28&gt;0,'Weekly Summary'!AN$100+'Weekly Summary'!AN$101,0)),'Equipment List &amp; Usage'!$C$115*(('Weekly Summary'!AN$128*'Equipment List &amp; Usage'!$AA28)+('Weekly Summary'!AN$100*'Equipment List &amp; Usage'!$AB28*SelfQuarantine_Mild)+('Weekly Summary'!AN$101*'Equipment List &amp; Usage'!$AB28*SelfQuarantine_Moderate)))+IF('Equipment List &amp; Usage'!$F28="Yes",('Equipment List &amp; Usage'!$C$114*(IF('Equipment List &amp; Usage'!$AE28&gt;0,'Weekly Summary'!AN$134,0)+IF('Equipment List &amp; Usage'!$AF28&gt;0,'Weekly Summary'!AN$135))),'Equipment List &amp; Usage'!$C$115*(('Weekly Summary'!AN$134*'Equipment List &amp; Usage'!$AE28)+('Weekly Summary'!AN$135*'Equipment List &amp; Usage'!$AF28)))),0)</f>
        <v>0</v>
      </c>
      <c r="AU26" s="1374">
        <f ca="1">MAX(IF($F26="Yes",(
IF($F26="yes",MMULT(--('Equipment List &amp; Usage'!$J28:$N28&gt;0),--('Weekly Summary'!AO$112:AO$116))*'Equipment List &amp; Usage'!$C$114,MMULT(--('Equipment List &amp; Usage'!$J28:$N28),--('Weekly Summary'!AO$112:AO$116))*'Equipment List &amp; Usage'!$C$115)+IF('Equipment List &amp; Usage'!$F27="yes",'Equipment List &amp; Usage'!$C$114,'Equipment List &amp; Usage'!$C$115)*(('Weekly Summary'!AO$66*'Equipment List &amp; Usage'!$Q28)+('Weekly Summary'!AO$64*'Equipment List &amp; Usage'!$O28)+('Weekly Summary'!AO$65*'Equipment List &amp; Usage'!$P28)))+(IF('Equipment List &amp; Usage'!$F28="Yes",'Equipment List &amp; Usage'!$C$114*((('Weekly Summary'!AO$131*SelfQuarantine_Mild)+('Weekly Summary'!AO$100*SelfQuarantine_Mild)+('Weekly Summary'!AO$101*SelfQuarantine_Moderate))),'Equipment List &amp; Usage'!$C$115)*((('Weekly Summary'!AO$131*SelfQuarantine_Mild*'Equipment List &amp; Usage'!$W28)+('Weekly Summary'!AO$100*SelfQuarantine_Mild*'Equipment List &amp; Usage'!$X28)+('Weekly Summary'!AO$101*SelfQuarantine_Moderate*'Equipment List &amp; Usage'!$X28)))+IF('Equipment List &amp; Usage'!$F28="Yes",'Equipment List &amp; Usage'!$C$114*(IF('Equipment List &amp; Usage'!$AA28&gt;0,'Weekly Summary'!AO$128,0)+IF('Equipment List &amp; Usage'!$AB28&gt;0,'Weekly Summary'!AO$100+'Weekly Summary'!AO$101,0)),'Equipment List &amp; Usage'!$C$115*(('Weekly Summary'!AO$128*'Equipment List &amp; Usage'!$AA28)+('Weekly Summary'!AO$100*'Equipment List &amp; Usage'!$AB28*SelfQuarantine_Mild)+('Weekly Summary'!AO$101*'Equipment List &amp; Usage'!$AB28*SelfQuarantine_Moderate)))+IF('Equipment List &amp; Usage'!$F28="Yes",('Equipment List &amp; Usage'!$C$114*(IF('Equipment List &amp; Usage'!$AE28&gt;0,'Weekly Summary'!AO$134,0)+IF('Equipment List &amp; Usage'!$AF28&gt;0,'Weekly Summary'!AO$135))),'Equipment List &amp; Usage'!$C$115*(('Weekly Summary'!AO$134*'Equipment List &amp; Usage'!$AE28)+('Weekly Summary'!AO$135*'Equipment List &amp; Usage'!$AF28))))-SUM($I26:AT26),
IF($F26="yes",MMULT(--('Equipment List &amp; Usage'!$J28:$N28&gt;0),--('Weekly Summary'!AO$112:AO$116))*'Equipment List &amp; Usage'!$C$114,MMULT(--('Equipment List &amp; Usage'!$J28:$N28),--('Weekly Summary'!AO$112:AO$116))*'Equipment List &amp; Usage'!$C$115)+IF('Equipment List &amp; Usage'!$F27="yes",'Equipment List &amp; Usage'!$C$114,'Equipment List &amp; Usage'!$C$115)*(('Weekly Summary'!AO$66*'Equipment List &amp; Usage'!$Q28)+('Weekly Summary'!AO$64*'Equipment List &amp; Usage'!$O28)+('Weekly Summary'!AO$65*'Equipment List &amp; Usage'!$P28))+(IF('Equipment List &amp; Usage'!$F28="Yes",'Equipment List &amp; Usage'!$C$114*((('Weekly Summary'!AO$131*SelfQuarantine_Mild)+('Weekly Summary'!AO$100*SelfQuarantine_Mild)+('Weekly Summary'!AO$101*SelfQuarantine_Moderate))),'Equipment List &amp; Usage'!$C$115)*((('Weekly Summary'!AO$131*SelfQuarantine_Mild*'Equipment List &amp; Usage'!$W28)+('Weekly Summary'!AO$100*SelfQuarantine_Mild*'Equipment List &amp; Usage'!$X28)+('Weekly Summary'!AO$101*SelfQuarantine_Moderate*'Equipment List &amp; Usage'!$X28))))+IF('Equipment List &amp; Usage'!$F28="Yes",'Equipment List &amp; Usage'!$C$114*(IF('Equipment List &amp; Usage'!$AA28&gt;0,'Weekly Summary'!AO$128,0)+IF('Equipment List &amp; Usage'!$AB28&gt;0,'Weekly Summary'!AO$100+'Weekly Summary'!AO$101,0)),'Equipment List &amp; Usage'!$C$115*(('Weekly Summary'!AO$128*'Equipment List &amp; Usage'!$AA28)+('Weekly Summary'!AO$100*'Equipment List &amp; Usage'!$AB28*SelfQuarantine_Mild)+('Weekly Summary'!AO$101*'Equipment List &amp; Usage'!$AB28*SelfQuarantine_Moderate)))+IF('Equipment List &amp; Usage'!$F28="Yes",('Equipment List &amp; Usage'!$C$114*(IF('Equipment List &amp; Usage'!$AE28&gt;0,'Weekly Summary'!AO$134,0)+IF('Equipment List &amp; Usage'!$AF28&gt;0,'Weekly Summary'!AO$135))),'Equipment List &amp; Usage'!$C$115*(('Weekly Summary'!AO$134*'Equipment List &amp; Usage'!$AE28)+('Weekly Summary'!AO$135*'Equipment List &amp; Usage'!$AF28)))),0)</f>
        <v>0</v>
      </c>
      <c r="AV26" s="1374">
        <f ca="1">MAX(IF($F26="Yes",(
IF($F26="yes",MMULT(--('Equipment List &amp; Usage'!$J28:$N28&gt;0),--('Weekly Summary'!AP$112:AP$116))*'Equipment List &amp; Usage'!$C$114,MMULT(--('Equipment List &amp; Usage'!$J28:$N28),--('Weekly Summary'!AP$112:AP$116))*'Equipment List &amp; Usage'!$C$115)+IF('Equipment List &amp; Usage'!$F27="yes",'Equipment List &amp; Usage'!$C$114,'Equipment List &amp; Usage'!$C$115)*(('Weekly Summary'!AP$66*'Equipment List &amp; Usage'!$Q28)+('Weekly Summary'!AP$64*'Equipment List &amp; Usage'!$O28)+('Weekly Summary'!AP$65*'Equipment List &amp; Usage'!$P28)))+(IF('Equipment List &amp; Usage'!$F28="Yes",'Equipment List &amp; Usage'!$C$114*((('Weekly Summary'!AP$131*SelfQuarantine_Mild)+('Weekly Summary'!AP$100*SelfQuarantine_Mild)+('Weekly Summary'!AP$101*SelfQuarantine_Moderate))),'Equipment List &amp; Usage'!$C$115)*((('Weekly Summary'!AP$131*SelfQuarantine_Mild*'Equipment List &amp; Usage'!$W28)+('Weekly Summary'!AP$100*SelfQuarantine_Mild*'Equipment List &amp; Usage'!$X28)+('Weekly Summary'!AP$101*SelfQuarantine_Moderate*'Equipment List &amp; Usage'!$X28)))+IF('Equipment List &amp; Usage'!$F28="Yes",'Equipment List &amp; Usage'!$C$114*(IF('Equipment List &amp; Usage'!$AA28&gt;0,'Weekly Summary'!AP$128,0)+IF('Equipment List &amp; Usage'!$AB28&gt;0,'Weekly Summary'!AP$100+'Weekly Summary'!AP$101,0)),'Equipment List &amp; Usage'!$C$115*(('Weekly Summary'!AP$128*'Equipment List &amp; Usage'!$AA28)+('Weekly Summary'!AP$100*'Equipment List &amp; Usage'!$AB28*SelfQuarantine_Mild)+('Weekly Summary'!AP$101*'Equipment List &amp; Usage'!$AB28*SelfQuarantine_Moderate)))+IF('Equipment List &amp; Usage'!$F28="Yes",('Equipment List &amp; Usage'!$C$114*(IF('Equipment List &amp; Usage'!$AE28&gt;0,'Weekly Summary'!AP$134,0)+IF('Equipment List &amp; Usage'!$AF28&gt;0,'Weekly Summary'!AP$135))),'Equipment List &amp; Usage'!$C$115*(('Weekly Summary'!AP$134*'Equipment List &amp; Usage'!$AE28)+('Weekly Summary'!AP$135*'Equipment List &amp; Usage'!$AF28))))-SUM($I26:AU26),
IF($F26="yes",MMULT(--('Equipment List &amp; Usage'!$J28:$N28&gt;0),--('Weekly Summary'!AP$112:AP$116))*'Equipment List &amp; Usage'!$C$114,MMULT(--('Equipment List &amp; Usage'!$J28:$N28),--('Weekly Summary'!AP$112:AP$116))*'Equipment List &amp; Usage'!$C$115)+IF('Equipment List &amp; Usage'!$F27="yes",'Equipment List &amp; Usage'!$C$114,'Equipment List &amp; Usage'!$C$115)*(('Weekly Summary'!AP$66*'Equipment List &amp; Usage'!$Q28)+('Weekly Summary'!AP$64*'Equipment List &amp; Usage'!$O28)+('Weekly Summary'!AP$65*'Equipment List &amp; Usage'!$P28))+(IF('Equipment List &amp; Usage'!$F28="Yes",'Equipment List &amp; Usage'!$C$114*((('Weekly Summary'!AP$131*SelfQuarantine_Mild)+('Weekly Summary'!AP$100*SelfQuarantine_Mild)+('Weekly Summary'!AP$101*SelfQuarantine_Moderate))),'Equipment List &amp; Usage'!$C$115)*((('Weekly Summary'!AP$131*SelfQuarantine_Mild*'Equipment List &amp; Usage'!$W28)+('Weekly Summary'!AP$100*SelfQuarantine_Mild*'Equipment List &amp; Usage'!$X28)+('Weekly Summary'!AP$101*SelfQuarantine_Moderate*'Equipment List &amp; Usage'!$X28))))+IF('Equipment List &amp; Usage'!$F28="Yes",'Equipment List &amp; Usage'!$C$114*(IF('Equipment List &amp; Usage'!$AA28&gt;0,'Weekly Summary'!AP$128,0)+IF('Equipment List &amp; Usage'!$AB28&gt;0,'Weekly Summary'!AP$100+'Weekly Summary'!AP$101,0)),'Equipment List &amp; Usage'!$C$115*(('Weekly Summary'!AP$128*'Equipment List &amp; Usage'!$AA28)+('Weekly Summary'!AP$100*'Equipment List &amp; Usage'!$AB28*SelfQuarantine_Mild)+('Weekly Summary'!AP$101*'Equipment List &amp; Usage'!$AB28*SelfQuarantine_Moderate)))+IF('Equipment List &amp; Usage'!$F28="Yes",('Equipment List &amp; Usage'!$C$114*(IF('Equipment List &amp; Usage'!$AE28&gt;0,'Weekly Summary'!AP$134,0)+IF('Equipment List &amp; Usage'!$AF28&gt;0,'Weekly Summary'!AP$135))),'Equipment List &amp; Usage'!$C$115*(('Weekly Summary'!AP$134*'Equipment List &amp; Usage'!$AE28)+('Weekly Summary'!AP$135*'Equipment List &amp; Usage'!$AF28)))),0)</f>
        <v>0</v>
      </c>
      <c r="AW26" s="1374">
        <f ca="1">MAX(IF($F26="Yes",(
IF($F26="yes",MMULT(--('Equipment List &amp; Usage'!$J28:$N28&gt;0),--('Weekly Summary'!AQ$112:AQ$116))*'Equipment List &amp; Usage'!$C$114,MMULT(--('Equipment List &amp; Usage'!$J28:$N28),--('Weekly Summary'!AQ$112:AQ$116))*'Equipment List &amp; Usage'!$C$115)+IF('Equipment List &amp; Usage'!$F27="yes",'Equipment List &amp; Usage'!$C$114,'Equipment List &amp; Usage'!$C$115)*(('Weekly Summary'!AQ$66*'Equipment List &amp; Usage'!$Q28)+('Weekly Summary'!AQ$64*'Equipment List &amp; Usage'!$O28)+('Weekly Summary'!AQ$65*'Equipment List &amp; Usage'!$P28)))+(IF('Equipment List &amp; Usage'!$F28="Yes",'Equipment List &amp; Usage'!$C$114*((('Weekly Summary'!AQ$131*SelfQuarantine_Mild)+('Weekly Summary'!AQ$100*SelfQuarantine_Mild)+('Weekly Summary'!AQ$101*SelfQuarantine_Moderate))),'Equipment List &amp; Usage'!$C$115)*((('Weekly Summary'!AQ$131*SelfQuarantine_Mild*'Equipment List &amp; Usage'!$W28)+('Weekly Summary'!AQ$100*SelfQuarantine_Mild*'Equipment List &amp; Usage'!$X28)+('Weekly Summary'!AQ$101*SelfQuarantine_Moderate*'Equipment List &amp; Usage'!$X28)))+IF('Equipment List &amp; Usage'!$F28="Yes",'Equipment List &amp; Usage'!$C$114*(IF('Equipment List &amp; Usage'!$AA28&gt;0,'Weekly Summary'!AQ$128,0)+IF('Equipment List &amp; Usage'!$AB28&gt;0,'Weekly Summary'!AQ$100+'Weekly Summary'!AQ$101,0)),'Equipment List &amp; Usage'!$C$115*(('Weekly Summary'!AQ$128*'Equipment List &amp; Usage'!$AA28)+('Weekly Summary'!AQ$100*'Equipment List &amp; Usage'!$AB28*SelfQuarantine_Mild)+('Weekly Summary'!AQ$101*'Equipment List &amp; Usage'!$AB28*SelfQuarantine_Moderate)))+IF('Equipment List &amp; Usage'!$F28="Yes",('Equipment List &amp; Usage'!$C$114*(IF('Equipment List &amp; Usage'!$AE28&gt;0,'Weekly Summary'!AQ$134,0)+IF('Equipment List &amp; Usage'!$AF28&gt;0,'Weekly Summary'!AQ$135))),'Equipment List &amp; Usage'!$C$115*(('Weekly Summary'!AQ$134*'Equipment List &amp; Usage'!$AE28)+('Weekly Summary'!AQ$135*'Equipment List &amp; Usage'!$AF28))))-SUM($I26:AV26),
IF($F26="yes",MMULT(--('Equipment List &amp; Usage'!$J28:$N28&gt;0),--('Weekly Summary'!AQ$112:AQ$116))*'Equipment List &amp; Usage'!$C$114,MMULT(--('Equipment List &amp; Usage'!$J28:$N28),--('Weekly Summary'!AQ$112:AQ$116))*'Equipment List &amp; Usage'!$C$115)+IF('Equipment List &amp; Usage'!$F27="yes",'Equipment List &amp; Usage'!$C$114,'Equipment List &amp; Usage'!$C$115)*(('Weekly Summary'!AQ$66*'Equipment List &amp; Usage'!$Q28)+('Weekly Summary'!AQ$64*'Equipment List &amp; Usage'!$O28)+('Weekly Summary'!AQ$65*'Equipment List &amp; Usage'!$P28))+(IF('Equipment List &amp; Usage'!$F28="Yes",'Equipment List &amp; Usage'!$C$114*((('Weekly Summary'!AQ$131*SelfQuarantine_Mild)+('Weekly Summary'!AQ$100*SelfQuarantine_Mild)+('Weekly Summary'!AQ$101*SelfQuarantine_Moderate))),'Equipment List &amp; Usage'!$C$115)*((('Weekly Summary'!AQ$131*SelfQuarantine_Mild*'Equipment List &amp; Usage'!$W28)+('Weekly Summary'!AQ$100*SelfQuarantine_Mild*'Equipment List &amp; Usage'!$X28)+('Weekly Summary'!AQ$101*SelfQuarantine_Moderate*'Equipment List &amp; Usage'!$X28))))+IF('Equipment List &amp; Usage'!$F28="Yes",'Equipment List &amp; Usage'!$C$114*(IF('Equipment List &amp; Usage'!$AA28&gt;0,'Weekly Summary'!AQ$128,0)+IF('Equipment List &amp; Usage'!$AB28&gt;0,'Weekly Summary'!AQ$100+'Weekly Summary'!AQ$101,0)),'Equipment List &amp; Usage'!$C$115*(('Weekly Summary'!AQ$128*'Equipment List &amp; Usage'!$AA28)+('Weekly Summary'!AQ$100*'Equipment List &amp; Usage'!$AB28*SelfQuarantine_Mild)+('Weekly Summary'!AQ$101*'Equipment List &amp; Usage'!$AB28*SelfQuarantine_Moderate)))+IF('Equipment List &amp; Usage'!$F28="Yes",('Equipment List &amp; Usage'!$C$114*(IF('Equipment List &amp; Usage'!$AE28&gt;0,'Weekly Summary'!AQ$134,0)+IF('Equipment List &amp; Usage'!$AF28&gt;0,'Weekly Summary'!AQ$135))),'Equipment List &amp; Usage'!$C$115*(('Weekly Summary'!AQ$134*'Equipment List &amp; Usage'!$AE28)+('Weekly Summary'!AQ$135*'Equipment List &amp; Usage'!$AF28)))),0)</f>
        <v>0</v>
      </c>
      <c r="AX26" s="1374">
        <f ca="1">MAX(IF($F26="Yes",(
IF($F26="yes",MMULT(--('Equipment List &amp; Usage'!$J28:$N28&gt;0),--('Weekly Summary'!AR$112:AR$116))*'Equipment List &amp; Usage'!$C$114,MMULT(--('Equipment List &amp; Usage'!$J28:$N28),--('Weekly Summary'!AR$112:AR$116))*'Equipment List &amp; Usage'!$C$115)+IF('Equipment List &amp; Usage'!$F27="yes",'Equipment List &amp; Usage'!$C$114,'Equipment List &amp; Usage'!$C$115)*(('Weekly Summary'!AR$66*'Equipment List &amp; Usage'!$Q28)+('Weekly Summary'!AR$64*'Equipment List &amp; Usage'!$O28)+('Weekly Summary'!AR$65*'Equipment List &amp; Usage'!$P28)))+(IF('Equipment List &amp; Usage'!$F28="Yes",'Equipment List &amp; Usage'!$C$114*((('Weekly Summary'!AR$131*SelfQuarantine_Mild)+('Weekly Summary'!AR$100*SelfQuarantine_Mild)+('Weekly Summary'!AR$101*SelfQuarantine_Moderate))),'Equipment List &amp; Usage'!$C$115)*((('Weekly Summary'!AR$131*SelfQuarantine_Mild*'Equipment List &amp; Usage'!$W28)+('Weekly Summary'!AR$100*SelfQuarantine_Mild*'Equipment List &amp; Usage'!$X28)+('Weekly Summary'!AR$101*SelfQuarantine_Moderate*'Equipment List &amp; Usage'!$X28)))+IF('Equipment List &amp; Usage'!$F28="Yes",'Equipment List &amp; Usage'!$C$114*(IF('Equipment List &amp; Usage'!$AA28&gt;0,'Weekly Summary'!AR$128,0)+IF('Equipment List &amp; Usage'!$AB28&gt;0,'Weekly Summary'!AR$100+'Weekly Summary'!AR$101,0)),'Equipment List &amp; Usage'!$C$115*(('Weekly Summary'!AR$128*'Equipment List &amp; Usage'!$AA28)+('Weekly Summary'!AR$100*'Equipment List &amp; Usage'!$AB28*SelfQuarantine_Mild)+('Weekly Summary'!AR$101*'Equipment List &amp; Usage'!$AB28*SelfQuarantine_Moderate)))+IF('Equipment List &amp; Usage'!$F28="Yes",('Equipment List &amp; Usage'!$C$114*(IF('Equipment List &amp; Usage'!$AE28&gt;0,'Weekly Summary'!AR$134,0)+IF('Equipment List &amp; Usage'!$AF28&gt;0,'Weekly Summary'!AR$135))),'Equipment List &amp; Usage'!$C$115*(('Weekly Summary'!AR$134*'Equipment List &amp; Usage'!$AE28)+('Weekly Summary'!AR$135*'Equipment List &amp; Usage'!$AF28))))-SUM($I26:AW26),
IF($F26="yes",MMULT(--('Equipment List &amp; Usage'!$J28:$N28&gt;0),--('Weekly Summary'!AR$112:AR$116))*'Equipment List &amp; Usage'!$C$114,MMULT(--('Equipment List &amp; Usage'!$J28:$N28),--('Weekly Summary'!AR$112:AR$116))*'Equipment List &amp; Usage'!$C$115)+IF('Equipment List &amp; Usage'!$F27="yes",'Equipment List &amp; Usage'!$C$114,'Equipment List &amp; Usage'!$C$115)*(('Weekly Summary'!AR$66*'Equipment List &amp; Usage'!$Q28)+('Weekly Summary'!AR$64*'Equipment List &amp; Usage'!$O28)+('Weekly Summary'!AR$65*'Equipment List &amp; Usage'!$P28))+(IF('Equipment List &amp; Usage'!$F28="Yes",'Equipment List &amp; Usage'!$C$114*((('Weekly Summary'!AR$131*SelfQuarantine_Mild)+('Weekly Summary'!AR$100*SelfQuarantine_Mild)+('Weekly Summary'!AR$101*SelfQuarantine_Moderate))),'Equipment List &amp; Usage'!$C$115)*((('Weekly Summary'!AR$131*SelfQuarantine_Mild*'Equipment List &amp; Usage'!$W28)+('Weekly Summary'!AR$100*SelfQuarantine_Mild*'Equipment List &amp; Usage'!$X28)+('Weekly Summary'!AR$101*SelfQuarantine_Moderate*'Equipment List &amp; Usage'!$X28))))+IF('Equipment List &amp; Usage'!$F28="Yes",'Equipment List &amp; Usage'!$C$114*(IF('Equipment List &amp; Usage'!$AA28&gt;0,'Weekly Summary'!AR$128,0)+IF('Equipment List &amp; Usage'!$AB28&gt;0,'Weekly Summary'!AR$100+'Weekly Summary'!AR$101,0)),'Equipment List &amp; Usage'!$C$115*(('Weekly Summary'!AR$128*'Equipment List &amp; Usage'!$AA28)+('Weekly Summary'!AR$100*'Equipment List &amp; Usage'!$AB28*SelfQuarantine_Mild)+('Weekly Summary'!AR$101*'Equipment List &amp; Usage'!$AB28*SelfQuarantine_Moderate)))+IF('Equipment List &amp; Usage'!$F28="Yes",('Equipment List &amp; Usage'!$C$114*(IF('Equipment List &amp; Usage'!$AE28&gt;0,'Weekly Summary'!AR$134,0)+IF('Equipment List &amp; Usage'!$AF28&gt;0,'Weekly Summary'!AR$135))),'Equipment List &amp; Usage'!$C$115*(('Weekly Summary'!AR$134*'Equipment List &amp; Usage'!$AE28)+('Weekly Summary'!AR$135*'Equipment List &amp; Usage'!$AF28)))),0)</f>
        <v>0</v>
      </c>
      <c r="AY26" s="1374">
        <f ca="1">MAX(IF($F26="Yes",(
IF($F26="yes",MMULT(--('Equipment List &amp; Usage'!$J28:$N28&gt;0),--('Weekly Summary'!AS$112:AS$116))*'Equipment List &amp; Usage'!$C$114,MMULT(--('Equipment List &amp; Usage'!$J28:$N28),--('Weekly Summary'!AS$112:AS$116))*'Equipment List &amp; Usage'!$C$115)+IF('Equipment List &amp; Usage'!$F27="yes",'Equipment List &amp; Usage'!$C$114,'Equipment List &amp; Usage'!$C$115)*(('Weekly Summary'!AS$66*'Equipment List &amp; Usage'!$Q28)+('Weekly Summary'!AS$64*'Equipment List &amp; Usage'!$O28)+('Weekly Summary'!AS$65*'Equipment List &amp; Usage'!$P28)))+(IF('Equipment List &amp; Usage'!$F28="Yes",'Equipment List &amp; Usage'!$C$114*((('Weekly Summary'!AS$131*SelfQuarantine_Mild)+('Weekly Summary'!AS$100*SelfQuarantine_Mild)+('Weekly Summary'!AS$101*SelfQuarantine_Moderate))),'Equipment List &amp; Usage'!$C$115)*((('Weekly Summary'!AS$131*SelfQuarantine_Mild*'Equipment List &amp; Usage'!$W28)+('Weekly Summary'!AS$100*SelfQuarantine_Mild*'Equipment List &amp; Usage'!$X28)+('Weekly Summary'!AS$101*SelfQuarantine_Moderate*'Equipment List &amp; Usage'!$X28)))+IF('Equipment List &amp; Usage'!$F28="Yes",'Equipment List &amp; Usage'!$C$114*(IF('Equipment List &amp; Usage'!$AA28&gt;0,'Weekly Summary'!AS$128,0)+IF('Equipment List &amp; Usage'!$AB28&gt;0,'Weekly Summary'!AS$100+'Weekly Summary'!AS$101,0)),'Equipment List &amp; Usage'!$C$115*(('Weekly Summary'!AS$128*'Equipment List &amp; Usage'!$AA28)+('Weekly Summary'!AS$100*'Equipment List &amp; Usage'!$AB28*SelfQuarantine_Mild)+('Weekly Summary'!AS$101*'Equipment List &amp; Usage'!$AB28*SelfQuarantine_Moderate)))+IF('Equipment List &amp; Usage'!$F28="Yes",('Equipment List &amp; Usage'!$C$114*(IF('Equipment List &amp; Usage'!$AE28&gt;0,'Weekly Summary'!AS$134,0)+IF('Equipment List &amp; Usage'!$AF28&gt;0,'Weekly Summary'!AS$135))),'Equipment List &amp; Usage'!$C$115*(('Weekly Summary'!AS$134*'Equipment List &amp; Usage'!$AE28)+('Weekly Summary'!AS$135*'Equipment List &amp; Usage'!$AF28))))-SUM($I26:AX26),
IF($F26="yes",MMULT(--('Equipment List &amp; Usage'!$J28:$N28&gt;0),--('Weekly Summary'!AS$112:AS$116))*'Equipment List &amp; Usage'!$C$114,MMULT(--('Equipment List &amp; Usage'!$J28:$N28),--('Weekly Summary'!AS$112:AS$116))*'Equipment List &amp; Usage'!$C$115)+IF('Equipment List &amp; Usage'!$F27="yes",'Equipment List &amp; Usage'!$C$114,'Equipment List &amp; Usage'!$C$115)*(('Weekly Summary'!AS$66*'Equipment List &amp; Usage'!$Q28)+('Weekly Summary'!AS$64*'Equipment List &amp; Usage'!$O28)+('Weekly Summary'!AS$65*'Equipment List &amp; Usage'!$P28))+(IF('Equipment List &amp; Usage'!$F28="Yes",'Equipment List &amp; Usage'!$C$114*((('Weekly Summary'!AS$131*SelfQuarantine_Mild)+('Weekly Summary'!AS$100*SelfQuarantine_Mild)+('Weekly Summary'!AS$101*SelfQuarantine_Moderate))),'Equipment List &amp; Usage'!$C$115)*((('Weekly Summary'!AS$131*SelfQuarantine_Mild*'Equipment List &amp; Usage'!$W28)+('Weekly Summary'!AS$100*SelfQuarantine_Mild*'Equipment List &amp; Usage'!$X28)+('Weekly Summary'!AS$101*SelfQuarantine_Moderate*'Equipment List &amp; Usage'!$X28))))+IF('Equipment List &amp; Usage'!$F28="Yes",'Equipment List &amp; Usage'!$C$114*(IF('Equipment List &amp; Usage'!$AA28&gt;0,'Weekly Summary'!AS$128,0)+IF('Equipment List &amp; Usage'!$AB28&gt;0,'Weekly Summary'!AS$100+'Weekly Summary'!AS$101,0)),'Equipment List &amp; Usage'!$C$115*(('Weekly Summary'!AS$128*'Equipment List &amp; Usage'!$AA28)+('Weekly Summary'!AS$100*'Equipment List &amp; Usage'!$AB28*SelfQuarantine_Mild)+('Weekly Summary'!AS$101*'Equipment List &amp; Usage'!$AB28*SelfQuarantine_Moderate)))+IF('Equipment List &amp; Usage'!$F28="Yes",('Equipment List &amp; Usage'!$C$114*(IF('Equipment List &amp; Usage'!$AE28&gt;0,'Weekly Summary'!AS$134,0)+IF('Equipment List &amp; Usage'!$AF28&gt;0,'Weekly Summary'!AS$135))),'Equipment List &amp; Usage'!$C$115*(('Weekly Summary'!AS$134*'Equipment List &amp; Usage'!$AE28)+('Weekly Summary'!AS$135*'Equipment List &amp; Usage'!$AF28)))),0)</f>
        <v>0</v>
      </c>
      <c r="AZ26" s="1374">
        <f ca="1">MAX(IF($F26="Yes",(
IF($F26="yes",MMULT(--('Equipment List &amp; Usage'!$J28:$N28&gt;0),--('Weekly Summary'!AT$112:AT$116))*'Equipment List &amp; Usage'!$C$114,MMULT(--('Equipment List &amp; Usage'!$J28:$N28),--('Weekly Summary'!AT$112:AT$116))*'Equipment List &amp; Usage'!$C$115)+IF('Equipment List &amp; Usage'!$F27="yes",'Equipment List &amp; Usage'!$C$114,'Equipment List &amp; Usage'!$C$115)*(('Weekly Summary'!AT$66*'Equipment List &amp; Usage'!$Q28)+('Weekly Summary'!AT$64*'Equipment List &amp; Usage'!$O28)+('Weekly Summary'!AT$65*'Equipment List &amp; Usage'!$P28)))+(IF('Equipment List &amp; Usage'!$F28="Yes",'Equipment List &amp; Usage'!$C$114*((('Weekly Summary'!AT$131*SelfQuarantine_Mild)+('Weekly Summary'!AT$100*SelfQuarantine_Mild)+('Weekly Summary'!AT$101*SelfQuarantine_Moderate))),'Equipment List &amp; Usage'!$C$115)*((('Weekly Summary'!AT$131*SelfQuarantine_Mild*'Equipment List &amp; Usage'!$W28)+('Weekly Summary'!AT$100*SelfQuarantine_Mild*'Equipment List &amp; Usage'!$X28)+('Weekly Summary'!AT$101*SelfQuarantine_Moderate*'Equipment List &amp; Usage'!$X28)))+IF('Equipment List &amp; Usage'!$F28="Yes",'Equipment List &amp; Usage'!$C$114*(IF('Equipment List &amp; Usage'!$AA28&gt;0,'Weekly Summary'!AT$128,0)+IF('Equipment List &amp; Usage'!$AB28&gt;0,'Weekly Summary'!AT$100+'Weekly Summary'!AT$101,0)),'Equipment List &amp; Usage'!$C$115*(('Weekly Summary'!AT$128*'Equipment List &amp; Usage'!$AA28)+('Weekly Summary'!AT$100*'Equipment List &amp; Usage'!$AB28*SelfQuarantine_Mild)+('Weekly Summary'!AT$101*'Equipment List &amp; Usage'!$AB28*SelfQuarantine_Moderate)))+IF('Equipment List &amp; Usage'!$F28="Yes",('Equipment List &amp; Usage'!$C$114*(IF('Equipment List &amp; Usage'!$AE28&gt;0,'Weekly Summary'!AT$134,0)+IF('Equipment List &amp; Usage'!$AF28&gt;0,'Weekly Summary'!AT$135))),'Equipment List &amp; Usage'!$C$115*(('Weekly Summary'!AT$134*'Equipment List &amp; Usage'!$AE28)+('Weekly Summary'!AT$135*'Equipment List &amp; Usage'!$AF28))))-SUM($I26:AY26),
IF($F26="yes",MMULT(--('Equipment List &amp; Usage'!$J28:$N28&gt;0),--('Weekly Summary'!AT$112:AT$116))*'Equipment List &amp; Usage'!$C$114,MMULT(--('Equipment List &amp; Usage'!$J28:$N28),--('Weekly Summary'!AT$112:AT$116))*'Equipment List &amp; Usage'!$C$115)+IF('Equipment List &amp; Usage'!$F27="yes",'Equipment List &amp; Usage'!$C$114,'Equipment List &amp; Usage'!$C$115)*(('Weekly Summary'!AT$66*'Equipment List &amp; Usage'!$Q28)+('Weekly Summary'!AT$64*'Equipment List &amp; Usage'!$O28)+('Weekly Summary'!AT$65*'Equipment List &amp; Usage'!$P28))+(IF('Equipment List &amp; Usage'!$F28="Yes",'Equipment List &amp; Usage'!$C$114*((('Weekly Summary'!AT$131*SelfQuarantine_Mild)+('Weekly Summary'!AT$100*SelfQuarantine_Mild)+('Weekly Summary'!AT$101*SelfQuarantine_Moderate))),'Equipment List &amp; Usage'!$C$115)*((('Weekly Summary'!AT$131*SelfQuarantine_Mild*'Equipment List &amp; Usage'!$W28)+('Weekly Summary'!AT$100*SelfQuarantine_Mild*'Equipment List &amp; Usage'!$X28)+('Weekly Summary'!AT$101*SelfQuarantine_Moderate*'Equipment List &amp; Usage'!$X28))))+IF('Equipment List &amp; Usage'!$F28="Yes",'Equipment List &amp; Usage'!$C$114*(IF('Equipment List &amp; Usage'!$AA28&gt;0,'Weekly Summary'!AT$128,0)+IF('Equipment List &amp; Usage'!$AB28&gt;0,'Weekly Summary'!AT$100+'Weekly Summary'!AT$101,0)),'Equipment List &amp; Usage'!$C$115*(('Weekly Summary'!AT$128*'Equipment List &amp; Usage'!$AA28)+('Weekly Summary'!AT$100*'Equipment List &amp; Usage'!$AB28*SelfQuarantine_Mild)+('Weekly Summary'!AT$101*'Equipment List &amp; Usage'!$AB28*SelfQuarantine_Moderate)))+IF('Equipment List &amp; Usage'!$F28="Yes",('Equipment List &amp; Usage'!$C$114*(IF('Equipment List &amp; Usage'!$AE28&gt;0,'Weekly Summary'!AT$134,0)+IF('Equipment List &amp; Usage'!$AF28&gt;0,'Weekly Summary'!AT$135))),'Equipment List &amp; Usage'!$C$115*(('Weekly Summary'!AT$134*'Equipment List &amp; Usage'!$AE28)+('Weekly Summary'!AT$135*'Equipment List &amp; Usage'!$AF28)))),0)</f>
        <v>0</v>
      </c>
      <c r="BA26" s="1374">
        <f ca="1">MAX(IF($F26="Yes",(
IF($F26="yes",MMULT(--('Equipment List &amp; Usage'!$J28:$N28&gt;0),--('Weekly Summary'!AU$112:AU$116))*'Equipment List &amp; Usage'!$C$114,MMULT(--('Equipment List &amp; Usage'!$J28:$N28),--('Weekly Summary'!AU$112:AU$116))*'Equipment List &amp; Usage'!$C$115)+IF('Equipment List &amp; Usage'!$F27="yes",'Equipment List &amp; Usage'!$C$114,'Equipment List &amp; Usage'!$C$115)*(('Weekly Summary'!AU$66*'Equipment List &amp; Usage'!$Q28)+('Weekly Summary'!AU$64*'Equipment List &amp; Usage'!$O28)+('Weekly Summary'!AU$65*'Equipment List &amp; Usage'!$P28)))+(IF('Equipment List &amp; Usage'!$F28="Yes",'Equipment List &amp; Usage'!$C$114*((('Weekly Summary'!AU$131*SelfQuarantine_Mild)+('Weekly Summary'!AU$100*SelfQuarantine_Mild)+('Weekly Summary'!AU$101*SelfQuarantine_Moderate))),'Equipment List &amp; Usage'!$C$115)*((('Weekly Summary'!AU$131*SelfQuarantine_Mild*'Equipment List &amp; Usage'!$W28)+('Weekly Summary'!AU$100*SelfQuarantine_Mild*'Equipment List &amp; Usage'!$X28)+('Weekly Summary'!AU$101*SelfQuarantine_Moderate*'Equipment List &amp; Usage'!$X28)))+IF('Equipment List &amp; Usage'!$F28="Yes",'Equipment List &amp; Usage'!$C$114*(IF('Equipment List &amp; Usage'!$AA28&gt;0,'Weekly Summary'!AU$128,0)+IF('Equipment List &amp; Usage'!$AB28&gt;0,'Weekly Summary'!AU$100+'Weekly Summary'!AU$101,0)),'Equipment List &amp; Usage'!$C$115*(('Weekly Summary'!AU$128*'Equipment List &amp; Usage'!$AA28)+('Weekly Summary'!AU$100*'Equipment List &amp; Usage'!$AB28*SelfQuarantine_Mild)+('Weekly Summary'!AU$101*'Equipment List &amp; Usage'!$AB28*SelfQuarantine_Moderate)))+IF('Equipment List &amp; Usage'!$F28="Yes",('Equipment List &amp; Usage'!$C$114*(IF('Equipment List &amp; Usage'!$AE28&gt;0,'Weekly Summary'!AU$134,0)+IF('Equipment List &amp; Usage'!$AF28&gt;0,'Weekly Summary'!AU$135))),'Equipment List &amp; Usage'!$C$115*(('Weekly Summary'!AU$134*'Equipment List &amp; Usage'!$AE28)+('Weekly Summary'!AU$135*'Equipment List &amp; Usage'!$AF28))))-SUM($I26:AZ26),
IF($F26="yes",MMULT(--('Equipment List &amp; Usage'!$J28:$N28&gt;0),--('Weekly Summary'!AU$112:AU$116))*'Equipment List &amp; Usage'!$C$114,MMULT(--('Equipment List &amp; Usage'!$J28:$N28),--('Weekly Summary'!AU$112:AU$116))*'Equipment List &amp; Usage'!$C$115)+IF('Equipment List &amp; Usage'!$F27="yes",'Equipment List &amp; Usage'!$C$114,'Equipment List &amp; Usage'!$C$115)*(('Weekly Summary'!AU$66*'Equipment List &amp; Usage'!$Q28)+('Weekly Summary'!AU$64*'Equipment List &amp; Usage'!$O28)+('Weekly Summary'!AU$65*'Equipment List &amp; Usage'!$P28))+(IF('Equipment List &amp; Usage'!$F28="Yes",'Equipment List &amp; Usage'!$C$114*((('Weekly Summary'!AU$131*SelfQuarantine_Mild)+('Weekly Summary'!AU$100*SelfQuarantine_Mild)+('Weekly Summary'!AU$101*SelfQuarantine_Moderate))),'Equipment List &amp; Usage'!$C$115)*((('Weekly Summary'!AU$131*SelfQuarantine_Mild*'Equipment List &amp; Usage'!$W28)+('Weekly Summary'!AU$100*SelfQuarantine_Mild*'Equipment List &amp; Usage'!$X28)+('Weekly Summary'!AU$101*SelfQuarantine_Moderate*'Equipment List &amp; Usage'!$X28))))+IF('Equipment List &amp; Usage'!$F28="Yes",'Equipment List &amp; Usage'!$C$114*(IF('Equipment List &amp; Usage'!$AA28&gt;0,'Weekly Summary'!AU$128,0)+IF('Equipment List &amp; Usage'!$AB28&gt;0,'Weekly Summary'!AU$100+'Weekly Summary'!AU$101,0)),'Equipment List &amp; Usage'!$C$115*(('Weekly Summary'!AU$128*'Equipment List &amp; Usage'!$AA28)+('Weekly Summary'!AU$100*'Equipment List &amp; Usage'!$AB28*SelfQuarantine_Mild)+('Weekly Summary'!AU$101*'Equipment List &amp; Usage'!$AB28*SelfQuarantine_Moderate)))+IF('Equipment List &amp; Usage'!$F28="Yes",('Equipment List &amp; Usage'!$C$114*(IF('Equipment List &amp; Usage'!$AE28&gt;0,'Weekly Summary'!AU$134,0)+IF('Equipment List &amp; Usage'!$AF28&gt;0,'Weekly Summary'!AU$135))),'Equipment List &amp; Usage'!$C$115*(('Weekly Summary'!AU$134*'Equipment List &amp; Usage'!$AE28)+('Weekly Summary'!AU$135*'Equipment List &amp; Usage'!$AF28)))),0)</f>
        <v>0</v>
      </c>
      <c r="BB26" s="1374">
        <f ca="1">MAX(IF($F26="Yes",(
IF($F26="yes",MMULT(--('Equipment List &amp; Usage'!$J28:$N28&gt;0),--('Weekly Summary'!AV$112:AV$116))*'Equipment List &amp; Usage'!$C$114,MMULT(--('Equipment List &amp; Usage'!$J28:$N28),--('Weekly Summary'!AV$112:AV$116))*'Equipment List &amp; Usage'!$C$115)+IF('Equipment List &amp; Usage'!$F27="yes",'Equipment List &amp; Usage'!$C$114,'Equipment List &amp; Usage'!$C$115)*(('Weekly Summary'!AV$66*'Equipment List &amp; Usage'!$Q28)+('Weekly Summary'!AV$64*'Equipment List &amp; Usage'!$O28)+('Weekly Summary'!AV$65*'Equipment List &amp; Usage'!$P28)))+(IF('Equipment List &amp; Usage'!$F28="Yes",'Equipment List &amp; Usage'!$C$114*((('Weekly Summary'!AV$131*SelfQuarantine_Mild)+('Weekly Summary'!AV$100*SelfQuarantine_Mild)+('Weekly Summary'!AV$101*SelfQuarantine_Moderate))),'Equipment List &amp; Usage'!$C$115)*((('Weekly Summary'!AV$131*SelfQuarantine_Mild*'Equipment List &amp; Usage'!$W28)+('Weekly Summary'!AV$100*SelfQuarantine_Mild*'Equipment List &amp; Usage'!$X28)+('Weekly Summary'!AV$101*SelfQuarantine_Moderate*'Equipment List &amp; Usage'!$X28)))+IF('Equipment List &amp; Usage'!$F28="Yes",'Equipment List &amp; Usage'!$C$114*(IF('Equipment List &amp; Usage'!$AA28&gt;0,'Weekly Summary'!AV$128,0)+IF('Equipment List &amp; Usage'!$AB28&gt;0,'Weekly Summary'!AV$100+'Weekly Summary'!AV$101,0)),'Equipment List &amp; Usage'!$C$115*(('Weekly Summary'!AV$128*'Equipment List &amp; Usage'!$AA28)+('Weekly Summary'!AV$100*'Equipment List &amp; Usage'!$AB28*SelfQuarantine_Mild)+('Weekly Summary'!AV$101*'Equipment List &amp; Usage'!$AB28*SelfQuarantine_Moderate)))+IF('Equipment List &amp; Usage'!$F28="Yes",('Equipment List &amp; Usage'!$C$114*(IF('Equipment List &amp; Usage'!$AE28&gt;0,'Weekly Summary'!AV$134,0)+IF('Equipment List &amp; Usage'!$AF28&gt;0,'Weekly Summary'!AV$135))),'Equipment List &amp; Usage'!$C$115*(('Weekly Summary'!AV$134*'Equipment List &amp; Usage'!$AE28)+('Weekly Summary'!AV$135*'Equipment List &amp; Usage'!$AF28))))-SUM($I26:BA26),
IF($F26="yes",MMULT(--('Equipment List &amp; Usage'!$J28:$N28&gt;0),--('Weekly Summary'!AV$112:AV$116))*'Equipment List &amp; Usage'!$C$114,MMULT(--('Equipment List &amp; Usage'!$J28:$N28),--('Weekly Summary'!AV$112:AV$116))*'Equipment List &amp; Usage'!$C$115)+IF('Equipment List &amp; Usage'!$F27="yes",'Equipment List &amp; Usage'!$C$114,'Equipment List &amp; Usage'!$C$115)*(('Weekly Summary'!AV$66*'Equipment List &amp; Usage'!$Q28)+('Weekly Summary'!AV$64*'Equipment List &amp; Usage'!$O28)+('Weekly Summary'!AV$65*'Equipment List &amp; Usage'!$P28))+(IF('Equipment List &amp; Usage'!$F28="Yes",'Equipment List &amp; Usage'!$C$114*((('Weekly Summary'!AV$131*SelfQuarantine_Mild)+('Weekly Summary'!AV$100*SelfQuarantine_Mild)+('Weekly Summary'!AV$101*SelfQuarantine_Moderate))),'Equipment List &amp; Usage'!$C$115)*((('Weekly Summary'!AV$131*SelfQuarantine_Mild*'Equipment List &amp; Usage'!$W28)+('Weekly Summary'!AV$100*SelfQuarantine_Mild*'Equipment List &amp; Usage'!$X28)+('Weekly Summary'!AV$101*SelfQuarantine_Moderate*'Equipment List &amp; Usage'!$X28))))+IF('Equipment List &amp; Usage'!$F28="Yes",'Equipment List &amp; Usage'!$C$114*(IF('Equipment List &amp; Usage'!$AA28&gt;0,'Weekly Summary'!AV$128,0)+IF('Equipment List &amp; Usage'!$AB28&gt;0,'Weekly Summary'!AV$100+'Weekly Summary'!AV$101,0)),'Equipment List &amp; Usage'!$C$115*(('Weekly Summary'!AV$128*'Equipment List &amp; Usage'!$AA28)+('Weekly Summary'!AV$100*'Equipment List &amp; Usage'!$AB28*SelfQuarantine_Mild)+('Weekly Summary'!AV$101*'Equipment List &amp; Usage'!$AB28*SelfQuarantine_Moderate)))+IF('Equipment List &amp; Usage'!$F28="Yes",('Equipment List &amp; Usage'!$C$114*(IF('Equipment List &amp; Usage'!$AE28&gt;0,'Weekly Summary'!AV$134,0)+IF('Equipment List &amp; Usage'!$AF28&gt;0,'Weekly Summary'!AV$135))),'Equipment List &amp; Usage'!$C$115*(('Weekly Summary'!AV$134*'Equipment List &amp; Usage'!$AE28)+('Weekly Summary'!AV$135*'Equipment List &amp; Usage'!$AF28)))),0)</f>
        <v>0</v>
      </c>
      <c r="BC26" s="1374">
        <f ca="1">MAX(IF($F26="Yes",(
IF($F26="yes",MMULT(--('Equipment List &amp; Usage'!$J28:$N28&gt;0),--('Weekly Summary'!AW$112:AW$116))*'Equipment List &amp; Usage'!$C$114,MMULT(--('Equipment List &amp; Usage'!$J28:$N28),--('Weekly Summary'!AW$112:AW$116))*'Equipment List &amp; Usage'!$C$115)+IF('Equipment List &amp; Usage'!$F27="yes",'Equipment List &amp; Usage'!$C$114,'Equipment List &amp; Usage'!$C$115)*(('Weekly Summary'!AW$66*'Equipment List &amp; Usage'!$Q28)+('Weekly Summary'!AW$64*'Equipment List &amp; Usage'!$O28)+('Weekly Summary'!AW$65*'Equipment List &amp; Usage'!$P28)))+(IF('Equipment List &amp; Usage'!$F28="Yes",'Equipment List &amp; Usage'!$C$114*((('Weekly Summary'!AW$131*SelfQuarantine_Mild)+('Weekly Summary'!AW$100*SelfQuarantine_Mild)+('Weekly Summary'!AW$101*SelfQuarantine_Moderate))),'Equipment List &amp; Usage'!$C$115)*((('Weekly Summary'!AW$131*SelfQuarantine_Mild*'Equipment List &amp; Usage'!$W28)+('Weekly Summary'!AW$100*SelfQuarantine_Mild*'Equipment List &amp; Usage'!$X28)+('Weekly Summary'!AW$101*SelfQuarantine_Moderate*'Equipment List &amp; Usage'!$X28)))+IF('Equipment List &amp; Usage'!$F28="Yes",'Equipment List &amp; Usage'!$C$114*(IF('Equipment List &amp; Usage'!$AA28&gt;0,'Weekly Summary'!AW$128,0)+IF('Equipment List &amp; Usage'!$AB28&gt;0,'Weekly Summary'!AW$100+'Weekly Summary'!AW$101,0)),'Equipment List &amp; Usage'!$C$115*(('Weekly Summary'!AW$128*'Equipment List &amp; Usage'!$AA28)+('Weekly Summary'!AW$100*'Equipment List &amp; Usage'!$AB28*SelfQuarantine_Mild)+('Weekly Summary'!AW$101*'Equipment List &amp; Usage'!$AB28*SelfQuarantine_Moderate)))+IF('Equipment List &amp; Usage'!$F28="Yes",('Equipment List &amp; Usage'!$C$114*(IF('Equipment List &amp; Usage'!$AE28&gt;0,'Weekly Summary'!AW$134,0)+IF('Equipment List &amp; Usage'!$AF28&gt;0,'Weekly Summary'!AW$135))),'Equipment List &amp; Usage'!$C$115*(('Weekly Summary'!AW$134*'Equipment List &amp; Usage'!$AE28)+('Weekly Summary'!AW$135*'Equipment List &amp; Usage'!$AF28))))-SUM($I26:BB26),
IF($F26="yes",MMULT(--('Equipment List &amp; Usage'!$J28:$N28&gt;0),--('Weekly Summary'!AW$112:AW$116))*'Equipment List &amp; Usage'!$C$114,MMULT(--('Equipment List &amp; Usage'!$J28:$N28),--('Weekly Summary'!AW$112:AW$116))*'Equipment List &amp; Usage'!$C$115)+IF('Equipment List &amp; Usage'!$F27="yes",'Equipment List &amp; Usage'!$C$114,'Equipment List &amp; Usage'!$C$115)*(('Weekly Summary'!AW$66*'Equipment List &amp; Usage'!$Q28)+('Weekly Summary'!AW$64*'Equipment List &amp; Usage'!$O28)+('Weekly Summary'!AW$65*'Equipment List &amp; Usage'!$P28))+(IF('Equipment List &amp; Usage'!$F28="Yes",'Equipment List &amp; Usage'!$C$114*((('Weekly Summary'!AW$131*SelfQuarantine_Mild)+('Weekly Summary'!AW$100*SelfQuarantine_Mild)+('Weekly Summary'!AW$101*SelfQuarantine_Moderate))),'Equipment List &amp; Usage'!$C$115)*((('Weekly Summary'!AW$131*SelfQuarantine_Mild*'Equipment List &amp; Usage'!$W28)+('Weekly Summary'!AW$100*SelfQuarantine_Mild*'Equipment List &amp; Usage'!$X28)+('Weekly Summary'!AW$101*SelfQuarantine_Moderate*'Equipment List &amp; Usage'!$X28))))+IF('Equipment List &amp; Usage'!$F28="Yes",'Equipment List &amp; Usage'!$C$114*(IF('Equipment List &amp; Usage'!$AA28&gt;0,'Weekly Summary'!AW$128,0)+IF('Equipment List &amp; Usage'!$AB28&gt;0,'Weekly Summary'!AW$100+'Weekly Summary'!AW$101,0)),'Equipment List &amp; Usage'!$C$115*(('Weekly Summary'!AW$128*'Equipment List &amp; Usage'!$AA28)+('Weekly Summary'!AW$100*'Equipment List &amp; Usage'!$AB28*SelfQuarantine_Mild)+('Weekly Summary'!AW$101*'Equipment List &amp; Usage'!$AB28*SelfQuarantine_Moderate)))+IF('Equipment List &amp; Usage'!$F28="Yes",('Equipment List &amp; Usage'!$C$114*(IF('Equipment List &amp; Usage'!$AE28&gt;0,'Weekly Summary'!AW$134,0)+IF('Equipment List &amp; Usage'!$AF28&gt;0,'Weekly Summary'!AW$135))),'Equipment List &amp; Usage'!$C$115*(('Weekly Summary'!AW$134*'Equipment List &amp; Usage'!$AE28)+('Weekly Summary'!AW$135*'Equipment List &amp; Usage'!$AF28)))),0)</f>
        <v>0</v>
      </c>
      <c r="BD26" s="1374">
        <f ca="1">MAX(IF($F26="Yes",(
IF($F26="yes",MMULT(--('Equipment List &amp; Usage'!$J28:$N28&gt;0),--('Weekly Summary'!AX$112:AX$116))*'Equipment List &amp; Usage'!$C$114,MMULT(--('Equipment List &amp; Usage'!$J28:$N28),--('Weekly Summary'!AX$112:AX$116))*'Equipment List &amp; Usage'!$C$115)+IF('Equipment List &amp; Usage'!$F27="yes",'Equipment List &amp; Usage'!$C$114,'Equipment List &amp; Usage'!$C$115)*(('Weekly Summary'!AX$66*'Equipment List &amp; Usage'!$Q28)+('Weekly Summary'!AX$64*'Equipment List &amp; Usage'!$O28)+('Weekly Summary'!AX$65*'Equipment List &amp; Usage'!$P28)))+(IF('Equipment List &amp; Usage'!$F28="Yes",'Equipment List &amp; Usage'!$C$114*((('Weekly Summary'!AX$131*SelfQuarantine_Mild)+('Weekly Summary'!AX$100*SelfQuarantine_Mild)+('Weekly Summary'!AX$101*SelfQuarantine_Moderate))),'Equipment List &amp; Usage'!$C$115)*((('Weekly Summary'!AX$131*SelfQuarantine_Mild*'Equipment List &amp; Usage'!$W28)+('Weekly Summary'!AX$100*SelfQuarantine_Mild*'Equipment List &amp; Usage'!$X28)+('Weekly Summary'!AX$101*SelfQuarantine_Moderate*'Equipment List &amp; Usage'!$X28)))+IF('Equipment List &amp; Usage'!$F28="Yes",'Equipment List &amp; Usage'!$C$114*(IF('Equipment List &amp; Usage'!$AA28&gt;0,'Weekly Summary'!AX$128,0)+IF('Equipment List &amp; Usage'!$AB28&gt;0,'Weekly Summary'!AX$100+'Weekly Summary'!AX$101,0)),'Equipment List &amp; Usage'!$C$115*(('Weekly Summary'!AX$128*'Equipment List &amp; Usage'!$AA28)+('Weekly Summary'!AX$100*'Equipment List &amp; Usage'!$AB28*SelfQuarantine_Mild)+('Weekly Summary'!AX$101*'Equipment List &amp; Usage'!$AB28*SelfQuarantine_Moderate)))+IF('Equipment List &amp; Usage'!$F28="Yes",('Equipment List &amp; Usage'!$C$114*(IF('Equipment List &amp; Usage'!$AE28&gt;0,'Weekly Summary'!AX$134,0)+IF('Equipment List &amp; Usage'!$AF28&gt;0,'Weekly Summary'!AX$135))),'Equipment List &amp; Usage'!$C$115*(('Weekly Summary'!AX$134*'Equipment List &amp; Usage'!$AE28)+('Weekly Summary'!AX$135*'Equipment List &amp; Usage'!$AF28))))-SUM($I26:BC26),
IF($F26="yes",MMULT(--('Equipment List &amp; Usage'!$J28:$N28&gt;0),--('Weekly Summary'!AX$112:AX$116))*'Equipment List &amp; Usage'!$C$114,MMULT(--('Equipment List &amp; Usage'!$J28:$N28),--('Weekly Summary'!AX$112:AX$116))*'Equipment List &amp; Usage'!$C$115)+IF('Equipment List &amp; Usage'!$F27="yes",'Equipment List &amp; Usage'!$C$114,'Equipment List &amp; Usage'!$C$115)*(('Weekly Summary'!AX$66*'Equipment List &amp; Usage'!$Q28)+('Weekly Summary'!AX$64*'Equipment List &amp; Usage'!$O28)+('Weekly Summary'!AX$65*'Equipment List &amp; Usage'!$P28))+(IF('Equipment List &amp; Usage'!$F28="Yes",'Equipment List &amp; Usage'!$C$114*((('Weekly Summary'!AX$131*SelfQuarantine_Mild)+('Weekly Summary'!AX$100*SelfQuarantine_Mild)+('Weekly Summary'!AX$101*SelfQuarantine_Moderate))),'Equipment List &amp; Usage'!$C$115)*((('Weekly Summary'!AX$131*SelfQuarantine_Mild*'Equipment List &amp; Usage'!$W28)+('Weekly Summary'!AX$100*SelfQuarantine_Mild*'Equipment List &amp; Usage'!$X28)+('Weekly Summary'!AX$101*SelfQuarantine_Moderate*'Equipment List &amp; Usage'!$X28))))+IF('Equipment List &amp; Usage'!$F28="Yes",'Equipment List &amp; Usage'!$C$114*(IF('Equipment List &amp; Usage'!$AA28&gt;0,'Weekly Summary'!AX$128,0)+IF('Equipment List &amp; Usage'!$AB28&gt;0,'Weekly Summary'!AX$100+'Weekly Summary'!AX$101,0)),'Equipment List &amp; Usage'!$C$115*(('Weekly Summary'!AX$128*'Equipment List &amp; Usage'!$AA28)+('Weekly Summary'!AX$100*'Equipment List &amp; Usage'!$AB28*SelfQuarantine_Mild)+('Weekly Summary'!AX$101*'Equipment List &amp; Usage'!$AB28*SelfQuarantine_Moderate)))+IF('Equipment List &amp; Usage'!$F28="Yes",('Equipment List &amp; Usage'!$C$114*(IF('Equipment List &amp; Usage'!$AE28&gt;0,'Weekly Summary'!AX$134,0)+IF('Equipment List &amp; Usage'!$AF28&gt;0,'Weekly Summary'!AX$135))),'Equipment List &amp; Usage'!$C$115*(('Weekly Summary'!AX$134*'Equipment List &amp; Usage'!$AE28)+('Weekly Summary'!AX$135*'Equipment List &amp; Usage'!$AF28)))),0)</f>
        <v>0</v>
      </c>
      <c r="BE26" s="1374">
        <f ca="1">MAX(IF($F26="Yes",(
IF($F26="yes",MMULT(--('Equipment List &amp; Usage'!$J28:$N28&gt;0),--('Weekly Summary'!AY$112:AY$116))*'Equipment List &amp; Usage'!$C$114,MMULT(--('Equipment List &amp; Usage'!$J28:$N28),--('Weekly Summary'!AY$112:AY$116))*'Equipment List &amp; Usage'!$C$115)+IF('Equipment List &amp; Usage'!$F27="yes",'Equipment List &amp; Usage'!$C$114,'Equipment List &amp; Usage'!$C$115)*(('Weekly Summary'!AY$66*'Equipment List &amp; Usage'!$Q28)+('Weekly Summary'!AY$64*'Equipment List &amp; Usage'!$O28)+('Weekly Summary'!AY$65*'Equipment List &amp; Usage'!$P28)))+(IF('Equipment List &amp; Usage'!$F28="Yes",'Equipment List &amp; Usage'!$C$114*((('Weekly Summary'!AY$131*SelfQuarantine_Mild)+('Weekly Summary'!AY$100*SelfQuarantine_Mild)+('Weekly Summary'!AY$101*SelfQuarantine_Moderate))),'Equipment List &amp; Usage'!$C$115)*((('Weekly Summary'!AY$131*SelfQuarantine_Mild*'Equipment List &amp; Usage'!$W28)+('Weekly Summary'!AY$100*SelfQuarantine_Mild*'Equipment List &amp; Usage'!$X28)+('Weekly Summary'!AY$101*SelfQuarantine_Moderate*'Equipment List &amp; Usage'!$X28)))+IF('Equipment List &amp; Usage'!$F28="Yes",'Equipment List &amp; Usage'!$C$114*(IF('Equipment List &amp; Usage'!$AA28&gt;0,'Weekly Summary'!AY$128,0)+IF('Equipment List &amp; Usage'!$AB28&gt;0,'Weekly Summary'!AY$100+'Weekly Summary'!AY$101,0)),'Equipment List &amp; Usage'!$C$115*(('Weekly Summary'!AY$128*'Equipment List &amp; Usage'!$AA28)+('Weekly Summary'!AY$100*'Equipment List &amp; Usage'!$AB28*SelfQuarantine_Mild)+('Weekly Summary'!AY$101*'Equipment List &amp; Usage'!$AB28*SelfQuarantine_Moderate)))+IF('Equipment List &amp; Usage'!$F28="Yes",('Equipment List &amp; Usage'!$C$114*(IF('Equipment List &amp; Usage'!$AE28&gt;0,'Weekly Summary'!AY$134,0)+IF('Equipment List &amp; Usage'!$AF28&gt;0,'Weekly Summary'!AY$135))),'Equipment List &amp; Usage'!$C$115*(('Weekly Summary'!AY$134*'Equipment List &amp; Usage'!$AE28)+('Weekly Summary'!AY$135*'Equipment List &amp; Usage'!$AF28))))-SUM($I26:BD26),
IF($F26="yes",MMULT(--('Equipment List &amp; Usage'!$J28:$N28&gt;0),--('Weekly Summary'!AY$112:AY$116))*'Equipment List &amp; Usage'!$C$114,MMULT(--('Equipment List &amp; Usage'!$J28:$N28),--('Weekly Summary'!AY$112:AY$116))*'Equipment List &amp; Usage'!$C$115)+IF('Equipment List &amp; Usage'!$F27="yes",'Equipment List &amp; Usage'!$C$114,'Equipment List &amp; Usage'!$C$115)*(('Weekly Summary'!AY$66*'Equipment List &amp; Usage'!$Q28)+('Weekly Summary'!AY$64*'Equipment List &amp; Usage'!$O28)+('Weekly Summary'!AY$65*'Equipment List &amp; Usage'!$P28))+(IF('Equipment List &amp; Usage'!$F28="Yes",'Equipment List &amp; Usage'!$C$114*((('Weekly Summary'!AY$131*SelfQuarantine_Mild)+('Weekly Summary'!AY$100*SelfQuarantine_Mild)+('Weekly Summary'!AY$101*SelfQuarantine_Moderate))),'Equipment List &amp; Usage'!$C$115)*((('Weekly Summary'!AY$131*SelfQuarantine_Mild*'Equipment List &amp; Usage'!$W28)+('Weekly Summary'!AY$100*SelfQuarantine_Mild*'Equipment List &amp; Usage'!$X28)+('Weekly Summary'!AY$101*SelfQuarantine_Moderate*'Equipment List &amp; Usage'!$X28))))+IF('Equipment List &amp; Usage'!$F28="Yes",'Equipment List &amp; Usage'!$C$114*(IF('Equipment List &amp; Usage'!$AA28&gt;0,'Weekly Summary'!AY$128,0)+IF('Equipment List &amp; Usage'!$AB28&gt;0,'Weekly Summary'!AY$100+'Weekly Summary'!AY$101,0)),'Equipment List &amp; Usage'!$C$115*(('Weekly Summary'!AY$128*'Equipment List &amp; Usage'!$AA28)+('Weekly Summary'!AY$100*'Equipment List &amp; Usage'!$AB28*SelfQuarantine_Mild)+('Weekly Summary'!AY$101*'Equipment List &amp; Usage'!$AB28*SelfQuarantine_Moderate)))+IF('Equipment List &amp; Usage'!$F28="Yes",('Equipment List &amp; Usage'!$C$114*(IF('Equipment List &amp; Usage'!$AE28&gt;0,'Weekly Summary'!AY$134,0)+IF('Equipment List &amp; Usage'!$AF28&gt;0,'Weekly Summary'!AY$135))),'Equipment List &amp; Usage'!$C$115*(('Weekly Summary'!AY$134*'Equipment List &amp; Usage'!$AE28)+('Weekly Summary'!AY$135*'Equipment List &amp; Usage'!$AF28)))),0)</f>
        <v>0</v>
      </c>
      <c r="BF26" s="1374">
        <f ca="1">MAX(IF($F26="Yes",(
IF($F26="yes",MMULT(--('Equipment List &amp; Usage'!$J28:$N28&gt;0),--('Weekly Summary'!AZ$112:AZ$116))*'Equipment List &amp; Usage'!$C$114,MMULT(--('Equipment List &amp; Usage'!$J28:$N28),--('Weekly Summary'!AZ$112:AZ$116))*'Equipment List &amp; Usage'!$C$115)+IF('Equipment List &amp; Usage'!$F27="yes",'Equipment List &amp; Usage'!$C$114,'Equipment List &amp; Usage'!$C$115)*(('Weekly Summary'!AZ$66*'Equipment List &amp; Usage'!$Q28)+('Weekly Summary'!AZ$64*'Equipment List &amp; Usage'!$O28)+('Weekly Summary'!AZ$65*'Equipment List &amp; Usage'!$P28)))+(IF('Equipment List &amp; Usage'!$F28="Yes",'Equipment List &amp; Usage'!$C$114*((('Weekly Summary'!AZ$131*SelfQuarantine_Mild)+('Weekly Summary'!AZ$100*SelfQuarantine_Mild)+('Weekly Summary'!AZ$101*SelfQuarantine_Moderate))),'Equipment List &amp; Usage'!$C$115)*((('Weekly Summary'!AZ$131*SelfQuarantine_Mild*'Equipment List &amp; Usage'!$W28)+('Weekly Summary'!AZ$100*SelfQuarantine_Mild*'Equipment List &amp; Usage'!$X28)+('Weekly Summary'!AZ$101*SelfQuarantine_Moderate*'Equipment List &amp; Usage'!$X28)))+IF('Equipment List &amp; Usage'!$F28="Yes",'Equipment List &amp; Usage'!$C$114*(IF('Equipment List &amp; Usage'!$AA28&gt;0,'Weekly Summary'!AZ$128,0)+IF('Equipment List &amp; Usage'!$AB28&gt;0,'Weekly Summary'!AZ$100+'Weekly Summary'!AZ$101,0)),'Equipment List &amp; Usage'!$C$115*(('Weekly Summary'!AZ$128*'Equipment List &amp; Usage'!$AA28)+('Weekly Summary'!AZ$100*'Equipment List &amp; Usage'!$AB28*SelfQuarantine_Mild)+('Weekly Summary'!AZ$101*'Equipment List &amp; Usage'!$AB28*SelfQuarantine_Moderate)))+IF('Equipment List &amp; Usage'!$F28="Yes",('Equipment List &amp; Usage'!$C$114*(IF('Equipment List &amp; Usage'!$AE28&gt;0,'Weekly Summary'!AZ$134,0)+IF('Equipment List &amp; Usage'!$AF28&gt;0,'Weekly Summary'!AZ$135))),'Equipment List &amp; Usage'!$C$115*(('Weekly Summary'!AZ$134*'Equipment List &amp; Usage'!$AE28)+('Weekly Summary'!AZ$135*'Equipment List &amp; Usage'!$AF28))))-SUM($I26:BE26),
IF($F26="yes",MMULT(--('Equipment List &amp; Usage'!$J28:$N28&gt;0),--('Weekly Summary'!AZ$112:AZ$116))*'Equipment List &amp; Usage'!$C$114,MMULT(--('Equipment List &amp; Usage'!$J28:$N28),--('Weekly Summary'!AZ$112:AZ$116))*'Equipment List &amp; Usage'!$C$115)+IF('Equipment List &amp; Usage'!$F27="yes",'Equipment List &amp; Usage'!$C$114,'Equipment List &amp; Usage'!$C$115)*(('Weekly Summary'!AZ$66*'Equipment List &amp; Usage'!$Q28)+('Weekly Summary'!AZ$64*'Equipment List &amp; Usage'!$O28)+('Weekly Summary'!AZ$65*'Equipment List &amp; Usage'!$P28))+(IF('Equipment List &amp; Usage'!$F28="Yes",'Equipment List &amp; Usage'!$C$114*((('Weekly Summary'!AZ$131*SelfQuarantine_Mild)+('Weekly Summary'!AZ$100*SelfQuarantine_Mild)+('Weekly Summary'!AZ$101*SelfQuarantine_Moderate))),'Equipment List &amp; Usage'!$C$115)*((('Weekly Summary'!AZ$131*SelfQuarantine_Mild*'Equipment List &amp; Usage'!$W28)+('Weekly Summary'!AZ$100*SelfQuarantine_Mild*'Equipment List &amp; Usage'!$X28)+('Weekly Summary'!AZ$101*SelfQuarantine_Moderate*'Equipment List &amp; Usage'!$X28))))+IF('Equipment List &amp; Usage'!$F28="Yes",'Equipment List &amp; Usage'!$C$114*(IF('Equipment List &amp; Usage'!$AA28&gt;0,'Weekly Summary'!AZ$128,0)+IF('Equipment List &amp; Usage'!$AB28&gt;0,'Weekly Summary'!AZ$100+'Weekly Summary'!AZ$101,0)),'Equipment List &amp; Usage'!$C$115*(('Weekly Summary'!AZ$128*'Equipment List &amp; Usage'!$AA28)+('Weekly Summary'!AZ$100*'Equipment List &amp; Usage'!$AB28*SelfQuarantine_Mild)+('Weekly Summary'!AZ$101*'Equipment List &amp; Usage'!$AB28*SelfQuarantine_Moderate)))+IF('Equipment List &amp; Usage'!$F28="Yes",('Equipment List &amp; Usage'!$C$114*(IF('Equipment List &amp; Usage'!$AE28&gt;0,'Weekly Summary'!AZ$134,0)+IF('Equipment List &amp; Usage'!$AF28&gt;0,'Weekly Summary'!AZ$135))),'Equipment List &amp; Usage'!$C$115*(('Weekly Summary'!AZ$134*'Equipment List &amp; Usage'!$AE28)+('Weekly Summary'!AZ$135*'Equipment List &amp; Usage'!$AF28)))),0)</f>
        <v>0</v>
      </c>
      <c r="BG26" s="1374">
        <f ca="1">MAX(IF($F26="Yes",(
IF($F26="yes",MMULT(--('Equipment List &amp; Usage'!$J28:$N28&gt;0),--('Weekly Summary'!BA$112:BA$116))*'Equipment List &amp; Usage'!$C$114,MMULT(--('Equipment List &amp; Usage'!$J28:$N28),--('Weekly Summary'!BA$112:BA$116))*'Equipment List &amp; Usage'!$C$115)+IF('Equipment List &amp; Usage'!$F27="yes",'Equipment List &amp; Usage'!$C$114,'Equipment List &amp; Usage'!$C$115)*(('Weekly Summary'!BA$66*'Equipment List &amp; Usage'!$Q28)+('Weekly Summary'!BA$64*'Equipment List &amp; Usage'!$O28)+('Weekly Summary'!BA$65*'Equipment List &amp; Usage'!$P28)))+(IF('Equipment List &amp; Usage'!$F28="Yes",'Equipment List &amp; Usage'!$C$114*((('Weekly Summary'!BA$131*SelfQuarantine_Mild)+('Weekly Summary'!BA$100*SelfQuarantine_Mild)+('Weekly Summary'!BA$101*SelfQuarantine_Moderate))),'Equipment List &amp; Usage'!$C$115)*((('Weekly Summary'!BA$131*SelfQuarantine_Mild*'Equipment List &amp; Usage'!$W28)+('Weekly Summary'!BA$100*SelfQuarantine_Mild*'Equipment List &amp; Usage'!$X28)+('Weekly Summary'!BA$101*SelfQuarantine_Moderate*'Equipment List &amp; Usage'!$X28)))+IF('Equipment List &amp; Usage'!$F28="Yes",'Equipment List &amp; Usage'!$C$114*(IF('Equipment List &amp; Usage'!$AA28&gt;0,'Weekly Summary'!BA$128,0)+IF('Equipment List &amp; Usage'!$AB28&gt;0,'Weekly Summary'!BA$100+'Weekly Summary'!BA$101,0)),'Equipment List &amp; Usage'!$C$115*(('Weekly Summary'!BA$128*'Equipment List &amp; Usage'!$AA28)+('Weekly Summary'!BA$100*'Equipment List &amp; Usage'!$AB28*SelfQuarantine_Mild)+('Weekly Summary'!BA$101*'Equipment List &amp; Usage'!$AB28*SelfQuarantine_Moderate)))+IF('Equipment List &amp; Usage'!$F28="Yes",('Equipment List &amp; Usage'!$C$114*(IF('Equipment List &amp; Usage'!$AE28&gt;0,'Weekly Summary'!BA$134,0)+IF('Equipment List &amp; Usage'!$AF28&gt;0,'Weekly Summary'!BA$135))),'Equipment List &amp; Usage'!$C$115*(('Weekly Summary'!BA$134*'Equipment List &amp; Usage'!$AE28)+('Weekly Summary'!BA$135*'Equipment List &amp; Usage'!$AF28))))-SUM($I26:BF26),
IF($F26="yes",MMULT(--('Equipment List &amp; Usage'!$J28:$N28&gt;0),--('Weekly Summary'!BA$112:BA$116))*'Equipment List &amp; Usage'!$C$114,MMULT(--('Equipment List &amp; Usage'!$J28:$N28),--('Weekly Summary'!BA$112:BA$116))*'Equipment List &amp; Usage'!$C$115)+IF('Equipment List &amp; Usage'!$F27="yes",'Equipment List &amp; Usage'!$C$114,'Equipment List &amp; Usage'!$C$115)*(('Weekly Summary'!BA$66*'Equipment List &amp; Usage'!$Q28)+('Weekly Summary'!BA$64*'Equipment List &amp; Usage'!$O28)+('Weekly Summary'!BA$65*'Equipment List &amp; Usage'!$P28))+(IF('Equipment List &amp; Usage'!$F28="Yes",'Equipment List &amp; Usage'!$C$114*((('Weekly Summary'!BA$131*SelfQuarantine_Mild)+('Weekly Summary'!BA$100*SelfQuarantine_Mild)+('Weekly Summary'!BA$101*SelfQuarantine_Moderate))),'Equipment List &amp; Usage'!$C$115)*((('Weekly Summary'!BA$131*SelfQuarantine_Mild*'Equipment List &amp; Usage'!$W28)+('Weekly Summary'!BA$100*SelfQuarantine_Mild*'Equipment List &amp; Usage'!$X28)+('Weekly Summary'!BA$101*SelfQuarantine_Moderate*'Equipment List &amp; Usage'!$X28))))+IF('Equipment List &amp; Usage'!$F28="Yes",'Equipment List &amp; Usage'!$C$114*(IF('Equipment List &amp; Usage'!$AA28&gt;0,'Weekly Summary'!BA$128,0)+IF('Equipment List &amp; Usage'!$AB28&gt;0,'Weekly Summary'!BA$100+'Weekly Summary'!BA$101,0)),'Equipment List &amp; Usage'!$C$115*(('Weekly Summary'!BA$128*'Equipment List &amp; Usage'!$AA28)+('Weekly Summary'!BA$100*'Equipment List &amp; Usage'!$AB28*SelfQuarantine_Mild)+('Weekly Summary'!BA$101*'Equipment List &amp; Usage'!$AB28*SelfQuarantine_Moderate)))+IF('Equipment List &amp; Usage'!$F28="Yes",('Equipment List &amp; Usage'!$C$114*(IF('Equipment List &amp; Usage'!$AE28&gt;0,'Weekly Summary'!BA$134,0)+IF('Equipment List &amp; Usage'!$AF28&gt;0,'Weekly Summary'!BA$135))),'Equipment List &amp; Usage'!$C$115*(('Weekly Summary'!BA$134*'Equipment List &amp; Usage'!$AE28)+('Weekly Summary'!BA$135*'Equipment List &amp; Usage'!$AF28)))),0)</f>
        <v>0</v>
      </c>
      <c r="BH26" s="1374">
        <f ca="1">MAX(IF($F26="Yes",(
IF($F26="yes",MMULT(--('Equipment List &amp; Usage'!$J28:$N28&gt;0),--('Weekly Summary'!BB$112:BB$116))*'Equipment List &amp; Usage'!$C$114,MMULT(--('Equipment List &amp; Usage'!$J28:$N28),--('Weekly Summary'!BB$112:BB$116))*'Equipment List &amp; Usage'!$C$115)+IF('Equipment List &amp; Usage'!$F27="yes",'Equipment List &amp; Usage'!$C$114,'Equipment List &amp; Usage'!$C$115)*(('Weekly Summary'!BB$66*'Equipment List &amp; Usage'!$Q28)+('Weekly Summary'!BB$64*'Equipment List &amp; Usage'!$O28)+('Weekly Summary'!BB$65*'Equipment List &amp; Usage'!$P28)))+(IF('Equipment List &amp; Usage'!$F28="Yes",'Equipment List &amp; Usage'!$C$114*((('Weekly Summary'!BB$131*SelfQuarantine_Mild)+('Weekly Summary'!BB$100*SelfQuarantine_Mild)+('Weekly Summary'!BB$101*SelfQuarantine_Moderate))),'Equipment List &amp; Usage'!$C$115)*((('Weekly Summary'!BB$131*SelfQuarantine_Mild*'Equipment List &amp; Usage'!$W28)+('Weekly Summary'!BB$100*SelfQuarantine_Mild*'Equipment List &amp; Usage'!$X28)+('Weekly Summary'!BB$101*SelfQuarantine_Moderate*'Equipment List &amp; Usage'!$X28)))+IF('Equipment List &amp; Usage'!$F28="Yes",'Equipment List &amp; Usage'!$C$114*(IF('Equipment List &amp; Usage'!$AA28&gt;0,'Weekly Summary'!BB$128,0)+IF('Equipment List &amp; Usage'!$AB28&gt;0,'Weekly Summary'!BB$100+'Weekly Summary'!BB$101,0)),'Equipment List &amp; Usage'!$C$115*(('Weekly Summary'!BB$128*'Equipment List &amp; Usage'!$AA28)+('Weekly Summary'!BB$100*'Equipment List &amp; Usage'!$AB28*SelfQuarantine_Mild)+('Weekly Summary'!BB$101*'Equipment List &amp; Usage'!$AB28*SelfQuarantine_Moderate)))+IF('Equipment List &amp; Usage'!$F28="Yes",('Equipment List &amp; Usage'!$C$114*(IF('Equipment List &amp; Usage'!$AE28&gt;0,'Weekly Summary'!BB$134,0)+IF('Equipment List &amp; Usage'!$AF28&gt;0,'Weekly Summary'!BB$135))),'Equipment List &amp; Usage'!$C$115*(('Weekly Summary'!BB$134*'Equipment List &amp; Usage'!$AE28)+('Weekly Summary'!BB$135*'Equipment List &amp; Usage'!$AF28))))-SUM($I26:BG26),
IF($F26="yes",MMULT(--('Equipment List &amp; Usage'!$J28:$N28&gt;0),--('Weekly Summary'!BB$112:BB$116))*'Equipment List &amp; Usage'!$C$114,MMULT(--('Equipment List &amp; Usage'!$J28:$N28),--('Weekly Summary'!BB$112:BB$116))*'Equipment List &amp; Usage'!$C$115)+IF('Equipment List &amp; Usage'!$F27="yes",'Equipment List &amp; Usage'!$C$114,'Equipment List &amp; Usage'!$C$115)*(('Weekly Summary'!BB$66*'Equipment List &amp; Usage'!$Q28)+('Weekly Summary'!BB$64*'Equipment List &amp; Usage'!$O28)+('Weekly Summary'!BB$65*'Equipment List &amp; Usage'!$P28))+(IF('Equipment List &amp; Usage'!$F28="Yes",'Equipment List &amp; Usage'!$C$114*((('Weekly Summary'!BB$131*SelfQuarantine_Mild)+('Weekly Summary'!BB$100*SelfQuarantine_Mild)+('Weekly Summary'!BB$101*SelfQuarantine_Moderate))),'Equipment List &amp; Usage'!$C$115)*((('Weekly Summary'!BB$131*SelfQuarantine_Mild*'Equipment List &amp; Usage'!$W28)+('Weekly Summary'!BB$100*SelfQuarantine_Mild*'Equipment List &amp; Usage'!$X28)+('Weekly Summary'!BB$101*SelfQuarantine_Moderate*'Equipment List &amp; Usage'!$X28))))+IF('Equipment List &amp; Usage'!$F28="Yes",'Equipment List &amp; Usage'!$C$114*(IF('Equipment List &amp; Usage'!$AA28&gt;0,'Weekly Summary'!BB$128,0)+IF('Equipment List &amp; Usage'!$AB28&gt;0,'Weekly Summary'!BB$100+'Weekly Summary'!BB$101,0)),'Equipment List &amp; Usage'!$C$115*(('Weekly Summary'!BB$128*'Equipment List &amp; Usage'!$AA28)+('Weekly Summary'!BB$100*'Equipment List &amp; Usage'!$AB28*SelfQuarantine_Mild)+('Weekly Summary'!BB$101*'Equipment List &amp; Usage'!$AB28*SelfQuarantine_Moderate)))+IF('Equipment List &amp; Usage'!$F28="Yes",('Equipment List &amp; Usage'!$C$114*(IF('Equipment List &amp; Usage'!$AE28&gt;0,'Weekly Summary'!BB$134,0)+IF('Equipment List &amp; Usage'!$AF28&gt;0,'Weekly Summary'!BB$135))),'Equipment List &amp; Usage'!$C$115*(('Weekly Summary'!BB$134*'Equipment List &amp; Usage'!$AE28)+('Weekly Summary'!BB$135*'Equipment List &amp; Usage'!$AF28)))),0)</f>
        <v>0</v>
      </c>
      <c r="BI26" s="1374">
        <f ca="1">MAX(IF($F26="Yes",(
IF($F26="yes",MMULT(--('Equipment List &amp; Usage'!$J28:$N28&gt;0),--('Weekly Summary'!BC$112:BC$116))*'Equipment List &amp; Usage'!$C$114,MMULT(--('Equipment List &amp; Usage'!$J28:$N28),--('Weekly Summary'!BC$112:BC$116))*'Equipment List &amp; Usage'!$C$115)+IF('Equipment List &amp; Usage'!$F27="yes",'Equipment List &amp; Usage'!$C$114,'Equipment List &amp; Usage'!$C$115)*(('Weekly Summary'!BC$66*'Equipment List &amp; Usage'!$Q28)+('Weekly Summary'!BC$64*'Equipment List &amp; Usage'!$O28)+('Weekly Summary'!BC$65*'Equipment List &amp; Usage'!$P28)))+(IF('Equipment List &amp; Usage'!$F28="Yes",'Equipment List &amp; Usage'!$C$114*((('Weekly Summary'!BC$131*SelfQuarantine_Mild)+('Weekly Summary'!BC$100*SelfQuarantine_Mild)+('Weekly Summary'!BC$101*SelfQuarantine_Moderate))),'Equipment List &amp; Usage'!$C$115)*((('Weekly Summary'!BC$131*SelfQuarantine_Mild*'Equipment List &amp; Usage'!$W28)+('Weekly Summary'!BC$100*SelfQuarantine_Mild*'Equipment List &amp; Usage'!$X28)+('Weekly Summary'!BC$101*SelfQuarantine_Moderate*'Equipment List &amp; Usage'!$X28)))+IF('Equipment List &amp; Usage'!$F28="Yes",'Equipment List &amp; Usage'!$C$114*(IF('Equipment List &amp; Usage'!$AA28&gt;0,'Weekly Summary'!BC$128,0)+IF('Equipment List &amp; Usage'!$AB28&gt;0,'Weekly Summary'!BC$100+'Weekly Summary'!BC$101,0)),'Equipment List &amp; Usage'!$C$115*(('Weekly Summary'!BC$128*'Equipment List &amp; Usage'!$AA28)+('Weekly Summary'!BC$100*'Equipment List &amp; Usage'!$AB28*SelfQuarantine_Mild)+('Weekly Summary'!BC$101*'Equipment List &amp; Usage'!$AB28*SelfQuarantine_Moderate)))+IF('Equipment List &amp; Usage'!$F28="Yes",('Equipment List &amp; Usage'!$C$114*(IF('Equipment List &amp; Usage'!$AE28&gt;0,'Weekly Summary'!BC$134,0)+IF('Equipment List &amp; Usage'!$AF28&gt;0,'Weekly Summary'!BC$135))),'Equipment List &amp; Usage'!$C$115*(('Weekly Summary'!BC$134*'Equipment List &amp; Usage'!$AE28)+('Weekly Summary'!BC$135*'Equipment List &amp; Usage'!$AF28))))-SUM($I26:BH26),
IF($F26="yes",MMULT(--('Equipment List &amp; Usage'!$J28:$N28&gt;0),--('Weekly Summary'!BC$112:BC$116))*'Equipment List &amp; Usage'!$C$114,MMULT(--('Equipment List &amp; Usage'!$J28:$N28),--('Weekly Summary'!BC$112:BC$116))*'Equipment List &amp; Usage'!$C$115)+IF('Equipment List &amp; Usage'!$F27="yes",'Equipment List &amp; Usage'!$C$114,'Equipment List &amp; Usage'!$C$115)*(('Weekly Summary'!BC$66*'Equipment List &amp; Usage'!$Q28)+('Weekly Summary'!BC$64*'Equipment List &amp; Usage'!$O28)+('Weekly Summary'!BC$65*'Equipment List &amp; Usage'!$P28))+(IF('Equipment List &amp; Usage'!$F28="Yes",'Equipment List &amp; Usage'!$C$114*((('Weekly Summary'!BC$131*SelfQuarantine_Mild)+('Weekly Summary'!BC$100*SelfQuarantine_Mild)+('Weekly Summary'!BC$101*SelfQuarantine_Moderate))),'Equipment List &amp; Usage'!$C$115)*((('Weekly Summary'!BC$131*SelfQuarantine_Mild*'Equipment List &amp; Usage'!$W28)+('Weekly Summary'!BC$100*SelfQuarantine_Mild*'Equipment List &amp; Usage'!$X28)+('Weekly Summary'!BC$101*SelfQuarantine_Moderate*'Equipment List &amp; Usage'!$X28))))+IF('Equipment List &amp; Usage'!$F28="Yes",'Equipment List &amp; Usage'!$C$114*(IF('Equipment List &amp; Usage'!$AA28&gt;0,'Weekly Summary'!BC$128,0)+IF('Equipment List &amp; Usage'!$AB28&gt;0,'Weekly Summary'!BC$100+'Weekly Summary'!BC$101,0)),'Equipment List &amp; Usage'!$C$115*(('Weekly Summary'!BC$128*'Equipment List &amp; Usage'!$AA28)+('Weekly Summary'!BC$100*'Equipment List &amp; Usage'!$AB28*SelfQuarantine_Mild)+('Weekly Summary'!BC$101*'Equipment List &amp; Usage'!$AB28*SelfQuarantine_Moderate)))+IF('Equipment List &amp; Usage'!$F28="Yes",('Equipment List &amp; Usage'!$C$114*(IF('Equipment List &amp; Usage'!$AE28&gt;0,'Weekly Summary'!BC$134,0)+IF('Equipment List &amp; Usage'!$AF28&gt;0,'Weekly Summary'!BC$135))),'Equipment List &amp; Usage'!$C$115*(('Weekly Summary'!BC$134*'Equipment List &amp; Usage'!$AE28)+('Weekly Summary'!BC$135*'Equipment List &amp; Usage'!$AF28)))),0)</f>
        <v>0</v>
      </c>
      <c r="BJ26" s="1377">
        <f ca="1">MAX(IF($F26="Yes",(
IF($F26="yes",MMULT(--('Equipment List &amp; Usage'!$J28:$N28&gt;0),--('Weekly Summary'!BD$112:BD$116))*'Equipment List &amp; Usage'!$C$114,MMULT(--('Equipment List &amp; Usage'!$J28:$N28),--('Weekly Summary'!BD$112:BD$116))*'Equipment List &amp; Usage'!$C$115)+IF('Equipment List &amp; Usage'!$F27="yes",'Equipment List &amp; Usage'!$C$114,'Equipment List &amp; Usage'!$C$115)*(('Weekly Summary'!BD$66*'Equipment List &amp; Usage'!$Q28)+('Weekly Summary'!BD$64*'Equipment List &amp; Usage'!$O28)+('Weekly Summary'!BD$65*'Equipment List &amp; Usage'!$P28)))+(IF('Equipment List &amp; Usage'!$F28="Yes",'Equipment List &amp; Usage'!$C$114*((('Weekly Summary'!BD$131*SelfQuarantine_Mild)+('Weekly Summary'!BD$100*SelfQuarantine_Mild)+('Weekly Summary'!BD$101*SelfQuarantine_Moderate))),'Equipment List &amp; Usage'!$C$115)*((('Weekly Summary'!BD$131*SelfQuarantine_Mild*'Equipment List &amp; Usage'!$W28)+('Weekly Summary'!BD$100*SelfQuarantine_Mild*'Equipment List &amp; Usage'!$X28)+('Weekly Summary'!BD$101*SelfQuarantine_Moderate*'Equipment List &amp; Usage'!$X28)))+IF('Equipment List &amp; Usage'!$F28="Yes",'Equipment List &amp; Usage'!$C$114*(IF('Equipment List &amp; Usage'!$AA28&gt;0,'Weekly Summary'!BD$128,0)+IF('Equipment List &amp; Usage'!$AB28&gt;0,'Weekly Summary'!BD$100+'Weekly Summary'!BD$101,0)),'Equipment List &amp; Usage'!$C$115*(('Weekly Summary'!BD$128*'Equipment List &amp; Usage'!$AA28)+('Weekly Summary'!BD$100*'Equipment List &amp; Usage'!$AB28*SelfQuarantine_Mild)+('Weekly Summary'!BD$101*'Equipment List &amp; Usage'!$AB28*SelfQuarantine_Moderate)))+IF('Equipment List &amp; Usage'!$F28="Yes",('Equipment List &amp; Usage'!$C$114*(IF('Equipment List &amp; Usage'!$AE28&gt;0,'Weekly Summary'!BD$134,0)+IF('Equipment List &amp; Usage'!$AF28&gt;0,'Weekly Summary'!BD$135))),'Equipment List &amp; Usage'!$C$115*(('Weekly Summary'!BD$134*'Equipment List &amp; Usage'!$AE28)+('Weekly Summary'!BD$135*'Equipment List &amp; Usage'!$AF28))))-SUM($I26:BI26),
IF($F26="yes",MMULT(--('Equipment List &amp; Usage'!$J28:$N28&gt;0),--('Weekly Summary'!BD$112:BD$116))*'Equipment List &amp; Usage'!$C$114,MMULT(--('Equipment List &amp; Usage'!$J28:$N28),--('Weekly Summary'!BD$112:BD$116))*'Equipment List &amp; Usage'!$C$115)+IF('Equipment List &amp; Usage'!$F27="yes",'Equipment List &amp; Usage'!$C$114,'Equipment List &amp; Usage'!$C$115)*(('Weekly Summary'!BD$66*'Equipment List &amp; Usage'!$Q28)+('Weekly Summary'!BD$64*'Equipment List &amp; Usage'!$O28)+('Weekly Summary'!BD$65*'Equipment List &amp; Usage'!$P28))+(IF('Equipment List &amp; Usage'!$F28="Yes",'Equipment List &amp; Usage'!$C$114*((('Weekly Summary'!BD$131*SelfQuarantine_Mild)+('Weekly Summary'!BD$100*SelfQuarantine_Mild)+('Weekly Summary'!BD$101*SelfQuarantine_Moderate))),'Equipment List &amp; Usage'!$C$115)*((('Weekly Summary'!BD$131*SelfQuarantine_Mild*'Equipment List &amp; Usage'!$W28)+('Weekly Summary'!BD$100*SelfQuarantine_Mild*'Equipment List &amp; Usage'!$X28)+('Weekly Summary'!BD$101*SelfQuarantine_Moderate*'Equipment List &amp; Usage'!$X28))))+IF('Equipment List &amp; Usage'!$F28="Yes",'Equipment List &amp; Usage'!$C$114*(IF('Equipment List &amp; Usage'!$AA28&gt;0,'Weekly Summary'!BD$128,0)+IF('Equipment List &amp; Usage'!$AB28&gt;0,'Weekly Summary'!BD$100+'Weekly Summary'!BD$101,0)),'Equipment List &amp; Usage'!$C$115*(('Weekly Summary'!BD$128*'Equipment List &amp; Usage'!$AA28)+('Weekly Summary'!BD$100*'Equipment List &amp; Usage'!$AB28*SelfQuarantine_Mild)+('Weekly Summary'!BD$101*'Equipment List &amp; Usage'!$AB28*SelfQuarantine_Moderate)))+IF('Equipment List &amp; Usage'!$F28="Yes",('Equipment List &amp; Usage'!$C$114*(IF('Equipment List &amp; Usage'!$AE28&gt;0,'Weekly Summary'!BD$134,0)+IF('Equipment List &amp; Usage'!$AF28&gt;0,'Weekly Summary'!BD$135))),'Equipment List &amp; Usage'!$C$115*(('Weekly Summary'!BD$134*'Equipment List &amp; Usage'!$AE28)+('Weekly Summary'!BD$135*'Equipment List &amp; Usage'!$AF28)))),0)</f>
        <v>0</v>
      </c>
    </row>
    <row r="27" spans="2:62" x14ac:dyDescent="0.35">
      <c r="B27" s="949" t="str">
        <f>'Equipment List &amp; Usage'!B29</f>
        <v>IPC</v>
      </c>
      <c r="C27" s="948" t="str">
        <f>'Equipment List &amp; Usage'!C29</f>
        <v>PPE</v>
      </c>
      <c r="D27" s="948" t="str">
        <f>'Equipment List &amp; Usage'!D29</f>
        <v>Goggles, protective</v>
      </c>
      <c r="E27" s="948" t="str">
        <f>'Equipment List &amp; Usage'!E29</f>
        <v>Each</v>
      </c>
      <c r="F27" s="948" t="str">
        <f>'Equipment List &amp; Usage'!F29</f>
        <v>Yes</v>
      </c>
      <c r="G27" s="948" t="str">
        <f>'Equipment List &amp; Usage'!G29</f>
        <v>N/A</v>
      </c>
      <c r="H27" s="1365">
        <f t="shared" ca="1" si="2"/>
        <v>1437.8341012789267</v>
      </c>
      <c r="J27" s="1341"/>
      <c r="K27" s="1374">
        <f ca="1">IF('User Dashboard'!$H$13=1,0,IF($F27="Yes",(
IF($F27="yes",MMULT(--('Equipment List &amp; Usage'!$J29:$N29&gt;0),--('Weekly Summary'!E$112:E$116))*'Equipment List &amp; Usage'!$C$114,MMULT(--('Equipment List &amp; Usage'!$J29:$N29),--('Weekly Summary'!E$112:E$116))*'Equipment List &amp; Usage'!$C$115)+IF('Equipment List &amp; Usage'!$F28="yes",'Equipment List &amp; Usage'!$C$114,'Equipment List &amp; Usage'!$C$115)*(('Weekly Summary'!E$66*'Equipment List &amp; Usage'!$Q29)+('Weekly Summary'!E$64*'Equipment List &amp; Usage'!$O29)+('Weekly Summary'!E$65*'Equipment List &amp; Usage'!$P29)))+(IF('Equipment List &amp; Usage'!$F29="Yes",'Equipment List &amp; Usage'!$C$114*((('Weekly Summary'!E$131*SelfQuarantine_Mild)+('Weekly Summary'!E$100*SelfQuarantine_Mild)+('Weekly Summary'!E$101*SelfQuarantine_Moderate))),'Equipment List &amp; Usage'!$C$115)*((('Weekly Summary'!E$131*SelfQuarantine_Mild*'Equipment List &amp; Usage'!$W29)+('Weekly Summary'!E$100*SelfQuarantine_Mild*'Equipment List &amp; Usage'!$X29)+('Weekly Summary'!E$101*SelfQuarantine_Moderate*'Equipment List &amp; Usage'!$X29)))+IF('Equipment List &amp; Usage'!$F29="Yes",'Equipment List &amp; Usage'!$C$114*(IF('Equipment List &amp; Usage'!$AA29&gt;0,'Weekly Summary'!E$128,0)+IF('Equipment List &amp; Usage'!$AB29&gt;0,'Weekly Summary'!E$100+'Weekly Summary'!E$101,0)),'Equipment List &amp; Usage'!$C$115*(('Weekly Summary'!E$128*'Equipment List &amp; Usage'!$AA29)+('Weekly Summary'!E$100*'Equipment List &amp; Usage'!$AB29*SelfQuarantine_Mild)+('Weekly Summary'!E$101*'Equipment List &amp; Usage'!$AB29*SelfQuarantine_Moderate)))+IF('Equipment List &amp; Usage'!$F29="Yes",('Equipment List &amp; Usage'!$C$114*(IF('Equipment List &amp; Usage'!$AE29&gt;0,'Weekly Summary'!E$134,0)+IF('Equipment List &amp; Usage'!$AF29&gt;0,'Weekly Summary'!E$135))),'Equipment List &amp; Usage'!$C$115*(('Weekly Summary'!E$134*'Equipment List &amp; Usage'!$AE29)+('Weekly Summary'!E$135*'Equipment List &amp; Usage'!$AF29)))),
IF($F27="yes",MMULT(--('Equipment List &amp; Usage'!$J29:$N29&gt;0),--('Weekly Summary'!E$112:E$116))*'Equipment List &amp; Usage'!$C$114,MMULT(--('Equipment List &amp; Usage'!$J29:$N29),--('Weekly Summary'!E$112:E$116))*'Equipment List &amp; Usage'!$C$115)+IF('Equipment List &amp; Usage'!$F28="yes",'Equipment List &amp; Usage'!$C$114,'Equipment List &amp; Usage'!$C$115)*(('Weekly Summary'!E$66*'Equipment List &amp; Usage'!$Q29)+('Weekly Summary'!E$64*'Equipment List &amp; Usage'!$O29)+('Weekly Summary'!E$65*'Equipment List &amp; Usage'!$P29))+(IF('Equipment List &amp; Usage'!$F29="Yes",'Equipment List &amp; Usage'!$C$114*((('Weekly Summary'!E$131*SelfQuarantine_Mild)+('Weekly Summary'!E$100*SelfQuarantine_Mild)+('Weekly Summary'!E$101*SelfQuarantine_Moderate))),'Equipment List &amp; Usage'!$C$115)*((('Weekly Summary'!E$131*SelfQuarantine_Mild*'Equipment List &amp; Usage'!$W29)+('Weekly Summary'!E$100*SelfQuarantine_Mild*'Equipment List &amp; Usage'!$X29)+('Weekly Summary'!E$101*SelfQuarantine_Moderate*'Equipment List &amp; Usage'!$X29))))+IF('Equipment List &amp; Usage'!$F29="Yes",'Equipment List &amp; Usage'!$C$114*(IF('Equipment List &amp; Usage'!$AA29&gt;0,'Weekly Summary'!E$128,0)+IF('Equipment List &amp; Usage'!$AB29&gt;0,'Weekly Summary'!E$100+'Weekly Summary'!E$101,0)),'Equipment List &amp; Usage'!$C$115*(('Weekly Summary'!E$128*'Equipment List &amp; Usage'!$AA29)+('Weekly Summary'!E$100*'Equipment List &amp; Usage'!$AB29*SelfQuarantine_Mild)+('Weekly Summary'!E$101*'Equipment List &amp; Usage'!$AB29*SelfQuarantine_Moderate)))+IF('Equipment List &amp; Usage'!$F29="Yes",('Equipment List &amp; Usage'!$C$114*(IF('Equipment List &amp; Usage'!$AE29&gt;0,'Weekly Summary'!E$134,0)+IF('Equipment List &amp; Usage'!$AF29&gt;0,'Weekly Summary'!E$135))),'Equipment List &amp; Usage'!$C$115*(('Weekly Summary'!E$134*'Equipment List &amp; Usage'!$AE29)+('Weekly Summary'!E$135*'Equipment List &amp; Usage'!$AF29)))))</f>
        <v>315.32659556689049</v>
      </c>
      <c r="L27" s="1374">
        <f ca="1">MAX(IF($F27="Yes",(
IF($F27="yes",MMULT(--('Equipment List &amp; Usage'!$J29:$N29&gt;0),--('Weekly Summary'!F$112:F$116))*'Equipment List &amp; Usage'!$C$114,MMULT(--('Equipment List &amp; Usage'!$J29:$N29),--('Weekly Summary'!F$112:F$116))*'Equipment List &amp; Usage'!$C$115)+IF('Equipment List &amp; Usage'!$F28="yes",'Equipment List &amp; Usage'!$C$114,'Equipment List &amp; Usage'!$C$115)*(('Weekly Summary'!F$66*'Equipment List &amp; Usage'!$Q29)+('Weekly Summary'!F$64*'Equipment List &amp; Usage'!$O29)+('Weekly Summary'!F$65*'Equipment List &amp; Usage'!$P29)))+(IF('Equipment List &amp; Usage'!$F29="Yes",'Equipment List &amp; Usage'!$C$114*((('Weekly Summary'!F$131*SelfQuarantine_Mild)+('Weekly Summary'!F$100*SelfQuarantine_Mild)+('Weekly Summary'!F$101*SelfQuarantine_Moderate))),'Equipment List &amp; Usage'!$C$115)*((('Weekly Summary'!F$131*SelfQuarantine_Mild*'Equipment List &amp; Usage'!$W29)+('Weekly Summary'!F$100*SelfQuarantine_Mild*'Equipment List &amp; Usage'!$X29)+('Weekly Summary'!F$101*SelfQuarantine_Moderate*'Equipment List &amp; Usage'!$X29)))+IF('Equipment List &amp; Usage'!$F29="Yes",'Equipment List &amp; Usage'!$C$114*(IF('Equipment List &amp; Usage'!$AA29&gt;0,'Weekly Summary'!F$128,0)+IF('Equipment List &amp; Usage'!$AB29&gt;0,'Weekly Summary'!F$100+'Weekly Summary'!F$101,0)),'Equipment List &amp; Usage'!$C$115*(('Weekly Summary'!F$128*'Equipment List &amp; Usage'!$AA29)+('Weekly Summary'!F$100*'Equipment List &amp; Usage'!$AB29*SelfQuarantine_Mild)+('Weekly Summary'!F$101*'Equipment List &amp; Usage'!$AB29*SelfQuarantine_Moderate)))+IF('Equipment List &amp; Usage'!$F29="Yes",('Equipment List &amp; Usage'!$C$114*(IF('Equipment List &amp; Usage'!$AE29&gt;0,'Weekly Summary'!F$134,0)+IF('Equipment List &amp; Usage'!$AF29&gt;0,'Weekly Summary'!F$135))),'Equipment List &amp; Usage'!$C$115*(('Weekly Summary'!F$134*'Equipment List &amp; Usage'!$AE29)+('Weekly Summary'!F$135*'Equipment List &amp; Usage'!$AF29))))-SUM($I27:K27),
IF($F27="yes",MMULT(--('Equipment List &amp; Usage'!$J29:$N29&gt;0),--('Weekly Summary'!F$112:F$116))*'Equipment List &amp; Usage'!$C$114,MMULT(--('Equipment List &amp; Usage'!$J29:$N29),--('Weekly Summary'!F$112:F$116))*'Equipment List &amp; Usage'!$C$115)+IF('Equipment List &amp; Usage'!$F28="yes",'Equipment List &amp; Usage'!$C$114,'Equipment List &amp; Usage'!$C$115)*(('Weekly Summary'!F$66*'Equipment List &amp; Usage'!$Q29)+('Weekly Summary'!F$64*'Equipment List &amp; Usage'!$O29)+('Weekly Summary'!F$65*'Equipment List &amp; Usage'!$P29))+(IF('Equipment List &amp; Usage'!$F29="Yes",'Equipment List &amp; Usage'!$C$114*((('Weekly Summary'!F$131*SelfQuarantine_Mild)+('Weekly Summary'!F$100*SelfQuarantine_Mild)+('Weekly Summary'!F$101*SelfQuarantine_Moderate))),'Equipment List &amp; Usage'!$C$115)*((('Weekly Summary'!F$131*SelfQuarantine_Mild*'Equipment List &amp; Usage'!$W29)+('Weekly Summary'!F$100*SelfQuarantine_Mild*'Equipment List &amp; Usage'!$X29)+('Weekly Summary'!F$101*SelfQuarantine_Moderate*'Equipment List &amp; Usage'!$X29))))+IF('Equipment List &amp; Usage'!$F29="Yes",'Equipment List &amp; Usage'!$C$114*(IF('Equipment List &amp; Usage'!$AA29&gt;0,'Weekly Summary'!F$128,0)+IF('Equipment List &amp; Usage'!$AB29&gt;0,'Weekly Summary'!F$100+'Weekly Summary'!F$101,0)),'Equipment List &amp; Usage'!$C$115*(('Weekly Summary'!F$128*'Equipment List &amp; Usage'!$AA29)+('Weekly Summary'!F$100*'Equipment List &amp; Usage'!$AB29*SelfQuarantine_Mild)+('Weekly Summary'!F$101*'Equipment List &amp; Usage'!$AB29*SelfQuarantine_Moderate)))+IF('Equipment List &amp; Usage'!$F29="Yes",('Equipment List &amp; Usage'!$C$114*(IF('Equipment List &amp; Usage'!$AE29&gt;0,'Weekly Summary'!F$134,0)+IF('Equipment List &amp; Usage'!$AF29&gt;0,'Weekly Summary'!F$135))),'Equipment List &amp; Usage'!$C$115*(('Weekly Summary'!F$134*'Equipment List &amp; Usage'!$AE29)+('Weekly Summary'!F$135*'Equipment List &amp; Usage'!$AF29)))),0)</f>
        <v>5.5866419912702554</v>
      </c>
      <c r="M27" s="1374">
        <f ca="1">MAX(IF($F27="Yes",(
IF($F27="yes",MMULT(--('Equipment List &amp; Usage'!$J29:$N29&gt;0),--('Weekly Summary'!G$112:G$116))*'Equipment List &amp; Usage'!$C$114,MMULT(--('Equipment List &amp; Usage'!$J29:$N29),--('Weekly Summary'!G$112:G$116))*'Equipment List &amp; Usage'!$C$115)+IF('Equipment List &amp; Usage'!$F28="yes",'Equipment List &amp; Usage'!$C$114,'Equipment List &amp; Usage'!$C$115)*(('Weekly Summary'!G$66*'Equipment List &amp; Usage'!$Q29)+('Weekly Summary'!G$64*'Equipment List &amp; Usage'!$O29)+('Weekly Summary'!G$65*'Equipment List &amp; Usage'!$P29)))+(IF('Equipment List &amp; Usage'!$F29="Yes",'Equipment List &amp; Usage'!$C$114*((('Weekly Summary'!G$131*SelfQuarantine_Mild)+('Weekly Summary'!G$100*SelfQuarantine_Mild)+('Weekly Summary'!G$101*SelfQuarantine_Moderate))),'Equipment List &amp; Usage'!$C$115)*((('Weekly Summary'!G$131*SelfQuarantine_Mild*'Equipment List &amp; Usage'!$W29)+('Weekly Summary'!G$100*SelfQuarantine_Mild*'Equipment List &amp; Usage'!$X29)+('Weekly Summary'!G$101*SelfQuarantine_Moderate*'Equipment List &amp; Usage'!$X29)))+IF('Equipment List &amp; Usage'!$F29="Yes",'Equipment List &amp; Usage'!$C$114*(IF('Equipment List &amp; Usage'!$AA29&gt;0,'Weekly Summary'!G$128,0)+IF('Equipment List &amp; Usage'!$AB29&gt;0,'Weekly Summary'!G$100+'Weekly Summary'!G$101,0)),'Equipment List &amp; Usage'!$C$115*(('Weekly Summary'!G$128*'Equipment List &amp; Usage'!$AA29)+('Weekly Summary'!G$100*'Equipment List &amp; Usage'!$AB29*SelfQuarantine_Mild)+('Weekly Summary'!G$101*'Equipment List &amp; Usage'!$AB29*SelfQuarantine_Moderate)))+IF('Equipment List &amp; Usage'!$F29="Yes",('Equipment List &amp; Usage'!$C$114*(IF('Equipment List &amp; Usage'!$AE29&gt;0,'Weekly Summary'!G$134,0)+IF('Equipment List &amp; Usage'!$AF29&gt;0,'Weekly Summary'!G$135))),'Equipment List &amp; Usage'!$C$115*(('Weekly Summary'!G$134*'Equipment List &amp; Usage'!$AE29)+('Weekly Summary'!G$135*'Equipment List &amp; Usage'!$AF29))))-SUM($I27:L27),
IF($F27="yes",MMULT(--('Equipment List &amp; Usage'!$J29:$N29&gt;0),--('Weekly Summary'!G$112:G$116))*'Equipment List &amp; Usage'!$C$114,MMULT(--('Equipment List &amp; Usage'!$J29:$N29),--('Weekly Summary'!G$112:G$116))*'Equipment List &amp; Usage'!$C$115)+IF('Equipment List &amp; Usage'!$F28="yes",'Equipment List &amp; Usage'!$C$114,'Equipment List &amp; Usage'!$C$115)*(('Weekly Summary'!G$66*'Equipment List &amp; Usage'!$Q29)+('Weekly Summary'!G$64*'Equipment List &amp; Usage'!$O29)+('Weekly Summary'!G$65*'Equipment List &amp; Usage'!$P29))+(IF('Equipment List &amp; Usage'!$F29="Yes",'Equipment List &amp; Usage'!$C$114*((('Weekly Summary'!G$131*SelfQuarantine_Mild)+('Weekly Summary'!G$100*SelfQuarantine_Mild)+('Weekly Summary'!G$101*SelfQuarantine_Moderate))),'Equipment List &amp; Usage'!$C$115)*((('Weekly Summary'!G$131*SelfQuarantine_Mild*'Equipment List &amp; Usage'!$W29)+('Weekly Summary'!G$100*SelfQuarantine_Mild*'Equipment List &amp; Usage'!$X29)+('Weekly Summary'!G$101*SelfQuarantine_Moderate*'Equipment List &amp; Usage'!$X29))))+IF('Equipment List &amp; Usage'!$F29="Yes",'Equipment List &amp; Usage'!$C$114*(IF('Equipment List &amp; Usage'!$AA29&gt;0,'Weekly Summary'!G$128,0)+IF('Equipment List &amp; Usage'!$AB29&gt;0,'Weekly Summary'!G$100+'Weekly Summary'!G$101,0)),'Equipment List &amp; Usage'!$C$115*(('Weekly Summary'!G$128*'Equipment List &amp; Usage'!$AA29)+('Weekly Summary'!G$100*'Equipment List &amp; Usage'!$AB29*SelfQuarantine_Mild)+('Weekly Summary'!G$101*'Equipment List &amp; Usage'!$AB29*SelfQuarantine_Moderate)))+IF('Equipment List &amp; Usage'!$F29="Yes",('Equipment List &amp; Usage'!$C$114*(IF('Equipment List &amp; Usage'!$AE29&gt;0,'Weekly Summary'!G$134,0)+IF('Equipment List &amp; Usage'!$AF29&gt;0,'Weekly Summary'!G$135))),'Equipment List &amp; Usage'!$C$115*(('Weekly Summary'!G$134*'Equipment List &amp; Usage'!$AE29)+('Weekly Summary'!G$135*'Equipment List &amp; Usage'!$AF29)))),0)</f>
        <v>19.280422464659807</v>
      </c>
      <c r="N27" s="1374">
        <f ca="1">MAX(IF($F27="Yes",(
IF($F27="yes",MMULT(--('Equipment List &amp; Usage'!$J29:$N29&gt;0),--('Weekly Summary'!H$112:H$116))*'Equipment List &amp; Usage'!$C$114,MMULT(--('Equipment List &amp; Usage'!$J29:$N29),--('Weekly Summary'!H$112:H$116))*'Equipment List &amp; Usage'!$C$115)+IF('Equipment List &amp; Usage'!$F28="yes",'Equipment List &amp; Usage'!$C$114,'Equipment List &amp; Usage'!$C$115)*(('Weekly Summary'!H$66*'Equipment List &amp; Usage'!$Q29)+('Weekly Summary'!H$64*'Equipment List &amp; Usage'!$O29)+('Weekly Summary'!H$65*'Equipment List &amp; Usage'!$P29)))+(IF('Equipment List &amp; Usage'!$F29="Yes",'Equipment List &amp; Usage'!$C$114*((('Weekly Summary'!H$131*SelfQuarantine_Mild)+('Weekly Summary'!H$100*SelfQuarantine_Mild)+('Weekly Summary'!H$101*SelfQuarantine_Moderate))),'Equipment List &amp; Usage'!$C$115)*((('Weekly Summary'!H$131*SelfQuarantine_Mild*'Equipment List &amp; Usage'!$W29)+('Weekly Summary'!H$100*SelfQuarantine_Mild*'Equipment List &amp; Usage'!$X29)+('Weekly Summary'!H$101*SelfQuarantine_Moderate*'Equipment List &amp; Usage'!$X29)))+IF('Equipment List &amp; Usage'!$F29="Yes",'Equipment List &amp; Usage'!$C$114*(IF('Equipment List &amp; Usage'!$AA29&gt;0,'Weekly Summary'!H$128,0)+IF('Equipment List &amp; Usage'!$AB29&gt;0,'Weekly Summary'!H$100+'Weekly Summary'!H$101,0)),'Equipment List &amp; Usage'!$C$115*(('Weekly Summary'!H$128*'Equipment List &amp; Usage'!$AA29)+('Weekly Summary'!H$100*'Equipment List &amp; Usage'!$AB29*SelfQuarantine_Mild)+('Weekly Summary'!H$101*'Equipment List &amp; Usage'!$AB29*SelfQuarantine_Moderate)))+IF('Equipment List &amp; Usage'!$F29="Yes",('Equipment List &amp; Usage'!$C$114*(IF('Equipment List &amp; Usage'!$AE29&gt;0,'Weekly Summary'!H$134,0)+IF('Equipment List &amp; Usage'!$AF29&gt;0,'Weekly Summary'!H$135))),'Equipment List &amp; Usage'!$C$115*(('Weekly Summary'!H$134*'Equipment List &amp; Usage'!$AE29)+('Weekly Summary'!H$135*'Equipment List &amp; Usage'!$AF29))))-SUM($I27:M27),
IF($F27="yes",MMULT(--('Equipment List &amp; Usage'!$J29:$N29&gt;0),--('Weekly Summary'!H$112:H$116))*'Equipment List &amp; Usage'!$C$114,MMULT(--('Equipment List &amp; Usage'!$J29:$N29),--('Weekly Summary'!H$112:H$116))*'Equipment List &amp; Usage'!$C$115)+IF('Equipment List &amp; Usage'!$F28="yes",'Equipment List &amp; Usage'!$C$114,'Equipment List &amp; Usage'!$C$115)*(('Weekly Summary'!H$66*'Equipment List &amp; Usage'!$Q29)+('Weekly Summary'!H$64*'Equipment List &amp; Usage'!$O29)+('Weekly Summary'!H$65*'Equipment List &amp; Usage'!$P29))+(IF('Equipment List &amp; Usage'!$F29="Yes",'Equipment List &amp; Usage'!$C$114*((('Weekly Summary'!H$131*SelfQuarantine_Mild)+('Weekly Summary'!H$100*SelfQuarantine_Mild)+('Weekly Summary'!H$101*SelfQuarantine_Moderate))),'Equipment List &amp; Usage'!$C$115)*((('Weekly Summary'!H$131*SelfQuarantine_Mild*'Equipment List &amp; Usage'!$W29)+('Weekly Summary'!H$100*SelfQuarantine_Mild*'Equipment List &amp; Usage'!$X29)+('Weekly Summary'!H$101*SelfQuarantine_Moderate*'Equipment List &amp; Usage'!$X29))))+IF('Equipment List &amp; Usage'!$F29="Yes",'Equipment List &amp; Usage'!$C$114*(IF('Equipment List &amp; Usage'!$AA29&gt;0,'Weekly Summary'!H$128,0)+IF('Equipment List &amp; Usage'!$AB29&gt;0,'Weekly Summary'!H$100+'Weekly Summary'!H$101,0)),'Equipment List &amp; Usage'!$C$115*(('Weekly Summary'!H$128*'Equipment List &amp; Usage'!$AA29)+('Weekly Summary'!H$100*'Equipment List &amp; Usage'!$AB29*SelfQuarantine_Mild)+('Weekly Summary'!H$101*'Equipment List &amp; Usage'!$AB29*SelfQuarantine_Moderate)))+IF('Equipment List &amp; Usage'!$F29="Yes",('Equipment List &amp; Usage'!$C$114*(IF('Equipment List &amp; Usage'!$AE29&gt;0,'Weekly Summary'!H$134,0)+IF('Equipment List &amp; Usage'!$AF29&gt;0,'Weekly Summary'!H$135))),'Equipment List &amp; Usage'!$C$115*(('Weekly Summary'!H$134*'Equipment List &amp; Usage'!$AE29)+('Weekly Summary'!H$135*'Equipment List &amp; Usage'!$AF29)))),0)</f>
        <v>67.25377467617767</v>
      </c>
      <c r="O27" s="1374">
        <f ca="1">MAX(IF($F27="Yes",(
IF($F27="yes",MMULT(--('Equipment List &amp; Usage'!$J29:$N29&gt;0),--('Weekly Summary'!I$112:I$116))*'Equipment List &amp; Usage'!$C$114,MMULT(--('Equipment List &amp; Usage'!$J29:$N29),--('Weekly Summary'!I$112:I$116))*'Equipment List &amp; Usage'!$C$115)+IF('Equipment List &amp; Usage'!$F28="yes",'Equipment List &amp; Usage'!$C$114,'Equipment List &amp; Usage'!$C$115)*(('Weekly Summary'!I$66*'Equipment List &amp; Usage'!$Q29)+('Weekly Summary'!I$64*'Equipment List &amp; Usage'!$O29)+('Weekly Summary'!I$65*'Equipment List &amp; Usage'!$P29)))+(IF('Equipment List &amp; Usage'!$F29="Yes",'Equipment List &amp; Usage'!$C$114*((('Weekly Summary'!I$131*SelfQuarantine_Mild)+('Weekly Summary'!I$100*SelfQuarantine_Mild)+('Weekly Summary'!I$101*SelfQuarantine_Moderate))),'Equipment List &amp; Usage'!$C$115)*((('Weekly Summary'!I$131*SelfQuarantine_Mild*'Equipment List &amp; Usage'!$W29)+('Weekly Summary'!I$100*SelfQuarantine_Mild*'Equipment List &amp; Usage'!$X29)+('Weekly Summary'!I$101*SelfQuarantine_Moderate*'Equipment List &amp; Usage'!$X29)))+IF('Equipment List &amp; Usage'!$F29="Yes",'Equipment List &amp; Usage'!$C$114*(IF('Equipment List &amp; Usage'!$AA29&gt;0,'Weekly Summary'!I$128,0)+IF('Equipment List &amp; Usage'!$AB29&gt;0,'Weekly Summary'!I$100+'Weekly Summary'!I$101,0)),'Equipment List &amp; Usage'!$C$115*(('Weekly Summary'!I$128*'Equipment List &amp; Usage'!$AA29)+('Weekly Summary'!I$100*'Equipment List &amp; Usage'!$AB29*SelfQuarantine_Mild)+('Weekly Summary'!I$101*'Equipment List &amp; Usage'!$AB29*SelfQuarantine_Moderate)))+IF('Equipment List &amp; Usage'!$F29="Yes",('Equipment List &amp; Usage'!$C$114*(IF('Equipment List &amp; Usage'!$AE29&gt;0,'Weekly Summary'!I$134,0)+IF('Equipment List &amp; Usage'!$AF29&gt;0,'Weekly Summary'!I$135))),'Equipment List &amp; Usage'!$C$115*(('Weekly Summary'!I$134*'Equipment List &amp; Usage'!$AE29)+('Weekly Summary'!I$135*'Equipment List &amp; Usage'!$AF29))))-SUM($I27:N27),
IF($F27="yes",MMULT(--('Equipment List &amp; Usage'!$J29:$N29&gt;0),--('Weekly Summary'!I$112:I$116))*'Equipment List &amp; Usage'!$C$114,MMULT(--('Equipment List &amp; Usage'!$J29:$N29),--('Weekly Summary'!I$112:I$116))*'Equipment List &amp; Usage'!$C$115)+IF('Equipment List &amp; Usage'!$F28="yes",'Equipment List &amp; Usage'!$C$114,'Equipment List &amp; Usage'!$C$115)*(('Weekly Summary'!I$66*'Equipment List &amp; Usage'!$Q29)+('Weekly Summary'!I$64*'Equipment List &amp; Usage'!$O29)+('Weekly Summary'!I$65*'Equipment List &amp; Usage'!$P29))+(IF('Equipment List &amp; Usage'!$F29="Yes",'Equipment List &amp; Usage'!$C$114*((('Weekly Summary'!I$131*SelfQuarantine_Mild)+('Weekly Summary'!I$100*SelfQuarantine_Mild)+('Weekly Summary'!I$101*SelfQuarantine_Moderate))),'Equipment List &amp; Usage'!$C$115)*((('Weekly Summary'!I$131*SelfQuarantine_Mild*'Equipment List &amp; Usage'!$W29)+('Weekly Summary'!I$100*SelfQuarantine_Mild*'Equipment List &amp; Usage'!$X29)+('Weekly Summary'!I$101*SelfQuarantine_Moderate*'Equipment List &amp; Usage'!$X29))))+IF('Equipment List &amp; Usage'!$F29="Yes",'Equipment List &amp; Usage'!$C$114*(IF('Equipment List &amp; Usage'!$AA29&gt;0,'Weekly Summary'!I$128,0)+IF('Equipment List &amp; Usage'!$AB29&gt;0,'Weekly Summary'!I$100+'Weekly Summary'!I$101,0)),'Equipment List &amp; Usage'!$C$115*(('Weekly Summary'!I$128*'Equipment List &amp; Usage'!$AA29)+('Weekly Summary'!I$100*'Equipment List &amp; Usage'!$AB29*SelfQuarantine_Mild)+('Weekly Summary'!I$101*'Equipment List &amp; Usage'!$AB29*SelfQuarantine_Moderate)))+IF('Equipment List &amp; Usage'!$F29="Yes",('Equipment List &amp; Usage'!$C$114*(IF('Equipment List &amp; Usage'!$AE29&gt;0,'Weekly Summary'!I$134,0)+IF('Equipment List &amp; Usage'!$AF29&gt;0,'Weekly Summary'!I$135))),'Equipment List &amp; Usage'!$C$115*(('Weekly Summary'!I$134*'Equipment List &amp; Usage'!$AE29)+('Weekly Summary'!I$135*'Equipment List &amp; Usage'!$AF29)))),0)</f>
        <v>232.63747088549599</v>
      </c>
      <c r="P27" s="1374">
        <f ca="1">MAX(IF($F27="Yes",(
IF($F27="yes",MMULT(--('Equipment List &amp; Usage'!$J29:$N29&gt;0),--('Weekly Summary'!J$112:J$116))*'Equipment List &amp; Usage'!$C$114,MMULT(--('Equipment List &amp; Usage'!$J29:$N29),--('Weekly Summary'!J$112:J$116))*'Equipment List &amp; Usage'!$C$115)+IF('Equipment List &amp; Usage'!$F28="yes",'Equipment List &amp; Usage'!$C$114,'Equipment List &amp; Usage'!$C$115)*(('Weekly Summary'!J$66*'Equipment List &amp; Usage'!$Q29)+('Weekly Summary'!J$64*'Equipment List &amp; Usage'!$O29)+('Weekly Summary'!J$65*'Equipment List &amp; Usage'!$P29)))+(IF('Equipment List &amp; Usage'!$F29="Yes",'Equipment List &amp; Usage'!$C$114*((('Weekly Summary'!J$131*SelfQuarantine_Mild)+('Weekly Summary'!J$100*SelfQuarantine_Mild)+('Weekly Summary'!J$101*SelfQuarantine_Moderate))),'Equipment List &amp; Usage'!$C$115)*((('Weekly Summary'!J$131*SelfQuarantine_Mild*'Equipment List &amp; Usage'!$W29)+('Weekly Summary'!J$100*SelfQuarantine_Mild*'Equipment List &amp; Usage'!$X29)+('Weekly Summary'!J$101*SelfQuarantine_Moderate*'Equipment List &amp; Usage'!$X29)))+IF('Equipment List &amp; Usage'!$F29="Yes",'Equipment List &amp; Usage'!$C$114*(IF('Equipment List &amp; Usage'!$AA29&gt;0,'Weekly Summary'!J$128,0)+IF('Equipment List &amp; Usage'!$AB29&gt;0,'Weekly Summary'!J$100+'Weekly Summary'!J$101,0)),'Equipment List &amp; Usage'!$C$115*(('Weekly Summary'!J$128*'Equipment List &amp; Usage'!$AA29)+('Weekly Summary'!J$100*'Equipment List &amp; Usage'!$AB29*SelfQuarantine_Mild)+('Weekly Summary'!J$101*'Equipment List &amp; Usage'!$AB29*SelfQuarantine_Moderate)))+IF('Equipment List &amp; Usage'!$F29="Yes",('Equipment List &amp; Usage'!$C$114*(IF('Equipment List &amp; Usage'!$AE29&gt;0,'Weekly Summary'!J$134,0)+IF('Equipment List &amp; Usage'!$AF29&gt;0,'Weekly Summary'!J$135))),'Equipment List &amp; Usage'!$C$115*(('Weekly Summary'!J$134*'Equipment List &amp; Usage'!$AE29)+('Weekly Summary'!J$135*'Equipment List &amp; Usage'!$AF29))))-SUM($I27:O27),
IF($F27="yes",MMULT(--('Equipment List &amp; Usage'!$J29:$N29&gt;0),--('Weekly Summary'!J$112:J$116))*'Equipment List &amp; Usage'!$C$114,MMULT(--('Equipment List &amp; Usage'!$J29:$N29),--('Weekly Summary'!J$112:J$116))*'Equipment List &amp; Usage'!$C$115)+IF('Equipment List &amp; Usage'!$F28="yes",'Equipment List &amp; Usage'!$C$114,'Equipment List &amp; Usage'!$C$115)*(('Weekly Summary'!J$66*'Equipment List &amp; Usage'!$Q29)+('Weekly Summary'!J$64*'Equipment List &amp; Usage'!$O29)+('Weekly Summary'!J$65*'Equipment List &amp; Usage'!$P29))+(IF('Equipment List &amp; Usage'!$F29="Yes",'Equipment List &amp; Usage'!$C$114*((('Weekly Summary'!J$131*SelfQuarantine_Mild)+('Weekly Summary'!J$100*SelfQuarantine_Mild)+('Weekly Summary'!J$101*SelfQuarantine_Moderate))),'Equipment List &amp; Usage'!$C$115)*((('Weekly Summary'!J$131*SelfQuarantine_Mild*'Equipment List &amp; Usage'!$W29)+('Weekly Summary'!J$100*SelfQuarantine_Mild*'Equipment List &amp; Usage'!$X29)+('Weekly Summary'!J$101*SelfQuarantine_Moderate*'Equipment List &amp; Usage'!$X29))))+IF('Equipment List &amp; Usage'!$F29="Yes",'Equipment List &amp; Usage'!$C$114*(IF('Equipment List &amp; Usage'!$AA29&gt;0,'Weekly Summary'!J$128,0)+IF('Equipment List &amp; Usage'!$AB29&gt;0,'Weekly Summary'!J$100+'Weekly Summary'!J$101,0)),'Equipment List &amp; Usage'!$C$115*(('Weekly Summary'!J$128*'Equipment List &amp; Usage'!$AA29)+('Weekly Summary'!J$100*'Equipment List &amp; Usage'!$AB29*SelfQuarantine_Mild)+('Weekly Summary'!J$101*'Equipment List &amp; Usage'!$AB29*SelfQuarantine_Moderate)))+IF('Equipment List &amp; Usage'!$F29="Yes",('Equipment List &amp; Usage'!$C$114*(IF('Equipment List &amp; Usage'!$AE29&gt;0,'Weekly Summary'!J$134,0)+IF('Equipment List &amp; Usage'!$AF29&gt;0,'Weekly Summary'!J$135))),'Equipment List &amp; Usage'!$C$115*(('Weekly Summary'!J$134*'Equipment List &amp; Usage'!$AE29)+('Weekly Summary'!J$135*'Equipment List &amp; Usage'!$AF29)))),0)</f>
        <v>797.7491956944325</v>
      </c>
      <c r="Q27" s="1374">
        <f ca="1">MAX(IF($F27="Yes",(
IF($F27="yes",MMULT(--('Equipment List &amp; Usage'!$J29:$N29&gt;0),--('Weekly Summary'!K$112:K$116))*'Equipment List &amp; Usage'!$C$114,MMULT(--('Equipment List &amp; Usage'!$J29:$N29),--('Weekly Summary'!K$112:K$116))*'Equipment List &amp; Usage'!$C$115)+IF('Equipment List &amp; Usage'!$F28="yes",'Equipment List &amp; Usage'!$C$114,'Equipment List &amp; Usage'!$C$115)*(('Weekly Summary'!K$66*'Equipment List &amp; Usage'!$Q29)+('Weekly Summary'!K$64*'Equipment List &amp; Usage'!$O29)+('Weekly Summary'!K$65*'Equipment List &amp; Usage'!$P29)))+(IF('Equipment List &amp; Usage'!$F29="Yes",'Equipment List &amp; Usage'!$C$114*((('Weekly Summary'!K$131*SelfQuarantine_Mild)+('Weekly Summary'!K$100*SelfQuarantine_Mild)+('Weekly Summary'!K$101*SelfQuarantine_Moderate))),'Equipment List &amp; Usage'!$C$115)*((('Weekly Summary'!K$131*SelfQuarantine_Mild*'Equipment List &amp; Usage'!$W29)+('Weekly Summary'!K$100*SelfQuarantine_Mild*'Equipment List &amp; Usage'!$X29)+('Weekly Summary'!K$101*SelfQuarantine_Moderate*'Equipment List &amp; Usage'!$X29)))+IF('Equipment List &amp; Usage'!$F29="Yes",'Equipment List &amp; Usage'!$C$114*(IF('Equipment List &amp; Usage'!$AA29&gt;0,'Weekly Summary'!K$128,0)+IF('Equipment List &amp; Usage'!$AB29&gt;0,'Weekly Summary'!K$100+'Weekly Summary'!K$101,0)),'Equipment List &amp; Usage'!$C$115*(('Weekly Summary'!K$128*'Equipment List &amp; Usage'!$AA29)+('Weekly Summary'!K$100*'Equipment List &amp; Usage'!$AB29*SelfQuarantine_Mild)+('Weekly Summary'!K$101*'Equipment List &amp; Usage'!$AB29*SelfQuarantine_Moderate)))+IF('Equipment List &amp; Usage'!$F29="Yes",('Equipment List &amp; Usage'!$C$114*(IF('Equipment List &amp; Usage'!$AE29&gt;0,'Weekly Summary'!K$134,0)+IF('Equipment List &amp; Usage'!$AF29&gt;0,'Weekly Summary'!K$135))),'Equipment List &amp; Usage'!$C$115*(('Weekly Summary'!K$134*'Equipment List &amp; Usage'!$AE29)+('Weekly Summary'!K$135*'Equipment List &amp; Usage'!$AF29))))-SUM($I27:P27),
IF($F27="yes",MMULT(--('Equipment List &amp; Usage'!$J29:$N29&gt;0),--('Weekly Summary'!K$112:K$116))*'Equipment List &amp; Usage'!$C$114,MMULT(--('Equipment List &amp; Usage'!$J29:$N29),--('Weekly Summary'!K$112:K$116))*'Equipment List &amp; Usage'!$C$115)+IF('Equipment List &amp; Usage'!$F28="yes",'Equipment List &amp; Usage'!$C$114,'Equipment List &amp; Usage'!$C$115)*(('Weekly Summary'!K$66*'Equipment List &amp; Usage'!$Q29)+('Weekly Summary'!K$64*'Equipment List &amp; Usage'!$O29)+('Weekly Summary'!K$65*'Equipment List &amp; Usage'!$P29))+(IF('Equipment List &amp; Usage'!$F29="Yes",'Equipment List &amp; Usage'!$C$114*((('Weekly Summary'!K$131*SelfQuarantine_Mild)+('Weekly Summary'!K$100*SelfQuarantine_Mild)+('Weekly Summary'!K$101*SelfQuarantine_Moderate))),'Equipment List &amp; Usage'!$C$115)*((('Weekly Summary'!K$131*SelfQuarantine_Mild*'Equipment List &amp; Usage'!$W29)+('Weekly Summary'!K$100*SelfQuarantine_Mild*'Equipment List &amp; Usage'!$X29)+('Weekly Summary'!K$101*SelfQuarantine_Moderate*'Equipment List &amp; Usage'!$X29))))+IF('Equipment List &amp; Usage'!$F29="Yes",'Equipment List &amp; Usage'!$C$114*(IF('Equipment List &amp; Usage'!$AA29&gt;0,'Weekly Summary'!K$128,0)+IF('Equipment List &amp; Usage'!$AB29&gt;0,'Weekly Summary'!K$100+'Weekly Summary'!K$101,0)),'Equipment List &amp; Usage'!$C$115*(('Weekly Summary'!K$128*'Equipment List &amp; Usage'!$AA29)+('Weekly Summary'!K$100*'Equipment List &amp; Usage'!$AB29*SelfQuarantine_Mild)+('Weekly Summary'!K$101*'Equipment List &amp; Usage'!$AB29*SelfQuarantine_Moderate)))+IF('Equipment List &amp; Usage'!$F29="Yes",('Equipment List &amp; Usage'!$C$114*(IF('Equipment List &amp; Usage'!$AE29&gt;0,'Weekly Summary'!K$134,0)+IF('Equipment List &amp; Usage'!$AF29&gt;0,'Weekly Summary'!K$135))),'Equipment List &amp; Usage'!$C$115*(('Weekly Summary'!K$134*'Equipment List &amp; Usage'!$AE29)+('Weekly Summary'!K$135*'Equipment List &amp; Usage'!$AF29)))),0)</f>
        <v>0</v>
      </c>
      <c r="R27" s="1374">
        <f ca="1">MAX(IF($F27="Yes",(
IF($F27="yes",MMULT(--('Equipment List &amp; Usage'!$J29:$N29&gt;0),--('Weekly Summary'!L$112:L$116))*'Equipment List &amp; Usage'!$C$114,MMULT(--('Equipment List &amp; Usage'!$J29:$N29),--('Weekly Summary'!L$112:L$116))*'Equipment List &amp; Usage'!$C$115)+IF('Equipment List &amp; Usage'!$F28="yes",'Equipment List &amp; Usage'!$C$114,'Equipment List &amp; Usage'!$C$115)*(('Weekly Summary'!L$66*'Equipment List &amp; Usage'!$Q29)+('Weekly Summary'!L$64*'Equipment List &amp; Usage'!$O29)+('Weekly Summary'!L$65*'Equipment List &amp; Usage'!$P29)))+(IF('Equipment List &amp; Usage'!$F29="Yes",'Equipment List &amp; Usage'!$C$114*((('Weekly Summary'!L$131*SelfQuarantine_Mild)+('Weekly Summary'!L$100*SelfQuarantine_Mild)+('Weekly Summary'!L$101*SelfQuarantine_Moderate))),'Equipment List &amp; Usage'!$C$115)*((('Weekly Summary'!L$131*SelfQuarantine_Mild*'Equipment List &amp; Usage'!$W29)+('Weekly Summary'!L$100*SelfQuarantine_Mild*'Equipment List &amp; Usage'!$X29)+('Weekly Summary'!L$101*SelfQuarantine_Moderate*'Equipment List &amp; Usage'!$X29)))+IF('Equipment List &amp; Usage'!$F29="Yes",'Equipment List &amp; Usage'!$C$114*(IF('Equipment List &amp; Usage'!$AA29&gt;0,'Weekly Summary'!L$128,0)+IF('Equipment List &amp; Usage'!$AB29&gt;0,'Weekly Summary'!L$100+'Weekly Summary'!L$101,0)),'Equipment List &amp; Usage'!$C$115*(('Weekly Summary'!L$128*'Equipment List &amp; Usage'!$AA29)+('Weekly Summary'!L$100*'Equipment List &amp; Usage'!$AB29*SelfQuarantine_Mild)+('Weekly Summary'!L$101*'Equipment List &amp; Usage'!$AB29*SelfQuarantine_Moderate)))+IF('Equipment List &amp; Usage'!$F29="Yes",('Equipment List &amp; Usage'!$C$114*(IF('Equipment List &amp; Usage'!$AE29&gt;0,'Weekly Summary'!L$134,0)+IF('Equipment List &amp; Usage'!$AF29&gt;0,'Weekly Summary'!L$135))),'Equipment List &amp; Usage'!$C$115*(('Weekly Summary'!L$134*'Equipment List &amp; Usage'!$AE29)+('Weekly Summary'!L$135*'Equipment List &amp; Usage'!$AF29))))-SUM($I27:Q27),
IF($F27="yes",MMULT(--('Equipment List &amp; Usage'!$J29:$N29&gt;0),--('Weekly Summary'!L$112:L$116))*'Equipment List &amp; Usage'!$C$114,MMULT(--('Equipment List &amp; Usage'!$J29:$N29),--('Weekly Summary'!L$112:L$116))*'Equipment List &amp; Usage'!$C$115)+IF('Equipment List &amp; Usage'!$F28="yes",'Equipment List &amp; Usage'!$C$114,'Equipment List &amp; Usage'!$C$115)*(('Weekly Summary'!L$66*'Equipment List &amp; Usage'!$Q29)+('Weekly Summary'!L$64*'Equipment List &amp; Usage'!$O29)+('Weekly Summary'!L$65*'Equipment List &amp; Usage'!$P29))+(IF('Equipment List &amp; Usage'!$F29="Yes",'Equipment List &amp; Usage'!$C$114*((('Weekly Summary'!L$131*SelfQuarantine_Mild)+('Weekly Summary'!L$100*SelfQuarantine_Mild)+('Weekly Summary'!L$101*SelfQuarantine_Moderate))),'Equipment List &amp; Usage'!$C$115)*((('Weekly Summary'!L$131*SelfQuarantine_Mild*'Equipment List &amp; Usage'!$W29)+('Weekly Summary'!L$100*SelfQuarantine_Mild*'Equipment List &amp; Usage'!$X29)+('Weekly Summary'!L$101*SelfQuarantine_Moderate*'Equipment List &amp; Usage'!$X29))))+IF('Equipment List &amp; Usage'!$F29="Yes",'Equipment List &amp; Usage'!$C$114*(IF('Equipment List &amp; Usage'!$AA29&gt;0,'Weekly Summary'!L$128,0)+IF('Equipment List &amp; Usage'!$AB29&gt;0,'Weekly Summary'!L$100+'Weekly Summary'!L$101,0)),'Equipment List &amp; Usage'!$C$115*(('Weekly Summary'!L$128*'Equipment List &amp; Usage'!$AA29)+('Weekly Summary'!L$100*'Equipment List &amp; Usage'!$AB29*SelfQuarantine_Mild)+('Weekly Summary'!L$101*'Equipment List &amp; Usage'!$AB29*SelfQuarantine_Moderate)))+IF('Equipment List &amp; Usage'!$F29="Yes",('Equipment List &amp; Usage'!$C$114*(IF('Equipment List &amp; Usage'!$AE29&gt;0,'Weekly Summary'!L$134,0)+IF('Equipment List &amp; Usage'!$AF29&gt;0,'Weekly Summary'!L$135))),'Equipment List &amp; Usage'!$C$115*(('Weekly Summary'!L$134*'Equipment List &amp; Usage'!$AE29)+('Weekly Summary'!L$135*'Equipment List &amp; Usage'!$AF29)))),0)</f>
        <v>0</v>
      </c>
      <c r="S27" s="1374">
        <f ca="1">MAX(IF($F27="Yes",(
IF($F27="yes",MMULT(--('Equipment List &amp; Usage'!$J29:$N29&gt;0),--('Weekly Summary'!M$112:M$116))*'Equipment List &amp; Usage'!$C$114,MMULT(--('Equipment List &amp; Usage'!$J29:$N29),--('Weekly Summary'!M$112:M$116))*'Equipment List &amp; Usage'!$C$115)+IF('Equipment List &amp; Usage'!$F28="yes",'Equipment List &amp; Usage'!$C$114,'Equipment List &amp; Usage'!$C$115)*(('Weekly Summary'!M$66*'Equipment List &amp; Usage'!$Q29)+('Weekly Summary'!M$64*'Equipment List &amp; Usage'!$O29)+('Weekly Summary'!M$65*'Equipment List &amp; Usage'!$P29)))+(IF('Equipment List &amp; Usage'!$F29="Yes",'Equipment List &amp; Usage'!$C$114*((('Weekly Summary'!M$131*SelfQuarantine_Mild)+('Weekly Summary'!M$100*SelfQuarantine_Mild)+('Weekly Summary'!M$101*SelfQuarantine_Moderate))),'Equipment List &amp; Usage'!$C$115)*((('Weekly Summary'!M$131*SelfQuarantine_Mild*'Equipment List &amp; Usage'!$W29)+('Weekly Summary'!M$100*SelfQuarantine_Mild*'Equipment List &amp; Usage'!$X29)+('Weekly Summary'!M$101*SelfQuarantine_Moderate*'Equipment List &amp; Usage'!$X29)))+IF('Equipment List &amp; Usage'!$F29="Yes",'Equipment List &amp; Usage'!$C$114*(IF('Equipment List &amp; Usage'!$AA29&gt;0,'Weekly Summary'!M$128,0)+IF('Equipment List &amp; Usage'!$AB29&gt;0,'Weekly Summary'!M$100+'Weekly Summary'!M$101,0)),'Equipment List &amp; Usage'!$C$115*(('Weekly Summary'!M$128*'Equipment List &amp; Usage'!$AA29)+('Weekly Summary'!M$100*'Equipment List &amp; Usage'!$AB29*SelfQuarantine_Mild)+('Weekly Summary'!M$101*'Equipment List &amp; Usage'!$AB29*SelfQuarantine_Moderate)))+IF('Equipment List &amp; Usage'!$F29="Yes",('Equipment List &amp; Usage'!$C$114*(IF('Equipment List &amp; Usage'!$AE29&gt;0,'Weekly Summary'!M$134,0)+IF('Equipment List &amp; Usage'!$AF29&gt;0,'Weekly Summary'!M$135))),'Equipment List &amp; Usage'!$C$115*(('Weekly Summary'!M$134*'Equipment List &amp; Usage'!$AE29)+('Weekly Summary'!M$135*'Equipment List &amp; Usage'!$AF29))))-SUM($I27:R27),
IF($F27="yes",MMULT(--('Equipment List &amp; Usage'!$J29:$N29&gt;0),--('Weekly Summary'!M$112:M$116))*'Equipment List &amp; Usage'!$C$114,MMULT(--('Equipment List &amp; Usage'!$J29:$N29),--('Weekly Summary'!M$112:M$116))*'Equipment List &amp; Usage'!$C$115)+IF('Equipment List &amp; Usage'!$F28="yes",'Equipment List &amp; Usage'!$C$114,'Equipment List &amp; Usage'!$C$115)*(('Weekly Summary'!M$66*'Equipment List &amp; Usage'!$Q29)+('Weekly Summary'!M$64*'Equipment List &amp; Usage'!$O29)+('Weekly Summary'!M$65*'Equipment List &amp; Usage'!$P29))+(IF('Equipment List &amp; Usage'!$F29="Yes",'Equipment List &amp; Usage'!$C$114*((('Weekly Summary'!M$131*SelfQuarantine_Mild)+('Weekly Summary'!M$100*SelfQuarantine_Mild)+('Weekly Summary'!M$101*SelfQuarantine_Moderate))),'Equipment List &amp; Usage'!$C$115)*((('Weekly Summary'!M$131*SelfQuarantine_Mild*'Equipment List &amp; Usage'!$W29)+('Weekly Summary'!M$100*SelfQuarantine_Mild*'Equipment List &amp; Usage'!$X29)+('Weekly Summary'!M$101*SelfQuarantine_Moderate*'Equipment List &amp; Usage'!$X29))))+IF('Equipment List &amp; Usage'!$F29="Yes",'Equipment List &amp; Usage'!$C$114*(IF('Equipment List &amp; Usage'!$AA29&gt;0,'Weekly Summary'!M$128,0)+IF('Equipment List &amp; Usage'!$AB29&gt;0,'Weekly Summary'!M$100+'Weekly Summary'!M$101,0)),'Equipment List &amp; Usage'!$C$115*(('Weekly Summary'!M$128*'Equipment List &amp; Usage'!$AA29)+('Weekly Summary'!M$100*'Equipment List &amp; Usage'!$AB29*SelfQuarantine_Mild)+('Weekly Summary'!M$101*'Equipment List &amp; Usage'!$AB29*SelfQuarantine_Moderate)))+IF('Equipment List &amp; Usage'!$F29="Yes",('Equipment List &amp; Usage'!$C$114*(IF('Equipment List &amp; Usage'!$AE29&gt;0,'Weekly Summary'!M$134,0)+IF('Equipment List &amp; Usage'!$AF29&gt;0,'Weekly Summary'!M$135))),'Equipment List &amp; Usage'!$C$115*(('Weekly Summary'!M$134*'Equipment List &amp; Usage'!$AE29)+('Weekly Summary'!M$135*'Equipment List &amp; Usage'!$AF29)))),0)</f>
        <v>0</v>
      </c>
      <c r="T27" s="1374">
        <f ca="1">MAX(IF($F27="Yes",(
IF($F27="yes",MMULT(--('Equipment List &amp; Usage'!$J29:$N29&gt;0),--('Weekly Summary'!N$112:N$116))*'Equipment List &amp; Usage'!$C$114,MMULT(--('Equipment List &amp; Usage'!$J29:$N29),--('Weekly Summary'!N$112:N$116))*'Equipment List &amp; Usage'!$C$115)+IF('Equipment List &amp; Usage'!$F28="yes",'Equipment List &amp; Usage'!$C$114,'Equipment List &amp; Usage'!$C$115)*(('Weekly Summary'!N$66*'Equipment List &amp; Usage'!$Q29)+('Weekly Summary'!N$64*'Equipment List &amp; Usage'!$O29)+('Weekly Summary'!N$65*'Equipment List &amp; Usage'!$P29)))+(IF('Equipment List &amp; Usage'!$F29="Yes",'Equipment List &amp; Usage'!$C$114*((('Weekly Summary'!N$131*SelfQuarantine_Mild)+('Weekly Summary'!N$100*SelfQuarantine_Mild)+('Weekly Summary'!N$101*SelfQuarantine_Moderate))),'Equipment List &amp; Usage'!$C$115)*((('Weekly Summary'!N$131*SelfQuarantine_Mild*'Equipment List &amp; Usage'!$W29)+('Weekly Summary'!N$100*SelfQuarantine_Mild*'Equipment List &amp; Usage'!$X29)+('Weekly Summary'!N$101*SelfQuarantine_Moderate*'Equipment List &amp; Usage'!$X29)))+IF('Equipment List &amp; Usage'!$F29="Yes",'Equipment List &amp; Usage'!$C$114*(IF('Equipment List &amp; Usage'!$AA29&gt;0,'Weekly Summary'!N$128,0)+IF('Equipment List &amp; Usage'!$AB29&gt;0,'Weekly Summary'!N$100+'Weekly Summary'!N$101,0)),'Equipment List &amp; Usage'!$C$115*(('Weekly Summary'!N$128*'Equipment List &amp; Usage'!$AA29)+('Weekly Summary'!N$100*'Equipment List &amp; Usage'!$AB29*SelfQuarantine_Mild)+('Weekly Summary'!N$101*'Equipment List &amp; Usage'!$AB29*SelfQuarantine_Moderate)))+IF('Equipment List &amp; Usage'!$F29="Yes",('Equipment List &amp; Usage'!$C$114*(IF('Equipment List &amp; Usage'!$AE29&gt;0,'Weekly Summary'!N$134,0)+IF('Equipment List &amp; Usage'!$AF29&gt;0,'Weekly Summary'!N$135))),'Equipment List &amp; Usage'!$C$115*(('Weekly Summary'!N$134*'Equipment List &amp; Usage'!$AE29)+('Weekly Summary'!N$135*'Equipment List &amp; Usage'!$AF29))))-SUM($I27:S27),
IF($F27="yes",MMULT(--('Equipment List &amp; Usage'!$J29:$N29&gt;0),--('Weekly Summary'!N$112:N$116))*'Equipment List &amp; Usage'!$C$114,MMULT(--('Equipment List &amp; Usage'!$J29:$N29),--('Weekly Summary'!N$112:N$116))*'Equipment List &amp; Usage'!$C$115)+IF('Equipment List &amp; Usage'!$F28="yes",'Equipment List &amp; Usage'!$C$114,'Equipment List &amp; Usage'!$C$115)*(('Weekly Summary'!N$66*'Equipment List &amp; Usage'!$Q29)+('Weekly Summary'!N$64*'Equipment List &amp; Usage'!$O29)+('Weekly Summary'!N$65*'Equipment List &amp; Usage'!$P29))+(IF('Equipment List &amp; Usage'!$F29="Yes",'Equipment List &amp; Usage'!$C$114*((('Weekly Summary'!N$131*SelfQuarantine_Mild)+('Weekly Summary'!N$100*SelfQuarantine_Mild)+('Weekly Summary'!N$101*SelfQuarantine_Moderate))),'Equipment List &amp; Usage'!$C$115)*((('Weekly Summary'!N$131*SelfQuarantine_Mild*'Equipment List &amp; Usage'!$W29)+('Weekly Summary'!N$100*SelfQuarantine_Mild*'Equipment List &amp; Usage'!$X29)+('Weekly Summary'!N$101*SelfQuarantine_Moderate*'Equipment List &amp; Usage'!$X29))))+IF('Equipment List &amp; Usage'!$F29="Yes",'Equipment List &amp; Usage'!$C$114*(IF('Equipment List &amp; Usage'!$AA29&gt;0,'Weekly Summary'!N$128,0)+IF('Equipment List &amp; Usage'!$AB29&gt;0,'Weekly Summary'!N$100+'Weekly Summary'!N$101,0)),'Equipment List &amp; Usage'!$C$115*(('Weekly Summary'!N$128*'Equipment List &amp; Usage'!$AA29)+('Weekly Summary'!N$100*'Equipment List &amp; Usage'!$AB29*SelfQuarantine_Mild)+('Weekly Summary'!N$101*'Equipment List &amp; Usage'!$AB29*SelfQuarantine_Moderate)))+IF('Equipment List &amp; Usage'!$F29="Yes",('Equipment List &amp; Usage'!$C$114*(IF('Equipment List &amp; Usage'!$AE29&gt;0,'Weekly Summary'!N$134,0)+IF('Equipment List &amp; Usage'!$AF29&gt;0,'Weekly Summary'!N$135))),'Equipment List &amp; Usage'!$C$115*(('Weekly Summary'!N$134*'Equipment List &amp; Usage'!$AE29)+('Weekly Summary'!N$135*'Equipment List &amp; Usage'!$AF29)))),0)</f>
        <v>0</v>
      </c>
      <c r="U27" s="1374">
        <f ca="1">MAX(IF($F27="Yes",(
IF($F27="yes",MMULT(--('Equipment List &amp; Usage'!$J29:$N29&gt;0),--('Weekly Summary'!O$112:O$116))*'Equipment List &amp; Usage'!$C$114,MMULT(--('Equipment List &amp; Usage'!$J29:$N29),--('Weekly Summary'!O$112:O$116))*'Equipment List &amp; Usage'!$C$115)+IF('Equipment List &amp; Usage'!$F28="yes",'Equipment List &amp; Usage'!$C$114,'Equipment List &amp; Usage'!$C$115)*(('Weekly Summary'!O$66*'Equipment List &amp; Usage'!$Q29)+('Weekly Summary'!O$64*'Equipment List &amp; Usage'!$O29)+('Weekly Summary'!O$65*'Equipment List &amp; Usage'!$P29)))+(IF('Equipment List &amp; Usage'!$F29="Yes",'Equipment List &amp; Usage'!$C$114*((('Weekly Summary'!O$131*SelfQuarantine_Mild)+('Weekly Summary'!O$100*SelfQuarantine_Mild)+('Weekly Summary'!O$101*SelfQuarantine_Moderate))),'Equipment List &amp; Usage'!$C$115)*((('Weekly Summary'!O$131*SelfQuarantine_Mild*'Equipment List &amp; Usage'!$W29)+('Weekly Summary'!O$100*SelfQuarantine_Mild*'Equipment List &amp; Usage'!$X29)+('Weekly Summary'!O$101*SelfQuarantine_Moderate*'Equipment List &amp; Usage'!$X29)))+IF('Equipment List &amp; Usage'!$F29="Yes",'Equipment List &amp; Usage'!$C$114*(IF('Equipment List &amp; Usage'!$AA29&gt;0,'Weekly Summary'!O$128,0)+IF('Equipment List &amp; Usage'!$AB29&gt;0,'Weekly Summary'!O$100+'Weekly Summary'!O$101,0)),'Equipment List &amp; Usage'!$C$115*(('Weekly Summary'!O$128*'Equipment List &amp; Usage'!$AA29)+('Weekly Summary'!O$100*'Equipment List &amp; Usage'!$AB29*SelfQuarantine_Mild)+('Weekly Summary'!O$101*'Equipment List &amp; Usage'!$AB29*SelfQuarantine_Moderate)))+IF('Equipment List &amp; Usage'!$F29="Yes",('Equipment List &amp; Usage'!$C$114*(IF('Equipment List &amp; Usage'!$AE29&gt;0,'Weekly Summary'!O$134,0)+IF('Equipment List &amp; Usage'!$AF29&gt;0,'Weekly Summary'!O$135))),'Equipment List &amp; Usage'!$C$115*(('Weekly Summary'!O$134*'Equipment List &amp; Usage'!$AE29)+('Weekly Summary'!O$135*'Equipment List &amp; Usage'!$AF29))))-SUM($I27:T27),
IF($F27="yes",MMULT(--('Equipment List &amp; Usage'!$J29:$N29&gt;0),--('Weekly Summary'!O$112:O$116))*'Equipment List &amp; Usage'!$C$114,MMULT(--('Equipment List &amp; Usage'!$J29:$N29),--('Weekly Summary'!O$112:O$116))*'Equipment List &amp; Usage'!$C$115)+IF('Equipment List &amp; Usage'!$F28="yes",'Equipment List &amp; Usage'!$C$114,'Equipment List &amp; Usage'!$C$115)*(('Weekly Summary'!O$66*'Equipment List &amp; Usage'!$Q29)+('Weekly Summary'!O$64*'Equipment List &amp; Usage'!$O29)+('Weekly Summary'!O$65*'Equipment List &amp; Usage'!$P29))+(IF('Equipment List &amp; Usage'!$F29="Yes",'Equipment List &amp; Usage'!$C$114*((('Weekly Summary'!O$131*SelfQuarantine_Mild)+('Weekly Summary'!O$100*SelfQuarantine_Mild)+('Weekly Summary'!O$101*SelfQuarantine_Moderate))),'Equipment List &amp; Usage'!$C$115)*((('Weekly Summary'!O$131*SelfQuarantine_Mild*'Equipment List &amp; Usage'!$W29)+('Weekly Summary'!O$100*SelfQuarantine_Mild*'Equipment List &amp; Usage'!$X29)+('Weekly Summary'!O$101*SelfQuarantine_Moderate*'Equipment List &amp; Usage'!$X29))))+IF('Equipment List &amp; Usage'!$F29="Yes",'Equipment List &amp; Usage'!$C$114*(IF('Equipment List &amp; Usage'!$AA29&gt;0,'Weekly Summary'!O$128,0)+IF('Equipment List &amp; Usage'!$AB29&gt;0,'Weekly Summary'!O$100+'Weekly Summary'!O$101,0)),'Equipment List &amp; Usage'!$C$115*(('Weekly Summary'!O$128*'Equipment List &amp; Usage'!$AA29)+('Weekly Summary'!O$100*'Equipment List &amp; Usage'!$AB29*SelfQuarantine_Mild)+('Weekly Summary'!O$101*'Equipment List &amp; Usage'!$AB29*SelfQuarantine_Moderate)))+IF('Equipment List &amp; Usage'!$F29="Yes",('Equipment List &amp; Usage'!$C$114*(IF('Equipment List &amp; Usage'!$AE29&gt;0,'Weekly Summary'!O$134,0)+IF('Equipment List &amp; Usage'!$AF29&gt;0,'Weekly Summary'!O$135))),'Equipment List &amp; Usage'!$C$115*(('Weekly Summary'!O$134*'Equipment List &amp; Usage'!$AE29)+('Weekly Summary'!O$135*'Equipment List &amp; Usage'!$AF29)))),0)</f>
        <v>0</v>
      </c>
      <c r="V27" s="1374">
        <f ca="1">MAX(IF($F27="Yes",(
IF($F27="yes",MMULT(--('Equipment List &amp; Usage'!$J29:$N29&gt;0),--('Weekly Summary'!P$112:P$116))*'Equipment List &amp; Usage'!$C$114,MMULT(--('Equipment List &amp; Usage'!$J29:$N29),--('Weekly Summary'!P$112:P$116))*'Equipment List &amp; Usage'!$C$115)+IF('Equipment List &amp; Usage'!$F28="yes",'Equipment List &amp; Usage'!$C$114,'Equipment List &amp; Usage'!$C$115)*(('Weekly Summary'!P$66*'Equipment List &amp; Usage'!$Q29)+('Weekly Summary'!P$64*'Equipment List &amp; Usage'!$O29)+('Weekly Summary'!P$65*'Equipment List &amp; Usage'!$P29)))+(IF('Equipment List &amp; Usage'!$F29="Yes",'Equipment List &amp; Usage'!$C$114*((('Weekly Summary'!P$131*SelfQuarantine_Mild)+('Weekly Summary'!P$100*SelfQuarantine_Mild)+('Weekly Summary'!P$101*SelfQuarantine_Moderate))),'Equipment List &amp; Usage'!$C$115)*((('Weekly Summary'!P$131*SelfQuarantine_Mild*'Equipment List &amp; Usage'!$W29)+('Weekly Summary'!P$100*SelfQuarantine_Mild*'Equipment List &amp; Usage'!$X29)+('Weekly Summary'!P$101*SelfQuarantine_Moderate*'Equipment List &amp; Usage'!$X29)))+IF('Equipment List &amp; Usage'!$F29="Yes",'Equipment List &amp; Usage'!$C$114*(IF('Equipment List &amp; Usage'!$AA29&gt;0,'Weekly Summary'!P$128,0)+IF('Equipment List &amp; Usage'!$AB29&gt;0,'Weekly Summary'!P$100+'Weekly Summary'!P$101,0)),'Equipment List &amp; Usage'!$C$115*(('Weekly Summary'!P$128*'Equipment List &amp; Usage'!$AA29)+('Weekly Summary'!P$100*'Equipment List &amp; Usage'!$AB29*SelfQuarantine_Mild)+('Weekly Summary'!P$101*'Equipment List &amp; Usage'!$AB29*SelfQuarantine_Moderate)))+IF('Equipment List &amp; Usage'!$F29="Yes",('Equipment List &amp; Usage'!$C$114*(IF('Equipment List &amp; Usage'!$AE29&gt;0,'Weekly Summary'!P$134,0)+IF('Equipment List &amp; Usage'!$AF29&gt;0,'Weekly Summary'!P$135))),'Equipment List &amp; Usage'!$C$115*(('Weekly Summary'!P$134*'Equipment List &amp; Usage'!$AE29)+('Weekly Summary'!P$135*'Equipment List &amp; Usage'!$AF29))))-SUM($I27:U27),
IF($F27="yes",MMULT(--('Equipment List &amp; Usage'!$J29:$N29&gt;0),--('Weekly Summary'!P$112:P$116))*'Equipment List &amp; Usage'!$C$114,MMULT(--('Equipment List &amp; Usage'!$J29:$N29),--('Weekly Summary'!P$112:P$116))*'Equipment List &amp; Usage'!$C$115)+IF('Equipment List &amp; Usage'!$F28="yes",'Equipment List &amp; Usage'!$C$114,'Equipment List &amp; Usage'!$C$115)*(('Weekly Summary'!P$66*'Equipment List &amp; Usage'!$Q29)+('Weekly Summary'!P$64*'Equipment List &amp; Usage'!$O29)+('Weekly Summary'!P$65*'Equipment List &amp; Usage'!$P29))+(IF('Equipment List &amp; Usage'!$F29="Yes",'Equipment List &amp; Usage'!$C$114*((('Weekly Summary'!P$131*SelfQuarantine_Mild)+('Weekly Summary'!P$100*SelfQuarantine_Mild)+('Weekly Summary'!P$101*SelfQuarantine_Moderate))),'Equipment List &amp; Usage'!$C$115)*((('Weekly Summary'!P$131*SelfQuarantine_Mild*'Equipment List &amp; Usage'!$W29)+('Weekly Summary'!P$100*SelfQuarantine_Mild*'Equipment List &amp; Usage'!$X29)+('Weekly Summary'!P$101*SelfQuarantine_Moderate*'Equipment List &amp; Usage'!$X29))))+IF('Equipment List &amp; Usage'!$F29="Yes",'Equipment List &amp; Usage'!$C$114*(IF('Equipment List &amp; Usage'!$AA29&gt;0,'Weekly Summary'!P$128,0)+IF('Equipment List &amp; Usage'!$AB29&gt;0,'Weekly Summary'!P$100+'Weekly Summary'!P$101,0)),'Equipment List &amp; Usage'!$C$115*(('Weekly Summary'!P$128*'Equipment List &amp; Usage'!$AA29)+('Weekly Summary'!P$100*'Equipment List &amp; Usage'!$AB29*SelfQuarantine_Mild)+('Weekly Summary'!P$101*'Equipment List &amp; Usage'!$AB29*SelfQuarantine_Moderate)))+IF('Equipment List &amp; Usage'!$F29="Yes",('Equipment List &amp; Usage'!$C$114*(IF('Equipment List &amp; Usage'!$AE29&gt;0,'Weekly Summary'!P$134,0)+IF('Equipment List &amp; Usage'!$AF29&gt;0,'Weekly Summary'!P$135))),'Equipment List &amp; Usage'!$C$115*(('Weekly Summary'!P$134*'Equipment List &amp; Usage'!$AE29)+('Weekly Summary'!P$135*'Equipment List &amp; Usage'!$AF29)))),0)</f>
        <v>0</v>
      </c>
      <c r="W27" s="1374">
        <f ca="1">MAX(IF($F27="Yes",(
IF($F27="yes",MMULT(--('Equipment List &amp; Usage'!$J29:$N29&gt;0),--('Weekly Summary'!Q$112:Q$116))*'Equipment List &amp; Usage'!$C$114,MMULT(--('Equipment List &amp; Usage'!$J29:$N29),--('Weekly Summary'!Q$112:Q$116))*'Equipment List &amp; Usage'!$C$115)+IF('Equipment List &amp; Usage'!$F28="yes",'Equipment List &amp; Usage'!$C$114,'Equipment List &amp; Usage'!$C$115)*(('Weekly Summary'!Q$66*'Equipment List &amp; Usage'!$Q29)+('Weekly Summary'!Q$64*'Equipment List &amp; Usage'!$O29)+('Weekly Summary'!Q$65*'Equipment List &amp; Usage'!$P29)))+(IF('Equipment List &amp; Usage'!$F29="Yes",'Equipment List &amp; Usage'!$C$114*((('Weekly Summary'!Q$131*SelfQuarantine_Mild)+('Weekly Summary'!Q$100*SelfQuarantine_Mild)+('Weekly Summary'!Q$101*SelfQuarantine_Moderate))),'Equipment List &amp; Usage'!$C$115)*((('Weekly Summary'!Q$131*SelfQuarantine_Mild*'Equipment List &amp; Usage'!$W29)+('Weekly Summary'!Q$100*SelfQuarantine_Mild*'Equipment List &amp; Usage'!$X29)+('Weekly Summary'!Q$101*SelfQuarantine_Moderate*'Equipment List &amp; Usage'!$X29)))+IF('Equipment List &amp; Usage'!$F29="Yes",'Equipment List &amp; Usage'!$C$114*(IF('Equipment List &amp; Usage'!$AA29&gt;0,'Weekly Summary'!Q$128,0)+IF('Equipment List &amp; Usage'!$AB29&gt;0,'Weekly Summary'!Q$100+'Weekly Summary'!Q$101,0)),'Equipment List &amp; Usage'!$C$115*(('Weekly Summary'!Q$128*'Equipment List &amp; Usage'!$AA29)+('Weekly Summary'!Q$100*'Equipment List &amp; Usage'!$AB29*SelfQuarantine_Mild)+('Weekly Summary'!Q$101*'Equipment List &amp; Usage'!$AB29*SelfQuarantine_Moderate)))+IF('Equipment List &amp; Usage'!$F29="Yes",('Equipment List &amp; Usage'!$C$114*(IF('Equipment List &amp; Usage'!$AE29&gt;0,'Weekly Summary'!Q$134,0)+IF('Equipment List &amp; Usage'!$AF29&gt;0,'Weekly Summary'!Q$135))),'Equipment List &amp; Usage'!$C$115*(('Weekly Summary'!Q$134*'Equipment List &amp; Usage'!$AE29)+('Weekly Summary'!Q$135*'Equipment List &amp; Usage'!$AF29))))-SUM($I27:V27),
IF($F27="yes",MMULT(--('Equipment List &amp; Usage'!$J29:$N29&gt;0),--('Weekly Summary'!Q$112:Q$116))*'Equipment List &amp; Usage'!$C$114,MMULT(--('Equipment List &amp; Usage'!$J29:$N29),--('Weekly Summary'!Q$112:Q$116))*'Equipment List &amp; Usage'!$C$115)+IF('Equipment List &amp; Usage'!$F28="yes",'Equipment List &amp; Usage'!$C$114,'Equipment List &amp; Usage'!$C$115)*(('Weekly Summary'!Q$66*'Equipment List &amp; Usage'!$Q29)+('Weekly Summary'!Q$64*'Equipment List &amp; Usage'!$O29)+('Weekly Summary'!Q$65*'Equipment List &amp; Usage'!$P29))+(IF('Equipment List &amp; Usage'!$F29="Yes",'Equipment List &amp; Usage'!$C$114*((('Weekly Summary'!Q$131*SelfQuarantine_Mild)+('Weekly Summary'!Q$100*SelfQuarantine_Mild)+('Weekly Summary'!Q$101*SelfQuarantine_Moderate))),'Equipment List &amp; Usage'!$C$115)*((('Weekly Summary'!Q$131*SelfQuarantine_Mild*'Equipment List &amp; Usage'!$W29)+('Weekly Summary'!Q$100*SelfQuarantine_Mild*'Equipment List &amp; Usage'!$X29)+('Weekly Summary'!Q$101*SelfQuarantine_Moderate*'Equipment List &amp; Usage'!$X29))))+IF('Equipment List &amp; Usage'!$F29="Yes",'Equipment List &amp; Usage'!$C$114*(IF('Equipment List &amp; Usage'!$AA29&gt;0,'Weekly Summary'!Q$128,0)+IF('Equipment List &amp; Usage'!$AB29&gt;0,'Weekly Summary'!Q$100+'Weekly Summary'!Q$101,0)),'Equipment List &amp; Usage'!$C$115*(('Weekly Summary'!Q$128*'Equipment List &amp; Usage'!$AA29)+('Weekly Summary'!Q$100*'Equipment List &amp; Usage'!$AB29*SelfQuarantine_Mild)+('Weekly Summary'!Q$101*'Equipment List &amp; Usage'!$AB29*SelfQuarantine_Moderate)))+IF('Equipment List &amp; Usage'!$F29="Yes",('Equipment List &amp; Usage'!$C$114*(IF('Equipment List &amp; Usage'!$AE29&gt;0,'Weekly Summary'!Q$134,0)+IF('Equipment List &amp; Usage'!$AF29&gt;0,'Weekly Summary'!Q$135))),'Equipment List &amp; Usage'!$C$115*(('Weekly Summary'!Q$134*'Equipment List &amp; Usage'!$AE29)+('Weekly Summary'!Q$135*'Equipment List &amp; Usage'!$AF29)))),0)</f>
        <v>0</v>
      </c>
      <c r="X27" s="1374">
        <f ca="1">MAX(IF($F27="Yes",(
IF($F27="yes",MMULT(--('Equipment List &amp; Usage'!$J29:$N29&gt;0),--('Weekly Summary'!R$112:R$116))*'Equipment List &amp; Usage'!$C$114,MMULT(--('Equipment List &amp; Usage'!$J29:$N29),--('Weekly Summary'!R$112:R$116))*'Equipment List &amp; Usage'!$C$115)+IF('Equipment List &amp; Usage'!$F28="yes",'Equipment List &amp; Usage'!$C$114,'Equipment List &amp; Usage'!$C$115)*(('Weekly Summary'!R$66*'Equipment List &amp; Usage'!$Q29)+('Weekly Summary'!R$64*'Equipment List &amp; Usage'!$O29)+('Weekly Summary'!R$65*'Equipment List &amp; Usage'!$P29)))+(IF('Equipment List &amp; Usage'!$F29="Yes",'Equipment List &amp; Usage'!$C$114*((('Weekly Summary'!R$131*SelfQuarantine_Mild)+('Weekly Summary'!R$100*SelfQuarantine_Mild)+('Weekly Summary'!R$101*SelfQuarantine_Moderate))),'Equipment List &amp; Usage'!$C$115)*((('Weekly Summary'!R$131*SelfQuarantine_Mild*'Equipment List &amp; Usage'!$W29)+('Weekly Summary'!R$100*SelfQuarantine_Mild*'Equipment List &amp; Usage'!$X29)+('Weekly Summary'!R$101*SelfQuarantine_Moderate*'Equipment List &amp; Usage'!$X29)))+IF('Equipment List &amp; Usage'!$F29="Yes",'Equipment List &amp; Usage'!$C$114*(IF('Equipment List &amp; Usage'!$AA29&gt;0,'Weekly Summary'!R$128,0)+IF('Equipment List &amp; Usage'!$AB29&gt;0,'Weekly Summary'!R$100+'Weekly Summary'!R$101,0)),'Equipment List &amp; Usage'!$C$115*(('Weekly Summary'!R$128*'Equipment List &amp; Usage'!$AA29)+('Weekly Summary'!R$100*'Equipment List &amp; Usage'!$AB29*SelfQuarantine_Mild)+('Weekly Summary'!R$101*'Equipment List &amp; Usage'!$AB29*SelfQuarantine_Moderate)))+IF('Equipment List &amp; Usage'!$F29="Yes",('Equipment List &amp; Usage'!$C$114*(IF('Equipment List &amp; Usage'!$AE29&gt;0,'Weekly Summary'!R$134,0)+IF('Equipment List &amp; Usage'!$AF29&gt;0,'Weekly Summary'!R$135))),'Equipment List &amp; Usage'!$C$115*(('Weekly Summary'!R$134*'Equipment List &amp; Usage'!$AE29)+('Weekly Summary'!R$135*'Equipment List &amp; Usage'!$AF29))))-SUM($I27:W27),
IF($F27="yes",MMULT(--('Equipment List &amp; Usage'!$J29:$N29&gt;0),--('Weekly Summary'!R$112:R$116))*'Equipment List &amp; Usage'!$C$114,MMULT(--('Equipment List &amp; Usage'!$J29:$N29),--('Weekly Summary'!R$112:R$116))*'Equipment List &amp; Usage'!$C$115)+IF('Equipment List &amp; Usage'!$F28="yes",'Equipment List &amp; Usage'!$C$114,'Equipment List &amp; Usage'!$C$115)*(('Weekly Summary'!R$66*'Equipment List &amp; Usage'!$Q29)+('Weekly Summary'!R$64*'Equipment List &amp; Usage'!$O29)+('Weekly Summary'!R$65*'Equipment List &amp; Usage'!$P29))+(IF('Equipment List &amp; Usage'!$F29="Yes",'Equipment List &amp; Usage'!$C$114*((('Weekly Summary'!R$131*SelfQuarantine_Mild)+('Weekly Summary'!R$100*SelfQuarantine_Mild)+('Weekly Summary'!R$101*SelfQuarantine_Moderate))),'Equipment List &amp; Usage'!$C$115)*((('Weekly Summary'!R$131*SelfQuarantine_Mild*'Equipment List &amp; Usage'!$W29)+('Weekly Summary'!R$100*SelfQuarantine_Mild*'Equipment List &amp; Usage'!$X29)+('Weekly Summary'!R$101*SelfQuarantine_Moderate*'Equipment List &amp; Usage'!$X29))))+IF('Equipment List &amp; Usage'!$F29="Yes",'Equipment List &amp; Usage'!$C$114*(IF('Equipment List &amp; Usage'!$AA29&gt;0,'Weekly Summary'!R$128,0)+IF('Equipment List &amp; Usage'!$AB29&gt;0,'Weekly Summary'!R$100+'Weekly Summary'!R$101,0)),'Equipment List &amp; Usage'!$C$115*(('Weekly Summary'!R$128*'Equipment List &amp; Usage'!$AA29)+('Weekly Summary'!R$100*'Equipment List &amp; Usage'!$AB29*SelfQuarantine_Mild)+('Weekly Summary'!R$101*'Equipment List &amp; Usage'!$AB29*SelfQuarantine_Moderate)))+IF('Equipment List &amp; Usage'!$F29="Yes",('Equipment List &amp; Usage'!$C$114*(IF('Equipment List &amp; Usage'!$AE29&gt;0,'Weekly Summary'!R$134,0)+IF('Equipment List &amp; Usage'!$AF29&gt;0,'Weekly Summary'!R$135))),'Equipment List &amp; Usage'!$C$115*(('Weekly Summary'!R$134*'Equipment List &amp; Usage'!$AE29)+('Weekly Summary'!R$135*'Equipment List &amp; Usage'!$AF29)))),0)</f>
        <v>0</v>
      </c>
      <c r="Y27" s="1374">
        <f ca="1">MAX(IF($F27="Yes",(
IF($F27="yes",MMULT(--('Equipment List &amp; Usage'!$J29:$N29&gt;0),--('Weekly Summary'!S$112:S$116))*'Equipment List &amp; Usage'!$C$114,MMULT(--('Equipment List &amp; Usage'!$J29:$N29),--('Weekly Summary'!S$112:S$116))*'Equipment List &amp; Usage'!$C$115)+IF('Equipment List &amp; Usage'!$F28="yes",'Equipment List &amp; Usage'!$C$114,'Equipment List &amp; Usage'!$C$115)*(('Weekly Summary'!S$66*'Equipment List &amp; Usage'!$Q29)+('Weekly Summary'!S$64*'Equipment List &amp; Usage'!$O29)+('Weekly Summary'!S$65*'Equipment List &amp; Usage'!$P29)))+(IF('Equipment List &amp; Usage'!$F29="Yes",'Equipment List &amp; Usage'!$C$114*((('Weekly Summary'!S$131*SelfQuarantine_Mild)+('Weekly Summary'!S$100*SelfQuarantine_Mild)+('Weekly Summary'!S$101*SelfQuarantine_Moderate))),'Equipment List &amp; Usage'!$C$115)*((('Weekly Summary'!S$131*SelfQuarantine_Mild*'Equipment List &amp; Usage'!$W29)+('Weekly Summary'!S$100*SelfQuarantine_Mild*'Equipment List &amp; Usage'!$X29)+('Weekly Summary'!S$101*SelfQuarantine_Moderate*'Equipment List &amp; Usage'!$X29)))+IF('Equipment List &amp; Usage'!$F29="Yes",'Equipment List &amp; Usage'!$C$114*(IF('Equipment List &amp; Usage'!$AA29&gt;0,'Weekly Summary'!S$128,0)+IF('Equipment List &amp; Usage'!$AB29&gt;0,'Weekly Summary'!S$100+'Weekly Summary'!S$101,0)),'Equipment List &amp; Usage'!$C$115*(('Weekly Summary'!S$128*'Equipment List &amp; Usage'!$AA29)+('Weekly Summary'!S$100*'Equipment List &amp; Usage'!$AB29*SelfQuarantine_Mild)+('Weekly Summary'!S$101*'Equipment List &amp; Usage'!$AB29*SelfQuarantine_Moderate)))+IF('Equipment List &amp; Usage'!$F29="Yes",('Equipment List &amp; Usage'!$C$114*(IF('Equipment List &amp; Usage'!$AE29&gt;0,'Weekly Summary'!S$134,0)+IF('Equipment List &amp; Usage'!$AF29&gt;0,'Weekly Summary'!S$135))),'Equipment List &amp; Usage'!$C$115*(('Weekly Summary'!S$134*'Equipment List &amp; Usage'!$AE29)+('Weekly Summary'!S$135*'Equipment List &amp; Usage'!$AF29))))-SUM($I27:X27),
IF($F27="yes",MMULT(--('Equipment List &amp; Usage'!$J29:$N29&gt;0),--('Weekly Summary'!S$112:S$116))*'Equipment List &amp; Usage'!$C$114,MMULT(--('Equipment List &amp; Usage'!$J29:$N29),--('Weekly Summary'!S$112:S$116))*'Equipment List &amp; Usage'!$C$115)+IF('Equipment List &amp; Usage'!$F28="yes",'Equipment List &amp; Usage'!$C$114,'Equipment List &amp; Usage'!$C$115)*(('Weekly Summary'!S$66*'Equipment List &amp; Usage'!$Q29)+('Weekly Summary'!S$64*'Equipment List &amp; Usage'!$O29)+('Weekly Summary'!S$65*'Equipment List &amp; Usage'!$P29))+(IF('Equipment List &amp; Usage'!$F29="Yes",'Equipment List &amp; Usage'!$C$114*((('Weekly Summary'!S$131*SelfQuarantine_Mild)+('Weekly Summary'!S$100*SelfQuarantine_Mild)+('Weekly Summary'!S$101*SelfQuarantine_Moderate))),'Equipment List &amp; Usage'!$C$115)*((('Weekly Summary'!S$131*SelfQuarantine_Mild*'Equipment List &amp; Usage'!$W29)+('Weekly Summary'!S$100*SelfQuarantine_Mild*'Equipment List &amp; Usage'!$X29)+('Weekly Summary'!S$101*SelfQuarantine_Moderate*'Equipment List &amp; Usage'!$X29))))+IF('Equipment List &amp; Usage'!$F29="Yes",'Equipment List &amp; Usage'!$C$114*(IF('Equipment List &amp; Usage'!$AA29&gt;0,'Weekly Summary'!S$128,0)+IF('Equipment List &amp; Usage'!$AB29&gt;0,'Weekly Summary'!S$100+'Weekly Summary'!S$101,0)),'Equipment List &amp; Usage'!$C$115*(('Weekly Summary'!S$128*'Equipment List &amp; Usage'!$AA29)+('Weekly Summary'!S$100*'Equipment List &amp; Usage'!$AB29*SelfQuarantine_Mild)+('Weekly Summary'!S$101*'Equipment List &amp; Usage'!$AB29*SelfQuarantine_Moderate)))+IF('Equipment List &amp; Usage'!$F29="Yes",('Equipment List &amp; Usage'!$C$114*(IF('Equipment List &amp; Usage'!$AE29&gt;0,'Weekly Summary'!S$134,0)+IF('Equipment List &amp; Usage'!$AF29&gt;0,'Weekly Summary'!S$135))),'Equipment List &amp; Usage'!$C$115*(('Weekly Summary'!S$134*'Equipment List &amp; Usage'!$AE29)+('Weekly Summary'!S$135*'Equipment List &amp; Usage'!$AF29)))),0)</f>
        <v>0</v>
      </c>
      <c r="Z27" s="1374">
        <f ca="1">MAX(IF($F27="Yes",(
IF($F27="yes",MMULT(--('Equipment List &amp; Usage'!$J29:$N29&gt;0),--('Weekly Summary'!T$112:T$116))*'Equipment List &amp; Usage'!$C$114,MMULT(--('Equipment List &amp; Usage'!$J29:$N29),--('Weekly Summary'!T$112:T$116))*'Equipment List &amp; Usage'!$C$115)+IF('Equipment List &amp; Usage'!$F28="yes",'Equipment List &amp; Usage'!$C$114,'Equipment List &amp; Usage'!$C$115)*(('Weekly Summary'!T$66*'Equipment List &amp; Usage'!$Q29)+('Weekly Summary'!T$64*'Equipment List &amp; Usage'!$O29)+('Weekly Summary'!T$65*'Equipment List &amp; Usage'!$P29)))+(IF('Equipment List &amp; Usage'!$F29="Yes",'Equipment List &amp; Usage'!$C$114*((('Weekly Summary'!T$131*SelfQuarantine_Mild)+('Weekly Summary'!T$100*SelfQuarantine_Mild)+('Weekly Summary'!T$101*SelfQuarantine_Moderate))),'Equipment List &amp; Usage'!$C$115)*((('Weekly Summary'!T$131*SelfQuarantine_Mild*'Equipment List &amp; Usage'!$W29)+('Weekly Summary'!T$100*SelfQuarantine_Mild*'Equipment List &amp; Usage'!$X29)+('Weekly Summary'!T$101*SelfQuarantine_Moderate*'Equipment List &amp; Usage'!$X29)))+IF('Equipment List &amp; Usage'!$F29="Yes",'Equipment List &amp; Usage'!$C$114*(IF('Equipment List &amp; Usage'!$AA29&gt;0,'Weekly Summary'!T$128,0)+IF('Equipment List &amp; Usage'!$AB29&gt;0,'Weekly Summary'!T$100+'Weekly Summary'!T$101,0)),'Equipment List &amp; Usage'!$C$115*(('Weekly Summary'!T$128*'Equipment List &amp; Usage'!$AA29)+('Weekly Summary'!T$100*'Equipment List &amp; Usage'!$AB29*SelfQuarantine_Mild)+('Weekly Summary'!T$101*'Equipment List &amp; Usage'!$AB29*SelfQuarantine_Moderate)))+IF('Equipment List &amp; Usage'!$F29="Yes",('Equipment List &amp; Usage'!$C$114*(IF('Equipment List &amp; Usage'!$AE29&gt;0,'Weekly Summary'!T$134,0)+IF('Equipment List &amp; Usage'!$AF29&gt;0,'Weekly Summary'!T$135))),'Equipment List &amp; Usage'!$C$115*(('Weekly Summary'!T$134*'Equipment List &amp; Usage'!$AE29)+('Weekly Summary'!T$135*'Equipment List &amp; Usage'!$AF29))))-SUM($I27:Y27),
IF($F27="yes",MMULT(--('Equipment List &amp; Usage'!$J29:$N29&gt;0),--('Weekly Summary'!T$112:T$116))*'Equipment List &amp; Usage'!$C$114,MMULT(--('Equipment List &amp; Usage'!$J29:$N29),--('Weekly Summary'!T$112:T$116))*'Equipment List &amp; Usage'!$C$115)+IF('Equipment List &amp; Usage'!$F28="yes",'Equipment List &amp; Usage'!$C$114,'Equipment List &amp; Usage'!$C$115)*(('Weekly Summary'!T$66*'Equipment List &amp; Usage'!$Q29)+('Weekly Summary'!T$64*'Equipment List &amp; Usage'!$O29)+('Weekly Summary'!T$65*'Equipment List &amp; Usage'!$P29))+(IF('Equipment List &amp; Usage'!$F29="Yes",'Equipment List &amp; Usage'!$C$114*((('Weekly Summary'!T$131*SelfQuarantine_Mild)+('Weekly Summary'!T$100*SelfQuarantine_Mild)+('Weekly Summary'!T$101*SelfQuarantine_Moderate))),'Equipment List &amp; Usage'!$C$115)*((('Weekly Summary'!T$131*SelfQuarantine_Mild*'Equipment List &amp; Usage'!$W29)+('Weekly Summary'!T$100*SelfQuarantine_Mild*'Equipment List &amp; Usage'!$X29)+('Weekly Summary'!T$101*SelfQuarantine_Moderate*'Equipment List &amp; Usage'!$X29))))+IF('Equipment List &amp; Usage'!$F29="Yes",'Equipment List &amp; Usage'!$C$114*(IF('Equipment List &amp; Usage'!$AA29&gt;0,'Weekly Summary'!T$128,0)+IF('Equipment List &amp; Usage'!$AB29&gt;0,'Weekly Summary'!T$100+'Weekly Summary'!T$101,0)),'Equipment List &amp; Usage'!$C$115*(('Weekly Summary'!T$128*'Equipment List &amp; Usage'!$AA29)+('Weekly Summary'!T$100*'Equipment List &amp; Usage'!$AB29*SelfQuarantine_Mild)+('Weekly Summary'!T$101*'Equipment List &amp; Usage'!$AB29*SelfQuarantine_Moderate)))+IF('Equipment List &amp; Usage'!$F29="Yes",('Equipment List &amp; Usage'!$C$114*(IF('Equipment List &amp; Usage'!$AE29&gt;0,'Weekly Summary'!T$134,0)+IF('Equipment List &amp; Usage'!$AF29&gt;0,'Weekly Summary'!T$135))),'Equipment List &amp; Usage'!$C$115*(('Weekly Summary'!T$134*'Equipment List &amp; Usage'!$AE29)+('Weekly Summary'!T$135*'Equipment List &amp; Usage'!$AF29)))),0)</f>
        <v>0</v>
      </c>
      <c r="AA27" s="1374">
        <f ca="1">MAX(IF($F27="Yes",(
IF($F27="yes",MMULT(--('Equipment List &amp; Usage'!$J29:$N29&gt;0),--('Weekly Summary'!U$112:U$116))*'Equipment List &amp; Usage'!$C$114,MMULT(--('Equipment List &amp; Usage'!$J29:$N29),--('Weekly Summary'!U$112:U$116))*'Equipment List &amp; Usage'!$C$115)+IF('Equipment List &amp; Usage'!$F28="yes",'Equipment List &amp; Usage'!$C$114,'Equipment List &amp; Usage'!$C$115)*(('Weekly Summary'!U$66*'Equipment List &amp; Usage'!$Q29)+('Weekly Summary'!U$64*'Equipment List &amp; Usage'!$O29)+('Weekly Summary'!U$65*'Equipment List &amp; Usage'!$P29)))+(IF('Equipment List &amp; Usage'!$F29="Yes",'Equipment List &amp; Usage'!$C$114*((('Weekly Summary'!U$131*SelfQuarantine_Mild)+('Weekly Summary'!U$100*SelfQuarantine_Mild)+('Weekly Summary'!U$101*SelfQuarantine_Moderate))),'Equipment List &amp; Usage'!$C$115)*((('Weekly Summary'!U$131*SelfQuarantine_Mild*'Equipment List &amp; Usage'!$W29)+('Weekly Summary'!U$100*SelfQuarantine_Mild*'Equipment List &amp; Usage'!$X29)+('Weekly Summary'!U$101*SelfQuarantine_Moderate*'Equipment List &amp; Usage'!$X29)))+IF('Equipment List &amp; Usage'!$F29="Yes",'Equipment List &amp; Usage'!$C$114*(IF('Equipment List &amp; Usage'!$AA29&gt;0,'Weekly Summary'!U$128,0)+IF('Equipment List &amp; Usage'!$AB29&gt;0,'Weekly Summary'!U$100+'Weekly Summary'!U$101,0)),'Equipment List &amp; Usage'!$C$115*(('Weekly Summary'!U$128*'Equipment List &amp; Usage'!$AA29)+('Weekly Summary'!U$100*'Equipment List &amp; Usage'!$AB29*SelfQuarantine_Mild)+('Weekly Summary'!U$101*'Equipment List &amp; Usage'!$AB29*SelfQuarantine_Moderate)))+IF('Equipment List &amp; Usage'!$F29="Yes",('Equipment List &amp; Usage'!$C$114*(IF('Equipment List &amp; Usage'!$AE29&gt;0,'Weekly Summary'!U$134,0)+IF('Equipment List &amp; Usage'!$AF29&gt;0,'Weekly Summary'!U$135))),'Equipment List &amp; Usage'!$C$115*(('Weekly Summary'!U$134*'Equipment List &amp; Usage'!$AE29)+('Weekly Summary'!U$135*'Equipment List &amp; Usage'!$AF29))))-SUM($I27:Z27),
IF($F27="yes",MMULT(--('Equipment List &amp; Usage'!$J29:$N29&gt;0),--('Weekly Summary'!U$112:U$116))*'Equipment List &amp; Usage'!$C$114,MMULT(--('Equipment List &amp; Usage'!$J29:$N29),--('Weekly Summary'!U$112:U$116))*'Equipment List &amp; Usage'!$C$115)+IF('Equipment List &amp; Usage'!$F28="yes",'Equipment List &amp; Usage'!$C$114,'Equipment List &amp; Usage'!$C$115)*(('Weekly Summary'!U$66*'Equipment List &amp; Usage'!$Q29)+('Weekly Summary'!U$64*'Equipment List &amp; Usage'!$O29)+('Weekly Summary'!U$65*'Equipment List &amp; Usage'!$P29))+(IF('Equipment List &amp; Usage'!$F29="Yes",'Equipment List &amp; Usage'!$C$114*((('Weekly Summary'!U$131*SelfQuarantine_Mild)+('Weekly Summary'!U$100*SelfQuarantine_Mild)+('Weekly Summary'!U$101*SelfQuarantine_Moderate))),'Equipment List &amp; Usage'!$C$115)*((('Weekly Summary'!U$131*SelfQuarantine_Mild*'Equipment List &amp; Usage'!$W29)+('Weekly Summary'!U$100*SelfQuarantine_Mild*'Equipment List &amp; Usage'!$X29)+('Weekly Summary'!U$101*SelfQuarantine_Moderate*'Equipment List &amp; Usage'!$X29))))+IF('Equipment List &amp; Usage'!$F29="Yes",'Equipment List &amp; Usage'!$C$114*(IF('Equipment List &amp; Usage'!$AA29&gt;0,'Weekly Summary'!U$128,0)+IF('Equipment List &amp; Usage'!$AB29&gt;0,'Weekly Summary'!U$100+'Weekly Summary'!U$101,0)),'Equipment List &amp; Usage'!$C$115*(('Weekly Summary'!U$128*'Equipment List &amp; Usage'!$AA29)+('Weekly Summary'!U$100*'Equipment List &amp; Usage'!$AB29*SelfQuarantine_Mild)+('Weekly Summary'!U$101*'Equipment List &amp; Usage'!$AB29*SelfQuarantine_Moderate)))+IF('Equipment List &amp; Usage'!$F29="Yes",('Equipment List &amp; Usage'!$C$114*(IF('Equipment List &amp; Usage'!$AE29&gt;0,'Weekly Summary'!U$134,0)+IF('Equipment List &amp; Usage'!$AF29&gt;0,'Weekly Summary'!U$135))),'Equipment List &amp; Usage'!$C$115*(('Weekly Summary'!U$134*'Equipment List &amp; Usage'!$AE29)+('Weekly Summary'!U$135*'Equipment List &amp; Usage'!$AF29)))),0)</f>
        <v>0</v>
      </c>
      <c r="AB27" s="1374">
        <f ca="1">MAX(IF($F27="Yes",(
IF($F27="yes",MMULT(--('Equipment List &amp; Usage'!$J29:$N29&gt;0),--('Weekly Summary'!V$112:V$116))*'Equipment List &amp; Usage'!$C$114,MMULT(--('Equipment List &amp; Usage'!$J29:$N29),--('Weekly Summary'!V$112:V$116))*'Equipment List &amp; Usage'!$C$115)+IF('Equipment List &amp; Usage'!$F28="yes",'Equipment List &amp; Usage'!$C$114,'Equipment List &amp; Usage'!$C$115)*(('Weekly Summary'!V$66*'Equipment List &amp; Usage'!$Q29)+('Weekly Summary'!V$64*'Equipment List &amp; Usage'!$O29)+('Weekly Summary'!V$65*'Equipment List &amp; Usage'!$P29)))+(IF('Equipment List &amp; Usage'!$F29="Yes",'Equipment List &amp; Usage'!$C$114*((('Weekly Summary'!V$131*SelfQuarantine_Mild)+('Weekly Summary'!V$100*SelfQuarantine_Mild)+('Weekly Summary'!V$101*SelfQuarantine_Moderate))),'Equipment List &amp; Usage'!$C$115)*((('Weekly Summary'!V$131*SelfQuarantine_Mild*'Equipment List &amp; Usage'!$W29)+('Weekly Summary'!V$100*SelfQuarantine_Mild*'Equipment List &amp; Usage'!$X29)+('Weekly Summary'!V$101*SelfQuarantine_Moderate*'Equipment List &amp; Usage'!$X29)))+IF('Equipment List &amp; Usage'!$F29="Yes",'Equipment List &amp; Usage'!$C$114*(IF('Equipment List &amp; Usage'!$AA29&gt;0,'Weekly Summary'!V$128,0)+IF('Equipment List &amp; Usage'!$AB29&gt;0,'Weekly Summary'!V$100+'Weekly Summary'!V$101,0)),'Equipment List &amp; Usage'!$C$115*(('Weekly Summary'!V$128*'Equipment List &amp; Usage'!$AA29)+('Weekly Summary'!V$100*'Equipment List &amp; Usage'!$AB29*SelfQuarantine_Mild)+('Weekly Summary'!V$101*'Equipment List &amp; Usage'!$AB29*SelfQuarantine_Moderate)))+IF('Equipment List &amp; Usage'!$F29="Yes",('Equipment List &amp; Usage'!$C$114*(IF('Equipment List &amp; Usage'!$AE29&gt;0,'Weekly Summary'!V$134,0)+IF('Equipment List &amp; Usage'!$AF29&gt;0,'Weekly Summary'!V$135))),'Equipment List &amp; Usage'!$C$115*(('Weekly Summary'!V$134*'Equipment List &amp; Usage'!$AE29)+('Weekly Summary'!V$135*'Equipment List &amp; Usage'!$AF29))))-SUM($I27:AA27),
IF($F27="yes",MMULT(--('Equipment List &amp; Usage'!$J29:$N29&gt;0),--('Weekly Summary'!V$112:V$116))*'Equipment List &amp; Usage'!$C$114,MMULT(--('Equipment List &amp; Usage'!$J29:$N29),--('Weekly Summary'!V$112:V$116))*'Equipment List &amp; Usage'!$C$115)+IF('Equipment List &amp; Usage'!$F28="yes",'Equipment List &amp; Usage'!$C$114,'Equipment List &amp; Usage'!$C$115)*(('Weekly Summary'!V$66*'Equipment List &amp; Usage'!$Q29)+('Weekly Summary'!V$64*'Equipment List &amp; Usage'!$O29)+('Weekly Summary'!V$65*'Equipment List &amp; Usage'!$P29))+(IF('Equipment List &amp; Usage'!$F29="Yes",'Equipment List &amp; Usage'!$C$114*((('Weekly Summary'!V$131*SelfQuarantine_Mild)+('Weekly Summary'!V$100*SelfQuarantine_Mild)+('Weekly Summary'!V$101*SelfQuarantine_Moderate))),'Equipment List &amp; Usage'!$C$115)*((('Weekly Summary'!V$131*SelfQuarantine_Mild*'Equipment List &amp; Usage'!$W29)+('Weekly Summary'!V$100*SelfQuarantine_Mild*'Equipment List &amp; Usage'!$X29)+('Weekly Summary'!V$101*SelfQuarantine_Moderate*'Equipment List &amp; Usage'!$X29))))+IF('Equipment List &amp; Usage'!$F29="Yes",'Equipment List &amp; Usage'!$C$114*(IF('Equipment List &amp; Usage'!$AA29&gt;0,'Weekly Summary'!V$128,0)+IF('Equipment List &amp; Usage'!$AB29&gt;0,'Weekly Summary'!V$100+'Weekly Summary'!V$101,0)),'Equipment List &amp; Usage'!$C$115*(('Weekly Summary'!V$128*'Equipment List &amp; Usage'!$AA29)+('Weekly Summary'!V$100*'Equipment List &amp; Usage'!$AB29*SelfQuarantine_Mild)+('Weekly Summary'!V$101*'Equipment List &amp; Usage'!$AB29*SelfQuarantine_Moderate)))+IF('Equipment List &amp; Usage'!$F29="Yes",('Equipment List &amp; Usage'!$C$114*(IF('Equipment List &amp; Usage'!$AE29&gt;0,'Weekly Summary'!V$134,0)+IF('Equipment List &amp; Usage'!$AF29&gt;0,'Weekly Summary'!V$135))),'Equipment List &amp; Usage'!$C$115*(('Weekly Summary'!V$134*'Equipment List &amp; Usage'!$AE29)+('Weekly Summary'!V$135*'Equipment List &amp; Usage'!$AF29)))),0)</f>
        <v>0</v>
      </c>
      <c r="AC27" s="1374">
        <f ca="1">MAX(IF($F27="Yes",(
IF($F27="yes",MMULT(--('Equipment List &amp; Usage'!$J29:$N29&gt;0),--('Weekly Summary'!W$112:W$116))*'Equipment List &amp; Usage'!$C$114,MMULT(--('Equipment List &amp; Usage'!$J29:$N29),--('Weekly Summary'!W$112:W$116))*'Equipment List &amp; Usage'!$C$115)+IF('Equipment List &amp; Usage'!$F28="yes",'Equipment List &amp; Usage'!$C$114,'Equipment List &amp; Usage'!$C$115)*(('Weekly Summary'!W$66*'Equipment List &amp; Usage'!$Q29)+('Weekly Summary'!W$64*'Equipment List &amp; Usage'!$O29)+('Weekly Summary'!W$65*'Equipment List &amp; Usage'!$P29)))+(IF('Equipment List &amp; Usage'!$F29="Yes",'Equipment List &amp; Usage'!$C$114*((('Weekly Summary'!W$131*SelfQuarantine_Mild)+('Weekly Summary'!W$100*SelfQuarantine_Mild)+('Weekly Summary'!W$101*SelfQuarantine_Moderate))),'Equipment List &amp; Usage'!$C$115)*((('Weekly Summary'!W$131*SelfQuarantine_Mild*'Equipment List &amp; Usage'!$W29)+('Weekly Summary'!W$100*SelfQuarantine_Mild*'Equipment List &amp; Usage'!$X29)+('Weekly Summary'!W$101*SelfQuarantine_Moderate*'Equipment List &amp; Usage'!$X29)))+IF('Equipment List &amp; Usage'!$F29="Yes",'Equipment List &amp; Usage'!$C$114*(IF('Equipment List &amp; Usage'!$AA29&gt;0,'Weekly Summary'!W$128,0)+IF('Equipment List &amp; Usage'!$AB29&gt;0,'Weekly Summary'!W$100+'Weekly Summary'!W$101,0)),'Equipment List &amp; Usage'!$C$115*(('Weekly Summary'!W$128*'Equipment List &amp; Usage'!$AA29)+('Weekly Summary'!W$100*'Equipment List &amp; Usage'!$AB29*SelfQuarantine_Mild)+('Weekly Summary'!W$101*'Equipment List &amp; Usage'!$AB29*SelfQuarantine_Moderate)))+IF('Equipment List &amp; Usage'!$F29="Yes",('Equipment List &amp; Usage'!$C$114*(IF('Equipment List &amp; Usage'!$AE29&gt;0,'Weekly Summary'!W$134,0)+IF('Equipment List &amp; Usage'!$AF29&gt;0,'Weekly Summary'!W$135))),'Equipment List &amp; Usage'!$C$115*(('Weekly Summary'!W$134*'Equipment List &amp; Usage'!$AE29)+('Weekly Summary'!W$135*'Equipment List &amp; Usage'!$AF29))))-SUM($I27:AB27),
IF($F27="yes",MMULT(--('Equipment List &amp; Usage'!$J29:$N29&gt;0),--('Weekly Summary'!W$112:W$116))*'Equipment List &amp; Usage'!$C$114,MMULT(--('Equipment List &amp; Usage'!$J29:$N29),--('Weekly Summary'!W$112:W$116))*'Equipment List &amp; Usage'!$C$115)+IF('Equipment List &amp; Usage'!$F28="yes",'Equipment List &amp; Usage'!$C$114,'Equipment List &amp; Usage'!$C$115)*(('Weekly Summary'!W$66*'Equipment List &amp; Usage'!$Q29)+('Weekly Summary'!W$64*'Equipment List &amp; Usage'!$O29)+('Weekly Summary'!W$65*'Equipment List &amp; Usage'!$P29))+(IF('Equipment List &amp; Usage'!$F29="Yes",'Equipment List &amp; Usage'!$C$114*((('Weekly Summary'!W$131*SelfQuarantine_Mild)+('Weekly Summary'!W$100*SelfQuarantine_Mild)+('Weekly Summary'!W$101*SelfQuarantine_Moderate))),'Equipment List &amp; Usage'!$C$115)*((('Weekly Summary'!W$131*SelfQuarantine_Mild*'Equipment List &amp; Usage'!$W29)+('Weekly Summary'!W$100*SelfQuarantine_Mild*'Equipment List &amp; Usage'!$X29)+('Weekly Summary'!W$101*SelfQuarantine_Moderate*'Equipment List &amp; Usage'!$X29))))+IF('Equipment List &amp; Usage'!$F29="Yes",'Equipment List &amp; Usage'!$C$114*(IF('Equipment List &amp; Usage'!$AA29&gt;0,'Weekly Summary'!W$128,0)+IF('Equipment List &amp; Usage'!$AB29&gt;0,'Weekly Summary'!W$100+'Weekly Summary'!W$101,0)),'Equipment List &amp; Usage'!$C$115*(('Weekly Summary'!W$128*'Equipment List &amp; Usage'!$AA29)+('Weekly Summary'!W$100*'Equipment List &amp; Usage'!$AB29*SelfQuarantine_Mild)+('Weekly Summary'!W$101*'Equipment List &amp; Usage'!$AB29*SelfQuarantine_Moderate)))+IF('Equipment List &amp; Usage'!$F29="Yes",('Equipment List &amp; Usage'!$C$114*(IF('Equipment List &amp; Usage'!$AE29&gt;0,'Weekly Summary'!W$134,0)+IF('Equipment List &amp; Usage'!$AF29&gt;0,'Weekly Summary'!W$135))),'Equipment List &amp; Usage'!$C$115*(('Weekly Summary'!W$134*'Equipment List &amp; Usage'!$AE29)+('Weekly Summary'!W$135*'Equipment List &amp; Usage'!$AF29)))),0)</f>
        <v>0</v>
      </c>
      <c r="AD27" s="1374">
        <f ca="1">MAX(IF($F27="Yes",(
IF($F27="yes",MMULT(--('Equipment List &amp; Usage'!$J29:$N29&gt;0),--('Weekly Summary'!X$112:X$116))*'Equipment List &amp; Usage'!$C$114,MMULT(--('Equipment List &amp; Usage'!$J29:$N29),--('Weekly Summary'!X$112:X$116))*'Equipment List &amp; Usage'!$C$115)+IF('Equipment List &amp; Usage'!$F28="yes",'Equipment List &amp; Usage'!$C$114,'Equipment List &amp; Usage'!$C$115)*(('Weekly Summary'!X$66*'Equipment List &amp; Usage'!$Q29)+('Weekly Summary'!X$64*'Equipment List &amp; Usage'!$O29)+('Weekly Summary'!X$65*'Equipment List &amp; Usage'!$P29)))+(IF('Equipment List &amp; Usage'!$F29="Yes",'Equipment List &amp; Usage'!$C$114*((('Weekly Summary'!X$131*SelfQuarantine_Mild)+('Weekly Summary'!X$100*SelfQuarantine_Mild)+('Weekly Summary'!X$101*SelfQuarantine_Moderate))),'Equipment List &amp; Usage'!$C$115)*((('Weekly Summary'!X$131*SelfQuarantine_Mild*'Equipment List &amp; Usage'!$W29)+('Weekly Summary'!X$100*SelfQuarantine_Mild*'Equipment List &amp; Usage'!$X29)+('Weekly Summary'!X$101*SelfQuarantine_Moderate*'Equipment List &amp; Usage'!$X29)))+IF('Equipment List &amp; Usage'!$F29="Yes",'Equipment List &amp; Usage'!$C$114*(IF('Equipment List &amp; Usage'!$AA29&gt;0,'Weekly Summary'!X$128,0)+IF('Equipment List &amp; Usage'!$AB29&gt;0,'Weekly Summary'!X$100+'Weekly Summary'!X$101,0)),'Equipment List &amp; Usage'!$C$115*(('Weekly Summary'!X$128*'Equipment List &amp; Usage'!$AA29)+('Weekly Summary'!X$100*'Equipment List &amp; Usage'!$AB29*SelfQuarantine_Mild)+('Weekly Summary'!X$101*'Equipment List &amp; Usage'!$AB29*SelfQuarantine_Moderate)))+IF('Equipment List &amp; Usage'!$F29="Yes",('Equipment List &amp; Usage'!$C$114*(IF('Equipment List &amp; Usage'!$AE29&gt;0,'Weekly Summary'!X$134,0)+IF('Equipment List &amp; Usage'!$AF29&gt;0,'Weekly Summary'!X$135))),'Equipment List &amp; Usage'!$C$115*(('Weekly Summary'!X$134*'Equipment List &amp; Usage'!$AE29)+('Weekly Summary'!X$135*'Equipment List &amp; Usage'!$AF29))))-SUM($I27:AC27),
IF($F27="yes",MMULT(--('Equipment List &amp; Usage'!$J29:$N29&gt;0),--('Weekly Summary'!X$112:X$116))*'Equipment List &amp; Usage'!$C$114,MMULT(--('Equipment List &amp; Usage'!$J29:$N29),--('Weekly Summary'!X$112:X$116))*'Equipment List &amp; Usage'!$C$115)+IF('Equipment List &amp; Usage'!$F28="yes",'Equipment List &amp; Usage'!$C$114,'Equipment List &amp; Usage'!$C$115)*(('Weekly Summary'!X$66*'Equipment List &amp; Usage'!$Q29)+('Weekly Summary'!X$64*'Equipment List &amp; Usage'!$O29)+('Weekly Summary'!X$65*'Equipment List &amp; Usage'!$P29))+(IF('Equipment List &amp; Usage'!$F29="Yes",'Equipment List &amp; Usage'!$C$114*((('Weekly Summary'!X$131*SelfQuarantine_Mild)+('Weekly Summary'!X$100*SelfQuarantine_Mild)+('Weekly Summary'!X$101*SelfQuarantine_Moderate))),'Equipment List &amp; Usage'!$C$115)*((('Weekly Summary'!X$131*SelfQuarantine_Mild*'Equipment List &amp; Usage'!$W29)+('Weekly Summary'!X$100*SelfQuarantine_Mild*'Equipment List &amp; Usage'!$X29)+('Weekly Summary'!X$101*SelfQuarantine_Moderate*'Equipment List &amp; Usage'!$X29))))+IF('Equipment List &amp; Usage'!$F29="Yes",'Equipment List &amp; Usage'!$C$114*(IF('Equipment List &amp; Usage'!$AA29&gt;0,'Weekly Summary'!X$128,0)+IF('Equipment List &amp; Usage'!$AB29&gt;0,'Weekly Summary'!X$100+'Weekly Summary'!X$101,0)),'Equipment List &amp; Usage'!$C$115*(('Weekly Summary'!X$128*'Equipment List &amp; Usage'!$AA29)+('Weekly Summary'!X$100*'Equipment List &amp; Usage'!$AB29*SelfQuarantine_Mild)+('Weekly Summary'!X$101*'Equipment List &amp; Usage'!$AB29*SelfQuarantine_Moderate)))+IF('Equipment List &amp; Usage'!$F29="Yes",('Equipment List &amp; Usage'!$C$114*(IF('Equipment List &amp; Usage'!$AE29&gt;0,'Weekly Summary'!X$134,0)+IF('Equipment List &amp; Usage'!$AF29&gt;0,'Weekly Summary'!X$135))),'Equipment List &amp; Usage'!$C$115*(('Weekly Summary'!X$134*'Equipment List &amp; Usage'!$AE29)+('Weekly Summary'!X$135*'Equipment List &amp; Usage'!$AF29)))),0)</f>
        <v>0</v>
      </c>
      <c r="AE27" s="1374">
        <f ca="1">MAX(IF($F27="Yes",(
IF($F27="yes",MMULT(--('Equipment List &amp; Usage'!$J29:$N29&gt;0),--('Weekly Summary'!Y$112:Y$116))*'Equipment List &amp; Usage'!$C$114,MMULT(--('Equipment List &amp; Usage'!$J29:$N29),--('Weekly Summary'!Y$112:Y$116))*'Equipment List &amp; Usage'!$C$115)+IF('Equipment List &amp; Usage'!$F28="yes",'Equipment List &amp; Usage'!$C$114,'Equipment List &amp; Usage'!$C$115)*(('Weekly Summary'!Y$66*'Equipment List &amp; Usage'!$Q29)+('Weekly Summary'!Y$64*'Equipment List &amp; Usage'!$O29)+('Weekly Summary'!Y$65*'Equipment List &amp; Usage'!$P29)))+(IF('Equipment List &amp; Usage'!$F29="Yes",'Equipment List &amp; Usage'!$C$114*((('Weekly Summary'!Y$131*SelfQuarantine_Mild)+('Weekly Summary'!Y$100*SelfQuarantine_Mild)+('Weekly Summary'!Y$101*SelfQuarantine_Moderate))),'Equipment List &amp; Usage'!$C$115)*((('Weekly Summary'!Y$131*SelfQuarantine_Mild*'Equipment List &amp; Usage'!$W29)+('Weekly Summary'!Y$100*SelfQuarantine_Mild*'Equipment List &amp; Usage'!$X29)+('Weekly Summary'!Y$101*SelfQuarantine_Moderate*'Equipment List &amp; Usage'!$X29)))+IF('Equipment List &amp; Usage'!$F29="Yes",'Equipment List &amp; Usage'!$C$114*(IF('Equipment List &amp; Usage'!$AA29&gt;0,'Weekly Summary'!Y$128,0)+IF('Equipment List &amp; Usage'!$AB29&gt;0,'Weekly Summary'!Y$100+'Weekly Summary'!Y$101,0)),'Equipment List &amp; Usage'!$C$115*(('Weekly Summary'!Y$128*'Equipment List &amp; Usage'!$AA29)+('Weekly Summary'!Y$100*'Equipment List &amp; Usage'!$AB29*SelfQuarantine_Mild)+('Weekly Summary'!Y$101*'Equipment List &amp; Usage'!$AB29*SelfQuarantine_Moderate)))+IF('Equipment List &amp; Usage'!$F29="Yes",('Equipment List &amp; Usage'!$C$114*(IF('Equipment List &amp; Usage'!$AE29&gt;0,'Weekly Summary'!Y$134,0)+IF('Equipment List &amp; Usage'!$AF29&gt;0,'Weekly Summary'!Y$135))),'Equipment List &amp; Usage'!$C$115*(('Weekly Summary'!Y$134*'Equipment List &amp; Usage'!$AE29)+('Weekly Summary'!Y$135*'Equipment List &amp; Usage'!$AF29))))-SUM($I27:AD27),
IF($F27="yes",MMULT(--('Equipment List &amp; Usage'!$J29:$N29&gt;0),--('Weekly Summary'!Y$112:Y$116))*'Equipment List &amp; Usage'!$C$114,MMULT(--('Equipment List &amp; Usage'!$J29:$N29),--('Weekly Summary'!Y$112:Y$116))*'Equipment List &amp; Usage'!$C$115)+IF('Equipment List &amp; Usage'!$F28="yes",'Equipment List &amp; Usage'!$C$114,'Equipment List &amp; Usage'!$C$115)*(('Weekly Summary'!Y$66*'Equipment List &amp; Usage'!$Q29)+('Weekly Summary'!Y$64*'Equipment List &amp; Usage'!$O29)+('Weekly Summary'!Y$65*'Equipment List &amp; Usage'!$P29))+(IF('Equipment List &amp; Usage'!$F29="Yes",'Equipment List &amp; Usage'!$C$114*((('Weekly Summary'!Y$131*SelfQuarantine_Mild)+('Weekly Summary'!Y$100*SelfQuarantine_Mild)+('Weekly Summary'!Y$101*SelfQuarantine_Moderate))),'Equipment List &amp; Usage'!$C$115)*((('Weekly Summary'!Y$131*SelfQuarantine_Mild*'Equipment List &amp; Usage'!$W29)+('Weekly Summary'!Y$100*SelfQuarantine_Mild*'Equipment List &amp; Usage'!$X29)+('Weekly Summary'!Y$101*SelfQuarantine_Moderate*'Equipment List &amp; Usage'!$X29))))+IF('Equipment List &amp; Usage'!$F29="Yes",'Equipment List &amp; Usage'!$C$114*(IF('Equipment List &amp; Usage'!$AA29&gt;0,'Weekly Summary'!Y$128,0)+IF('Equipment List &amp; Usage'!$AB29&gt;0,'Weekly Summary'!Y$100+'Weekly Summary'!Y$101,0)),'Equipment List &amp; Usage'!$C$115*(('Weekly Summary'!Y$128*'Equipment List &amp; Usage'!$AA29)+('Weekly Summary'!Y$100*'Equipment List &amp; Usage'!$AB29*SelfQuarantine_Mild)+('Weekly Summary'!Y$101*'Equipment List &amp; Usage'!$AB29*SelfQuarantine_Moderate)))+IF('Equipment List &amp; Usage'!$F29="Yes",('Equipment List &amp; Usage'!$C$114*(IF('Equipment List &amp; Usage'!$AE29&gt;0,'Weekly Summary'!Y$134,0)+IF('Equipment List &amp; Usage'!$AF29&gt;0,'Weekly Summary'!Y$135))),'Equipment List &amp; Usage'!$C$115*(('Weekly Summary'!Y$134*'Equipment List &amp; Usage'!$AE29)+('Weekly Summary'!Y$135*'Equipment List &amp; Usage'!$AF29)))),0)</f>
        <v>0</v>
      </c>
      <c r="AF27" s="1374">
        <f ca="1">MAX(IF($F27="Yes",(
IF($F27="yes",MMULT(--('Equipment List &amp; Usage'!$J29:$N29&gt;0),--('Weekly Summary'!Z$112:Z$116))*'Equipment List &amp; Usage'!$C$114,MMULT(--('Equipment List &amp; Usage'!$J29:$N29),--('Weekly Summary'!Z$112:Z$116))*'Equipment List &amp; Usage'!$C$115)+IF('Equipment List &amp; Usage'!$F28="yes",'Equipment List &amp; Usage'!$C$114,'Equipment List &amp; Usage'!$C$115)*(('Weekly Summary'!Z$66*'Equipment List &amp; Usage'!$Q29)+('Weekly Summary'!Z$64*'Equipment List &amp; Usage'!$O29)+('Weekly Summary'!Z$65*'Equipment List &amp; Usage'!$P29)))+(IF('Equipment List &amp; Usage'!$F29="Yes",'Equipment List &amp; Usage'!$C$114*((('Weekly Summary'!Z$131*SelfQuarantine_Mild)+('Weekly Summary'!Z$100*SelfQuarantine_Mild)+('Weekly Summary'!Z$101*SelfQuarantine_Moderate))),'Equipment List &amp; Usage'!$C$115)*((('Weekly Summary'!Z$131*SelfQuarantine_Mild*'Equipment List &amp; Usage'!$W29)+('Weekly Summary'!Z$100*SelfQuarantine_Mild*'Equipment List &amp; Usage'!$X29)+('Weekly Summary'!Z$101*SelfQuarantine_Moderate*'Equipment List &amp; Usage'!$X29)))+IF('Equipment List &amp; Usage'!$F29="Yes",'Equipment List &amp; Usage'!$C$114*(IF('Equipment List &amp; Usage'!$AA29&gt;0,'Weekly Summary'!Z$128,0)+IF('Equipment List &amp; Usage'!$AB29&gt;0,'Weekly Summary'!Z$100+'Weekly Summary'!Z$101,0)),'Equipment List &amp; Usage'!$C$115*(('Weekly Summary'!Z$128*'Equipment List &amp; Usage'!$AA29)+('Weekly Summary'!Z$100*'Equipment List &amp; Usage'!$AB29*SelfQuarantine_Mild)+('Weekly Summary'!Z$101*'Equipment List &amp; Usage'!$AB29*SelfQuarantine_Moderate)))+IF('Equipment List &amp; Usage'!$F29="Yes",('Equipment List &amp; Usage'!$C$114*(IF('Equipment List &amp; Usage'!$AE29&gt;0,'Weekly Summary'!Z$134,0)+IF('Equipment List &amp; Usage'!$AF29&gt;0,'Weekly Summary'!Z$135))),'Equipment List &amp; Usage'!$C$115*(('Weekly Summary'!Z$134*'Equipment List &amp; Usage'!$AE29)+('Weekly Summary'!Z$135*'Equipment List &amp; Usage'!$AF29))))-SUM($I27:AE27),
IF($F27="yes",MMULT(--('Equipment List &amp; Usage'!$J29:$N29&gt;0),--('Weekly Summary'!Z$112:Z$116))*'Equipment List &amp; Usage'!$C$114,MMULT(--('Equipment List &amp; Usage'!$J29:$N29),--('Weekly Summary'!Z$112:Z$116))*'Equipment List &amp; Usage'!$C$115)+IF('Equipment List &amp; Usage'!$F28="yes",'Equipment List &amp; Usage'!$C$114,'Equipment List &amp; Usage'!$C$115)*(('Weekly Summary'!Z$66*'Equipment List &amp; Usage'!$Q29)+('Weekly Summary'!Z$64*'Equipment List &amp; Usage'!$O29)+('Weekly Summary'!Z$65*'Equipment List &amp; Usage'!$P29))+(IF('Equipment List &amp; Usage'!$F29="Yes",'Equipment List &amp; Usage'!$C$114*((('Weekly Summary'!Z$131*SelfQuarantine_Mild)+('Weekly Summary'!Z$100*SelfQuarantine_Mild)+('Weekly Summary'!Z$101*SelfQuarantine_Moderate))),'Equipment List &amp; Usage'!$C$115)*((('Weekly Summary'!Z$131*SelfQuarantine_Mild*'Equipment List &amp; Usage'!$W29)+('Weekly Summary'!Z$100*SelfQuarantine_Mild*'Equipment List &amp; Usage'!$X29)+('Weekly Summary'!Z$101*SelfQuarantine_Moderate*'Equipment List &amp; Usage'!$X29))))+IF('Equipment List &amp; Usage'!$F29="Yes",'Equipment List &amp; Usage'!$C$114*(IF('Equipment List &amp; Usage'!$AA29&gt;0,'Weekly Summary'!Z$128,0)+IF('Equipment List &amp; Usage'!$AB29&gt;0,'Weekly Summary'!Z$100+'Weekly Summary'!Z$101,0)),'Equipment List &amp; Usage'!$C$115*(('Weekly Summary'!Z$128*'Equipment List &amp; Usage'!$AA29)+('Weekly Summary'!Z$100*'Equipment List &amp; Usage'!$AB29*SelfQuarantine_Mild)+('Weekly Summary'!Z$101*'Equipment List &amp; Usage'!$AB29*SelfQuarantine_Moderate)))+IF('Equipment List &amp; Usage'!$F29="Yes",('Equipment List &amp; Usage'!$C$114*(IF('Equipment List &amp; Usage'!$AE29&gt;0,'Weekly Summary'!Z$134,0)+IF('Equipment List &amp; Usage'!$AF29&gt;0,'Weekly Summary'!Z$135))),'Equipment List &amp; Usage'!$C$115*(('Weekly Summary'!Z$134*'Equipment List &amp; Usage'!$AE29)+('Weekly Summary'!Z$135*'Equipment List &amp; Usage'!$AF29)))),0)</f>
        <v>0</v>
      </c>
      <c r="AG27" s="1374">
        <f ca="1">MAX(IF($F27="Yes",(
IF($F27="yes",MMULT(--('Equipment List &amp; Usage'!$J29:$N29&gt;0),--('Weekly Summary'!AA$112:AA$116))*'Equipment List &amp; Usage'!$C$114,MMULT(--('Equipment List &amp; Usage'!$J29:$N29),--('Weekly Summary'!AA$112:AA$116))*'Equipment List &amp; Usage'!$C$115)+IF('Equipment List &amp; Usage'!$F28="yes",'Equipment List &amp; Usage'!$C$114,'Equipment List &amp; Usage'!$C$115)*(('Weekly Summary'!AA$66*'Equipment List &amp; Usage'!$Q29)+('Weekly Summary'!AA$64*'Equipment List &amp; Usage'!$O29)+('Weekly Summary'!AA$65*'Equipment List &amp; Usage'!$P29)))+(IF('Equipment List &amp; Usage'!$F29="Yes",'Equipment List &amp; Usage'!$C$114*((('Weekly Summary'!AA$131*SelfQuarantine_Mild)+('Weekly Summary'!AA$100*SelfQuarantine_Mild)+('Weekly Summary'!AA$101*SelfQuarantine_Moderate))),'Equipment List &amp; Usage'!$C$115)*((('Weekly Summary'!AA$131*SelfQuarantine_Mild*'Equipment List &amp; Usage'!$W29)+('Weekly Summary'!AA$100*SelfQuarantine_Mild*'Equipment List &amp; Usage'!$X29)+('Weekly Summary'!AA$101*SelfQuarantine_Moderate*'Equipment List &amp; Usage'!$X29)))+IF('Equipment List &amp; Usage'!$F29="Yes",'Equipment List &amp; Usage'!$C$114*(IF('Equipment List &amp; Usage'!$AA29&gt;0,'Weekly Summary'!AA$128,0)+IF('Equipment List &amp; Usage'!$AB29&gt;0,'Weekly Summary'!AA$100+'Weekly Summary'!AA$101,0)),'Equipment List &amp; Usage'!$C$115*(('Weekly Summary'!AA$128*'Equipment List &amp; Usage'!$AA29)+('Weekly Summary'!AA$100*'Equipment List &amp; Usage'!$AB29*SelfQuarantine_Mild)+('Weekly Summary'!AA$101*'Equipment List &amp; Usage'!$AB29*SelfQuarantine_Moderate)))+IF('Equipment List &amp; Usage'!$F29="Yes",('Equipment List &amp; Usage'!$C$114*(IF('Equipment List &amp; Usage'!$AE29&gt;0,'Weekly Summary'!AA$134,0)+IF('Equipment List &amp; Usage'!$AF29&gt;0,'Weekly Summary'!AA$135))),'Equipment List &amp; Usage'!$C$115*(('Weekly Summary'!AA$134*'Equipment List &amp; Usage'!$AE29)+('Weekly Summary'!AA$135*'Equipment List &amp; Usage'!$AF29))))-SUM($I27:AF27),
IF($F27="yes",MMULT(--('Equipment List &amp; Usage'!$J29:$N29&gt;0),--('Weekly Summary'!AA$112:AA$116))*'Equipment List &amp; Usage'!$C$114,MMULT(--('Equipment List &amp; Usage'!$J29:$N29),--('Weekly Summary'!AA$112:AA$116))*'Equipment List &amp; Usage'!$C$115)+IF('Equipment List &amp; Usage'!$F28="yes",'Equipment List &amp; Usage'!$C$114,'Equipment List &amp; Usage'!$C$115)*(('Weekly Summary'!AA$66*'Equipment List &amp; Usage'!$Q29)+('Weekly Summary'!AA$64*'Equipment List &amp; Usage'!$O29)+('Weekly Summary'!AA$65*'Equipment List &amp; Usage'!$P29))+(IF('Equipment List &amp; Usage'!$F29="Yes",'Equipment List &amp; Usage'!$C$114*((('Weekly Summary'!AA$131*SelfQuarantine_Mild)+('Weekly Summary'!AA$100*SelfQuarantine_Mild)+('Weekly Summary'!AA$101*SelfQuarantine_Moderate))),'Equipment List &amp; Usage'!$C$115)*((('Weekly Summary'!AA$131*SelfQuarantine_Mild*'Equipment List &amp; Usage'!$W29)+('Weekly Summary'!AA$100*SelfQuarantine_Mild*'Equipment List &amp; Usage'!$X29)+('Weekly Summary'!AA$101*SelfQuarantine_Moderate*'Equipment List &amp; Usage'!$X29))))+IF('Equipment List &amp; Usage'!$F29="Yes",'Equipment List &amp; Usage'!$C$114*(IF('Equipment List &amp; Usage'!$AA29&gt;0,'Weekly Summary'!AA$128,0)+IF('Equipment List &amp; Usage'!$AB29&gt;0,'Weekly Summary'!AA$100+'Weekly Summary'!AA$101,0)),'Equipment List &amp; Usage'!$C$115*(('Weekly Summary'!AA$128*'Equipment List &amp; Usage'!$AA29)+('Weekly Summary'!AA$100*'Equipment List &amp; Usage'!$AB29*SelfQuarantine_Mild)+('Weekly Summary'!AA$101*'Equipment List &amp; Usage'!$AB29*SelfQuarantine_Moderate)))+IF('Equipment List &amp; Usage'!$F29="Yes",('Equipment List &amp; Usage'!$C$114*(IF('Equipment List &amp; Usage'!$AE29&gt;0,'Weekly Summary'!AA$134,0)+IF('Equipment List &amp; Usage'!$AF29&gt;0,'Weekly Summary'!AA$135))),'Equipment List &amp; Usage'!$C$115*(('Weekly Summary'!AA$134*'Equipment List &amp; Usage'!$AE29)+('Weekly Summary'!AA$135*'Equipment List &amp; Usage'!$AF29)))),0)</f>
        <v>0</v>
      </c>
      <c r="AH27" s="1374">
        <f ca="1">MAX(IF($F27="Yes",(
IF($F27="yes",MMULT(--('Equipment List &amp; Usage'!$J29:$N29&gt;0),--('Weekly Summary'!AB$112:AB$116))*'Equipment List &amp; Usage'!$C$114,MMULT(--('Equipment List &amp; Usage'!$J29:$N29),--('Weekly Summary'!AB$112:AB$116))*'Equipment List &amp; Usage'!$C$115)+IF('Equipment List &amp; Usage'!$F28="yes",'Equipment List &amp; Usage'!$C$114,'Equipment List &amp; Usage'!$C$115)*(('Weekly Summary'!AB$66*'Equipment List &amp; Usage'!$Q29)+('Weekly Summary'!AB$64*'Equipment List &amp; Usage'!$O29)+('Weekly Summary'!AB$65*'Equipment List &amp; Usage'!$P29)))+(IF('Equipment List &amp; Usage'!$F29="Yes",'Equipment List &amp; Usage'!$C$114*((('Weekly Summary'!AB$131*SelfQuarantine_Mild)+('Weekly Summary'!AB$100*SelfQuarantine_Mild)+('Weekly Summary'!AB$101*SelfQuarantine_Moderate))),'Equipment List &amp; Usage'!$C$115)*((('Weekly Summary'!AB$131*SelfQuarantine_Mild*'Equipment List &amp; Usage'!$W29)+('Weekly Summary'!AB$100*SelfQuarantine_Mild*'Equipment List &amp; Usage'!$X29)+('Weekly Summary'!AB$101*SelfQuarantine_Moderate*'Equipment List &amp; Usage'!$X29)))+IF('Equipment List &amp; Usage'!$F29="Yes",'Equipment List &amp; Usage'!$C$114*(IF('Equipment List &amp; Usage'!$AA29&gt;0,'Weekly Summary'!AB$128,0)+IF('Equipment List &amp; Usage'!$AB29&gt;0,'Weekly Summary'!AB$100+'Weekly Summary'!AB$101,0)),'Equipment List &amp; Usage'!$C$115*(('Weekly Summary'!AB$128*'Equipment List &amp; Usage'!$AA29)+('Weekly Summary'!AB$100*'Equipment List &amp; Usage'!$AB29*SelfQuarantine_Mild)+('Weekly Summary'!AB$101*'Equipment List &amp; Usage'!$AB29*SelfQuarantine_Moderate)))+IF('Equipment List &amp; Usage'!$F29="Yes",('Equipment List &amp; Usage'!$C$114*(IF('Equipment List &amp; Usage'!$AE29&gt;0,'Weekly Summary'!AB$134,0)+IF('Equipment List &amp; Usage'!$AF29&gt;0,'Weekly Summary'!AB$135))),'Equipment List &amp; Usage'!$C$115*(('Weekly Summary'!AB$134*'Equipment List &amp; Usage'!$AE29)+('Weekly Summary'!AB$135*'Equipment List &amp; Usage'!$AF29))))-SUM($I27:AG27),
IF($F27="yes",MMULT(--('Equipment List &amp; Usage'!$J29:$N29&gt;0),--('Weekly Summary'!AB$112:AB$116))*'Equipment List &amp; Usage'!$C$114,MMULT(--('Equipment List &amp; Usage'!$J29:$N29),--('Weekly Summary'!AB$112:AB$116))*'Equipment List &amp; Usage'!$C$115)+IF('Equipment List &amp; Usage'!$F28="yes",'Equipment List &amp; Usage'!$C$114,'Equipment List &amp; Usage'!$C$115)*(('Weekly Summary'!AB$66*'Equipment List &amp; Usage'!$Q29)+('Weekly Summary'!AB$64*'Equipment List &amp; Usage'!$O29)+('Weekly Summary'!AB$65*'Equipment List &amp; Usage'!$P29))+(IF('Equipment List &amp; Usage'!$F29="Yes",'Equipment List &amp; Usage'!$C$114*((('Weekly Summary'!AB$131*SelfQuarantine_Mild)+('Weekly Summary'!AB$100*SelfQuarantine_Mild)+('Weekly Summary'!AB$101*SelfQuarantine_Moderate))),'Equipment List &amp; Usage'!$C$115)*((('Weekly Summary'!AB$131*SelfQuarantine_Mild*'Equipment List &amp; Usage'!$W29)+('Weekly Summary'!AB$100*SelfQuarantine_Mild*'Equipment List &amp; Usage'!$X29)+('Weekly Summary'!AB$101*SelfQuarantine_Moderate*'Equipment List &amp; Usage'!$X29))))+IF('Equipment List &amp; Usage'!$F29="Yes",'Equipment List &amp; Usage'!$C$114*(IF('Equipment List &amp; Usage'!$AA29&gt;0,'Weekly Summary'!AB$128,0)+IF('Equipment List &amp; Usage'!$AB29&gt;0,'Weekly Summary'!AB$100+'Weekly Summary'!AB$101,0)),'Equipment List &amp; Usage'!$C$115*(('Weekly Summary'!AB$128*'Equipment List &amp; Usage'!$AA29)+('Weekly Summary'!AB$100*'Equipment List &amp; Usage'!$AB29*SelfQuarantine_Mild)+('Weekly Summary'!AB$101*'Equipment List &amp; Usage'!$AB29*SelfQuarantine_Moderate)))+IF('Equipment List &amp; Usage'!$F29="Yes",('Equipment List &amp; Usage'!$C$114*(IF('Equipment List &amp; Usage'!$AE29&gt;0,'Weekly Summary'!AB$134,0)+IF('Equipment List &amp; Usage'!$AF29&gt;0,'Weekly Summary'!AB$135))),'Equipment List &amp; Usage'!$C$115*(('Weekly Summary'!AB$134*'Equipment List &amp; Usage'!$AE29)+('Weekly Summary'!AB$135*'Equipment List &amp; Usage'!$AF29)))),0)</f>
        <v>0</v>
      </c>
      <c r="AI27" s="1374">
        <f ca="1">MAX(IF($F27="Yes",(
IF($F27="yes",MMULT(--('Equipment List &amp; Usage'!$J29:$N29&gt;0),--('Weekly Summary'!AC$112:AC$116))*'Equipment List &amp; Usage'!$C$114,MMULT(--('Equipment List &amp; Usage'!$J29:$N29),--('Weekly Summary'!AC$112:AC$116))*'Equipment List &amp; Usage'!$C$115)+IF('Equipment List &amp; Usage'!$F28="yes",'Equipment List &amp; Usage'!$C$114,'Equipment List &amp; Usage'!$C$115)*(('Weekly Summary'!AC$66*'Equipment List &amp; Usage'!$Q29)+('Weekly Summary'!AC$64*'Equipment List &amp; Usage'!$O29)+('Weekly Summary'!AC$65*'Equipment List &amp; Usage'!$P29)))+(IF('Equipment List &amp; Usage'!$F29="Yes",'Equipment List &amp; Usage'!$C$114*((('Weekly Summary'!AC$131*SelfQuarantine_Mild)+('Weekly Summary'!AC$100*SelfQuarantine_Mild)+('Weekly Summary'!AC$101*SelfQuarantine_Moderate))),'Equipment List &amp; Usage'!$C$115)*((('Weekly Summary'!AC$131*SelfQuarantine_Mild*'Equipment List &amp; Usage'!$W29)+('Weekly Summary'!AC$100*SelfQuarantine_Mild*'Equipment List &amp; Usage'!$X29)+('Weekly Summary'!AC$101*SelfQuarantine_Moderate*'Equipment List &amp; Usage'!$X29)))+IF('Equipment List &amp; Usage'!$F29="Yes",'Equipment List &amp; Usage'!$C$114*(IF('Equipment List &amp; Usage'!$AA29&gt;0,'Weekly Summary'!AC$128,0)+IF('Equipment List &amp; Usage'!$AB29&gt;0,'Weekly Summary'!AC$100+'Weekly Summary'!AC$101,0)),'Equipment List &amp; Usage'!$C$115*(('Weekly Summary'!AC$128*'Equipment List &amp; Usage'!$AA29)+('Weekly Summary'!AC$100*'Equipment List &amp; Usage'!$AB29*SelfQuarantine_Mild)+('Weekly Summary'!AC$101*'Equipment List &amp; Usage'!$AB29*SelfQuarantine_Moderate)))+IF('Equipment List &amp; Usage'!$F29="Yes",('Equipment List &amp; Usage'!$C$114*(IF('Equipment List &amp; Usage'!$AE29&gt;0,'Weekly Summary'!AC$134,0)+IF('Equipment List &amp; Usage'!$AF29&gt;0,'Weekly Summary'!AC$135))),'Equipment List &amp; Usage'!$C$115*(('Weekly Summary'!AC$134*'Equipment List &amp; Usage'!$AE29)+('Weekly Summary'!AC$135*'Equipment List &amp; Usage'!$AF29))))-SUM($I27:AH27),
IF($F27="yes",MMULT(--('Equipment List &amp; Usage'!$J29:$N29&gt;0),--('Weekly Summary'!AC$112:AC$116))*'Equipment List &amp; Usage'!$C$114,MMULT(--('Equipment List &amp; Usage'!$J29:$N29),--('Weekly Summary'!AC$112:AC$116))*'Equipment List &amp; Usage'!$C$115)+IF('Equipment List &amp; Usage'!$F28="yes",'Equipment List &amp; Usage'!$C$114,'Equipment List &amp; Usage'!$C$115)*(('Weekly Summary'!AC$66*'Equipment List &amp; Usage'!$Q29)+('Weekly Summary'!AC$64*'Equipment List &amp; Usage'!$O29)+('Weekly Summary'!AC$65*'Equipment List &amp; Usage'!$P29))+(IF('Equipment List &amp; Usage'!$F29="Yes",'Equipment List &amp; Usage'!$C$114*((('Weekly Summary'!AC$131*SelfQuarantine_Mild)+('Weekly Summary'!AC$100*SelfQuarantine_Mild)+('Weekly Summary'!AC$101*SelfQuarantine_Moderate))),'Equipment List &amp; Usage'!$C$115)*((('Weekly Summary'!AC$131*SelfQuarantine_Mild*'Equipment List &amp; Usage'!$W29)+('Weekly Summary'!AC$100*SelfQuarantine_Mild*'Equipment List &amp; Usage'!$X29)+('Weekly Summary'!AC$101*SelfQuarantine_Moderate*'Equipment List &amp; Usage'!$X29))))+IF('Equipment List &amp; Usage'!$F29="Yes",'Equipment List &amp; Usage'!$C$114*(IF('Equipment List &amp; Usage'!$AA29&gt;0,'Weekly Summary'!AC$128,0)+IF('Equipment List &amp; Usage'!$AB29&gt;0,'Weekly Summary'!AC$100+'Weekly Summary'!AC$101,0)),'Equipment List &amp; Usage'!$C$115*(('Weekly Summary'!AC$128*'Equipment List &amp; Usage'!$AA29)+('Weekly Summary'!AC$100*'Equipment List &amp; Usage'!$AB29*SelfQuarantine_Mild)+('Weekly Summary'!AC$101*'Equipment List &amp; Usage'!$AB29*SelfQuarantine_Moderate)))+IF('Equipment List &amp; Usage'!$F29="Yes",('Equipment List &amp; Usage'!$C$114*(IF('Equipment List &amp; Usage'!$AE29&gt;0,'Weekly Summary'!AC$134,0)+IF('Equipment List &amp; Usage'!$AF29&gt;0,'Weekly Summary'!AC$135))),'Equipment List &amp; Usage'!$C$115*(('Weekly Summary'!AC$134*'Equipment List &amp; Usage'!$AE29)+('Weekly Summary'!AC$135*'Equipment List &amp; Usage'!$AF29)))),0)</f>
        <v>0</v>
      </c>
      <c r="AJ27" s="1374">
        <f ca="1">MAX(IF($F27="Yes",(
IF($F27="yes",MMULT(--('Equipment List &amp; Usage'!$J29:$N29&gt;0),--('Weekly Summary'!AD$112:AD$116))*'Equipment List &amp; Usage'!$C$114,MMULT(--('Equipment List &amp; Usage'!$J29:$N29),--('Weekly Summary'!AD$112:AD$116))*'Equipment List &amp; Usage'!$C$115)+IF('Equipment List &amp; Usage'!$F28="yes",'Equipment List &amp; Usage'!$C$114,'Equipment List &amp; Usage'!$C$115)*(('Weekly Summary'!AD$66*'Equipment List &amp; Usage'!$Q29)+('Weekly Summary'!AD$64*'Equipment List &amp; Usage'!$O29)+('Weekly Summary'!AD$65*'Equipment List &amp; Usage'!$P29)))+(IF('Equipment List &amp; Usage'!$F29="Yes",'Equipment List &amp; Usage'!$C$114*((('Weekly Summary'!AD$131*SelfQuarantine_Mild)+('Weekly Summary'!AD$100*SelfQuarantine_Mild)+('Weekly Summary'!AD$101*SelfQuarantine_Moderate))),'Equipment List &amp; Usage'!$C$115)*((('Weekly Summary'!AD$131*SelfQuarantine_Mild*'Equipment List &amp; Usage'!$W29)+('Weekly Summary'!AD$100*SelfQuarantine_Mild*'Equipment List &amp; Usage'!$X29)+('Weekly Summary'!AD$101*SelfQuarantine_Moderate*'Equipment List &amp; Usage'!$X29)))+IF('Equipment List &amp; Usage'!$F29="Yes",'Equipment List &amp; Usage'!$C$114*(IF('Equipment List &amp; Usage'!$AA29&gt;0,'Weekly Summary'!AD$128,0)+IF('Equipment List &amp; Usage'!$AB29&gt;0,'Weekly Summary'!AD$100+'Weekly Summary'!AD$101,0)),'Equipment List &amp; Usage'!$C$115*(('Weekly Summary'!AD$128*'Equipment List &amp; Usage'!$AA29)+('Weekly Summary'!AD$100*'Equipment List &amp; Usage'!$AB29*SelfQuarantine_Mild)+('Weekly Summary'!AD$101*'Equipment List &amp; Usage'!$AB29*SelfQuarantine_Moderate)))+IF('Equipment List &amp; Usage'!$F29="Yes",('Equipment List &amp; Usage'!$C$114*(IF('Equipment List &amp; Usage'!$AE29&gt;0,'Weekly Summary'!AD$134,0)+IF('Equipment List &amp; Usage'!$AF29&gt;0,'Weekly Summary'!AD$135))),'Equipment List &amp; Usage'!$C$115*(('Weekly Summary'!AD$134*'Equipment List &amp; Usage'!$AE29)+('Weekly Summary'!AD$135*'Equipment List &amp; Usage'!$AF29))))-SUM($I27:AI27),
IF($F27="yes",MMULT(--('Equipment List &amp; Usage'!$J29:$N29&gt;0),--('Weekly Summary'!AD$112:AD$116))*'Equipment List &amp; Usage'!$C$114,MMULT(--('Equipment List &amp; Usage'!$J29:$N29),--('Weekly Summary'!AD$112:AD$116))*'Equipment List &amp; Usage'!$C$115)+IF('Equipment List &amp; Usage'!$F28="yes",'Equipment List &amp; Usage'!$C$114,'Equipment List &amp; Usage'!$C$115)*(('Weekly Summary'!AD$66*'Equipment List &amp; Usage'!$Q29)+('Weekly Summary'!AD$64*'Equipment List &amp; Usage'!$O29)+('Weekly Summary'!AD$65*'Equipment List &amp; Usage'!$P29))+(IF('Equipment List &amp; Usage'!$F29="Yes",'Equipment List &amp; Usage'!$C$114*((('Weekly Summary'!AD$131*SelfQuarantine_Mild)+('Weekly Summary'!AD$100*SelfQuarantine_Mild)+('Weekly Summary'!AD$101*SelfQuarantine_Moderate))),'Equipment List &amp; Usage'!$C$115)*((('Weekly Summary'!AD$131*SelfQuarantine_Mild*'Equipment List &amp; Usage'!$W29)+('Weekly Summary'!AD$100*SelfQuarantine_Mild*'Equipment List &amp; Usage'!$X29)+('Weekly Summary'!AD$101*SelfQuarantine_Moderate*'Equipment List &amp; Usage'!$X29))))+IF('Equipment List &amp; Usage'!$F29="Yes",'Equipment List &amp; Usage'!$C$114*(IF('Equipment List &amp; Usage'!$AA29&gt;0,'Weekly Summary'!AD$128,0)+IF('Equipment List &amp; Usage'!$AB29&gt;0,'Weekly Summary'!AD$100+'Weekly Summary'!AD$101,0)),'Equipment List &amp; Usage'!$C$115*(('Weekly Summary'!AD$128*'Equipment List &amp; Usage'!$AA29)+('Weekly Summary'!AD$100*'Equipment List &amp; Usage'!$AB29*SelfQuarantine_Mild)+('Weekly Summary'!AD$101*'Equipment List &amp; Usage'!$AB29*SelfQuarantine_Moderate)))+IF('Equipment List &amp; Usage'!$F29="Yes",('Equipment List &amp; Usage'!$C$114*(IF('Equipment List &amp; Usage'!$AE29&gt;0,'Weekly Summary'!AD$134,0)+IF('Equipment List &amp; Usage'!$AF29&gt;0,'Weekly Summary'!AD$135))),'Equipment List &amp; Usage'!$C$115*(('Weekly Summary'!AD$134*'Equipment List &amp; Usage'!$AE29)+('Weekly Summary'!AD$135*'Equipment List &amp; Usage'!$AF29)))),0)</f>
        <v>0</v>
      </c>
      <c r="AK27" s="1374">
        <f ca="1">MAX(IF($F27="Yes",(
IF($F27="yes",MMULT(--('Equipment List &amp; Usage'!$J29:$N29&gt;0),--('Weekly Summary'!AE$112:AE$116))*'Equipment List &amp; Usage'!$C$114,MMULT(--('Equipment List &amp; Usage'!$J29:$N29),--('Weekly Summary'!AE$112:AE$116))*'Equipment List &amp; Usage'!$C$115)+IF('Equipment List &amp; Usage'!$F28="yes",'Equipment List &amp; Usage'!$C$114,'Equipment List &amp; Usage'!$C$115)*(('Weekly Summary'!AE$66*'Equipment List &amp; Usage'!$Q29)+('Weekly Summary'!AE$64*'Equipment List &amp; Usage'!$O29)+('Weekly Summary'!AE$65*'Equipment List &amp; Usage'!$P29)))+(IF('Equipment List &amp; Usage'!$F29="Yes",'Equipment List &amp; Usage'!$C$114*((('Weekly Summary'!AE$131*SelfQuarantine_Mild)+('Weekly Summary'!AE$100*SelfQuarantine_Mild)+('Weekly Summary'!AE$101*SelfQuarantine_Moderate))),'Equipment List &amp; Usage'!$C$115)*((('Weekly Summary'!AE$131*SelfQuarantine_Mild*'Equipment List &amp; Usage'!$W29)+('Weekly Summary'!AE$100*SelfQuarantine_Mild*'Equipment List &amp; Usage'!$X29)+('Weekly Summary'!AE$101*SelfQuarantine_Moderate*'Equipment List &amp; Usage'!$X29)))+IF('Equipment List &amp; Usage'!$F29="Yes",'Equipment List &amp; Usage'!$C$114*(IF('Equipment List &amp; Usage'!$AA29&gt;0,'Weekly Summary'!AE$128,0)+IF('Equipment List &amp; Usage'!$AB29&gt;0,'Weekly Summary'!AE$100+'Weekly Summary'!AE$101,0)),'Equipment List &amp; Usage'!$C$115*(('Weekly Summary'!AE$128*'Equipment List &amp; Usage'!$AA29)+('Weekly Summary'!AE$100*'Equipment List &amp; Usage'!$AB29*SelfQuarantine_Mild)+('Weekly Summary'!AE$101*'Equipment List &amp; Usage'!$AB29*SelfQuarantine_Moderate)))+IF('Equipment List &amp; Usage'!$F29="Yes",('Equipment List &amp; Usage'!$C$114*(IF('Equipment List &amp; Usage'!$AE29&gt;0,'Weekly Summary'!AE$134,0)+IF('Equipment List &amp; Usage'!$AF29&gt;0,'Weekly Summary'!AE$135))),'Equipment List &amp; Usage'!$C$115*(('Weekly Summary'!AE$134*'Equipment List &amp; Usage'!$AE29)+('Weekly Summary'!AE$135*'Equipment List &amp; Usage'!$AF29))))-SUM($I27:AJ27),
IF($F27="yes",MMULT(--('Equipment List &amp; Usage'!$J29:$N29&gt;0),--('Weekly Summary'!AE$112:AE$116))*'Equipment List &amp; Usage'!$C$114,MMULT(--('Equipment List &amp; Usage'!$J29:$N29),--('Weekly Summary'!AE$112:AE$116))*'Equipment List &amp; Usage'!$C$115)+IF('Equipment List &amp; Usage'!$F28="yes",'Equipment List &amp; Usage'!$C$114,'Equipment List &amp; Usage'!$C$115)*(('Weekly Summary'!AE$66*'Equipment List &amp; Usage'!$Q29)+('Weekly Summary'!AE$64*'Equipment List &amp; Usage'!$O29)+('Weekly Summary'!AE$65*'Equipment List &amp; Usage'!$P29))+(IF('Equipment List &amp; Usage'!$F29="Yes",'Equipment List &amp; Usage'!$C$114*((('Weekly Summary'!AE$131*SelfQuarantine_Mild)+('Weekly Summary'!AE$100*SelfQuarantine_Mild)+('Weekly Summary'!AE$101*SelfQuarantine_Moderate))),'Equipment List &amp; Usage'!$C$115)*((('Weekly Summary'!AE$131*SelfQuarantine_Mild*'Equipment List &amp; Usage'!$W29)+('Weekly Summary'!AE$100*SelfQuarantine_Mild*'Equipment List &amp; Usage'!$X29)+('Weekly Summary'!AE$101*SelfQuarantine_Moderate*'Equipment List &amp; Usage'!$X29))))+IF('Equipment List &amp; Usage'!$F29="Yes",'Equipment List &amp; Usage'!$C$114*(IF('Equipment List &amp; Usage'!$AA29&gt;0,'Weekly Summary'!AE$128,0)+IF('Equipment List &amp; Usage'!$AB29&gt;0,'Weekly Summary'!AE$100+'Weekly Summary'!AE$101,0)),'Equipment List &amp; Usage'!$C$115*(('Weekly Summary'!AE$128*'Equipment List &amp; Usage'!$AA29)+('Weekly Summary'!AE$100*'Equipment List &amp; Usage'!$AB29*SelfQuarantine_Mild)+('Weekly Summary'!AE$101*'Equipment List &amp; Usage'!$AB29*SelfQuarantine_Moderate)))+IF('Equipment List &amp; Usage'!$F29="Yes",('Equipment List &amp; Usage'!$C$114*(IF('Equipment List &amp; Usage'!$AE29&gt;0,'Weekly Summary'!AE$134,0)+IF('Equipment List &amp; Usage'!$AF29&gt;0,'Weekly Summary'!AE$135))),'Equipment List &amp; Usage'!$C$115*(('Weekly Summary'!AE$134*'Equipment List &amp; Usage'!$AE29)+('Weekly Summary'!AE$135*'Equipment List &amp; Usage'!$AF29)))),0)</f>
        <v>0</v>
      </c>
      <c r="AL27" s="1374">
        <f ca="1">MAX(IF($F27="Yes",(
IF($F27="yes",MMULT(--('Equipment List &amp; Usage'!$J29:$N29&gt;0),--('Weekly Summary'!AF$112:AF$116))*'Equipment List &amp; Usage'!$C$114,MMULT(--('Equipment List &amp; Usage'!$J29:$N29),--('Weekly Summary'!AF$112:AF$116))*'Equipment List &amp; Usage'!$C$115)+IF('Equipment List &amp; Usage'!$F28="yes",'Equipment List &amp; Usage'!$C$114,'Equipment List &amp; Usage'!$C$115)*(('Weekly Summary'!AF$66*'Equipment List &amp; Usage'!$Q29)+('Weekly Summary'!AF$64*'Equipment List &amp; Usage'!$O29)+('Weekly Summary'!AF$65*'Equipment List &amp; Usage'!$P29)))+(IF('Equipment List &amp; Usage'!$F29="Yes",'Equipment List &amp; Usage'!$C$114*((('Weekly Summary'!AF$131*SelfQuarantine_Mild)+('Weekly Summary'!AF$100*SelfQuarantine_Mild)+('Weekly Summary'!AF$101*SelfQuarantine_Moderate))),'Equipment List &amp; Usage'!$C$115)*((('Weekly Summary'!AF$131*SelfQuarantine_Mild*'Equipment List &amp; Usage'!$W29)+('Weekly Summary'!AF$100*SelfQuarantine_Mild*'Equipment List &amp; Usage'!$X29)+('Weekly Summary'!AF$101*SelfQuarantine_Moderate*'Equipment List &amp; Usage'!$X29)))+IF('Equipment List &amp; Usage'!$F29="Yes",'Equipment List &amp; Usage'!$C$114*(IF('Equipment List &amp; Usage'!$AA29&gt;0,'Weekly Summary'!AF$128,0)+IF('Equipment List &amp; Usage'!$AB29&gt;0,'Weekly Summary'!AF$100+'Weekly Summary'!AF$101,0)),'Equipment List &amp; Usage'!$C$115*(('Weekly Summary'!AF$128*'Equipment List &amp; Usage'!$AA29)+('Weekly Summary'!AF$100*'Equipment List &amp; Usage'!$AB29*SelfQuarantine_Mild)+('Weekly Summary'!AF$101*'Equipment List &amp; Usage'!$AB29*SelfQuarantine_Moderate)))+IF('Equipment List &amp; Usage'!$F29="Yes",('Equipment List &amp; Usage'!$C$114*(IF('Equipment List &amp; Usage'!$AE29&gt;0,'Weekly Summary'!AF$134,0)+IF('Equipment List &amp; Usage'!$AF29&gt;0,'Weekly Summary'!AF$135))),'Equipment List &amp; Usage'!$C$115*(('Weekly Summary'!AF$134*'Equipment List &amp; Usage'!$AE29)+('Weekly Summary'!AF$135*'Equipment List &amp; Usage'!$AF29))))-SUM($I27:AK27),
IF($F27="yes",MMULT(--('Equipment List &amp; Usage'!$J29:$N29&gt;0),--('Weekly Summary'!AF$112:AF$116))*'Equipment List &amp; Usage'!$C$114,MMULT(--('Equipment List &amp; Usage'!$J29:$N29),--('Weekly Summary'!AF$112:AF$116))*'Equipment List &amp; Usage'!$C$115)+IF('Equipment List &amp; Usage'!$F28="yes",'Equipment List &amp; Usage'!$C$114,'Equipment List &amp; Usage'!$C$115)*(('Weekly Summary'!AF$66*'Equipment List &amp; Usage'!$Q29)+('Weekly Summary'!AF$64*'Equipment List &amp; Usage'!$O29)+('Weekly Summary'!AF$65*'Equipment List &amp; Usage'!$P29))+(IF('Equipment List &amp; Usage'!$F29="Yes",'Equipment List &amp; Usage'!$C$114*((('Weekly Summary'!AF$131*SelfQuarantine_Mild)+('Weekly Summary'!AF$100*SelfQuarantine_Mild)+('Weekly Summary'!AF$101*SelfQuarantine_Moderate))),'Equipment List &amp; Usage'!$C$115)*((('Weekly Summary'!AF$131*SelfQuarantine_Mild*'Equipment List &amp; Usage'!$W29)+('Weekly Summary'!AF$100*SelfQuarantine_Mild*'Equipment List &amp; Usage'!$X29)+('Weekly Summary'!AF$101*SelfQuarantine_Moderate*'Equipment List &amp; Usage'!$X29))))+IF('Equipment List &amp; Usage'!$F29="Yes",'Equipment List &amp; Usage'!$C$114*(IF('Equipment List &amp; Usage'!$AA29&gt;0,'Weekly Summary'!AF$128,0)+IF('Equipment List &amp; Usage'!$AB29&gt;0,'Weekly Summary'!AF$100+'Weekly Summary'!AF$101,0)),'Equipment List &amp; Usage'!$C$115*(('Weekly Summary'!AF$128*'Equipment List &amp; Usage'!$AA29)+('Weekly Summary'!AF$100*'Equipment List &amp; Usage'!$AB29*SelfQuarantine_Mild)+('Weekly Summary'!AF$101*'Equipment List &amp; Usage'!$AB29*SelfQuarantine_Moderate)))+IF('Equipment List &amp; Usage'!$F29="Yes",('Equipment List &amp; Usage'!$C$114*(IF('Equipment List &amp; Usage'!$AE29&gt;0,'Weekly Summary'!AF$134,0)+IF('Equipment List &amp; Usage'!$AF29&gt;0,'Weekly Summary'!AF$135))),'Equipment List &amp; Usage'!$C$115*(('Weekly Summary'!AF$134*'Equipment List &amp; Usage'!$AE29)+('Weekly Summary'!AF$135*'Equipment List &amp; Usage'!$AF29)))),0)</f>
        <v>0</v>
      </c>
      <c r="AM27" s="1374">
        <f ca="1">MAX(IF($F27="Yes",(
IF($F27="yes",MMULT(--('Equipment List &amp; Usage'!$J29:$N29&gt;0),--('Weekly Summary'!AG$112:AG$116))*'Equipment List &amp; Usage'!$C$114,MMULT(--('Equipment List &amp; Usage'!$J29:$N29),--('Weekly Summary'!AG$112:AG$116))*'Equipment List &amp; Usage'!$C$115)+IF('Equipment List &amp; Usage'!$F28="yes",'Equipment List &amp; Usage'!$C$114,'Equipment List &amp; Usage'!$C$115)*(('Weekly Summary'!AG$66*'Equipment List &amp; Usage'!$Q29)+('Weekly Summary'!AG$64*'Equipment List &amp; Usage'!$O29)+('Weekly Summary'!AG$65*'Equipment List &amp; Usage'!$P29)))+(IF('Equipment List &amp; Usage'!$F29="Yes",'Equipment List &amp; Usage'!$C$114*((('Weekly Summary'!AG$131*SelfQuarantine_Mild)+('Weekly Summary'!AG$100*SelfQuarantine_Mild)+('Weekly Summary'!AG$101*SelfQuarantine_Moderate))),'Equipment List &amp; Usage'!$C$115)*((('Weekly Summary'!AG$131*SelfQuarantine_Mild*'Equipment List &amp; Usage'!$W29)+('Weekly Summary'!AG$100*SelfQuarantine_Mild*'Equipment List &amp; Usage'!$X29)+('Weekly Summary'!AG$101*SelfQuarantine_Moderate*'Equipment List &amp; Usage'!$X29)))+IF('Equipment List &amp; Usage'!$F29="Yes",'Equipment List &amp; Usage'!$C$114*(IF('Equipment List &amp; Usage'!$AA29&gt;0,'Weekly Summary'!AG$128,0)+IF('Equipment List &amp; Usage'!$AB29&gt;0,'Weekly Summary'!AG$100+'Weekly Summary'!AG$101,0)),'Equipment List &amp; Usage'!$C$115*(('Weekly Summary'!AG$128*'Equipment List &amp; Usage'!$AA29)+('Weekly Summary'!AG$100*'Equipment List &amp; Usage'!$AB29*SelfQuarantine_Mild)+('Weekly Summary'!AG$101*'Equipment List &amp; Usage'!$AB29*SelfQuarantine_Moderate)))+IF('Equipment List &amp; Usage'!$F29="Yes",('Equipment List &amp; Usage'!$C$114*(IF('Equipment List &amp; Usage'!$AE29&gt;0,'Weekly Summary'!AG$134,0)+IF('Equipment List &amp; Usage'!$AF29&gt;0,'Weekly Summary'!AG$135))),'Equipment List &amp; Usage'!$C$115*(('Weekly Summary'!AG$134*'Equipment List &amp; Usage'!$AE29)+('Weekly Summary'!AG$135*'Equipment List &amp; Usage'!$AF29))))-SUM($I27:AL27),
IF($F27="yes",MMULT(--('Equipment List &amp; Usage'!$J29:$N29&gt;0),--('Weekly Summary'!AG$112:AG$116))*'Equipment List &amp; Usage'!$C$114,MMULT(--('Equipment List &amp; Usage'!$J29:$N29),--('Weekly Summary'!AG$112:AG$116))*'Equipment List &amp; Usage'!$C$115)+IF('Equipment List &amp; Usage'!$F28="yes",'Equipment List &amp; Usage'!$C$114,'Equipment List &amp; Usage'!$C$115)*(('Weekly Summary'!AG$66*'Equipment List &amp; Usage'!$Q29)+('Weekly Summary'!AG$64*'Equipment List &amp; Usage'!$O29)+('Weekly Summary'!AG$65*'Equipment List &amp; Usage'!$P29))+(IF('Equipment List &amp; Usage'!$F29="Yes",'Equipment List &amp; Usage'!$C$114*((('Weekly Summary'!AG$131*SelfQuarantine_Mild)+('Weekly Summary'!AG$100*SelfQuarantine_Mild)+('Weekly Summary'!AG$101*SelfQuarantine_Moderate))),'Equipment List &amp; Usage'!$C$115)*((('Weekly Summary'!AG$131*SelfQuarantine_Mild*'Equipment List &amp; Usage'!$W29)+('Weekly Summary'!AG$100*SelfQuarantine_Mild*'Equipment List &amp; Usage'!$X29)+('Weekly Summary'!AG$101*SelfQuarantine_Moderate*'Equipment List &amp; Usage'!$X29))))+IF('Equipment List &amp; Usage'!$F29="Yes",'Equipment List &amp; Usage'!$C$114*(IF('Equipment List &amp; Usage'!$AA29&gt;0,'Weekly Summary'!AG$128,0)+IF('Equipment List &amp; Usage'!$AB29&gt;0,'Weekly Summary'!AG$100+'Weekly Summary'!AG$101,0)),'Equipment List &amp; Usage'!$C$115*(('Weekly Summary'!AG$128*'Equipment List &amp; Usage'!$AA29)+('Weekly Summary'!AG$100*'Equipment List &amp; Usage'!$AB29*SelfQuarantine_Mild)+('Weekly Summary'!AG$101*'Equipment List &amp; Usage'!$AB29*SelfQuarantine_Moderate)))+IF('Equipment List &amp; Usage'!$F29="Yes",('Equipment List &amp; Usage'!$C$114*(IF('Equipment List &amp; Usage'!$AE29&gt;0,'Weekly Summary'!AG$134,0)+IF('Equipment List &amp; Usage'!$AF29&gt;0,'Weekly Summary'!AG$135))),'Equipment List &amp; Usage'!$C$115*(('Weekly Summary'!AG$134*'Equipment List &amp; Usage'!$AE29)+('Weekly Summary'!AG$135*'Equipment List &amp; Usage'!$AF29)))),0)</f>
        <v>0</v>
      </c>
      <c r="AN27" s="1374">
        <f ca="1">MAX(IF($F27="Yes",(
IF($F27="yes",MMULT(--('Equipment List &amp; Usage'!$J29:$N29&gt;0),--('Weekly Summary'!AH$112:AH$116))*'Equipment List &amp; Usage'!$C$114,MMULT(--('Equipment List &amp; Usage'!$J29:$N29),--('Weekly Summary'!AH$112:AH$116))*'Equipment List &amp; Usage'!$C$115)+IF('Equipment List &amp; Usage'!$F28="yes",'Equipment List &amp; Usage'!$C$114,'Equipment List &amp; Usage'!$C$115)*(('Weekly Summary'!AH$66*'Equipment List &amp; Usage'!$Q29)+('Weekly Summary'!AH$64*'Equipment List &amp; Usage'!$O29)+('Weekly Summary'!AH$65*'Equipment List &amp; Usage'!$P29)))+(IF('Equipment List &amp; Usage'!$F29="Yes",'Equipment List &amp; Usage'!$C$114*((('Weekly Summary'!AH$131*SelfQuarantine_Mild)+('Weekly Summary'!AH$100*SelfQuarantine_Mild)+('Weekly Summary'!AH$101*SelfQuarantine_Moderate))),'Equipment List &amp; Usage'!$C$115)*((('Weekly Summary'!AH$131*SelfQuarantine_Mild*'Equipment List &amp; Usage'!$W29)+('Weekly Summary'!AH$100*SelfQuarantine_Mild*'Equipment List &amp; Usage'!$X29)+('Weekly Summary'!AH$101*SelfQuarantine_Moderate*'Equipment List &amp; Usage'!$X29)))+IF('Equipment List &amp; Usage'!$F29="Yes",'Equipment List &amp; Usage'!$C$114*(IF('Equipment List &amp; Usage'!$AA29&gt;0,'Weekly Summary'!AH$128,0)+IF('Equipment List &amp; Usage'!$AB29&gt;0,'Weekly Summary'!AH$100+'Weekly Summary'!AH$101,0)),'Equipment List &amp; Usage'!$C$115*(('Weekly Summary'!AH$128*'Equipment List &amp; Usage'!$AA29)+('Weekly Summary'!AH$100*'Equipment List &amp; Usage'!$AB29*SelfQuarantine_Mild)+('Weekly Summary'!AH$101*'Equipment List &amp; Usage'!$AB29*SelfQuarantine_Moderate)))+IF('Equipment List &amp; Usage'!$F29="Yes",('Equipment List &amp; Usage'!$C$114*(IF('Equipment List &amp; Usage'!$AE29&gt;0,'Weekly Summary'!AH$134,0)+IF('Equipment List &amp; Usage'!$AF29&gt;0,'Weekly Summary'!AH$135))),'Equipment List &amp; Usage'!$C$115*(('Weekly Summary'!AH$134*'Equipment List &amp; Usage'!$AE29)+('Weekly Summary'!AH$135*'Equipment List &amp; Usage'!$AF29))))-SUM($I27:AM27),
IF($F27="yes",MMULT(--('Equipment List &amp; Usage'!$J29:$N29&gt;0),--('Weekly Summary'!AH$112:AH$116))*'Equipment List &amp; Usage'!$C$114,MMULT(--('Equipment List &amp; Usage'!$J29:$N29),--('Weekly Summary'!AH$112:AH$116))*'Equipment List &amp; Usage'!$C$115)+IF('Equipment List &amp; Usage'!$F28="yes",'Equipment List &amp; Usage'!$C$114,'Equipment List &amp; Usage'!$C$115)*(('Weekly Summary'!AH$66*'Equipment List &amp; Usage'!$Q29)+('Weekly Summary'!AH$64*'Equipment List &amp; Usage'!$O29)+('Weekly Summary'!AH$65*'Equipment List &amp; Usage'!$P29))+(IF('Equipment List &amp; Usage'!$F29="Yes",'Equipment List &amp; Usage'!$C$114*((('Weekly Summary'!AH$131*SelfQuarantine_Mild)+('Weekly Summary'!AH$100*SelfQuarantine_Mild)+('Weekly Summary'!AH$101*SelfQuarantine_Moderate))),'Equipment List &amp; Usage'!$C$115)*((('Weekly Summary'!AH$131*SelfQuarantine_Mild*'Equipment List &amp; Usage'!$W29)+('Weekly Summary'!AH$100*SelfQuarantine_Mild*'Equipment List &amp; Usage'!$X29)+('Weekly Summary'!AH$101*SelfQuarantine_Moderate*'Equipment List &amp; Usage'!$X29))))+IF('Equipment List &amp; Usage'!$F29="Yes",'Equipment List &amp; Usage'!$C$114*(IF('Equipment List &amp; Usage'!$AA29&gt;0,'Weekly Summary'!AH$128,0)+IF('Equipment List &amp; Usage'!$AB29&gt;0,'Weekly Summary'!AH$100+'Weekly Summary'!AH$101,0)),'Equipment List &amp; Usage'!$C$115*(('Weekly Summary'!AH$128*'Equipment List &amp; Usage'!$AA29)+('Weekly Summary'!AH$100*'Equipment List &amp; Usage'!$AB29*SelfQuarantine_Mild)+('Weekly Summary'!AH$101*'Equipment List &amp; Usage'!$AB29*SelfQuarantine_Moderate)))+IF('Equipment List &amp; Usage'!$F29="Yes",('Equipment List &amp; Usage'!$C$114*(IF('Equipment List &amp; Usage'!$AE29&gt;0,'Weekly Summary'!AH$134,0)+IF('Equipment List &amp; Usage'!$AF29&gt;0,'Weekly Summary'!AH$135))),'Equipment List &amp; Usage'!$C$115*(('Weekly Summary'!AH$134*'Equipment List &amp; Usage'!$AE29)+('Weekly Summary'!AH$135*'Equipment List &amp; Usage'!$AF29)))),0)</f>
        <v>0</v>
      </c>
      <c r="AO27" s="1374">
        <f ca="1">MAX(IF($F27="Yes",(
IF($F27="yes",MMULT(--('Equipment List &amp; Usage'!$J29:$N29&gt;0),--('Weekly Summary'!AI$112:AI$116))*'Equipment List &amp; Usage'!$C$114,MMULT(--('Equipment List &amp; Usage'!$J29:$N29),--('Weekly Summary'!AI$112:AI$116))*'Equipment List &amp; Usage'!$C$115)+IF('Equipment List &amp; Usage'!$F28="yes",'Equipment List &amp; Usage'!$C$114,'Equipment List &amp; Usage'!$C$115)*(('Weekly Summary'!AI$66*'Equipment List &amp; Usage'!$Q29)+('Weekly Summary'!AI$64*'Equipment List &amp; Usage'!$O29)+('Weekly Summary'!AI$65*'Equipment List &amp; Usage'!$P29)))+(IF('Equipment List &amp; Usage'!$F29="Yes",'Equipment List &amp; Usage'!$C$114*((('Weekly Summary'!AI$131*SelfQuarantine_Mild)+('Weekly Summary'!AI$100*SelfQuarantine_Mild)+('Weekly Summary'!AI$101*SelfQuarantine_Moderate))),'Equipment List &amp; Usage'!$C$115)*((('Weekly Summary'!AI$131*SelfQuarantine_Mild*'Equipment List &amp; Usage'!$W29)+('Weekly Summary'!AI$100*SelfQuarantine_Mild*'Equipment List &amp; Usage'!$X29)+('Weekly Summary'!AI$101*SelfQuarantine_Moderate*'Equipment List &amp; Usage'!$X29)))+IF('Equipment List &amp; Usage'!$F29="Yes",'Equipment List &amp; Usage'!$C$114*(IF('Equipment List &amp; Usage'!$AA29&gt;0,'Weekly Summary'!AI$128,0)+IF('Equipment List &amp; Usage'!$AB29&gt;0,'Weekly Summary'!AI$100+'Weekly Summary'!AI$101,0)),'Equipment List &amp; Usage'!$C$115*(('Weekly Summary'!AI$128*'Equipment List &amp; Usage'!$AA29)+('Weekly Summary'!AI$100*'Equipment List &amp; Usage'!$AB29*SelfQuarantine_Mild)+('Weekly Summary'!AI$101*'Equipment List &amp; Usage'!$AB29*SelfQuarantine_Moderate)))+IF('Equipment List &amp; Usage'!$F29="Yes",('Equipment List &amp; Usage'!$C$114*(IF('Equipment List &amp; Usage'!$AE29&gt;0,'Weekly Summary'!AI$134,0)+IF('Equipment List &amp; Usage'!$AF29&gt;0,'Weekly Summary'!AI$135))),'Equipment List &amp; Usage'!$C$115*(('Weekly Summary'!AI$134*'Equipment List &amp; Usage'!$AE29)+('Weekly Summary'!AI$135*'Equipment List &amp; Usage'!$AF29))))-SUM($I27:AN27),
IF($F27="yes",MMULT(--('Equipment List &amp; Usage'!$J29:$N29&gt;0),--('Weekly Summary'!AI$112:AI$116))*'Equipment List &amp; Usage'!$C$114,MMULT(--('Equipment List &amp; Usage'!$J29:$N29),--('Weekly Summary'!AI$112:AI$116))*'Equipment List &amp; Usage'!$C$115)+IF('Equipment List &amp; Usage'!$F28="yes",'Equipment List &amp; Usage'!$C$114,'Equipment List &amp; Usage'!$C$115)*(('Weekly Summary'!AI$66*'Equipment List &amp; Usage'!$Q29)+('Weekly Summary'!AI$64*'Equipment List &amp; Usage'!$O29)+('Weekly Summary'!AI$65*'Equipment List &amp; Usage'!$P29))+(IF('Equipment List &amp; Usage'!$F29="Yes",'Equipment List &amp; Usage'!$C$114*((('Weekly Summary'!AI$131*SelfQuarantine_Mild)+('Weekly Summary'!AI$100*SelfQuarantine_Mild)+('Weekly Summary'!AI$101*SelfQuarantine_Moderate))),'Equipment List &amp; Usage'!$C$115)*((('Weekly Summary'!AI$131*SelfQuarantine_Mild*'Equipment List &amp; Usage'!$W29)+('Weekly Summary'!AI$100*SelfQuarantine_Mild*'Equipment List &amp; Usage'!$X29)+('Weekly Summary'!AI$101*SelfQuarantine_Moderate*'Equipment List &amp; Usage'!$X29))))+IF('Equipment List &amp; Usage'!$F29="Yes",'Equipment List &amp; Usage'!$C$114*(IF('Equipment List &amp; Usage'!$AA29&gt;0,'Weekly Summary'!AI$128,0)+IF('Equipment List &amp; Usage'!$AB29&gt;0,'Weekly Summary'!AI$100+'Weekly Summary'!AI$101,0)),'Equipment List &amp; Usage'!$C$115*(('Weekly Summary'!AI$128*'Equipment List &amp; Usage'!$AA29)+('Weekly Summary'!AI$100*'Equipment List &amp; Usage'!$AB29*SelfQuarantine_Mild)+('Weekly Summary'!AI$101*'Equipment List &amp; Usage'!$AB29*SelfQuarantine_Moderate)))+IF('Equipment List &amp; Usage'!$F29="Yes",('Equipment List &amp; Usage'!$C$114*(IF('Equipment List &amp; Usage'!$AE29&gt;0,'Weekly Summary'!AI$134,0)+IF('Equipment List &amp; Usage'!$AF29&gt;0,'Weekly Summary'!AI$135))),'Equipment List &amp; Usage'!$C$115*(('Weekly Summary'!AI$134*'Equipment List &amp; Usage'!$AE29)+('Weekly Summary'!AI$135*'Equipment List &amp; Usage'!$AF29)))),0)</f>
        <v>0</v>
      </c>
      <c r="AP27" s="1374">
        <f ca="1">MAX(IF($F27="Yes",(
IF($F27="yes",MMULT(--('Equipment List &amp; Usage'!$J29:$N29&gt;0),--('Weekly Summary'!AJ$112:AJ$116))*'Equipment List &amp; Usage'!$C$114,MMULT(--('Equipment List &amp; Usage'!$J29:$N29),--('Weekly Summary'!AJ$112:AJ$116))*'Equipment List &amp; Usage'!$C$115)+IF('Equipment List &amp; Usage'!$F28="yes",'Equipment List &amp; Usage'!$C$114,'Equipment List &amp; Usage'!$C$115)*(('Weekly Summary'!AJ$66*'Equipment List &amp; Usage'!$Q29)+('Weekly Summary'!AJ$64*'Equipment List &amp; Usage'!$O29)+('Weekly Summary'!AJ$65*'Equipment List &amp; Usage'!$P29)))+(IF('Equipment List &amp; Usage'!$F29="Yes",'Equipment List &amp; Usage'!$C$114*((('Weekly Summary'!AJ$131*SelfQuarantine_Mild)+('Weekly Summary'!AJ$100*SelfQuarantine_Mild)+('Weekly Summary'!AJ$101*SelfQuarantine_Moderate))),'Equipment List &amp; Usage'!$C$115)*((('Weekly Summary'!AJ$131*SelfQuarantine_Mild*'Equipment List &amp; Usage'!$W29)+('Weekly Summary'!AJ$100*SelfQuarantine_Mild*'Equipment List &amp; Usage'!$X29)+('Weekly Summary'!AJ$101*SelfQuarantine_Moderate*'Equipment List &amp; Usage'!$X29)))+IF('Equipment List &amp; Usage'!$F29="Yes",'Equipment List &amp; Usage'!$C$114*(IF('Equipment List &amp; Usage'!$AA29&gt;0,'Weekly Summary'!AJ$128,0)+IF('Equipment List &amp; Usage'!$AB29&gt;0,'Weekly Summary'!AJ$100+'Weekly Summary'!AJ$101,0)),'Equipment List &amp; Usage'!$C$115*(('Weekly Summary'!AJ$128*'Equipment List &amp; Usage'!$AA29)+('Weekly Summary'!AJ$100*'Equipment List &amp; Usage'!$AB29*SelfQuarantine_Mild)+('Weekly Summary'!AJ$101*'Equipment List &amp; Usage'!$AB29*SelfQuarantine_Moderate)))+IF('Equipment List &amp; Usage'!$F29="Yes",('Equipment List &amp; Usage'!$C$114*(IF('Equipment List &amp; Usage'!$AE29&gt;0,'Weekly Summary'!AJ$134,0)+IF('Equipment List &amp; Usage'!$AF29&gt;0,'Weekly Summary'!AJ$135))),'Equipment List &amp; Usage'!$C$115*(('Weekly Summary'!AJ$134*'Equipment List &amp; Usage'!$AE29)+('Weekly Summary'!AJ$135*'Equipment List &amp; Usage'!$AF29))))-SUM($I27:AO27),
IF($F27="yes",MMULT(--('Equipment List &amp; Usage'!$J29:$N29&gt;0),--('Weekly Summary'!AJ$112:AJ$116))*'Equipment List &amp; Usage'!$C$114,MMULT(--('Equipment List &amp; Usage'!$J29:$N29),--('Weekly Summary'!AJ$112:AJ$116))*'Equipment List &amp; Usage'!$C$115)+IF('Equipment List &amp; Usage'!$F28="yes",'Equipment List &amp; Usage'!$C$114,'Equipment List &amp; Usage'!$C$115)*(('Weekly Summary'!AJ$66*'Equipment List &amp; Usage'!$Q29)+('Weekly Summary'!AJ$64*'Equipment List &amp; Usage'!$O29)+('Weekly Summary'!AJ$65*'Equipment List &amp; Usage'!$P29))+(IF('Equipment List &amp; Usage'!$F29="Yes",'Equipment List &amp; Usage'!$C$114*((('Weekly Summary'!AJ$131*SelfQuarantine_Mild)+('Weekly Summary'!AJ$100*SelfQuarantine_Mild)+('Weekly Summary'!AJ$101*SelfQuarantine_Moderate))),'Equipment List &amp; Usage'!$C$115)*((('Weekly Summary'!AJ$131*SelfQuarantine_Mild*'Equipment List &amp; Usage'!$W29)+('Weekly Summary'!AJ$100*SelfQuarantine_Mild*'Equipment List &amp; Usage'!$X29)+('Weekly Summary'!AJ$101*SelfQuarantine_Moderate*'Equipment List &amp; Usage'!$X29))))+IF('Equipment List &amp; Usage'!$F29="Yes",'Equipment List &amp; Usage'!$C$114*(IF('Equipment List &amp; Usage'!$AA29&gt;0,'Weekly Summary'!AJ$128,0)+IF('Equipment List &amp; Usage'!$AB29&gt;0,'Weekly Summary'!AJ$100+'Weekly Summary'!AJ$101,0)),'Equipment List &amp; Usage'!$C$115*(('Weekly Summary'!AJ$128*'Equipment List &amp; Usage'!$AA29)+('Weekly Summary'!AJ$100*'Equipment List &amp; Usage'!$AB29*SelfQuarantine_Mild)+('Weekly Summary'!AJ$101*'Equipment List &amp; Usage'!$AB29*SelfQuarantine_Moderate)))+IF('Equipment List &amp; Usage'!$F29="Yes",('Equipment List &amp; Usage'!$C$114*(IF('Equipment List &amp; Usage'!$AE29&gt;0,'Weekly Summary'!AJ$134,0)+IF('Equipment List &amp; Usage'!$AF29&gt;0,'Weekly Summary'!AJ$135))),'Equipment List &amp; Usage'!$C$115*(('Weekly Summary'!AJ$134*'Equipment List &amp; Usage'!$AE29)+('Weekly Summary'!AJ$135*'Equipment List &amp; Usage'!$AF29)))),0)</f>
        <v>0</v>
      </c>
      <c r="AQ27" s="1374">
        <f ca="1">MAX(IF($F27="Yes",(
IF($F27="yes",MMULT(--('Equipment List &amp; Usage'!$J29:$N29&gt;0),--('Weekly Summary'!AK$112:AK$116))*'Equipment List &amp; Usage'!$C$114,MMULT(--('Equipment List &amp; Usage'!$J29:$N29),--('Weekly Summary'!AK$112:AK$116))*'Equipment List &amp; Usage'!$C$115)+IF('Equipment List &amp; Usage'!$F28="yes",'Equipment List &amp; Usage'!$C$114,'Equipment List &amp; Usage'!$C$115)*(('Weekly Summary'!AK$66*'Equipment List &amp; Usage'!$Q29)+('Weekly Summary'!AK$64*'Equipment List &amp; Usage'!$O29)+('Weekly Summary'!AK$65*'Equipment List &amp; Usage'!$P29)))+(IF('Equipment List &amp; Usage'!$F29="Yes",'Equipment List &amp; Usage'!$C$114*((('Weekly Summary'!AK$131*SelfQuarantine_Mild)+('Weekly Summary'!AK$100*SelfQuarantine_Mild)+('Weekly Summary'!AK$101*SelfQuarantine_Moderate))),'Equipment List &amp; Usage'!$C$115)*((('Weekly Summary'!AK$131*SelfQuarantine_Mild*'Equipment List &amp; Usage'!$W29)+('Weekly Summary'!AK$100*SelfQuarantine_Mild*'Equipment List &amp; Usage'!$X29)+('Weekly Summary'!AK$101*SelfQuarantine_Moderate*'Equipment List &amp; Usage'!$X29)))+IF('Equipment List &amp; Usage'!$F29="Yes",'Equipment List &amp; Usage'!$C$114*(IF('Equipment List &amp; Usage'!$AA29&gt;0,'Weekly Summary'!AK$128,0)+IF('Equipment List &amp; Usage'!$AB29&gt;0,'Weekly Summary'!AK$100+'Weekly Summary'!AK$101,0)),'Equipment List &amp; Usage'!$C$115*(('Weekly Summary'!AK$128*'Equipment List &amp; Usage'!$AA29)+('Weekly Summary'!AK$100*'Equipment List &amp; Usage'!$AB29*SelfQuarantine_Mild)+('Weekly Summary'!AK$101*'Equipment List &amp; Usage'!$AB29*SelfQuarantine_Moderate)))+IF('Equipment List &amp; Usage'!$F29="Yes",('Equipment List &amp; Usage'!$C$114*(IF('Equipment List &amp; Usage'!$AE29&gt;0,'Weekly Summary'!AK$134,0)+IF('Equipment List &amp; Usage'!$AF29&gt;0,'Weekly Summary'!AK$135))),'Equipment List &amp; Usage'!$C$115*(('Weekly Summary'!AK$134*'Equipment List &amp; Usage'!$AE29)+('Weekly Summary'!AK$135*'Equipment List &amp; Usage'!$AF29))))-SUM($I27:AP27),
IF($F27="yes",MMULT(--('Equipment List &amp; Usage'!$J29:$N29&gt;0),--('Weekly Summary'!AK$112:AK$116))*'Equipment List &amp; Usage'!$C$114,MMULT(--('Equipment List &amp; Usage'!$J29:$N29),--('Weekly Summary'!AK$112:AK$116))*'Equipment List &amp; Usage'!$C$115)+IF('Equipment List &amp; Usage'!$F28="yes",'Equipment List &amp; Usage'!$C$114,'Equipment List &amp; Usage'!$C$115)*(('Weekly Summary'!AK$66*'Equipment List &amp; Usage'!$Q29)+('Weekly Summary'!AK$64*'Equipment List &amp; Usage'!$O29)+('Weekly Summary'!AK$65*'Equipment List &amp; Usage'!$P29))+(IF('Equipment List &amp; Usage'!$F29="Yes",'Equipment List &amp; Usage'!$C$114*((('Weekly Summary'!AK$131*SelfQuarantine_Mild)+('Weekly Summary'!AK$100*SelfQuarantine_Mild)+('Weekly Summary'!AK$101*SelfQuarantine_Moderate))),'Equipment List &amp; Usage'!$C$115)*((('Weekly Summary'!AK$131*SelfQuarantine_Mild*'Equipment List &amp; Usage'!$W29)+('Weekly Summary'!AK$100*SelfQuarantine_Mild*'Equipment List &amp; Usage'!$X29)+('Weekly Summary'!AK$101*SelfQuarantine_Moderate*'Equipment List &amp; Usage'!$X29))))+IF('Equipment List &amp; Usage'!$F29="Yes",'Equipment List &amp; Usage'!$C$114*(IF('Equipment List &amp; Usage'!$AA29&gt;0,'Weekly Summary'!AK$128,0)+IF('Equipment List &amp; Usage'!$AB29&gt;0,'Weekly Summary'!AK$100+'Weekly Summary'!AK$101,0)),'Equipment List &amp; Usage'!$C$115*(('Weekly Summary'!AK$128*'Equipment List &amp; Usage'!$AA29)+('Weekly Summary'!AK$100*'Equipment List &amp; Usage'!$AB29*SelfQuarantine_Mild)+('Weekly Summary'!AK$101*'Equipment List &amp; Usage'!$AB29*SelfQuarantine_Moderate)))+IF('Equipment List &amp; Usage'!$F29="Yes",('Equipment List &amp; Usage'!$C$114*(IF('Equipment List &amp; Usage'!$AE29&gt;0,'Weekly Summary'!AK$134,0)+IF('Equipment List &amp; Usage'!$AF29&gt;0,'Weekly Summary'!AK$135))),'Equipment List &amp; Usage'!$C$115*(('Weekly Summary'!AK$134*'Equipment List &amp; Usage'!$AE29)+('Weekly Summary'!AK$135*'Equipment List &amp; Usage'!$AF29)))),0)</f>
        <v>0</v>
      </c>
      <c r="AR27" s="1374">
        <f ca="1">MAX(IF($F27="Yes",(
IF($F27="yes",MMULT(--('Equipment List &amp; Usage'!$J29:$N29&gt;0),--('Weekly Summary'!AL$112:AL$116))*'Equipment List &amp; Usage'!$C$114,MMULT(--('Equipment List &amp; Usage'!$J29:$N29),--('Weekly Summary'!AL$112:AL$116))*'Equipment List &amp; Usage'!$C$115)+IF('Equipment List &amp; Usage'!$F28="yes",'Equipment List &amp; Usage'!$C$114,'Equipment List &amp; Usage'!$C$115)*(('Weekly Summary'!AL$66*'Equipment List &amp; Usage'!$Q29)+('Weekly Summary'!AL$64*'Equipment List &amp; Usage'!$O29)+('Weekly Summary'!AL$65*'Equipment List &amp; Usage'!$P29)))+(IF('Equipment List &amp; Usage'!$F29="Yes",'Equipment List &amp; Usage'!$C$114*((('Weekly Summary'!AL$131*SelfQuarantine_Mild)+('Weekly Summary'!AL$100*SelfQuarantine_Mild)+('Weekly Summary'!AL$101*SelfQuarantine_Moderate))),'Equipment List &amp; Usage'!$C$115)*((('Weekly Summary'!AL$131*SelfQuarantine_Mild*'Equipment List &amp; Usage'!$W29)+('Weekly Summary'!AL$100*SelfQuarantine_Mild*'Equipment List &amp; Usage'!$X29)+('Weekly Summary'!AL$101*SelfQuarantine_Moderate*'Equipment List &amp; Usage'!$X29)))+IF('Equipment List &amp; Usage'!$F29="Yes",'Equipment List &amp; Usage'!$C$114*(IF('Equipment List &amp; Usage'!$AA29&gt;0,'Weekly Summary'!AL$128,0)+IF('Equipment List &amp; Usage'!$AB29&gt;0,'Weekly Summary'!AL$100+'Weekly Summary'!AL$101,0)),'Equipment List &amp; Usage'!$C$115*(('Weekly Summary'!AL$128*'Equipment List &amp; Usage'!$AA29)+('Weekly Summary'!AL$100*'Equipment List &amp; Usage'!$AB29*SelfQuarantine_Mild)+('Weekly Summary'!AL$101*'Equipment List &amp; Usage'!$AB29*SelfQuarantine_Moderate)))+IF('Equipment List &amp; Usage'!$F29="Yes",('Equipment List &amp; Usage'!$C$114*(IF('Equipment List &amp; Usage'!$AE29&gt;0,'Weekly Summary'!AL$134,0)+IF('Equipment List &amp; Usage'!$AF29&gt;0,'Weekly Summary'!AL$135))),'Equipment List &amp; Usage'!$C$115*(('Weekly Summary'!AL$134*'Equipment List &amp; Usage'!$AE29)+('Weekly Summary'!AL$135*'Equipment List &amp; Usage'!$AF29))))-SUM($I27:AQ27),
IF($F27="yes",MMULT(--('Equipment List &amp; Usage'!$J29:$N29&gt;0),--('Weekly Summary'!AL$112:AL$116))*'Equipment List &amp; Usage'!$C$114,MMULT(--('Equipment List &amp; Usage'!$J29:$N29),--('Weekly Summary'!AL$112:AL$116))*'Equipment List &amp; Usage'!$C$115)+IF('Equipment List &amp; Usage'!$F28="yes",'Equipment List &amp; Usage'!$C$114,'Equipment List &amp; Usage'!$C$115)*(('Weekly Summary'!AL$66*'Equipment List &amp; Usage'!$Q29)+('Weekly Summary'!AL$64*'Equipment List &amp; Usage'!$O29)+('Weekly Summary'!AL$65*'Equipment List &amp; Usage'!$P29))+(IF('Equipment List &amp; Usage'!$F29="Yes",'Equipment List &amp; Usage'!$C$114*((('Weekly Summary'!AL$131*SelfQuarantine_Mild)+('Weekly Summary'!AL$100*SelfQuarantine_Mild)+('Weekly Summary'!AL$101*SelfQuarantine_Moderate))),'Equipment List &amp; Usage'!$C$115)*((('Weekly Summary'!AL$131*SelfQuarantine_Mild*'Equipment List &amp; Usage'!$W29)+('Weekly Summary'!AL$100*SelfQuarantine_Mild*'Equipment List &amp; Usage'!$X29)+('Weekly Summary'!AL$101*SelfQuarantine_Moderate*'Equipment List &amp; Usage'!$X29))))+IF('Equipment List &amp; Usage'!$F29="Yes",'Equipment List &amp; Usage'!$C$114*(IF('Equipment List &amp; Usage'!$AA29&gt;0,'Weekly Summary'!AL$128,0)+IF('Equipment List &amp; Usage'!$AB29&gt;0,'Weekly Summary'!AL$100+'Weekly Summary'!AL$101,0)),'Equipment List &amp; Usage'!$C$115*(('Weekly Summary'!AL$128*'Equipment List &amp; Usage'!$AA29)+('Weekly Summary'!AL$100*'Equipment List &amp; Usage'!$AB29*SelfQuarantine_Mild)+('Weekly Summary'!AL$101*'Equipment List &amp; Usage'!$AB29*SelfQuarantine_Moderate)))+IF('Equipment List &amp; Usage'!$F29="Yes",('Equipment List &amp; Usage'!$C$114*(IF('Equipment List &amp; Usage'!$AE29&gt;0,'Weekly Summary'!AL$134,0)+IF('Equipment List &amp; Usage'!$AF29&gt;0,'Weekly Summary'!AL$135))),'Equipment List &amp; Usage'!$C$115*(('Weekly Summary'!AL$134*'Equipment List &amp; Usage'!$AE29)+('Weekly Summary'!AL$135*'Equipment List &amp; Usage'!$AF29)))),0)</f>
        <v>0</v>
      </c>
      <c r="AS27" s="1374">
        <f ca="1">MAX(IF($F27="Yes",(
IF($F27="yes",MMULT(--('Equipment List &amp; Usage'!$J29:$N29&gt;0),--('Weekly Summary'!AM$112:AM$116))*'Equipment List &amp; Usage'!$C$114,MMULT(--('Equipment List &amp; Usage'!$J29:$N29),--('Weekly Summary'!AM$112:AM$116))*'Equipment List &amp; Usage'!$C$115)+IF('Equipment List &amp; Usage'!$F28="yes",'Equipment List &amp; Usage'!$C$114,'Equipment List &amp; Usage'!$C$115)*(('Weekly Summary'!AM$66*'Equipment List &amp; Usage'!$Q29)+('Weekly Summary'!AM$64*'Equipment List &amp; Usage'!$O29)+('Weekly Summary'!AM$65*'Equipment List &amp; Usage'!$P29)))+(IF('Equipment List &amp; Usage'!$F29="Yes",'Equipment List &amp; Usage'!$C$114*((('Weekly Summary'!AM$131*SelfQuarantine_Mild)+('Weekly Summary'!AM$100*SelfQuarantine_Mild)+('Weekly Summary'!AM$101*SelfQuarantine_Moderate))),'Equipment List &amp; Usage'!$C$115)*((('Weekly Summary'!AM$131*SelfQuarantine_Mild*'Equipment List &amp; Usage'!$W29)+('Weekly Summary'!AM$100*SelfQuarantine_Mild*'Equipment List &amp; Usage'!$X29)+('Weekly Summary'!AM$101*SelfQuarantine_Moderate*'Equipment List &amp; Usage'!$X29)))+IF('Equipment List &amp; Usage'!$F29="Yes",'Equipment List &amp; Usage'!$C$114*(IF('Equipment List &amp; Usage'!$AA29&gt;0,'Weekly Summary'!AM$128,0)+IF('Equipment List &amp; Usage'!$AB29&gt;0,'Weekly Summary'!AM$100+'Weekly Summary'!AM$101,0)),'Equipment List &amp; Usage'!$C$115*(('Weekly Summary'!AM$128*'Equipment List &amp; Usage'!$AA29)+('Weekly Summary'!AM$100*'Equipment List &amp; Usage'!$AB29*SelfQuarantine_Mild)+('Weekly Summary'!AM$101*'Equipment List &amp; Usage'!$AB29*SelfQuarantine_Moderate)))+IF('Equipment List &amp; Usage'!$F29="Yes",('Equipment List &amp; Usage'!$C$114*(IF('Equipment List &amp; Usage'!$AE29&gt;0,'Weekly Summary'!AM$134,0)+IF('Equipment List &amp; Usage'!$AF29&gt;0,'Weekly Summary'!AM$135))),'Equipment List &amp; Usage'!$C$115*(('Weekly Summary'!AM$134*'Equipment List &amp; Usage'!$AE29)+('Weekly Summary'!AM$135*'Equipment List &amp; Usage'!$AF29))))-SUM($I27:AR27),
IF($F27="yes",MMULT(--('Equipment List &amp; Usage'!$J29:$N29&gt;0),--('Weekly Summary'!AM$112:AM$116))*'Equipment List &amp; Usage'!$C$114,MMULT(--('Equipment List &amp; Usage'!$J29:$N29),--('Weekly Summary'!AM$112:AM$116))*'Equipment List &amp; Usage'!$C$115)+IF('Equipment List &amp; Usage'!$F28="yes",'Equipment List &amp; Usage'!$C$114,'Equipment List &amp; Usage'!$C$115)*(('Weekly Summary'!AM$66*'Equipment List &amp; Usage'!$Q29)+('Weekly Summary'!AM$64*'Equipment List &amp; Usage'!$O29)+('Weekly Summary'!AM$65*'Equipment List &amp; Usage'!$P29))+(IF('Equipment List &amp; Usage'!$F29="Yes",'Equipment List &amp; Usage'!$C$114*((('Weekly Summary'!AM$131*SelfQuarantine_Mild)+('Weekly Summary'!AM$100*SelfQuarantine_Mild)+('Weekly Summary'!AM$101*SelfQuarantine_Moderate))),'Equipment List &amp; Usage'!$C$115)*((('Weekly Summary'!AM$131*SelfQuarantine_Mild*'Equipment List &amp; Usage'!$W29)+('Weekly Summary'!AM$100*SelfQuarantine_Mild*'Equipment List &amp; Usage'!$X29)+('Weekly Summary'!AM$101*SelfQuarantine_Moderate*'Equipment List &amp; Usage'!$X29))))+IF('Equipment List &amp; Usage'!$F29="Yes",'Equipment List &amp; Usage'!$C$114*(IF('Equipment List &amp; Usage'!$AA29&gt;0,'Weekly Summary'!AM$128,0)+IF('Equipment List &amp; Usage'!$AB29&gt;0,'Weekly Summary'!AM$100+'Weekly Summary'!AM$101,0)),'Equipment List &amp; Usage'!$C$115*(('Weekly Summary'!AM$128*'Equipment List &amp; Usage'!$AA29)+('Weekly Summary'!AM$100*'Equipment List &amp; Usage'!$AB29*SelfQuarantine_Mild)+('Weekly Summary'!AM$101*'Equipment List &amp; Usage'!$AB29*SelfQuarantine_Moderate)))+IF('Equipment List &amp; Usage'!$F29="Yes",('Equipment List &amp; Usage'!$C$114*(IF('Equipment List &amp; Usage'!$AE29&gt;0,'Weekly Summary'!AM$134,0)+IF('Equipment List &amp; Usage'!$AF29&gt;0,'Weekly Summary'!AM$135))),'Equipment List &amp; Usage'!$C$115*(('Weekly Summary'!AM$134*'Equipment List &amp; Usage'!$AE29)+('Weekly Summary'!AM$135*'Equipment List &amp; Usage'!$AF29)))),0)</f>
        <v>0</v>
      </c>
      <c r="AT27" s="1374">
        <f ca="1">MAX(IF($F27="Yes",(
IF($F27="yes",MMULT(--('Equipment List &amp; Usage'!$J29:$N29&gt;0),--('Weekly Summary'!AN$112:AN$116))*'Equipment List &amp; Usage'!$C$114,MMULT(--('Equipment List &amp; Usage'!$J29:$N29),--('Weekly Summary'!AN$112:AN$116))*'Equipment List &amp; Usage'!$C$115)+IF('Equipment List &amp; Usage'!$F28="yes",'Equipment List &amp; Usage'!$C$114,'Equipment List &amp; Usage'!$C$115)*(('Weekly Summary'!AN$66*'Equipment List &amp; Usage'!$Q29)+('Weekly Summary'!AN$64*'Equipment List &amp; Usage'!$O29)+('Weekly Summary'!AN$65*'Equipment List &amp; Usage'!$P29)))+(IF('Equipment List &amp; Usage'!$F29="Yes",'Equipment List &amp; Usage'!$C$114*((('Weekly Summary'!AN$131*SelfQuarantine_Mild)+('Weekly Summary'!AN$100*SelfQuarantine_Mild)+('Weekly Summary'!AN$101*SelfQuarantine_Moderate))),'Equipment List &amp; Usage'!$C$115)*((('Weekly Summary'!AN$131*SelfQuarantine_Mild*'Equipment List &amp; Usage'!$W29)+('Weekly Summary'!AN$100*SelfQuarantine_Mild*'Equipment List &amp; Usage'!$X29)+('Weekly Summary'!AN$101*SelfQuarantine_Moderate*'Equipment List &amp; Usage'!$X29)))+IF('Equipment List &amp; Usage'!$F29="Yes",'Equipment List &amp; Usage'!$C$114*(IF('Equipment List &amp; Usage'!$AA29&gt;0,'Weekly Summary'!AN$128,0)+IF('Equipment List &amp; Usage'!$AB29&gt;0,'Weekly Summary'!AN$100+'Weekly Summary'!AN$101,0)),'Equipment List &amp; Usage'!$C$115*(('Weekly Summary'!AN$128*'Equipment List &amp; Usage'!$AA29)+('Weekly Summary'!AN$100*'Equipment List &amp; Usage'!$AB29*SelfQuarantine_Mild)+('Weekly Summary'!AN$101*'Equipment List &amp; Usage'!$AB29*SelfQuarantine_Moderate)))+IF('Equipment List &amp; Usage'!$F29="Yes",('Equipment List &amp; Usage'!$C$114*(IF('Equipment List &amp; Usage'!$AE29&gt;0,'Weekly Summary'!AN$134,0)+IF('Equipment List &amp; Usage'!$AF29&gt;0,'Weekly Summary'!AN$135))),'Equipment List &amp; Usage'!$C$115*(('Weekly Summary'!AN$134*'Equipment List &amp; Usage'!$AE29)+('Weekly Summary'!AN$135*'Equipment List &amp; Usage'!$AF29))))-SUM($I27:AS27),
IF($F27="yes",MMULT(--('Equipment List &amp; Usage'!$J29:$N29&gt;0),--('Weekly Summary'!AN$112:AN$116))*'Equipment List &amp; Usage'!$C$114,MMULT(--('Equipment List &amp; Usage'!$J29:$N29),--('Weekly Summary'!AN$112:AN$116))*'Equipment List &amp; Usage'!$C$115)+IF('Equipment List &amp; Usage'!$F28="yes",'Equipment List &amp; Usage'!$C$114,'Equipment List &amp; Usage'!$C$115)*(('Weekly Summary'!AN$66*'Equipment List &amp; Usage'!$Q29)+('Weekly Summary'!AN$64*'Equipment List &amp; Usage'!$O29)+('Weekly Summary'!AN$65*'Equipment List &amp; Usage'!$P29))+(IF('Equipment List &amp; Usage'!$F29="Yes",'Equipment List &amp; Usage'!$C$114*((('Weekly Summary'!AN$131*SelfQuarantine_Mild)+('Weekly Summary'!AN$100*SelfQuarantine_Mild)+('Weekly Summary'!AN$101*SelfQuarantine_Moderate))),'Equipment List &amp; Usage'!$C$115)*((('Weekly Summary'!AN$131*SelfQuarantine_Mild*'Equipment List &amp; Usage'!$W29)+('Weekly Summary'!AN$100*SelfQuarantine_Mild*'Equipment List &amp; Usage'!$X29)+('Weekly Summary'!AN$101*SelfQuarantine_Moderate*'Equipment List &amp; Usage'!$X29))))+IF('Equipment List &amp; Usage'!$F29="Yes",'Equipment List &amp; Usage'!$C$114*(IF('Equipment List &amp; Usage'!$AA29&gt;0,'Weekly Summary'!AN$128,0)+IF('Equipment List &amp; Usage'!$AB29&gt;0,'Weekly Summary'!AN$100+'Weekly Summary'!AN$101,0)),'Equipment List &amp; Usage'!$C$115*(('Weekly Summary'!AN$128*'Equipment List &amp; Usage'!$AA29)+('Weekly Summary'!AN$100*'Equipment List &amp; Usage'!$AB29*SelfQuarantine_Mild)+('Weekly Summary'!AN$101*'Equipment List &amp; Usage'!$AB29*SelfQuarantine_Moderate)))+IF('Equipment List &amp; Usage'!$F29="Yes",('Equipment List &amp; Usage'!$C$114*(IF('Equipment List &amp; Usage'!$AE29&gt;0,'Weekly Summary'!AN$134,0)+IF('Equipment List &amp; Usage'!$AF29&gt;0,'Weekly Summary'!AN$135))),'Equipment List &amp; Usage'!$C$115*(('Weekly Summary'!AN$134*'Equipment List &amp; Usage'!$AE29)+('Weekly Summary'!AN$135*'Equipment List &amp; Usage'!$AF29)))),0)</f>
        <v>0</v>
      </c>
      <c r="AU27" s="1374">
        <f ca="1">MAX(IF($F27="Yes",(
IF($F27="yes",MMULT(--('Equipment List &amp; Usage'!$J29:$N29&gt;0),--('Weekly Summary'!AO$112:AO$116))*'Equipment List &amp; Usage'!$C$114,MMULT(--('Equipment List &amp; Usage'!$J29:$N29),--('Weekly Summary'!AO$112:AO$116))*'Equipment List &amp; Usage'!$C$115)+IF('Equipment List &amp; Usage'!$F28="yes",'Equipment List &amp; Usage'!$C$114,'Equipment List &amp; Usage'!$C$115)*(('Weekly Summary'!AO$66*'Equipment List &amp; Usage'!$Q29)+('Weekly Summary'!AO$64*'Equipment List &amp; Usage'!$O29)+('Weekly Summary'!AO$65*'Equipment List &amp; Usage'!$P29)))+(IF('Equipment List &amp; Usage'!$F29="Yes",'Equipment List &amp; Usage'!$C$114*((('Weekly Summary'!AO$131*SelfQuarantine_Mild)+('Weekly Summary'!AO$100*SelfQuarantine_Mild)+('Weekly Summary'!AO$101*SelfQuarantine_Moderate))),'Equipment List &amp; Usage'!$C$115)*((('Weekly Summary'!AO$131*SelfQuarantine_Mild*'Equipment List &amp; Usage'!$W29)+('Weekly Summary'!AO$100*SelfQuarantine_Mild*'Equipment List &amp; Usage'!$X29)+('Weekly Summary'!AO$101*SelfQuarantine_Moderate*'Equipment List &amp; Usage'!$X29)))+IF('Equipment List &amp; Usage'!$F29="Yes",'Equipment List &amp; Usage'!$C$114*(IF('Equipment List &amp; Usage'!$AA29&gt;0,'Weekly Summary'!AO$128,0)+IF('Equipment List &amp; Usage'!$AB29&gt;0,'Weekly Summary'!AO$100+'Weekly Summary'!AO$101,0)),'Equipment List &amp; Usage'!$C$115*(('Weekly Summary'!AO$128*'Equipment List &amp; Usage'!$AA29)+('Weekly Summary'!AO$100*'Equipment List &amp; Usage'!$AB29*SelfQuarantine_Mild)+('Weekly Summary'!AO$101*'Equipment List &amp; Usage'!$AB29*SelfQuarantine_Moderate)))+IF('Equipment List &amp; Usage'!$F29="Yes",('Equipment List &amp; Usage'!$C$114*(IF('Equipment List &amp; Usage'!$AE29&gt;0,'Weekly Summary'!AO$134,0)+IF('Equipment List &amp; Usage'!$AF29&gt;0,'Weekly Summary'!AO$135))),'Equipment List &amp; Usage'!$C$115*(('Weekly Summary'!AO$134*'Equipment List &amp; Usage'!$AE29)+('Weekly Summary'!AO$135*'Equipment List &amp; Usage'!$AF29))))-SUM($I27:AT27),
IF($F27="yes",MMULT(--('Equipment List &amp; Usage'!$J29:$N29&gt;0),--('Weekly Summary'!AO$112:AO$116))*'Equipment List &amp; Usage'!$C$114,MMULT(--('Equipment List &amp; Usage'!$J29:$N29),--('Weekly Summary'!AO$112:AO$116))*'Equipment List &amp; Usage'!$C$115)+IF('Equipment List &amp; Usage'!$F28="yes",'Equipment List &amp; Usage'!$C$114,'Equipment List &amp; Usage'!$C$115)*(('Weekly Summary'!AO$66*'Equipment List &amp; Usage'!$Q29)+('Weekly Summary'!AO$64*'Equipment List &amp; Usage'!$O29)+('Weekly Summary'!AO$65*'Equipment List &amp; Usage'!$P29))+(IF('Equipment List &amp; Usage'!$F29="Yes",'Equipment List &amp; Usage'!$C$114*((('Weekly Summary'!AO$131*SelfQuarantine_Mild)+('Weekly Summary'!AO$100*SelfQuarantine_Mild)+('Weekly Summary'!AO$101*SelfQuarantine_Moderate))),'Equipment List &amp; Usage'!$C$115)*((('Weekly Summary'!AO$131*SelfQuarantine_Mild*'Equipment List &amp; Usage'!$W29)+('Weekly Summary'!AO$100*SelfQuarantine_Mild*'Equipment List &amp; Usage'!$X29)+('Weekly Summary'!AO$101*SelfQuarantine_Moderate*'Equipment List &amp; Usage'!$X29))))+IF('Equipment List &amp; Usage'!$F29="Yes",'Equipment List &amp; Usage'!$C$114*(IF('Equipment List &amp; Usage'!$AA29&gt;0,'Weekly Summary'!AO$128,0)+IF('Equipment List &amp; Usage'!$AB29&gt;0,'Weekly Summary'!AO$100+'Weekly Summary'!AO$101,0)),'Equipment List &amp; Usage'!$C$115*(('Weekly Summary'!AO$128*'Equipment List &amp; Usage'!$AA29)+('Weekly Summary'!AO$100*'Equipment List &amp; Usage'!$AB29*SelfQuarantine_Mild)+('Weekly Summary'!AO$101*'Equipment List &amp; Usage'!$AB29*SelfQuarantine_Moderate)))+IF('Equipment List &amp; Usage'!$F29="Yes",('Equipment List &amp; Usage'!$C$114*(IF('Equipment List &amp; Usage'!$AE29&gt;0,'Weekly Summary'!AO$134,0)+IF('Equipment List &amp; Usage'!$AF29&gt;0,'Weekly Summary'!AO$135))),'Equipment List &amp; Usage'!$C$115*(('Weekly Summary'!AO$134*'Equipment List &amp; Usage'!$AE29)+('Weekly Summary'!AO$135*'Equipment List &amp; Usage'!$AF29)))),0)</f>
        <v>0</v>
      </c>
      <c r="AV27" s="1374">
        <f ca="1">MAX(IF($F27="Yes",(
IF($F27="yes",MMULT(--('Equipment List &amp; Usage'!$J29:$N29&gt;0),--('Weekly Summary'!AP$112:AP$116))*'Equipment List &amp; Usage'!$C$114,MMULT(--('Equipment List &amp; Usage'!$J29:$N29),--('Weekly Summary'!AP$112:AP$116))*'Equipment List &amp; Usage'!$C$115)+IF('Equipment List &amp; Usage'!$F28="yes",'Equipment List &amp; Usage'!$C$114,'Equipment List &amp; Usage'!$C$115)*(('Weekly Summary'!AP$66*'Equipment List &amp; Usage'!$Q29)+('Weekly Summary'!AP$64*'Equipment List &amp; Usage'!$O29)+('Weekly Summary'!AP$65*'Equipment List &amp; Usage'!$P29)))+(IF('Equipment List &amp; Usage'!$F29="Yes",'Equipment List &amp; Usage'!$C$114*((('Weekly Summary'!AP$131*SelfQuarantine_Mild)+('Weekly Summary'!AP$100*SelfQuarantine_Mild)+('Weekly Summary'!AP$101*SelfQuarantine_Moderate))),'Equipment List &amp; Usage'!$C$115)*((('Weekly Summary'!AP$131*SelfQuarantine_Mild*'Equipment List &amp; Usage'!$W29)+('Weekly Summary'!AP$100*SelfQuarantine_Mild*'Equipment List &amp; Usage'!$X29)+('Weekly Summary'!AP$101*SelfQuarantine_Moderate*'Equipment List &amp; Usage'!$X29)))+IF('Equipment List &amp; Usage'!$F29="Yes",'Equipment List &amp; Usage'!$C$114*(IF('Equipment List &amp; Usage'!$AA29&gt;0,'Weekly Summary'!AP$128,0)+IF('Equipment List &amp; Usage'!$AB29&gt;0,'Weekly Summary'!AP$100+'Weekly Summary'!AP$101,0)),'Equipment List &amp; Usage'!$C$115*(('Weekly Summary'!AP$128*'Equipment List &amp; Usage'!$AA29)+('Weekly Summary'!AP$100*'Equipment List &amp; Usage'!$AB29*SelfQuarantine_Mild)+('Weekly Summary'!AP$101*'Equipment List &amp; Usage'!$AB29*SelfQuarantine_Moderate)))+IF('Equipment List &amp; Usage'!$F29="Yes",('Equipment List &amp; Usage'!$C$114*(IF('Equipment List &amp; Usage'!$AE29&gt;0,'Weekly Summary'!AP$134,0)+IF('Equipment List &amp; Usage'!$AF29&gt;0,'Weekly Summary'!AP$135))),'Equipment List &amp; Usage'!$C$115*(('Weekly Summary'!AP$134*'Equipment List &amp; Usage'!$AE29)+('Weekly Summary'!AP$135*'Equipment List &amp; Usage'!$AF29))))-SUM($I27:AU27),
IF($F27="yes",MMULT(--('Equipment List &amp; Usage'!$J29:$N29&gt;0),--('Weekly Summary'!AP$112:AP$116))*'Equipment List &amp; Usage'!$C$114,MMULT(--('Equipment List &amp; Usage'!$J29:$N29),--('Weekly Summary'!AP$112:AP$116))*'Equipment List &amp; Usage'!$C$115)+IF('Equipment List &amp; Usage'!$F28="yes",'Equipment List &amp; Usage'!$C$114,'Equipment List &amp; Usage'!$C$115)*(('Weekly Summary'!AP$66*'Equipment List &amp; Usage'!$Q29)+('Weekly Summary'!AP$64*'Equipment List &amp; Usage'!$O29)+('Weekly Summary'!AP$65*'Equipment List &amp; Usage'!$P29))+(IF('Equipment List &amp; Usage'!$F29="Yes",'Equipment List &amp; Usage'!$C$114*((('Weekly Summary'!AP$131*SelfQuarantine_Mild)+('Weekly Summary'!AP$100*SelfQuarantine_Mild)+('Weekly Summary'!AP$101*SelfQuarantine_Moderate))),'Equipment List &amp; Usage'!$C$115)*((('Weekly Summary'!AP$131*SelfQuarantine_Mild*'Equipment List &amp; Usage'!$W29)+('Weekly Summary'!AP$100*SelfQuarantine_Mild*'Equipment List &amp; Usage'!$X29)+('Weekly Summary'!AP$101*SelfQuarantine_Moderate*'Equipment List &amp; Usage'!$X29))))+IF('Equipment List &amp; Usage'!$F29="Yes",'Equipment List &amp; Usage'!$C$114*(IF('Equipment List &amp; Usage'!$AA29&gt;0,'Weekly Summary'!AP$128,0)+IF('Equipment List &amp; Usage'!$AB29&gt;0,'Weekly Summary'!AP$100+'Weekly Summary'!AP$101,0)),'Equipment List &amp; Usage'!$C$115*(('Weekly Summary'!AP$128*'Equipment List &amp; Usage'!$AA29)+('Weekly Summary'!AP$100*'Equipment List &amp; Usage'!$AB29*SelfQuarantine_Mild)+('Weekly Summary'!AP$101*'Equipment List &amp; Usage'!$AB29*SelfQuarantine_Moderate)))+IF('Equipment List &amp; Usage'!$F29="Yes",('Equipment List &amp; Usage'!$C$114*(IF('Equipment List &amp; Usage'!$AE29&gt;0,'Weekly Summary'!AP$134,0)+IF('Equipment List &amp; Usage'!$AF29&gt;0,'Weekly Summary'!AP$135))),'Equipment List &amp; Usage'!$C$115*(('Weekly Summary'!AP$134*'Equipment List &amp; Usage'!$AE29)+('Weekly Summary'!AP$135*'Equipment List &amp; Usage'!$AF29)))),0)</f>
        <v>0</v>
      </c>
      <c r="AW27" s="1374">
        <f ca="1">MAX(IF($F27="Yes",(
IF($F27="yes",MMULT(--('Equipment List &amp; Usage'!$J29:$N29&gt;0),--('Weekly Summary'!AQ$112:AQ$116))*'Equipment List &amp; Usage'!$C$114,MMULT(--('Equipment List &amp; Usage'!$J29:$N29),--('Weekly Summary'!AQ$112:AQ$116))*'Equipment List &amp; Usage'!$C$115)+IF('Equipment List &amp; Usage'!$F28="yes",'Equipment List &amp; Usage'!$C$114,'Equipment List &amp; Usage'!$C$115)*(('Weekly Summary'!AQ$66*'Equipment List &amp; Usage'!$Q29)+('Weekly Summary'!AQ$64*'Equipment List &amp; Usage'!$O29)+('Weekly Summary'!AQ$65*'Equipment List &amp; Usage'!$P29)))+(IF('Equipment List &amp; Usage'!$F29="Yes",'Equipment List &amp; Usage'!$C$114*((('Weekly Summary'!AQ$131*SelfQuarantine_Mild)+('Weekly Summary'!AQ$100*SelfQuarantine_Mild)+('Weekly Summary'!AQ$101*SelfQuarantine_Moderate))),'Equipment List &amp; Usage'!$C$115)*((('Weekly Summary'!AQ$131*SelfQuarantine_Mild*'Equipment List &amp; Usage'!$W29)+('Weekly Summary'!AQ$100*SelfQuarantine_Mild*'Equipment List &amp; Usage'!$X29)+('Weekly Summary'!AQ$101*SelfQuarantine_Moderate*'Equipment List &amp; Usage'!$X29)))+IF('Equipment List &amp; Usage'!$F29="Yes",'Equipment List &amp; Usage'!$C$114*(IF('Equipment List &amp; Usage'!$AA29&gt;0,'Weekly Summary'!AQ$128,0)+IF('Equipment List &amp; Usage'!$AB29&gt;0,'Weekly Summary'!AQ$100+'Weekly Summary'!AQ$101,0)),'Equipment List &amp; Usage'!$C$115*(('Weekly Summary'!AQ$128*'Equipment List &amp; Usage'!$AA29)+('Weekly Summary'!AQ$100*'Equipment List &amp; Usage'!$AB29*SelfQuarantine_Mild)+('Weekly Summary'!AQ$101*'Equipment List &amp; Usage'!$AB29*SelfQuarantine_Moderate)))+IF('Equipment List &amp; Usage'!$F29="Yes",('Equipment List &amp; Usage'!$C$114*(IF('Equipment List &amp; Usage'!$AE29&gt;0,'Weekly Summary'!AQ$134,0)+IF('Equipment List &amp; Usage'!$AF29&gt;0,'Weekly Summary'!AQ$135))),'Equipment List &amp; Usage'!$C$115*(('Weekly Summary'!AQ$134*'Equipment List &amp; Usage'!$AE29)+('Weekly Summary'!AQ$135*'Equipment List &amp; Usage'!$AF29))))-SUM($I27:AV27),
IF($F27="yes",MMULT(--('Equipment List &amp; Usage'!$J29:$N29&gt;0),--('Weekly Summary'!AQ$112:AQ$116))*'Equipment List &amp; Usage'!$C$114,MMULT(--('Equipment List &amp; Usage'!$J29:$N29),--('Weekly Summary'!AQ$112:AQ$116))*'Equipment List &amp; Usage'!$C$115)+IF('Equipment List &amp; Usage'!$F28="yes",'Equipment List &amp; Usage'!$C$114,'Equipment List &amp; Usage'!$C$115)*(('Weekly Summary'!AQ$66*'Equipment List &amp; Usage'!$Q29)+('Weekly Summary'!AQ$64*'Equipment List &amp; Usage'!$O29)+('Weekly Summary'!AQ$65*'Equipment List &amp; Usage'!$P29))+(IF('Equipment List &amp; Usage'!$F29="Yes",'Equipment List &amp; Usage'!$C$114*((('Weekly Summary'!AQ$131*SelfQuarantine_Mild)+('Weekly Summary'!AQ$100*SelfQuarantine_Mild)+('Weekly Summary'!AQ$101*SelfQuarantine_Moderate))),'Equipment List &amp; Usage'!$C$115)*((('Weekly Summary'!AQ$131*SelfQuarantine_Mild*'Equipment List &amp; Usage'!$W29)+('Weekly Summary'!AQ$100*SelfQuarantine_Mild*'Equipment List &amp; Usage'!$X29)+('Weekly Summary'!AQ$101*SelfQuarantine_Moderate*'Equipment List &amp; Usage'!$X29))))+IF('Equipment List &amp; Usage'!$F29="Yes",'Equipment List &amp; Usage'!$C$114*(IF('Equipment List &amp; Usage'!$AA29&gt;0,'Weekly Summary'!AQ$128,0)+IF('Equipment List &amp; Usage'!$AB29&gt;0,'Weekly Summary'!AQ$100+'Weekly Summary'!AQ$101,0)),'Equipment List &amp; Usage'!$C$115*(('Weekly Summary'!AQ$128*'Equipment List &amp; Usage'!$AA29)+('Weekly Summary'!AQ$100*'Equipment List &amp; Usage'!$AB29*SelfQuarantine_Mild)+('Weekly Summary'!AQ$101*'Equipment List &amp; Usage'!$AB29*SelfQuarantine_Moderate)))+IF('Equipment List &amp; Usage'!$F29="Yes",('Equipment List &amp; Usage'!$C$114*(IF('Equipment List &amp; Usage'!$AE29&gt;0,'Weekly Summary'!AQ$134,0)+IF('Equipment List &amp; Usage'!$AF29&gt;0,'Weekly Summary'!AQ$135))),'Equipment List &amp; Usage'!$C$115*(('Weekly Summary'!AQ$134*'Equipment List &amp; Usage'!$AE29)+('Weekly Summary'!AQ$135*'Equipment List &amp; Usage'!$AF29)))),0)</f>
        <v>0</v>
      </c>
      <c r="AX27" s="1374">
        <f ca="1">MAX(IF($F27="Yes",(
IF($F27="yes",MMULT(--('Equipment List &amp; Usage'!$J29:$N29&gt;0),--('Weekly Summary'!AR$112:AR$116))*'Equipment List &amp; Usage'!$C$114,MMULT(--('Equipment List &amp; Usage'!$J29:$N29),--('Weekly Summary'!AR$112:AR$116))*'Equipment List &amp; Usage'!$C$115)+IF('Equipment List &amp; Usage'!$F28="yes",'Equipment List &amp; Usage'!$C$114,'Equipment List &amp; Usage'!$C$115)*(('Weekly Summary'!AR$66*'Equipment List &amp; Usage'!$Q29)+('Weekly Summary'!AR$64*'Equipment List &amp; Usage'!$O29)+('Weekly Summary'!AR$65*'Equipment List &amp; Usage'!$P29)))+(IF('Equipment List &amp; Usage'!$F29="Yes",'Equipment List &amp; Usage'!$C$114*((('Weekly Summary'!AR$131*SelfQuarantine_Mild)+('Weekly Summary'!AR$100*SelfQuarantine_Mild)+('Weekly Summary'!AR$101*SelfQuarantine_Moderate))),'Equipment List &amp; Usage'!$C$115)*((('Weekly Summary'!AR$131*SelfQuarantine_Mild*'Equipment List &amp; Usage'!$W29)+('Weekly Summary'!AR$100*SelfQuarantine_Mild*'Equipment List &amp; Usage'!$X29)+('Weekly Summary'!AR$101*SelfQuarantine_Moderate*'Equipment List &amp; Usage'!$X29)))+IF('Equipment List &amp; Usage'!$F29="Yes",'Equipment List &amp; Usage'!$C$114*(IF('Equipment List &amp; Usage'!$AA29&gt;0,'Weekly Summary'!AR$128,0)+IF('Equipment List &amp; Usage'!$AB29&gt;0,'Weekly Summary'!AR$100+'Weekly Summary'!AR$101,0)),'Equipment List &amp; Usage'!$C$115*(('Weekly Summary'!AR$128*'Equipment List &amp; Usage'!$AA29)+('Weekly Summary'!AR$100*'Equipment List &amp; Usage'!$AB29*SelfQuarantine_Mild)+('Weekly Summary'!AR$101*'Equipment List &amp; Usage'!$AB29*SelfQuarantine_Moderate)))+IF('Equipment List &amp; Usage'!$F29="Yes",('Equipment List &amp; Usage'!$C$114*(IF('Equipment List &amp; Usage'!$AE29&gt;0,'Weekly Summary'!AR$134,0)+IF('Equipment List &amp; Usage'!$AF29&gt;0,'Weekly Summary'!AR$135))),'Equipment List &amp; Usage'!$C$115*(('Weekly Summary'!AR$134*'Equipment List &amp; Usage'!$AE29)+('Weekly Summary'!AR$135*'Equipment List &amp; Usage'!$AF29))))-SUM($I27:AW27),
IF($F27="yes",MMULT(--('Equipment List &amp; Usage'!$J29:$N29&gt;0),--('Weekly Summary'!AR$112:AR$116))*'Equipment List &amp; Usage'!$C$114,MMULT(--('Equipment List &amp; Usage'!$J29:$N29),--('Weekly Summary'!AR$112:AR$116))*'Equipment List &amp; Usage'!$C$115)+IF('Equipment List &amp; Usage'!$F28="yes",'Equipment List &amp; Usage'!$C$114,'Equipment List &amp; Usage'!$C$115)*(('Weekly Summary'!AR$66*'Equipment List &amp; Usage'!$Q29)+('Weekly Summary'!AR$64*'Equipment List &amp; Usage'!$O29)+('Weekly Summary'!AR$65*'Equipment List &amp; Usage'!$P29))+(IF('Equipment List &amp; Usage'!$F29="Yes",'Equipment List &amp; Usage'!$C$114*((('Weekly Summary'!AR$131*SelfQuarantine_Mild)+('Weekly Summary'!AR$100*SelfQuarantine_Mild)+('Weekly Summary'!AR$101*SelfQuarantine_Moderate))),'Equipment List &amp; Usage'!$C$115)*((('Weekly Summary'!AR$131*SelfQuarantine_Mild*'Equipment List &amp; Usage'!$W29)+('Weekly Summary'!AR$100*SelfQuarantine_Mild*'Equipment List &amp; Usage'!$X29)+('Weekly Summary'!AR$101*SelfQuarantine_Moderate*'Equipment List &amp; Usage'!$X29))))+IF('Equipment List &amp; Usage'!$F29="Yes",'Equipment List &amp; Usage'!$C$114*(IF('Equipment List &amp; Usage'!$AA29&gt;0,'Weekly Summary'!AR$128,0)+IF('Equipment List &amp; Usage'!$AB29&gt;0,'Weekly Summary'!AR$100+'Weekly Summary'!AR$101,0)),'Equipment List &amp; Usage'!$C$115*(('Weekly Summary'!AR$128*'Equipment List &amp; Usage'!$AA29)+('Weekly Summary'!AR$100*'Equipment List &amp; Usage'!$AB29*SelfQuarantine_Mild)+('Weekly Summary'!AR$101*'Equipment List &amp; Usage'!$AB29*SelfQuarantine_Moderate)))+IF('Equipment List &amp; Usage'!$F29="Yes",('Equipment List &amp; Usage'!$C$114*(IF('Equipment List &amp; Usage'!$AE29&gt;0,'Weekly Summary'!AR$134,0)+IF('Equipment List &amp; Usage'!$AF29&gt;0,'Weekly Summary'!AR$135))),'Equipment List &amp; Usage'!$C$115*(('Weekly Summary'!AR$134*'Equipment List &amp; Usage'!$AE29)+('Weekly Summary'!AR$135*'Equipment List &amp; Usage'!$AF29)))),0)</f>
        <v>0</v>
      </c>
      <c r="AY27" s="1374">
        <f ca="1">MAX(IF($F27="Yes",(
IF($F27="yes",MMULT(--('Equipment List &amp; Usage'!$J29:$N29&gt;0),--('Weekly Summary'!AS$112:AS$116))*'Equipment List &amp; Usage'!$C$114,MMULT(--('Equipment List &amp; Usage'!$J29:$N29),--('Weekly Summary'!AS$112:AS$116))*'Equipment List &amp; Usage'!$C$115)+IF('Equipment List &amp; Usage'!$F28="yes",'Equipment List &amp; Usage'!$C$114,'Equipment List &amp; Usage'!$C$115)*(('Weekly Summary'!AS$66*'Equipment List &amp; Usage'!$Q29)+('Weekly Summary'!AS$64*'Equipment List &amp; Usage'!$O29)+('Weekly Summary'!AS$65*'Equipment List &amp; Usage'!$P29)))+(IF('Equipment List &amp; Usage'!$F29="Yes",'Equipment List &amp; Usage'!$C$114*((('Weekly Summary'!AS$131*SelfQuarantine_Mild)+('Weekly Summary'!AS$100*SelfQuarantine_Mild)+('Weekly Summary'!AS$101*SelfQuarantine_Moderate))),'Equipment List &amp; Usage'!$C$115)*((('Weekly Summary'!AS$131*SelfQuarantine_Mild*'Equipment List &amp; Usage'!$W29)+('Weekly Summary'!AS$100*SelfQuarantine_Mild*'Equipment List &amp; Usage'!$X29)+('Weekly Summary'!AS$101*SelfQuarantine_Moderate*'Equipment List &amp; Usage'!$X29)))+IF('Equipment List &amp; Usage'!$F29="Yes",'Equipment List &amp; Usage'!$C$114*(IF('Equipment List &amp; Usage'!$AA29&gt;0,'Weekly Summary'!AS$128,0)+IF('Equipment List &amp; Usage'!$AB29&gt;0,'Weekly Summary'!AS$100+'Weekly Summary'!AS$101,0)),'Equipment List &amp; Usage'!$C$115*(('Weekly Summary'!AS$128*'Equipment List &amp; Usage'!$AA29)+('Weekly Summary'!AS$100*'Equipment List &amp; Usage'!$AB29*SelfQuarantine_Mild)+('Weekly Summary'!AS$101*'Equipment List &amp; Usage'!$AB29*SelfQuarantine_Moderate)))+IF('Equipment List &amp; Usage'!$F29="Yes",('Equipment List &amp; Usage'!$C$114*(IF('Equipment List &amp; Usage'!$AE29&gt;0,'Weekly Summary'!AS$134,0)+IF('Equipment List &amp; Usage'!$AF29&gt;0,'Weekly Summary'!AS$135))),'Equipment List &amp; Usage'!$C$115*(('Weekly Summary'!AS$134*'Equipment List &amp; Usage'!$AE29)+('Weekly Summary'!AS$135*'Equipment List &amp; Usage'!$AF29))))-SUM($I27:AX27),
IF($F27="yes",MMULT(--('Equipment List &amp; Usage'!$J29:$N29&gt;0),--('Weekly Summary'!AS$112:AS$116))*'Equipment List &amp; Usage'!$C$114,MMULT(--('Equipment List &amp; Usage'!$J29:$N29),--('Weekly Summary'!AS$112:AS$116))*'Equipment List &amp; Usage'!$C$115)+IF('Equipment List &amp; Usage'!$F28="yes",'Equipment List &amp; Usage'!$C$114,'Equipment List &amp; Usage'!$C$115)*(('Weekly Summary'!AS$66*'Equipment List &amp; Usage'!$Q29)+('Weekly Summary'!AS$64*'Equipment List &amp; Usage'!$O29)+('Weekly Summary'!AS$65*'Equipment List &amp; Usage'!$P29))+(IF('Equipment List &amp; Usage'!$F29="Yes",'Equipment List &amp; Usage'!$C$114*((('Weekly Summary'!AS$131*SelfQuarantine_Mild)+('Weekly Summary'!AS$100*SelfQuarantine_Mild)+('Weekly Summary'!AS$101*SelfQuarantine_Moderate))),'Equipment List &amp; Usage'!$C$115)*((('Weekly Summary'!AS$131*SelfQuarantine_Mild*'Equipment List &amp; Usage'!$W29)+('Weekly Summary'!AS$100*SelfQuarantine_Mild*'Equipment List &amp; Usage'!$X29)+('Weekly Summary'!AS$101*SelfQuarantine_Moderate*'Equipment List &amp; Usage'!$X29))))+IF('Equipment List &amp; Usage'!$F29="Yes",'Equipment List &amp; Usage'!$C$114*(IF('Equipment List &amp; Usage'!$AA29&gt;0,'Weekly Summary'!AS$128,0)+IF('Equipment List &amp; Usage'!$AB29&gt;0,'Weekly Summary'!AS$100+'Weekly Summary'!AS$101,0)),'Equipment List &amp; Usage'!$C$115*(('Weekly Summary'!AS$128*'Equipment List &amp; Usage'!$AA29)+('Weekly Summary'!AS$100*'Equipment List &amp; Usage'!$AB29*SelfQuarantine_Mild)+('Weekly Summary'!AS$101*'Equipment List &amp; Usage'!$AB29*SelfQuarantine_Moderate)))+IF('Equipment List &amp; Usage'!$F29="Yes",('Equipment List &amp; Usage'!$C$114*(IF('Equipment List &amp; Usage'!$AE29&gt;0,'Weekly Summary'!AS$134,0)+IF('Equipment List &amp; Usage'!$AF29&gt;0,'Weekly Summary'!AS$135))),'Equipment List &amp; Usage'!$C$115*(('Weekly Summary'!AS$134*'Equipment List &amp; Usage'!$AE29)+('Weekly Summary'!AS$135*'Equipment List &amp; Usage'!$AF29)))),0)</f>
        <v>0</v>
      </c>
      <c r="AZ27" s="1374">
        <f ca="1">MAX(IF($F27="Yes",(
IF($F27="yes",MMULT(--('Equipment List &amp; Usage'!$J29:$N29&gt;0),--('Weekly Summary'!AT$112:AT$116))*'Equipment List &amp; Usage'!$C$114,MMULT(--('Equipment List &amp; Usage'!$J29:$N29),--('Weekly Summary'!AT$112:AT$116))*'Equipment List &amp; Usage'!$C$115)+IF('Equipment List &amp; Usage'!$F28="yes",'Equipment List &amp; Usage'!$C$114,'Equipment List &amp; Usage'!$C$115)*(('Weekly Summary'!AT$66*'Equipment List &amp; Usage'!$Q29)+('Weekly Summary'!AT$64*'Equipment List &amp; Usage'!$O29)+('Weekly Summary'!AT$65*'Equipment List &amp; Usage'!$P29)))+(IF('Equipment List &amp; Usage'!$F29="Yes",'Equipment List &amp; Usage'!$C$114*((('Weekly Summary'!AT$131*SelfQuarantine_Mild)+('Weekly Summary'!AT$100*SelfQuarantine_Mild)+('Weekly Summary'!AT$101*SelfQuarantine_Moderate))),'Equipment List &amp; Usage'!$C$115)*((('Weekly Summary'!AT$131*SelfQuarantine_Mild*'Equipment List &amp; Usage'!$W29)+('Weekly Summary'!AT$100*SelfQuarantine_Mild*'Equipment List &amp; Usage'!$X29)+('Weekly Summary'!AT$101*SelfQuarantine_Moderate*'Equipment List &amp; Usage'!$X29)))+IF('Equipment List &amp; Usage'!$F29="Yes",'Equipment List &amp; Usage'!$C$114*(IF('Equipment List &amp; Usage'!$AA29&gt;0,'Weekly Summary'!AT$128,0)+IF('Equipment List &amp; Usage'!$AB29&gt;0,'Weekly Summary'!AT$100+'Weekly Summary'!AT$101,0)),'Equipment List &amp; Usage'!$C$115*(('Weekly Summary'!AT$128*'Equipment List &amp; Usage'!$AA29)+('Weekly Summary'!AT$100*'Equipment List &amp; Usage'!$AB29*SelfQuarantine_Mild)+('Weekly Summary'!AT$101*'Equipment List &amp; Usage'!$AB29*SelfQuarantine_Moderate)))+IF('Equipment List &amp; Usage'!$F29="Yes",('Equipment List &amp; Usage'!$C$114*(IF('Equipment List &amp; Usage'!$AE29&gt;0,'Weekly Summary'!AT$134,0)+IF('Equipment List &amp; Usage'!$AF29&gt;0,'Weekly Summary'!AT$135))),'Equipment List &amp; Usage'!$C$115*(('Weekly Summary'!AT$134*'Equipment List &amp; Usage'!$AE29)+('Weekly Summary'!AT$135*'Equipment List &amp; Usage'!$AF29))))-SUM($I27:AY27),
IF($F27="yes",MMULT(--('Equipment List &amp; Usage'!$J29:$N29&gt;0),--('Weekly Summary'!AT$112:AT$116))*'Equipment List &amp; Usage'!$C$114,MMULT(--('Equipment List &amp; Usage'!$J29:$N29),--('Weekly Summary'!AT$112:AT$116))*'Equipment List &amp; Usage'!$C$115)+IF('Equipment List &amp; Usage'!$F28="yes",'Equipment List &amp; Usage'!$C$114,'Equipment List &amp; Usage'!$C$115)*(('Weekly Summary'!AT$66*'Equipment List &amp; Usage'!$Q29)+('Weekly Summary'!AT$64*'Equipment List &amp; Usage'!$O29)+('Weekly Summary'!AT$65*'Equipment List &amp; Usage'!$P29))+(IF('Equipment List &amp; Usage'!$F29="Yes",'Equipment List &amp; Usage'!$C$114*((('Weekly Summary'!AT$131*SelfQuarantine_Mild)+('Weekly Summary'!AT$100*SelfQuarantine_Mild)+('Weekly Summary'!AT$101*SelfQuarantine_Moderate))),'Equipment List &amp; Usage'!$C$115)*((('Weekly Summary'!AT$131*SelfQuarantine_Mild*'Equipment List &amp; Usage'!$W29)+('Weekly Summary'!AT$100*SelfQuarantine_Mild*'Equipment List &amp; Usage'!$X29)+('Weekly Summary'!AT$101*SelfQuarantine_Moderate*'Equipment List &amp; Usage'!$X29))))+IF('Equipment List &amp; Usage'!$F29="Yes",'Equipment List &amp; Usage'!$C$114*(IF('Equipment List &amp; Usage'!$AA29&gt;0,'Weekly Summary'!AT$128,0)+IF('Equipment List &amp; Usage'!$AB29&gt;0,'Weekly Summary'!AT$100+'Weekly Summary'!AT$101,0)),'Equipment List &amp; Usage'!$C$115*(('Weekly Summary'!AT$128*'Equipment List &amp; Usage'!$AA29)+('Weekly Summary'!AT$100*'Equipment List &amp; Usage'!$AB29*SelfQuarantine_Mild)+('Weekly Summary'!AT$101*'Equipment List &amp; Usage'!$AB29*SelfQuarantine_Moderate)))+IF('Equipment List &amp; Usage'!$F29="Yes",('Equipment List &amp; Usage'!$C$114*(IF('Equipment List &amp; Usage'!$AE29&gt;0,'Weekly Summary'!AT$134,0)+IF('Equipment List &amp; Usage'!$AF29&gt;0,'Weekly Summary'!AT$135))),'Equipment List &amp; Usage'!$C$115*(('Weekly Summary'!AT$134*'Equipment List &amp; Usage'!$AE29)+('Weekly Summary'!AT$135*'Equipment List &amp; Usage'!$AF29)))),0)</f>
        <v>0</v>
      </c>
      <c r="BA27" s="1374">
        <f ca="1">MAX(IF($F27="Yes",(
IF($F27="yes",MMULT(--('Equipment List &amp; Usage'!$J29:$N29&gt;0),--('Weekly Summary'!AU$112:AU$116))*'Equipment List &amp; Usage'!$C$114,MMULT(--('Equipment List &amp; Usage'!$J29:$N29),--('Weekly Summary'!AU$112:AU$116))*'Equipment List &amp; Usage'!$C$115)+IF('Equipment List &amp; Usage'!$F28="yes",'Equipment List &amp; Usage'!$C$114,'Equipment List &amp; Usage'!$C$115)*(('Weekly Summary'!AU$66*'Equipment List &amp; Usage'!$Q29)+('Weekly Summary'!AU$64*'Equipment List &amp; Usage'!$O29)+('Weekly Summary'!AU$65*'Equipment List &amp; Usage'!$P29)))+(IF('Equipment List &amp; Usage'!$F29="Yes",'Equipment List &amp; Usage'!$C$114*((('Weekly Summary'!AU$131*SelfQuarantine_Mild)+('Weekly Summary'!AU$100*SelfQuarantine_Mild)+('Weekly Summary'!AU$101*SelfQuarantine_Moderate))),'Equipment List &amp; Usage'!$C$115)*((('Weekly Summary'!AU$131*SelfQuarantine_Mild*'Equipment List &amp; Usage'!$W29)+('Weekly Summary'!AU$100*SelfQuarantine_Mild*'Equipment List &amp; Usage'!$X29)+('Weekly Summary'!AU$101*SelfQuarantine_Moderate*'Equipment List &amp; Usage'!$X29)))+IF('Equipment List &amp; Usage'!$F29="Yes",'Equipment List &amp; Usage'!$C$114*(IF('Equipment List &amp; Usage'!$AA29&gt;0,'Weekly Summary'!AU$128,0)+IF('Equipment List &amp; Usage'!$AB29&gt;0,'Weekly Summary'!AU$100+'Weekly Summary'!AU$101,0)),'Equipment List &amp; Usage'!$C$115*(('Weekly Summary'!AU$128*'Equipment List &amp; Usage'!$AA29)+('Weekly Summary'!AU$100*'Equipment List &amp; Usage'!$AB29*SelfQuarantine_Mild)+('Weekly Summary'!AU$101*'Equipment List &amp; Usage'!$AB29*SelfQuarantine_Moderate)))+IF('Equipment List &amp; Usage'!$F29="Yes",('Equipment List &amp; Usage'!$C$114*(IF('Equipment List &amp; Usage'!$AE29&gt;0,'Weekly Summary'!AU$134,0)+IF('Equipment List &amp; Usage'!$AF29&gt;0,'Weekly Summary'!AU$135))),'Equipment List &amp; Usage'!$C$115*(('Weekly Summary'!AU$134*'Equipment List &amp; Usage'!$AE29)+('Weekly Summary'!AU$135*'Equipment List &amp; Usage'!$AF29))))-SUM($I27:AZ27),
IF($F27="yes",MMULT(--('Equipment List &amp; Usage'!$J29:$N29&gt;0),--('Weekly Summary'!AU$112:AU$116))*'Equipment List &amp; Usage'!$C$114,MMULT(--('Equipment List &amp; Usage'!$J29:$N29),--('Weekly Summary'!AU$112:AU$116))*'Equipment List &amp; Usage'!$C$115)+IF('Equipment List &amp; Usage'!$F28="yes",'Equipment List &amp; Usage'!$C$114,'Equipment List &amp; Usage'!$C$115)*(('Weekly Summary'!AU$66*'Equipment List &amp; Usage'!$Q29)+('Weekly Summary'!AU$64*'Equipment List &amp; Usage'!$O29)+('Weekly Summary'!AU$65*'Equipment List &amp; Usage'!$P29))+(IF('Equipment List &amp; Usage'!$F29="Yes",'Equipment List &amp; Usage'!$C$114*((('Weekly Summary'!AU$131*SelfQuarantine_Mild)+('Weekly Summary'!AU$100*SelfQuarantine_Mild)+('Weekly Summary'!AU$101*SelfQuarantine_Moderate))),'Equipment List &amp; Usage'!$C$115)*((('Weekly Summary'!AU$131*SelfQuarantine_Mild*'Equipment List &amp; Usage'!$W29)+('Weekly Summary'!AU$100*SelfQuarantine_Mild*'Equipment List &amp; Usage'!$X29)+('Weekly Summary'!AU$101*SelfQuarantine_Moderate*'Equipment List &amp; Usage'!$X29))))+IF('Equipment List &amp; Usage'!$F29="Yes",'Equipment List &amp; Usage'!$C$114*(IF('Equipment List &amp; Usage'!$AA29&gt;0,'Weekly Summary'!AU$128,0)+IF('Equipment List &amp; Usage'!$AB29&gt;0,'Weekly Summary'!AU$100+'Weekly Summary'!AU$101,0)),'Equipment List &amp; Usage'!$C$115*(('Weekly Summary'!AU$128*'Equipment List &amp; Usage'!$AA29)+('Weekly Summary'!AU$100*'Equipment List &amp; Usage'!$AB29*SelfQuarantine_Mild)+('Weekly Summary'!AU$101*'Equipment List &amp; Usage'!$AB29*SelfQuarantine_Moderate)))+IF('Equipment List &amp; Usage'!$F29="Yes",('Equipment List &amp; Usage'!$C$114*(IF('Equipment List &amp; Usage'!$AE29&gt;0,'Weekly Summary'!AU$134,0)+IF('Equipment List &amp; Usage'!$AF29&gt;0,'Weekly Summary'!AU$135))),'Equipment List &amp; Usage'!$C$115*(('Weekly Summary'!AU$134*'Equipment List &amp; Usage'!$AE29)+('Weekly Summary'!AU$135*'Equipment List &amp; Usage'!$AF29)))),0)</f>
        <v>0</v>
      </c>
      <c r="BB27" s="1374">
        <f ca="1">MAX(IF($F27="Yes",(
IF($F27="yes",MMULT(--('Equipment List &amp; Usage'!$J29:$N29&gt;0),--('Weekly Summary'!AV$112:AV$116))*'Equipment List &amp; Usage'!$C$114,MMULT(--('Equipment List &amp; Usage'!$J29:$N29),--('Weekly Summary'!AV$112:AV$116))*'Equipment List &amp; Usage'!$C$115)+IF('Equipment List &amp; Usage'!$F28="yes",'Equipment List &amp; Usage'!$C$114,'Equipment List &amp; Usage'!$C$115)*(('Weekly Summary'!AV$66*'Equipment List &amp; Usage'!$Q29)+('Weekly Summary'!AV$64*'Equipment List &amp; Usage'!$O29)+('Weekly Summary'!AV$65*'Equipment List &amp; Usage'!$P29)))+(IF('Equipment List &amp; Usage'!$F29="Yes",'Equipment List &amp; Usage'!$C$114*((('Weekly Summary'!AV$131*SelfQuarantine_Mild)+('Weekly Summary'!AV$100*SelfQuarantine_Mild)+('Weekly Summary'!AV$101*SelfQuarantine_Moderate))),'Equipment List &amp; Usage'!$C$115)*((('Weekly Summary'!AV$131*SelfQuarantine_Mild*'Equipment List &amp; Usage'!$W29)+('Weekly Summary'!AV$100*SelfQuarantine_Mild*'Equipment List &amp; Usage'!$X29)+('Weekly Summary'!AV$101*SelfQuarantine_Moderate*'Equipment List &amp; Usage'!$X29)))+IF('Equipment List &amp; Usage'!$F29="Yes",'Equipment List &amp; Usage'!$C$114*(IF('Equipment List &amp; Usage'!$AA29&gt;0,'Weekly Summary'!AV$128,0)+IF('Equipment List &amp; Usage'!$AB29&gt;0,'Weekly Summary'!AV$100+'Weekly Summary'!AV$101,0)),'Equipment List &amp; Usage'!$C$115*(('Weekly Summary'!AV$128*'Equipment List &amp; Usage'!$AA29)+('Weekly Summary'!AV$100*'Equipment List &amp; Usage'!$AB29*SelfQuarantine_Mild)+('Weekly Summary'!AV$101*'Equipment List &amp; Usage'!$AB29*SelfQuarantine_Moderate)))+IF('Equipment List &amp; Usage'!$F29="Yes",('Equipment List &amp; Usage'!$C$114*(IF('Equipment List &amp; Usage'!$AE29&gt;0,'Weekly Summary'!AV$134,0)+IF('Equipment List &amp; Usage'!$AF29&gt;0,'Weekly Summary'!AV$135))),'Equipment List &amp; Usage'!$C$115*(('Weekly Summary'!AV$134*'Equipment List &amp; Usage'!$AE29)+('Weekly Summary'!AV$135*'Equipment List &amp; Usage'!$AF29))))-SUM($I27:BA27),
IF($F27="yes",MMULT(--('Equipment List &amp; Usage'!$J29:$N29&gt;0),--('Weekly Summary'!AV$112:AV$116))*'Equipment List &amp; Usage'!$C$114,MMULT(--('Equipment List &amp; Usage'!$J29:$N29),--('Weekly Summary'!AV$112:AV$116))*'Equipment List &amp; Usage'!$C$115)+IF('Equipment List &amp; Usage'!$F28="yes",'Equipment List &amp; Usage'!$C$114,'Equipment List &amp; Usage'!$C$115)*(('Weekly Summary'!AV$66*'Equipment List &amp; Usage'!$Q29)+('Weekly Summary'!AV$64*'Equipment List &amp; Usage'!$O29)+('Weekly Summary'!AV$65*'Equipment List &amp; Usage'!$P29))+(IF('Equipment List &amp; Usage'!$F29="Yes",'Equipment List &amp; Usage'!$C$114*((('Weekly Summary'!AV$131*SelfQuarantine_Mild)+('Weekly Summary'!AV$100*SelfQuarantine_Mild)+('Weekly Summary'!AV$101*SelfQuarantine_Moderate))),'Equipment List &amp; Usage'!$C$115)*((('Weekly Summary'!AV$131*SelfQuarantine_Mild*'Equipment List &amp; Usage'!$W29)+('Weekly Summary'!AV$100*SelfQuarantine_Mild*'Equipment List &amp; Usage'!$X29)+('Weekly Summary'!AV$101*SelfQuarantine_Moderate*'Equipment List &amp; Usage'!$X29))))+IF('Equipment List &amp; Usage'!$F29="Yes",'Equipment List &amp; Usage'!$C$114*(IF('Equipment List &amp; Usage'!$AA29&gt;0,'Weekly Summary'!AV$128,0)+IF('Equipment List &amp; Usage'!$AB29&gt;0,'Weekly Summary'!AV$100+'Weekly Summary'!AV$101,0)),'Equipment List &amp; Usage'!$C$115*(('Weekly Summary'!AV$128*'Equipment List &amp; Usage'!$AA29)+('Weekly Summary'!AV$100*'Equipment List &amp; Usage'!$AB29*SelfQuarantine_Mild)+('Weekly Summary'!AV$101*'Equipment List &amp; Usage'!$AB29*SelfQuarantine_Moderate)))+IF('Equipment List &amp; Usage'!$F29="Yes",('Equipment List &amp; Usage'!$C$114*(IF('Equipment List &amp; Usage'!$AE29&gt;0,'Weekly Summary'!AV$134,0)+IF('Equipment List &amp; Usage'!$AF29&gt;0,'Weekly Summary'!AV$135))),'Equipment List &amp; Usage'!$C$115*(('Weekly Summary'!AV$134*'Equipment List &amp; Usage'!$AE29)+('Weekly Summary'!AV$135*'Equipment List &amp; Usage'!$AF29)))),0)</f>
        <v>0</v>
      </c>
      <c r="BC27" s="1374">
        <f ca="1">MAX(IF($F27="Yes",(
IF($F27="yes",MMULT(--('Equipment List &amp; Usage'!$J29:$N29&gt;0),--('Weekly Summary'!AW$112:AW$116))*'Equipment List &amp; Usage'!$C$114,MMULT(--('Equipment List &amp; Usage'!$J29:$N29),--('Weekly Summary'!AW$112:AW$116))*'Equipment List &amp; Usage'!$C$115)+IF('Equipment List &amp; Usage'!$F28="yes",'Equipment List &amp; Usage'!$C$114,'Equipment List &amp; Usage'!$C$115)*(('Weekly Summary'!AW$66*'Equipment List &amp; Usage'!$Q29)+('Weekly Summary'!AW$64*'Equipment List &amp; Usage'!$O29)+('Weekly Summary'!AW$65*'Equipment List &amp; Usage'!$P29)))+(IF('Equipment List &amp; Usage'!$F29="Yes",'Equipment List &amp; Usage'!$C$114*((('Weekly Summary'!AW$131*SelfQuarantine_Mild)+('Weekly Summary'!AW$100*SelfQuarantine_Mild)+('Weekly Summary'!AW$101*SelfQuarantine_Moderate))),'Equipment List &amp; Usage'!$C$115)*((('Weekly Summary'!AW$131*SelfQuarantine_Mild*'Equipment List &amp; Usage'!$W29)+('Weekly Summary'!AW$100*SelfQuarantine_Mild*'Equipment List &amp; Usage'!$X29)+('Weekly Summary'!AW$101*SelfQuarantine_Moderate*'Equipment List &amp; Usage'!$X29)))+IF('Equipment List &amp; Usage'!$F29="Yes",'Equipment List &amp; Usage'!$C$114*(IF('Equipment List &amp; Usage'!$AA29&gt;0,'Weekly Summary'!AW$128,0)+IF('Equipment List &amp; Usage'!$AB29&gt;0,'Weekly Summary'!AW$100+'Weekly Summary'!AW$101,0)),'Equipment List &amp; Usage'!$C$115*(('Weekly Summary'!AW$128*'Equipment List &amp; Usage'!$AA29)+('Weekly Summary'!AW$100*'Equipment List &amp; Usage'!$AB29*SelfQuarantine_Mild)+('Weekly Summary'!AW$101*'Equipment List &amp; Usage'!$AB29*SelfQuarantine_Moderate)))+IF('Equipment List &amp; Usage'!$F29="Yes",('Equipment List &amp; Usage'!$C$114*(IF('Equipment List &amp; Usage'!$AE29&gt;0,'Weekly Summary'!AW$134,0)+IF('Equipment List &amp; Usage'!$AF29&gt;0,'Weekly Summary'!AW$135))),'Equipment List &amp; Usage'!$C$115*(('Weekly Summary'!AW$134*'Equipment List &amp; Usage'!$AE29)+('Weekly Summary'!AW$135*'Equipment List &amp; Usage'!$AF29))))-SUM($I27:BB27),
IF($F27="yes",MMULT(--('Equipment List &amp; Usage'!$J29:$N29&gt;0),--('Weekly Summary'!AW$112:AW$116))*'Equipment List &amp; Usage'!$C$114,MMULT(--('Equipment List &amp; Usage'!$J29:$N29),--('Weekly Summary'!AW$112:AW$116))*'Equipment List &amp; Usage'!$C$115)+IF('Equipment List &amp; Usage'!$F28="yes",'Equipment List &amp; Usage'!$C$114,'Equipment List &amp; Usage'!$C$115)*(('Weekly Summary'!AW$66*'Equipment List &amp; Usage'!$Q29)+('Weekly Summary'!AW$64*'Equipment List &amp; Usage'!$O29)+('Weekly Summary'!AW$65*'Equipment List &amp; Usage'!$P29))+(IF('Equipment List &amp; Usage'!$F29="Yes",'Equipment List &amp; Usage'!$C$114*((('Weekly Summary'!AW$131*SelfQuarantine_Mild)+('Weekly Summary'!AW$100*SelfQuarantine_Mild)+('Weekly Summary'!AW$101*SelfQuarantine_Moderate))),'Equipment List &amp; Usage'!$C$115)*((('Weekly Summary'!AW$131*SelfQuarantine_Mild*'Equipment List &amp; Usage'!$W29)+('Weekly Summary'!AW$100*SelfQuarantine_Mild*'Equipment List &amp; Usage'!$X29)+('Weekly Summary'!AW$101*SelfQuarantine_Moderate*'Equipment List &amp; Usage'!$X29))))+IF('Equipment List &amp; Usage'!$F29="Yes",'Equipment List &amp; Usage'!$C$114*(IF('Equipment List &amp; Usage'!$AA29&gt;0,'Weekly Summary'!AW$128,0)+IF('Equipment List &amp; Usage'!$AB29&gt;0,'Weekly Summary'!AW$100+'Weekly Summary'!AW$101,0)),'Equipment List &amp; Usage'!$C$115*(('Weekly Summary'!AW$128*'Equipment List &amp; Usage'!$AA29)+('Weekly Summary'!AW$100*'Equipment List &amp; Usage'!$AB29*SelfQuarantine_Mild)+('Weekly Summary'!AW$101*'Equipment List &amp; Usage'!$AB29*SelfQuarantine_Moderate)))+IF('Equipment List &amp; Usage'!$F29="Yes",('Equipment List &amp; Usage'!$C$114*(IF('Equipment List &amp; Usage'!$AE29&gt;0,'Weekly Summary'!AW$134,0)+IF('Equipment List &amp; Usage'!$AF29&gt;0,'Weekly Summary'!AW$135))),'Equipment List &amp; Usage'!$C$115*(('Weekly Summary'!AW$134*'Equipment List &amp; Usage'!$AE29)+('Weekly Summary'!AW$135*'Equipment List &amp; Usage'!$AF29)))),0)</f>
        <v>0</v>
      </c>
      <c r="BD27" s="1374">
        <f ca="1">MAX(IF($F27="Yes",(
IF($F27="yes",MMULT(--('Equipment List &amp; Usage'!$J29:$N29&gt;0),--('Weekly Summary'!AX$112:AX$116))*'Equipment List &amp; Usage'!$C$114,MMULT(--('Equipment List &amp; Usage'!$J29:$N29),--('Weekly Summary'!AX$112:AX$116))*'Equipment List &amp; Usage'!$C$115)+IF('Equipment List &amp; Usage'!$F28="yes",'Equipment List &amp; Usage'!$C$114,'Equipment List &amp; Usage'!$C$115)*(('Weekly Summary'!AX$66*'Equipment List &amp; Usage'!$Q29)+('Weekly Summary'!AX$64*'Equipment List &amp; Usage'!$O29)+('Weekly Summary'!AX$65*'Equipment List &amp; Usage'!$P29)))+(IF('Equipment List &amp; Usage'!$F29="Yes",'Equipment List &amp; Usage'!$C$114*((('Weekly Summary'!AX$131*SelfQuarantine_Mild)+('Weekly Summary'!AX$100*SelfQuarantine_Mild)+('Weekly Summary'!AX$101*SelfQuarantine_Moderate))),'Equipment List &amp; Usage'!$C$115)*((('Weekly Summary'!AX$131*SelfQuarantine_Mild*'Equipment List &amp; Usage'!$W29)+('Weekly Summary'!AX$100*SelfQuarantine_Mild*'Equipment List &amp; Usage'!$X29)+('Weekly Summary'!AX$101*SelfQuarantine_Moderate*'Equipment List &amp; Usage'!$X29)))+IF('Equipment List &amp; Usage'!$F29="Yes",'Equipment List &amp; Usage'!$C$114*(IF('Equipment List &amp; Usage'!$AA29&gt;0,'Weekly Summary'!AX$128,0)+IF('Equipment List &amp; Usage'!$AB29&gt;0,'Weekly Summary'!AX$100+'Weekly Summary'!AX$101,0)),'Equipment List &amp; Usage'!$C$115*(('Weekly Summary'!AX$128*'Equipment List &amp; Usage'!$AA29)+('Weekly Summary'!AX$100*'Equipment List &amp; Usage'!$AB29*SelfQuarantine_Mild)+('Weekly Summary'!AX$101*'Equipment List &amp; Usage'!$AB29*SelfQuarantine_Moderate)))+IF('Equipment List &amp; Usage'!$F29="Yes",('Equipment List &amp; Usage'!$C$114*(IF('Equipment List &amp; Usage'!$AE29&gt;0,'Weekly Summary'!AX$134,0)+IF('Equipment List &amp; Usage'!$AF29&gt;0,'Weekly Summary'!AX$135))),'Equipment List &amp; Usage'!$C$115*(('Weekly Summary'!AX$134*'Equipment List &amp; Usage'!$AE29)+('Weekly Summary'!AX$135*'Equipment List &amp; Usage'!$AF29))))-SUM($I27:BC27),
IF($F27="yes",MMULT(--('Equipment List &amp; Usage'!$J29:$N29&gt;0),--('Weekly Summary'!AX$112:AX$116))*'Equipment List &amp; Usage'!$C$114,MMULT(--('Equipment List &amp; Usage'!$J29:$N29),--('Weekly Summary'!AX$112:AX$116))*'Equipment List &amp; Usage'!$C$115)+IF('Equipment List &amp; Usage'!$F28="yes",'Equipment List &amp; Usage'!$C$114,'Equipment List &amp; Usage'!$C$115)*(('Weekly Summary'!AX$66*'Equipment List &amp; Usage'!$Q29)+('Weekly Summary'!AX$64*'Equipment List &amp; Usage'!$O29)+('Weekly Summary'!AX$65*'Equipment List &amp; Usage'!$P29))+(IF('Equipment List &amp; Usage'!$F29="Yes",'Equipment List &amp; Usage'!$C$114*((('Weekly Summary'!AX$131*SelfQuarantine_Mild)+('Weekly Summary'!AX$100*SelfQuarantine_Mild)+('Weekly Summary'!AX$101*SelfQuarantine_Moderate))),'Equipment List &amp; Usage'!$C$115)*((('Weekly Summary'!AX$131*SelfQuarantine_Mild*'Equipment List &amp; Usage'!$W29)+('Weekly Summary'!AX$100*SelfQuarantine_Mild*'Equipment List &amp; Usage'!$X29)+('Weekly Summary'!AX$101*SelfQuarantine_Moderate*'Equipment List &amp; Usage'!$X29))))+IF('Equipment List &amp; Usage'!$F29="Yes",'Equipment List &amp; Usage'!$C$114*(IF('Equipment List &amp; Usage'!$AA29&gt;0,'Weekly Summary'!AX$128,0)+IF('Equipment List &amp; Usage'!$AB29&gt;0,'Weekly Summary'!AX$100+'Weekly Summary'!AX$101,0)),'Equipment List &amp; Usage'!$C$115*(('Weekly Summary'!AX$128*'Equipment List &amp; Usage'!$AA29)+('Weekly Summary'!AX$100*'Equipment List &amp; Usage'!$AB29*SelfQuarantine_Mild)+('Weekly Summary'!AX$101*'Equipment List &amp; Usage'!$AB29*SelfQuarantine_Moderate)))+IF('Equipment List &amp; Usage'!$F29="Yes",('Equipment List &amp; Usage'!$C$114*(IF('Equipment List &amp; Usage'!$AE29&gt;0,'Weekly Summary'!AX$134,0)+IF('Equipment List &amp; Usage'!$AF29&gt;0,'Weekly Summary'!AX$135))),'Equipment List &amp; Usage'!$C$115*(('Weekly Summary'!AX$134*'Equipment List &amp; Usage'!$AE29)+('Weekly Summary'!AX$135*'Equipment List &amp; Usage'!$AF29)))),0)</f>
        <v>0</v>
      </c>
      <c r="BE27" s="1374">
        <f ca="1">MAX(IF($F27="Yes",(
IF($F27="yes",MMULT(--('Equipment List &amp; Usage'!$J29:$N29&gt;0),--('Weekly Summary'!AY$112:AY$116))*'Equipment List &amp; Usage'!$C$114,MMULT(--('Equipment List &amp; Usage'!$J29:$N29),--('Weekly Summary'!AY$112:AY$116))*'Equipment List &amp; Usage'!$C$115)+IF('Equipment List &amp; Usage'!$F28="yes",'Equipment List &amp; Usage'!$C$114,'Equipment List &amp; Usage'!$C$115)*(('Weekly Summary'!AY$66*'Equipment List &amp; Usage'!$Q29)+('Weekly Summary'!AY$64*'Equipment List &amp; Usage'!$O29)+('Weekly Summary'!AY$65*'Equipment List &amp; Usage'!$P29)))+(IF('Equipment List &amp; Usage'!$F29="Yes",'Equipment List &amp; Usage'!$C$114*((('Weekly Summary'!AY$131*SelfQuarantine_Mild)+('Weekly Summary'!AY$100*SelfQuarantine_Mild)+('Weekly Summary'!AY$101*SelfQuarantine_Moderate))),'Equipment List &amp; Usage'!$C$115)*((('Weekly Summary'!AY$131*SelfQuarantine_Mild*'Equipment List &amp; Usage'!$W29)+('Weekly Summary'!AY$100*SelfQuarantine_Mild*'Equipment List &amp; Usage'!$X29)+('Weekly Summary'!AY$101*SelfQuarantine_Moderate*'Equipment List &amp; Usage'!$X29)))+IF('Equipment List &amp; Usage'!$F29="Yes",'Equipment List &amp; Usage'!$C$114*(IF('Equipment List &amp; Usage'!$AA29&gt;0,'Weekly Summary'!AY$128,0)+IF('Equipment List &amp; Usage'!$AB29&gt;0,'Weekly Summary'!AY$100+'Weekly Summary'!AY$101,0)),'Equipment List &amp; Usage'!$C$115*(('Weekly Summary'!AY$128*'Equipment List &amp; Usage'!$AA29)+('Weekly Summary'!AY$100*'Equipment List &amp; Usage'!$AB29*SelfQuarantine_Mild)+('Weekly Summary'!AY$101*'Equipment List &amp; Usage'!$AB29*SelfQuarantine_Moderate)))+IF('Equipment List &amp; Usage'!$F29="Yes",('Equipment List &amp; Usage'!$C$114*(IF('Equipment List &amp; Usage'!$AE29&gt;0,'Weekly Summary'!AY$134,0)+IF('Equipment List &amp; Usage'!$AF29&gt;0,'Weekly Summary'!AY$135))),'Equipment List &amp; Usage'!$C$115*(('Weekly Summary'!AY$134*'Equipment List &amp; Usage'!$AE29)+('Weekly Summary'!AY$135*'Equipment List &amp; Usage'!$AF29))))-SUM($I27:BD27),
IF($F27="yes",MMULT(--('Equipment List &amp; Usage'!$J29:$N29&gt;0),--('Weekly Summary'!AY$112:AY$116))*'Equipment List &amp; Usage'!$C$114,MMULT(--('Equipment List &amp; Usage'!$J29:$N29),--('Weekly Summary'!AY$112:AY$116))*'Equipment List &amp; Usage'!$C$115)+IF('Equipment List &amp; Usage'!$F28="yes",'Equipment List &amp; Usage'!$C$114,'Equipment List &amp; Usage'!$C$115)*(('Weekly Summary'!AY$66*'Equipment List &amp; Usage'!$Q29)+('Weekly Summary'!AY$64*'Equipment List &amp; Usage'!$O29)+('Weekly Summary'!AY$65*'Equipment List &amp; Usage'!$P29))+(IF('Equipment List &amp; Usage'!$F29="Yes",'Equipment List &amp; Usage'!$C$114*((('Weekly Summary'!AY$131*SelfQuarantine_Mild)+('Weekly Summary'!AY$100*SelfQuarantine_Mild)+('Weekly Summary'!AY$101*SelfQuarantine_Moderate))),'Equipment List &amp; Usage'!$C$115)*((('Weekly Summary'!AY$131*SelfQuarantine_Mild*'Equipment List &amp; Usage'!$W29)+('Weekly Summary'!AY$100*SelfQuarantine_Mild*'Equipment List &amp; Usage'!$X29)+('Weekly Summary'!AY$101*SelfQuarantine_Moderate*'Equipment List &amp; Usage'!$X29))))+IF('Equipment List &amp; Usage'!$F29="Yes",'Equipment List &amp; Usage'!$C$114*(IF('Equipment List &amp; Usage'!$AA29&gt;0,'Weekly Summary'!AY$128,0)+IF('Equipment List &amp; Usage'!$AB29&gt;0,'Weekly Summary'!AY$100+'Weekly Summary'!AY$101,0)),'Equipment List &amp; Usage'!$C$115*(('Weekly Summary'!AY$128*'Equipment List &amp; Usage'!$AA29)+('Weekly Summary'!AY$100*'Equipment List &amp; Usage'!$AB29*SelfQuarantine_Mild)+('Weekly Summary'!AY$101*'Equipment List &amp; Usage'!$AB29*SelfQuarantine_Moderate)))+IF('Equipment List &amp; Usage'!$F29="Yes",('Equipment List &amp; Usage'!$C$114*(IF('Equipment List &amp; Usage'!$AE29&gt;0,'Weekly Summary'!AY$134,0)+IF('Equipment List &amp; Usage'!$AF29&gt;0,'Weekly Summary'!AY$135))),'Equipment List &amp; Usage'!$C$115*(('Weekly Summary'!AY$134*'Equipment List &amp; Usage'!$AE29)+('Weekly Summary'!AY$135*'Equipment List &amp; Usage'!$AF29)))),0)</f>
        <v>0</v>
      </c>
      <c r="BF27" s="1374">
        <f ca="1">MAX(IF($F27="Yes",(
IF($F27="yes",MMULT(--('Equipment List &amp; Usage'!$J29:$N29&gt;0),--('Weekly Summary'!AZ$112:AZ$116))*'Equipment List &amp; Usage'!$C$114,MMULT(--('Equipment List &amp; Usage'!$J29:$N29),--('Weekly Summary'!AZ$112:AZ$116))*'Equipment List &amp; Usage'!$C$115)+IF('Equipment List &amp; Usage'!$F28="yes",'Equipment List &amp; Usage'!$C$114,'Equipment List &amp; Usage'!$C$115)*(('Weekly Summary'!AZ$66*'Equipment List &amp; Usage'!$Q29)+('Weekly Summary'!AZ$64*'Equipment List &amp; Usage'!$O29)+('Weekly Summary'!AZ$65*'Equipment List &amp; Usage'!$P29)))+(IF('Equipment List &amp; Usage'!$F29="Yes",'Equipment List &amp; Usage'!$C$114*((('Weekly Summary'!AZ$131*SelfQuarantine_Mild)+('Weekly Summary'!AZ$100*SelfQuarantine_Mild)+('Weekly Summary'!AZ$101*SelfQuarantine_Moderate))),'Equipment List &amp; Usage'!$C$115)*((('Weekly Summary'!AZ$131*SelfQuarantine_Mild*'Equipment List &amp; Usage'!$W29)+('Weekly Summary'!AZ$100*SelfQuarantine_Mild*'Equipment List &amp; Usage'!$X29)+('Weekly Summary'!AZ$101*SelfQuarantine_Moderate*'Equipment List &amp; Usage'!$X29)))+IF('Equipment List &amp; Usage'!$F29="Yes",'Equipment List &amp; Usage'!$C$114*(IF('Equipment List &amp; Usage'!$AA29&gt;0,'Weekly Summary'!AZ$128,0)+IF('Equipment List &amp; Usage'!$AB29&gt;0,'Weekly Summary'!AZ$100+'Weekly Summary'!AZ$101,0)),'Equipment List &amp; Usage'!$C$115*(('Weekly Summary'!AZ$128*'Equipment List &amp; Usage'!$AA29)+('Weekly Summary'!AZ$100*'Equipment List &amp; Usage'!$AB29*SelfQuarantine_Mild)+('Weekly Summary'!AZ$101*'Equipment List &amp; Usage'!$AB29*SelfQuarantine_Moderate)))+IF('Equipment List &amp; Usage'!$F29="Yes",('Equipment List &amp; Usage'!$C$114*(IF('Equipment List &amp; Usage'!$AE29&gt;0,'Weekly Summary'!AZ$134,0)+IF('Equipment List &amp; Usage'!$AF29&gt;0,'Weekly Summary'!AZ$135))),'Equipment List &amp; Usage'!$C$115*(('Weekly Summary'!AZ$134*'Equipment List &amp; Usage'!$AE29)+('Weekly Summary'!AZ$135*'Equipment List &amp; Usage'!$AF29))))-SUM($I27:BE27),
IF($F27="yes",MMULT(--('Equipment List &amp; Usage'!$J29:$N29&gt;0),--('Weekly Summary'!AZ$112:AZ$116))*'Equipment List &amp; Usage'!$C$114,MMULT(--('Equipment List &amp; Usage'!$J29:$N29),--('Weekly Summary'!AZ$112:AZ$116))*'Equipment List &amp; Usage'!$C$115)+IF('Equipment List &amp; Usage'!$F28="yes",'Equipment List &amp; Usage'!$C$114,'Equipment List &amp; Usage'!$C$115)*(('Weekly Summary'!AZ$66*'Equipment List &amp; Usage'!$Q29)+('Weekly Summary'!AZ$64*'Equipment List &amp; Usage'!$O29)+('Weekly Summary'!AZ$65*'Equipment List &amp; Usage'!$P29))+(IF('Equipment List &amp; Usage'!$F29="Yes",'Equipment List &amp; Usage'!$C$114*((('Weekly Summary'!AZ$131*SelfQuarantine_Mild)+('Weekly Summary'!AZ$100*SelfQuarantine_Mild)+('Weekly Summary'!AZ$101*SelfQuarantine_Moderate))),'Equipment List &amp; Usage'!$C$115)*((('Weekly Summary'!AZ$131*SelfQuarantine_Mild*'Equipment List &amp; Usage'!$W29)+('Weekly Summary'!AZ$100*SelfQuarantine_Mild*'Equipment List &amp; Usage'!$X29)+('Weekly Summary'!AZ$101*SelfQuarantine_Moderate*'Equipment List &amp; Usage'!$X29))))+IF('Equipment List &amp; Usage'!$F29="Yes",'Equipment List &amp; Usage'!$C$114*(IF('Equipment List &amp; Usage'!$AA29&gt;0,'Weekly Summary'!AZ$128,0)+IF('Equipment List &amp; Usage'!$AB29&gt;0,'Weekly Summary'!AZ$100+'Weekly Summary'!AZ$101,0)),'Equipment List &amp; Usage'!$C$115*(('Weekly Summary'!AZ$128*'Equipment List &amp; Usage'!$AA29)+('Weekly Summary'!AZ$100*'Equipment List &amp; Usage'!$AB29*SelfQuarantine_Mild)+('Weekly Summary'!AZ$101*'Equipment List &amp; Usage'!$AB29*SelfQuarantine_Moderate)))+IF('Equipment List &amp; Usage'!$F29="Yes",('Equipment List &amp; Usage'!$C$114*(IF('Equipment List &amp; Usage'!$AE29&gt;0,'Weekly Summary'!AZ$134,0)+IF('Equipment List &amp; Usage'!$AF29&gt;0,'Weekly Summary'!AZ$135))),'Equipment List &amp; Usage'!$C$115*(('Weekly Summary'!AZ$134*'Equipment List &amp; Usage'!$AE29)+('Weekly Summary'!AZ$135*'Equipment List &amp; Usage'!$AF29)))),0)</f>
        <v>0</v>
      </c>
      <c r="BG27" s="1374">
        <f ca="1">MAX(IF($F27="Yes",(
IF($F27="yes",MMULT(--('Equipment List &amp; Usage'!$J29:$N29&gt;0),--('Weekly Summary'!BA$112:BA$116))*'Equipment List &amp; Usage'!$C$114,MMULT(--('Equipment List &amp; Usage'!$J29:$N29),--('Weekly Summary'!BA$112:BA$116))*'Equipment List &amp; Usage'!$C$115)+IF('Equipment List &amp; Usage'!$F28="yes",'Equipment List &amp; Usage'!$C$114,'Equipment List &amp; Usage'!$C$115)*(('Weekly Summary'!BA$66*'Equipment List &amp; Usage'!$Q29)+('Weekly Summary'!BA$64*'Equipment List &amp; Usage'!$O29)+('Weekly Summary'!BA$65*'Equipment List &amp; Usage'!$P29)))+(IF('Equipment List &amp; Usage'!$F29="Yes",'Equipment List &amp; Usage'!$C$114*((('Weekly Summary'!BA$131*SelfQuarantine_Mild)+('Weekly Summary'!BA$100*SelfQuarantine_Mild)+('Weekly Summary'!BA$101*SelfQuarantine_Moderate))),'Equipment List &amp; Usage'!$C$115)*((('Weekly Summary'!BA$131*SelfQuarantine_Mild*'Equipment List &amp; Usage'!$W29)+('Weekly Summary'!BA$100*SelfQuarantine_Mild*'Equipment List &amp; Usage'!$X29)+('Weekly Summary'!BA$101*SelfQuarantine_Moderate*'Equipment List &amp; Usage'!$X29)))+IF('Equipment List &amp; Usage'!$F29="Yes",'Equipment List &amp; Usage'!$C$114*(IF('Equipment List &amp; Usage'!$AA29&gt;0,'Weekly Summary'!BA$128,0)+IF('Equipment List &amp; Usage'!$AB29&gt;0,'Weekly Summary'!BA$100+'Weekly Summary'!BA$101,0)),'Equipment List &amp; Usage'!$C$115*(('Weekly Summary'!BA$128*'Equipment List &amp; Usage'!$AA29)+('Weekly Summary'!BA$100*'Equipment List &amp; Usage'!$AB29*SelfQuarantine_Mild)+('Weekly Summary'!BA$101*'Equipment List &amp; Usage'!$AB29*SelfQuarantine_Moderate)))+IF('Equipment List &amp; Usage'!$F29="Yes",('Equipment List &amp; Usage'!$C$114*(IF('Equipment List &amp; Usage'!$AE29&gt;0,'Weekly Summary'!BA$134,0)+IF('Equipment List &amp; Usage'!$AF29&gt;0,'Weekly Summary'!BA$135))),'Equipment List &amp; Usage'!$C$115*(('Weekly Summary'!BA$134*'Equipment List &amp; Usage'!$AE29)+('Weekly Summary'!BA$135*'Equipment List &amp; Usage'!$AF29))))-SUM($I27:BF27),
IF($F27="yes",MMULT(--('Equipment List &amp; Usage'!$J29:$N29&gt;0),--('Weekly Summary'!BA$112:BA$116))*'Equipment List &amp; Usage'!$C$114,MMULT(--('Equipment List &amp; Usage'!$J29:$N29),--('Weekly Summary'!BA$112:BA$116))*'Equipment List &amp; Usage'!$C$115)+IF('Equipment List &amp; Usage'!$F28="yes",'Equipment List &amp; Usage'!$C$114,'Equipment List &amp; Usage'!$C$115)*(('Weekly Summary'!BA$66*'Equipment List &amp; Usage'!$Q29)+('Weekly Summary'!BA$64*'Equipment List &amp; Usage'!$O29)+('Weekly Summary'!BA$65*'Equipment List &amp; Usage'!$P29))+(IF('Equipment List &amp; Usage'!$F29="Yes",'Equipment List &amp; Usage'!$C$114*((('Weekly Summary'!BA$131*SelfQuarantine_Mild)+('Weekly Summary'!BA$100*SelfQuarantine_Mild)+('Weekly Summary'!BA$101*SelfQuarantine_Moderate))),'Equipment List &amp; Usage'!$C$115)*((('Weekly Summary'!BA$131*SelfQuarantine_Mild*'Equipment List &amp; Usage'!$W29)+('Weekly Summary'!BA$100*SelfQuarantine_Mild*'Equipment List &amp; Usage'!$X29)+('Weekly Summary'!BA$101*SelfQuarantine_Moderate*'Equipment List &amp; Usage'!$X29))))+IF('Equipment List &amp; Usage'!$F29="Yes",'Equipment List &amp; Usage'!$C$114*(IF('Equipment List &amp; Usage'!$AA29&gt;0,'Weekly Summary'!BA$128,0)+IF('Equipment List &amp; Usage'!$AB29&gt;0,'Weekly Summary'!BA$100+'Weekly Summary'!BA$101,0)),'Equipment List &amp; Usage'!$C$115*(('Weekly Summary'!BA$128*'Equipment List &amp; Usage'!$AA29)+('Weekly Summary'!BA$100*'Equipment List &amp; Usage'!$AB29*SelfQuarantine_Mild)+('Weekly Summary'!BA$101*'Equipment List &amp; Usage'!$AB29*SelfQuarantine_Moderate)))+IF('Equipment List &amp; Usage'!$F29="Yes",('Equipment List &amp; Usage'!$C$114*(IF('Equipment List &amp; Usage'!$AE29&gt;0,'Weekly Summary'!BA$134,0)+IF('Equipment List &amp; Usage'!$AF29&gt;0,'Weekly Summary'!BA$135))),'Equipment List &amp; Usage'!$C$115*(('Weekly Summary'!BA$134*'Equipment List &amp; Usage'!$AE29)+('Weekly Summary'!BA$135*'Equipment List &amp; Usage'!$AF29)))),0)</f>
        <v>0</v>
      </c>
      <c r="BH27" s="1374">
        <f ca="1">MAX(IF($F27="Yes",(
IF($F27="yes",MMULT(--('Equipment List &amp; Usage'!$J29:$N29&gt;0),--('Weekly Summary'!BB$112:BB$116))*'Equipment List &amp; Usage'!$C$114,MMULT(--('Equipment List &amp; Usage'!$J29:$N29),--('Weekly Summary'!BB$112:BB$116))*'Equipment List &amp; Usage'!$C$115)+IF('Equipment List &amp; Usage'!$F28="yes",'Equipment List &amp; Usage'!$C$114,'Equipment List &amp; Usage'!$C$115)*(('Weekly Summary'!BB$66*'Equipment List &amp; Usage'!$Q29)+('Weekly Summary'!BB$64*'Equipment List &amp; Usage'!$O29)+('Weekly Summary'!BB$65*'Equipment List &amp; Usage'!$P29)))+(IF('Equipment List &amp; Usage'!$F29="Yes",'Equipment List &amp; Usage'!$C$114*((('Weekly Summary'!BB$131*SelfQuarantine_Mild)+('Weekly Summary'!BB$100*SelfQuarantine_Mild)+('Weekly Summary'!BB$101*SelfQuarantine_Moderate))),'Equipment List &amp; Usage'!$C$115)*((('Weekly Summary'!BB$131*SelfQuarantine_Mild*'Equipment List &amp; Usage'!$W29)+('Weekly Summary'!BB$100*SelfQuarantine_Mild*'Equipment List &amp; Usage'!$X29)+('Weekly Summary'!BB$101*SelfQuarantine_Moderate*'Equipment List &amp; Usage'!$X29)))+IF('Equipment List &amp; Usage'!$F29="Yes",'Equipment List &amp; Usage'!$C$114*(IF('Equipment List &amp; Usage'!$AA29&gt;0,'Weekly Summary'!BB$128,0)+IF('Equipment List &amp; Usage'!$AB29&gt;0,'Weekly Summary'!BB$100+'Weekly Summary'!BB$101,0)),'Equipment List &amp; Usage'!$C$115*(('Weekly Summary'!BB$128*'Equipment List &amp; Usage'!$AA29)+('Weekly Summary'!BB$100*'Equipment List &amp; Usage'!$AB29*SelfQuarantine_Mild)+('Weekly Summary'!BB$101*'Equipment List &amp; Usage'!$AB29*SelfQuarantine_Moderate)))+IF('Equipment List &amp; Usage'!$F29="Yes",('Equipment List &amp; Usage'!$C$114*(IF('Equipment List &amp; Usage'!$AE29&gt;0,'Weekly Summary'!BB$134,0)+IF('Equipment List &amp; Usage'!$AF29&gt;0,'Weekly Summary'!BB$135))),'Equipment List &amp; Usage'!$C$115*(('Weekly Summary'!BB$134*'Equipment List &amp; Usage'!$AE29)+('Weekly Summary'!BB$135*'Equipment List &amp; Usage'!$AF29))))-SUM($I27:BG27),
IF($F27="yes",MMULT(--('Equipment List &amp; Usage'!$J29:$N29&gt;0),--('Weekly Summary'!BB$112:BB$116))*'Equipment List &amp; Usage'!$C$114,MMULT(--('Equipment List &amp; Usage'!$J29:$N29),--('Weekly Summary'!BB$112:BB$116))*'Equipment List &amp; Usage'!$C$115)+IF('Equipment List &amp; Usage'!$F28="yes",'Equipment List &amp; Usage'!$C$114,'Equipment List &amp; Usage'!$C$115)*(('Weekly Summary'!BB$66*'Equipment List &amp; Usage'!$Q29)+('Weekly Summary'!BB$64*'Equipment List &amp; Usage'!$O29)+('Weekly Summary'!BB$65*'Equipment List &amp; Usage'!$P29))+(IF('Equipment List &amp; Usage'!$F29="Yes",'Equipment List &amp; Usage'!$C$114*((('Weekly Summary'!BB$131*SelfQuarantine_Mild)+('Weekly Summary'!BB$100*SelfQuarantine_Mild)+('Weekly Summary'!BB$101*SelfQuarantine_Moderate))),'Equipment List &amp; Usage'!$C$115)*((('Weekly Summary'!BB$131*SelfQuarantine_Mild*'Equipment List &amp; Usage'!$W29)+('Weekly Summary'!BB$100*SelfQuarantine_Mild*'Equipment List &amp; Usage'!$X29)+('Weekly Summary'!BB$101*SelfQuarantine_Moderate*'Equipment List &amp; Usage'!$X29))))+IF('Equipment List &amp; Usage'!$F29="Yes",'Equipment List &amp; Usage'!$C$114*(IF('Equipment List &amp; Usage'!$AA29&gt;0,'Weekly Summary'!BB$128,0)+IF('Equipment List &amp; Usage'!$AB29&gt;0,'Weekly Summary'!BB$100+'Weekly Summary'!BB$101,0)),'Equipment List &amp; Usage'!$C$115*(('Weekly Summary'!BB$128*'Equipment List &amp; Usage'!$AA29)+('Weekly Summary'!BB$100*'Equipment List &amp; Usage'!$AB29*SelfQuarantine_Mild)+('Weekly Summary'!BB$101*'Equipment List &amp; Usage'!$AB29*SelfQuarantine_Moderate)))+IF('Equipment List &amp; Usage'!$F29="Yes",('Equipment List &amp; Usage'!$C$114*(IF('Equipment List &amp; Usage'!$AE29&gt;0,'Weekly Summary'!BB$134,0)+IF('Equipment List &amp; Usage'!$AF29&gt;0,'Weekly Summary'!BB$135))),'Equipment List &amp; Usage'!$C$115*(('Weekly Summary'!BB$134*'Equipment List &amp; Usage'!$AE29)+('Weekly Summary'!BB$135*'Equipment List &amp; Usage'!$AF29)))),0)</f>
        <v>0</v>
      </c>
      <c r="BI27" s="1374">
        <f ca="1">MAX(IF($F27="Yes",(
IF($F27="yes",MMULT(--('Equipment List &amp; Usage'!$J29:$N29&gt;0),--('Weekly Summary'!BC$112:BC$116))*'Equipment List &amp; Usage'!$C$114,MMULT(--('Equipment List &amp; Usage'!$J29:$N29),--('Weekly Summary'!BC$112:BC$116))*'Equipment List &amp; Usage'!$C$115)+IF('Equipment List &amp; Usage'!$F28="yes",'Equipment List &amp; Usage'!$C$114,'Equipment List &amp; Usage'!$C$115)*(('Weekly Summary'!BC$66*'Equipment List &amp; Usage'!$Q29)+('Weekly Summary'!BC$64*'Equipment List &amp; Usage'!$O29)+('Weekly Summary'!BC$65*'Equipment List &amp; Usage'!$P29)))+(IF('Equipment List &amp; Usage'!$F29="Yes",'Equipment List &amp; Usage'!$C$114*((('Weekly Summary'!BC$131*SelfQuarantine_Mild)+('Weekly Summary'!BC$100*SelfQuarantine_Mild)+('Weekly Summary'!BC$101*SelfQuarantine_Moderate))),'Equipment List &amp; Usage'!$C$115)*((('Weekly Summary'!BC$131*SelfQuarantine_Mild*'Equipment List &amp; Usage'!$W29)+('Weekly Summary'!BC$100*SelfQuarantine_Mild*'Equipment List &amp; Usage'!$X29)+('Weekly Summary'!BC$101*SelfQuarantine_Moderate*'Equipment List &amp; Usage'!$X29)))+IF('Equipment List &amp; Usage'!$F29="Yes",'Equipment List &amp; Usage'!$C$114*(IF('Equipment List &amp; Usage'!$AA29&gt;0,'Weekly Summary'!BC$128,0)+IF('Equipment List &amp; Usage'!$AB29&gt;0,'Weekly Summary'!BC$100+'Weekly Summary'!BC$101,0)),'Equipment List &amp; Usage'!$C$115*(('Weekly Summary'!BC$128*'Equipment List &amp; Usage'!$AA29)+('Weekly Summary'!BC$100*'Equipment List &amp; Usage'!$AB29*SelfQuarantine_Mild)+('Weekly Summary'!BC$101*'Equipment List &amp; Usage'!$AB29*SelfQuarantine_Moderate)))+IF('Equipment List &amp; Usage'!$F29="Yes",('Equipment List &amp; Usage'!$C$114*(IF('Equipment List &amp; Usage'!$AE29&gt;0,'Weekly Summary'!BC$134,0)+IF('Equipment List &amp; Usage'!$AF29&gt;0,'Weekly Summary'!BC$135))),'Equipment List &amp; Usage'!$C$115*(('Weekly Summary'!BC$134*'Equipment List &amp; Usage'!$AE29)+('Weekly Summary'!BC$135*'Equipment List &amp; Usage'!$AF29))))-SUM($I27:BH27),
IF($F27="yes",MMULT(--('Equipment List &amp; Usage'!$J29:$N29&gt;0),--('Weekly Summary'!BC$112:BC$116))*'Equipment List &amp; Usage'!$C$114,MMULT(--('Equipment List &amp; Usage'!$J29:$N29),--('Weekly Summary'!BC$112:BC$116))*'Equipment List &amp; Usage'!$C$115)+IF('Equipment List &amp; Usage'!$F28="yes",'Equipment List &amp; Usage'!$C$114,'Equipment List &amp; Usage'!$C$115)*(('Weekly Summary'!BC$66*'Equipment List &amp; Usage'!$Q29)+('Weekly Summary'!BC$64*'Equipment List &amp; Usage'!$O29)+('Weekly Summary'!BC$65*'Equipment List &amp; Usage'!$P29))+(IF('Equipment List &amp; Usage'!$F29="Yes",'Equipment List &amp; Usage'!$C$114*((('Weekly Summary'!BC$131*SelfQuarantine_Mild)+('Weekly Summary'!BC$100*SelfQuarantine_Mild)+('Weekly Summary'!BC$101*SelfQuarantine_Moderate))),'Equipment List &amp; Usage'!$C$115)*((('Weekly Summary'!BC$131*SelfQuarantine_Mild*'Equipment List &amp; Usage'!$W29)+('Weekly Summary'!BC$100*SelfQuarantine_Mild*'Equipment List &amp; Usage'!$X29)+('Weekly Summary'!BC$101*SelfQuarantine_Moderate*'Equipment List &amp; Usage'!$X29))))+IF('Equipment List &amp; Usage'!$F29="Yes",'Equipment List &amp; Usage'!$C$114*(IF('Equipment List &amp; Usage'!$AA29&gt;0,'Weekly Summary'!BC$128,0)+IF('Equipment List &amp; Usage'!$AB29&gt;0,'Weekly Summary'!BC$100+'Weekly Summary'!BC$101,0)),'Equipment List &amp; Usage'!$C$115*(('Weekly Summary'!BC$128*'Equipment List &amp; Usage'!$AA29)+('Weekly Summary'!BC$100*'Equipment List &amp; Usage'!$AB29*SelfQuarantine_Mild)+('Weekly Summary'!BC$101*'Equipment List &amp; Usage'!$AB29*SelfQuarantine_Moderate)))+IF('Equipment List &amp; Usage'!$F29="Yes",('Equipment List &amp; Usage'!$C$114*(IF('Equipment List &amp; Usage'!$AE29&gt;0,'Weekly Summary'!BC$134,0)+IF('Equipment List &amp; Usage'!$AF29&gt;0,'Weekly Summary'!BC$135))),'Equipment List &amp; Usage'!$C$115*(('Weekly Summary'!BC$134*'Equipment List &amp; Usage'!$AE29)+('Weekly Summary'!BC$135*'Equipment List &amp; Usage'!$AF29)))),0)</f>
        <v>0</v>
      </c>
      <c r="BJ27" s="1377">
        <f ca="1">MAX(IF($F27="Yes",(
IF($F27="yes",MMULT(--('Equipment List &amp; Usage'!$J29:$N29&gt;0),--('Weekly Summary'!BD$112:BD$116))*'Equipment List &amp; Usage'!$C$114,MMULT(--('Equipment List &amp; Usage'!$J29:$N29),--('Weekly Summary'!BD$112:BD$116))*'Equipment List &amp; Usage'!$C$115)+IF('Equipment List &amp; Usage'!$F28="yes",'Equipment List &amp; Usage'!$C$114,'Equipment List &amp; Usage'!$C$115)*(('Weekly Summary'!BD$66*'Equipment List &amp; Usage'!$Q29)+('Weekly Summary'!BD$64*'Equipment List &amp; Usage'!$O29)+('Weekly Summary'!BD$65*'Equipment List &amp; Usage'!$P29)))+(IF('Equipment List &amp; Usage'!$F29="Yes",'Equipment List &amp; Usage'!$C$114*((('Weekly Summary'!BD$131*SelfQuarantine_Mild)+('Weekly Summary'!BD$100*SelfQuarantine_Mild)+('Weekly Summary'!BD$101*SelfQuarantine_Moderate))),'Equipment List &amp; Usage'!$C$115)*((('Weekly Summary'!BD$131*SelfQuarantine_Mild*'Equipment List &amp; Usage'!$W29)+('Weekly Summary'!BD$100*SelfQuarantine_Mild*'Equipment List &amp; Usage'!$X29)+('Weekly Summary'!BD$101*SelfQuarantine_Moderate*'Equipment List &amp; Usage'!$X29)))+IF('Equipment List &amp; Usage'!$F29="Yes",'Equipment List &amp; Usage'!$C$114*(IF('Equipment List &amp; Usage'!$AA29&gt;0,'Weekly Summary'!BD$128,0)+IF('Equipment List &amp; Usage'!$AB29&gt;0,'Weekly Summary'!BD$100+'Weekly Summary'!BD$101,0)),'Equipment List &amp; Usage'!$C$115*(('Weekly Summary'!BD$128*'Equipment List &amp; Usage'!$AA29)+('Weekly Summary'!BD$100*'Equipment List &amp; Usage'!$AB29*SelfQuarantine_Mild)+('Weekly Summary'!BD$101*'Equipment List &amp; Usage'!$AB29*SelfQuarantine_Moderate)))+IF('Equipment List &amp; Usage'!$F29="Yes",('Equipment List &amp; Usage'!$C$114*(IF('Equipment List &amp; Usage'!$AE29&gt;0,'Weekly Summary'!BD$134,0)+IF('Equipment List &amp; Usage'!$AF29&gt;0,'Weekly Summary'!BD$135))),'Equipment List &amp; Usage'!$C$115*(('Weekly Summary'!BD$134*'Equipment List &amp; Usage'!$AE29)+('Weekly Summary'!BD$135*'Equipment List &amp; Usage'!$AF29))))-SUM($I27:BI27),
IF($F27="yes",MMULT(--('Equipment List &amp; Usage'!$J29:$N29&gt;0),--('Weekly Summary'!BD$112:BD$116))*'Equipment List &amp; Usage'!$C$114,MMULT(--('Equipment List &amp; Usage'!$J29:$N29),--('Weekly Summary'!BD$112:BD$116))*'Equipment List &amp; Usage'!$C$115)+IF('Equipment List &amp; Usage'!$F28="yes",'Equipment List &amp; Usage'!$C$114,'Equipment List &amp; Usage'!$C$115)*(('Weekly Summary'!BD$66*'Equipment List &amp; Usage'!$Q29)+('Weekly Summary'!BD$64*'Equipment List &amp; Usage'!$O29)+('Weekly Summary'!BD$65*'Equipment List &amp; Usage'!$P29))+(IF('Equipment List &amp; Usage'!$F29="Yes",'Equipment List &amp; Usage'!$C$114*((('Weekly Summary'!BD$131*SelfQuarantine_Mild)+('Weekly Summary'!BD$100*SelfQuarantine_Mild)+('Weekly Summary'!BD$101*SelfQuarantine_Moderate))),'Equipment List &amp; Usage'!$C$115)*((('Weekly Summary'!BD$131*SelfQuarantine_Mild*'Equipment List &amp; Usage'!$W29)+('Weekly Summary'!BD$100*SelfQuarantine_Mild*'Equipment List &amp; Usage'!$X29)+('Weekly Summary'!BD$101*SelfQuarantine_Moderate*'Equipment List &amp; Usage'!$X29))))+IF('Equipment List &amp; Usage'!$F29="Yes",'Equipment List &amp; Usage'!$C$114*(IF('Equipment List &amp; Usage'!$AA29&gt;0,'Weekly Summary'!BD$128,0)+IF('Equipment List &amp; Usage'!$AB29&gt;0,'Weekly Summary'!BD$100+'Weekly Summary'!BD$101,0)),'Equipment List &amp; Usage'!$C$115*(('Weekly Summary'!BD$128*'Equipment List &amp; Usage'!$AA29)+('Weekly Summary'!BD$100*'Equipment List &amp; Usage'!$AB29*SelfQuarantine_Mild)+('Weekly Summary'!BD$101*'Equipment List &amp; Usage'!$AB29*SelfQuarantine_Moderate)))+IF('Equipment List &amp; Usage'!$F29="Yes",('Equipment List &amp; Usage'!$C$114*(IF('Equipment List &amp; Usage'!$AE29&gt;0,'Weekly Summary'!BD$134,0)+IF('Equipment List &amp; Usage'!$AF29&gt;0,'Weekly Summary'!BD$135))),'Equipment List &amp; Usage'!$C$115*(('Weekly Summary'!BD$134*'Equipment List &amp; Usage'!$AE29)+('Weekly Summary'!BD$135*'Equipment List &amp; Usage'!$AF29)))),0)</f>
        <v>0</v>
      </c>
    </row>
    <row r="28" spans="2:62" x14ac:dyDescent="0.35">
      <c r="B28" s="949" t="str">
        <f>'Equipment List &amp; Usage'!B30</f>
        <v>IPC</v>
      </c>
      <c r="C28" s="948" t="str">
        <f>'Equipment List &amp; Usage'!C30</f>
        <v>PPE</v>
      </c>
      <c r="D28" s="948" t="str">
        <f>'Equipment List &amp; Usage'!D30</f>
        <v>Face shield</v>
      </c>
      <c r="E28" s="948" t="str">
        <f>'Equipment List &amp; Usage'!E30</f>
        <v>Each</v>
      </c>
      <c r="F28" s="948" t="str">
        <f>'Equipment List &amp; Usage'!F30</f>
        <v>No</v>
      </c>
      <c r="G28" s="948" t="str">
        <f>'Equipment List &amp; Usage'!G30</f>
        <v>N/A</v>
      </c>
      <c r="H28" s="1365">
        <f t="shared" ca="1" si="2"/>
        <v>36970.707906164214</v>
      </c>
      <c r="J28" s="1341"/>
      <c r="K28" s="1374">
        <f ca="1">IF('User Dashboard'!$H$13=1,0,IF($F28="Yes",(
IF($F28="yes",MMULT(--('Equipment List &amp; Usage'!$J30:$N30&gt;0),--('Weekly Summary'!E$112:E$116))*'Equipment List &amp; Usage'!$C$114,MMULT(--('Equipment List &amp; Usage'!$J30:$N30),--('Weekly Summary'!E$112:E$116))*'Equipment List &amp; Usage'!$C$115)+IF('Equipment List &amp; Usage'!$F29="yes",'Equipment List &amp; Usage'!$C$114,'Equipment List &amp; Usage'!$C$115)*(('Weekly Summary'!E$66*'Equipment List &amp; Usage'!$Q30)+('Weekly Summary'!E$64*'Equipment List &amp; Usage'!$O30)+('Weekly Summary'!E$65*'Equipment List &amp; Usage'!$P30)))+(IF('Equipment List &amp; Usage'!$F30="Yes",'Equipment List &amp; Usage'!$C$114*((('Weekly Summary'!E$131*SelfQuarantine_Mild)+('Weekly Summary'!E$100*SelfQuarantine_Mild)+('Weekly Summary'!E$101*SelfQuarantine_Moderate))),'Equipment List &amp; Usage'!$C$115)*((('Weekly Summary'!E$131*SelfQuarantine_Mild*'Equipment List &amp; Usage'!$W30)+('Weekly Summary'!E$100*SelfQuarantine_Mild*'Equipment List &amp; Usage'!$X30)+('Weekly Summary'!E$101*SelfQuarantine_Moderate*'Equipment List &amp; Usage'!$X30)))+IF('Equipment List &amp; Usage'!$F30="Yes",'Equipment List &amp; Usage'!$C$114*(IF('Equipment List &amp; Usage'!$AA30&gt;0,'Weekly Summary'!E$128,0)+IF('Equipment List &amp; Usage'!$AB30&gt;0,'Weekly Summary'!E$100+'Weekly Summary'!E$101,0)),'Equipment List &amp; Usage'!$C$115*(('Weekly Summary'!E$128*'Equipment List &amp; Usage'!$AA30)+('Weekly Summary'!E$100*'Equipment List &amp; Usage'!$AB30*SelfQuarantine_Mild)+('Weekly Summary'!E$101*'Equipment List &amp; Usage'!$AB30*SelfQuarantine_Moderate)))+IF('Equipment List &amp; Usage'!$F30="Yes",('Equipment List &amp; Usage'!$C$114*(IF('Equipment List &amp; Usage'!$AE30&gt;0,'Weekly Summary'!E$134,0)+IF('Equipment List &amp; Usage'!$AF30&gt;0,'Weekly Summary'!E$135))),'Equipment List &amp; Usage'!$C$115*(('Weekly Summary'!E$134*'Equipment List &amp; Usage'!$AE30)+('Weekly Summary'!E$135*'Equipment List &amp; Usage'!$AF30)))),
IF($F28="yes",MMULT(--('Equipment List &amp; Usage'!$J30:$N30&gt;0),--('Weekly Summary'!E$112:E$116))*'Equipment List &amp; Usage'!$C$114,MMULT(--('Equipment List &amp; Usage'!$J30:$N30),--('Weekly Summary'!E$112:E$116))*'Equipment List &amp; Usage'!$C$115)+IF('Equipment List &amp; Usage'!$F29="yes",'Equipment List &amp; Usage'!$C$114,'Equipment List &amp; Usage'!$C$115)*(('Weekly Summary'!E$66*'Equipment List &amp; Usage'!$Q30)+('Weekly Summary'!E$64*'Equipment List &amp; Usage'!$O30)+('Weekly Summary'!E$65*'Equipment List &amp; Usage'!$P30))+(IF('Equipment List &amp; Usage'!$F30="Yes",'Equipment List &amp; Usage'!$C$114*((('Weekly Summary'!E$131*SelfQuarantine_Mild)+('Weekly Summary'!E$100*SelfQuarantine_Mild)+('Weekly Summary'!E$101*SelfQuarantine_Moderate))),'Equipment List &amp; Usage'!$C$115)*((('Weekly Summary'!E$131*SelfQuarantine_Mild*'Equipment List &amp; Usage'!$W30)+('Weekly Summary'!E$100*SelfQuarantine_Mild*'Equipment List &amp; Usage'!$X30)+('Weekly Summary'!E$101*SelfQuarantine_Moderate*'Equipment List &amp; Usage'!$X30))))+IF('Equipment List &amp; Usage'!$F30="Yes",'Equipment List &amp; Usage'!$C$114*(IF('Equipment List &amp; Usage'!$AA30&gt;0,'Weekly Summary'!E$128,0)+IF('Equipment List &amp; Usage'!$AB30&gt;0,'Weekly Summary'!E$100+'Weekly Summary'!E$101,0)),'Equipment List &amp; Usage'!$C$115*(('Weekly Summary'!E$128*'Equipment List &amp; Usage'!$AA30)+('Weekly Summary'!E$100*'Equipment List &amp; Usage'!$AB30*SelfQuarantine_Mild)+('Weekly Summary'!E$101*'Equipment List &amp; Usage'!$AB30*SelfQuarantine_Moderate)))+IF('Equipment List &amp; Usage'!$F30="Yes",('Equipment List &amp; Usage'!$C$114*(IF('Equipment List &amp; Usage'!$AE30&gt;0,'Weekly Summary'!E$134,0)+IF('Equipment List &amp; Usage'!$AF30&gt;0,'Weekly Summary'!E$135))),'Equipment List &amp; Usage'!$C$115*(('Weekly Summary'!E$134*'Equipment List &amp; Usage'!$AE30)+('Weekly Summary'!E$135*'Equipment List &amp; Usage'!$AF30)))))</f>
        <v>4384.1052672714995</v>
      </c>
      <c r="L28" s="1374">
        <f ca="1">MAX(IF($F28="Yes",(
IF($F28="yes",MMULT(--('Equipment List &amp; Usage'!$J30:$N30&gt;0),--('Weekly Summary'!F$112:F$116))*'Equipment List &amp; Usage'!$C$114,MMULT(--('Equipment List &amp; Usage'!$J30:$N30),--('Weekly Summary'!F$112:F$116))*'Equipment List &amp; Usage'!$C$115)+IF('Equipment List &amp; Usage'!$F29="yes",'Equipment List &amp; Usage'!$C$114,'Equipment List &amp; Usage'!$C$115)*(('Weekly Summary'!F$66*'Equipment List &amp; Usage'!$Q30)+('Weekly Summary'!F$64*'Equipment List &amp; Usage'!$O30)+('Weekly Summary'!F$65*'Equipment List &amp; Usage'!$P30)))+(IF('Equipment List &amp; Usage'!$F30="Yes",'Equipment List &amp; Usage'!$C$114*((('Weekly Summary'!F$131*SelfQuarantine_Mild)+('Weekly Summary'!F$100*SelfQuarantine_Mild)+('Weekly Summary'!F$101*SelfQuarantine_Moderate))),'Equipment List &amp; Usage'!$C$115)*((('Weekly Summary'!F$131*SelfQuarantine_Mild*'Equipment List &amp; Usage'!$W30)+('Weekly Summary'!F$100*SelfQuarantine_Mild*'Equipment List &amp; Usage'!$X30)+('Weekly Summary'!F$101*SelfQuarantine_Moderate*'Equipment List &amp; Usage'!$X30)))+IF('Equipment List &amp; Usage'!$F30="Yes",'Equipment List &amp; Usage'!$C$114*(IF('Equipment List &amp; Usage'!$AA30&gt;0,'Weekly Summary'!F$128,0)+IF('Equipment List &amp; Usage'!$AB30&gt;0,'Weekly Summary'!F$100+'Weekly Summary'!F$101,0)),'Equipment List &amp; Usage'!$C$115*(('Weekly Summary'!F$128*'Equipment List &amp; Usage'!$AA30)+('Weekly Summary'!F$100*'Equipment List &amp; Usage'!$AB30*SelfQuarantine_Mild)+('Weekly Summary'!F$101*'Equipment List &amp; Usage'!$AB30*SelfQuarantine_Moderate)))+IF('Equipment List &amp; Usage'!$F30="Yes",('Equipment List &amp; Usage'!$C$114*(IF('Equipment List &amp; Usage'!$AE30&gt;0,'Weekly Summary'!F$134,0)+IF('Equipment List &amp; Usage'!$AF30&gt;0,'Weekly Summary'!F$135))),'Equipment List &amp; Usage'!$C$115*(('Weekly Summary'!F$134*'Equipment List &amp; Usage'!$AE30)+('Weekly Summary'!F$135*'Equipment List &amp; Usage'!$AF30))))-SUM($I28:K28),
IF($F28="yes",MMULT(--('Equipment List &amp; Usage'!$J30:$N30&gt;0),--('Weekly Summary'!F$112:F$116))*'Equipment List &amp; Usage'!$C$114,MMULT(--('Equipment List &amp; Usage'!$J30:$N30),--('Weekly Summary'!F$112:F$116))*'Equipment List &amp; Usage'!$C$115)+IF('Equipment List &amp; Usage'!$F29="yes",'Equipment List &amp; Usage'!$C$114,'Equipment List &amp; Usage'!$C$115)*(('Weekly Summary'!F$66*'Equipment List &amp; Usage'!$Q30)+('Weekly Summary'!F$64*'Equipment List &amp; Usage'!$O30)+('Weekly Summary'!F$65*'Equipment List &amp; Usage'!$P30))+(IF('Equipment List &amp; Usage'!$F30="Yes",'Equipment List &amp; Usage'!$C$114*((('Weekly Summary'!F$131*SelfQuarantine_Mild)+('Weekly Summary'!F$100*SelfQuarantine_Mild)+('Weekly Summary'!F$101*SelfQuarantine_Moderate))),'Equipment List &amp; Usage'!$C$115)*((('Weekly Summary'!F$131*SelfQuarantine_Mild*'Equipment List &amp; Usage'!$W30)+('Weekly Summary'!F$100*SelfQuarantine_Mild*'Equipment List &amp; Usage'!$X30)+('Weekly Summary'!F$101*SelfQuarantine_Moderate*'Equipment List &amp; Usage'!$X30))))+IF('Equipment List &amp; Usage'!$F30="Yes",'Equipment List &amp; Usage'!$C$114*(IF('Equipment List &amp; Usage'!$AA30&gt;0,'Weekly Summary'!F$128,0)+IF('Equipment List &amp; Usage'!$AB30&gt;0,'Weekly Summary'!F$100+'Weekly Summary'!F$101,0)),'Equipment List &amp; Usage'!$C$115*(('Weekly Summary'!F$128*'Equipment List &amp; Usage'!$AA30)+('Weekly Summary'!F$100*'Equipment List &amp; Usage'!$AB30*SelfQuarantine_Mild)+('Weekly Summary'!F$101*'Equipment List &amp; Usage'!$AB30*SelfQuarantine_Moderate)))+IF('Equipment List &amp; Usage'!$F30="Yes",('Equipment List &amp; Usage'!$C$114*(IF('Equipment List &amp; Usage'!$AE30&gt;0,'Weekly Summary'!F$134,0)+IF('Equipment List &amp; Usage'!$AF30&gt;0,'Weekly Summary'!F$135))),'Equipment List &amp; Usage'!$C$115*(('Weekly Summary'!F$134*'Equipment List &amp; Usage'!$AE30)+('Weekly Summary'!F$135*'Equipment List &amp; Usage'!$AF30)))),0)</f>
        <v>4422.7773784454412</v>
      </c>
      <c r="M28" s="1374">
        <f ca="1">MAX(IF($F28="Yes",(
IF($F28="yes",MMULT(--('Equipment List &amp; Usage'!$J30:$N30&gt;0),--('Weekly Summary'!G$112:G$116))*'Equipment List &amp; Usage'!$C$114,MMULT(--('Equipment List &amp; Usage'!$J30:$N30),--('Weekly Summary'!G$112:G$116))*'Equipment List &amp; Usage'!$C$115)+IF('Equipment List &amp; Usage'!$F29="yes",'Equipment List &amp; Usage'!$C$114,'Equipment List &amp; Usage'!$C$115)*(('Weekly Summary'!G$66*'Equipment List &amp; Usage'!$Q30)+('Weekly Summary'!G$64*'Equipment List &amp; Usage'!$O30)+('Weekly Summary'!G$65*'Equipment List &amp; Usage'!$P30)))+(IF('Equipment List &amp; Usage'!$F30="Yes",'Equipment List &amp; Usage'!$C$114*((('Weekly Summary'!G$131*SelfQuarantine_Mild)+('Weekly Summary'!G$100*SelfQuarantine_Mild)+('Weekly Summary'!G$101*SelfQuarantine_Moderate))),'Equipment List &amp; Usage'!$C$115)*((('Weekly Summary'!G$131*SelfQuarantine_Mild*'Equipment List &amp; Usage'!$W30)+('Weekly Summary'!G$100*SelfQuarantine_Mild*'Equipment List &amp; Usage'!$X30)+('Weekly Summary'!G$101*SelfQuarantine_Moderate*'Equipment List &amp; Usage'!$X30)))+IF('Equipment List &amp; Usage'!$F30="Yes",'Equipment List &amp; Usage'!$C$114*(IF('Equipment List &amp; Usage'!$AA30&gt;0,'Weekly Summary'!G$128,0)+IF('Equipment List &amp; Usage'!$AB30&gt;0,'Weekly Summary'!G$100+'Weekly Summary'!G$101,0)),'Equipment List &amp; Usage'!$C$115*(('Weekly Summary'!G$128*'Equipment List &amp; Usage'!$AA30)+('Weekly Summary'!G$100*'Equipment List &amp; Usage'!$AB30*SelfQuarantine_Mild)+('Weekly Summary'!G$101*'Equipment List &amp; Usage'!$AB30*SelfQuarantine_Moderate)))+IF('Equipment List &amp; Usage'!$F30="Yes",('Equipment List &amp; Usage'!$C$114*(IF('Equipment List &amp; Usage'!$AE30&gt;0,'Weekly Summary'!G$134,0)+IF('Equipment List &amp; Usage'!$AF30&gt;0,'Weekly Summary'!G$135))),'Equipment List &amp; Usage'!$C$115*(('Weekly Summary'!G$134*'Equipment List &amp; Usage'!$AE30)+('Weekly Summary'!G$135*'Equipment List &amp; Usage'!$AF30))))-SUM($I28:L28),
IF($F28="yes",MMULT(--('Equipment List &amp; Usage'!$J30:$N30&gt;0),--('Weekly Summary'!G$112:G$116))*'Equipment List &amp; Usage'!$C$114,MMULT(--('Equipment List &amp; Usage'!$J30:$N30),--('Weekly Summary'!G$112:G$116))*'Equipment List &amp; Usage'!$C$115)+IF('Equipment List &amp; Usage'!$F29="yes",'Equipment List &amp; Usage'!$C$114,'Equipment List &amp; Usage'!$C$115)*(('Weekly Summary'!G$66*'Equipment List &amp; Usage'!$Q30)+('Weekly Summary'!G$64*'Equipment List &amp; Usage'!$O30)+('Weekly Summary'!G$65*'Equipment List &amp; Usage'!$P30))+(IF('Equipment List &amp; Usage'!$F30="Yes",'Equipment List &amp; Usage'!$C$114*((('Weekly Summary'!G$131*SelfQuarantine_Mild)+('Weekly Summary'!G$100*SelfQuarantine_Mild)+('Weekly Summary'!G$101*SelfQuarantine_Moderate))),'Equipment List &amp; Usage'!$C$115)*((('Weekly Summary'!G$131*SelfQuarantine_Mild*'Equipment List &amp; Usage'!$W30)+('Weekly Summary'!G$100*SelfQuarantine_Mild*'Equipment List &amp; Usage'!$X30)+('Weekly Summary'!G$101*SelfQuarantine_Moderate*'Equipment List &amp; Usage'!$X30))))+IF('Equipment List &amp; Usage'!$F30="Yes",'Equipment List &amp; Usage'!$C$114*(IF('Equipment List &amp; Usage'!$AA30&gt;0,'Weekly Summary'!G$128,0)+IF('Equipment List &amp; Usage'!$AB30&gt;0,'Weekly Summary'!G$100+'Weekly Summary'!G$101,0)),'Equipment List &amp; Usage'!$C$115*(('Weekly Summary'!G$128*'Equipment List &amp; Usage'!$AA30)+('Weekly Summary'!G$100*'Equipment List &amp; Usage'!$AB30*SelfQuarantine_Mild)+('Weekly Summary'!G$101*'Equipment List &amp; Usage'!$AB30*SelfQuarantine_Moderate)))+IF('Equipment List &amp; Usage'!$F30="Yes",('Equipment List &amp; Usage'!$C$114*(IF('Equipment List &amp; Usage'!$AE30&gt;0,'Weekly Summary'!G$134,0)+IF('Equipment List &amp; Usage'!$AF30&gt;0,'Weekly Summary'!G$135))),'Equipment List &amp; Usage'!$C$115*(('Weekly Summary'!G$134*'Equipment List &amp; Usage'!$AE30)+('Weekly Summary'!G$135*'Equipment List &amp; Usage'!$AF30)))),0)</f>
        <v>4556.2412091686174</v>
      </c>
      <c r="N28" s="1374">
        <f ca="1">MAX(IF($F28="Yes",(
IF($F28="yes",MMULT(--('Equipment List &amp; Usage'!$J30:$N30&gt;0),--('Weekly Summary'!H$112:H$116))*'Equipment List &amp; Usage'!$C$114,MMULT(--('Equipment List &amp; Usage'!$J30:$N30),--('Weekly Summary'!H$112:H$116))*'Equipment List &amp; Usage'!$C$115)+IF('Equipment List &amp; Usage'!$F29="yes",'Equipment List &amp; Usage'!$C$114,'Equipment List &amp; Usage'!$C$115)*(('Weekly Summary'!H$66*'Equipment List &amp; Usage'!$Q30)+('Weekly Summary'!H$64*'Equipment List &amp; Usage'!$O30)+('Weekly Summary'!H$65*'Equipment List &amp; Usage'!$P30)))+(IF('Equipment List &amp; Usage'!$F30="Yes",'Equipment List &amp; Usage'!$C$114*((('Weekly Summary'!H$131*SelfQuarantine_Mild)+('Weekly Summary'!H$100*SelfQuarantine_Mild)+('Weekly Summary'!H$101*SelfQuarantine_Moderate))),'Equipment List &amp; Usage'!$C$115)*((('Weekly Summary'!H$131*SelfQuarantine_Mild*'Equipment List &amp; Usage'!$W30)+('Weekly Summary'!H$100*SelfQuarantine_Mild*'Equipment List &amp; Usage'!$X30)+('Weekly Summary'!H$101*SelfQuarantine_Moderate*'Equipment List &amp; Usage'!$X30)))+IF('Equipment List &amp; Usage'!$F30="Yes",'Equipment List &amp; Usage'!$C$114*(IF('Equipment List &amp; Usage'!$AA30&gt;0,'Weekly Summary'!H$128,0)+IF('Equipment List &amp; Usage'!$AB30&gt;0,'Weekly Summary'!H$100+'Weekly Summary'!H$101,0)),'Equipment List &amp; Usage'!$C$115*(('Weekly Summary'!H$128*'Equipment List &amp; Usage'!$AA30)+('Weekly Summary'!H$100*'Equipment List &amp; Usage'!$AB30*SelfQuarantine_Mild)+('Weekly Summary'!H$101*'Equipment List &amp; Usage'!$AB30*SelfQuarantine_Moderate)))+IF('Equipment List &amp; Usage'!$F30="Yes",('Equipment List &amp; Usage'!$C$114*(IF('Equipment List &amp; Usage'!$AE30&gt;0,'Weekly Summary'!H$134,0)+IF('Equipment List &amp; Usage'!$AF30&gt;0,'Weekly Summary'!H$135))),'Equipment List &amp; Usage'!$C$115*(('Weekly Summary'!H$134*'Equipment List &amp; Usage'!$AE30)+('Weekly Summary'!H$135*'Equipment List &amp; Usage'!$AF30))))-SUM($I28:M28),
IF($F28="yes",MMULT(--('Equipment List &amp; Usage'!$J30:$N30&gt;0),--('Weekly Summary'!H$112:H$116))*'Equipment List &amp; Usage'!$C$114,MMULT(--('Equipment List &amp; Usage'!$J30:$N30),--('Weekly Summary'!H$112:H$116))*'Equipment List &amp; Usage'!$C$115)+IF('Equipment List &amp; Usage'!$F29="yes",'Equipment List &amp; Usage'!$C$114,'Equipment List &amp; Usage'!$C$115)*(('Weekly Summary'!H$66*'Equipment List &amp; Usage'!$Q30)+('Weekly Summary'!H$64*'Equipment List &amp; Usage'!$O30)+('Weekly Summary'!H$65*'Equipment List &amp; Usage'!$P30))+(IF('Equipment List &amp; Usage'!$F30="Yes",'Equipment List &amp; Usage'!$C$114*((('Weekly Summary'!H$131*SelfQuarantine_Mild)+('Weekly Summary'!H$100*SelfQuarantine_Mild)+('Weekly Summary'!H$101*SelfQuarantine_Moderate))),'Equipment List &amp; Usage'!$C$115)*((('Weekly Summary'!H$131*SelfQuarantine_Mild*'Equipment List &amp; Usage'!$W30)+('Weekly Summary'!H$100*SelfQuarantine_Mild*'Equipment List &amp; Usage'!$X30)+('Weekly Summary'!H$101*SelfQuarantine_Moderate*'Equipment List &amp; Usage'!$X30))))+IF('Equipment List &amp; Usage'!$F30="Yes",'Equipment List &amp; Usage'!$C$114*(IF('Equipment List &amp; Usage'!$AA30&gt;0,'Weekly Summary'!H$128,0)+IF('Equipment List &amp; Usage'!$AB30&gt;0,'Weekly Summary'!H$100+'Weekly Summary'!H$101,0)),'Equipment List &amp; Usage'!$C$115*(('Weekly Summary'!H$128*'Equipment List &amp; Usage'!$AA30)+('Weekly Summary'!H$100*'Equipment List &amp; Usage'!$AB30*SelfQuarantine_Mild)+('Weekly Summary'!H$101*'Equipment List &amp; Usage'!$AB30*SelfQuarantine_Moderate)))+IF('Equipment List &amp; Usage'!$F30="Yes",('Equipment List &amp; Usage'!$C$114*(IF('Equipment List &amp; Usage'!$AE30&gt;0,'Weekly Summary'!H$134,0)+IF('Equipment List &amp; Usage'!$AF30&gt;0,'Weekly Summary'!H$135))),'Equipment List &amp; Usage'!$C$115*(('Weekly Summary'!H$134*'Equipment List &amp; Usage'!$AE30)+('Weekly Summary'!H$135*'Equipment List &amp; Usage'!$AF30)))),0)</f>
        <v>5014.8661477227779</v>
      </c>
      <c r="O28" s="1374">
        <f ca="1">MAX(IF($F28="Yes",(
IF($F28="yes",MMULT(--('Equipment List &amp; Usage'!$J30:$N30&gt;0),--('Weekly Summary'!I$112:I$116))*'Equipment List &amp; Usage'!$C$114,MMULT(--('Equipment List &amp; Usage'!$J30:$N30),--('Weekly Summary'!I$112:I$116))*'Equipment List &amp; Usage'!$C$115)+IF('Equipment List &amp; Usage'!$F29="yes",'Equipment List &amp; Usage'!$C$114,'Equipment List &amp; Usage'!$C$115)*(('Weekly Summary'!I$66*'Equipment List &amp; Usage'!$Q30)+('Weekly Summary'!I$64*'Equipment List &amp; Usage'!$O30)+('Weekly Summary'!I$65*'Equipment List &amp; Usage'!$P30)))+(IF('Equipment List &amp; Usage'!$F30="Yes",'Equipment List &amp; Usage'!$C$114*((('Weekly Summary'!I$131*SelfQuarantine_Mild)+('Weekly Summary'!I$100*SelfQuarantine_Mild)+('Weekly Summary'!I$101*SelfQuarantine_Moderate))),'Equipment List &amp; Usage'!$C$115)*((('Weekly Summary'!I$131*SelfQuarantine_Mild*'Equipment List &amp; Usage'!$W30)+('Weekly Summary'!I$100*SelfQuarantine_Mild*'Equipment List &amp; Usage'!$X30)+('Weekly Summary'!I$101*SelfQuarantine_Moderate*'Equipment List &amp; Usage'!$X30)))+IF('Equipment List &amp; Usage'!$F30="Yes",'Equipment List &amp; Usage'!$C$114*(IF('Equipment List &amp; Usage'!$AA30&gt;0,'Weekly Summary'!I$128,0)+IF('Equipment List &amp; Usage'!$AB30&gt;0,'Weekly Summary'!I$100+'Weekly Summary'!I$101,0)),'Equipment List &amp; Usage'!$C$115*(('Weekly Summary'!I$128*'Equipment List &amp; Usage'!$AA30)+('Weekly Summary'!I$100*'Equipment List &amp; Usage'!$AB30*SelfQuarantine_Mild)+('Weekly Summary'!I$101*'Equipment List &amp; Usage'!$AB30*SelfQuarantine_Moderate)))+IF('Equipment List &amp; Usage'!$F30="Yes",('Equipment List &amp; Usage'!$C$114*(IF('Equipment List &amp; Usage'!$AE30&gt;0,'Weekly Summary'!I$134,0)+IF('Equipment List &amp; Usage'!$AF30&gt;0,'Weekly Summary'!I$135))),'Equipment List &amp; Usage'!$C$115*(('Weekly Summary'!I$134*'Equipment List &amp; Usage'!$AE30)+('Weekly Summary'!I$135*'Equipment List &amp; Usage'!$AF30))))-SUM($I28:N28),
IF($F28="yes",MMULT(--('Equipment List &amp; Usage'!$J30:$N30&gt;0),--('Weekly Summary'!I$112:I$116))*'Equipment List &amp; Usage'!$C$114,MMULT(--('Equipment List &amp; Usage'!$J30:$N30),--('Weekly Summary'!I$112:I$116))*'Equipment List &amp; Usage'!$C$115)+IF('Equipment List &amp; Usage'!$F29="yes",'Equipment List &amp; Usage'!$C$114,'Equipment List &amp; Usage'!$C$115)*(('Weekly Summary'!I$66*'Equipment List &amp; Usage'!$Q30)+('Weekly Summary'!I$64*'Equipment List &amp; Usage'!$O30)+('Weekly Summary'!I$65*'Equipment List &amp; Usage'!$P30))+(IF('Equipment List &amp; Usage'!$F30="Yes",'Equipment List &amp; Usage'!$C$114*((('Weekly Summary'!I$131*SelfQuarantine_Mild)+('Weekly Summary'!I$100*SelfQuarantine_Mild)+('Weekly Summary'!I$101*SelfQuarantine_Moderate))),'Equipment List &amp; Usage'!$C$115)*((('Weekly Summary'!I$131*SelfQuarantine_Mild*'Equipment List &amp; Usage'!$W30)+('Weekly Summary'!I$100*SelfQuarantine_Mild*'Equipment List &amp; Usage'!$X30)+('Weekly Summary'!I$101*SelfQuarantine_Moderate*'Equipment List &amp; Usage'!$X30))))+IF('Equipment List &amp; Usage'!$F30="Yes",'Equipment List &amp; Usage'!$C$114*(IF('Equipment List &amp; Usage'!$AA30&gt;0,'Weekly Summary'!I$128,0)+IF('Equipment List &amp; Usage'!$AB30&gt;0,'Weekly Summary'!I$100+'Weekly Summary'!I$101,0)),'Equipment List &amp; Usage'!$C$115*(('Weekly Summary'!I$128*'Equipment List &amp; Usage'!$AA30)+('Weekly Summary'!I$100*'Equipment List &amp; Usage'!$AB30*SelfQuarantine_Mild)+('Weekly Summary'!I$101*'Equipment List &amp; Usage'!$AB30*SelfQuarantine_Moderate)))+IF('Equipment List &amp; Usage'!$F30="Yes",('Equipment List &amp; Usage'!$C$114*(IF('Equipment List &amp; Usage'!$AE30&gt;0,'Weekly Summary'!I$134,0)+IF('Equipment List &amp; Usage'!$AF30&gt;0,'Weekly Summary'!I$135))),'Equipment List &amp; Usage'!$C$115*(('Weekly Summary'!I$134*'Equipment List &amp; Usage'!$AE30)+('Weekly Summary'!I$135*'Equipment List &amp; Usage'!$AF30)))),0)</f>
        <v>6590.628760611663</v>
      </c>
      <c r="P28" s="1374">
        <f ca="1">MAX(IF($F28="Yes",(
IF($F28="yes",MMULT(--('Equipment List &amp; Usage'!$J30:$N30&gt;0),--('Weekly Summary'!J$112:J$116))*'Equipment List &amp; Usage'!$C$114,MMULT(--('Equipment List &amp; Usage'!$J30:$N30),--('Weekly Summary'!J$112:J$116))*'Equipment List &amp; Usage'!$C$115)+IF('Equipment List &amp; Usage'!$F29="yes",'Equipment List &amp; Usage'!$C$114,'Equipment List &amp; Usage'!$C$115)*(('Weekly Summary'!J$66*'Equipment List &amp; Usage'!$Q30)+('Weekly Summary'!J$64*'Equipment List &amp; Usage'!$O30)+('Weekly Summary'!J$65*'Equipment List &amp; Usage'!$P30)))+(IF('Equipment List &amp; Usage'!$F30="Yes",'Equipment List &amp; Usage'!$C$114*((('Weekly Summary'!J$131*SelfQuarantine_Mild)+('Weekly Summary'!J$100*SelfQuarantine_Mild)+('Weekly Summary'!J$101*SelfQuarantine_Moderate))),'Equipment List &amp; Usage'!$C$115)*((('Weekly Summary'!J$131*SelfQuarantine_Mild*'Equipment List &amp; Usage'!$W30)+('Weekly Summary'!J$100*SelfQuarantine_Mild*'Equipment List &amp; Usage'!$X30)+('Weekly Summary'!J$101*SelfQuarantine_Moderate*'Equipment List &amp; Usage'!$X30)))+IF('Equipment List &amp; Usage'!$F30="Yes",'Equipment List &amp; Usage'!$C$114*(IF('Equipment List &amp; Usage'!$AA30&gt;0,'Weekly Summary'!J$128,0)+IF('Equipment List &amp; Usage'!$AB30&gt;0,'Weekly Summary'!J$100+'Weekly Summary'!J$101,0)),'Equipment List &amp; Usage'!$C$115*(('Weekly Summary'!J$128*'Equipment List &amp; Usage'!$AA30)+('Weekly Summary'!J$100*'Equipment List &amp; Usage'!$AB30*SelfQuarantine_Mild)+('Weekly Summary'!J$101*'Equipment List &amp; Usage'!$AB30*SelfQuarantine_Moderate)))+IF('Equipment List &amp; Usage'!$F30="Yes",('Equipment List &amp; Usage'!$C$114*(IF('Equipment List &amp; Usage'!$AE30&gt;0,'Weekly Summary'!J$134,0)+IF('Equipment List &amp; Usage'!$AF30&gt;0,'Weekly Summary'!J$135))),'Equipment List &amp; Usage'!$C$115*(('Weekly Summary'!J$134*'Equipment List &amp; Usage'!$AE30)+('Weekly Summary'!J$135*'Equipment List &amp; Usage'!$AF30))))-SUM($I28:O28),
IF($F28="yes",MMULT(--('Equipment List &amp; Usage'!$J30:$N30&gt;0),--('Weekly Summary'!J$112:J$116))*'Equipment List &amp; Usage'!$C$114,MMULT(--('Equipment List &amp; Usage'!$J30:$N30),--('Weekly Summary'!J$112:J$116))*'Equipment List &amp; Usage'!$C$115)+IF('Equipment List &amp; Usage'!$F29="yes",'Equipment List &amp; Usage'!$C$114,'Equipment List &amp; Usage'!$C$115)*(('Weekly Summary'!J$66*'Equipment List &amp; Usage'!$Q30)+('Weekly Summary'!J$64*'Equipment List &amp; Usage'!$O30)+('Weekly Summary'!J$65*'Equipment List &amp; Usage'!$P30))+(IF('Equipment List &amp; Usage'!$F30="Yes",'Equipment List &amp; Usage'!$C$114*((('Weekly Summary'!J$131*SelfQuarantine_Mild)+('Weekly Summary'!J$100*SelfQuarantine_Mild)+('Weekly Summary'!J$101*SelfQuarantine_Moderate))),'Equipment List &amp; Usage'!$C$115)*((('Weekly Summary'!J$131*SelfQuarantine_Mild*'Equipment List &amp; Usage'!$W30)+('Weekly Summary'!J$100*SelfQuarantine_Mild*'Equipment List &amp; Usage'!$X30)+('Weekly Summary'!J$101*SelfQuarantine_Moderate*'Equipment List &amp; Usage'!$X30))))+IF('Equipment List &amp; Usage'!$F30="Yes",'Equipment List &amp; Usage'!$C$114*(IF('Equipment List &amp; Usage'!$AA30&gt;0,'Weekly Summary'!J$128,0)+IF('Equipment List &amp; Usage'!$AB30&gt;0,'Weekly Summary'!J$100+'Weekly Summary'!J$101,0)),'Equipment List &amp; Usage'!$C$115*(('Weekly Summary'!J$128*'Equipment List &amp; Usage'!$AA30)+('Weekly Summary'!J$100*'Equipment List &amp; Usage'!$AB30*SelfQuarantine_Mild)+('Weekly Summary'!J$101*'Equipment List &amp; Usage'!$AB30*SelfQuarantine_Moderate)))+IF('Equipment List &amp; Usage'!$F30="Yes",('Equipment List &amp; Usage'!$C$114*(IF('Equipment List &amp; Usage'!$AE30&gt;0,'Weekly Summary'!J$134,0)+IF('Equipment List &amp; Usage'!$AF30&gt;0,'Weekly Summary'!J$135))),'Equipment List &amp; Usage'!$C$115*(('Weekly Summary'!J$134*'Equipment List &amp; Usage'!$AE30)+('Weekly Summary'!J$135*'Equipment List &amp; Usage'!$AF30)))),0)</f>
        <v>12002.08914294422</v>
      </c>
      <c r="Q28" s="1374">
        <f ca="1">MAX(IF($F28="Yes",(
IF($F28="yes",MMULT(--('Equipment List &amp; Usage'!$J30:$N30&gt;0),--('Weekly Summary'!K$112:K$116))*'Equipment List &amp; Usage'!$C$114,MMULT(--('Equipment List &amp; Usage'!$J30:$N30),--('Weekly Summary'!K$112:K$116))*'Equipment List &amp; Usage'!$C$115)+IF('Equipment List &amp; Usage'!$F29="yes",'Equipment List &amp; Usage'!$C$114,'Equipment List &amp; Usage'!$C$115)*(('Weekly Summary'!K$66*'Equipment List &amp; Usage'!$Q30)+('Weekly Summary'!K$64*'Equipment List &amp; Usage'!$O30)+('Weekly Summary'!K$65*'Equipment List &amp; Usage'!$P30)))+(IF('Equipment List &amp; Usage'!$F30="Yes",'Equipment List &amp; Usage'!$C$114*((('Weekly Summary'!K$131*SelfQuarantine_Mild)+('Weekly Summary'!K$100*SelfQuarantine_Mild)+('Weekly Summary'!K$101*SelfQuarantine_Moderate))),'Equipment List &amp; Usage'!$C$115)*((('Weekly Summary'!K$131*SelfQuarantine_Mild*'Equipment List &amp; Usage'!$W30)+('Weekly Summary'!K$100*SelfQuarantine_Mild*'Equipment List &amp; Usage'!$X30)+('Weekly Summary'!K$101*SelfQuarantine_Moderate*'Equipment List &amp; Usage'!$X30)))+IF('Equipment List &amp; Usage'!$F30="Yes",'Equipment List &amp; Usage'!$C$114*(IF('Equipment List &amp; Usage'!$AA30&gt;0,'Weekly Summary'!K$128,0)+IF('Equipment List &amp; Usage'!$AB30&gt;0,'Weekly Summary'!K$100+'Weekly Summary'!K$101,0)),'Equipment List &amp; Usage'!$C$115*(('Weekly Summary'!K$128*'Equipment List &amp; Usage'!$AA30)+('Weekly Summary'!K$100*'Equipment List &amp; Usage'!$AB30*SelfQuarantine_Mild)+('Weekly Summary'!K$101*'Equipment List &amp; Usage'!$AB30*SelfQuarantine_Moderate)))+IF('Equipment List &amp; Usage'!$F30="Yes",('Equipment List &amp; Usage'!$C$114*(IF('Equipment List &amp; Usage'!$AE30&gt;0,'Weekly Summary'!K$134,0)+IF('Equipment List &amp; Usage'!$AF30&gt;0,'Weekly Summary'!K$135))),'Equipment List &amp; Usage'!$C$115*(('Weekly Summary'!K$134*'Equipment List &amp; Usage'!$AE30)+('Weekly Summary'!K$135*'Equipment List &amp; Usage'!$AF30))))-SUM($I28:P28),
IF($F28="yes",MMULT(--('Equipment List &amp; Usage'!$J30:$N30&gt;0),--('Weekly Summary'!K$112:K$116))*'Equipment List &amp; Usage'!$C$114,MMULT(--('Equipment List &amp; Usage'!$J30:$N30),--('Weekly Summary'!K$112:K$116))*'Equipment List &amp; Usage'!$C$115)+IF('Equipment List &amp; Usage'!$F29="yes",'Equipment List &amp; Usage'!$C$114,'Equipment List &amp; Usage'!$C$115)*(('Weekly Summary'!K$66*'Equipment List &amp; Usage'!$Q30)+('Weekly Summary'!K$64*'Equipment List &amp; Usage'!$O30)+('Weekly Summary'!K$65*'Equipment List &amp; Usage'!$P30))+(IF('Equipment List &amp; Usage'!$F30="Yes",'Equipment List &amp; Usage'!$C$114*((('Weekly Summary'!K$131*SelfQuarantine_Mild)+('Weekly Summary'!K$100*SelfQuarantine_Mild)+('Weekly Summary'!K$101*SelfQuarantine_Moderate))),'Equipment List &amp; Usage'!$C$115)*((('Weekly Summary'!K$131*SelfQuarantine_Mild*'Equipment List &amp; Usage'!$W30)+('Weekly Summary'!K$100*SelfQuarantine_Mild*'Equipment List &amp; Usage'!$X30)+('Weekly Summary'!K$101*SelfQuarantine_Moderate*'Equipment List &amp; Usage'!$X30))))+IF('Equipment List &amp; Usage'!$F30="Yes",'Equipment List &amp; Usage'!$C$114*(IF('Equipment List &amp; Usage'!$AA30&gt;0,'Weekly Summary'!K$128,0)+IF('Equipment List &amp; Usage'!$AB30&gt;0,'Weekly Summary'!K$100+'Weekly Summary'!K$101,0)),'Equipment List &amp; Usage'!$C$115*(('Weekly Summary'!K$128*'Equipment List &amp; Usage'!$AA30)+('Weekly Summary'!K$100*'Equipment List &amp; Usage'!$AB30*SelfQuarantine_Mild)+('Weekly Summary'!K$101*'Equipment List &amp; Usage'!$AB30*SelfQuarantine_Moderate)))+IF('Equipment List &amp; Usage'!$F30="Yes",('Equipment List &amp; Usage'!$C$114*(IF('Equipment List &amp; Usage'!$AE30&gt;0,'Weekly Summary'!K$134,0)+IF('Equipment List &amp; Usage'!$AF30&gt;0,'Weekly Summary'!K$135))),'Equipment List &amp; Usage'!$C$115*(('Weekly Summary'!K$134*'Equipment List &amp; Usage'!$AE30)+('Weekly Summary'!K$135*'Equipment List &amp; Usage'!$AF30)))),0)</f>
        <v>0</v>
      </c>
      <c r="R28" s="1374">
        <f ca="1">MAX(IF($F28="Yes",(
IF($F28="yes",MMULT(--('Equipment List &amp; Usage'!$J30:$N30&gt;0),--('Weekly Summary'!L$112:L$116))*'Equipment List &amp; Usage'!$C$114,MMULT(--('Equipment List &amp; Usage'!$J30:$N30),--('Weekly Summary'!L$112:L$116))*'Equipment List &amp; Usage'!$C$115)+IF('Equipment List &amp; Usage'!$F29="yes",'Equipment List &amp; Usage'!$C$114,'Equipment List &amp; Usage'!$C$115)*(('Weekly Summary'!L$66*'Equipment List &amp; Usage'!$Q30)+('Weekly Summary'!L$64*'Equipment List &amp; Usage'!$O30)+('Weekly Summary'!L$65*'Equipment List &amp; Usage'!$P30)))+(IF('Equipment List &amp; Usage'!$F30="Yes",'Equipment List &amp; Usage'!$C$114*((('Weekly Summary'!L$131*SelfQuarantine_Mild)+('Weekly Summary'!L$100*SelfQuarantine_Mild)+('Weekly Summary'!L$101*SelfQuarantine_Moderate))),'Equipment List &amp; Usage'!$C$115)*((('Weekly Summary'!L$131*SelfQuarantine_Mild*'Equipment List &amp; Usage'!$W30)+('Weekly Summary'!L$100*SelfQuarantine_Mild*'Equipment List &amp; Usage'!$X30)+('Weekly Summary'!L$101*SelfQuarantine_Moderate*'Equipment List &amp; Usage'!$X30)))+IF('Equipment List &amp; Usage'!$F30="Yes",'Equipment List &amp; Usage'!$C$114*(IF('Equipment List &amp; Usage'!$AA30&gt;0,'Weekly Summary'!L$128,0)+IF('Equipment List &amp; Usage'!$AB30&gt;0,'Weekly Summary'!L$100+'Weekly Summary'!L$101,0)),'Equipment List &amp; Usage'!$C$115*(('Weekly Summary'!L$128*'Equipment List &amp; Usage'!$AA30)+('Weekly Summary'!L$100*'Equipment List &amp; Usage'!$AB30*SelfQuarantine_Mild)+('Weekly Summary'!L$101*'Equipment List &amp; Usage'!$AB30*SelfQuarantine_Moderate)))+IF('Equipment List &amp; Usage'!$F30="Yes",('Equipment List &amp; Usage'!$C$114*(IF('Equipment List &amp; Usage'!$AE30&gt;0,'Weekly Summary'!L$134,0)+IF('Equipment List &amp; Usage'!$AF30&gt;0,'Weekly Summary'!L$135))),'Equipment List &amp; Usage'!$C$115*(('Weekly Summary'!L$134*'Equipment List &amp; Usage'!$AE30)+('Weekly Summary'!L$135*'Equipment List &amp; Usage'!$AF30))))-SUM($I28:Q28),
IF($F28="yes",MMULT(--('Equipment List &amp; Usage'!$J30:$N30&gt;0),--('Weekly Summary'!L$112:L$116))*'Equipment List &amp; Usage'!$C$114,MMULT(--('Equipment List &amp; Usage'!$J30:$N30),--('Weekly Summary'!L$112:L$116))*'Equipment List &amp; Usage'!$C$115)+IF('Equipment List &amp; Usage'!$F29="yes",'Equipment List &amp; Usage'!$C$114,'Equipment List &amp; Usage'!$C$115)*(('Weekly Summary'!L$66*'Equipment List &amp; Usage'!$Q30)+('Weekly Summary'!L$64*'Equipment List &amp; Usage'!$O30)+('Weekly Summary'!L$65*'Equipment List &amp; Usage'!$P30))+(IF('Equipment List &amp; Usage'!$F30="Yes",'Equipment List &amp; Usage'!$C$114*((('Weekly Summary'!L$131*SelfQuarantine_Mild)+('Weekly Summary'!L$100*SelfQuarantine_Mild)+('Weekly Summary'!L$101*SelfQuarantine_Moderate))),'Equipment List &amp; Usage'!$C$115)*((('Weekly Summary'!L$131*SelfQuarantine_Mild*'Equipment List &amp; Usage'!$W30)+('Weekly Summary'!L$100*SelfQuarantine_Mild*'Equipment List &amp; Usage'!$X30)+('Weekly Summary'!L$101*SelfQuarantine_Moderate*'Equipment List &amp; Usage'!$X30))))+IF('Equipment List &amp; Usage'!$F30="Yes",'Equipment List &amp; Usage'!$C$114*(IF('Equipment List &amp; Usage'!$AA30&gt;0,'Weekly Summary'!L$128,0)+IF('Equipment List &amp; Usage'!$AB30&gt;0,'Weekly Summary'!L$100+'Weekly Summary'!L$101,0)),'Equipment List &amp; Usage'!$C$115*(('Weekly Summary'!L$128*'Equipment List &amp; Usage'!$AA30)+('Weekly Summary'!L$100*'Equipment List &amp; Usage'!$AB30*SelfQuarantine_Mild)+('Weekly Summary'!L$101*'Equipment List &amp; Usage'!$AB30*SelfQuarantine_Moderate)))+IF('Equipment List &amp; Usage'!$F30="Yes",('Equipment List &amp; Usage'!$C$114*(IF('Equipment List &amp; Usage'!$AE30&gt;0,'Weekly Summary'!L$134,0)+IF('Equipment List &amp; Usage'!$AF30&gt;0,'Weekly Summary'!L$135))),'Equipment List &amp; Usage'!$C$115*(('Weekly Summary'!L$134*'Equipment List &amp; Usage'!$AE30)+('Weekly Summary'!L$135*'Equipment List &amp; Usage'!$AF30)))),0)</f>
        <v>0</v>
      </c>
      <c r="S28" s="1374">
        <f ca="1">MAX(IF($F28="Yes",(
IF($F28="yes",MMULT(--('Equipment List &amp; Usage'!$J30:$N30&gt;0),--('Weekly Summary'!M$112:M$116))*'Equipment List &amp; Usage'!$C$114,MMULT(--('Equipment List &amp; Usage'!$J30:$N30),--('Weekly Summary'!M$112:M$116))*'Equipment List &amp; Usage'!$C$115)+IF('Equipment List &amp; Usage'!$F29="yes",'Equipment List &amp; Usage'!$C$114,'Equipment List &amp; Usage'!$C$115)*(('Weekly Summary'!M$66*'Equipment List &amp; Usage'!$Q30)+('Weekly Summary'!M$64*'Equipment List &amp; Usage'!$O30)+('Weekly Summary'!M$65*'Equipment List &amp; Usage'!$P30)))+(IF('Equipment List &amp; Usage'!$F30="Yes",'Equipment List &amp; Usage'!$C$114*((('Weekly Summary'!M$131*SelfQuarantine_Mild)+('Weekly Summary'!M$100*SelfQuarantine_Mild)+('Weekly Summary'!M$101*SelfQuarantine_Moderate))),'Equipment List &amp; Usage'!$C$115)*((('Weekly Summary'!M$131*SelfQuarantine_Mild*'Equipment List &amp; Usage'!$W30)+('Weekly Summary'!M$100*SelfQuarantine_Mild*'Equipment List &amp; Usage'!$X30)+('Weekly Summary'!M$101*SelfQuarantine_Moderate*'Equipment List &amp; Usage'!$X30)))+IF('Equipment List &amp; Usage'!$F30="Yes",'Equipment List &amp; Usage'!$C$114*(IF('Equipment List &amp; Usage'!$AA30&gt;0,'Weekly Summary'!M$128,0)+IF('Equipment List &amp; Usage'!$AB30&gt;0,'Weekly Summary'!M$100+'Weekly Summary'!M$101,0)),'Equipment List &amp; Usage'!$C$115*(('Weekly Summary'!M$128*'Equipment List &amp; Usage'!$AA30)+('Weekly Summary'!M$100*'Equipment List &amp; Usage'!$AB30*SelfQuarantine_Mild)+('Weekly Summary'!M$101*'Equipment List &amp; Usage'!$AB30*SelfQuarantine_Moderate)))+IF('Equipment List &amp; Usage'!$F30="Yes",('Equipment List &amp; Usage'!$C$114*(IF('Equipment List &amp; Usage'!$AE30&gt;0,'Weekly Summary'!M$134,0)+IF('Equipment List &amp; Usage'!$AF30&gt;0,'Weekly Summary'!M$135))),'Equipment List &amp; Usage'!$C$115*(('Weekly Summary'!M$134*'Equipment List &amp; Usage'!$AE30)+('Weekly Summary'!M$135*'Equipment List &amp; Usage'!$AF30))))-SUM($I28:R28),
IF($F28="yes",MMULT(--('Equipment List &amp; Usage'!$J30:$N30&gt;0),--('Weekly Summary'!M$112:M$116))*'Equipment List &amp; Usage'!$C$114,MMULT(--('Equipment List &amp; Usage'!$J30:$N30),--('Weekly Summary'!M$112:M$116))*'Equipment List &amp; Usage'!$C$115)+IF('Equipment List &amp; Usage'!$F29="yes",'Equipment List &amp; Usage'!$C$114,'Equipment List &amp; Usage'!$C$115)*(('Weekly Summary'!M$66*'Equipment List &amp; Usage'!$Q30)+('Weekly Summary'!M$64*'Equipment List &amp; Usage'!$O30)+('Weekly Summary'!M$65*'Equipment List &amp; Usage'!$P30))+(IF('Equipment List &amp; Usage'!$F30="Yes",'Equipment List &amp; Usage'!$C$114*((('Weekly Summary'!M$131*SelfQuarantine_Mild)+('Weekly Summary'!M$100*SelfQuarantine_Mild)+('Weekly Summary'!M$101*SelfQuarantine_Moderate))),'Equipment List &amp; Usage'!$C$115)*((('Weekly Summary'!M$131*SelfQuarantine_Mild*'Equipment List &amp; Usage'!$W30)+('Weekly Summary'!M$100*SelfQuarantine_Mild*'Equipment List &amp; Usage'!$X30)+('Weekly Summary'!M$101*SelfQuarantine_Moderate*'Equipment List &amp; Usage'!$X30))))+IF('Equipment List &amp; Usage'!$F30="Yes",'Equipment List &amp; Usage'!$C$114*(IF('Equipment List &amp; Usage'!$AA30&gt;0,'Weekly Summary'!M$128,0)+IF('Equipment List &amp; Usage'!$AB30&gt;0,'Weekly Summary'!M$100+'Weekly Summary'!M$101,0)),'Equipment List &amp; Usage'!$C$115*(('Weekly Summary'!M$128*'Equipment List &amp; Usage'!$AA30)+('Weekly Summary'!M$100*'Equipment List &amp; Usage'!$AB30*SelfQuarantine_Mild)+('Weekly Summary'!M$101*'Equipment List &amp; Usage'!$AB30*SelfQuarantine_Moderate)))+IF('Equipment List &amp; Usage'!$F30="Yes",('Equipment List &amp; Usage'!$C$114*(IF('Equipment List &amp; Usage'!$AE30&gt;0,'Weekly Summary'!M$134,0)+IF('Equipment List &amp; Usage'!$AF30&gt;0,'Weekly Summary'!M$135))),'Equipment List &amp; Usage'!$C$115*(('Weekly Summary'!M$134*'Equipment List &amp; Usage'!$AE30)+('Weekly Summary'!M$135*'Equipment List &amp; Usage'!$AF30)))),0)</f>
        <v>0</v>
      </c>
      <c r="T28" s="1374">
        <f ca="1">MAX(IF($F28="Yes",(
IF($F28="yes",MMULT(--('Equipment List &amp; Usage'!$J30:$N30&gt;0),--('Weekly Summary'!N$112:N$116))*'Equipment List &amp; Usage'!$C$114,MMULT(--('Equipment List &amp; Usage'!$J30:$N30),--('Weekly Summary'!N$112:N$116))*'Equipment List &amp; Usage'!$C$115)+IF('Equipment List &amp; Usage'!$F29="yes",'Equipment List &amp; Usage'!$C$114,'Equipment List &amp; Usage'!$C$115)*(('Weekly Summary'!N$66*'Equipment List &amp; Usage'!$Q30)+('Weekly Summary'!N$64*'Equipment List &amp; Usage'!$O30)+('Weekly Summary'!N$65*'Equipment List &amp; Usage'!$P30)))+(IF('Equipment List &amp; Usage'!$F30="Yes",'Equipment List &amp; Usage'!$C$114*((('Weekly Summary'!N$131*SelfQuarantine_Mild)+('Weekly Summary'!N$100*SelfQuarantine_Mild)+('Weekly Summary'!N$101*SelfQuarantine_Moderate))),'Equipment List &amp; Usage'!$C$115)*((('Weekly Summary'!N$131*SelfQuarantine_Mild*'Equipment List &amp; Usage'!$W30)+('Weekly Summary'!N$100*SelfQuarantine_Mild*'Equipment List &amp; Usage'!$X30)+('Weekly Summary'!N$101*SelfQuarantine_Moderate*'Equipment List &amp; Usage'!$X30)))+IF('Equipment List &amp; Usage'!$F30="Yes",'Equipment List &amp; Usage'!$C$114*(IF('Equipment List &amp; Usage'!$AA30&gt;0,'Weekly Summary'!N$128,0)+IF('Equipment List &amp; Usage'!$AB30&gt;0,'Weekly Summary'!N$100+'Weekly Summary'!N$101,0)),'Equipment List &amp; Usage'!$C$115*(('Weekly Summary'!N$128*'Equipment List &amp; Usage'!$AA30)+('Weekly Summary'!N$100*'Equipment List &amp; Usage'!$AB30*SelfQuarantine_Mild)+('Weekly Summary'!N$101*'Equipment List &amp; Usage'!$AB30*SelfQuarantine_Moderate)))+IF('Equipment List &amp; Usage'!$F30="Yes",('Equipment List &amp; Usage'!$C$114*(IF('Equipment List &amp; Usage'!$AE30&gt;0,'Weekly Summary'!N$134,0)+IF('Equipment List &amp; Usage'!$AF30&gt;0,'Weekly Summary'!N$135))),'Equipment List &amp; Usage'!$C$115*(('Weekly Summary'!N$134*'Equipment List &amp; Usage'!$AE30)+('Weekly Summary'!N$135*'Equipment List &amp; Usage'!$AF30))))-SUM($I28:S28),
IF($F28="yes",MMULT(--('Equipment List &amp; Usage'!$J30:$N30&gt;0),--('Weekly Summary'!N$112:N$116))*'Equipment List &amp; Usage'!$C$114,MMULT(--('Equipment List &amp; Usage'!$J30:$N30),--('Weekly Summary'!N$112:N$116))*'Equipment List &amp; Usage'!$C$115)+IF('Equipment List &amp; Usage'!$F29="yes",'Equipment List &amp; Usage'!$C$114,'Equipment List &amp; Usage'!$C$115)*(('Weekly Summary'!N$66*'Equipment List &amp; Usage'!$Q30)+('Weekly Summary'!N$64*'Equipment List &amp; Usage'!$O30)+('Weekly Summary'!N$65*'Equipment List &amp; Usage'!$P30))+(IF('Equipment List &amp; Usage'!$F30="Yes",'Equipment List &amp; Usage'!$C$114*((('Weekly Summary'!N$131*SelfQuarantine_Mild)+('Weekly Summary'!N$100*SelfQuarantine_Mild)+('Weekly Summary'!N$101*SelfQuarantine_Moderate))),'Equipment List &amp; Usage'!$C$115)*((('Weekly Summary'!N$131*SelfQuarantine_Mild*'Equipment List &amp; Usage'!$W30)+('Weekly Summary'!N$100*SelfQuarantine_Mild*'Equipment List &amp; Usage'!$X30)+('Weekly Summary'!N$101*SelfQuarantine_Moderate*'Equipment List &amp; Usage'!$X30))))+IF('Equipment List &amp; Usage'!$F30="Yes",'Equipment List &amp; Usage'!$C$114*(IF('Equipment List &amp; Usage'!$AA30&gt;0,'Weekly Summary'!N$128,0)+IF('Equipment List &amp; Usage'!$AB30&gt;0,'Weekly Summary'!N$100+'Weekly Summary'!N$101,0)),'Equipment List &amp; Usage'!$C$115*(('Weekly Summary'!N$128*'Equipment List &amp; Usage'!$AA30)+('Weekly Summary'!N$100*'Equipment List &amp; Usage'!$AB30*SelfQuarantine_Mild)+('Weekly Summary'!N$101*'Equipment List &amp; Usage'!$AB30*SelfQuarantine_Moderate)))+IF('Equipment List &amp; Usage'!$F30="Yes",('Equipment List &amp; Usage'!$C$114*(IF('Equipment List &amp; Usage'!$AE30&gt;0,'Weekly Summary'!N$134,0)+IF('Equipment List &amp; Usage'!$AF30&gt;0,'Weekly Summary'!N$135))),'Equipment List &amp; Usage'!$C$115*(('Weekly Summary'!N$134*'Equipment List &amp; Usage'!$AE30)+('Weekly Summary'!N$135*'Equipment List &amp; Usage'!$AF30)))),0)</f>
        <v>0</v>
      </c>
      <c r="U28" s="1374">
        <f ca="1">MAX(IF($F28="Yes",(
IF($F28="yes",MMULT(--('Equipment List &amp; Usage'!$J30:$N30&gt;0),--('Weekly Summary'!O$112:O$116))*'Equipment List &amp; Usage'!$C$114,MMULT(--('Equipment List &amp; Usage'!$J30:$N30),--('Weekly Summary'!O$112:O$116))*'Equipment List &amp; Usage'!$C$115)+IF('Equipment List &amp; Usage'!$F29="yes",'Equipment List &amp; Usage'!$C$114,'Equipment List &amp; Usage'!$C$115)*(('Weekly Summary'!O$66*'Equipment List &amp; Usage'!$Q30)+('Weekly Summary'!O$64*'Equipment List &amp; Usage'!$O30)+('Weekly Summary'!O$65*'Equipment List &amp; Usage'!$P30)))+(IF('Equipment List &amp; Usage'!$F30="Yes",'Equipment List &amp; Usage'!$C$114*((('Weekly Summary'!O$131*SelfQuarantine_Mild)+('Weekly Summary'!O$100*SelfQuarantine_Mild)+('Weekly Summary'!O$101*SelfQuarantine_Moderate))),'Equipment List &amp; Usage'!$C$115)*((('Weekly Summary'!O$131*SelfQuarantine_Mild*'Equipment List &amp; Usage'!$W30)+('Weekly Summary'!O$100*SelfQuarantine_Mild*'Equipment List &amp; Usage'!$X30)+('Weekly Summary'!O$101*SelfQuarantine_Moderate*'Equipment List &amp; Usage'!$X30)))+IF('Equipment List &amp; Usage'!$F30="Yes",'Equipment List &amp; Usage'!$C$114*(IF('Equipment List &amp; Usage'!$AA30&gt;0,'Weekly Summary'!O$128,0)+IF('Equipment List &amp; Usage'!$AB30&gt;0,'Weekly Summary'!O$100+'Weekly Summary'!O$101,0)),'Equipment List &amp; Usage'!$C$115*(('Weekly Summary'!O$128*'Equipment List &amp; Usage'!$AA30)+('Weekly Summary'!O$100*'Equipment List &amp; Usage'!$AB30*SelfQuarantine_Mild)+('Weekly Summary'!O$101*'Equipment List &amp; Usage'!$AB30*SelfQuarantine_Moderate)))+IF('Equipment List &amp; Usage'!$F30="Yes",('Equipment List &amp; Usage'!$C$114*(IF('Equipment List &amp; Usage'!$AE30&gt;0,'Weekly Summary'!O$134,0)+IF('Equipment List &amp; Usage'!$AF30&gt;0,'Weekly Summary'!O$135))),'Equipment List &amp; Usage'!$C$115*(('Weekly Summary'!O$134*'Equipment List &amp; Usage'!$AE30)+('Weekly Summary'!O$135*'Equipment List &amp; Usage'!$AF30))))-SUM($I28:T28),
IF($F28="yes",MMULT(--('Equipment List &amp; Usage'!$J30:$N30&gt;0),--('Weekly Summary'!O$112:O$116))*'Equipment List &amp; Usage'!$C$114,MMULT(--('Equipment List &amp; Usage'!$J30:$N30),--('Weekly Summary'!O$112:O$116))*'Equipment List &amp; Usage'!$C$115)+IF('Equipment List &amp; Usage'!$F29="yes",'Equipment List &amp; Usage'!$C$114,'Equipment List &amp; Usage'!$C$115)*(('Weekly Summary'!O$66*'Equipment List &amp; Usage'!$Q30)+('Weekly Summary'!O$64*'Equipment List &amp; Usage'!$O30)+('Weekly Summary'!O$65*'Equipment List &amp; Usage'!$P30))+(IF('Equipment List &amp; Usage'!$F30="Yes",'Equipment List &amp; Usage'!$C$114*((('Weekly Summary'!O$131*SelfQuarantine_Mild)+('Weekly Summary'!O$100*SelfQuarantine_Mild)+('Weekly Summary'!O$101*SelfQuarantine_Moderate))),'Equipment List &amp; Usage'!$C$115)*((('Weekly Summary'!O$131*SelfQuarantine_Mild*'Equipment List &amp; Usage'!$W30)+('Weekly Summary'!O$100*SelfQuarantine_Mild*'Equipment List &amp; Usage'!$X30)+('Weekly Summary'!O$101*SelfQuarantine_Moderate*'Equipment List &amp; Usage'!$X30))))+IF('Equipment List &amp; Usage'!$F30="Yes",'Equipment List &amp; Usage'!$C$114*(IF('Equipment List &amp; Usage'!$AA30&gt;0,'Weekly Summary'!O$128,0)+IF('Equipment List &amp; Usage'!$AB30&gt;0,'Weekly Summary'!O$100+'Weekly Summary'!O$101,0)),'Equipment List &amp; Usage'!$C$115*(('Weekly Summary'!O$128*'Equipment List &amp; Usage'!$AA30)+('Weekly Summary'!O$100*'Equipment List &amp; Usage'!$AB30*SelfQuarantine_Mild)+('Weekly Summary'!O$101*'Equipment List &amp; Usage'!$AB30*SelfQuarantine_Moderate)))+IF('Equipment List &amp; Usage'!$F30="Yes",('Equipment List &amp; Usage'!$C$114*(IF('Equipment List &amp; Usage'!$AE30&gt;0,'Weekly Summary'!O$134,0)+IF('Equipment List &amp; Usage'!$AF30&gt;0,'Weekly Summary'!O$135))),'Equipment List &amp; Usage'!$C$115*(('Weekly Summary'!O$134*'Equipment List &amp; Usage'!$AE30)+('Weekly Summary'!O$135*'Equipment List &amp; Usage'!$AF30)))),0)</f>
        <v>0</v>
      </c>
      <c r="V28" s="1374">
        <f ca="1">MAX(IF($F28="Yes",(
IF($F28="yes",MMULT(--('Equipment List &amp; Usage'!$J30:$N30&gt;0),--('Weekly Summary'!P$112:P$116))*'Equipment List &amp; Usage'!$C$114,MMULT(--('Equipment List &amp; Usage'!$J30:$N30),--('Weekly Summary'!P$112:P$116))*'Equipment List &amp; Usage'!$C$115)+IF('Equipment List &amp; Usage'!$F29="yes",'Equipment List &amp; Usage'!$C$114,'Equipment List &amp; Usage'!$C$115)*(('Weekly Summary'!P$66*'Equipment List &amp; Usage'!$Q30)+('Weekly Summary'!P$64*'Equipment List &amp; Usage'!$O30)+('Weekly Summary'!P$65*'Equipment List &amp; Usage'!$P30)))+(IF('Equipment List &amp; Usage'!$F30="Yes",'Equipment List &amp; Usage'!$C$114*((('Weekly Summary'!P$131*SelfQuarantine_Mild)+('Weekly Summary'!P$100*SelfQuarantine_Mild)+('Weekly Summary'!P$101*SelfQuarantine_Moderate))),'Equipment List &amp; Usage'!$C$115)*((('Weekly Summary'!P$131*SelfQuarantine_Mild*'Equipment List &amp; Usage'!$W30)+('Weekly Summary'!P$100*SelfQuarantine_Mild*'Equipment List &amp; Usage'!$X30)+('Weekly Summary'!P$101*SelfQuarantine_Moderate*'Equipment List &amp; Usage'!$X30)))+IF('Equipment List &amp; Usage'!$F30="Yes",'Equipment List &amp; Usage'!$C$114*(IF('Equipment List &amp; Usage'!$AA30&gt;0,'Weekly Summary'!P$128,0)+IF('Equipment List &amp; Usage'!$AB30&gt;0,'Weekly Summary'!P$100+'Weekly Summary'!P$101,0)),'Equipment List &amp; Usage'!$C$115*(('Weekly Summary'!P$128*'Equipment List &amp; Usage'!$AA30)+('Weekly Summary'!P$100*'Equipment List &amp; Usage'!$AB30*SelfQuarantine_Mild)+('Weekly Summary'!P$101*'Equipment List &amp; Usage'!$AB30*SelfQuarantine_Moderate)))+IF('Equipment List &amp; Usage'!$F30="Yes",('Equipment List &amp; Usage'!$C$114*(IF('Equipment List &amp; Usage'!$AE30&gt;0,'Weekly Summary'!P$134,0)+IF('Equipment List &amp; Usage'!$AF30&gt;0,'Weekly Summary'!P$135))),'Equipment List &amp; Usage'!$C$115*(('Weekly Summary'!P$134*'Equipment List &amp; Usage'!$AE30)+('Weekly Summary'!P$135*'Equipment List &amp; Usage'!$AF30))))-SUM($I28:U28),
IF($F28="yes",MMULT(--('Equipment List &amp; Usage'!$J30:$N30&gt;0),--('Weekly Summary'!P$112:P$116))*'Equipment List &amp; Usage'!$C$114,MMULT(--('Equipment List &amp; Usage'!$J30:$N30),--('Weekly Summary'!P$112:P$116))*'Equipment List &amp; Usage'!$C$115)+IF('Equipment List &amp; Usage'!$F29="yes",'Equipment List &amp; Usage'!$C$114,'Equipment List &amp; Usage'!$C$115)*(('Weekly Summary'!P$66*'Equipment List &amp; Usage'!$Q30)+('Weekly Summary'!P$64*'Equipment List &amp; Usage'!$O30)+('Weekly Summary'!P$65*'Equipment List &amp; Usage'!$P30))+(IF('Equipment List &amp; Usage'!$F30="Yes",'Equipment List &amp; Usage'!$C$114*((('Weekly Summary'!P$131*SelfQuarantine_Mild)+('Weekly Summary'!P$100*SelfQuarantine_Mild)+('Weekly Summary'!P$101*SelfQuarantine_Moderate))),'Equipment List &amp; Usage'!$C$115)*((('Weekly Summary'!P$131*SelfQuarantine_Mild*'Equipment List &amp; Usage'!$W30)+('Weekly Summary'!P$100*SelfQuarantine_Mild*'Equipment List &amp; Usage'!$X30)+('Weekly Summary'!P$101*SelfQuarantine_Moderate*'Equipment List &amp; Usage'!$X30))))+IF('Equipment List &amp; Usage'!$F30="Yes",'Equipment List &amp; Usage'!$C$114*(IF('Equipment List &amp; Usage'!$AA30&gt;0,'Weekly Summary'!P$128,0)+IF('Equipment List &amp; Usage'!$AB30&gt;0,'Weekly Summary'!P$100+'Weekly Summary'!P$101,0)),'Equipment List &amp; Usage'!$C$115*(('Weekly Summary'!P$128*'Equipment List &amp; Usage'!$AA30)+('Weekly Summary'!P$100*'Equipment List &amp; Usage'!$AB30*SelfQuarantine_Mild)+('Weekly Summary'!P$101*'Equipment List &amp; Usage'!$AB30*SelfQuarantine_Moderate)))+IF('Equipment List &amp; Usage'!$F30="Yes",('Equipment List &amp; Usage'!$C$114*(IF('Equipment List &amp; Usage'!$AE30&gt;0,'Weekly Summary'!P$134,0)+IF('Equipment List &amp; Usage'!$AF30&gt;0,'Weekly Summary'!P$135))),'Equipment List &amp; Usage'!$C$115*(('Weekly Summary'!P$134*'Equipment List &amp; Usage'!$AE30)+('Weekly Summary'!P$135*'Equipment List &amp; Usage'!$AF30)))),0)</f>
        <v>0</v>
      </c>
      <c r="W28" s="1374">
        <f ca="1">MAX(IF($F28="Yes",(
IF($F28="yes",MMULT(--('Equipment List &amp; Usage'!$J30:$N30&gt;0),--('Weekly Summary'!Q$112:Q$116))*'Equipment List &amp; Usage'!$C$114,MMULT(--('Equipment List &amp; Usage'!$J30:$N30),--('Weekly Summary'!Q$112:Q$116))*'Equipment List &amp; Usage'!$C$115)+IF('Equipment List &amp; Usage'!$F29="yes",'Equipment List &amp; Usage'!$C$114,'Equipment List &amp; Usage'!$C$115)*(('Weekly Summary'!Q$66*'Equipment List &amp; Usage'!$Q30)+('Weekly Summary'!Q$64*'Equipment List &amp; Usage'!$O30)+('Weekly Summary'!Q$65*'Equipment List &amp; Usage'!$P30)))+(IF('Equipment List &amp; Usage'!$F30="Yes",'Equipment List &amp; Usage'!$C$114*((('Weekly Summary'!Q$131*SelfQuarantine_Mild)+('Weekly Summary'!Q$100*SelfQuarantine_Mild)+('Weekly Summary'!Q$101*SelfQuarantine_Moderate))),'Equipment List &amp; Usage'!$C$115)*((('Weekly Summary'!Q$131*SelfQuarantine_Mild*'Equipment List &amp; Usage'!$W30)+('Weekly Summary'!Q$100*SelfQuarantine_Mild*'Equipment List &amp; Usage'!$X30)+('Weekly Summary'!Q$101*SelfQuarantine_Moderate*'Equipment List &amp; Usage'!$X30)))+IF('Equipment List &amp; Usage'!$F30="Yes",'Equipment List &amp; Usage'!$C$114*(IF('Equipment List &amp; Usage'!$AA30&gt;0,'Weekly Summary'!Q$128,0)+IF('Equipment List &amp; Usage'!$AB30&gt;0,'Weekly Summary'!Q$100+'Weekly Summary'!Q$101,0)),'Equipment List &amp; Usage'!$C$115*(('Weekly Summary'!Q$128*'Equipment List &amp; Usage'!$AA30)+('Weekly Summary'!Q$100*'Equipment List &amp; Usage'!$AB30*SelfQuarantine_Mild)+('Weekly Summary'!Q$101*'Equipment List &amp; Usage'!$AB30*SelfQuarantine_Moderate)))+IF('Equipment List &amp; Usage'!$F30="Yes",('Equipment List &amp; Usage'!$C$114*(IF('Equipment List &amp; Usage'!$AE30&gt;0,'Weekly Summary'!Q$134,0)+IF('Equipment List &amp; Usage'!$AF30&gt;0,'Weekly Summary'!Q$135))),'Equipment List &amp; Usage'!$C$115*(('Weekly Summary'!Q$134*'Equipment List &amp; Usage'!$AE30)+('Weekly Summary'!Q$135*'Equipment List &amp; Usage'!$AF30))))-SUM($I28:V28),
IF($F28="yes",MMULT(--('Equipment List &amp; Usage'!$J30:$N30&gt;0),--('Weekly Summary'!Q$112:Q$116))*'Equipment List &amp; Usage'!$C$114,MMULT(--('Equipment List &amp; Usage'!$J30:$N30),--('Weekly Summary'!Q$112:Q$116))*'Equipment List &amp; Usage'!$C$115)+IF('Equipment List &amp; Usage'!$F29="yes",'Equipment List &amp; Usage'!$C$114,'Equipment List &amp; Usage'!$C$115)*(('Weekly Summary'!Q$66*'Equipment List &amp; Usage'!$Q30)+('Weekly Summary'!Q$64*'Equipment List &amp; Usage'!$O30)+('Weekly Summary'!Q$65*'Equipment List &amp; Usage'!$P30))+(IF('Equipment List &amp; Usage'!$F30="Yes",'Equipment List &amp; Usage'!$C$114*((('Weekly Summary'!Q$131*SelfQuarantine_Mild)+('Weekly Summary'!Q$100*SelfQuarantine_Mild)+('Weekly Summary'!Q$101*SelfQuarantine_Moderate))),'Equipment List &amp; Usage'!$C$115)*((('Weekly Summary'!Q$131*SelfQuarantine_Mild*'Equipment List &amp; Usage'!$W30)+('Weekly Summary'!Q$100*SelfQuarantine_Mild*'Equipment List &amp; Usage'!$X30)+('Weekly Summary'!Q$101*SelfQuarantine_Moderate*'Equipment List &amp; Usage'!$X30))))+IF('Equipment List &amp; Usage'!$F30="Yes",'Equipment List &amp; Usage'!$C$114*(IF('Equipment List &amp; Usage'!$AA30&gt;0,'Weekly Summary'!Q$128,0)+IF('Equipment List &amp; Usage'!$AB30&gt;0,'Weekly Summary'!Q$100+'Weekly Summary'!Q$101,0)),'Equipment List &amp; Usage'!$C$115*(('Weekly Summary'!Q$128*'Equipment List &amp; Usage'!$AA30)+('Weekly Summary'!Q$100*'Equipment List &amp; Usage'!$AB30*SelfQuarantine_Mild)+('Weekly Summary'!Q$101*'Equipment List &amp; Usage'!$AB30*SelfQuarantine_Moderate)))+IF('Equipment List &amp; Usage'!$F30="Yes",('Equipment List &amp; Usage'!$C$114*(IF('Equipment List &amp; Usage'!$AE30&gt;0,'Weekly Summary'!Q$134,0)+IF('Equipment List &amp; Usage'!$AF30&gt;0,'Weekly Summary'!Q$135))),'Equipment List &amp; Usage'!$C$115*(('Weekly Summary'!Q$134*'Equipment List &amp; Usage'!$AE30)+('Weekly Summary'!Q$135*'Equipment List &amp; Usage'!$AF30)))),0)</f>
        <v>0</v>
      </c>
      <c r="X28" s="1374">
        <f ca="1">MAX(IF($F28="Yes",(
IF($F28="yes",MMULT(--('Equipment List &amp; Usage'!$J30:$N30&gt;0),--('Weekly Summary'!R$112:R$116))*'Equipment List &amp; Usage'!$C$114,MMULT(--('Equipment List &amp; Usage'!$J30:$N30),--('Weekly Summary'!R$112:R$116))*'Equipment List &amp; Usage'!$C$115)+IF('Equipment List &amp; Usage'!$F29="yes",'Equipment List &amp; Usage'!$C$114,'Equipment List &amp; Usage'!$C$115)*(('Weekly Summary'!R$66*'Equipment List &amp; Usage'!$Q30)+('Weekly Summary'!R$64*'Equipment List &amp; Usage'!$O30)+('Weekly Summary'!R$65*'Equipment List &amp; Usage'!$P30)))+(IF('Equipment List &amp; Usage'!$F30="Yes",'Equipment List &amp; Usage'!$C$114*((('Weekly Summary'!R$131*SelfQuarantine_Mild)+('Weekly Summary'!R$100*SelfQuarantine_Mild)+('Weekly Summary'!R$101*SelfQuarantine_Moderate))),'Equipment List &amp; Usage'!$C$115)*((('Weekly Summary'!R$131*SelfQuarantine_Mild*'Equipment List &amp; Usage'!$W30)+('Weekly Summary'!R$100*SelfQuarantine_Mild*'Equipment List &amp; Usage'!$X30)+('Weekly Summary'!R$101*SelfQuarantine_Moderate*'Equipment List &amp; Usage'!$X30)))+IF('Equipment List &amp; Usage'!$F30="Yes",'Equipment List &amp; Usage'!$C$114*(IF('Equipment List &amp; Usage'!$AA30&gt;0,'Weekly Summary'!R$128,0)+IF('Equipment List &amp; Usage'!$AB30&gt;0,'Weekly Summary'!R$100+'Weekly Summary'!R$101,0)),'Equipment List &amp; Usage'!$C$115*(('Weekly Summary'!R$128*'Equipment List &amp; Usage'!$AA30)+('Weekly Summary'!R$100*'Equipment List &amp; Usage'!$AB30*SelfQuarantine_Mild)+('Weekly Summary'!R$101*'Equipment List &amp; Usage'!$AB30*SelfQuarantine_Moderate)))+IF('Equipment List &amp; Usage'!$F30="Yes",('Equipment List &amp; Usage'!$C$114*(IF('Equipment List &amp; Usage'!$AE30&gt;0,'Weekly Summary'!R$134,0)+IF('Equipment List &amp; Usage'!$AF30&gt;0,'Weekly Summary'!R$135))),'Equipment List &amp; Usage'!$C$115*(('Weekly Summary'!R$134*'Equipment List &amp; Usage'!$AE30)+('Weekly Summary'!R$135*'Equipment List &amp; Usage'!$AF30))))-SUM($I28:W28),
IF($F28="yes",MMULT(--('Equipment List &amp; Usage'!$J30:$N30&gt;0),--('Weekly Summary'!R$112:R$116))*'Equipment List &amp; Usage'!$C$114,MMULT(--('Equipment List &amp; Usage'!$J30:$N30),--('Weekly Summary'!R$112:R$116))*'Equipment List &amp; Usage'!$C$115)+IF('Equipment List &amp; Usage'!$F29="yes",'Equipment List &amp; Usage'!$C$114,'Equipment List &amp; Usage'!$C$115)*(('Weekly Summary'!R$66*'Equipment List &amp; Usage'!$Q30)+('Weekly Summary'!R$64*'Equipment List &amp; Usage'!$O30)+('Weekly Summary'!R$65*'Equipment List &amp; Usage'!$P30))+(IF('Equipment List &amp; Usage'!$F30="Yes",'Equipment List &amp; Usage'!$C$114*((('Weekly Summary'!R$131*SelfQuarantine_Mild)+('Weekly Summary'!R$100*SelfQuarantine_Mild)+('Weekly Summary'!R$101*SelfQuarantine_Moderate))),'Equipment List &amp; Usage'!$C$115)*((('Weekly Summary'!R$131*SelfQuarantine_Mild*'Equipment List &amp; Usage'!$W30)+('Weekly Summary'!R$100*SelfQuarantine_Mild*'Equipment List &amp; Usage'!$X30)+('Weekly Summary'!R$101*SelfQuarantine_Moderate*'Equipment List &amp; Usage'!$X30))))+IF('Equipment List &amp; Usage'!$F30="Yes",'Equipment List &amp; Usage'!$C$114*(IF('Equipment List &amp; Usage'!$AA30&gt;0,'Weekly Summary'!R$128,0)+IF('Equipment List &amp; Usage'!$AB30&gt;0,'Weekly Summary'!R$100+'Weekly Summary'!R$101,0)),'Equipment List &amp; Usage'!$C$115*(('Weekly Summary'!R$128*'Equipment List &amp; Usage'!$AA30)+('Weekly Summary'!R$100*'Equipment List &amp; Usage'!$AB30*SelfQuarantine_Mild)+('Weekly Summary'!R$101*'Equipment List &amp; Usage'!$AB30*SelfQuarantine_Moderate)))+IF('Equipment List &amp; Usage'!$F30="Yes",('Equipment List &amp; Usage'!$C$114*(IF('Equipment List &amp; Usage'!$AE30&gt;0,'Weekly Summary'!R$134,0)+IF('Equipment List &amp; Usage'!$AF30&gt;0,'Weekly Summary'!R$135))),'Equipment List &amp; Usage'!$C$115*(('Weekly Summary'!R$134*'Equipment List &amp; Usage'!$AE30)+('Weekly Summary'!R$135*'Equipment List &amp; Usage'!$AF30)))),0)</f>
        <v>0</v>
      </c>
      <c r="Y28" s="1374">
        <f ca="1">MAX(IF($F28="Yes",(
IF($F28="yes",MMULT(--('Equipment List &amp; Usage'!$J30:$N30&gt;0),--('Weekly Summary'!S$112:S$116))*'Equipment List &amp; Usage'!$C$114,MMULT(--('Equipment List &amp; Usage'!$J30:$N30),--('Weekly Summary'!S$112:S$116))*'Equipment List &amp; Usage'!$C$115)+IF('Equipment List &amp; Usage'!$F29="yes",'Equipment List &amp; Usage'!$C$114,'Equipment List &amp; Usage'!$C$115)*(('Weekly Summary'!S$66*'Equipment List &amp; Usage'!$Q30)+('Weekly Summary'!S$64*'Equipment List &amp; Usage'!$O30)+('Weekly Summary'!S$65*'Equipment List &amp; Usage'!$P30)))+(IF('Equipment List &amp; Usage'!$F30="Yes",'Equipment List &amp; Usage'!$C$114*((('Weekly Summary'!S$131*SelfQuarantine_Mild)+('Weekly Summary'!S$100*SelfQuarantine_Mild)+('Weekly Summary'!S$101*SelfQuarantine_Moderate))),'Equipment List &amp; Usage'!$C$115)*((('Weekly Summary'!S$131*SelfQuarantine_Mild*'Equipment List &amp; Usage'!$W30)+('Weekly Summary'!S$100*SelfQuarantine_Mild*'Equipment List &amp; Usage'!$X30)+('Weekly Summary'!S$101*SelfQuarantine_Moderate*'Equipment List &amp; Usage'!$X30)))+IF('Equipment List &amp; Usage'!$F30="Yes",'Equipment List &amp; Usage'!$C$114*(IF('Equipment List &amp; Usage'!$AA30&gt;0,'Weekly Summary'!S$128,0)+IF('Equipment List &amp; Usage'!$AB30&gt;0,'Weekly Summary'!S$100+'Weekly Summary'!S$101,0)),'Equipment List &amp; Usage'!$C$115*(('Weekly Summary'!S$128*'Equipment List &amp; Usage'!$AA30)+('Weekly Summary'!S$100*'Equipment List &amp; Usage'!$AB30*SelfQuarantine_Mild)+('Weekly Summary'!S$101*'Equipment List &amp; Usage'!$AB30*SelfQuarantine_Moderate)))+IF('Equipment List &amp; Usage'!$F30="Yes",('Equipment List &amp; Usage'!$C$114*(IF('Equipment List &amp; Usage'!$AE30&gt;0,'Weekly Summary'!S$134,0)+IF('Equipment List &amp; Usage'!$AF30&gt;0,'Weekly Summary'!S$135))),'Equipment List &amp; Usage'!$C$115*(('Weekly Summary'!S$134*'Equipment List &amp; Usage'!$AE30)+('Weekly Summary'!S$135*'Equipment List &amp; Usage'!$AF30))))-SUM($I28:X28),
IF($F28="yes",MMULT(--('Equipment List &amp; Usage'!$J30:$N30&gt;0),--('Weekly Summary'!S$112:S$116))*'Equipment List &amp; Usage'!$C$114,MMULT(--('Equipment List &amp; Usage'!$J30:$N30),--('Weekly Summary'!S$112:S$116))*'Equipment List &amp; Usage'!$C$115)+IF('Equipment List &amp; Usage'!$F29="yes",'Equipment List &amp; Usage'!$C$114,'Equipment List &amp; Usage'!$C$115)*(('Weekly Summary'!S$66*'Equipment List &amp; Usage'!$Q30)+('Weekly Summary'!S$64*'Equipment List &amp; Usage'!$O30)+('Weekly Summary'!S$65*'Equipment List &amp; Usage'!$P30))+(IF('Equipment List &amp; Usage'!$F30="Yes",'Equipment List &amp; Usage'!$C$114*((('Weekly Summary'!S$131*SelfQuarantine_Mild)+('Weekly Summary'!S$100*SelfQuarantine_Mild)+('Weekly Summary'!S$101*SelfQuarantine_Moderate))),'Equipment List &amp; Usage'!$C$115)*((('Weekly Summary'!S$131*SelfQuarantine_Mild*'Equipment List &amp; Usage'!$W30)+('Weekly Summary'!S$100*SelfQuarantine_Mild*'Equipment List &amp; Usage'!$X30)+('Weekly Summary'!S$101*SelfQuarantine_Moderate*'Equipment List &amp; Usage'!$X30))))+IF('Equipment List &amp; Usage'!$F30="Yes",'Equipment List &amp; Usage'!$C$114*(IF('Equipment List &amp; Usage'!$AA30&gt;0,'Weekly Summary'!S$128,0)+IF('Equipment List &amp; Usage'!$AB30&gt;0,'Weekly Summary'!S$100+'Weekly Summary'!S$101,0)),'Equipment List &amp; Usage'!$C$115*(('Weekly Summary'!S$128*'Equipment List &amp; Usage'!$AA30)+('Weekly Summary'!S$100*'Equipment List &amp; Usage'!$AB30*SelfQuarantine_Mild)+('Weekly Summary'!S$101*'Equipment List &amp; Usage'!$AB30*SelfQuarantine_Moderate)))+IF('Equipment List &amp; Usage'!$F30="Yes",('Equipment List &amp; Usage'!$C$114*(IF('Equipment List &amp; Usage'!$AE30&gt;0,'Weekly Summary'!S$134,0)+IF('Equipment List &amp; Usage'!$AF30&gt;0,'Weekly Summary'!S$135))),'Equipment List &amp; Usage'!$C$115*(('Weekly Summary'!S$134*'Equipment List &amp; Usage'!$AE30)+('Weekly Summary'!S$135*'Equipment List &amp; Usage'!$AF30)))),0)</f>
        <v>0</v>
      </c>
      <c r="Z28" s="1374">
        <f ca="1">MAX(IF($F28="Yes",(
IF($F28="yes",MMULT(--('Equipment List &amp; Usage'!$J30:$N30&gt;0),--('Weekly Summary'!T$112:T$116))*'Equipment List &amp; Usage'!$C$114,MMULT(--('Equipment List &amp; Usage'!$J30:$N30),--('Weekly Summary'!T$112:T$116))*'Equipment List &amp; Usage'!$C$115)+IF('Equipment List &amp; Usage'!$F29="yes",'Equipment List &amp; Usage'!$C$114,'Equipment List &amp; Usage'!$C$115)*(('Weekly Summary'!T$66*'Equipment List &amp; Usage'!$Q30)+('Weekly Summary'!T$64*'Equipment List &amp; Usage'!$O30)+('Weekly Summary'!T$65*'Equipment List &amp; Usage'!$P30)))+(IF('Equipment List &amp; Usage'!$F30="Yes",'Equipment List &amp; Usage'!$C$114*((('Weekly Summary'!T$131*SelfQuarantine_Mild)+('Weekly Summary'!T$100*SelfQuarantine_Mild)+('Weekly Summary'!T$101*SelfQuarantine_Moderate))),'Equipment List &amp; Usage'!$C$115)*((('Weekly Summary'!T$131*SelfQuarantine_Mild*'Equipment List &amp; Usage'!$W30)+('Weekly Summary'!T$100*SelfQuarantine_Mild*'Equipment List &amp; Usage'!$X30)+('Weekly Summary'!T$101*SelfQuarantine_Moderate*'Equipment List &amp; Usage'!$X30)))+IF('Equipment List &amp; Usage'!$F30="Yes",'Equipment List &amp; Usage'!$C$114*(IF('Equipment List &amp; Usage'!$AA30&gt;0,'Weekly Summary'!T$128,0)+IF('Equipment List &amp; Usage'!$AB30&gt;0,'Weekly Summary'!T$100+'Weekly Summary'!T$101,0)),'Equipment List &amp; Usage'!$C$115*(('Weekly Summary'!T$128*'Equipment List &amp; Usage'!$AA30)+('Weekly Summary'!T$100*'Equipment List &amp; Usage'!$AB30*SelfQuarantine_Mild)+('Weekly Summary'!T$101*'Equipment List &amp; Usage'!$AB30*SelfQuarantine_Moderate)))+IF('Equipment List &amp; Usage'!$F30="Yes",('Equipment List &amp; Usage'!$C$114*(IF('Equipment List &amp; Usage'!$AE30&gt;0,'Weekly Summary'!T$134,0)+IF('Equipment List &amp; Usage'!$AF30&gt;0,'Weekly Summary'!T$135))),'Equipment List &amp; Usage'!$C$115*(('Weekly Summary'!T$134*'Equipment List &amp; Usage'!$AE30)+('Weekly Summary'!T$135*'Equipment List &amp; Usage'!$AF30))))-SUM($I28:Y28),
IF($F28="yes",MMULT(--('Equipment List &amp; Usage'!$J30:$N30&gt;0),--('Weekly Summary'!T$112:T$116))*'Equipment List &amp; Usage'!$C$114,MMULT(--('Equipment List &amp; Usage'!$J30:$N30),--('Weekly Summary'!T$112:T$116))*'Equipment List &amp; Usage'!$C$115)+IF('Equipment List &amp; Usage'!$F29="yes",'Equipment List &amp; Usage'!$C$114,'Equipment List &amp; Usage'!$C$115)*(('Weekly Summary'!T$66*'Equipment List &amp; Usage'!$Q30)+('Weekly Summary'!T$64*'Equipment List &amp; Usage'!$O30)+('Weekly Summary'!T$65*'Equipment List &amp; Usage'!$P30))+(IF('Equipment List &amp; Usage'!$F30="Yes",'Equipment List &amp; Usage'!$C$114*((('Weekly Summary'!T$131*SelfQuarantine_Mild)+('Weekly Summary'!T$100*SelfQuarantine_Mild)+('Weekly Summary'!T$101*SelfQuarantine_Moderate))),'Equipment List &amp; Usage'!$C$115)*((('Weekly Summary'!T$131*SelfQuarantine_Mild*'Equipment List &amp; Usage'!$W30)+('Weekly Summary'!T$100*SelfQuarantine_Mild*'Equipment List &amp; Usage'!$X30)+('Weekly Summary'!T$101*SelfQuarantine_Moderate*'Equipment List &amp; Usage'!$X30))))+IF('Equipment List &amp; Usage'!$F30="Yes",'Equipment List &amp; Usage'!$C$114*(IF('Equipment List &amp; Usage'!$AA30&gt;0,'Weekly Summary'!T$128,0)+IF('Equipment List &amp; Usage'!$AB30&gt;0,'Weekly Summary'!T$100+'Weekly Summary'!T$101,0)),'Equipment List &amp; Usage'!$C$115*(('Weekly Summary'!T$128*'Equipment List &amp; Usage'!$AA30)+('Weekly Summary'!T$100*'Equipment List &amp; Usage'!$AB30*SelfQuarantine_Mild)+('Weekly Summary'!T$101*'Equipment List &amp; Usage'!$AB30*SelfQuarantine_Moderate)))+IF('Equipment List &amp; Usage'!$F30="Yes",('Equipment List &amp; Usage'!$C$114*(IF('Equipment List &amp; Usage'!$AE30&gt;0,'Weekly Summary'!T$134,0)+IF('Equipment List &amp; Usage'!$AF30&gt;0,'Weekly Summary'!T$135))),'Equipment List &amp; Usage'!$C$115*(('Weekly Summary'!T$134*'Equipment List &amp; Usage'!$AE30)+('Weekly Summary'!T$135*'Equipment List &amp; Usage'!$AF30)))),0)</f>
        <v>0</v>
      </c>
      <c r="AA28" s="1374">
        <f ca="1">MAX(IF($F28="Yes",(
IF($F28="yes",MMULT(--('Equipment List &amp; Usage'!$J30:$N30&gt;0),--('Weekly Summary'!U$112:U$116))*'Equipment List &amp; Usage'!$C$114,MMULT(--('Equipment List &amp; Usage'!$J30:$N30),--('Weekly Summary'!U$112:U$116))*'Equipment List &amp; Usage'!$C$115)+IF('Equipment List &amp; Usage'!$F29="yes",'Equipment List &amp; Usage'!$C$114,'Equipment List &amp; Usage'!$C$115)*(('Weekly Summary'!U$66*'Equipment List &amp; Usage'!$Q30)+('Weekly Summary'!U$64*'Equipment List &amp; Usage'!$O30)+('Weekly Summary'!U$65*'Equipment List &amp; Usage'!$P30)))+(IF('Equipment List &amp; Usage'!$F30="Yes",'Equipment List &amp; Usage'!$C$114*((('Weekly Summary'!U$131*SelfQuarantine_Mild)+('Weekly Summary'!U$100*SelfQuarantine_Mild)+('Weekly Summary'!U$101*SelfQuarantine_Moderate))),'Equipment List &amp; Usage'!$C$115)*((('Weekly Summary'!U$131*SelfQuarantine_Mild*'Equipment List &amp; Usage'!$W30)+('Weekly Summary'!U$100*SelfQuarantine_Mild*'Equipment List &amp; Usage'!$X30)+('Weekly Summary'!U$101*SelfQuarantine_Moderate*'Equipment List &amp; Usage'!$X30)))+IF('Equipment List &amp; Usage'!$F30="Yes",'Equipment List &amp; Usage'!$C$114*(IF('Equipment List &amp; Usage'!$AA30&gt;0,'Weekly Summary'!U$128,0)+IF('Equipment List &amp; Usage'!$AB30&gt;0,'Weekly Summary'!U$100+'Weekly Summary'!U$101,0)),'Equipment List &amp; Usage'!$C$115*(('Weekly Summary'!U$128*'Equipment List &amp; Usage'!$AA30)+('Weekly Summary'!U$100*'Equipment List &amp; Usage'!$AB30*SelfQuarantine_Mild)+('Weekly Summary'!U$101*'Equipment List &amp; Usage'!$AB30*SelfQuarantine_Moderate)))+IF('Equipment List &amp; Usage'!$F30="Yes",('Equipment List &amp; Usage'!$C$114*(IF('Equipment List &amp; Usage'!$AE30&gt;0,'Weekly Summary'!U$134,0)+IF('Equipment List &amp; Usage'!$AF30&gt;0,'Weekly Summary'!U$135))),'Equipment List &amp; Usage'!$C$115*(('Weekly Summary'!U$134*'Equipment List &amp; Usage'!$AE30)+('Weekly Summary'!U$135*'Equipment List &amp; Usage'!$AF30))))-SUM($I28:Z28),
IF($F28="yes",MMULT(--('Equipment List &amp; Usage'!$J30:$N30&gt;0),--('Weekly Summary'!U$112:U$116))*'Equipment List &amp; Usage'!$C$114,MMULT(--('Equipment List &amp; Usage'!$J30:$N30),--('Weekly Summary'!U$112:U$116))*'Equipment List &amp; Usage'!$C$115)+IF('Equipment List &amp; Usage'!$F29="yes",'Equipment List &amp; Usage'!$C$114,'Equipment List &amp; Usage'!$C$115)*(('Weekly Summary'!U$66*'Equipment List &amp; Usage'!$Q30)+('Weekly Summary'!U$64*'Equipment List &amp; Usage'!$O30)+('Weekly Summary'!U$65*'Equipment List &amp; Usage'!$P30))+(IF('Equipment List &amp; Usage'!$F30="Yes",'Equipment List &amp; Usage'!$C$114*((('Weekly Summary'!U$131*SelfQuarantine_Mild)+('Weekly Summary'!U$100*SelfQuarantine_Mild)+('Weekly Summary'!U$101*SelfQuarantine_Moderate))),'Equipment List &amp; Usage'!$C$115)*((('Weekly Summary'!U$131*SelfQuarantine_Mild*'Equipment List &amp; Usage'!$W30)+('Weekly Summary'!U$100*SelfQuarantine_Mild*'Equipment List &amp; Usage'!$X30)+('Weekly Summary'!U$101*SelfQuarantine_Moderate*'Equipment List &amp; Usage'!$X30))))+IF('Equipment List &amp; Usage'!$F30="Yes",'Equipment List &amp; Usage'!$C$114*(IF('Equipment List &amp; Usage'!$AA30&gt;0,'Weekly Summary'!U$128,0)+IF('Equipment List &amp; Usage'!$AB30&gt;0,'Weekly Summary'!U$100+'Weekly Summary'!U$101,0)),'Equipment List &amp; Usage'!$C$115*(('Weekly Summary'!U$128*'Equipment List &amp; Usage'!$AA30)+('Weekly Summary'!U$100*'Equipment List &amp; Usage'!$AB30*SelfQuarantine_Mild)+('Weekly Summary'!U$101*'Equipment List &amp; Usage'!$AB30*SelfQuarantine_Moderate)))+IF('Equipment List &amp; Usage'!$F30="Yes",('Equipment List &amp; Usage'!$C$114*(IF('Equipment List &amp; Usage'!$AE30&gt;0,'Weekly Summary'!U$134,0)+IF('Equipment List &amp; Usage'!$AF30&gt;0,'Weekly Summary'!U$135))),'Equipment List &amp; Usage'!$C$115*(('Weekly Summary'!U$134*'Equipment List &amp; Usage'!$AE30)+('Weekly Summary'!U$135*'Equipment List &amp; Usage'!$AF30)))),0)</f>
        <v>0</v>
      </c>
      <c r="AB28" s="1374">
        <f ca="1">MAX(IF($F28="Yes",(
IF($F28="yes",MMULT(--('Equipment List &amp; Usage'!$J30:$N30&gt;0),--('Weekly Summary'!V$112:V$116))*'Equipment List &amp; Usage'!$C$114,MMULT(--('Equipment List &amp; Usage'!$J30:$N30),--('Weekly Summary'!V$112:V$116))*'Equipment List &amp; Usage'!$C$115)+IF('Equipment List &amp; Usage'!$F29="yes",'Equipment List &amp; Usage'!$C$114,'Equipment List &amp; Usage'!$C$115)*(('Weekly Summary'!V$66*'Equipment List &amp; Usage'!$Q30)+('Weekly Summary'!V$64*'Equipment List &amp; Usage'!$O30)+('Weekly Summary'!V$65*'Equipment List &amp; Usage'!$P30)))+(IF('Equipment List &amp; Usage'!$F30="Yes",'Equipment List &amp; Usage'!$C$114*((('Weekly Summary'!V$131*SelfQuarantine_Mild)+('Weekly Summary'!V$100*SelfQuarantine_Mild)+('Weekly Summary'!V$101*SelfQuarantine_Moderate))),'Equipment List &amp; Usage'!$C$115)*((('Weekly Summary'!V$131*SelfQuarantine_Mild*'Equipment List &amp; Usage'!$W30)+('Weekly Summary'!V$100*SelfQuarantine_Mild*'Equipment List &amp; Usage'!$X30)+('Weekly Summary'!V$101*SelfQuarantine_Moderate*'Equipment List &amp; Usage'!$X30)))+IF('Equipment List &amp; Usage'!$F30="Yes",'Equipment List &amp; Usage'!$C$114*(IF('Equipment List &amp; Usage'!$AA30&gt;0,'Weekly Summary'!V$128,0)+IF('Equipment List &amp; Usage'!$AB30&gt;0,'Weekly Summary'!V$100+'Weekly Summary'!V$101,0)),'Equipment List &amp; Usage'!$C$115*(('Weekly Summary'!V$128*'Equipment List &amp; Usage'!$AA30)+('Weekly Summary'!V$100*'Equipment List &amp; Usage'!$AB30*SelfQuarantine_Mild)+('Weekly Summary'!V$101*'Equipment List &amp; Usage'!$AB30*SelfQuarantine_Moderate)))+IF('Equipment List &amp; Usage'!$F30="Yes",('Equipment List &amp; Usage'!$C$114*(IF('Equipment List &amp; Usage'!$AE30&gt;0,'Weekly Summary'!V$134,0)+IF('Equipment List &amp; Usage'!$AF30&gt;0,'Weekly Summary'!V$135))),'Equipment List &amp; Usage'!$C$115*(('Weekly Summary'!V$134*'Equipment List &amp; Usage'!$AE30)+('Weekly Summary'!V$135*'Equipment List &amp; Usage'!$AF30))))-SUM($I28:AA28),
IF($F28="yes",MMULT(--('Equipment List &amp; Usage'!$J30:$N30&gt;0),--('Weekly Summary'!V$112:V$116))*'Equipment List &amp; Usage'!$C$114,MMULT(--('Equipment List &amp; Usage'!$J30:$N30),--('Weekly Summary'!V$112:V$116))*'Equipment List &amp; Usage'!$C$115)+IF('Equipment List &amp; Usage'!$F29="yes",'Equipment List &amp; Usage'!$C$114,'Equipment List &amp; Usage'!$C$115)*(('Weekly Summary'!V$66*'Equipment List &amp; Usage'!$Q30)+('Weekly Summary'!V$64*'Equipment List &amp; Usage'!$O30)+('Weekly Summary'!V$65*'Equipment List &amp; Usage'!$P30))+(IF('Equipment List &amp; Usage'!$F30="Yes",'Equipment List &amp; Usage'!$C$114*((('Weekly Summary'!V$131*SelfQuarantine_Mild)+('Weekly Summary'!V$100*SelfQuarantine_Mild)+('Weekly Summary'!V$101*SelfQuarantine_Moderate))),'Equipment List &amp; Usage'!$C$115)*((('Weekly Summary'!V$131*SelfQuarantine_Mild*'Equipment List &amp; Usage'!$W30)+('Weekly Summary'!V$100*SelfQuarantine_Mild*'Equipment List &amp; Usage'!$X30)+('Weekly Summary'!V$101*SelfQuarantine_Moderate*'Equipment List &amp; Usage'!$X30))))+IF('Equipment List &amp; Usage'!$F30="Yes",'Equipment List &amp; Usage'!$C$114*(IF('Equipment List &amp; Usage'!$AA30&gt;0,'Weekly Summary'!V$128,0)+IF('Equipment List &amp; Usage'!$AB30&gt;0,'Weekly Summary'!V$100+'Weekly Summary'!V$101,0)),'Equipment List &amp; Usage'!$C$115*(('Weekly Summary'!V$128*'Equipment List &amp; Usage'!$AA30)+('Weekly Summary'!V$100*'Equipment List &amp; Usage'!$AB30*SelfQuarantine_Mild)+('Weekly Summary'!V$101*'Equipment List &amp; Usage'!$AB30*SelfQuarantine_Moderate)))+IF('Equipment List &amp; Usage'!$F30="Yes",('Equipment List &amp; Usage'!$C$114*(IF('Equipment List &amp; Usage'!$AE30&gt;0,'Weekly Summary'!V$134,0)+IF('Equipment List &amp; Usage'!$AF30&gt;0,'Weekly Summary'!V$135))),'Equipment List &amp; Usage'!$C$115*(('Weekly Summary'!V$134*'Equipment List &amp; Usage'!$AE30)+('Weekly Summary'!V$135*'Equipment List &amp; Usage'!$AF30)))),0)</f>
        <v>0</v>
      </c>
      <c r="AC28" s="1374">
        <f ca="1">MAX(IF($F28="Yes",(
IF($F28="yes",MMULT(--('Equipment List &amp; Usage'!$J30:$N30&gt;0),--('Weekly Summary'!W$112:W$116))*'Equipment List &amp; Usage'!$C$114,MMULT(--('Equipment List &amp; Usage'!$J30:$N30),--('Weekly Summary'!W$112:W$116))*'Equipment List &amp; Usage'!$C$115)+IF('Equipment List &amp; Usage'!$F29="yes",'Equipment List &amp; Usage'!$C$114,'Equipment List &amp; Usage'!$C$115)*(('Weekly Summary'!W$66*'Equipment List &amp; Usage'!$Q30)+('Weekly Summary'!W$64*'Equipment List &amp; Usage'!$O30)+('Weekly Summary'!W$65*'Equipment List &amp; Usage'!$P30)))+(IF('Equipment List &amp; Usage'!$F30="Yes",'Equipment List &amp; Usage'!$C$114*((('Weekly Summary'!W$131*SelfQuarantine_Mild)+('Weekly Summary'!W$100*SelfQuarantine_Mild)+('Weekly Summary'!W$101*SelfQuarantine_Moderate))),'Equipment List &amp; Usage'!$C$115)*((('Weekly Summary'!W$131*SelfQuarantine_Mild*'Equipment List &amp; Usage'!$W30)+('Weekly Summary'!W$100*SelfQuarantine_Mild*'Equipment List &amp; Usage'!$X30)+('Weekly Summary'!W$101*SelfQuarantine_Moderate*'Equipment List &amp; Usage'!$X30)))+IF('Equipment List &amp; Usage'!$F30="Yes",'Equipment List &amp; Usage'!$C$114*(IF('Equipment List &amp; Usage'!$AA30&gt;0,'Weekly Summary'!W$128,0)+IF('Equipment List &amp; Usage'!$AB30&gt;0,'Weekly Summary'!W$100+'Weekly Summary'!W$101,0)),'Equipment List &amp; Usage'!$C$115*(('Weekly Summary'!W$128*'Equipment List &amp; Usage'!$AA30)+('Weekly Summary'!W$100*'Equipment List &amp; Usage'!$AB30*SelfQuarantine_Mild)+('Weekly Summary'!W$101*'Equipment List &amp; Usage'!$AB30*SelfQuarantine_Moderate)))+IF('Equipment List &amp; Usage'!$F30="Yes",('Equipment List &amp; Usage'!$C$114*(IF('Equipment List &amp; Usage'!$AE30&gt;0,'Weekly Summary'!W$134,0)+IF('Equipment List &amp; Usage'!$AF30&gt;0,'Weekly Summary'!W$135))),'Equipment List &amp; Usage'!$C$115*(('Weekly Summary'!W$134*'Equipment List &amp; Usage'!$AE30)+('Weekly Summary'!W$135*'Equipment List &amp; Usage'!$AF30))))-SUM($I28:AB28),
IF($F28="yes",MMULT(--('Equipment List &amp; Usage'!$J30:$N30&gt;0),--('Weekly Summary'!W$112:W$116))*'Equipment List &amp; Usage'!$C$114,MMULT(--('Equipment List &amp; Usage'!$J30:$N30),--('Weekly Summary'!W$112:W$116))*'Equipment List &amp; Usage'!$C$115)+IF('Equipment List &amp; Usage'!$F29="yes",'Equipment List &amp; Usage'!$C$114,'Equipment List &amp; Usage'!$C$115)*(('Weekly Summary'!W$66*'Equipment List &amp; Usage'!$Q30)+('Weekly Summary'!W$64*'Equipment List &amp; Usage'!$O30)+('Weekly Summary'!W$65*'Equipment List &amp; Usage'!$P30))+(IF('Equipment List &amp; Usage'!$F30="Yes",'Equipment List &amp; Usage'!$C$114*((('Weekly Summary'!W$131*SelfQuarantine_Mild)+('Weekly Summary'!W$100*SelfQuarantine_Mild)+('Weekly Summary'!W$101*SelfQuarantine_Moderate))),'Equipment List &amp; Usage'!$C$115)*((('Weekly Summary'!W$131*SelfQuarantine_Mild*'Equipment List &amp; Usage'!$W30)+('Weekly Summary'!W$100*SelfQuarantine_Mild*'Equipment List &amp; Usage'!$X30)+('Weekly Summary'!W$101*SelfQuarantine_Moderate*'Equipment List &amp; Usage'!$X30))))+IF('Equipment List &amp; Usage'!$F30="Yes",'Equipment List &amp; Usage'!$C$114*(IF('Equipment List &amp; Usage'!$AA30&gt;0,'Weekly Summary'!W$128,0)+IF('Equipment List &amp; Usage'!$AB30&gt;0,'Weekly Summary'!W$100+'Weekly Summary'!W$101,0)),'Equipment List &amp; Usage'!$C$115*(('Weekly Summary'!W$128*'Equipment List &amp; Usage'!$AA30)+('Weekly Summary'!W$100*'Equipment List &amp; Usage'!$AB30*SelfQuarantine_Mild)+('Weekly Summary'!W$101*'Equipment List &amp; Usage'!$AB30*SelfQuarantine_Moderate)))+IF('Equipment List &amp; Usage'!$F30="Yes",('Equipment List &amp; Usage'!$C$114*(IF('Equipment List &amp; Usage'!$AE30&gt;0,'Weekly Summary'!W$134,0)+IF('Equipment List &amp; Usage'!$AF30&gt;0,'Weekly Summary'!W$135))),'Equipment List &amp; Usage'!$C$115*(('Weekly Summary'!W$134*'Equipment List &amp; Usage'!$AE30)+('Weekly Summary'!W$135*'Equipment List &amp; Usage'!$AF30)))),0)</f>
        <v>0</v>
      </c>
      <c r="AD28" s="1374">
        <f ca="1">MAX(IF($F28="Yes",(
IF($F28="yes",MMULT(--('Equipment List &amp; Usage'!$J30:$N30&gt;0),--('Weekly Summary'!X$112:X$116))*'Equipment List &amp; Usage'!$C$114,MMULT(--('Equipment List &amp; Usage'!$J30:$N30),--('Weekly Summary'!X$112:X$116))*'Equipment List &amp; Usage'!$C$115)+IF('Equipment List &amp; Usage'!$F29="yes",'Equipment List &amp; Usage'!$C$114,'Equipment List &amp; Usage'!$C$115)*(('Weekly Summary'!X$66*'Equipment List &amp; Usage'!$Q30)+('Weekly Summary'!X$64*'Equipment List &amp; Usage'!$O30)+('Weekly Summary'!X$65*'Equipment List &amp; Usage'!$P30)))+(IF('Equipment List &amp; Usage'!$F30="Yes",'Equipment List &amp; Usage'!$C$114*((('Weekly Summary'!X$131*SelfQuarantine_Mild)+('Weekly Summary'!X$100*SelfQuarantine_Mild)+('Weekly Summary'!X$101*SelfQuarantine_Moderate))),'Equipment List &amp; Usage'!$C$115)*((('Weekly Summary'!X$131*SelfQuarantine_Mild*'Equipment List &amp; Usage'!$W30)+('Weekly Summary'!X$100*SelfQuarantine_Mild*'Equipment List &amp; Usage'!$X30)+('Weekly Summary'!X$101*SelfQuarantine_Moderate*'Equipment List &amp; Usage'!$X30)))+IF('Equipment List &amp; Usage'!$F30="Yes",'Equipment List &amp; Usage'!$C$114*(IF('Equipment List &amp; Usage'!$AA30&gt;0,'Weekly Summary'!X$128,0)+IF('Equipment List &amp; Usage'!$AB30&gt;0,'Weekly Summary'!X$100+'Weekly Summary'!X$101,0)),'Equipment List &amp; Usage'!$C$115*(('Weekly Summary'!X$128*'Equipment List &amp; Usage'!$AA30)+('Weekly Summary'!X$100*'Equipment List &amp; Usage'!$AB30*SelfQuarantine_Mild)+('Weekly Summary'!X$101*'Equipment List &amp; Usage'!$AB30*SelfQuarantine_Moderate)))+IF('Equipment List &amp; Usage'!$F30="Yes",('Equipment List &amp; Usage'!$C$114*(IF('Equipment List &amp; Usage'!$AE30&gt;0,'Weekly Summary'!X$134,0)+IF('Equipment List &amp; Usage'!$AF30&gt;0,'Weekly Summary'!X$135))),'Equipment List &amp; Usage'!$C$115*(('Weekly Summary'!X$134*'Equipment List &amp; Usage'!$AE30)+('Weekly Summary'!X$135*'Equipment List &amp; Usage'!$AF30))))-SUM($I28:AC28),
IF($F28="yes",MMULT(--('Equipment List &amp; Usage'!$J30:$N30&gt;0),--('Weekly Summary'!X$112:X$116))*'Equipment List &amp; Usage'!$C$114,MMULT(--('Equipment List &amp; Usage'!$J30:$N30),--('Weekly Summary'!X$112:X$116))*'Equipment List &amp; Usage'!$C$115)+IF('Equipment List &amp; Usage'!$F29="yes",'Equipment List &amp; Usage'!$C$114,'Equipment List &amp; Usage'!$C$115)*(('Weekly Summary'!X$66*'Equipment List &amp; Usage'!$Q30)+('Weekly Summary'!X$64*'Equipment List &amp; Usage'!$O30)+('Weekly Summary'!X$65*'Equipment List &amp; Usage'!$P30))+(IF('Equipment List &amp; Usage'!$F30="Yes",'Equipment List &amp; Usage'!$C$114*((('Weekly Summary'!X$131*SelfQuarantine_Mild)+('Weekly Summary'!X$100*SelfQuarantine_Mild)+('Weekly Summary'!X$101*SelfQuarantine_Moderate))),'Equipment List &amp; Usage'!$C$115)*((('Weekly Summary'!X$131*SelfQuarantine_Mild*'Equipment List &amp; Usage'!$W30)+('Weekly Summary'!X$100*SelfQuarantine_Mild*'Equipment List &amp; Usage'!$X30)+('Weekly Summary'!X$101*SelfQuarantine_Moderate*'Equipment List &amp; Usage'!$X30))))+IF('Equipment List &amp; Usage'!$F30="Yes",'Equipment List &amp; Usage'!$C$114*(IF('Equipment List &amp; Usage'!$AA30&gt;0,'Weekly Summary'!X$128,0)+IF('Equipment List &amp; Usage'!$AB30&gt;0,'Weekly Summary'!X$100+'Weekly Summary'!X$101,0)),'Equipment List &amp; Usage'!$C$115*(('Weekly Summary'!X$128*'Equipment List &amp; Usage'!$AA30)+('Weekly Summary'!X$100*'Equipment List &amp; Usage'!$AB30*SelfQuarantine_Mild)+('Weekly Summary'!X$101*'Equipment List &amp; Usage'!$AB30*SelfQuarantine_Moderate)))+IF('Equipment List &amp; Usage'!$F30="Yes",('Equipment List &amp; Usage'!$C$114*(IF('Equipment List &amp; Usage'!$AE30&gt;0,'Weekly Summary'!X$134,0)+IF('Equipment List &amp; Usage'!$AF30&gt;0,'Weekly Summary'!X$135))),'Equipment List &amp; Usage'!$C$115*(('Weekly Summary'!X$134*'Equipment List &amp; Usage'!$AE30)+('Weekly Summary'!X$135*'Equipment List &amp; Usage'!$AF30)))),0)</f>
        <v>0</v>
      </c>
      <c r="AE28" s="1374">
        <f ca="1">MAX(IF($F28="Yes",(
IF($F28="yes",MMULT(--('Equipment List &amp; Usage'!$J30:$N30&gt;0),--('Weekly Summary'!Y$112:Y$116))*'Equipment List &amp; Usage'!$C$114,MMULT(--('Equipment List &amp; Usage'!$J30:$N30),--('Weekly Summary'!Y$112:Y$116))*'Equipment List &amp; Usage'!$C$115)+IF('Equipment List &amp; Usage'!$F29="yes",'Equipment List &amp; Usage'!$C$114,'Equipment List &amp; Usage'!$C$115)*(('Weekly Summary'!Y$66*'Equipment List &amp; Usage'!$Q30)+('Weekly Summary'!Y$64*'Equipment List &amp; Usage'!$O30)+('Weekly Summary'!Y$65*'Equipment List &amp; Usage'!$P30)))+(IF('Equipment List &amp; Usage'!$F30="Yes",'Equipment List &amp; Usage'!$C$114*((('Weekly Summary'!Y$131*SelfQuarantine_Mild)+('Weekly Summary'!Y$100*SelfQuarantine_Mild)+('Weekly Summary'!Y$101*SelfQuarantine_Moderate))),'Equipment List &amp; Usage'!$C$115)*((('Weekly Summary'!Y$131*SelfQuarantine_Mild*'Equipment List &amp; Usage'!$W30)+('Weekly Summary'!Y$100*SelfQuarantine_Mild*'Equipment List &amp; Usage'!$X30)+('Weekly Summary'!Y$101*SelfQuarantine_Moderate*'Equipment List &amp; Usage'!$X30)))+IF('Equipment List &amp; Usage'!$F30="Yes",'Equipment List &amp; Usage'!$C$114*(IF('Equipment List &amp; Usage'!$AA30&gt;0,'Weekly Summary'!Y$128,0)+IF('Equipment List &amp; Usage'!$AB30&gt;0,'Weekly Summary'!Y$100+'Weekly Summary'!Y$101,0)),'Equipment List &amp; Usage'!$C$115*(('Weekly Summary'!Y$128*'Equipment List &amp; Usage'!$AA30)+('Weekly Summary'!Y$100*'Equipment List &amp; Usage'!$AB30*SelfQuarantine_Mild)+('Weekly Summary'!Y$101*'Equipment List &amp; Usage'!$AB30*SelfQuarantine_Moderate)))+IF('Equipment List &amp; Usage'!$F30="Yes",('Equipment List &amp; Usage'!$C$114*(IF('Equipment List &amp; Usage'!$AE30&gt;0,'Weekly Summary'!Y$134,0)+IF('Equipment List &amp; Usage'!$AF30&gt;0,'Weekly Summary'!Y$135))),'Equipment List &amp; Usage'!$C$115*(('Weekly Summary'!Y$134*'Equipment List &amp; Usage'!$AE30)+('Weekly Summary'!Y$135*'Equipment List &amp; Usage'!$AF30))))-SUM($I28:AD28),
IF($F28="yes",MMULT(--('Equipment List &amp; Usage'!$J30:$N30&gt;0),--('Weekly Summary'!Y$112:Y$116))*'Equipment List &amp; Usage'!$C$114,MMULT(--('Equipment List &amp; Usage'!$J30:$N30),--('Weekly Summary'!Y$112:Y$116))*'Equipment List &amp; Usage'!$C$115)+IF('Equipment List &amp; Usage'!$F29="yes",'Equipment List &amp; Usage'!$C$114,'Equipment List &amp; Usage'!$C$115)*(('Weekly Summary'!Y$66*'Equipment List &amp; Usage'!$Q30)+('Weekly Summary'!Y$64*'Equipment List &amp; Usage'!$O30)+('Weekly Summary'!Y$65*'Equipment List &amp; Usage'!$P30))+(IF('Equipment List &amp; Usage'!$F30="Yes",'Equipment List &amp; Usage'!$C$114*((('Weekly Summary'!Y$131*SelfQuarantine_Mild)+('Weekly Summary'!Y$100*SelfQuarantine_Mild)+('Weekly Summary'!Y$101*SelfQuarantine_Moderate))),'Equipment List &amp; Usage'!$C$115)*((('Weekly Summary'!Y$131*SelfQuarantine_Mild*'Equipment List &amp; Usage'!$W30)+('Weekly Summary'!Y$100*SelfQuarantine_Mild*'Equipment List &amp; Usage'!$X30)+('Weekly Summary'!Y$101*SelfQuarantine_Moderate*'Equipment List &amp; Usage'!$X30))))+IF('Equipment List &amp; Usage'!$F30="Yes",'Equipment List &amp; Usage'!$C$114*(IF('Equipment List &amp; Usage'!$AA30&gt;0,'Weekly Summary'!Y$128,0)+IF('Equipment List &amp; Usage'!$AB30&gt;0,'Weekly Summary'!Y$100+'Weekly Summary'!Y$101,0)),'Equipment List &amp; Usage'!$C$115*(('Weekly Summary'!Y$128*'Equipment List &amp; Usage'!$AA30)+('Weekly Summary'!Y$100*'Equipment List &amp; Usage'!$AB30*SelfQuarantine_Mild)+('Weekly Summary'!Y$101*'Equipment List &amp; Usage'!$AB30*SelfQuarantine_Moderate)))+IF('Equipment List &amp; Usage'!$F30="Yes",('Equipment List &amp; Usage'!$C$114*(IF('Equipment List &amp; Usage'!$AE30&gt;0,'Weekly Summary'!Y$134,0)+IF('Equipment List &amp; Usage'!$AF30&gt;0,'Weekly Summary'!Y$135))),'Equipment List &amp; Usage'!$C$115*(('Weekly Summary'!Y$134*'Equipment List &amp; Usage'!$AE30)+('Weekly Summary'!Y$135*'Equipment List &amp; Usage'!$AF30)))),0)</f>
        <v>0</v>
      </c>
      <c r="AF28" s="1374">
        <f ca="1">MAX(IF($F28="Yes",(
IF($F28="yes",MMULT(--('Equipment List &amp; Usage'!$J30:$N30&gt;0),--('Weekly Summary'!Z$112:Z$116))*'Equipment List &amp; Usage'!$C$114,MMULT(--('Equipment List &amp; Usage'!$J30:$N30),--('Weekly Summary'!Z$112:Z$116))*'Equipment List &amp; Usage'!$C$115)+IF('Equipment List &amp; Usage'!$F29="yes",'Equipment List &amp; Usage'!$C$114,'Equipment List &amp; Usage'!$C$115)*(('Weekly Summary'!Z$66*'Equipment List &amp; Usage'!$Q30)+('Weekly Summary'!Z$64*'Equipment List &amp; Usage'!$O30)+('Weekly Summary'!Z$65*'Equipment List &amp; Usage'!$P30)))+(IF('Equipment List &amp; Usage'!$F30="Yes",'Equipment List &amp; Usage'!$C$114*((('Weekly Summary'!Z$131*SelfQuarantine_Mild)+('Weekly Summary'!Z$100*SelfQuarantine_Mild)+('Weekly Summary'!Z$101*SelfQuarantine_Moderate))),'Equipment List &amp; Usage'!$C$115)*((('Weekly Summary'!Z$131*SelfQuarantine_Mild*'Equipment List &amp; Usage'!$W30)+('Weekly Summary'!Z$100*SelfQuarantine_Mild*'Equipment List &amp; Usage'!$X30)+('Weekly Summary'!Z$101*SelfQuarantine_Moderate*'Equipment List &amp; Usage'!$X30)))+IF('Equipment List &amp; Usage'!$F30="Yes",'Equipment List &amp; Usage'!$C$114*(IF('Equipment List &amp; Usage'!$AA30&gt;0,'Weekly Summary'!Z$128,0)+IF('Equipment List &amp; Usage'!$AB30&gt;0,'Weekly Summary'!Z$100+'Weekly Summary'!Z$101,0)),'Equipment List &amp; Usage'!$C$115*(('Weekly Summary'!Z$128*'Equipment List &amp; Usage'!$AA30)+('Weekly Summary'!Z$100*'Equipment List &amp; Usage'!$AB30*SelfQuarantine_Mild)+('Weekly Summary'!Z$101*'Equipment List &amp; Usage'!$AB30*SelfQuarantine_Moderate)))+IF('Equipment List &amp; Usage'!$F30="Yes",('Equipment List &amp; Usage'!$C$114*(IF('Equipment List &amp; Usage'!$AE30&gt;0,'Weekly Summary'!Z$134,0)+IF('Equipment List &amp; Usage'!$AF30&gt;0,'Weekly Summary'!Z$135))),'Equipment List &amp; Usage'!$C$115*(('Weekly Summary'!Z$134*'Equipment List &amp; Usage'!$AE30)+('Weekly Summary'!Z$135*'Equipment List &amp; Usage'!$AF30))))-SUM($I28:AE28),
IF($F28="yes",MMULT(--('Equipment List &amp; Usage'!$J30:$N30&gt;0),--('Weekly Summary'!Z$112:Z$116))*'Equipment List &amp; Usage'!$C$114,MMULT(--('Equipment List &amp; Usage'!$J30:$N30),--('Weekly Summary'!Z$112:Z$116))*'Equipment List &amp; Usage'!$C$115)+IF('Equipment List &amp; Usage'!$F29="yes",'Equipment List &amp; Usage'!$C$114,'Equipment List &amp; Usage'!$C$115)*(('Weekly Summary'!Z$66*'Equipment List &amp; Usage'!$Q30)+('Weekly Summary'!Z$64*'Equipment List &amp; Usage'!$O30)+('Weekly Summary'!Z$65*'Equipment List &amp; Usage'!$P30))+(IF('Equipment List &amp; Usage'!$F30="Yes",'Equipment List &amp; Usage'!$C$114*((('Weekly Summary'!Z$131*SelfQuarantine_Mild)+('Weekly Summary'!Z$100*SelfQuarantine_Mild)+('Weekly Summary'!Z$101*SelfQuarantine_Moderate))),'Equipment List &amp; Usage'!$C$115)*((('Weekly Summary'!Z$131*SelfQuarantine_Mild*'Equipment List &amp; Usage'!$W30)+('Weekly Summary'!Z$100*SelfQuarantine_Mild*'Equipment List &amp; Usage'!$X30)+('Weekly Summary'!Z$101*SelfQuarantine_Moderate*'Equipment List &amp; Usage'!$X30))))+IF('Equipment List &amp; Usage'!$F30="Yes",'Equipment List &amp; Usage'!$C$114*(IF('Equipment List &amp; Usage'!$AA30&gt;0,'Weekly Summary'!Z$128,0)+IF('Equipment List &amp; Usage'!$AB30&gt;0,'Weekly Summary'!Z$100+'Weekly Summary'!Z$101,0)),'Equipment List &amp; Usage'!$C$115*(('Weekly Summary'!Z$128*'Equipment List &amp; Usage'!$AA30)+('Weekly Summary'!Z$100*'Equipment List &amp; Usage'!$AB30*SelfQuarantine_Mild)+('Weekly Summary'!Z$101*'Equipment List &amp; Usage'!$AB30*SelfQuarantine_Moderate)))+IF('Equipment List &amp; Usage'!$F30="Yes",('Equipment List &amp; Usage'!$C$114*(IF('Equipment List &amp; Usage'!$AE30&gt;0,'Weekly Summary'!Z$134,0)+IF('Equipment List &amp; Usage'!$AF30&gt;0,'Weekly Summary'!Z$135))),'Equipment List &amp; Usage'!$C$115*(('Weekly Summary'!Z$134*'Equipment List &amp; Usage'!$AE30)+('Weekly Summary'!Z$135*'Equipment List &amp; Usage'!$AF30)))),0)</f>
        <v>0</v>
      </c>
      <c r="AG28" s="1374">
        <f ca="1">MAX(IF($F28="Yes",(
IF($F28="yes",MMULT(--('Equipment List &amp; Usage'!$J30:$N30&gt;0),--('Weekly Summary'!AA$112:AA$116))*'Equipment List &amp; Usage'!$C$114,MMULT(--('Equipment List &amp; Usage'!$J30:$N30),--('Weekly Summary'!AA$112:AA$116))*'Equipment List &amp; Usage'!$C$115)+IF('Equipment List &amp; Usage'!$F29="yes",'Equipment List &amp; Usage'!$C$114,'Equipment List &amp; Usage'!$C$115)*(('Weekly Summary'!AA$66*'Equipment List &amp; Usage'!$Q30)+('Weekly Summary'!AA$64*'Equipment List &amp; Usage'!$O30)+('Weekly Summary'!AA$65*'Equipment List &amp; Usage'!$P30)))+(IF('Equipment List &amp; Usage'!$F30="Yes",'Equipment List &amp; Usage'!$C$114*((('Weekly Summary'!AA$131*SelfQuarantine_Mild)+('Weekly Summary'!AA$100*SelfQuarantine_Mild)+('Weekly Summary'!AA$101*SelfQuarantine_Moderate))),'Equipment List &amp; Usage'!$C$115)*((('Weekly Summary'!AA$131*SelfQuarantine_Mild*'Equipment List &amp; Usage'!$W30)+('Weekly Summary'!AA$100*SelfQuarantine_Mild*'Equipment List &amp; Usage'!$X30)+('Weekly Summary'!AA$101*SelfQuarantine_Moderate*'Equipment List &amp; Usage'!$X30)))+IF('Equipment List &amp; Usage'!$F30="Yes",'Equipment List &amp; Usage'!$C$114*(IF('Equipment List &amp; Usage'!$AA30&gt;0,'Weekly Summary'!AA$128,0)+IF('Equipment List &amp; Usage'!$AB30&gt;0,'Weekly Summary'!AA$100+'Weekly Summary'!AA$101,0)),'Equipment List &amp; Usage'!$C$115*(('Weekly Summary'!AA$128*'Equipment List &amp; Usage'!$AA30)+('Weekly Summary'!AA$100*'Equipment List &amp; Usage'!$AB30*SelfQuarantine_Mild)+('Weekly Summary'!AA$101*'Equipment List &amp; Usage'!$AB30*SelfQuarantine_Moderate)))+IF('Equipment List &amp; Usage'!$F30="Yes",('Equipment List &amp; Usage'!$C$114*(IF('Equipment List &amp; Usage'!$AE30&gt;0,'Weekly Summary'!AA$134,0)+IF('Equipment List &amp; Usage'!$AF30&gt;0,'Weekly Summary'!AA$135))),'Equipment List &amp; Usage'!$C$115*(('Weekly Summary'!AA$134*'Equipment List &amp; Usage'!$AE30)+('Weekly Summary'!AA$135*'Equipment List &amp; Usage'!$AF30))))-SUM($I28:AF28),
IF($F28="yes",MMULT(--('Equipment List &amp; Usage'!$J30:$N30&gt;0),--('Weekly Summary'!AA$112:AA$116))*'Equipment List &amp; Usage'!$C$114,MMULT(--('Equipment List &amp; Usage'!$J30:$N30),--('Weekly Summary'!AA$112:AA$116))*'Equipment List &amp; Usage'!$C$115)+IF('Equipment List &amp; Usage'!$F29="yes",'Equipment List &amp; Usage'!$C$114,'Equipment List &amp; Usage'!$C$115)*(('Weekly Summary'!AA$66*'Equipment List &amp; Usage'!$Q30)+('Weekly Summary'!AA$64*'Equipment List &amp; Usage'!$O30)+('Weekly Summary'!AA$65*'Equipment List &amp; Usage'!$P30))+(IF('Equipment List &amp; Usage'!$F30="Yes",'Equipment List &amp; Usage'!$C$114*((('Weekly Summary'!AA$131*SelfQuarantine_Mild)+('Weekly Summary'!AA$100*SelfQuarantine_Mild)+('Weekly Summary'!AA$101*SelfQuarantine_Moderate))),'Equipment List &amp; Usage'!$C$115)*((('Weekly Summary'!AA$131*SelfQuarantine_Mild*'Equipment List &amp; Usage'!$W30)+('Weekly Summary'!AA$100*SelfQuarantine_Mild*'Equipment List &amp; Usage'!$X30)+('Weekly Summary'!AA$101*SelfQuarantine_Moderate*'Equipment List &amp; Usage'!$X30))))+IF('Equipment List &amp; Usage'!$F30="Yes",'Equipment List &amp; Usage'!$C$114*(IF('Equipment List &amp; Usage'!$AA30&gt;0,'Weekly Summary'!AA$128,0)+IF('Equipment List &amp; Usage'!$AB30&gt;0,'Weekly Summary'!AA$100+'Weekly Summary'!AA$101,0)),'Equipment List &amp; Usage'!$C$115*(('Weekly Summary'!AA$128*'Equipment List &amp; Usage'!$AA30)+('Weekly Summary'!AA$100*'Equipment List &amp; Usage'!$AB30*SelfQuarantine_Mild)+('Weekly Summary'!AA$101*'Equipment List &amp; Usage'!$AB30*SelfQuarantine_Moderate)))+IF('Equipment List &amp; Usage'!$F30="Yes",('Equipment List &amp; Usage'!$C$114*(IF('Equipment List &amp; Usage'!$AE30&gt;0,'Weekly Summary'!AA$134,0)+IF('Equipment List &amp; Usage'!$AF30&gt;0,'Weekly Summary'!AA$135))),'Equipment List &amp; Usage'!$C$115*(('Weekly Summary'!AA$134*'Equipment List &amp; Usage'!$AE30)+('Weekly Summary'!AA$135*'Equipment List &amp; Usage'!$AF30)))),0)</f>
        <v>0</v>
      </c>
      <c r="AH28" s="1374">
        <f ca="1">MAX(IF($F28="Yes",(
IF($F28="yes",MMULT(--('Equipment List &amp; Usage'!$J30:$N30&gt;0),--('Weekly Summary'!AB$112:AB$116))*'Equipment List &amp; Usage'!$C$114,MMULT(--('Equipment List &amp; Usage'!$J30:$N30),--('Weekly Summary'!AB$112:AB$116))*'Equipment List &amp; Usage'!$C$115)+IF('Equipment List &amp; Usage'!$F29="yes",'Equipment List &amp; Usage'!$C$114,'Equipment List &amp; Usage'!$C$115)*(('Weekly Summary'!AB$66*'Equipment List &amp; Usage'!$Q30)+('Weekly Summary'!AB$64*'Equipment List &amp; Usage'!$O30)+('Weekly Summary'!AB$65*'Equipment List &amp; Usage'!$P30)))+(IF('Equipment List &amp; Usage'!$F30="Yes",'Equipment List &amp; Usage'!$C$114*((('Weekly Summary'!AB$131*SelfQuarantine_Mild)+('Weekly Summary'!AB$100*SelfQuarantine_Mild)+('Weekly Summary'!AB$101*SelfQuarantine_Moderate))),'Equipment List &amp; Usage'!$C$115)*((('Weekly Summary'!AB$131*SelfQuarantine_Mild*'Equipment List &amp; Usage'!$W30)+('Weekly Summary'!AB$100*SelfQuarantine_Mild*'Equipment List &amp; Usage'!$X30)+('Weekly Summary'!AB$101*SelfQuarantine_Moderate*'Equipment List &amp; Usage'!$X30)))+IF('Equipment List &amp; Usage'!$F30="Yes",'Equipment List &amp; Usage'!$C$114*(IF('Equipment List &amp; Usage'!$AA30&gt;0,'Weekly Summary'!AB$128,0)+IF('Equipment List &amp; Usage'!$AB30&gt;0,'Weekly Summary'!AB$100+'Weekly Summary'!AB$101,0)),'Equipment List &amp; Usage'!$C$115*(('Weekly Summary'!AB$128*'Equipment List &amp; Usage'!$AA30)+('Weekly Summary'!AB$100*'Equipment List &amp; Usage'!$AB30*SelfQuarantine_Mild)+('Weekly Summary'!AB$101*'Equipment List &amp; Usage'!$AB30*SelfQuarantine_Moderate)))+IF('Equipment List &amp; Usage'!$F30="Yes",('Equipment List &amp; Usage'!$C$114*(IF('Equipment List &amp; Usage'!$AE30&gt;0,'Weekly Summary'!AB$134,0)+IF('Equipment List &amp; Usage'!$AF30&gt;0,'Weekly Summary'!AB$135))),'Equipment List &amp; Usage'!$C$115*(('Weekly Summary'!AB$134*'Equipment List &amp; Usage'!$AE30)+('Weekly Summary'!AB$135*'Equipment List &amp; Usage'!$AF30))))-SUM($I28:AG28),
IF($F28="yes",MMULT(--('Equipment List &amp; Usage'!$J30:$N30&gt;0),--('Weekly Summary'!AB$112:AB$116))*'Equipment List &amp; Usage'!$C$114,MMULT(--('Equipment List &amp; Usage'!$J30:$N30),--('Weekly Summary'!AB$112:AB$116))*'Equipment List &amp; Usage'!$C$115)+IF('Equipment List &amp; Usage'!$F29="yes",'Equipment List &amp; Usage'!$C$114,'Equipment List &amp; Usage'!$C$115)*(('Weekly Summary'!AB$66*'Equipment List &amp; Usage'!$Q30)+('Weekly Summary'!AB$64*'Equipment List &amp; Usage'!$O30)+('Weekly Summary'!AB$65*'Equipment List &amp; Usage'!$P30))+(IF('Equipment List &amp; Usage'!$F30="Yes",'Equipment List &amp; Usage'!$C$114*((('Weekly Summary'!AB$131*SelfQuarantine_Mild)+('Weekly Summary'!AB$100*SelfQuarantine_Mild)+('Weekly Summary'!AB$101*SelfQuarantine_Moderate))),'Equipment List &amp; Usage'!$C$115)*((('Weekly Summary'!AB$131*SelfQuarantine_Mild*'Equipment List &amp; Usage'!$W30)+('Weekly Summary'!AB$100*SelfQuarantine_Mild*'Equipment List &amp; Usage'!$X30)+('Weekly Summary'!AB$101*SelfQuarantine_Moderate*'Equipment List &amp; Usage'!$X30))))+IF('Equipment List &amp; Usage'!$F30="Yes",'Equipment List &amp; Usage'!$C$114*(IF('Equipment List &amp; Usage'!$AA30&gt;0,'Weekly Summary'!AB$128,0)+IF('Equipment List &amp; Usage'!$AB30&gt;0,'Weekly Summary'!AB$100+'Weekly Summary'!AB$101,0)),'Equipment List &amp; Usage'!$C$115*(('Weekly Summary'!AB$128*'Equipment List &amp; Usage'!$AA30)+('Weekly Summary'!AB$100*'Equipment List &amp; Usage'!$AB30*SelfQuarantine_Mild)+('Weekly Summary'!AB$101*'Equipment List &amp; Usage'!$AB30*SelfQuarantine_Moderate)))+IF('Equipment List &amp; Usage'!$F30="Yes",('Equipment List &amp; Usage'!$C$114*(IF('Equipment List &amp; Usage'!$AE30&gt;0,'Weekly Summary'!AB$134,0)+IF('Equipment List &amp; Usage'!$AF30&gt;0,'Weekly Summary'!AB$135))),'Equipment List &amp; Usage'!$C$115*(('Weekly Summary'!AB$134*'Equipment List &amp; Usage'!$AE30)+('Weekly Summary'!AB$135*'Equipment List &amp; Usage'!$AF30)))),0)</f>
        <v>0</v>
      </c>
      <c r="AI28" s="1374">
        <f ca="1">MAX(IF($F28="Yes",(
IF($F28="yes",MMULT(--('Equipment List &amp; Usage'!$J30:$N30&gt;0),--('Weekly Summary'!AC$112:AC$116))*'Equipment List &amp; Usage'!$C$114,MMULT(--('Equipment List &amp; Usage'!$J30:$N30),--('Weekly Summary'!AC$112:AC$116))*'Equipment List &amp; Usage'!$C$115)+IF('Equipment List &amp; Usage'!$F29="yes",'Equipment List &amp; Usage'!$C$114,'Equipment List &amp; Usage'!$C$115)*(('Weekly Summary'!AC$66*'Equipment List &amp; Usage'!$Q30)+('Weekly Summary'!AC$64*'Equipment List &amp; Usage'!$O30)+('Weekly Summary'!AC$65*'Equipment List &amp; Usage'!$P30)))+(IF('Equipment List &amp; Usage'!$F30="Yes",'Equipment List &amp; Usage'!$C$114*((('Weekly Summary'!AC$131*SelfQuarantine_Mild)+('Weekly Summary'!AC$100*SelfQuarantine_Mild)+('Weekly Summary'!AC$101*SelfQuarantine_Moderate))),'Equipment List &amp; Usage'!$C$115)*((('Weekly Summary'!AC$131*SelfQuarantine_Mild*'Equipment List &amp; Usage'!$W30)+('Weekly Summary'!AC$100*SelfQuarantine_Mild*'Equipment List &amp; Usage'!$X30)+('Weekly Summary'!AC$101*SelfQuarantine_Moderate*'Equipment List &amp; Usage'!$X30)))+IF('Equipment List &amp; Usage'!$F30="Yes",'Equipment List &amp; Usage'!$C$114*(IF('Equipment List &amp; Usage'!$AA30&gt;0,'Weekly Summary'!AC$128,0)+IF('Equipment List &amp; Usage'!$AB30&gt;0,'Weekly Summary'!AC$100+'Weekly Summary'!AC$101,0)),'Equipment List &amp; Usage'!$C$115*(('Weekly Summary'!AC$128*'Equipment List &amp; Usage'!$AA30)+('Weekly Summary'!AC$100*'Equipment List &amp; Usage'!$AB30*SelfQuarantine_Mild)+('Weekly Summary'!AC$101*'Equipment List &amp; Usage'!$AB30*SelfQuarantine_Moderate)))+IF('Equipment List &amp; Usage'!$F30="Yes",('Equipment List &amp; Usage'!$C$114*(IF('Equipment List &amp; Usage'!$AE30&gt;0,'Weekly Summary'!AC$134,0)+IF('Equipment List &amp; Usage'!$AF30&gt;0,'Weekly Summary'!AC$135))),'Equipment List &amp; Usage'!$C$115*(('Weekly Summary'!AC$134*'Equipment List &amp; Usage'!$AE30)+('Weekly Summary'!AC$135*'Equipment List &amp; Usage'!$AF30))))-SUM($I28:AH28),
IF($F28="yes",MMULT(--('Equipment List &amp; Usage'!$J30:$N30&gt;0),--('Weekly Summary'!AC$112:AC$116))*'Equipment List &amp; Usage'!$C$114,MMULT(--('Equipment List &amp; Usage'!$J30:$N30),--('Weekly Summary'!AC$112:AC$116))*'Equipment List &amp; Usage'!$C$115)+IF('Equipment List &amp; Usage'!$F29="yes",'Equipment List &amp; Usage'!$C$114,'Equipment List &amp; Usage'!$C$115)*(('Weekly Summary'!AC$66*'Equipment List &amp; Usage'!$Q30)+('Weekly Summary'!AC$64*'Equipment List &amp; Usage'!$O30)+('Weekly Summary'!AC$65*'Equipment List &amp; Usage'!$P30))+(IF('Equipment List &amp; Usage'!$F30="Yes",'Equipment List &amp; Usage'!$C$114*((('Weekly Summary'!AC$131*SelfQuarantine_Mild)+('Weekly Summary'!AC$100*SelfQuarantine_Mild)+('Weekly Summary'!AC$101*SelfQuarantine_Moderate))),'Equipment List &amp; Usage'!$C$115)*((('Weekly Summary'!AC$131*SelfQuarantine_Mild*'Equipment List &amp; Usage'!$W30)+('Weekly Summary'!AC$100*SelfQuarantine_Mild*'Equipment List &amp; Usage'!$X30)+('Weekly Summary'!AC$101*SelfQuarantine_Moderate*'Equipment List &amp; Usage'!$X30))))+IF('Equipment List &amp; Usage'!$F30="Yes",'Equipment List &amp; Usage'!$C$114*(IF('Equipment List &amp; Usage'!$AA30&gt;0,'Weekly Summary'!AC$128,0)+IF('Equipment List &amp; Usage'!$AB30&gt;0,'Weekly Summary'!AC$100+'Weekly Summary'!AC$101,0)),'Equipment List &amp; Usage'!$C$115*(('Weekly Summary'!AC$128*'Equipment List &amp; Usage'!$AA30)+('Weekly Summary'!AC$100*'Equipment List &amp; Usage'!$AB30*SelfQuarantine_Mild)+('Weekly Summary'!AC$101*'Equipment List &amp; Usage'!$AB30*SelfQuarantine_Moderate)))+IF('Equipment List &amp; Usage'!$F30="Yes",('Equipment List &amp; Usage'!$C$114*(IF('Equipment List &amp; Usage'!$AE30&gt;0,'Weekly Summary'!AC$134,0)+IF('Equipment List &amp; Usage'!$AF30&gt;0,'Weekly Summary'!AC$135))),'Equipment List &amp; Usage'!$C$115*(('Weekly Summary'!AC$134*'Equipment List &amp; Usage'!$AE30)+('Weekly Summary'!AC$135*'Equipment List &amp; Usage'!$AF30)))),0)</f>
        <v>0</v>
      </c>
      <c r="AJ28" s="1374">
        <f ca="1">MAX(IF($F28="Yes",(
IF($F28="yes",MMULT(--('Equipment List &amp; Usage'!$J30:$N30&gt;0),--('Weekly Summary'!AD$112:AD$116))*'Equipment List &amp; Usage'!$C$114,MMULT(--('Equipment List &amp; Usage'!$J30:$N30),--('Weekly Summary'!AD$112:AD$116))*'Equipment List &amp; Usage'!$C$115)+IF('Equipment List &amp; Usage'!$F29="yes",'Equipment List &amp; Usage'!$C$114,'Equipment List &amp; Usage'!$C$115)*(('Weekly Summary'!AD$66*'Equipment List &amp; Usage'!$Q30)+('Weekly Summary'!AD$64*'Equipment List &amp; Usage'!$O30)+('Weekly Summary'!AD$65*'Equipment List &amp; Usage'!$P30)))+(IF('Equipment List &amp; Usage'!$F30="Yes",'Equipment List &amp; Usage'!$C$114*((('Weekly Summary'!AD$131*SelfQuarantine_Mild)+('Weekly Summary'!AD$100*SelfQuarantine_Mild)+('Weekly Summary'!AD$101*SelfQuarantine_Moderate))),'Equipment List &amp; Usage'!$C$115)*((('Weekly Summary'!AD$131*SelfQuarantine_Mild*'Equipment List &amp; Usage'!$W30)+('Weekly Summary'!AD$100*SelfQuarantine_Mild*'Equipment List &amp; Usage'!$X30)+('Weekly Summary'!AD$101*SelfQuarantine_Moderate*'Equipment List &amp; Usage'!$X30)))+IF('Equipment List &amp; Usage'!$F30="Yes",'Equipment List &amp; Usage'!$C$114*(IF('Equipment List &amp; Usage'!$AA30&gt;0,'Weekly Summary'!AD$128,0)+IF('Equipment List &amp; Usage'!$AB30&gt;0,'Weekly Summary'!AD$100+'Weekly Summary'!AD$101,0)),'Equipment List &amp; Usage'!$C$115*(('Weekly Summary'!AD$128*'Equipment List &amp; Usage'!$AA30)+('Weekly Summary'!AD$100*'Equipment List &amp; Usage'!$AB30*SelfQuarantine_Mild)+('Weekly Summary'!AD$101*'Equipment List &amp; Usage'!$AB30*SelfQuarantine_Moderate)))+IF('Equipment List &amp; Usage'!$F30="Yes",('Equipment List &amp; Usage'!$C$114*(IF('Equipment List &amp; Usage'!$AE30&gt;0,'Weekly Summary'!AD$134,0)+IF('Equipment List &amp; Usage'!$AF30&gt;0,'Weekly Summary'!AD$135))),'Equipment List &amp; Usage'!$C$115*(('Weekly Summary'!AD$134*'Equipment List &amp; Usage'!$AE30)+('Weekly Summary'!AD$135*'Equipment List &amp; Usage'!$AF30))))-SUM($I28:AI28),
IF($F28="yes",MMULT(--('Equipment List &amp; Usage'!$J30:$N30&gt;0),--('Weekly Summary'!AD$112:AD$116))*'Equipment List &amp; Usage'!$C$114,MMULT(--('Equipment List &amp; Usage'!$J30:$N30),--('Weekly Summary'!AD$112:AD$116))*'Equipment List &amp; Usage'!$C$115)+IF('Equipment List &amp; Usage'!$F29="yes",'Equipment List &amp; Usage'!$C$114,'Equipment List &amp; Usage'!$C$115)*(('Weekly Summary'!AD$66*'Equipment List &amp; Usage'!$Q30)+('Weekly Summary'!AD$64*'Equipment List &amp; Usage'!$O30)+('Weekly Summary'!AD$65*'Equipment List &amp; Usage'!$P30))+(IF('Equipment List &amp; Usage'!$F30="Yes",'Equipment List &amp; Usage'!$C$114*((('Weekly Summary'!AD$131*SelfQuarantine_Mild)+('Weekly Summary'!AD$100*SelfQuarantine_Mild)+('Weekly Summary'!AD$101*SelfQuarantine_Moderate))),'Equipment List &amp; Usage'!$C$115)*((('Weekly Summary'!AD$131*SelfQuarantine_Mild*'Equipment List &amp; Usage'!$W30)+('Weekly Summary'!AD$100*SelfQuarantine_Mild*'Equipment List &amp; Usage'!$X30)+('Weekly Summary'!AD$101*SelfQuarantine_Moderate*'Equipment List &amp; Usage'!$X30))))+IF('Equipment List &amp; Usage'!$F30="Yes",'Equipment List &amp; Usage'!$C$114*(IF('Equipment List &amp; Usage'!$AA30&gt;0,'Weekly Summary'!AD$128,0)+IF('Equipment List &amp; Usage'!$AB30&gt;0,'Weekly Summary'!AD$100+'Weekly Summary'!AD$101,0)),'Equipment List &amp; Usage'!$C$115*(('Weekly Summary'!AD$128*'Equipment List &amp; Usage'!$AA30)+('Weekly Summary'!AD$100*'Equipment List &amp; Usage'!$AB30*SelfQuarantine_Mild)+('Weekly Summary'!AD$101*'Equipment List &amp; Usage'!$AB30*SelfQuarantine_Moderate)))+IF('Equipment List &amp; Usage'!$F30="Yes",('Equipment List &amp; Usage'!$C$114*(IF('Equipment List &amp; Usage'!$AE30&gt;0,'Weekly Summary'!AD$134,0)+IF('Equipment List &amp; Usage'!$AF30&gt;0,'Weekly Summary'!AD$135))),'Equipment List &amp; Usage'!$C$115*(('Weekly Summary'!AD$134*'Equipment List &amp; Usage'!$AE30)+('Weekly Summary'!AD$135*'Equipment List &amp; Usage'!$AF30)))),0)</f>
        <v>0</v>
      </c>
      <c r="AK28" s="1374">
        <f ca="1">MAX(IF($F28="Yes",(
IF($F28="yes",MMULT(--('Equipment List &amp; Usage'!$J30:$N30&gt;0),--('Weekly Summary'!AE$112:AE$116))*'Equipment List &amp; Usage'!$C$114,MMULT(--('Equipment List &amp; Usage'!$J30:$N30),--('Weekly Summary'!AE$112:AE$116))*'Equipment List &amp; Usage'!$C$115)+IF('Equipment List &amp; Usage'!$F29="yes",'Equipment List &amp; Usage'!$C$114,'Equipment List &amp; Usage'!$C$115)*(('Weekly Summary'!AE$66*'Equipment List &amp; Usage'!$Q30)+('Weekly Summary'!AE$64*'Equipment List &amp; Usage'!$O30)+('Weekly Summary'!AE$65*'Equipment List &amp; Usage'!$P30)))+(IF('Equipment List &amp; Usage'!$F30="Yes",'Equipment List &amp; Usage'!$C$114*((('Weekly Summary'!AE$131*SelfQuarantine_Mild)+('Weekly Summary'!AE$100*SelfQuarantine_Mild)+('Weekly Summary'!AE$101*SelfQuarantine_Moderate))),'Equipment List &amp; Usage'!$C$115)*((('Weekly Summary'!AE$131*SelfQuarantine_Mild*'Equipment List &amp; Usage'!$W30)+('Weekly Summary'!AE$100*SelfQuarantine_Mild*'Equipment List &amp; Usage'!$X30)+('Weekly Summary'!AE$101*SelfQuarantine_Moderate*'Equipment List &amp; Usage'!$X30)))+IF('Equipment List &amp; Usage'!$F30="Yes",'Equipment List &amp; Usage'!$C$114*(IF('Equipment List &amp; Usage'!$AA30&gt;0,'Weekly Summary'!AE$128,0)+IF('Equipment List &amp; Usage'!$AB30&gt;0,'Weekly Summary'!AE$100+'Weekly Summary'!AE$101,0)),'Equipment List &amp; Usage'!$C$115*(('Weekly Summary'!AE$128*'Equipment List &amp; Usage'!$AA30)+('Weekly Summary'!AE$100*'Equipment List &amp; Usage'!$AB30*SelfQuarantine_Mild)+('Weekly Summary'!AE$101*'Equipment List &amp; Usage'!$AB30*SelfQuarantine_Moderate)))+IF('Equipment List &amp; Usage'!$F30="Yes",('Equipment List &amp; Usage'!$C$114*(IF('Equipment List &amp; Usage'!$AE30&gt;0,'Weekly Summary'!AE$134,0)+IF('Equipment List &amp; Usage'!$AF30&gt;0,'Weekly Summary'!AE$135))),'Equipment List &amp; Usage'!$C$115*(('Weekly Summary'!AE$134*'Equipment List &amp; Usage'!$AE30)+('Weekly Summary'!AE$135*'Equipment List &amp; Usage'!$AF30))))-SUM($I28:AJ28),
IF($F28="yes",MMULT(--('Equipment List &amp; Usage'!$J30:$N30&gt;0),--('Weekly Summary'!AE$112:AE$116))*'Equipment List &amp; Usage'!$C$114,MMULT(--('Equipment List &amp; Usage'!$J30:$N30),--('Weekly Summary'!AE$112:AE$116))*'Equipment List &amp; Usage'!$C$115)+IF('Equipment List &amp; Usage'!$F29="yes",'Equipment List &amp; Usage'!$C$114,'Equipment List &amp; Usage'!$C$115)*(('Weekly Summary'!AE$66*'Equipment List &amp; Usage'!$Q30)+('Weekly Summary'!AE$64*'Equipment List &amp; Usage'!$O30)+('Weekly Summary'!AE$65*'Equipment List &amp; Usage'!$P30))+(IF('Equipment List &amp; Usage'!$F30="Yes",'Equipment List &amp; Usage'!$C$114*((('Weekly Summary'!AE$131*SelfQuarantine_Mild)+('Weekly Summary'!AE$100*SelfQuarantine_Mild)+('Weekly Summary'!AE$101*SelfQuarantine_Moderate))),'Equipment List &amp; Usage'!$C$115)*((('Weekly Summary'!AE$131*SelfQuarantine_Mild*'Equipment List &amp; Usage'!$W30)+('Weekly Summary'!AE$100*SelfQuarantine_Mild*'Equipment List &amp; Usage'!$X30)+('Weekly Summary'!AE$101*SelfQuarantine_Moderate*'Equipment List &amp; Usage'!$X30))))+IF('Equipment List &amp; Usage'!$F30="Yes",'Equipment List &amp; Usage'!$C$114*(IF('Equipment List &amp; Usage'!$AA30&gt;0,'Weekly Summary'!AE$128,0)+IF('Equipment List &amp; Usage'!$AB30&gt;0,'Weekly Summary'!AE$100+'Weekly Summary'!AE$101,0)),'Equipment List &amp; Usage'!$C$115*(('Weekly Summary'!AE$128*'Equipment List &amp; Usage'!$AA30)+('Weekly Summary'!AE$100*'Equipment List &amp; Usage'!$AB30*SelfQuarantine_Mild)+('Weekly Summary'!AE$101*'Equipment List &amp; Usage'!$AB30*SelfQuarantine_Moderate)))+IF('Equipment List &amp; Usage'!$F30="Yes",('Equipment List &amp; Usage'!$C$114*(IF('Equipment List &amp; Usage'!$AE30&gt;0,'Weekly Summary'!AE$134,0)+IF('Equipment List &amp; Usage'!$AF30&gt;0,'Weekly Summary'!AE$135))),'Equipment List &amp; Usage'!$C$115*(('Weekly Summary'!AE$134*'Equipment List &amp; Usage'!$AE30)+('Weekly Summary'!AE$135*'Equipment List &amp; Usage'!$AF30)))),0)</f>
        <v>0</v>
      </c>
      <c r="AL28" s="1374">
        <f ca="1">MAX(IF($F28="Yes",(
IF($F28="yes",MMULT(--('Equipment List &amp; Usage'!$J30:$N30&gt;0),--('Weekly Summary'!AF$112:AF$116))*'Equipment List &amp; Usage'!$C$114,MMULT(--('Equipment List &amp; Usage'!$J30:$N30),--('Weekly Summary'!AF$112:AF$116))*'Equipment List &amp; Usage'!$C$115)+IF('Equipment List &amp; Usage'!$F29="yes",'Equipment List &amp; Usage'!$C$114,'Equipment List &amp; Usage'!$C$115)*(('Weekly Summary'!AF$66*'Equipment List &amp; Usage'!$Q30)+('Weekly Summary'!AF$64*'Equipment List &amp; Usage'!$O30)+('Weekly Summary'!AF$65*'Equipment List &amp; Usage'!$P30)))+(IF('Equipment List &amp; Usage'!$F30="Yes",'Equipment List &amp; Usage'!$C$114*((('Weekly Summary'!AF$131*SelfQuarantine_Mild)+('Weekly Summary'!AF$100*SelfQuarantine_Mild)+('Weekly Summary'!AF$101*SelfQuarantine_Moderate))),'Equipment List &amp; Usage'!$C$115)*((('Weekly Summary'!AF$131*SelfQuarantine_Mild*'Equipment List &amp; Usage'!$W30)+('Weekly Summary'!AF$100*SelfQuarantine_Mild*'Equipment List &amp; Usage'!$X30)+('Weekly Summary'!AF$101*SelfQuarantine_Moderate*'Equipment List &amp; Usage'!$X30)))+IF('Equipment List &amp; Usage'!$F30="Yes",'Equipment List &amp; Usage'!$C$114*(IF('Equipment List &amp; Usage'!$AA30&gt;0,'Weekly Summary'!AF$128,0)+IF('Equipment List &amp; Usage'!$AB30&gt;0,'Weekly Summary'!AF$100+'Weekly Summary'!AF$101,0)),'Equipment List &amp; Usage'!$C$115*(('Weekly Summary'!AF$128*'Equipment List &amp; Usage'!$AA30)+('Weekly Summary'!AF$100*'Equipment List &amp; Usage'!$AB30*SelfQuarantine_Mild)+('Weekly Summary'!AF$101*'Equipment List &amp; Usage'!$AB30*SelfQuarantine_Moderate)))+IF('Equipment List &amp; Usage'!$F30="Yes",('Equipment List &amp; Usage'!$C$114*(IF('Equipment List &amp; Usage'!$AE30&gt;0,'Weekly Summary'!AF$134,0)+IF('Equipment List &amp; Usage'!$AF30&gt;0,'Weekly Summary'!AF$135))),'Equipment List &amp; Usage'!$C$115*(('Weekly Summary'!AF$134*'Equipment List &amp; Usage'!$AE30)+('Weekly Summary'!AF$135*'Equipment List &amp; Usage'!$AF30))))-SUM($I28:AK28),
IF($F28="yes",MMULT(--('Equipment List &amp; Usage'!$J30:$N30&gt;0),--('Weekly Summary'!AF$112:AF$116))*'Equipment List &amp; Usage'!$C$114,MMULT(--('Equipment List &amp; Usage'!$J30:$N30),--('Weekly Summary'!AF$112:AF$116))*'Equipment List &amp; Usage'!$C$115)+IF('Equipment List &amp; Usage'!$F29="yes",'Equipment List &amp; Usage'!$C$114,'Equipment List &amp; Usage'!$C$115)*(('Weekly Summary'!AF$66*'Equipment List &amp; Usage'!$Q30)+('Weekly Summary'!AF$64*'Equipment List &amp; Usage'!$O30)+('Weekly Summary'!AF$65*'Equipment List &amp; Usage'!$P30))+(IF('Equipment List &amp; Usage'!$F30="Yes",'Equipment List &amp; Usage'!$C$114*((('Weekly Summary'!AF$131*SelfQuarantine_Mild)+('Weekly Summary'!AF$100*SelfQuarantine_Mild)+('Weekly Summary'!AF$101*SelfQuarantine_Moderate))),'Equipment List &amp; Usage'!$C$115)*((('Weekly Summary'!AF$131*SelfQuarantine_Mild*'Equipment List &amp; Usage'!$W30)+('Weekly Summary'!AF$100*SelfQuarantine_Mild*'Equipment List &amp; Usage'!$X30)+('Weekly Summary'!AF$101*SelfQuarantine_Moderate*'Equipment List &amp; Usage'!$X30))))+IF('Equipment List &amp; Usage'!$F30="Yes",'Equipment List &amp; Usage'!$C$114*(IF('Equipment List &amp; Usage'!$AA30&gt;0,'Weekly Summary'!AF$128,0)+IF('Equipment List &amp; Usage'!$AB30&gt;0,'Weekly Summary'!AF$100+'Weekly Summary'!AF$101,0)),'Equipment List &amp; Usage'!$C$115*(('Weekly Summary'!AF$128*'Equipment List &amp; Usage'!$AA30)+('Weekly Summary'!AF$100*'Equipment List &amp; Usage'!$AB30*SelfQuarantine_Mild)+('Weekly Summary'!AF$101*'Equipment List &amp; Usage'!$AB30*SelfQuarantine_Moderate)))+IF('Equipment List &amp; Usage'!$F30="Yes",('Equipment List &amp; Usage'!$C$114*(IF('Equipment List &amp; Usage'!$AE30&gt;0,'Weekly Summary'!AF$134,0)+IF('Equipment List &amp; Usage'!$AF30&gt;0,'Weekly Summary'!AF$135))),'Equipment List &amp; Usage'!$C$115*(('Weekly Summary'!AF$134*'Equipment List &amp; Usage'!$AE30)+('Weekly Summary'!AF$135*'Equipment List &amp; Usage'!$AF30)))),0)</f>
        <v>0</v>
      </c>
      <c r="AM28" s="1374">
        <f ca="1">MAX(IF($F28="Yes",(
IF($F28="yes",MMULT(--('Equipment List &amp; Usage'!$J30:$N30&gt;0),--('Weekly Summary'!AG$112:AG$116))*'Equipment List &amp; Usage'!$C$114,MMULT(--('Equipment List &amp; Usage'!$J30:$N30),--('Weekly Summary'!AG$112:AG$116))*'Equipment List &amp; Usage'!$C$115)+IF('Equipment List &amp; Usage'!$F29="yes",'Equipment List &amp; Usage'!$C$114,'Equipment List &amp; Usage'!$C$115)*(('Weekly Summary'!AG$66*'Equipment List &amp; Usage'!$Q30)+('Weekly Summary'!AG$64*'Equipment List &amp; Usage'!$O30)+('Weekly Summary'!AG$65*'Equipment List &amp; Usage'!$P30)))+(IF('Equipment List &amp; Usage'!$F30="Yes",'Equipment List &amp; Usage'!$C$114*((('Weekly Summary'!AG$131*SelfQuarantine_Mild)+('Weekly Summary'!AG$100*SelfQuarantine_Mild)+('Weekly Summary'!AG$101*SelfQuarantine_Moderate))),'Equipment List &amp; Usage'!$C$115)*((('Weekly Summary'!AG$131*SelfQuarantine_Mild*'Equipment List &amp; Usage'!$W30)+('Weekly Summary'!AG$100*SelfQuarantine_Mild*'Equipment List &amp; Usage'!$X30)+('Weekly Summary'!AG$101*SelfQuarantine_Moderate*'Equipment List &amp; Usage'!$X30)))+IF('Equipment List &amp; Usage'!$F30="Yes",'Equipment List &amp; Usage'!$C$114*(IF('Equipment List &amp; Usage'!$AA30&gt;0,'Weekly Summary'!AG$128,0)+IF('Equipment List &amp; Usage'!$AB30&gt;0,'Weekly Summary'!AG$100+'Weekly Summary'!AG$101,0)),'Equipment List &amp; Usage'!$C$115*(('Weekly Summary'!AG$128*'Equipment List &amp; Usage'!$AA30)+('Weekly Summary'!AG$100*'Equipment List &amp; Usage'!$AB30*SelfQuarantine_Mild)+('Weekly Summary'!AG$101*'Equipment List &amp; Usage'!$AB30*SelfQuarantine_Moderate)))+IF('Equipment List &amp; Usage'!$F30="Yes",('Equipment List &amp; Usage'!$C$114*(IF('Equipment List &amp; Usage'!$AE30&gt;0,'Weekly Summary'!AG$134,0)+IF('Equipment List &amp; Usage'!$AF30&gt;0,'Weekly Summary'!AG$135))),'Equipment List &amp; Usage'!$C$115*(('Weekly Summary'!AG$134*'Equipment List &amp; Usage'!$AE30)+('Weekly Summary'!AG$135*'Equipment List &amp; Usage'!$AF30))))-SUM($I28:AL28),
IF($F28="yes",MMULT(--('Equipment List &amp; Usage'!$J30:$N30&gt;0),--('Weekly Summary'!AG$112:AG$116))*'Equipment List &amp; Usage'!$C$114,MMULT(--('Equipment List &amp; Usage'!$J30:$N30),--('Weekly Summary'!AG$112:AG$116))*'Equipment List &amp; Usage'!$C$115)+IF('Equipment List &amp; Usage'!$F29="yes",'Equipment List &amp; Usage'!$C$114,'Equipment List &amp; Usage'!$C$115)*(('Weekly Summary'!AG$66*'Equipment List &amp; Usage'!$Q30)+('Weekly Summary'!AG$64*'Equipment List &amp; Usage'!$O30)+('Weekly Summary'!AG$65*'Equipment List &amp; Usage'!$P30))+(IF('Equipment List &amp; Usage'!$F30="Yes",'Equipment List &amp; Usage'!$C$114*((('Weekly Summary'!AG$131*SelfQuarantine_Mild)+('Weekly Summary'!AG$100*SelfQuarantine_Mild)+('Weekly Summary'!AG$101*SelfQuarantine_Moderate))),'Equipment List &amp; Usage'!$C$115)*((('Weekly Summary'!AG$131*SelfQuarantine_Mild*'Equipment List &amp; Usage'!$W30)+('Weekly Summary'!AG$100*SelfQuarantine_Mild*'Equipment List &amp; Usage'!$X30)+('Weekly Summary'!AG$101*SelfQuarantine_Moderate*'Equipment List &amp; Usage'!$X30))))+IF('Equipment List &amp; Usage'!$F30="Yes",'Equipment List &amp; Usage'!$C$114*(IF('Equipment List &amp; Usage'!$AA30&gt;0,'Weekly Summary'!AG$128,0)+IF('Equipment List &amp; Usage'!$AB30&gt;0,'Weekly Summary'!AG$100+'Weekly Summary'!AG$101,0)),'Equipment List &amp; Usage'!$C$115*(('Weekly Summary'!AG$128*'Equipment List &amp; Usage'!$AA30)+('Weekly Summary'!AG$100*'Equipment List &amp; Usage'!$AB30*SelfQuarantine_Mild)+('Weekly Summary'!AG$101*'Equipment List &amp; Usage'!$AB30*SelfQuarantine_Moderate)))+IF('Equipment List &amp; Usage'!$F30="Yes",('Equipment List &amp; Usage'!$C$114*(IF('Equipment List &amp; Usage'!$AE30&gt;0,'Weekly Summary'!AG$134,0)+IF('Equipment List &amp; Usage'!$AF30&gt;0,'Weekly Summary'!AG$135))),'Equipment List &amp; Usage'!$C$115*(('Weekly Summary'!AG$134*'Equipment List &amp; Usage'!$AE30)+('Weekly Summary'!AG$135*'Equipment List &amp; Usage'!$AF30)))),0)</f>
        <v>0</v>
      </c>
      <c r="AN28" s="1374">
        <f ca="1">MAX(IF($F28="Yes",(
IF($F28="yes",MMULT(--('Equipment List &amp; Usage'!$J30:$N30&gt;0),--('Weekly Summary'!AH$112:AH$116))*'Equipment List &amp; Usage'!$C$114,MMULT(--('Equipment List &amp; Usage'!$J30:$N30),--('Weekly Summary'!AH$112:AH$116))*'Equipment List &amp; Usage'!$C$115)+IF('Equipment List &amp; Usage'!$F29="yes",'Equipment List &amp; Usage'!$C$114,'Equipment List &amp; Usage'!$C$115)*(('Weekly Summary'!AH$66*'Equipment List &amp; Usage'!$Q30)+('Weekly Summary'!AH$64*'Equipment List &amp; Usage'!$O30)+('Weekly Summary'!AH$65*'Equipment List &amp; Usage'!$P30)))+(IF('Equipment List &amp; Usage'!$F30="Yes",'Equipment List &amp; Usage'!$C$114*((('Weekly Summary'!AH$131*SelfQuarantine_Mild)+('Weekly Summary'!AH$100*SelfQuarantine_Mild)+('Weekly Summary'!AH$101*SelfQuarantine_Moderate))),'Equipment List &amp; Usage'!$C$115)*((('Weekly Summary'!AH$131*SelfQuarantine_Mild*'Equipment List &amp; Usage'!$W30)+('Weekly Summary'!AH$100*SelfQuarantine_Mild*'Equipment List &amp; Usage'!$X30)+('Weekly Summary'!AH$101*SelfQuarantine_Moderate*'Equipment List &amp; Usage'!$X30)))+IF('Equipment List &amp; Usage'!$F30="Yes",'Equipment List &amp; Usage'!$C$114*(IF('Equipment List &amp; Usage'!$AA30&gt;0,'Weekly Summary'!AH$128,0)+IF('Equipment List &amp; Usage'!$AB30&gt;0,'Weekly Summary'!AH$100+'Weekly Summary'!AH$101,0)),'Equipment List &amp; Usage'!$C$115*(('Weekly Summary'!AH$128*'Equipment List &amp; Usage'!$AA30)+('Weekly Summary'!AH$100*'Equipment List &amp; Usage'!$AB30*SelfQuarantine_Mild)+('Weekly Summary'!AH$101*'Equipment List &amp; Usage'!$AB30*SelfQuarantine_Moderate)))+IF('Equipment List &amp; Usage'!$F30="Yes",('Equipment List &amp; Usage'!$C$114*(IF('Equipment List &amp; Usage'!$AE30&gt;0,'Weekly Summary'!AH$134,0)+IF('Equipment List &amp; Usage'!$AF30&gt;0,'Weekly Summary'!AH$135))),'Equipment List &amp; Usage'!$C$115*(('Weekly Summary'!AH$134*'Equipment List &amp; Usage'!$AE30)+('Weekly Summary'!AH$135*'Equipment List &amp; Usage'!$AF30))))-SUM($I28:AM28),
IF($F28="yes",MMULT(--('Equipment List &amp; Usage'!$J30:$N30&gt;0),--('Weekly Summary'!AH$112:AH$116))*'Equipment List &amp; Usage'!$C$114,MMULT(--('Equipment List &amp; Usage'!$J30:$N30),--('Weekly Summary'!AH$112:AH$116))*'Equipment List &amp; Usage'!$C$115)+IF('Equipment List &amp; Usage'!$F29="yes",'Equipment List &amp; Usage'!$C$114,'Equipment List &amp; Usage'!$C$115)*(('Weekly Summary'!AH$66*'Equipment List &amp; Usage'!$Q30)+('Weekly Summary'!AH$64*'Equipment List &amp; Usage'!$O30)+('Weekly Summary'!AH$65*'Equipment List &amp; Usage'!$P30))+(IF('Equipment List &amp; Usage'!$F30="Yes",'Equipment List &amp; Usage'!$C$114*((('Weekly Summary'!AH$131*SelfQuarantine_Mild)+('Weekly Summary'!AH$100*SelfQuarantine_Mild)+('Weekly Summary'!AH$101*SelfQuarantine_Moderate))),'Equipment List &amp; Usage'!$C$115)*((('Weekly Summary'!AH$131*SelfQuarantine_Mild*'Equipment List &amp; Usage'!$W30)+('Weekly Summary'!AH$100*SelfQuarantine_Mild*'Equipment List &amp; Usage'!$X30)+('Weekly Summary'!AH$101*SelfQuarantine_Moderate*'Equipment List &amp; Usage'!$X30))))+IF('Equipment List &amp; Usage'!$F30="Yes",'Equipment List &amp; Usage'!$C$114*(IF('Equipment List &amp; Usage'!$AA30&gt;0,'Weekly Summary'!AH$128,0)+IF('Equipment List &amp; Usage'!$AB30&gt;0,'Weekly Summary'!AH$100+'Weekly Summary'!AH$101,0)),'Equipment List &amp; Usage'!$C$115*(('Weekly Summary'!AH$128*'Equipment List &amp; Usage'!$AA30)+('Weekly Summary'!AH$100*'Equipment List &amp; Usage'!$AB30*SelfQuarantine_Mild)+('Weekly Summary'!AH$101*'Equipment List &amp; Usage'!$AB30*SelfQuarantine_Moderate)))+IF('Equipment List &amp; Usage'!$F30="Yes",('Equipment List &amp; Usage'!$C$114*(IF('Equipment List &amp; Usage'!$AE30&gt;0,'Weekly Summary'!AH$134,0)+IF('Equipment List &amp; Usage'!$AF30&gt;0,'Weekly Summary'!AH$135))),'Equipment List &amp; Usage'!$C$115*(('Weekly Summary'!AH$134*'Equipment List &amp; Usage'!$AE30)+('Weekly Summary'!AH$135*'Equipment List &amp; Usage'!$AF30)))),0)</f>
        <v>0</v>
      </c>
      <c r="AO28" s="1374">
        <f ca="1">MAX(IF($F28="Yes",(
IF($F28="yes",MMULT(--('Equipment List &amp; Usage'!$J30:$N30&gt;0),--('Weekly Summary'!AI$112:AI$116))*'Equipment List &amp; Usage'!$C$114,MMULT(--('Equipment List &amp; Usage'!$J30:$N30),--('Weekly Summary'!AI$112:AI$116))*'Equipment List &amp; Usage'!$C$115)+IF('Equipment List &amp; Usage'!$F29="yes",'Equipment List &amp; Usage'!$C$114,'Equipment List &amp; Usage'!$C$115)*(('Weekly Summary'!AI$66*'Equipment List &amp; Usage'!$Q30)+('Weekly Summary'!AI$64*'Equipment List &amp; Usage'!$O30)+('Weekly Summary'!AI$65*'Equipment List &amp; Usage'!$P30)))+(IF('Equipment List &amp; Usage'!$F30="Yes",'Equipment List &amp; Usage'!$C$114*((('Weekly Summary'!AI$131*SelfQuarantine_Mild)+('Weekly Summary'!AI$100*SelfQuarantine_Mild)+('Weekly Summary'!AI$101*SelfQuarantine_Moderate))),'Equipment List &amp; Usage'!$C$115)*((('Weekly Summary'!AI$131*SelfQuarantine_Mild*'Equipment List &amp; Usage'!$W30)+('Weekly Summary'!AI$100*SelfQuarantine_Mild*'Equipment List &amp; Usage'!$X30)+('Weekly Summary'!AI$101*SelfQuarantine_Moderate*'Equipment List &amp; Usage'!$X30)))+IF('Equipment List &amp; Usage'!$F30="Yes",'Equipment List &amp; Usage'!$C$114*(IF('Equipment List &amp; Usage'!$AA30&gt;0,'Weekly Summary'!AI$128,0)+IF('Equipment List &amp; Usage'!$AB30&gt;0,'Weekly Summary'!AI$100+'Weekly Summary'!AI$101,0)),'Equipment List &amp; Usage'!$C$115*(('Weekly Summary'!AI$128*'Equipment List &amp; Usage'!$AA30)+('Weekly Summary'!AI$100*'Equipment List &amp; Usage'!$AB30*SelfQuarantine_Mild)+('Weekly Summary'!AI$101*'Equipment List &amp; Usage'!$AB30*SelfQuarantine_Moderate)))+IF('Equipment List &amp; Usage'!$F30="Yes",('Equipment List &amp; Usage'!$C$114*(IF('Equipment List &amp; Usage'!$AE30&gt;0,'Weekly Summary'!AI$134,0)+IF('Equipment List &amp; Usage'!$AF30&gt;0,'Weekly Summary'!AI$135))),'Equipment List &amp; Usage'!$C$115*(('Weekly Summary'!AI$134*'Equipment List &amp; Usage'!$AE30)+('Weekly Summary'!AI$135*'Equipment List &amp; Usage'!$AF30))))-SUM($I28:AN28),
IF($F28="yes",MMULT(--('Equipment List &amp; Usage'!$J30:$N30&gt;0),--('Weekly Summary'!AI$112:AI$116))*'Equipment List &amp; Usage'!$C$114,MMULT(--('Equipment List &amp; Usage'!$J30:$N30),--('Weekly Summary'!AI$112:AI$116))*'Equipment List &amp; Usage'!$C$115)+IF('Equipment List &amp; Usage'!$F29="yes",'Equipment List &amp; Usage'!$C$114,'Equipment List &amp; Usage'!$C$115)*(('Weekly Summary'!AI$66*'Equipment List &amp; Usage'!$Q30)+('Weekly Summary'!AI$64*'Equipment List &amp; Usage'!$O30)+('Weekly Summary'!AI$65*'Equipment List &amp; Usage'!$P30))+(IF('Equipment List &amp; Usage'!$F30="Yes",'Equipment List &amp; Usage'!$C$114*((('Weekly Summary'!AI$131*SelfQuarantine_Mild)+('Weekly Summary'!AI$100*SelfQuarantine_Mild)+('Weekly Summary'!AI$101*SelfQuarantine_Moderate))),'Equipment List &amp; Usage'!$C$115)*((('Weekly Summary'!AI$131*SelfQuarantine_Mild*'Equipment List &amp; Usage'!$W30)+('Weekly Summary'!AI$100*SelfQuarantine_Mild*'Equipment List &amp; Usage'!$X30)+('Weekly Summary'!AI$101*SelfQuarantine_Moderate*'Equipment List &amp; Usage'!$X30))))+IF('Equipment List &amp; Usage'!$F30="Yes",'Equipment List &amp; Usage'!$C$114*(IF('Equipment List &amp; Usage'!$AA30&gt;0,'Weekly Summary'!AI$128,0)+IF('Equipment List &amp; Usage'!$AB30&gt;0,'Weekly Summary'!AI$100+'Weekly Summary'!AI$101,0)),'Equipment List &amp; Usage'!$C$115*(('Weekly Summary'!AI$128*'Equipment List &amp; Usage'!$AA30)+('Weekly Summary'!AI$100*'Equipment List &amp; Usage'!$AB30*SelfQuarantine_Mild)+('Weekly Summary'!AI$101*'Equipment List &amp; Usage'!$AB30*SelfQuarantine_Moderate)))+IF('Equipment List &amp; Usage'!$F30="Yes",('Equipment List &amp; Usage'!$C$114*(IF('Equipment List &amp; Usage'!$AE30&gt;0,'Weekly Summary'!AI$134,0)+IF('Equipment List &amp; Usage'!$AF30&gt;0,'Weekly Summary'!AI$135))),'Equipment List &amp; Usage'!$C$115*(('Weekly Summary'!AI$134*'Equipment List &amp; Usage'!$AE30)+('Weekly Summary'!AI$135*'Equipment List &amp; Usage'!$AF30)))),0)</f>
        <v>0</v>
      </c>
      <c r="AP28" s="1374">
        <f ca="1">MAX(IF($F28="Yes",(
IF($F28="yes",MMULT(--('Equipment List &amp; Usage'!$J30:$N30&gt;0),--('Weekly Summary'!AJ$112:AJ$116))*'Equipment List &amp; Usage'!$C$114,MMULT(--('Equipment List &amp; Usage'!$J30:$N30),--('Weekly Summary'!AJ$112:AJ$116))*'Equipment List &amp; Usage'!$C$115)+IF('Equipment List &amp; Usage'!$F29="yes",'Equipment List &amp; Usage'!$C$114,'Equipment List &amp; Usage'!$C$115)*(('Weekly Summary'!AJ$66*'Equipment List &amp; Usage'!$Q30)+('Weekly Summary'!AJ$64*'Equipment List &amp; Usage'!$O30)+('Weekly Summary'!AJ$65*'Equipment List &amp; Usage'!$P30)))+(IF('Equipment List &amp; Usage'!$F30="Yes",'Equipment List &amp; Usage'!$C$114*((('Weekly Summary'!AJ$131*SelfQuarantine_Mild)+('Weekly Summary'!AJ$100*SelfQuarantine_Mild)+('Weekly Summary'!AJ$101*SelfQuarantine_Moderate))),'Equipment List &amp; Usage'!$C$115)*((('Weekly Summary'!AJ$131*SelfQuarantine_Mild*'Equipment List &amp; Usage'!$W30)+('Weekly Summary'!AJ$100*SelfQuarantine_Mild*'Equipment List &amp; Usage'!$X30)+('Weekly Summary'!AJ$101*SelfQuarantine_Moderate*'Equipment List &amp; Usage'!$X30)))+IF('Equipment List &amp; Usage'!$F30="Yes",'Equipment List &amp; Usage'!$C$114*(IF('Equipment List &amp; Usage'!$AA30&gt;0,'Weekly Summary'!AJ$128,0)+IF('Equipment List &amp; Usage'!$AB30&gt;0,'Weekly Summary'!AJ$100+'Weekly Summary'!AJ$101,0)),'Equipment List &amp; Usage'!$C$115*(('Weekly Summary'!AJ$128*'Equipment List &amp; Usage'!$AA30)+('Weekly Summary'!AJ$100*'Equipment List &amp; Usage'!$AB30*SelfQuarantine_Mild)+('Weekly Summary'!AJ$101*'Equipment List &amp; Usage'!$AB30*SelfQuarantine_Moderate)))+IF('Equipment List &amp; Usage'!$F30="Yes",('Equipment List &amp; Usage'!$C$114*(IF('Equipment List &amp; Usage'!$AE30&gt;0,'Weekly Summary'!AJ$134,0)+IF('Equipment List &amp; Usage'!$AF30&gt;0,'Weekly Summary'!AJ$135))),'Equipment List &amp; Usage'!$C$115*(('Weekly Summary'!AJ$134*'Equipment List &amp; Usage'!$AE30)+('Weekly Summary'!AJ$135*'Equipment List &amp; Usage'!$AF30))))-SUM($I28:AO28),
IF($F28="yes",MMULT(--('Equipment List &amp; Usage'!$J30:$N30&gt;0),--('Weekly Summary'!AJ$112:AJ$116))*'Equipment List &amp; Usage'!$C$114,MMULT(--('Equipment List &amp; Usage'!$J30:$N30),--('Weekly Summary'!AJ$112:AJ$116))*'Equipment List &amp; Usage'!$C$115)+IF('Equipment List &amp; Usage'!$F29="yes",'Equipment List &amp; Usage'!$C$114,'Equipment List &amp; Usage'!$C$115)*(('Weekly Summary'!AJ$66*'Equipment List &amp; Usage'!$Q30)+('Weekly Summary'!AJ$64*'Equipment List &amp; Usage'!$O30)+('Weekly Summary'!AJ$65*'Equipment List &amp; Usage'!$P30))+(IF('Equipment List &amp; Usage'!$F30="Yes",'Equipment List &amp; Usage'!$C$114*((('Weekly Summary'!AJ$131*SelfQuarantine_Mild)+('Weekly Summary'!AJ$100*SelfQuarantine_Mild)+('Weekly Summary'!AJ$101*SelfQuarantine_Moderate))),'Equipment List &amp; Usage'!$C$115)*((('Weekly Summary'!AJ$131*SelfQuarantine_Mild*'Equipment List &amp; Usage'!$W30)+('Weekly Summary'!AJ$100*SelfQuarantine_Mild*'Equipment List &amp; Usage'!$X30)+('Weekly Summary'!AJ$101*SelfQuarantine_Moderate*'Equipment List &amp; Usage'!$X30))))+IF('Equipment List &amp; Usage'!$F30="Yes",'Equipment List &amp; Usage'!$C$114*(IF('Equipment List &amp; Usage'!$AA30&gt;0,'Weekly Summary'!AJ$128,0)+IF('Equipment List &amp; Usage'!$AB30&gt;0,'Weekly Summary'!AJ$100+'Weekly Summary'!AJ$101,0)),'Equipment List &amp; Usage'!$C$115*(('Weekly Summary'!AJ$128*'Equipment List &amp; Usage'!$AA30)+('Weekly Summary'!AJ$100*'Equipment List &amp; Usage'!$AB30*SelfQuarantine_Mild)+('Weekly Summary'!AJ$101*'Equipment List &amp; Usage'!$AB30*SelfQuarantine_Moderate)))+IF('Equipment List &amp; Usage'!$F30="Yes",('Equipment List &amp; Usage'!$C$114*(IF('Equipment List &amp; Usage'!$AE30&gt;0,'Weekly Summary'!AJ$134,0)+IF('Equipment List &amp; Usage'!$AF30&gt;0,'Weekly Summary'!AJ$135))),'Equipment List &amp; Usage'!$C$115*(('Weekly Summary'!AJ$134*'Equipment List &amp; Usage'!$AE30)+('Weekly Summary'!AJ$135*'Equipment List &amp; Usage'!$AF30)))),0)</f>
        <v>0</v>
      </c>
      <c r="AQ28" s="1374">
        <f ca="1">MAX(IF($F28="Yes",(
IF($F28="yes",MMULT(--('Equipment List &amp; Usage'!$J30:$N30&gt;0),--('Weekly Summary'!AK$112:AK$116))*'Equipment List &amp; Usage'!$C$114,MMULT(--('Equipment List &amp; Usage'!$J30:$N30),--('Weekly Summary'!AK$112:AK$116))*'Equipment List &amp; Usage'!$C$115)+IF('Equipment List &amp; Usage'!$F29="yes",'Equipment List &amp; Usage'!$C$114,'Equipment List &amp; Usage'!$C$115)*(('Weekly Summary'!AK$66*'Equipment List &amp; Usage'!$Q30)+('Weekly Summary'!AK$64*'Equipment List &amp; Usage'!$O30)+('Weekly Summary'!AK$65*'Equipment List &amp; Usage'!$P30)))+(IF('Equipment List &amp; Usage'!$F30="Yes",'Equipment List &amp; Usage'!$C$114*((('Weekly Summary'!AK$131*SelfQuarantine_Mild)+('Weekly Summary'!AK$100*SelfQuarantine_Mild)+('Weekly Summary'!AK$101*SelfQuarantine_Moderate))),'Equipment List &amp; Usage'!$C$115)*((('Weekly Summary'!AK$131*SelfQuarantine_Mild*'Equipment List &amp; Usage'!$W30)+('Weekly Summary'!AK$100*SelfQuarantine_Mild*'Equipment List &amp; Usage'!$X30)+('Weekly Summary'!AK$101*SelfQuarantine_Moderate*'Equipment List &amp; Usage'!$X30)))+IF('Equipment List &amp; Usage'!$F30="Yes",'Equipment List &amp; Usage'!$C$114*(IF('Equipment List &amp; Usage'!$AA30&gt;0,'Weekly Summary'!AK$128,0)+IF('Equipment List &amp; Usage'!$AB30&gt;0,'Weekly Summary'!AK$100+'Weekly Summary'!AK$101,0)),'Equipment List &amp; Usage'!$C$115*(('Weekly Summary'!AK$128*'Equipment List &amp; Usage'!$AA30)+('Weekly Summary'!AK$100*'Equipment List &amp; Usage'!$AB30*SelfQuarantine_Mild)+('Weekly Summary'!AK$101*'Equipment List &amp; Usage'!$AB30*SelfQuarantine_Moderate)))+IF('Equipment List &amp; Usage'!$F30="Yes",('Equipment List &amp; Usage'!$C$114*(IF('Equipment List &amp; Usage'!$AE30&gt;0,'Weekly Summary'!AK$134,0)+IF('Equipment List &amp; Usage'!$AF30&gt;0,'Weekly Summary'!AK$135))),'Equipment List &amp; Usage'!$C$115*(('Weekly Summary'!AK$134*'Equipment List &amp; Usage'!$AE30)+('Weekly Summary'!AK$135*'Equipment List &amp; Usage'!$AF30))))-SUM($I28:AP28),
IF($F28="yes",MMULT(--('Equipment List &amp; Usage'!$J30:$N30&gt;0),--('Weekly Summary'!AK$112:AK$116))*'Equipment List &amp; Usage'!$C$114,MMULT(--('Equipment List &amp; Usage'!$J30:$N30),--('Weekly Summary'!AK$112:AK$116))*'Equipment List &amp; Usage'!$C$115)+IF('Equipment List &amp; Usage'!$F29="yes",'Equipment List &amp; Usage'!$C$114,'Equipment List &amp; Usage'!$C$115)*(('Weekly Summary'!AK$66*'Equipment List &amp; Usage'!$Q30)+('Weekly Summary'!AK$64*'Equipment List &amp; Usage'!$O30)+('Weekly Summary'!AK$65*'Equipment List &amp; Usage'!$P30))+(IF('Equipment List &amp; Usage'!$F30="Yes",'Equipment List &amp; Usage'!$C$114*((('Weekly Summary'!AK$131*SelfQuarantine_Mild)+('Weekly Summary'!AK$100*SelfQuarantine_Mild)+('Weekly Summary'!AK$101*SelfQuarantine_Moderate))),'Equipment List &amp; Usage'!$C$115)*((('Weekly Summary'!AK$131*SelfQuarantine_Mild*'Equipment List &amp; Usage'!$W30)+('Weekly Summary'!AK$100*SelfQuarantine_Mild*'Equipment List &amp; Usage'!$X30)+('Weekly Summary'!AK$101*SelfQuarantine_Moderate*'Equipment List &amp; Usage'!$X30))))+IF('Equipment List &amp; Usage'!$F30="Yes",'Equipment List &amp; Usage'!$C$114*(IF('Equipment List &amp; Usage'!$AA30&gt;0,'Weekly Summary'!AK$128,0)+IF('Equipment List &amp; Usage'!$AB30&gt;0,'Weekly Summary'!AK$100+'Weekly Summary'!AK$101,0)),'Equipment List &amp; Usage'!$C$115*(('Weekly Summary'!AK$128*'Equipment List &amp; Usage'!$AA30)+('Weekly Summary'!AK$100*'Equipment List &amp; Usage'!$AB30*SelfQuarantine_Mild)+('Weekly Summary'!AK$101*'Equipment List &amp; Usage'!$AB30*SelfQuarantine_Moderate)))+IF('Equipment List &amp; Usage'!$F30="Yes",('Equipment List &amp; Usage'!$C$114*(IF('Equipment List &amp; Usage'!$AE30&gt;0,'Weekly Summary'!AK$134,0)+IF('Equipment List &amp; Usage'!$AF30&gt;0,'Weekly Summary'!AK$135))),'Equipment List &amp; Usage'!$C$115*(('Weekly Summary'!AK$134*'Equipment List &amp; Usage'!$AE30)+('Weekly Summary'!AK$135*'Equipment List &amp; Usage'!$AF30)))),0)</f>
        <v>0</v>
      </c>
      <c r="AR28" s="1374">
        <f ca="1">MAX(IF($F28="Yes",(
IF($F28="yes",MMULT(--('Equipment List &amp; Usage'!$J30:$N30&gt;0),--('Weekly Summary'!AL$112:AL$116))*'Equipment List &amp; Usage'!$C$114,MMULT(--('Equipment List &amp; Usage'!$J30:$N30),--('Weekly Summary'!AL$112:AL$116))*'Equipment List &amp; Usage'!$C$115)+IF('Equipment List &amp; Usage'!$F29="yes",'Equipment List &amp; Usage'!$C$114,'Equipment List &amp; Usage'!$C$115)*(('Weekly Summary'!AL$66*'Equipment List &amp; Usage'!$Q30)+('Weekly Summary'!AL$64*'Equipment List &amp; Usage'!$O30)+('Weekly Summary'!AL$65*'Equipment List &amp; Usage'!$P30)))+(IF('Equipment List &amp; Usage'!$F30="Yes",'Equipment List &amp; Usage'!$C$114*((('Weekly Summary'!AL$131*SelfQuarantine_Mild)+('Weekly Summary'!AL$100*SelfQuarantine_Mild)+('Weekly Summary'!AL$101*SelfQuarantine_Moderate))),'Equipment List &amp; Usage'!$C$115)*((('Weekly Summary'!AL$131*SelfQuarantine_Mild*'Equipment List &amp; Usage'!$W30)+('Weekly Summary'!AL$100*SelfQuarantine_Mild*'Equipment List &amp; Usage'!$X30)+('Weekly Summary'!AL$101*SelfQuarantine_Moderate*'Equipment List &amp; Usage'!$X30)))+IF('Equipment List &amp; Usage'!$F30="Yes",'Equipment List &amp; Usage'!$C$114*(IF('Equipment List &amp; Usage'!$AA30&gt;0,'Weekly Summary'!AL$128,0)+IF('Equipment List &amp; Usage'!$AB30&gt;0,'Weekly Summary'!AL$100+'Weekly Summary'!AL$101,0)),'Equipment List &amp; Usage'!$C$115*(('Weekly Summary'!AL$128*'Equipment List &amp; Usage'!$AA30)+('Weekly Summary'!AL$100*'Equipment List &amp; Usage'!$AB30*SelfQuarantine_Mild)+('Weekly Summary'!AL$101*'Equipment List &amp; Usage'!$AB30*SelfQuarantine_Moderate)))+IF('Equipment List &amp; Usage'!$F30="Yes",('Equipment List &amp; Usage'!$C$114*(IF('Equipment List &amp; Usage'!$AE30&gt;0,'Weekly Summary'!AL$134,0)+IF('Equipment List &amp; Usage'!$AF30&gt;0,'Weekly Summary'!AL$135))),'Equipment List &amp; Usage'!$C$115*(('Weekly Summary'!AL$134*'Equipment List &amp; Usage'!$AE30)+('Weekly Summary'!AL$135*'Equipment List &amp; Usage'!$AF30))))-SUM($I28:AQ28),
IF($F28="yes",MMULT(--('Equipment List &amp; Usage'!$J30:$N30&gt;0),--('Weekly Summary'!AL$112:AL$116))*'Equipment List &amp; Usage'!$C$114,MMULT(--('Equipment List &amp; Usage'!$J30:$N30),--('Weekly Summary'!AL$112:AL$116))*'Equipment List &amp; Usage'!$C$115)+IF('Equipment List &amp; Usage'!$F29="yes",'Equipment List &amp; Usage'!$C$114,'Equipment List &amp; Usage'!$C$115)*(('Weekly Summary'!AL$66*'Equipment List &amp; Usage'!$Q30)+('Weekly Summary'!AL$64*'Equipment List &amp; Usage'!$O30)+('Weekly Summary'!AL$65*'Equipment List &amp; Usage'!$P30))+(IF('Equipment List &amp; Usage'!$F30="Yes",'Equipment List &amp; Usage'!$C$114*((('Weekly Summary'!AL$131*SelfQuarantine_Mild)+('Weekly Summary'!AL$100*SelfQuarantine_Mild)+('Weekly Summary'!AL$101*SelfQuarantine_Moderate))),'Equipment List &amp; Usage'!$C$115)*((('Weekly Summary'!AL$131*SelfQuarantine_Mild*'Equipment List &amp; Usage'!$W30)+('Weekly Summary'!AL$100*SelfQuarantine_Mild*'Equipment List &amp; Usage'!$X30)+('Weekly Summary'!AL$101*SelfQuarantine_Moderate*'Equipment List &amp; Usage'!$X30))))+IF('Equipment List &amp; Usage'!$F30="Yes",'Equipment List &amp; Usage'!$C$114*(IF('Equipment List &amp; Usage'!$AA30&gt;0,'Weekly Summary'!AL$128,0)+IF('Equipment List &amp; Usage'!$AB30&gt;0,'Weekly Summary'!AL$100+'Weekly Summary'!AL$101,0)),'Equipment List &amp; Usage'!$C$115*(('Weekly Summary'!AL$128*'Equipment List &amp; Usage'!$AA30)+('Weekly Summary'!AL$100*'Equipment List &amp; Usage'!$AB30*SelfQuarantine_Mild)+('Weekly Summary'!AL$101*'Equipment List &amp; Usage'!$AB30*SelfQuarantine_Moderate)))+IF('Equipment List &amp; Usage'!$F30="Yes",('Equipment List &amp; Usage'!$C$114*(IF('Equipment List &amp; Usage'!$AE30&gt;0,'Weekly Summary'!AL$134,0)+IF('Equipment List &amp; Usage'!$AF30&gt;0,'Weekly Summary'!AL$135))),'Equipment List &amp; Usage'!$C$115*(('Weekly Summary'!AL$134*'Equipment List &amp; Usage'!$AE30)+('Weekly Summary'!AL$135*'Equipment List &amp; Usage'!$AF30)))),0)</f>
        <v>0</v>
      </c>
      <c r="AS28" s="1374">
        <f ca="1">MAX(IF($F28="Yes",(
IF($F28="yes",MMULT(--('Equipment List &amp; Usage'!$J30:$N30&gt;0),--('Weekly Summary'!AM$112:AM$116))*'Equipment List &amp; Usage'!$C$114,MMULT(--('Equipment List &amp; Usage'!$J30:$N30),--('Weekly Summary'!AM$112:AM$116))*'Equipment List &amp; Usage'!$C$115)+IF('Equipment List &amp; Usage'!$F29="yes",'Equipment List &amp; Usage'!$C$114,'Equipment List &amp; Usage'!$C$115)*(('Weekly Summary'!AM$66*'Equipment List &amp; Usage'!$Q30)+('Weekly Summary'!AM$64*'Equipment List &amp; Usage'!$O30)+('Weekly Summary'!AM$65*'Equipment List &amp; Usage'!$P30)))+(IF('Equipment List &amp; Usage'!$F30="Yes",'Equipment List &amp; Usage'!$C$114*((('Weekly Summary'!AM$131*SelfQuarantine_Mild)+('Weekly Summary'!AM$100*SelfQuarantine_Mild)+('Weekly Summary'!AM$101*SelfQuarantine_Moderate))),'Equipment List &amp; Usage'!$C$115)*((('Weekly Summary'!AM$131*SelfQuarantine_Mild*'Equipment List &amp; Usage'!$W30)+('Weekly Summary'!AM$100*SelfQuarantine_Mild*'Equipment List &amp; Usage'!$X30)+('Weekly Summary'!AM$101*SelfQuarantine_Moderate*'Equipment List &amp; Usage'!$X30)))+IF('Equipment List &amp; Usage'!$F30="Yes",'Equipment List &amp; Usage'!$C$114*(IF('Equipment List &amp; Usage'!$AA30&gt;0,'Weekly Summary'!AM$128,0)+IF('Equipment List &amp; Usage'!$AB30&gt;0,'Weekly Summary'!AM$100+'Weekly Summary'!AM$101,0)),'Equipment List &amp; Usage'!$C$115*(('Weekly Summary'!AM$128*'Equipment List &amp; Usage'!$AA30)+('Weekly Summary'!AM$100*'Equipment List &amp; Usage'!$AB30*SelfQuarantine_Mild)+('Weekly Summary'!AM$101*'Equipment List &amp; Usage'!$AB30*SelfQuarantine_Moderate)))+IF('Equipment List &amp; Usage'!$F30="Yes",('Equipment List &amp; Usage'!$C$114*(IF('Equipment List &amp; Usage'!$AE30&gt;0,'Weekly Summary'!AM$134,0)+IF('Equipment List &amp; Usage'!$AF30&gt;0,'Weekly Summary'!AM$135))),'Equipment List &amp; Usage'!$C$115*(('Weekly Summary'!AM$134*'Equipment List &amp; Usage'!$AE30)+('Weekly Summary'!AM$135*'Equipment List &amp; Usage'!$AF30))))-SUM($I28:AR28),
IF($F28="yes",MMULT(--('Equipment List &amp; Usage'!$J30:$N30&gt;0),--('Weekly Summary'!AM$112:AM$116))*'Equipment List &amp; Usage'!$C$114,MMULT(--('Equipment List &amp; Usage'!$J30:$N30),--('Weekly Summary'!AM$112:AM$116))*'Equipment List &amp; Usage'!$C$115)+IF('Equipment List &amp; Usage'!$F29="yes",'Equipment List &amp; Usage'!$C$114,'Equipment List &amp; Usage'!$C$115)*(('Weekly Summary'!AM$66*'Equipment List &amp; Usage'!$Q30)+('Weekly Summary'!AM$64*'Equipment List &amp; Usage'!$O30)+('Weekly Summary'!AM$65*'Equipment List &amp; Usage'!$P30))+(IF('Equipment List &amp; Usage'!$F30="Yes",'Equipment List &amp; Usage'!$C$114*((('Weekly Summary'!AM$131*SelfQuarantine_Mild)+('Weekly Summary'!AM$100*SelfQuarantine_Mild)+('Weekly Summary'!AM$101*SelfQuarantine_Moderate))),'Equipment List &amp; Usage'!$C$115)*((('Weekly Summary'!AM$131*SelfQuarantine_Mild*'Equipment List &amp; Usage'!$W30)+('Weekly Summary'!AM$100*SelfQuarantine_Mild*'Equipment List &amp; Usage'!$X30)+('Weekly Summary'!AM$101*SelfQuarantine_Moderate*'Equipment List &amp; Usage'!$X30))))+IF('Equipment List &amp; Usage'!$F30="Yes",'Equipment List &amp; Usage'!$C$114*(IF('Equipment List &amp; Usage'!$AA30&gt;0,'Weekly Summary'!AM$128,0)+IF('Equipment List &amp; Usage'!$AB30&gt;0,'Weekly Summary'!AM$100+'Weekly Summary'!AM$101,0)),'Equipment List &amp; Usage'!$C$115*(('Weekly Summary'!AM$128*'Equipment List &amp; Usage'!$AA30)+('Weekly Summary'!AM$100*'Equipment List &amp; Usage'!$AB30*SelfQuarantine_Mild)+('Weekly Summary'!AM$101*'Equipment List &amp; Usage'!$AB30*SelfQuarantine_Moderate)))+IF('Equipment List &amp; Usage'!$F30="Yes",('Equipment List &amp; Usage'!$C$114*(IF('Equipment List &amp; Usage'!$AE30&gt;0,'Weekly Summary'!AM$134,0)+IF('Equipment List &amp; Usage'!$AF30&gt;0,'Weekly Summary'!AM$135))),'Equipment List &amp; Usage'!$C$115*(('Weekly Summary'!AM$134*'Equipment List &amp; Usage'!$AE30)+('Weekly Summary'!AM$135*'Equipment List &amp; Usage'!$AF30)))),0)</f>
        <v>0</v>
      </c>
      <c r="AT28" s="1374">
        <f ca="1">MAX(IF($F28="Yes",(
IF($F28="yes",MMULT(--('Equipment List &amp; Usage'!$J30:$N30&gt;0),--('Weekly Summary'!AN$112:AN$116))*'Equipment List &amp; Usage'!$C$114,MMULT(--('Equipment List &amp; Usage'!$J30:$N30),--('Weekly Summary'!AN$112:AN$116))*'Equipment List &amp; Usage'!$C$115)+IF('Equipment List &amp; Usage'!$F29="yes",'Equipment List &amp; Usage'!$C$114,'Equipment List &amp; Usage'!$C$115)*(('Weekly Summary'!AN$66*'Equipment List &amp; Usage'!$Q30)+('Weekly Summary'!AN$64*'Equipment List &amp; Usage'!$O30)+('Weekly Summary'!AN$65*'Equipment List &amp; Usage'!$P30)))+(IF('Equipment List &amp; Usage'!$F30="Yes",'Equipment List &amp; Usage'!$C$114*((('Weekly Summary'!AN$131*SelfQuarantine_Mild)+('Weekly Summary'!AN$100*SelfQuarantine_Mild)+('Weekly Summary'!AN$101*SelfQuarantine_Moderate))),'Equipment List &amp; Usage'!$C$115)*((('Weekly Summary'!AN$131*SelfQuarantine_Mild*'Equipment List &amp; Usage'!$W30)+('Weekly Summary'!AN$100*SelfQuarantine_Mild*'Equipment List &amp; Usage'!$X30)+('Weekly Summary'!AN$101*SelfQuarantine_Moderate*'Equipment List &amp; Usage'!$X30)))+IF('Equipment List &amp; Usage'!$F30="Yes",'Equipment List &amp; Usage'!$C$114*(IF('Equipment List &amp; Usage'!$AA30&gt;0,'Weekly Summary'!AN$128,0)+IF('Equipment List &amp; Usage'!$AB30&gt;0,'Weekly Summary'!AN$100+'Weekly Summary'!AN$101,0)),'Equipment List &amp; Usage'!$C$115*(('Weekly Summary'!AN$128*'Equipment List &amp; Usage'!$AA30)+('Weekly Summary'!AN$100*'Equipment List &amp; Usage'!$AB30*SelfQuarantine_Mild)+('Weekly Summary'!AN$101*'Equipment List &amp; Usage'!$AB30*SelfQuarantine_Moderate)))+IF('Equipment List &amp; Usage'!$F30="Yes",('Equipment List &amp; Usage'!$C$114*(IF('Equipment List &amp; Usage'!$AE30&gt;0,'Weekly Summary'!AN$134,0)+IF('Equipment List &amp; Usage'!$AF30&gt;0,'Weekly Summary'!AN$135))),'Equipment List &amp; Usage'!$C$115*(('Weekly Summary'!AN$134*'Equipment List &amp; Usage'!$AE30)+('Weekly Summary'!AN$135*'Equipment List &amp; Usage'!$AF30))))-SUM($I28:AS28),
IF($F28="yes",MMULT(--('Equipment List &amp; Usage'!$J30:$N30&gt;0),--('Weekly Summary'!AN$112:AN$116))*'Equipment List &amp; Usage'!$C$114,MMULT(--('Equipment List &amp; Usage'!$J30:$N30),--('Weekly Summary'!AN$112:AN$116))*'Equipment List &amp; Usage'!$C$115)+IF('Equipment List &amp; Usage'!$F29="yes",'Equipment List &amp; Usage'!$C$114,'Equipment List &amp; Usage'!$C$115)*(('Weekly Summary'!AN$66*'Equipment List &amp; Usage'!$Q30)+('Weekly Summary'!AN$64*'Equipment List &amp; Usage'!$O30)+('Weekly Summary'!AN$65*'Equipment List &amp; Usage'!$P30))+(IF('Equipment List &amp; Usage'!$F30="Yes",'Equipment List &amp; Usage'!$C$114*((('Weekly Summary'!AN$131*SelfQuarantine_Mild)+('Weekly Summary'!AN$100*SelfQuarantine_Mild)+('Weekly Summary'!AN$101*SelfQuarantine_Moderate))),'Equipment List &amp; Usage'!$C$115)*((('Weekly Summary'!AN$131*SelfQuarantine_Mild*'Equipment List &amp; Usage'!$W30)+('Weekly Summary'!AN$100*SelfQuarantine_Mild*'Equipment List &amp; Usage'!$X30)+('Weekly Summary'!AN$101*SelfQuarantine_Moderate*'Equipment List &amp; Usage'!$X30))))+IF('Equipment List &amp; Usage'!$F30="Yes",'Equipment List &amp; Usage'!$C$114*(IF('Equipment List &amp; Usage'!$AA30&gt;0,'Weekly Summary'!AN$128,0)+IF('Equipment List &amp; Usage'!$AB30&gt;0,'Weekly Summary'!AN$100+'Weekly Summary'!AN$101,0)),'Equipment List &amp; Usage'!$C$115*(('Weekly Summary'!AN$128*'Equipment List &amp; Usage'!$AA30)+('Weekly Summary'!AN$100*'Equipment List &amp; Usage'!$AB30*SelfQuarantine_Mild)+('Weekly Summary'!AN$101*'Equipment List &amp; Usage'!$AB30*SelfQuarantine_Moderate)))+IF('Equipment List &amp; Usage'!$F30="Yes",('Equipment List &amp; Usage'!$C$114*(IF('Equipment List &amp; Usage'!$AE30&gt;0,'Weekly Summary'!AN$134,0)+IF('Equipment List &amp; Usage'!$AF30&gt;0,'Weekly Summary'!AN$135))),'Equipment List &amp; Usage'!$C$115*(('Weekly Summary'!AN$134*'Equipment List &amp; Usage'!$AE30)+('Weekly Summary'!AN$135*'Equipment List &amp; Usage'!$AF30)))),0)</f>
        <v>0</v>
      </c>
      <c r="AU28" s="1374">
        <f ca="1">MAX(IF($F28="Yes",(
IF($F28="yes",MMULT(--('Equipment List &amp; Usage'!$J30:$N30&gt;0),--('Weekly Summary'!AO$112:AO$116))*'Equipment List &amp; Usage'!$C$114,MMULT(--('Equipment List &amp; Usage'!$J30:$N30),--('Weekly Summary'!AO$112:AO$116))*'Equipment List &amp; Usage'!$C$115)+IF('Equipment List &amp; Usage'!$F29="yes",'Equipment List &amp; Usage'!$C$114,'Equipment List &amp; Usage'!$C$115)*(('Weekly Summary'!AO$66*'Equipment List &amp; Usage'!$Q30)+('Weekly Summary'!AO$64*'Equipment List &amp; Usage'!$O30)+('Weekly Summary'!AO$65*'Equipment List &amp; Usage'!$P30)))+(IF('Equipment List &amp; Usage'!$F30="Yes",'Equipment List &amp; Usage'!$C$114*((('Weekly Summary'!AO$131*SelfQuarantine_Mild)+('Weekly Summary'!AO$100*SelfQuarantine_Mild)+('Weekly Summary'!AO$101*SelfQuarantine_Moderate))),'Equipment List &amp; Usage'!$C$115)*((('Weekly Summary'!AO$131*SelfQuarantine_Mild*'Equipment List &amp; Usage'!$W30)+('Weekly Summary'!AO$100*SelfQuarantine_Mild*'Equipment List &amp; Usage'!$X30)+('Weekly Summary'!AO$101*SelfQuarantine_Moderate*'Equipment List &amp; Usage'!$X30)))+IF('Equipment List &amp; Usage'!$F30="Yes",'Equipment List &amp; Usage'!$C$114*(IF('Equipment List &amp; Usage'!$AA30&gt;0,'Weekly Summary'!AO$128,0)+IF('Equipment List &amp; Usage'!$AB30&gt;0,'Weekly Summary'!AO$100+'Weekly Summary'!AO$101,0)),'Equipment List &amp; Usage'!$C$115*(('Weekly Summary'!AO$128*'Equipment List &amp; Usage'!$AA30)+('Weekly Summary'!AO$100*'Equipment List &amp; Usage'!$AB30*SelfQuarantine_Mild)+('Weekly Summary'!AO$101*'Equipment List &amp; Usage'!$AB30*SelfQuarantine_Moderate)))+IF('Equipment List &amp; Usage'!$F30="Yes",('Equipment List &amp; Usage'!$C$114*(IF('Equipment List &amp; Usage'!$AE30&gt;0,'Weekly Summary'!AO$134,0)+IF('Equipment List &amp; Usage'!$AF30&gt;0,'Weekly Summary'!AO$135))),'Equipment List &amp; Usage'!$C$115*(('Weekly Summary'!AO$134*'Equipment List &amp; Usage'!$AE30)+('Weekly Summary'!AO$135*'Equipment List &amp; Usage'!$AF30))))-SUM($I28:AT28),
IF($F28="yes",MMULT(--('Equipment List &amp; Usage'!$J30:$N30&gt;0),--('Weekly Summary'!AO$112:AO$116))*'Equipment List &amp; Usage'!$C$114,MMULT(--('Equipment List &amp; Usage'!$J30:$N30),--('Weekly Summary'!AO$112:AO$116))*'Equipment List &amp; Usage'!$C$115)+IF('Equipment List &amp; Usage'!$F29="yes",'Equipment List &amp; Usage'!$C$114,'Equipment List &amp; Usage'!$C$115)*(('Weekly Summary'!AO$66*'Equipment List &amp; Usage'!$Q30)+('Weekly Summary'!AO$64*'Equipment List &amp; Usage'!$O30)+('Weekly Summary'!AO$65*'Equipment List &amp; Usage'!$P30))+(IF('Equipment List &amp; Usage'!$F30="Yes",'Equipment List &amp; Usage'!$C$114*((('Weekly Summary'!AO$131*SelfQuarantine_Mild)+('Weekly Summary'!AO$100*SelfQuarantine_Mild)+('Weekly Summary'!AO$101*SelfQuarantine_Moderate))),'Equipment List &amp; Usage'!$C$115)*((('Weekly Summary'!AO$131*SelfQuarantine_Mild*'Equipment List &amp; Usage'!$W30)+('Weekly Summary'!AO$100*SelfQuarantine_Mild*'Equipment List &amp; Usage'!$X30)+('Weekly Summary'!AO$101*SelfQuarantine_Moderate*'Equipment List &amp; Usage'!$X30))))+IF('Equipment List &amp; Usage'!$F30="Yes",'Equipment List &amp; Usage'!$C$114*(IF('Equipment List &amp; Usage'!$AA30&gt;0,'Weekly Summary'!AO$128,0)+IF('Equipment List &amp; Usage'!$AB30&gt;0,'Weekly Summary'!AO$100+'Weekly Summary'!AO$101,0)),'Equipment List &amp; Usage'!$C$115*(('Weekly Summary'!AO$128*'Equipment List &amp; Usage'!$AA30)+('Weekly Summary'!AO$100*'Equipment List &amp; Usage'!$AB30*SelfQuarantine_Mild)+('Weekly Summary'!AO$101*'Equipment List &amp; Usage'!$AB30*SelfQuarantine_Moderate)))+IF('Equipment List &amp; Usage'!$F30="Yes",('Equipment List &amp; Usage'!$C$114*(IF('Equipment List &amp; Usage'!$AE30&gt;0,'Weekly Summary'!AO$134,0)+IF('Equipment List &amp; Usage'!$AF30&gt;0,'Weekly Summary'!AO$135))),'Equipment List &amp; Usage'!$C$115*(('Weekly Summary'!AO$134*'Equipment List &amp; Usage'!$AE30)+('Weekly Summary'!AO$135*'Equipment List &amp; Usage'!$AF30)))),0)</f>
        <v>0</v>
      </c>
      <c r="AV28" s="1374">
        <f ca="1">MAX(IF($F28="Yes",(
IF($F28="yes",MMULT(--('Equipment List &amp; Usage'!$J30:$N30&gt;0),--('Weekly Summary'!AP$112:AP$116))*'Equipment List &amp; Usage'!$C$114,MMULT(--('Equipment List &amp; Usage'!$J30:$N30),--('Weekly Summary'!AP$112:AP$116))*'Equipment List &amp; Usage'!$C$115)+IF('Equipment List &amp; Usage'!$F29="yes",'Equipment List &amp; Usage'!$C$114,'Equipment List &amp; Usage'!$C$115)*(('Weekly Summary'!AP$66*'Equipment List &amp; Usage'!$Q30)+('Weekly Summary'!AP$64*'Equipment List &amp; Usage'!$O30)+('Weekly Summary'!AP$65*'Equipment List &amp; Usage'!$P30)))+(IF('Equipment List &amp; Usage'!$F30="Yes",'Equipment List &amp; Usage'!$C$114*((('Weekly Summary'!AP$131*SelfQuarantine_Mild)+('Weekly Summary'!AP$100*SelfQuarantine_Mild)+('Weekly Summary'!AP$101*SelfQuarantine_Moderate))),'Equipment List &amp; Usage'!$C$115)*((('Weekly Summary'!AP$131*SelfQuarantine_Mild*'Equipment List &amp; Usage'!$W30)+('Weekly Summary'!AP$100*SelfQuarantine_Mild*'Equipment List &amp; Usage'!$X30)+('Weekly Summary'!AP$101*SelfQuarantine_Moderate*'Equipment List &amp; Usage'!$X30)))+IF('Equipment List &amp; Usage'!$F30="Yes",'Equipment List &amp; Usage'!$C$114*(IF('Equipment List &amp; Usage'!$AA30&gt;0,'Weekly Summary'!AP$128,0)+IF('Equipment List &amp; Usage'!$AB30&gt;0,'Weekly Summary'!AP$100+'Weekly Summary'!AP$101,0)),'Equipment List &amp; Usage'!$C$115*(('Weekly Summary'!AP$128*'Equipment List &amp; Usage'!$AA30)+('Weekly Summary'!AP$100*'Equipment List &amp; Usage'!$AB30*SelfQuarantine_Mild)+('Weekly Summary'!AP$101*'Equipment List &amp; Usage'!$AB30*SelfQuarantine_Moderate)))+IF('Equipment List &amp; Usage'!$F30="Yes",('Equipment List &amp; Usage'!$C$114*(IF('Equipment List &amp; Usage'!$AE30&gt;0,'Weekly Summary'!AP$134,0)+IF('Equipment List &amp; Usage'!$AF30&gt;0,'Weekly Summary'!AP$135))),'Equipment List &amp; Usage'!$C$115*(('Weekly Summary'!AP$134*'Equipment List &amp; Usage'!$AE30)+('Weekly Summary'!AP$135*'Equipment List &amp; Usage'!$AF30))))-SUM($I28:AU28),
IF($F28="yes",MMULT(--('Equipment List &amp; Usage'!$J30:$N30&gt;0),--('Weekly Summary'!AP$112:AP$116))*'Equipment List &amp; Usage'!$C$114,MMULT(--('Equipment List &amp; Usage'!$J30:$N30),--('Weekly Summary'!AP$112:AP$116))*'Equipment List &amp; Usage'!$C$115)+IF('Equipment List &amp; Usage'!$F29="yes",'Equipment List &amp; Usage'!$C$114,'Equipment List &amp; Usage'!$C$115)*(('Weekly Summary'!AP$66*'Equipment List &amp; Usage'!$Q30)+('Weekly Summary'!AP$64*'Equipment List &amp; Usage'!$O30)+('Weekly Summary'!AP$65*'Equipment List &amp; Usage'!$P30))+(IF('Equipment List &amp; Usage'!$F30="Yes",'Equipment List &amp; Usage'!$C$114*((('Weekly Summary'!AP$131*SelfQuarantine_Mild)+('Weekly Summary'!AP$100*SelfQuarantine_Mild)+('Weekly Summary'!AP$101*SelfQuarantine_Moderate))),'Equipment List &amp; Usage'!$C$115)*((('Weekly Summary'!AP$131*SelfQuarantine_Mild*'Equipment List &amp; Usage'!$W30)+('Weekly Summary'!AP$100*SelfQuarantine_Mild*'Equipment List &amp; Usage'!$X30)+('Weekly Summary'!AP$101*SelfQuarantine_Moderate*'Equipment List &amp; Usage'!$X30))))+IF('Equipment List &amp; Usage'!$F30="Yes",'Equipment List &amp; Usage'!$C$114*(IF('Equipment List &amp; Usage'!$AA30&gt;0,'Weekly Summary'!AP$128,0)+IF('Equipment List &amp; Usage'!$AB30&gt;0,'Weekly Summary'!AP$100+'Weekly Summary'!AP$101,0)),'Equipment List &amp; Usage'!$C$115*(('Weekly Summary'!AP$128*'Equipment List &amp; Usage'!$AA30)+('Weekly Summary'!AP$100*'Equipment List &amp; Usage'!$AB30*SelfQuarantine_Mild)+('Weekly Summary'!AP$101*'Equipment List &amp; Usage'!$AB30*SelfQuarantine_Moderate)))+IF('Equipment List &amp; Usage'!$F30="Yes",('Equipment List &amp; Usage'!$C$114*(IF('Equipment List &amp; Usage'!$AE30&gt;0,'Weekly Summary'!AP$134,0)+IF('Equipment List &amp; Usage'!$AF30&gt;0,'Weekly Summary'!AP$135))),'Equipment List &amp; Usage'!$C$115*(('Weekly Summary'!AP$134*'Equipment List &amp; Usage'!$AE30)+('Weekly Summary'!AP$135*'Equipment List &amp; Usage'!$AF30)))),0)</f>
        <v>0</v>
      </c>
      <c r="AW28" s="1374">
        <f ca="1">MAX(IF($F28="Yes",(
IF($F28="yes",MMULT(--('Equipment List &amp; Usage'!$J30:$N30&gt;0),--('Weekly Summary'!AQ$112:AQ$116))*'Equipment List &amp; Usage'!$C$114,MMULT(--('Equipment List &amp; Usage'!$J30:$N30),--('Weekly Summary'!AQ$112:AQ$116))*'Equipment List &amp; Usage'!$C$115)+IF('Equipment List &amp; Usage'!$F29="yes",'Equipment List &amp; Usage'!$C$114,'Equipment List &amp; Usage'!$C$115)*(('Weekly Summary'!AQ$66*'Equipment List &amp; Usage'!$Q30)+('Weekly Summary'!AQ$64*'Equipment List &amp; Usage'!$O30)+('Weekly Summary'!AQ$65*'Equipment List &amp; Usage'!$P30)))+(IF('Equipment List &amp; Usage'!$F30="Yes",'Equipment List &amp; Usage'!$C$114*((('Weekly Summary'!AQ$131*SelfQuarantine_Mild)+('Weekly Summary'!AQ$100*SelfQuarantine_Mild)+('Weekly Summary'!AQ$101*SelfQuarantine_Moderate))),'Equipment List &amp; Usage'!$C$115)*((('Weekly Summary'!AQ$131*SelfQuarantine_Mild*'Equipment List &amp; Usage'!$W30)+('Weekly Summary'!AQ$100*SelfQuarantine_Mild*'Equipment List &amp; Usage'!$X30)+('Weekly Summary'!AQ$101*SelfQuarantine_Moderate*'Equipment List &amp; Usage'!$X30)))+IF('Equipment List &amp; Usage'!$F30="Yes",'Equipment List &amp; Usage'!$C$114*(IF('Equipment List &amp; Usage'!$AA30&gt;0,'Weekly Summary'!AQ$128,0)+IF('Equipment List &amp; Usage'!$AB30&gt;0,'Weekly Summary'!AQ$100+'Weekly Summary'!AQ$101,0)),'Equipment List &amp; Usage'!$C$115*(('Weekly Summary'!AQ$128*'Equipment List &amp; Usage'!$AA30)+('Weekly Summary'!AQ$100*'Equipment List &amp; Usage'!$AB30*SelfQuarantine_Mild)+('Weekly Summary'!AQ$101*'Equipment List &amp; Usage'!$AB30*SelfQuarantine_Moderate)))+IF('Equipment List &amp; Usage'!$F30="Yes",('Equipment List &amp; Usage'!$C$114*(IF('Equipment List &amp; Usage'!$AE30&gt;0,'Weekly Summary'!AQ$134,0)+IF('Equipment List &amp; Usage'!$AF30&gt;0,'Weekly Summary'!AQ$135))),'Equipment List &amp; Usage'!$C$115*(('Weekly Summary'!AQ$134*'Equipment List &amp; Usage'!$AE30)+('Weekly Summary'!AQ$135*'Equipment List &amp; Usage'!$AF30))))-SUM($I28:AV28),
IF($F28="yes",MMULT(--('Equipment List &amp; Usage'!$J30:$N30&gt;0),--('Weekly Summary'!AQ$112:AQ$116))*'Equipment List &amp; Usage'!$C$114,MMULT(--('Equipment List &amp; Usage'!$J30:$N30),--('Weekly Summary'!AQ$112:AQ$116))*'Equipment List &amp; Usage'!$C$115)+IF('Equipment List &amp; Usage'!$F29="yes",'Equipment List &amp; Usage'!$C$114,'Equipment List &amp; Usage'!$C$115)*(('Weekly Summary'!AQ$66*'Equipment List &amp; Usage'!$Q30)+('Weekly Summary'!AQ$64*'Equipment List &amp; Usage'!$O30)+('Weekly Summary'!AQ$65*'Equipment List &amp; Usage'!$P30))+(IF('Equipment List &amp; Usage'!$F30="Yes",'Equipment List &amp; Usage'!$C$114*((('Weekly Summary'!AQ$131*SelfQuarantine_Mild)+('Weekly Summary'!AQ$100*SelfQuarantine_Mild)+('Weekly Summary'!AQ$101*SelfQuarantine_Moderate))),'Equipment List &amp; Usage'!$C$115)*((('Weekly Summary'!AQ$131*SelfQuarantine_Mild*'Equipment List &amp; Usage'!$W30)+('Weekly Summary'!AQ$100*SelfQuarantine_Mild*'Equipment List &amp; Usage'!$X30)+('Weekly Summary'!AQ$101*SelfQuarantine_Moderate*'Equipment List &amp; Usage'!$X30))))+IF('Equipment List &amp; Usage'!$F30="Yes",'Equipment List &amp; Usage'!$C$114*(IF('Equipment List &amp; Usage'!$AA30&gt;0,'Weekly Summary'!AQ$128,0)+IF('Equipment List &amp; Usage'!$AB30&gt;0,'Weekly Summary'!AQ$100+'Weekly Summary'!AQ$101,0)),'Equipment List &amp; Usage'!$C$115*(('Weekly Summary'!AQ$128*'Equipment List &amp; Usage'!$AA30)+('Weekly Summary'!AQ$100*'Equipment List &amp; Usage'!$AB30*SelfQuarantine_Mild)+('Weekly Summary'!AQ$101*'Equipment List &amp; Usage'!$AB30*SelfQuarantine_Moderate)))+IF('Equipment List &amp; Usage'!$F30="Yes",('Equipment List &amp; Usage'!$C$114*(IF('Equipment List &amp; Usage'!$AE30&gt;0,'Weekly Summary'!AQ$134,0)+IF('Equipment List &amp; Usage'!$AF30&gt;0,'Weekly Summary'!AQ$135))),'Equipment List &amp; Usage'!$C$115*(('Weekly Summary'!AQ$134*'Equipment List &amp; Usage'!$AE30)+('Weekly Summary'!AQ$135*'Equipment List &amp; Usage'!$AF30)))),0)</f>
        <v>0</v>
      </c>
      <c r="AX28" s="1374">
        <f ca="1">MAX(IF($F28="Yes",(
IF($F28="yes",MMULT(--('Equipment List &amp; Usage'!$J30:$N30&gt;0),--('Weekly Summary'!AR$112:AR$116))*'Equipment List &amp; Usage'!$C$114,MMULT(--('Equipment List &amp; Usage'!$J30:$N30),--('Weekly Summary'!AR$112:AR$116))*'Equipment List &amp; Usage'!$C$115)+IF('Equipment List &amp; Usage'!$F29="yes",'Equipment List &amp; Usage'!$C$114,'Equipment List &amp; Usage'!$C$115)*(('Weekly Summary'!AR$66*'Equipment List &amp; Usage'!$Q30)+('Weekly Summary'!AR$64*'Equipment List &amp; Usage'!$O30)+('Weekly Summary'!AR$65*'Equipment List &amp; Usage'!$P30)))+(IF('Equipment List &amp; Usage'!$F30="Yes",'Equipment List &amp; Usage'!$C$114*((('Weekly Summary'!AR$131*SelfQuarantine_Mild)+('Weekly Summary'!AR$100*SelfQuarantine_Mild)+('Weekly Summary'!AR$101*SelfQuarantine_Moderate))),'Equipment List &amp; Usage'!$C$115)*((('Weekly Summary'!AR$131*SelfQuarantine_Mild*'Equipment List &amp; Usage'!$W30)+('Weekly Summary'!AR$100*SelfQuarantine_Mild*'Equipment List &amp; Usage'!$X30)+('Weekly Summary'!AR$101*SelfQuarantine_Moderate*'Equipment List &amp; Usage'!$X30)))+IF('Equipment List &amp; Usage'!$F30="Yes",'Equipment List &amp; Usage'!$C$114*(IF('Equipment List &amp; Usage'!$AA30&gt;0,'Weekly Summary'!AR$128,0)+IF('Equipment List &amp; Usage'!$AB30&gt;0,'Weekly Summary'!AR$100+'Weekly Summary'!AR$101,0)),'Equipment List &amp; Usage'!$C$115*(('Weekly Summary'!AR$128*'Equipment List &amp; Usage'!$AA30)+('Weekly Summary'!AR$100*'Equipment List &amp; Usage'!$AB30*SelfQuarantine_Mild)+('Weekly Summary'!AR$101*'Equipment List &amp; Usage'!$AB30*SelfQuarantine_Moderate)))+IF('Equipment List &amp; Usage'!$F30="Yes",('Equipment List &amp; Usage'!$C$114*(IF('Equipment List &amp; Usage'!$AE30&gt;0,'Weekly Summary'!AR$134,0)+IF('Equipment List &amp; Usage'!$AF30&gt;0,'Weekly Summary'!AR$135))),'Equipment List &amp; Usage'!$C$115*(('Weekly Summary'!AR$134*'Equipment List &amp; Usage'!$AE30)+('Weekly Summary'!AR$135*'Equipment List &amp; Usage'!$AF30))))-SUM($I28:AW28),
IF($F28="yes",MMULT(--('Equipment List &amp; Usage'!$J30:$N30&gt;0),--('Weekly Summary'!AR$112:AR$116))*'Equipment List &amp; Usage'!$C$114,MMULT(--('Equipment List &amp; Usage'!$J30:$N30),--('Weekly Summary'!AR$112:AR$116))*'Equipment List &amp; Usage'!$C$115)+IF('Equipment List &amp; Usage'!$F29="yes",'Equipment List &amp; Usage'!$C$114,'Equipment List &amp; Usage'!$C$115)*(('Weekly Summary'!AR$66*'Equipment List &amp; Usage'!$Q30)+('Weekly Summary'!AR$64*'Equipment List &amp; Usage'!$O30)+('Weekly Summary'!AR$65*'Equipment List &amp; Usage'!$P30))+(IF('Equipment List &amp; Usage'!$F30="Yes",'Equipment List &amp; Usage'!$C$114*((('Weekly Summary'!AR$131*SelfQuarantine_Mild)+('Weekly Summary'!AR$100*SelfQuarantine_Mild)+('Weekly Summary'!AR$101*SelfQuarantine_Moderate))),'Equipment List &amp; Usage'!$C$115)*((('Weekly Summary'!AR$131*SelfQuarantine_Mild*'Equipment List &amp; Usage'!$W30)+('Weekly Summary'!AR$100*SelfQuarantine_Mild*'Equipment List &amp; Usage'!$X30)+('Weekly Summary'!AR$101*SelfQuarantine_Moderate*'Equipment List &amp; Usage'!$X30))))+IF('Equipment List &amp; Usage'!$F30="Yes",'Equipment List &amp; Usage'!$C$114*(IF('Equipment List &amp; Usage'!$AA30&gt;0,'Weekly Summary'!AR$128,0)+IF('Equipment List &amp; Usage'!$AB30&gt;0,'Weekly Summary'!AR$100+'Weekly Summary'!AR$101,0)),'Equipment List &amp; Usage'!$C$115*(('Weekly Summary'!AR$128*'Equipment List &amp; Usage'!$AA30)+('Weekly Summary'!AR$100*'Equipment List &amp; Usage'!$AB30*SelfQuarantine_Mild)+('Weekly Summary'!AR$101*'Equipment List &amp; Usage'!$AB30*SelfQuarantine_Moderate)))+IF('Equipment List &amp; Usage'!$F30="Yes",('Equipment List &amp; Usage'!$C$114*(IF('Equipment List &amp; Usage'!$AE30&gt;0,'Weekly Summary'!AR$134,0)+IF('Equipment List &amp; Usage'!$AF30&gt;0,'Weekly Summary'!AR$135))),'Equipment List &amp; Usage'!$C$115*(('Weekly Summary'!AR$134*'Equipment List &amp; Usage'!$AE30)+('Weekly Summary'!AR$135*'Equipment List &amp; Usage'!$AF30)))),0)</f>
        <v>0</v>
      </c>
      <c r="AY28" s="1374">
        <f ca="1">MAX(IF($F28="Yes",(
IF($F28="yes",MMULT(--('Equipment List &amp; Usage'!$J30:$N30&gt;0),--('Weekly Summary'!AS$112:AS$116))*'Equipment List &amp; Usage'!$C$114,MMULT(--('Equipment List &amp; Usage'!$J30:$N30),--('Weekly Summary'!AS$112:AS$116))*'Equipment List &amp; Usage'!$C$115)+IF('Equipment List &amp; Usage'!$F29="yes",'Equipment List &amp; Usage'!$C$114,'Equipment List &amp; Usage'!$C$115)*(('Weekly Summary'!AS$66*'Equipment List &amp; Usage'!$Q30)+('Weekly Summary'!AS$64*'Equipment List &amp; Usage'!$O30)+('Weekly Summary'!AS$65*'Equipment List &amp; Usage'!$P30)))+(IF('Equipment List &amp; Usage'!$F30="Yes",'Equipment List &amp; Usage'!$C$114*((('Weekly Summary'!AS$131*SelfQuarantine_Mild)+('Weekly Summary'!AS$100*SelfQuarantine_Mild)+('Weekly Summary'!AS$101*SelfQuarantine_Moderate))),'Equipment List &amp; Usage'!$C$115)*((('Weekly Summary'!AS$131*SelfQuarantine_Mild*'Equipment List &amp; Usage'!$W30)+('Weekly Summary'!AS$100*SelfQuarantine_Mild*'Equipment List &amp; Usage'!$X30)+('Weekly Summary'!AS$101*SelfQuarantine_Moderate*'Equipment List &amp; Usage'!$X30)))+IF('Equipment List &amp; Usage'!$F30="Yes",'Equipment List &amp; Usage'!$C$114*(IF('Equipment List &amp; Usage'!$AA30&gt;0,'Weekly Summary'!AS$128,0)+IF('Equipment List &amp; Usage'!$AB30&gt;0,'Weekly Summary'!AS$100+'Weekly Summary'!AS$101,0)),'Equipment List &amp; Usage'!$C$115*(('Weekly Summary'!AS$128*'Equipment List &amp; Usage'!$AA30)+('Weekly Summary'!AS$100*'Equipment List &amp; Usage'!$AB30*SelfQuarantine_Mild)+('Weekly Summary'!AS$101*'Equipment List &amp; Usage'!$AB30*SelfQuarantine_Moderate)))+IF('Equipment List &amp; Usage'!$F30="Yes",('Equipment List &amp; Usage'!$C$114*(IF('Equipment List &amp; Usage'!$AE30&gt;0,'Weekly Summary'!AS$134,0)+IF('Equipment List &amp; Usage'!$AF30&gt;0,'Weekly Summary'!AS$135))),'Equipment List &amp; Usage'!$C$115*(('Weekly Summary'!AS$134*'Equipment List &amp; Usage'!$AE30)+('Weekly Summary'!AS$135*'Equipment List &amp; Usage'!$AF30))))-SUM($I28:AX28),
IF($F28="yes",MMULT(--('Equipment List &amp; Usage'!$J30:$N30&gt;0),--('Weekly Summary'!AS$112:AS$116))*'Equipment List &amp; Usage'!$C$114,MMULT(--('Equipment List &amp; Usage'!$J30:$N30),--('Weekly Summary'!AS$112:AS$116))*'Equipment List &amp; Usage'!$C$115)+IF('Equipment List &amp; Usage'!$F29="yes",'Equipment List &amp; Usage'!$C$114,'Equipment List &amp; Usage'!$C$115)*(('Weekly Summary'!AS$66*'Equipment List &amp; Usage'!$Q30)+('Weekly Summary'!AS$64*'Equipment List &amp; Usage'!$O30)+('Weekly Summary'!AS$65*'Equipment List &amp; Usage'!$P30))+(IF('Equipment List &amp; Usage'!$F30="Yes",'Equipment List &amp; Usage'!$C$114*((('Weekly Summary'!AS$131*SelfQuarantine_Mild)+('Weekly Summary'!AS$100*SelfQuarantine_Mild)+('Weekly Summary'!AS$101*SelfQuarantine_Moderate))),'Equipment List &amp; Usage'!$C$115)*((('Weekly Summary'!AS$131*SelfQuarantine_Mild*'Equipment List &amp; Usage'!$W30)+('Weekly Summary'!AS$100*SelfQuarantine_Mild*'Equipment List &amp; Usage'!$X30)+('Weekly Summary'!AS$101*SelfQuarantine_Moderate*'Equipment List &amp; Usage'!$X30))))+IF('Equipment List &amp; Usage'!$F30="Yes",'Equipment List &amp; Usage'!$C$114*(IF('Equipment List &amp; Usage'!$AA30&gt;0,'Weekly Summary'!AS$128,0)+IF('Equipment List &amp; Usage'!$AB30&gt;0,'Weekly Summary'!AS$100+'Weekly Summary'!AS$101,0)),'Equipment List &amp; Usage'!$C$115*(('Weekly Summary'!AS$128*'Equipment List &amp; Usage'!$AA30)+('Weekly Summary'!AS$100*'Equipment List &amp; Usage'!$AB30*SelfQuarantine_Mild)+('Weekly Summary'!AS$101*'Equipment List &amp; Usage'!$AB30*SelfQuarantine_Moderate)))+IF('Equipment List &amp; Usage'!$F30="Yes",('Equipment List &amp; Usage'!$C$114*(IF('Equipment List &amp; Usage'!$AE30&gt;0,'Weekly Summary'!AS$134,0)+IF('Equipment List &amp; Usage'!$AF30&gt;0,'Weekly Summary'!AS$135))),'Equipment List &amp; Usage'!$C$115*(('Weekly Summary'!AS$134*'Equipment List &amp; Usage'!$AE30)+('Weekly Summary'!AS$135*'Equipment List &amp; Usage'!$AF30)))),0)</f>
        <v>0</v>
      </c>
      <c r="AZ28" s="1374">
        <f ca="1">MAX(IF($F28="Yes",(
IF($F28="yes",MMULT(--('Equipment List &amp; Usage'!$J30:$N30&gt;0),--('Weekly Summary'!AT$112:AT$116))*'Equipment List &amp; Usage'!$C$114,MMULT(--('Equipment List &amp; Usage'!$J30:$N30),--('Weekly Summary'!AT$112:AT$116))*'Equipment List &amp; Usage'!$C$115)+IF('Equipment List &amp; Usage'!$F29="yes",'Equipment List &amp; Usage'!$C$114,'Equipment List &amp; Usage'!$C$115)*(('Weekly Summary'!AT$66*'Equipment List &amp; Usage'!$Q30)+('Weekly Summary'!AT$64*'Equipment List &amp; Usage'!$O30)+('Weekly Summary'!AT$65*'Equipment List &amp; Usage'!$P30)))+(IF('Equipment List &amp; Usage'!$F30="Yes",'Equipment List &amp; Usage'!$C$114*((('Weekly Summary'!AT$131*SelfQuarantine_Mild)+('Weekly Summary'!AT$100*SelfQuarantine_Mild)+('Weekly Summary'!AT$101*SelfQuarantine_Moderate))),'Equipment List &amp; Usage'!$C$115)*((('Weekly Summary'!AT$131*SelfQuarantine_Mild*'Equipment List &amp; Usage'!$W30)+('Weekly Summary'!AT$100*SelfQuarantine_Mild*'Equipment List &amp; Usage'!$X30)+('Weekly Summary'!AT$101*SelfQuarantine_Moderate*'Equipment List &amp; Usage'!$X30)))+IF('Equipment List &amp; Usage'!$F30="Yes",'Equipment List &amp; Usage'!$C$114*(IF('Equipment List &amp; Usage'!$AA30&gt;0,'Weekly Summary'!AT$128,0)+IF('Equipment List &amp; Usage'!$AB30&gt;0,'Weekly Summary'!AT$100+'Weekly Summary'!AT$101,0)),'Equipment List &amp; Usage'!$C$115*(('Weekly Summary'!AT$128*'Equipment List &amp; Usage'!$AA30)+('Weekly Summary'!AT$100*'Equipment List &amp; Usage'!$AB30*SelfQuarantine_Mild)+('Weekly Summary'!AT$101*'Equipment List &amp; Usage'!$AB30*SelfQuarantine_Moderate)))+IF('Equipment List &amp; Usage'!$F30="Yes",('Equipment List &amp; Usage'!$C$114*(IF('Equipment List &amp; Usage'!$AE30&gt;0,'Weekly Summary'!AT$134,0)+IF('Equipment List &amp; Usage'!$AF30&gt;0,'Weekly Summary'!AT$135))),'Equipment List &amp; Usage'!$C$115*(('Weekly Summary'!AT$134*'Equipment List &amp; Usage'!$AE30)+('Weekly Summary'!AT$135*'Equipment List &amp; Usage'!$AF30))))-SUM($I28:AY28),
IF($F28="yes",MMULT(--('Equipment List &amp; Usage'!$J30:$N30&gt;0),--('Weekly Summary'!AT$112:AT$116))*'Equipment List &amp; Usage'!$C$114,MMULT(--('Equipment List &amp; Usage'!$J30:$N30),--('Weekly Summary'!AT$112:AT$116))*'Equipment List &amp; Usage'!$C$115)+IF('Equipment List &amp; Usage'!$F29="yes",'Equipment List &amp; Usage'!$C$114,'Equipment List &amp; Usage'!$C$115)*(('Weekly Summary'!AT$66*'Equipment List &amp; Usage'!$Q30)+('Weekly Summary'!AT$64*'Equipment List &amp; Usage'!$O30)+('Weekly Summary'!AT$65*'Equipment List &amp; Usage'!$P30))+(IF('Equipment List &amp; Usage'!$F30="Yes",'Equipment List &amp; Usage'!$C$114*((('Weekly Summary'!AT$131*SelfQuarantine_Mild)+('Weekly Summary'!AT$100*SelfQuarantine_Mild)+('Weekly Summary'!AT$101*SelfQuarantine_Moderate))),'Equipment List &amp; Usage'!$C$115)*((('Weekly Summary'!AT$131*SelfQuarantine_Mild*'Equipment List &amp; Usage'!$W30)+('Weekly Summary'!AT$100*SelfQuarantine_Mild*'Equipment List &amp; Usage'!$X30)+('Weekly Summary'!AT$101*SelfQuarantine_Moderate*'Equipment List &amp; Usage'!$X30))))+IF('Equipment List &amp; Usage'!$F30="Yes",'Equipment List &amp; Usage'!$C$114*(IF('Equipment List &amp; Usage'!$AA30&gt;0,'Weekly Summary'!AT$128,0)+IF('Equipment List &amp; Usage'!$AB30&gt;0,'Weekly Summary'!AT$100+'Weekly Summary'!AT$101,0)),'Equipment List &amp; Usage'!$C$115*(('Weekly Summary'!AT$128*'Equipment List &amp; Usage'!$AA30)+('Weekly Summary'!AT$100*'Equipment List &amp; Usage'!$AB30*SelfQuarantine_Mild)+('Weekly Summary'!AT$101*'Equipment List &amp; Usage'!$AB30*SelfQuarantine_Moderate)))+IF('Equipment List &amp; Usage'!$F30="Yes",('Equipment List &amp; Usage'!$C$114*(IF('Equipment List &amp; Usage'!$AE30&gt;0,'Weekly Summary'!AT$134,0)+IF('Equipment List &amp; Usage'!$AF30&gt;0,'Weekly Summary'!AT$135))),'Equipment List &amp; Usage'!$C$115*(('Weekly Summary'!AT$134*'Equipment List &amp; Usage'!$AE30)+('Weekly Summary'!AT$135*'Equipment List &amp; Usage'!$AF30)))),0)</f>
        <v>0</v>
      </c>
      <c r="BA28" s="1374">
        <f ca="1">MAX(IF($F28="Yes",(
IF($F28="yes",MMULT(--('Equipment List &amp; Usage'!$J30:$N30&gt;0),--('Weekly Summary'!AU$112:AU$116))*'Equipment List &amp; Usage'!$C$114,MMULT(--('Equipment List &amp; Usage'!$J30:$N30),--('Weekly Summary'!AU$112:AU$116))*'Equipment List &amp; Usage'!$C$115)+IF('Equipment List &amp; Usage'!$F29="yes",'Equipment List &amp; Usage'!$C$114,'Equipment List &amp; Usage'!$C$115)*(('Weekly Summary'!AU$66*'Equipment List &amp; Usage'!$Q30)+('Weekly Summary'!AU$64*'Equipment List &amp; Usage'!$O30)+('Weekly Summary'!AU$65*'Equipment List &amp; Usage'!$P30)))+(IF('Equipment List &amp; Usage'!$F30="Yes",'Equipment List &amp; Usage'!$C$114*((('Weekly Summary'!AU$131*SelfQuarantine_Mild)+('Weekly Summary'!AU$100*SelfQuarantine_Mild)+('Weekly Summary'!AU$101*SelfQuarantine_Moderate))),'Equipment List &amp; Usage'!$C$115)*((('Weekly Summary'!AU$131*SelfQuarantine_Mild*'Equipment List &amp; Usage'!$W30)+('Weekly Summary'!AU$100*SelfQuarantine_Mild*'Equipment List &amp; Usage'!$X30)+('Weekly Summary'!AU$101*SelfQuarantine_Moderate*'Equipment List &amp; Usage'!$X30)))+IF('Equipment List &amp; Usage'!$F30="Yes",'Equipment List &amp; Usage'!$C$114*(IF('Equipment List &amp; Usage'!$AA30&gt;0,'Weekly Summary'!AU$128,0)+IF('Equipment List &amp; Usage'!$AB30&gt;0,'Weekly Summary'!AU$100+'Weekly Summary'!AU$101,0)),'Equipment List &amp; Usage'!$C$115*(('Weekly Summary'!AU$128*'Equipment List &amp; Usage'!$AA30)+('Weekly Summary'!AU$100*'Equipment List &amp; Usage'!$AB30*SelfQuarantine_Mild)+('Weekly Summary'!AU$101*'Equipment List &amp; Usage'!$AB30*SelfQuarantine_Moderate)))+IF('Equipment List &amp; Usage'!$F30="Yes",('Equipment List &amp; Usage'!$C$114*(IF('Equipment List &amp; Usage'!$AE30&gt;0,'Weekly Summary'!AU$134,0)+IF('Equipment List &amp; Usage'!$AF30&gt;0,'Weekly Summary'!AU$135))),'Equipment List &amp; Usage'!$C$115*(('Weekly Summary'!AU$134*'Equipment List &amp; Usage'!$AE30)+('Weekly Summary'!AU$135*'Equipment List &amp; Usage'!$AF30))))-SUM($I28:AZ28),
IF($F28="yes",MMULT(--('Equipment List &amp; Usage'!$J30:$N30&gt;0),--('Weekly Summary'!AU$112:AU$116))*'Equipment List &amp; Usage'!$C$114,MMULT(--('Equipment List &amp; Usage'!$J30:$N30),--('Weekly Summary'!AU$112:AU$116))*'Equipment List &amp; Usage'!$C$115)+IF('Equipment List &amp; Usage'!$F29="yes",'Equipment List &amp; Usage'!$C$114,'Equipment List &amp; Usage'!$C$115)*(('Weekly Summary'!AU$66*'Equipment List &amp; Usage'!$Q30)+('Weekly Summary'!AU$64*'Equipment List &amp; Usage'!$O30)+('Weekly Summary'!AU$65*'Equipment List &amp; Usage'!$P30))+(IF('Equipment List &amp; Usage'!$F30="Yes",'Equipment List &amp; Usage'!$C$114*((('Weekly Summary'!AU$131*SelfQuarantine_Mild)+('Weekly Summary'!AU$100*SelfQuarantine_Mild)+('Weekly Summary'!AU$101*SelfQuarantine_Moderate))),'Equipment List &amp; Usage'!$C$115)*((('Weekly Summary'!AU$131*SelfQuarantine_Mild*'Equipment List &amp; Usage'!$W30)+('Weekly Summary'!AU$100*SelfQuarantine_Mild*'Equipment List &amp; Usage'!$X30)+('Weekly Summary'!AU$101*SelfQuarantine_Moderate*'Equipment List &amp; Usage'!$X30))))+IF('Equipment List &amp; Usage'!$F30="Yes",'Equipment List &amp; Usage'!$C$114*(IF('Equipment List &amp; Usage'!$AA30&gt;0,'Weekly Summary'!AU$128,0)+IF('Equipment List &amp; Usage'!$AB30&gt;0,'Weekly Summary'!AU$100+'Weekly Summary'!AU$101,0)),'Equipment List &amp; Usage'!$C$115*(('Weekly Summary'!AU$128*'Equipment List &amp; Usage'!$AA30)+('Weekly Summary'!AU$100*'Equipment List &amp; Usage'!$AB30*SelfQuarantine_Mild)+('Weekly Summary'!AU$101*'Equipment List &amp; Usage'!$AB30*SelfQuarantine_Moderate)))+IF('Equipment List &amp; Usage'!$F30="Yes",('Equipment List &amp; Usage'!$C$114*(IF('Equipment List &amp; Usage'!$AE30&gt;0,'Weekly Summary'!AU$134,0)+IF('Equipment List &amp; Usage'!$AF30&gt;0,'Weekly Summary'!AU$135))),'Equipment List &amp; Usage'!$C$115*(('Weekly Summary'!AU$134*'Equipment List &amp; Usage'!$AE30)+('Weekly Summary'!AU$135*'Equipment List &amp; Usage'!$AF30)))),0)</f>
        <v>0</v>
      </c>
      <c r="BB28" s="1374">
        <f ca="1">MAX(IF($F28="Yes",(
IF($F28="yes",MMULT(--('Equipment List &amp; Usage'!$J30:$N30&gt;0),--('Weekly Summary'!AV$112:AV$116))*'Equipment List &amp; Usage'!$C$114,MMULT(--('Equipment List &amp; Usage'!$J30:$N30),--('Weekly Summary'!AV$112:AV$116))*'Equipment List &amp; Usage'!$C$115)+IF('Equipment List &amp; Usage'!$F29="yes",'Equipment List &amp; Usage'!$C$114,'Equipment List &amp; Usage'!$C$115)*(('Weekly Summary'!AV$66*'Equipment List &amp; Usage'!$Q30)+('Weekly Summary'!AV$64*'Equipment List &amp; Usage'!$O30)+('Weekly Summary'!AV$65*'Equipment List &amp; Usage'!$P30)))+(IF('Equipment List &amp; Usage'!$F30="Yes",'Equipment List &amp; Usage'!$C$114*((('Weekly Summary'!AV$131*SelfQuarantine_Mild)+('Weekly Summary'!AV$100*SelfQuarantine_Mild)+('Weekly Summary'!AV$101*SelfQuarantine_Moderate))),'Equipment List &amp; Usage'!$C$115)*((('Weekly Summary'!AV$131*SelfQuarantine_Mild*'Equipment List &amp; Usage'!$W30)+('Weekly Summary'!AV$100*SelfQuarantine_Mild*'Equipment List &amp; Usage'!$X30)+('Weekly Summary'!AV$101*SelfQuarantine_Moderate*'Equipment List &amp; Usage'!$X30)))+IF('Equipment List &amp; Usage'!$F30="Yes",'Equipment List &amp; Usage'!$C$114*(IF('Equipment List &amp; Usage'!$AA30&gt;0,'Weekly Summary'!AV$128,0)+IF('Equipment List &amp; Usage'!$AB30&gt;0,'Weekly Summary'!AV$100+'Weekly Summary'!AV$101,0)),'Equipment List &amp; Usage'!$C$115*(('Weekly Summary'!AV$128*'Equipment List &amp; Usage'!$AA30)+('Weekly Summary'!AV$100*'Equipment List &amp; Usage'!$AB30*SelfQuarantine_Mild)+('Weekly Summary'!AV$101*'Equipment List &amp; Usage'!$AB30*SelfQuarantine_Moderate)))+IF('Equipment List &amp; Usage'!$F30="Yes",('Equipment List &amp; Usage'!$C$114*(IF('Equipment List &amp; Usage'!$AE30&gt;0,'Weekly Summary'!AV$134,0)+IF('Equipment List &amp; Usage'!$AF30&gt;0,'Weekly Summary'!AV$135))),'Equipment List &amp; Usage'!$C$115*(('Weekly Summary'!AV$134*'Equipment List &amp; Usage'!$AE30)+('Weekly Summary'!AV$135*'Equipment List &amp; Usage'!$AF30))))-SUM($I28:BA28),
IF($F28="yes",MMULT(--('Equipment List &amp; Usage'!$J30:$N30&gt;0),--('Weekly Summary'!AV$112:AV$116))*'Equipment List &amp; Usage'!$C$114,MMULT(--('Equipment List &amp; Usage'!$J30:$N30),--('Weekly Summary'!AV$112:AV$116))*'Equipment List &amp; Usage'!$C$115)+IF('Equipment List &amp; Usage'!$F29="yes",'Equipment List &amp; Usage'!$C$114,'Equipment List &amp; Usage'!$C$115)*(('Weekly Summary'!AV$66*'Equipment List &amp; Usage'!$Q30)+('Weekly Summary'!AV$64*'Equipment List &amp; Usage'!$O30)+('Weekly Summary'!AV$65*'Equipment List &amp; Usage'!$P30))+(IF('Equipment List &amp; Usage'!$F30="Yes",'Equipment List &amp; Usage'!$C$114*((('Weekly Summary'!AV$131*SelfQuarantine_Mild)+('Weekly Summary'!AV$100*SelfQuarantine_Mild)+('Weekly Summary'!AV$101*SelfQuarantine_Moderate))),'Equipment List &amp; Usage'!$C$115)*((('Weekly Summary'!AV$131*SelfQuarantine_Mild*'Equipment List &amp; Usage'!$W30)+('Weekly Summary'!AV$100*SelfQuarantine_Mild*'Equipment List &amp; Usage'!$X30)+('Weekly Summary'!AV$101*SelfQuarantine_Moderate*'Equipment List &amp; Usage'!$X30))))+IF('Equipment List &amp; Usage'!$F30="Yes",'Equipment List &amp; Usage'!$C$114*(IF('Equipment List &amp; Usage'!$AA30&gt;0,'Weekly Summary'!AV$128,0)+IF('Equipment List &amp; Usage'!$AB30&gt;0,'Weekly Summary'!AV$100+'Weekly Summary'!AV$101,0)),'Equipment List &amp; Usage'!$C$115*(('Weekly Summary'!AV$128*'Equipment List &amp; Usage'!$AA30)+('Weekly Summary'!AV$100*'Equipment List &amp; Usage'!$AB30*SelfQuarantine_Mild)+('Weekly Summary'!AV$101*'Equipment List &amp; Usage'!$AB30*SelfQuarantine_Moderate)))+IF('Equipment List &amp; Usage'!$F30="Yes",('Equipment List &amp; Usage'!$C$114*(IF('Equipment List &amp; Usage'!$AE30&gt;0,'Weekly Summary'!AV$134,0)+IF('Equipment List &amp; Usage'!$AF30&gt;0,'Weekly Summary'!AV$135))),'Equipment List &amp; Usage'!$C$115*(('Weekly Summary'!AV$134*'Equipment List &amp; Usage'!$AE30)+('Weekly Summary'!AV$135*'Equipment List &amp; Usage'!$AF30)))),0)</f>
        <v>0</v>
      </c>
      <c r="BC28" s="1374">
        <f ca="1">MAX(IF($F28="Yes",(
IF($F28="yes",MMULT(--('Equipment List &amp; Usage'!$J30:$N30&gt;0),--('Weekly Summary'!AW$112:AW$116))*'Equipment List &amp; Usage'!$C$114,MMULT(--('Equipment List &amp; Usage'!$J30:$N30),--('Weekly Summary'!AW$112:AW$116))*'Equipment List &amp; Usage'!$C$115)+IF('Equipment List &amp; Usage'!$F29="yes",'Equipment List &amp; Usage'!$C$114,'Equipment List &amp; Usage'!$C$115)*(('Weekly Summary'!AW$66*'Equipment List &amp; Usage'!$Q30)+('Weekly Summary'!AW$64*'Equipment List &amp; Usage'!$O30)+('Weekly Summary'!AW$65*'Equipment List &amp; Usage'!$P30)))+(IF('Equipment List &amp; Usage'!$F30="Yes",'Equipment List &amp; Usage'!$C$114*((('Weekly Summary'!AW$131*SelfQuarantine_Mild)+('Weekly Summary'!AW$100*SelfQuarantine_Mild)+('Weekly Summary'!AW$101*SelfQuarantine_Moderate))),'Equipment List &amp; Usage'!$C$115)*((('Weekly Summary'!AW$131*SelfQuarantine_Mild*'Equipment List &amp; Usage'!$W30)+('Weekly Summary'!AW$100*SelfQuarantine_Mild*'Equipment List &amp; Usage'!$X30)+('Weekly Summary'!AW$101*SelfQuarantine_Moderate*'Equipment List &amp; Usage'!$X30)))+IF('Equipment List &amp; Usage'!$F30="Yes",'Equipment List &amp; Usage'!$C$114*(IF('Equipment List &amp; Usage'!$AA30&gt;0,'Weekly Summary'!AW$128,0)+IF('Equipment List &amp; Usage'!$AB30&gt;0,'Weekly Summary'!AW$100+'Weekly Summary'!AW$101,0)),'Equipment List &amp; Usage'!$C$115*(('Weekly Summary'!AW$128*'Equipment List &amp; Usage'!$AA30)+('Weekly Summary'!AW$100*'Equipment List &amp; Usage'!$AB30*SelfQuarantine_Mild)+('Weekly Summary'!AW$101*'Equipment List &amp; Usage'!$AB30*SelfQuarantine_Moderate)))+IF('Equipment List &amp; Usage'!$F30="Yes",('Equipment List &amp; Usage'!$C$114*(IF('Equipment List &amp; Usage'!$AE30&gt;0,'Weekly Summary'!AW$134,0)+IF('Equipment List &amp; Usage'!$AF30&gt;0,'Weekly Summary'!AW$135))),'Equipment List &amp; Usage'!$C$115*(('Weekly Summary'!AW$134*'Equipment List &amp; Usage'!$AE30)+('Weekly Summary'!AW$135*'Equipment List &amp; Usage'!$AF30))))-SUM($I28:BB28),
IF($F28="yes",MMULT(--('Equipment List &amp; Usage'!$J30:$N30&gt;0),--('Weekly Summary'!AW$112:AW$116))*'Equipment List &amp; Usage'!$C$114,MMULT(--('Equipment List &amp; Usage'!$J30:$N30),--('Weekly Summary'!AW$112:AW$116))*'Equipment List &amp; Usage'!$C$115)+IF('Equipment List &amp; Usage'!$F29="yes",'Equipment List &amp; Usage'!$C$114,'Equipment List &amp; Usage'!$C$115)*(('Weekly Summary'!AW$66*'Equipment List &amp; Usage'!$Q30)+('Weekly Summary'!AW$64*'Equipment List &amp; Usage'!$O30)+('Weekly Summary'!AW$65*'Equipment List &amp; Usage'!$P30))+(IF('Equipment List &amp; Usage'!$F30="Yes",'Equipment List &amp; Usage'!$C$114*((('Weekly Summary'!AW$131*SelfQuarantine_Mild)+('Weekly Summary'!AW$100*SelfQuarantine_Mild)+('Weekly Summary'!AW$101*SelfQuarantine_Moderate))),'Equipment List &amp; Usage'!$C$115)*((('Weekly Summary'!AW$131*SelfQuarantine_Mild*'Equipment List &amp; Usage'!$W30)+('Weekly Summary'!AW$100*SelfQuarantine_Mild*'Equipment List &amp; Usage'!$X30)+('Weekly Summary'!AW$101*SelfQuarantine_Moderate*'Equipment List &amp; Usage'!$X30))))+IF('Equipment List &amp; Usage'!$F30="Yes",'Equipment List &amp; Usage'!$C$114*(IF('Equipment List &amp; Usage'!$AA30&gt;0,'Weekly Summary'!AW$128,0)+IF('Equipment List &amp; Usage'!$AB30&gt;0,'Weekly Summary'!AW$100+'Weekly Summary'!AW$101,0)),'Equipment List &amp; Usage'!$C$115*(('Weekly Summary'!AW$128*'Equipment List &amp; Usage'!$AA30)+('Weekly Summary'!AW$100*'Equipment List &amp; Usage'!$AB30*SelfQuarantine_Mild)+('Weekly Summary'!AW$101*'Equipment List &amp; Usage'!$AB30*SelfQuarantine_Moderate)))+IF('Equipment List &amp; Usage'!$F30="Yes",('Equipment List &amp; Usage'!$C$114*(IF('Equipment List &amp; Usage'!$AE30&gt;0,'Weekly Summary'!AW$134,0)+IF('Equipment List &amp; Usage'!$AF30&gt;0,'Weekly Summary'!AW$135))),'Equipment List &amp; Usage'!$C$115*(('Weekly Summary'!AW$134*'Equipment List &amp; Usage'!$AE30)+('Weekly Summary'!AW$135*'Equipment List &amp; Usage'!$AF30)))),0)</f>
        <v>0</v>
      </c>
      <c r="BD28" s="1374">
        <f ca="1">MAX(IF($F28="Yes",(
IF($F28="yes",MMULT(--('Equipment List &amp; Usage'!$J30:$N30&gt;0),--('Weekly Summary'!AX$112:AX$116))*'Equipment List &amp; Usage'!$C$114,MMULT(--('Equipment List &amp; Usage'!$J30:$N30),--('Weekly Summary'!AX$112:AX$116))*'Equipment List &amp; Usage'!$C$115)+IF('Equipment List &amp; Usage'!$F29="yes",'Equipment List &amp; Usage'!$C$114,'Equipment List &amp; Usage'!$C$115)*(('Weekly Summary'!AX$66*'Equipment List &amp; Usage'!$Q30)+('Weekly Summary'!AX$64*'Equipment List &amp; Usage'!$O30)+('Weekly Summary'!AX$65*'Equipment List &amp; Usage'!$P30)))+(IF('Equipment List &amp; Usage'!$F30="Yes",'Equipment List &amp; Usage'!$C$114*((('Weekly Summary'!AX$131*SelfQuarantine_Mild)+('Weekly Summary'!AX$100*SelfQuarantine_Mild)+('Weekly Summary'!AX$101*SelfQuarantine_Moderate))),'Equipment List &amp; Usage'!$C$115)*((('Weekly Summary'!AX$131*SelfQuarantine_Mild*'Equipment List &amp; Usage'!$W30)+('Weekly Summary'!AX$100*SelfQuarantine_Mild*'Equipment List &amp; Usage'!$X30)+('Weekly Summary'!AX$101*SelfQuarantine_Moderate*'Equipment List &amp; Usage'!$X30)))+IF('Equipment List &amp; Usage'!$F30="Yes",'Equipment List &amp; Usage'!$C$114*(IF('Equipment List &amp; Usage'!$AA30&gt;0,'Weekly Summary'!AX$128,0)+IF('Equipment List &amp; Usage'!$AB30&gt;0,'Weekly Summary'!AX$100+'Weekly Summary'!AX$101,0)),'Equipment List &amp; Usage'!$C$115*(('Weekly Summary'!AX$128*'Equipment List &amp; Usage'!$AA30)+('Weekly Summary'!AX$100*'Equipment List &amp; Usage'!$AB30*SelfQuarantine_Mild)+('Weekly Summary'!AX$101*'Equipment List &amp; Usage'!$AB30*SelfQuarantine_Moderate)))+IF('Equipment List &amp; Usage'!$F30="Yes",('Equipment List &amp; Usage'!$C$114*(IF('Equipment List &amp; Usage'!$AE30&gt;0,'Weekly Summary'!AX$134,0)+IF('Equipment List &amp; Usage'!$AF30&gt;0,'Weekly Summary'!AX$135))),'Equipment List &amp; Usage'!$C$115*(('Weekly Summary'!AX$134*'Equipment List &amp; Usage'!$AE30)+('Weekly Summary'!AX$135*'Equipment List &amp; Usage'!$AF30))))-SUM($I28:BC28),
IF($F28="yes",MMULT(--('Equipment List &amp; Usage'!$J30:$N30&gt;0),--('Weekly Summary'!AX$112:AX$116))*'Equipment List &amp; Usage'!$C$114,MMULT(--('Equipment List &amp; Usage'!$J30:$N30),--('Weekly Summary'!AX$112:AX$116))*'Equipment List &amp; Usage'!$C$115)+IF('Equipment List &amp; Usage'!$F29="yes",'Equipment List &amp; Usage'!$C$114,'Equipment List &amp; Usage'!$C$115)*(('Weekly Summary'!AX$66*'Equipment List &amp; Usage'!$Q30)+('Weekly Summary'!AX$64*'Equipment List &amp; Usage'!$O30)+('Weekly Summary'!AX$65*'Equipment List &amp; Usage'!$P30))+(IF('Equipment List &amp; Usage'!$F30="Yes",'Equipment List &amp; Usage'!$C$114*((('Weekly Summary'!AX$131*SelfQuarantine_Mild)+('Weekly Summary'!AX$100*SelfQuarantine_Mild)+('Weekly Summary'!AX$101*SelfQuarantine_Moderate))),'Equipment List &amp; Usage'!$C$115)*((('Weekly Summary'!AX$131*SelfQuarantine_Mild*'Equipment List &amp; Usage'!$W30)+('Weekly Summary'!AX$100*SelfQuarantine_Mild*'Equipment List &amp; Usage'!$X30)+('Weekly Summary'!AX$101*SelfQuarantine_Moderate*'Equipment List &amp; Usage'!$X30))))+IF('Equipment List &amp; Usage'!$F30="Yes",'Equipment List &amp; Usage'!$C$114*(IF('Equipment List &amp; Usage'!$AA30&gt;0,'Weekly Summary'!AX$128,0)+IF('Equipment List &amp; Usage'!$AB30&gt;0,'Weekly Summary'!AX$100+'Weekly Summary'!AX$101,0)),'Equipment List &amp; Usage'!$C$115*(('Weekly Summary'!AX$128*'Equipment List &amp; Usage'!$AA30)+('Weekly Summary'!AX$100*'Equipment List &amp; Usage'!$AB30*SelfQuarantine_Mild)+('Weekly Summary'!AX$101*'Equipment List &amp; Usage'!$AB30*SelfQuarantine_Moderate)))+IF('Equipment List &amp; Usage'!$F30="Yes",('Equipment List &amp; Usage'!$C$114*(IF('Equipment List &amp; Usage'!$AE30&gt;0,'Weekly Summary'!AX$134,0)+IF('Equipment List &amp; Usage'!$AF30&gt;0,'Weekly Summary'!AX$135))),'Equipment List &amp; Usage'!$C$115*(('Weekly Summary'!AX$134*'Equipment List &amp; Usage'!$AE30)+('Weekly Summary'!AX$135*'Equipment List &amp; Usage'!$AF30)))),0)</f>
        <v>0</v>
      </c>
      <c r="BE28" s="1374">
        <f ca="1">MAX(IF($F28="Yes",(
IF($F28="yes",MMULT(--('Equipment List &amp; Usage'!$J30:$N30&gt;0),--('Weekly Summary'!AY$112:AY$116))*'Equipment List &amp; Usage'!$C$114,MMULT(--('Equipment List &amp; Usage'!$J30:$N30),--('Weekly Summary'!AY$112:AY$116))*'Equipment List &amp; Usage'!$C$115)+IF('Equipment List &amp; Usage'!$F29="yes",'Equipment List &amp; Usage'!$C$114,'Equipment List &amp; Usage'!$C$115)*(('Weekly Summary'!AY$66*'Equipment List &amp; Usage'!$Q30)+('Weekly Summary'!AY$64*'Equipment List &amp; Usage'!$O30)+('Weekly Summary'!AY$65*'Equipment List &amp; Usage'!$P30)))+(IF('Equipment List &amp; Usage'!$F30="Yes",'Equipment List &amp; Usage'!$C$114*((('Weekly Summary'!AY$131*SelfQuarantine_Mild)+('Weekly Summary'!AY$100*SelfQuarantine_Mild)+('Weekly Summary'!AY$101*SelfQuarantine_Moderate))),'Equipment List &amp; Usage'!$C$115)*((('Weekly Summary'!AY$131*SelfQuarantine_Mild*'Equipment List &amp; Usage'!$W30)+('Weekly Summary'!AY$100*SelfQuarantine_Mild*'Equipment List &amp; Usage'!$X30)+('Weekly Summary'!AY$101*SelfQuarantine_Moderate*'Equipment List &amp; Usage'!$X30)))+IF('Equipment List &amp; Usage'!$F30="Yes",'Equipment List &amp; Usage'!$C$114*(IF('Equipment List &amp; Usage'!$AA30&gt;0,'Weekly Summary'!AY$128,0)+IF('Equipment List &amp; Usage'!$AB30&gt;0,'Weekly Summary'!AY$100+'Weekly Summary'!AY$101,0)),'Equipment List &amp; Usage'!$C$115*(('Weekly Summary'!AY$128*'Equipment List &amp; Usage'!$AA30)+('Weekly Summary'!AY$100*'Equipment List &amp; Usage'!$AB30*SelfQuarantine_Mild)+('Weekly Summary'!AY$101*'Equipment List &amp; Usage'!$AB30*SelfQuarantine_Moderate)))+IF('Equipment List &amp; Usage'!$F30="Yes",('Equipment List &amp; Usage'!$C$114*(IF('Equipment List &amp; Usage'!$AE30&gt;0,'Weekly Summary'!AY$134,0)+IF('Equipment List &amp; Usage'!$AF30&gt;0,'Weekly Summary'!AY$135))),'Equipment List &amp; Usage'!$C$115*(('Weekly Summary'!AY$134*'Equipment List &amp; Usage'!$AE30)+('Weekly Summary'!AY$135*'Equipment List &amp; Usage'!$AF30))))-SUM($I28:BD28),
IF($F28="yes",MMULT(--('Equipment List &amp; Usage'!$J30:$N30&gt;0),--('Weekly Summary'!AY$112:AY$116))*'Equipment List &amp; Usage'!$C$114,MMULT(--('Equipment List &amp; Usage'!$J30:$N30),--('Weekly Summary'!AY$112:AY$116))*'Equipment List &amp; Usage'!$C$115)+IF('Equipment List &amp; Usage'!$F29="yes",'Equipment List &amp; Usage'!$C$114,'Equipment List &amp; Usage'!$C$115)*(('Weekly Summary'!AY$66*'Equipment List &amp; Usage'!$Q30)+('Weekly Summary'!AY$64*'Equipment List &amp; Usage'!$O30)+('Weekly Summary'!AY$65*'Equipment List &amp; Usage'!$P30))+(IF('Equipment List &amp; Usage'!$F30="Yes",'Equipment List &amp; Usage'!$C$114*((('Weekly Summary'!AY$131*SelfQuarantine_Mild)+('Weekly Summary'!AY$100*SelfQuarantine_Mild)+('Weekly Summary'!AY$101*SelfQuarantine_Moderate))),'Equipment List &amp; Usage'!$C$115)*((('Weekly Summary'!AY$131*SelfQuarantine_Mild*'Equipment List &amp; Usage'!$W30)+('Weekly Summary'!AY$100*SelfQuarantine_Mild*'Equipment List &amp; Usage'!$X30)+('Weekly Summary'!AY$101*SelfQuarantine_Moderate*'Equipment List &amp; Usage'!$X30))))+IF('Equipment List &amp; Usage'!$F30="Yes",'Equipment List &amp; Usage'!$C$114*(IF('Equipment List &amp; Usage'!$AA30&gt;0,'Weekly Summary'!AY$128,0)+IF('Equipment List &amp; Usage'!$AB30&gt;0,'Weekly Summary'!AY$100+'Weekly Summary'!AY$101,0)),'Equipment List &amp; Usage'!$C$115*(('Weekly Summary'!AY$128*'Equipment List &amp; Usage'!$AA30)+('Weekly Summary'!AY$100*'Equipment List &amp; Usage'!$AB30*SelfQuarantine_Mild)+('Weekly Summary'!AY$101*'Equipment List &amp; Usage'!$AB30*SelfQuarantine_Moderate)))+IF('Equipment List &amp; Usage'!$F30="Yes",('Equipment List &amp; Usage'!$C$114*(IF('Equipment List &amp; Usage'!$AE30&gt;0,'Weekly Summary'!AY$134,0)+IF('Equipment List &amp; Usage'!$AF30&gt;0,'Weekly Summary'!AY$135))),'Equipment List &amp; Usage'!$C$115*(('Weekly Summary'!AY$134*'Equipment List &amp; Usage'!$AE30)+('Weekly Summary'!AY$135*'Equipment List &amp; Usage'!$AF30)))),0)</f>
        <v>0</v>
      </c>
      <c r="BF28" s="1374">
        <f ca="1">MAX(IF($F28="Yes",(
IF($F28="yes",MMULT(--('Equipment List &amp; Usage'!$J30:$N30&gt;0),--('Weekly Summary'!AZ$112:AZ$116))*'Equipment List &amp; Usage'!$C$114,MMULT(--('Equipment List &amp; Usage'!$J30:$N30),--('Weekly Summary'!AZ$112:AZ$116))*'Equipment List &amp; Usage'!$C$115)+IF('Equipment List &amp; Usage'!$F29="yes",'Equipment List &amp; Usage'!$C$114,'Equipment List &amp; Usage'!$C$115)*(('Weekly Summary'!AZ$66*'Equipment List &amp; Usage'!$Q30)+('Weekly Summary'!AZ$64*'Equipment List &amp; Usage'!$O30)+('Weekly Summary'!AZ$65*'Equipment List &amp; Usage'!$P30)))+(IF('Equipment List &amp; Usage'!$F30="Yes",'Equipment List &amp; Usage'!$C$114*((('Weekly Summary'!AZ$131*SelfQuarantine_Mild)+('Weekly Summary'!AZ$100*SelfQuarantine_Mild)+('Weekly Summary'!AZ$101*SelfQuarantine_Moderate))),'Equipment List &amp; Usage'!$C$115)*((('Weekly Summary'!AZ$131*SelfQuarantine_Mild*'Equipment List &amp; Usage'!$W30)+('Weekly Summary'!AZ$100*SelfQuarantine_Mild*'Equipment List &amp; Usage'!$X30)+('Weekly Summary'!AZ$101*SelfQuarantine_Moderate*'Equipment List &amp; Usage'!$X30)))+IF('Equipment List &amp; Usage'!$F30="Yes",'Equipment List &amp; Usage'!$C$114*(IF('Equipment List &amp; Usage'!$AA30&gt;0,'Weekly Summary'!AZ$128,0)+IF('Equipment List &amp; Usage'!$AB30&gt;0,'Weekly Summary'!AZ$100+'Weekly Summary'!AZ$101,0)),'Equipment List &amp; Usage'!$C$115*(('Weekly Summary'!AZ$128*'Equipment List &amp; Usage'!$AA30)+('Weekly Summary'!AZ$100*'Equipment List &amp; Usage'!$AB30*SelfQuarantine_Mild)+('Weekly Summary'!AZ$101*'Equipment List &amp; Usage'!$AB30*SelfQuarantine_Moderate)))+IF('Equipment List &amp; Usage'!$F30="Yes",('Equipment List &amp; Usage'!$C$114*(IF('Equipment List &amp; Usage'!$AE30&gt;0,'Weekly Summary'!AZ$134,0)+IF('Equipment List &amp; Usage'!$AF30&gt;0,'Weekly Summary'!AZ$135))),'Equipment List &amp; Usage'!$C$115*(('Weekly Summary'!AZ$134*'Equipment List &amp; Usage'!$AE30)+('Weekly Summary'!AZ$135*'Equipment List &amp; Usage'!$AF30))))-SUM($I28:BE28),
IF($F28="yes",MMULT(--('Equipment List &amp; Usage'!$J30:$N30&gt;0),--('Weekly Summary'!AZ$112:AZ$116))*'Equipment List &amp; Usage'!$C$114,MMULT(--('Equipment List &amp; Usage'!$J30:$N30),--('Weekly Summary'!AZ$112:AZ$116))*'Equipment List &amp; Usage'!$C$115)+IF('Equipment List &amp; Usage'!$F29="yes",'Equipment List &amp; Usage'!$C$114,'Equipment List &amp; Usage'!$C$115)*(('Weekly Summary'!AZ$66*'Equipment List &amp; Usage'!$Q30)+('Weekly Summary'!AZ$64*'Equipment List &amp; Usage'!$O30)+('Weekly Summary'!AZ$65*'Equipment List &amp; Usage'!$P30))+(IF('Equipment List &amp; Usage'!$F30="Yes",'Equipment List &amp; Usage'!$C$114*((('Weekly Summary'!AZ$131*SelfQuarantine_Mild)+('Weekly Summary'!AZ$100*SelfQuarantine_Mild)+('Weekly Summary'!AZ$101*SelfQuarantine_Moderate))),'Equipment List &amp; Usage'!$C$115)*((('Weekly Summary'!AZ$131*SelfQuarantine_Mild*'Equipment List &amp; Usage'!$W30)+('Weekly Summary'!AZ$100*SelfQuarantine_Mild*'Equipment List &amp; Usage'!$X30)+('Weekly Summary'!AZ$101*SelfQuarantine_Moderate*'Equipment List &amp; Usage'!$X30))))+IF('Equipment List &amp; Usage'!$F30="Yes",'Equipment List &amp; Usage'!$C$114*(IF('Equipment List &amp; Usage'!$AA30&gt;0,'Weekly Summary'!AZ$128,0)+IF('Equipment List &amp; Usage'!$AB30&gt;0,'Weekly Summary'!AZ$100+'Weekly Summary'!AZ$101,0)),'Equipment List &amp; Usage'!$C$115*(('Weekly Summary'!AZ$128*'Equipment List &amp; Usage'!$AA30)+('Weekly Summary'!AZ$100*'Equipment List &amp; Usage'!$AB30*SelfQuarantine_Mild)+('Weekly Summary'!AZ$101*'Equipment List &amp; Usage'!$AB30*SelfQuarantine_Moderate)))+IF('Equipment List &amp; Usage'!$F30="Yes",('Equipment List &amp; Usage'!$C$114*(IF('Equipment List &amp; Usage'!$AE30&gt;0,'Weekly Summary'!AZ$134,0)+IF('Equipment List &amp; Usage'!$AF30&gt;0,'Weekly Summary'!AZ$135))),'Equipment List &amp; Usage'!$C$115*(('Weekly Summary'!AZ$134*'Equipment List &amp; Usage'!$AE30)+('Weekly Summary'!AZ$135*'Equipment List &amp; Usage'!$AF30)))),0)</f>
        <v>0</v>
      </c>
      <c r="BG28" s="1374">
        <f ca="1">MAX(IF($F28="Yes",(
IF($F28="yes",MMULT(--('Equipment List &amp; Usage'!$J30:$N30&gt;0),--('Weekly Summary'!BA$112:BA$116))*'Equipment List &amp; Usage'!$C$114,MMULT(--('Equipment List &amp; Usage'!$J30:$N30),--('Weekly Summary'!BA$112:BA$116))*'Equipment List &amp; Usage'!$C$115)+IF('Equipment List &amp; Usage'!$F29="yes",'Equipment List &amp; Usage'!$C$114,'Equipment List &amp; Usage'!$C$115)*(('Weekly Summary'!BA$66*'Equipment List &amp; Usage'!$Q30)+('Weekly Summary'!BA$64*'Equipment List &amp; Usage'!$O30)+('Weekly Summary'!BA$65*'Equipment List &amp; Usage'!$P30)))+(IF('Equipment List &amp; Usage'!$F30="Yes",'Equipment List &amp; Usage'!$C$114*((('Weekly Summary'!BA$131*SelfQuarantine_Mild)+('Weekly Summary'!BA$100*SelfQuarantine_Mild)+('Weekly Summary'!BA$101*SelfQuarantine_Moderate))),'Equipment List &amp; Usage'!$C$115)*((('Weekly Summary'!BA$131*SelfQuarantine_Mild*'Equipment List &amp; Usage'!$W30)+('Weekly Summary'!BA$100*SelfQuarantine_Mild*'Equipment List &amp; Usage'!$X30)+('Weekly Summary'!BA$101*SelfQuarantine_Moderate*'Equipment List &amp; Usage'!$X30)))+IF('Equipment List &amp; Usage'!$F30="Yes",'Equipment List &amp; Usage'!$C$114*(IF('Equipment List &amp; Usage'!$AA30&gt;0,'Weekly Summary'!BA$128,0)+IF('Equipment List &amp; Usage'!$AB30&gt;0,'Weekly Summary'!BA$100+'Weekly Summary'!BA$101,0)),'Equipment List &amp; Usage'!$C$115*(('Weekly Summary'!BA$128*'Equipment List &amp; Usage'!$AA30)+('Weekly Summary'!BA$100*'Equipment List &amp; Usage'!$AB30*SelfQuarantine_Mild)+('Weekly Summary'!BA$101*'Equipment List &amp; Usage'!$AB30*SelfQuarantine_Moderate)))+IF('Equipment List &amp; Usage'!$F30="Yes",('Equipment List &amp; Usage'!$C$114*(IF('Equipment List &amp; Usage'!$AE30&gt;0,'Weekly Summary'!BA$134,0)+IF('Equipment List &amp; Usage'!$AF30&gt;0,'Weekly Summary'!BA$135))),'Equipment List &amp; Usage'!$C$115*(('Weekly Summary'!BA$134*'Equipment List &amp; Usage'!$AE30)+('Weekly Summary'!BA$135*'Equipment List &amp; Usage'!$AF30))))-SUM($I28:BF28),
IF($F28="yes",MMULT(--('Equipment List &amp; Usage'!$J30:$N30&gt;0),--('Weekly Summary'!BA$112:BA$116))*'Equipment List &amp; Usage'!$C$114,MMULT(--('Equipment List &amp; Usage'!$J30:$N30),--('Weekly Summary'!BA$112:BA$116))*'Equipment List &amp; Usage'!$C$115)+IF('Equipment List &amp; Usage'!$F29="yes",'Equipment List &amp; Usage'!$C$114,'Equipment List &amp; Usage'!$C$115)*(('Weekly Summary'!BA$66*'Equipment List &amp; Usage'!$Q30)+('Weekly Summary'!BA$64*'Equipment List &amp; Usage'!$O30)+('Weekly Summary'!BA$65*'Equipment List &amp; Usage'!$P30))+(IF('Equipment List &amp; Usage'!$F30="Yes",'Equipment List &amp; Usage'!$C$114*((('Weekly Summary'!BA$131*SelfQuarantine_Mild)+('Weekly Summary'!BA$100*SelfQuarantine_Mild)+('Weekly Summary'!BA$101*SelfQuarantine_Moderate))),'Equipment List &amp; Usage'!$C$115)*((('Weekly Summary'!BA$131*SelfQuarantine_Mild*'Equipment List &amp; Usage'!$W30)+('Weekly Summary'!BA$100*SelfQuarantine_Mild*'Equipment List &amp; Usage'!$X30)+('Weekly Summary'!BA$101*SelfQuarantine_Moderate*'Equipment List &amp; Usage'!$X30))))+IF('Equipment List &amp; Usage'!$F30="Yes",'Equipment List &amp; Usage'!$C$114*(IF('Equipment List &amp; Usage'!$AA30&gt;0,'Weekly Summary'!BA$128,0)+IF('Equipment List &amp; Usage'!$AB30&gt;0,'Weekly Summary'!BA$100+'Weekly Summary'!BA$101,0)),'Equipment List &amp; Usage'!$C$115*(('Weekly Summary'!BA$128*'Equipment List &amp; Usage'!$AA30)+('Weekly Summary'!BA$100*'Equipment List &amp; Usage'!$AB30*SelfQuarantine_Mild)+('Weekly Summary'!BA$101*'Equipment List &amp; Usage'!$AB30*SelfQuarantine_Moderate)))+IF('Equipment List &amp; Usage'!$F30="Yes",('Equipment List &amp; Usage'!$C$114*(IF('Equipment List &amp; Usage'!$AE30&gt;0,'Weekly Summary'!BA$134,0)+IF('Equipment List &amp; Usage'!$AF30&gt;0,'Weekly Summary'!BA$135))),'Equipment List &amp; Usage'!$C$115*(('Weekly Summary'!BA$134*'Equipment List &amp; Usage'!$AE30)+('Weekly Summary'!BA$135*'Equipment List &amp; Usage'!$AF30)))),0)</f>
        <v>0</v>
      </c>
      <c r="BH28" s="1374">
        <f ca="1">MAX(IF($F28="Yes",(
IF($F28="yes",MMULT(--('Equipment List &amp; Usage'!$J30:$N30&gt;0),--('Weekly Summary'!BB$112:BB$116))*'Equipment List &amp; Usage'!$C$114,MMULT(--('Equipment List &amp; Usage'!$J30:$N30),--('Weekly Summary'!BB$112:BB$116))*'Equipment List &amp; Usage'!$C$115)+IF('Equipment List &amp; Usage'!$F29="yes",'Equipment List &amp; Usage'!$C$114,'Equipment List &amp; Usage'!$C$115)*(('Weekly Summary'!BB$66*'Equipment List &amp; Usage'!$Q30)+('Weekly Summary'!BB$64*'Equipment List &amp; Usage'!$O30)+('Weekly Summary'!BB$65*'Equipment List &amp; Usage'!$P30)))+(IF('Equipment List &amp; Usage'!$F30="Yes",'Equipment List &amp; Usage'!$C$114*((('Weekly Summary'!BB$131*SelfQuarantine_Mild)+('Weekly Summary'!BB$100*SelfQuarantine_Mild)+('Weekly Summary'!BB$101*SelfQuarantine_Moderate))),'Equipment List &amp; Usage'!$C$115)*((('Weekly Summary'!BB$131*SelfQuarantine_Mild*'Equipment List &amp; Usage'!$W30)+('Weekly Summary'!BB$100*SelfQuarantine_Mild*'Equipment List &amp; Usage'!$X30)+('Weekly Summary'!BB$101*SelfQuarantine_Moderate*'Equipment List &amp; Usage'!$X30)))+IF('Equipment List &amp; Usage'!$F30="Yes",'Equipment List &amp; Usage'!$C$114*(IF('Equipment List &amp; Usage'!$AA30&gt;0,'Weekly Summary'!BB$128,0)+IF('Equipment List &amp; Usage'!$AB30&gt;0,'Weekly Summary'!BB$100+'Weekly Summary'!BB$101,0)),'Equipment List &amp; Usage'!$C$115*(('Weekly Summary'!BB$128*'Equipment List &amp; Usage'!$AA30)+('Weekly Summary'!BB$100*'Equipment List &amp; Usage'!$AB30*SelfQuarantine_Mild)+('Weekly Summary'!BB$101*'Equipment List &amp; Usage'!$AB30*SelfQuarantine_Moderate)))+IF('Equipment List &amp; Usage'!$F30="Yes",('Equipment List &amp; Usage'!$C$114*(IF('Equipment List &amp; Usage'!$AE30&gt;0,'Weekly Summary'!BB$134,0)+IF('Equipment List &amp; Usage'!$AF30&gt;0,'Weekly Summary'!BB$135))),'Equipment List &amp; Usage'!$C$115*(('Weekly Summary'!BB$134*'Equipment List &amp; Usage'!$AE30)+('Weekly Summary'!BB$135*'Equipment List &amp; Usage'!$AF30))))-SUM($I28:BG28),
IF($F28="yes",MMULT(--('Equipment List &amp; Usage'!$J30:$N30&gt;0),--('Weekly Summary'!BB$112:BB$116))*'Equipment List &amp; Usage'!$C$114,MMULT(--('Equipment List &amp; Usage'!$J30:$N30),--('Weekly Summary'!BB$112:BB$116))*'Equipment List &amp; Usage'!$C$115)+IF('Equipment List &amp; Usage'!$F29="yes",'Equipment List &amp; Usage'!$C$114,'Equipment List &amp; Usage'!$C$115)*(('Weekly Summary'!BB$66*'Equipment List &amp; Usage'!$Q30)+('Weekly Summary'!BB$64*'Equipment List &amp; Usage'!$O30)+('Weekly Summary'!BB$65*'Equipment List &amp; Usage'!$P30))+(IF('Equipment List &amp; Usage'!$F30="Yes",'Equipment List &amp; Usage'!$C$114*((('Weekly Summary'!BB$131*SelfQuarantine_Mild)+('Weekly Summary'!BB$100*SelfQuarantine_Mild)+('Weekly Summary'!BB$101*SelfQuarantine_Moderate))),'Equipment List &amp; Usage'!$C$115)*((('Weekly Summary'!BB$131*SelfQuarantine_Mild*'Equipment List &amp; Usage'!$W30)+('Weekly Summary'!BB$100*SelfQuarantine_Mild*'Equipment List &amp; Usage'!$X30)+('Weekly Summary'!BB$101*SelfQuarantine_Moderate*'Equipment List &amp; Usage'!$X30))))+IF('Equipment List &amp; Usage'!$F30="Yes",'Equipment List &amp; Usage'!$C$114*(IF('Equipment List &amp; Usage'!$AA30&gt;0,'Weekly Summary'!BB$128,0)+IF('Equipment List &amp; Usage'!$AB30&gt;0,'Weekly Summary'!BB$100+'Weekly Summary'!BB$101,0)),'Equipment List &amp; Usage'!$C$115*(('Weekly Summary'!BB$128*'Equipment List &amp; Usage'!$AA30)+('Weekly Summary'!BB$100*'Equipment List &amp; Usage'!$AB30*SelfQuarantine_Mild)+('Weekly Summary'!BB$101*'Equipment List &amp; Usage'!$AB30*SelfQuarantine_Moderate)))+IF('Equipment List &amp; Usage'!$F30="Yes",('Equipment List &amp; Usage'!$C$114*(IF('Equipment List &amp; Usage'!$AE30&gt;0,'Weekly Summary'!BB$134,0)+IF('Equipment List &amp; Usage'!$AF30&gt;0,'Weekly Summary'!BB$135))),'Equipment List &amp; Usage'!$C$115*(('Weekly Summary'!BB$134*'Equipment List &amp; Usage'!$AE30)+('Weekly Summary'!BB$135*'Equipment List &amp; Usage'!$AF30)))),0)</f>
        <v>0</v>
      </c>
      <c r="BI28" s="1374">
        <f ca="1">MAX(IF($F28="Yes",(
IF($F28="yes",MMULT(--('Equipment List &amp; Usage'!$J30:$N30&gt;0),--('Weekly Summary'!BC$112:BC$116))*'Equipment List &amp; Usage'!$C$114,MMULT(--('Equipment List &amp; Usage'!$J30:$N30),--('Weekly Summary'!BC$112:BC$116))*'Equipment List &amp; Usage'!$C$115)+IF('Equipment List &amp; Usage'!$F29="yes",'Equipment List &amp; Usage'!$C$114,'Equipment List &amp; Usage'!$C$115)*(('Weekly Summary'!BC$66*'Equipment List &amp; Usage'!$Q30)+('Weekly Summary'!BC$64*'Equipment List &amp; Usage'!$O30)+('Weekly Summary'!BC$65*'Equipment List &amp; Usage'!$P30)))+(IF('Equipment List &amp; Usage'!$F30="Yes",'Equipment List &amp; Usage'!$C$114*((('Weekly Summary'!BC$131*SelfQuarantine_Mild)+('Weekly Summary'!BC$100*SelfQuarantine_Mild)+('Weekly Summary'!BC$101*SelfQuarantine_Moderate))),'Equipment List &amp; Usage'!$C$115)*((('Weekly Summary'!BC$131*SelfQuarantine_Mild*'Equipment List &amp; Usage'!$W30)+('Weekly Summary'!BC$100*SelfQuarantine_Mild*'Equipment List &amp; Usage'!$X30)+('Weekly Summary'!BC$101*SelfQuarantine_Moderate*'Equipment List &amp; Usage'!$X30)))+IF('Equipment List &amp; Usage'!$F30="Yes",'Equipment List &amp; Usage'!$C$114*(IF('Equipment List &amp; Usage'!$AA30&gt;0,'Weekly Summary'!BC$128,0)+IF('Equipment List &amp; Usage'!$AB30&gt;0,'Weekly Summary'!BC$100+'Weekly Summary'!BC$101,0)),'Equipment List &amp; Usage'!$C$115*(('Weekly Summary'!BC$128*'Equipment List &amp; Usage'!$AA30)+('Weekly Summary'!BC$100*'Equipment List &amp; Usage'!$AB30*SelfQuarantine_Mild)+('Weekly Summary'!BC$101*'Equipment List &amp; Usage'!$AB30*SelfQuarantine_Moderate)))+IF('Equipment List &amp; Usage'!$F30="Yes",('Equipment List &amp; Usage'!$C$114*(IF('Equipment List &amp; Usage'!$AE30&gt;0,'Weekly Summary'!BC$134,0)+IF('Equipment List &amp; Usage'!$AF30&gt;0,'Weekly Summary'!BC$135))),'Equipment List &amp; Usage'!$C$115*(('Weekly Summary'!BC$134*'Equipment List &amp; Usage'!$AE30)+('Weekly Summary'!BC$135*'Equipment List &amp; Usage'!$AF30))))-SUM($I28:BH28),
IF($F28="yes",MMULT(--('Equipment List &amp; Usage'!$J30:$N30&gt;0),--('Weekly Summary'!BC$112:BC$116))*'Equipment List &amp; Usage'!$C$114,MMULT(--('Equipment List &amp; Usage'!$J30:$N30),--('Weekly Summary'!BC$112:BC$116))*'Equipment List &amp; Usage'!$C$115)+IF('Equipment List &amp; Usage'!$F29="yes",'Equipment List &amp; Usage'!$C$114,'Equipment List &amp; Usage'!$C$115)*(('Weekly Summary'!BC$66*'Equipment List &amp; Usage'!$Q30)+('Weekly Summary'!BC$64*'Equipment List &amp; Usage'!$O30)+('Weekly Summary'!BC$65*'Equipment List &amp; Usage'!$P30))+(IF('Equipment List &amp; Usage'!$F30="Yes",'Equipment List &amp; Usage'!$C$114*((('Weekly Summary'!BC$131*SelfQuarantine_Mild)+('Weekly Summary'!BC$100*SelfQuarantine_Mild)+('Weekly Summary'!BC$101*SelfQuarantine_Moderate))),'Equipment List &amp; Usage'!$C$115)*((('Weekly Summary'!BC$131*SelfQuarantine_Mild*'Equipment List &amp; Usage'!$W30)+('Weekly Summary'!BC$100*SelfQuarantine_Mild*'Equipment List &amp; Usage'!$X30)+('Weekly Summary'!BC$101*SelfQuarantine_Moderate*'Equipment List &amp; Usage'!$X30))))+IF('Equipment List &amp; Usage'!$F30="Yes",'Equipment List &amp; Usage'!$C$114*(IF('Equipment List &amp; Usage'!$AA30&gt;0,'Weekly Summary'!BC$128,0)+IF('Equipment List &amp; Usage'!$AB30&gt;0,'Weekly Summary'!BC$100+'Weekly Summary'!BC$101,0)),'Equipment List &amp; Usage'!$C$115*(('Weekly Summary'!BC$128*'Equipment List &amp; Usage'!$AA30)+('Weekly Summary'!BC$100*'Equipment List &amp; Usage'!$AB30*SelfQuarantine_Mild)+('Weekly Summary'!BC$101*'Equipment List &amp; Usage'!$AB30*SelfQuarantine_Moderate)))+IF('Equipment List &amp; Usage'!$F30="Yes",('Equipment List &amp; Usage'!$C$114*(IF('Equipment List &amp; Usage'!$AE30&gt;0,'Weekly Summary'!BC$134,0)+IF('Equipment List &amp; Usage'!$AF30&gt;0,'Weekly Summary'!BC$135))),'Equipment List &amp; Usage'!$C$115*(('Weekly Summary'!BC$134*'Equipment List &amp; Usage'!$AE30)+('Weekly Summary'!BC$135*'Equipment List &amp; Usage'!$AF30)))),0)</f>
        <v>0</v>
      </c>
      <c r="BJ28" s="1377">
        <f ca="1">MAX(IF($F28="Yes",(
IF($F28="yes",MMULT(--('Equipment List &amp; Usage'!$J30:$N30&gt;0),--('Weekly Summary'!BD$112:BD$116))*'Equipment List &amp; Usage'!$C$114,MMULT(--('Equipment List &amp; Usage'!$J30:$N30),--('Weekly Summary'!BD$112:BD$116))*'Equipment List &amp; Usage'!$C$115)+IF('Equipment List &amp; Usage'!$F29="yes",'Equipment List &amp; Usage'!$C$114,'Equipment List &amp; Usage'!$C$115)*(('Weekly Summary'!BD$66*'Equipment List &amp; Usage'!$Q30)+('Weekly Summary'!BD$64*'Equipment List &amp; Usage'!$O30)+('Weekly Summary'!BD$65*'Equipment List &amp; Usage'!$P30)))+(IF('Equipment List &amp; Usage'!$F30="Yes",'Equipment List &amp; Usage'!$C$114*((('Weekly Summary'!BD$131*SelfQuarantine_Mild)+('Weekly Summary'!BD$100*SelfQuarantine_Mild)+('Weekly Summary'!BD$101*SelfQuarantine_Moderate))),'Equipment List &amp; Usage'!$C$115)*((('Weekly Summary'!BD$131*SelfQuarantine_Mild*'Equipment List &amp; Usage'!$W30)+('Weekly Summary'!BD$100*SelfQuarantine_Mild*'Equipment List &amp; Usage'!$X30)+('Weekly Summary'!BD$101*SelfQuarantine_Moderate*'Equipment List &amp; Usage'!$X30)))+IF('Equipment List &amp; Usage'!$F30="Yes",'Equipment List &amp; Usage'!$C$114*(IF('Equipment List &amp; Usage'!$AA30&gt;0,'Weekly Summary'!BD$128,0)+IF('Equipment List &amp; Usage'!$AB30&gt;0,'Weekly Summary'!BD$100+'Weekly Summary'!BD$101,0)),'Equipment List &amp; Usage'!$C$115*(('Weekly Summary'!BD$128*'Equipment List &amp; Usage'!$AA30)+('Weekly Summary'!BD$100*'Equipment List &amp; Usage'!$AB30*SelfQuarantine_Mild)+('Weekly Summary'!BD$101*'Equipment List &amp; Usage'!$AB30*SelfQuarantine_Moderate)))+IF('Equipment List &amp; Usage'!$F30="Yes",('Equipment List &amp; Usage'!$C$114*(IF('Equipment List &amp; Usage'!$AE30&gt;0,'Weekly Summary'!BD$134,0)+IF('Equipment List &amp; Usage'!$AF30&gt;0,'Weekly Summary'!BD$135))),'Equipment List &amp; Usage'!$C$115*(('Weekly Summary'!BD$134*'Equipment List &amp; Usage'!$AE30)+('Weekly Summary'!BD$135*'Equipment List &amp; Usage'!$AF30))))-SUM($I28:BI28),
IF($F28="yes",MMULT(--('Equipment List &amp; Usage'!$J30:$N30&gt;0),--('Weekly Summary'!BD$112:BD$116))*'Equipment List &amp; Usage'!$C$114,MMULT(--('Equipment List &amp; Usage'!$J30:$N30),--('Weekly Summary'!BD$112:BD$116))*'Equipment List &amp; Usage'!$C$115)+IF('Equipment List &amp; Usage'!$F29="yes",'Equipment List &amp; Usage'!$C$114,'Equipment List &amp; Usage'!$C$115)*(('Weekly Summary'!BD$66*'Equipment List &amp; Usage'!$Q30)+('Weekly Summary'!BD$64*'Equipment List &amp; Usage'!$O30)+('Weekly Summary'!BD$65*'Equipment List &amp; Usage'!$P30))+(IF('Equipment List &amp; Usage'!$F30="Yes",'Equipment List &amp; Usage'!$C$114*((('Weekly Summary'!BD$131*SelfQuarantine_Mild)+('Weekly Summary'!BD$100*SelfQuarantine_Mild)+('Weekly Summary'!BD$101*SelfQuarantine_Moderate))),'Equipment List &amp; Usage'!$C$115)*((('Weekly Summary'!BD$131*SelfQuarantine_Mild*'Equipment List &amp; Usage'!$W30)+('Weekly Summary'!BD$100*SelfQuarantine_Mild*'Equipment List &amp; Usage'!$X30)+('Weekly Summary'!BD$101*SelfQuarantine_Moderate*'Equipment List &amp; Usage'!$X30))))+IF('Equipment List &amp; Usage'!$F30="Yes",'Equipment List &amp; Usage'!$C$114*(IF('Equipment List &amp; Usage'!$AA30&gt;0,'Weekly Summary'!BD$128,0)+IF('Equipment List &amp; Usage'!$AB30&gt;0,'Weekly Summary'!BD$100+'Weekly Summary'!BD$101,0)),'Equipment List &amp; Usage'!$C$115*(('Weekly Summary'!BD$128*'Equipment List &amp; Usage'!$AA30)+('Weekly Summary'!BD$100*'Equipment List &amp; Usage'!$AB30*SelfQuarantine_Mild)+('Weekly Summary'!BD$101*'Equipment List &amp; Usage'!$AB30*SelfQuarantine_Moderate)))+IF('Equipment List &amp; Usage'!$F30="Yes",('Equipment List &amp; Usage'!$C$114*(IF('Equipment List &amp; Usage'!$AE30&gt;0,'Weekly Summary'!BD$134,0)+IF('Equipment List &amp; Usage'!$AF30&gt;0,'Weekly Summary'!BD$135))),'Equipment List &amp; Usage'!$C$115*(('Weekly Summary'!BD$134*'Equipment List &amp; Usage'!$AE30)+('Weekly Summary'!BD$135*'Equipment List &amp; Usage'!$AF30)))),0)</f>
        <v>0</v>
      </c>
    </row>
    <row r="29" spans="2:62" x14ac:dyDescent="0.35">
      <c r="B29" s="949" t="str">
        <f>'Equipment List &amp; Usage'!B31</f>
        <v>IPC</v>
      </c>
      <c r="C29" s="948" t="str">
        <f>'Equipment List &amp; Usage'!C31</f>
        <v>PPE</v>
      </c>
      <c r="D29" s="948" t="str">
        <f>'Equipment List &amp; Usage'!D31</f>
        <v>Respirator</v>
      </c>
      <c r="E29" s="948" t="str">
        <f>'Equipment List &amp; Usage'!E31</f>
        <v>Each</v>
      </c>
      <c r="F29" s="948" t="str">
        <f>'Equipment List &amp; Usage'!F31</f>
        <v>No</v>
      </c>
      <c r="G29" s="948" t="str">
        <f>'Equipment List &amp; Usage'!G31</f>
        <v>N/A</v>
      </c>
      <c r="H29" s="1365">
        <f t="shared" ca="1" si="2"/>
        <v>8529.1479905391716</v>
      </c>
      <c r="J29" s="1341"/>
      <c r="K29" s="1374">
        <f ca="1">IF('User Dashboard'!$H$13=1,0,IF($F29="Yes",(
IF($F29="yes",MMULT(--('Equipment List &amp; Usage'!$J31:$N31&gt;0),--('Weekly Summary'!E$112:E$116))*'Equipment List &amp; Usage'!$C$114,MMULT(--('Equipment List &amp; Usage'!$J31:$N31),--('Weekly Summary'!E$112:E$116))*'Equipment List &amp; Usage'!$C$115)+IF('Equipment List &amp; Usage'!$F30="yes",'Equipment List &amp; Usage'!$C$114,'Equipment List &amp; Usage'!$C$115)*(('Weekly Summary'!E$66*'Equipment List &amp; Usage'!$Q31)+('Weekly Summary'!E$64*'Equipment List &amp; Usage'!$O31)+('Weekly Summary'!E$65*'Equipment List &amp; Usage'!$P31)))+(IF('Equipment List &amp; Usage'!$F31="Yes",'Equipment List &amp; Usage'!$C$114*((('Weekly Summary'!E$131*SelfQuarantine_Mild)+('Weekly Summary'!E$100*SelfQuarantine_Mild)+('Weekly Summary'!E$101*SelfQuarantine_Moderate))),'Equipment List &amp; Usage'!$C$115)*((('Weekly Summary'!E$131*SelfQuarantine_Mild*'Equipment List &amp; Usage'!$W31)+('Weekly Summary'!E$100*SelfQuarantine_Mild*'Equipment List &amp; Usage'!$X31)+('Weekly Summary'!E$101*SelfQuarantine_Moderate*'Equipment List &amp; Usage'!$X31)))+IF('Equipment List &amp; Usage'!$F31="Yes",'Equipment List &amp; Usage'!$C$114*(IF('Equipment List &amp; Usage'!$AA31&gt;0,'Weekly Summary'!E$128,0)+IF('Equipment List &amp; Usage'!$AB31&gt;0,'Weekly Summary'!E$100+'Weekly Summary'!E$101,0)),'Equipment List &amp; Usage'!$C$115*(('Weekly Summary'!E$128*'Equipment List &amp; Usage'!$AA31)+('Weekly Summary'!E$100*'Equipment List &amp; Usage'!$AB31*SelfQuarantine_Mild)+('Weekly Summary'!E$101*'Equipment List &amp; Usage'!$AB31*SelfQuarantine_Moderate)))+IF('Equipment List &amp; Usage'!$F31="Yes",('Equipment List &amp; Usage'!$C$114*(IF('Equipment List &amp; Usage'!$AE31&gt;0,'Weekly Summary'!E$134,0)+IF('Equipment List &amp; Usage'!$AF31&gt;0,'Weekly Summary'!E$135))),'Equipment List &amp; Usage'!$C$115*(('Weekly Summary'!E$134*'Equipment List &amp; Usage'!$AE31)+('Weekly Summary'!E$135*'Equipment List &amp; Usage'!$AF31)))),
IF($F29="yes",MMULT(--('Equipment List &amp; Usage'!$J31:$N31&gt;0),--('Weekly Summary'!E$112:E$116))*'Equipment List &amp; Usage'!$C$114,MMULT(--('Equipment List &amp; Usage'!$J31:$N31),--('Weekly Summary'!E$112:E$116))*'Equipment List &amp; Usage'!$C$115)+IF('Equipment List &amp; Usage'!$F30="yes",'Equipment List &amp; Usage'!$C$114,'Equipment List &amp; Usage'!$C$115)*(('Weekly Summary'!E$66*'Equipment List &amp; Usage'!$Q31)+('Weekly Summary'!E$64*'Equipment List &amp; Usage'!$O31)+('Weekly Summary'!E$65*'Equipment List &amp; Usage'!$P31))+(IF('Equipment List &amp; Usage'!$F31="Yes",'Equipment List &amp; Usage'!$C$114*((('Weekly Summary'!E$131*SelfQuarantine_Mild)+('Weekly Summary'!E$100*SelfQuarantine_Mild)+('Weekly Summary'!E$101*SelfQuarantine_Moderate))),'Equipment List &amp; Usage'!$C$115)*((('Weekly Summary'!E$131*SelfQuarantine_Mild*'Equipment List &amp; Usage'!$W31)+('Weekly Summary'!E$100*SelfQuarantine_Mild*'Equipment List &amp; Usage'!$X31)+('Weekly Summary'!E$101*SelfQuarantine_Moderate*'Equipment List &amp; Usage'!$X31))))+IF('Equipment List &amp; Usage'!$F31="Yes",'Equipment List &amp; Usage'!$C$114*(IF('Equipment List &amp; Usage'!$AA31&gt;0,'Weekly Summary'!E$128,0)+IF('Equipment List &amp; Usage'!$AB31&gt;0,'Weekly Summary'!E$100+'Weekly Summary'!E$101,0)),'Equipment List &amp; Usage'!$C$115*(('Weekly Summary'!E$128*'Equipment List &amp; Usage'!$AA31)+('Weekly Summary'!E$100*'Equipment List &amp; Usage'!$AB31*SelfQuarantine_Mild)+('Weekly Summary'!E$101*'Equipment List &amp; Usage'!$AB31*SelfQuarantine_Moderate)))+IF('Equipment List &amp; Usage'!$F31="Yes",('Equipment List &amp; Usage'!$C$114*(IF('Equipment List &amp; Usage'!$AE31&gt;0,'Weekly Summary'!E$134,0)+IF('Equipment List &amp; Usage'!$AF31&gt;0,'Weekly Summary'!E$135))),'Equipment List &amp; Usage'!$C$115*(('Weekly Summary'!E$134*'Equipment List &amp; Usage'!$AE31)+('Weekly Summary'!E$135*'Equipment List &amp; Usage'!$AF31)))))</f>
        <v>12.762978349261932</v>
      </c>
      <c r="L29" s="1374">
        <f ca="1">MAX(IF($F29="Yes",(
IF($F29="yes",MMULT(--('Equipment List &amp; Usage'!$J31:$N31&gt;0),--('Weekly Summary'!F$112:F$116))*'Equipment List &amp; Usage'!$C$114,MMULT(--('Equipment List &amp; Usage'!$J31:$N31),--('Weekly Summary'!F$112:F$116))*'Equipment List &amp; Usage'!$C$115)+IF('Equipment List &amp; Usage'!$F30="yes",'Equipment List &amp; Usage'!$C$114,'Equipment List &amp; Usage'!$C$115)*(('Weekly Summary'!F$66*'Equipment List &amp; Usage'!$Q31)+('Weekly Summary'!F$64*'Equipment List &amp; Usage'!$O31)+('Weekly Summary'!F$65*'Equipment List &amp; Usage'!$P31)))+(IF('Equipment List &amp; Usage'!$F31="Yes",'Equipment List &amp; Usage'!$C$114*((('Weekly Summary'!F$131*SelfQuarantine_Mild)+('Weekly Summary'!F$100*SelfQuarantine_Mild)+('Weekly Summary'!F$101*SelfQuarantine_Moderate))),'Equipment List &amp; Usage'!$C$115)*((('Weekly Summary'!F$131*SelfQuarantine_Mild*'Equipment List &amp; Usage'!$W31)+('Weekly Summary'!F$100*SelfQuarantine_Mild*'Equipment List &amp; Usage'!$X31)+('Weekly Summary'!F$101*SelfQuarantine_Moderate*'Equipment List &amp; Usage'!$X31)))+IF('Equipment List &amp; Usage'!$F31="Yes",'Equipment List &amp; Usage'!$C$114*(IF('Equipment List &amp; Usage'!$AA31&gt;0,'Weekly Summary'!F$128,0)+IF('Equipment List &amp; Usage'!$AB31&gt;0,'Weekly Summary'!F$100+'Weekly Summary'!F$101,0)),'Equipment List &amp; Usage'!$C$115*(('Weekly Summary'!F$128*'Equipment List &amp; Usage'!$AA31)+('Weekly Summary'!F$100*'Equipment List &amp; Usage'!$AB31*SelfQuarantine_Mild)+('Weekly Summary'!F$101*'Equipment List &amp; Usage'!$AB31*SelfQuarantine_Moderate)))+IF('Equipment List &amp; Usage'!$F31="Yes",('Equipment List &amp; Usage'!$C$114*(IF('Equipment List &amp; Usage'!$AE31&gt;0,'Weekly Summary'!F$134,0)+IF('Equipment List &amp; Usage'!$AF31&gt;0,'Weekly Summary'!F$135))),'Equipment List &amp; Usage'!$C$115*(('Weekly Summary'!F$134*'Equipment List &amp; Usage'!$AE31)+('Weekly Summary'!F$135*'Equipment List &amp; Usage'!$AF31))))-SUM($I29:K29),
IF($F29="yes",MMULT(--('Equipment List &amp; Usage'!$J31:$N31&gt;0),--('Weekly Summary'!F$112:F$116))*'Equipment List &amp; Usage'!$C$114,MMULT(--('Equipment List &amp; Usage'!$J31:$N31),--('Weekly Summary'!F$112:F$116))*'Equipment List &amp; Usage'!$C$115)+IF('Equipment List &amp; Usage'!$F30="yes",'Equipment List &amp; Usage'!$C$114,'Equipment List &amp; Usage'!$C$115)*(('Weekly Summary'!F$66*'Equipment List &amp; Usage'!$Q31)+('Weekly Summary'!F$64*'Equipment List &amp; Usage'!$O31)+('Weekly Summary'!F$65*'Equipment List &amp; Usage'!$P31))+(IF('Equipment List &amp; Usage'!$F31="Yes",'Equipment List &amp; Usage'!$C$114*((('Weekly Summary'!F$131*SelfQuarantine_Mild)+('Weekly Summary'!F$100*SelfQuarantine_Mild)+('Weekly Summary'!F$101*SelfQuarantine_Moderate))),'Equipment List &amp; Usage'!$C$115)*((('Weekly Summary'!F$131*SelfQuarantine_Mild*'Equipment List &amp; Usage'!$W31)+('Weekly Summary'!F$100*SelfQuarantine_Mild*'Equipment List &amp; Usage'!$X31)+('Weekly Summary'!F$101*SelfQuarantine_Moderate*'Equipment List &amp; Usage'!$X31))))+IF('Equipment List &amp; Usage'!$F31="Yes",'Equipment List &amp; Usage'!$C$114*(IF('Equipment List &amp; Usage'!$AA31&gt;0,'Weekly Summary'!F$128,0)+IF('Equipment List &amp; Usage'!$AB31&gt;0,'Weekly Summary'!F$100+'Weekly Summary'!F$101,0)),'Equipment List &amp; Usage'!$C$115*(('Weekly Summary'!F$128*'Equipment List &amp; Usage'!$AA31)+('Weekly Summary'!F$100*'Equipment List &amp; Usage'!$AB31*SelfQuarantine_Mild)+('Weekly Summary'!F$101*'Equipment List &amp; Usage'!$AB31*SelfQuarantine_Moderate)))+IF('Equipment List &amp; Usage'!$F31="Yes",('Equipment List &amp; Usage'!$C$114*(IF('Equipment List &amp; Usage'!$AE31&gt;0,'Weekly Summary'!F$134,0)+IF('Equipment List &amp; Usage'!$AF31&gt;0,'Weekly Summary'!F$135))),'Equipment List &amp; Usage'!$C$115*(('Weekly Summary'!F$134*'Equipment List &amp; Usage'!$AE31)+('Weekly Summary'!F$135*'Equipment List &amp; Usage'!$AF31)))),0)</f>
        <v>43.40955560332084</v>
      </c>
      <c r="M29" s="1374">
        <f ca="1">MAX(IF($F29="Yes",(
IF($F29="yes",MMULT(--('Equipment List &amp; Usage'!$J31:$N31&gt;0),--('Weekly Summary'!G$112:G$116))*'Equipment List &amp; Usage'!$C$114,MMULT(--('Equipment List &amp; Usage'!$J31:$N31),--('Weekly Summary'!G$112:G$116))*'Equipment List &amp; Usage'!$C$115)+IF('Equipment List &amp; Usage'!$F30="yes",'Equipment List &amp; Usage'!$C$114,'Equipment List &amp; Usage'!$C$115)*(('Weekly Summary'!G$66*'Equipment List &amp; Usage'!$Q31)+('Weekly Summary'!G$64*'Equipment List &amp; Usage'!$O31)+('Weekly Summary'!G$65*'Equipment List &amp; Usage'!$P31)))+(IF('Equipment List &amp; Usage'!$F31="Yes",'Equipment List &amp; Usage'!$C$114*((('Weekly Summary'!G$131*SelfQuarantine_Mild)+('Weekly Summary'!G$100*SelfQuarantine_Mild)+('Weekly Summary'!G$101*SelfQuarantine_Moderate))),'Equipment List &amp; Usage'!$C$115)*((('Weekly Summary'!G$131*SelfQuarantine_Mild*'Equipment List &amp; Usage'!$W31)+('Weekly Summary'!G$100*SelfQuarantine_Mild*'Equipment List &amp; Usage'!$X31)+('Weekly Summary'!G$101*SelfQuarantine_Moderate*'Equipment List &amp; Usage'!$X31)))+IF('Equipment List &amp; Usage'!$F31="Yes",'Equipment List &amp; Usage'!$C$114*(IF('Equipment List &amp; Usage'!$AA31&gt;0,'Weekly Summary'!G$128,0)+IF('Equipment List &amp; Usage'!$AB31&gt;0,'Weekly Summary'!G$100+'Weekly Summary'!G$101,0)),'Equipment List &amp; Usage'!$C$115*(('Weekly Summary'!G$128*'Equipment List &amp; Usage'!$AA31)+('Weekly Summary'!G$100*'Equipment List &amp; Usage'!$AB31*SelfQuarantine_Mild)+('Weekly Summary'!G$101*'Equipment List &amp; Usage'!$AB31*SelfQuarantine_Moderate)))+IF('Equipment List &amp; Usage'!$F31="Yes",('Equipment List &amp; Usage'!$C$114*(IF('Equipment List &amp; Usage'!$AE31&gt;0,'Weekly Summary'!G$134,0)+IF('Equipment List &amp; Usage'!$AF31&gt;0,'Weekly Summary'!G$135))),'Equipment List &amp; Usage'!$C$115*(('Weekly Summary'!G$134*'Equipment List &amp; Usage'!$AE31)+('Weekly Summary'!G$135*'Equipment List &amp; Usage'!$AF31))))-SUM($I29:L29),
IF($F29="yes",MMULT(--('Equipment List &amp; Usage'!$J31:$N31&gt;0),--('Weekly Summary'!G$112:G$116))*'Equipment List &amp; Usage'!$C$114,MMULT(--('Equipment List &amp; Usage'!$J31:$N31),--('Weekly Summary'!G$112:G$116))*'Equipment List &amp; Usage'!$C$115)+IF('Equipment List &amp; Usage'!$F30="yes",'Equipment List &amp; Usage'!$C$114,'Equipment List &amp; Usage'!$C$115)*(('Weekly Summary'!G$66*'Equipment List &amp; Usage'!$Q31)+('Weekly Summary'!G$64*'Equipment List &amp; Usage'!$O31)+('Weekly Summary'!G$65*'Equipment List &amp; Usage'!$P31))+(IF('Equipment List &amp; Usage'!$F31="Yes",'Equipment List &amp; Usage'!$C$114*((('Weekly Summary'!G$131*SelfQuarantine_Mild)+('Weekly Summary'!G$100*SelfQuarantine_Mild)+('Weekly Summary'!G$101*SelfQuarantine_Moderate))),'Equipment List &amp; Usage'!$C$115)*((('Weekly Summary'!G$131*SelfQuarantine_Mild*'Equipment List &amp; Usage'!$W31)+('Weekly Summary'!G$100*SelfQuarantine_Mild*'Equipment List &amp; Usage'!$X31)+('Weekly Summary'!G$101*SelfQuarantine_Moderate*'Equipment List &amp; Usage'!$X31))))+IF('Equipment List &amp; Usage'!$F31="Yes",'Equipment List &amp; Usage'!$C$114*(IF('Equipment List &amp; Usage'!$AA31&gt;0,'Weekly Summary'!G$128,0)+IF('Equipment List &amp; Usage'!$AB31&gt;0,'Weekly Summary'!G$100+'Weekly Summary'!G$101,0)),'Equipment List &amp; Usage'!$C$115*(('Weekly Summary'!G$128*'Equipment List &amp; Usage'!$AA31)+('Weekly Summary'!G$100*'Equipment List &amp; Usage'!$AB31*SelfQuarantine_Mild)+('Weekly Summary'!G$101*'Equipment List &amp; Usage'!$AB31*SelfQuarantine_Moderate)))+IF('Equipment List &amp; Usage'!$F31="Yes",('Equipment List &amp; Usage'!$C$114*(IF('Equipment List &amp; Usage'!$AE31&gt;0,'Weekly Summary'!G$134,0)+IF('Equipment List &amp; Usage'!$AF31&gt;0,'Weekly Summary'!G$135))),'Equipment List &amp; Usage'!$C$115*(('Weekly Summary'!G$134*'Equipment List &amp; Usage'!$AE31)+('Weekly Summary'!G$135*'Equipment List &amp; Usage'!$AF31)))),0)</f>
        <v>149.17594576710795</v>
      </c>
      <c r="N29" s="1374">
        <f ca="1">MAX(IF($F29="Yes",(
IF($F29="yes",MMULT(--('Equipment List &amp; Usage'!$J31:$N31&gt;0),--('Weekly Summary'!H$112:H$116))*'Equipment List &amp; Usage'!$C$114,MMULT(--('Equipment List &amp; Usage'!$J31:$N31),--('Weekly Summary'!H$112:H$116))*'Equipment List &amp; Usage'!$C$115)+IF('Equipment List &amp; Usage'!$F30="yes",'Equipment List &amp; Usage'!$C$114,'Equipment List &amp; Usage'!$C$115)*(('Weekly Summary'!H$66*'Equipment List &amp; Usage'!$Q31)+('Weekly Summary'!H$64*'Equipment List &amp; Usage'!$O31)+('Weekly Summary'!H$65*'Equipment List &amp; Usage'!$P31)))+(IF('Equipment List &amp; Usage'!$F31="Yes",'Equipment List &amp; Usage'!$C$114*((('Weekly Summary'!H$131*SelfQuarantine_Mild)+('Weekly Summary'!H$100*SelfQuarantine_Mild)+('Weekly Summary'!H$101*SelfQuarantine_Moderate))),'Equipment List &amp; Usage'!$C$115)*((('Weekly Summary'!H$131*SelfQuarantine_Mild*'Equipment List &amp; Usage'!$W31)+('Weekly Summary'!H$100*SelfQuarantine_Mild*'Equipment List &amp; Usage'!$X31)+('Weekly Summary'!H$101*SelfQuarantine_Moderate*'Equipment List &amp; Usage'!$X31)))+IF('Equipment List &amp; Usage'!$F31="Yes",'Equipment List &amp; Usage'!$C$114*(IF('Equipment List &amp; Usage'!$AA31&gt;0,'Weekly Summary'!H$128,0)+IF('Equipment List &amp; Usage'!$AB31&gt;0,'Weekly Summary'!H$100+'Weekly Summary'!H$101,0)),'Equipment List &amp; Usage'!$C$115*(('Weekly Summary'!H$128*'Equipment List &amp; Usage'!$AA31)+('Weekly Summary'!H$100*'Equipment List &amp; Usage'!$AB31*SelfQuarantine_Mild)+('Weekly Summary'!H$101*'Equipment List &amp; Usage'!$AB31*SelfQuarantine_Moderate)))+IF('Equipment List &amp; Usage'!$F31="Yes",('Equipment List &amp; Usage'!$C$114*(IF('Equipment List &amp; Usage'!$AE31&gt;0,'Weekly Summary'!H$134,0)+IF('Equipment List &amp; Usage'!$AF31&gt;0,'Weekly Summary'!H$135))),'Equipment List &amp; Usage'!$C$115*(('Weekly Summary'!H$134*'Equipment List &amp; Usage'!$AE31)+('Weekly Summary'!H$135*'Equipment List &amp; Usage'!$AF31))))-SUM($I29:M29),
IF($F29="yes",MMULT(--('Equipment List &amp; Usage'!$J31:$N31&gt;0),--('Weekly Summary'!H$112:H$116))*'Equipment List &amp; Usage'!$C$114,MMULT(--('Equipment List &amp; Usage'!$J31:$N31),--('Weekly Summary'!H$112:H$116))*'Equipment List &amp; Usage'!$C$115)+IF('Equipment List &amp; Usage'!$F30="yes",'Equipment List &amp; Usage'!$C$114,'Equipment List &amp; Usage'!$C$115)*(('Weekly Summary'!H$66*'Equipment List &amp; Usage'!$Q31)+('Weekly Summary'!H$64*'Equipment List &amp; Usage'!$O31)+('Weekly Summary'!H$65*'Equipment List &amp; Usage'!$P31))+(IF('Equipment List &amp; Usage'!$F31="Yes",'Equipment List &amp; Usage'!$C$114*((('Weekly Summary'!H$131*SelfQuarantine_Mild)+('Weekly Summary'!H$100*SelfQuarantine_Mild)+('Weekly Summary'!H$101*SelfQuarantine_Moderate))),'Equipment List &amp; Usage'!$C$115)*((('Weekly Summary'!H$131*SelfQuarantine_Mild*'Equipment List &amp; Usage'!$W31)+('Weekly Summary'!H$100*SelfQuarantine_Mild*'Equipment List &amp; Usage'!$X31)+('Weekly Summary'!H$101*SelfQuarantine_Moderate*'Equipment List &amp; Usage'!$X31))))+IF('Equipment List &amp; Usage'!$F31="Yes",'Equipment List &amp; Usage'!$C$114*(IF('Equipment List &amp; Usage'!$AA31&gt;0,'Weekly Summary'!H$128,0)+IF('Equipment List &amp; Usage'!$AB31&gt;0,'Weekly Summary'!H$100+'Weekly Summary'!H$101,0)),'Equipment List &amp; Usage'!$C$115*(('Weekly Summary'!H$128*'Equipment List &amp; Usage'!$AA31)+('Weekly Summary'!H$100*'Equipment List &amp; Usage'!$AB31*SelfQuarantine_Mild)+('Weekly Summary'!H$101*'Equipment List &amp; Usage'!$AB31*SelfQuarantine_Moderate)))+IF('Equipment List &amp; Usage'!$F31="Yes",('Equipment List &amp; Usage'!$C$114*(IF('Equipment List &amp; Usage'!$AE31&gt;0,'Weekly Summary'!H$134,0)+IF('Equipment List &amp; Usage'!$AF31&gt;0,'Weekly Summary'!H$135))),'Equipment List &amp; Usage'!$C$115*(('Weekly Summary'!H$134*'Equipment List &amp; Usage'!$AE31)+('Weekly Summary'!H$135*'Equipment List &amp; Usage'!$AF31)))),0)</f>
        <v>512.62351000324225</v>
      </c>
      <c r="O29" s="1374">
        <f ca="1">MAX(IF($F29="Yes",(
IF($F29="yes",MMULT(--('Equipment List &amp; Usage'!$J31:$N31&gt;0),--('Weekly Summary'!I$112:I$116))*'Equipment List &amp; Usage'!$C$114,MMULT(--('Equipment List &amp; Usage'!$J31:$N31),--('Weekly Summary'!I$112:I$116))*'Equipment List &amp; Usage'!$C$115)+IF('Equipment List &amp; Usage'!$F30="yes",'Equipment List &amp; Usage'!$C$114,'Equipment List &amp; Usage'!$C$115)*(('Weekly Summary'!I$66*'Equipment List &amp; Usage'!$Q31)+('Weekly Summary'!I$64*'Equipment List &amp; Usage'!$O31)+('Weekly Summary'!I$65*'Equipment List &amp; Usage'!$P31)))+(IF('Equipment List &amp; Usage'!$F31="Yes",'Equipment List &amp; Usage'!$C$114*((('Weekly Summary'!I$131*SelfQuarantine_Mild)+('Weekly Summary'!I$100*SelfQuarantine_Mild)+('Weekly Summary'!I$101*SelfQuarantine_Moderate))),'Equipment List &amp; Usage'!$C$115)*((('Weekly Summary'!I$131*SelfQuarantine_Mild*'Equipment List &amp; Usage'!$W31)+('Weekly Summary'!I$100*SelfQuarantine_Mild*'Equipment List &amp; Usage'!$X31)+('Weekly Summary'!I$101*SelfQuarantine_Moderate*'Equipment List &amp; Usage'!$X31)))+IF('Equipment List &amp; Usage'!$F31="Yes",'Equipment List &amp; Usage'!$C$114*(IF('Equipment List &amp; Usage'!$AA31&gt;0,'Weekly Summary'!I$128,0)+IF('Equipment List &amp; Usage'!$AB31&gt;0,'Weekly Summary'!I$100+'Weekly Summary'!I$101,0)),'Equipment List &amp; Usage'!$C$115*(('Weekly Summary'!I$128*'Equipment List &amp; Usage'!$AA31)+('Weekly Summary'!I$100*'Equipment List &amp; Usage'!$AB31*SelfQuarantine_Mild)+('Weekly Summary'!I$101*'Equipment List &amp; Usage'!$AB31*SelfQuarantine_Moderate)))+IF('Equipment List &amp; Usage'!$F31="Yes",('Equipment List &amp; Usage'!$C$114*(IF('Equipment List &amp; Usage'!$AE31&gt;0,'Weekly Summary'!I$134,0)+IF('Equipment List &amp; Usage'!$AF31&gt;0,'Weekly Summary'!I$135))),'Equipment List &amp; Usage'!$C$115*(('Weekly Summary'!I$134*'Equipment List &amp; Usage'!$AE31)+('Weekly Summary'!I$135*'Equipment List &amp; Usage'!$AF31))))-SUM($I29:N29),
IF($F29="yes",MMULT(--('Equipment List &amp; Usage'!$J31:$N31&gt;0),--('Weekly Summary'!I$112:I$116))*'Equipment List &amp; Usage'!$C$114,MMULT(--('Equipment List &amp; Usage'!$J31:$N31),--('Weekly Summary'!I$112:I$116))*'Equipment List &amp; Usage'!$C$115)+IF('Equipment List &amp; Usage'!$F30="yes",'Equipment List &amp; Usage'!$C$114,'Equipment List &amp; Usage'!$C$115)*(('Weekly Summary'!I$66*'Equipment List &amp; Usage'!$Q31)+('Weekly Summary'!I$64*'Equipment List &amp; Usage'!$O31)+('Weekly Summary'!I$65*'Equipment List &amp; Usage'!$P31))+(IF('Equipment List &amp; Usage'!$F31="Yes",'Equipment List &amp; Usage'!$C$114*((('Weekly Summary'!I$131*SelfQuarantine_Mild)+('Weekly Summary'!I$100*SelfQuarantine_Mild)+('Weekly Summary'!I$101*SelfQuarantine_Moderate))),'Equipment List &amp; Usage'!$C$115)*((('Weekly Summary'!I$131*SelfQuarantine_Mild*'Equipment List &amp; Usage'!$W31)+('Weekly Summary'!I$100*SelfQuarantine_Mild*'Equipment List &amp; Usage'!$X31)+('Weekly Summary'!I$101*SelfQuarantine_Moderate*'Equipment List &amp; Usage'!$X31))))+IF('Equipment List &amp; Usage'!$F31="Yes",'Equipment List &amp; Usage'!$C$114*(IF('Equipment List &amp; Usage'!$AA31&gt;0,'Weekly Summary'!I$128,0)+IF('Equipment List &amp; Usage'!$AB31&gt;0,'Weekly Summary'!I$100+'Weekly Summary'!I$101,0)),'Equipment List &amp; Usage'!$C$115*(('Weekly Summary'!I$128*'Equipment List &amp; Usage'!$AA31)+('Weekly Summary'!I$100*'Equipment List &amp; Usage'!$AB31*SelfQuarantine_Mild)+('Weekly Summary'!I$101*'Equipment List &amp; Usage'!$AB31*SelfQuarantine_Moderate)))+IF('Equipment List &amp; Usage'!$F31="Yes",('Equipment List &amp; Usage'!$C$114*(IF('Equipment List &amp; Usage'!$AE31&gt;0,'Weekly Summary'!I$134,0)+IF('Equipment List &amp; Usage'!$AF31&gt;0,'Weekly Summary'!I$135))),'Equipment List &amp; Usage'!$C$115*(('Weekly Summary'!I$134*'Equipment List &amp; Usage'!$AE31)+('Weekly Summary'!I$135*'Equipment List &amp; Usage'!$AF31)))),0)</f>
        <v>1761.3717470143415</v>
      </c>
      <c r="P29" s="1374">
        <f ca="1">MAX(IF($F29="Yes",(
IF($F29="yes",MMULT(--('Equipment List &amp; Usage'!$J31:$N31&gt;0),--('Weekly Summary'!J$112:J$116))*'Equipment List &amp; Usage'!$C$114,MMULT(--('Equipment List &amp; Usage'!$J31:$N31),--('Weekly Summary'!J$112:J$116))*'Equipment List &amp; Usage'!$C$115)+IF('Equipment List &amp; Usage'!$F30="yes",'Equipment List &amp; Usage'!$C$114,'Equipment List &amp; Usage'!$C$115)*(('Weekly Summary'!J$66*'Equipment List &amp; Usage'!$Q31)+('Weekly Summary'!J$64*'Equipment List &amp; Usage'!$O31)+('Weekly Summary'!J$65*'Equipment List &amp; Usage'!$P31)))+(IF('Equipment List &amp; Usage'!$F31="Yes",'Equipment List &amp; Usage'!$C$114*((('Weekly Summary'!J$131*SelfQuarantine_Mild)+('Weekly Summary'!J$100*SelfQuarantine_Mild)+('Weekly Summary'!J$101*SelfQuarantine_Moderate))),'Equipment List &amp; Usage'!$C$115)*((('Weekly Summary'!J$131*SelfQuarantine_Mild*'Equipment List &amp; Usage'!$W31)+('Weekly Summary'!J$100*SelfQuarantine_Mild*'Equipment List &amp; Usage'!$X31)+('Weekly Summary'!J$101*SelfQuarantine_Moderate*'Equipment List &amp; Usage'!$X31)))+IF('Equipment List &amp; Usage'!$F31="Yes",'Equipment List &amp; Usage'!$C$114*(IF('Equipment List &amp; Usage'!$AA31&gt;0,'Weekly Summary'!J$128,0)+IF('Equipment List &amp; Usage'!$AB31&gt;0,'Weekly Summary'!J$100+'Weekly Summary'!J$101,0)),'Equipment List &amp; Usage'!$C$115*(('Weekly Summary'!J$128*'Equipment List &amp; Usage'!$AA31)+('Weekly Summary'!J$100*'Equipment List &amp; Usage'!$AB31*SelfQuarantine_Mild)+('Weekly Summary'!J$101*'Equipment List &amp; Usage'!$AB31*SelfQuarantine_Moderate)))+IF('Equipment List &amp; Usage'!$F31="Yes",('Equipment List &amp; Usage'!$C$114*(IF('Equipment List &amp; Usage'!$AE31&gt;0,'Weekly Summary'!J$134,0)+IF('Equipment List &amp; Usage'!$AF31&gt;0,'Weekly Summary'!J$135))),'Equipment List &amp; Usage'!$C$115*(('Weekly Summary'!J$134*'Equipment List &amp; Usage'!$AE31)+('Weekly Summary'!J$135*'Equipment List &amp; Usage'!$AF31))))-SUM($I29:O29),
IF($F29="yes",MMULT(--('Equipment List &amp; Usage'!$J31:$N31&gt;0),--('Weekly Summary'!J$112:J$116))*'Equipment List &amp; Usage'!$C$114,MMULT(--('Equipment List &amp; Usage'!$J31:$N31),--('Weekly Summary'!J$112:J$116))*'Equipment List &amp; Usage'!$C$115)+IF('Equipment List &amp; Usage'!$F30="yes",'Equipment List &amp; Usage'!$C$114,'Equipment List &amp; Usage'!$C$115)*(('Weekly Summary'!J$66*'Equipment List &amp; Usage'!$Q31)+('Weekly Summary'!J$64*'Equipment List &amp; Usage'!$O31)+('Weekly Summary'!J$65*'Equipment List &amp; Usage'!$P31))+(IF('Equipment List &amp; Usage'!$F31="Yes",'Equipment List &amp; Usage'!$C$114*((('Weekly Summary'!J$131*SelfQuarantine_Mild)+('Weekly Summary'!J$100*SelfQuarantine_Mild)+('Weekly Summary'!J$101*SelfQuarantine_Moderate))),'Equipment List &amp; Usage'!$C$115)*((('Weekly Summary'!J$131*SelfQuarantine_Mild*'Equipment List &amp; Usage'!$W31)+('Weekly Summary'!J$100*SelfQuarantine_Mild*'Equipment List &amp; Usage'!$X31)+('Weekly Summary'!J$101*SelfQuarantine_Moderate*'Equipment List &amp; Usage'!$X31))))+IF('Equipment List &amp; Usage'!$F31="Yes",'Equipment List &amp; Usage'!$C$114*(IF('Equipment List &amp; Usage'!$AA31&gt;0,'Weekly Summary'!J$128,0)+IF('Equipment List &amp; Usage'!$AB31&gt;0,'Weekly Summary'!J$100+'Weekly Summary'!J$101,0)),'Equipment List &amp; Usage'!$C$115*(('Weekly Summary'!J$128*'Equipment List &amp; Usage'!$AA31)+('Weekly Summary'!J$100*'Equipment List &amp; Usage'!$AB31*SelfQuarantine_Mild)+('Weekly Summary'!J$101*'Equipment List &amp; Usage'!$AB31*SelfQuarantine_Moderate)))+IF('Equipment List &amp; Usage'!$F31="Yes",('Equipment List &amp; Usage'!$C$114*(IF('Equipment List &amp; Usage'!$AE31&gt;0,'Weekly Summary'!J$134,0)+IF('Equipment List &amp; Usage'!$AF31&gt;0,'Weekly Summary'!J$135))),'Equipment List &amp; Usage'!$C$115*(('Weekly Summary'!J$134*'Equipment List &amp; Usage'!$AE31)+('Weekly Summary'!J$135*'Equipment List &amp; Usage'!$AF31)))),0)</f>
        <v>6049.8042538018981</v>
      </c>
      <c r="Q29" s="1374">
        <f ca="1">MAX(IF($F29="Yes",(
IF($F29="yes",MMULT(--('Equipment List &amp; Usage'!$J31:$N31&gt;0),--('Weekly Summary'!K$112:K$116))*'Equipment List &amp; Usage'!$C$114,MMULT(--('Equipment List &amp; Usage'!$J31:$N31),--('Weekly Summary'!K$112:K$116))*'Equipment List &amp; Usage'!$C$115)+IF('Equipment List &amp; Usage'!$F30="yes",'Equipment List &amp; Usage'!$C$114,'Equipment List &amp; Usage'!$C$115)*(('Weekly Summary'!K$66*'Equipment List &amp; Usage'!$Q31)+('Weekly Summary'!K$64*'Equipment List &amp; Usage'!$O31)+('Weekly Summary'!K$65*'Equipment List &amp; Usage'!$P31)))+(IF('Equipment List &amp; Usage'!$F31="Yes",'Equipment List &amp; Usage'!$C$114*((('Weekly Summary'!K$131*SelfQuarantine_Mild)+('Weekly Summary'!K$100*SelfQuarantine_Mild)+('Weekly Summary'!K$101*SelfQuarantine_Moderate))),'Equipment List &amp; Usage'!$C$115)*((('Weekly Summary'!K$131*SelfQuarantine_Mild*'Equipment List &amp; Usage'!$W31)+('Weekly Summary'!K$100*SelfQuarantine_Mild*'Equipment List &amp; Usage'!$X31)+('Weekly Summary'!K$101*SelfQuarantine_Moderate*'Equipment List &amp; Usage'!$X31)))+IF('Equipment List &amp; Usage'!$F31="Yes",'Equipment List &amp; Usage'!$C$114*(IF('Equipment List &amp; Usage'!$AA31&gt;0,'Weekly Summary'!K$128,0)+IF('Equipment List &amp; Usage'!$AB31&gt;0,'Weekly Summary'!K$100+'Weekly Summary'!K$101,0)),'Equipment List &amp; Usage'!$C$115*(('Weekly Summary'!K$128*'Equipment List &amp; Usage'!$AA31)+('Weekly Summary'!K$100*'Equipment List &amp; Usage'!$AB31*SelfQuarantine_Mild)+('Weekly Summary'!K$101*'Equipment List &amp; Usage'!$AB31*SelfQuarantine_Moderate)))+IF('Equipment List &amp; Usage'!$F31="Yes",('Equipment List &amp; Usage'!$C$114*(IF('Equipment List &amp; Usage'!$AE31&gt;0,'Weekly Summary'!K$134,0)+IF('Equipment List &amp; Usage'!$AF31&gt;0,'Weekly Summary'!K$135))),'Equipment List &amp; Usage'!$C$115*(('Weekly Summary'!K$134*'Equipment List &amp; Usage'!$AE31)+('Weekly Summary'!K$135*'Equipment List &amp; Usage'!$AF31))))-SUM($I29:P29),
IF($F29="yes",MMULT(--('Equipment List &amp; Usage'!$J31:$N31&gt;0),--('Weekly Summary'!K$112:K$116))*'Equipment List &amp; Usage'!$C$114,MMULT(--('Equipment List &amp; Usage'!$J31:$N31),--('Weekly Summary'!K$112:K$116))*'Equipment List &amp; Usage'!$C$115)+IF('Equipment List &amp; Usage'!$F30="yes",'Equipment List &amp; Usage'!$C$114,'Equipment List &amp; Usage'!$C$115)*(('Weekly Summary'!K$66*'Equipment List &amp; Usage'!$Q31)+('Weekly Summary'!K$64*'Equipment List &amp; Usage'!$O31)+('Weekly Summary'!K$65*'Equipment List &amp; Usage'!$P31))+(IF('Equipment List &amp; Usage'!$F31="Yes",'Equipment List &amp; Usage'!$C$114*((('Weekly Summary'!K$131*SelfQuarantine_Mild)+('Weekly Summary'!K$100*SelfQuarantine_Mild)+('Weekly Summary'!K$101*SelfQuarantine_Moderate))),'Equipment List &amp; Usage'!$C$115)*((('Weekly Summary'!K$131*SelfQuarantine_Mild*'Equipment List &amp; Usage'!$W31)+('Weekly Summary'!K$100*SelfQuarantine_Mild*'Equipment List &amp; Usage'!$X31)+('Weekly Summary'!K$101*SelfQuarantine_Moderate*'Equipment List &amp; Usage'!$X31))))+IF('Equipment List &amp; Usage'!$F31="Yes",'Equipment List &amp; Usage'!$C$114*(IF('Equipment List &amp; Usage'!$AA31&gt;0,'Weekly Summary'!K$128,0)+IF('Equipment List &amp; Usage'!$AB31&gt;0,'Weekly Summary'!K$100+'Weekly Summary'!K$101,0)),'Equipment List &amp; Usage'!$C$115*(('Weekly Summary'!K$128*'Equipment List &amp; Usage'!$AA31)+('Weekly Summary'!K$100*'Equipment List &amp; Usage'!$AB31*SelfQuarantine_Mild)+('Weekly Summary'!K$101*'Equipment List &amp; Usage'!$AB31*SelfQuarantine_Moderate)))+IF('Equipment List &amp; Usage'!$F31="Yes",('Equipment List &amp; Usage'!$C$114*(IF('Equipment List &amp; Usage'!$AE31&gt;0,'Weekly Summary'!K$134,0)+IF('Equipment List &amp; Usage'!$AF31&gt;0,'Weekly Summary'!K$135))),'Equipment List &amp; Usage'!$C$115*(('Weekly Summary'!K$134*'Equipment List &amp; Usage'!$AE31)+('Weekly Summary'!K$135*'Equipment List &amp; Usage'!$AF31)))),0)</f>
        <v>0</v>
      </c>
      <c r="R29" s="1374">
        <f ca="1">MAX(IF($F29="Yes",(
IF($F29="yes",MMULT(--('Equipment List &amp; Usage'!$J31:$N31&gt;0),--('Weekly Summary'!L$112:L$116))*'Equipment List &amp; Usage'!$C$114,MMULT(--('Equipment List &amp; Usage'!$J31:$N31),--('Weekly Summary'!L$112:L$116))*'Equipment List &amp; Usage'!$C$115)+IF('Equipment List &amp; Usage'!$F30="yes",'Equipment List &amp; Usage'!$C$114,'Equipment List &amp; Usage'!$C$115)*(('Weekly Summary'!L$66*'Equipment List &amp; Usage'!$Q31)+('Weekly Summary'!L$64*'Equipment List &amp; Usage'!$O31)+('Weekly Summary'!L$65*'Equipment List &amp; Usage'!$P31)))+(IF('Equipment List &amp; Usage'!$F31="Yes",'Equipment List &amp; Usage'!$C$114*((('Weekly Summary'!L$131*SelfQuarantine_Mild)+('Weekly Summary'!L$100*SelfQuarantine_Mild)+('Weekly Summary'!L$101*SelfQuarantine_Moderate))),'Equipment List &amp; Usage'!$C$115)*((('Weekly Summary'!L$131*SelfQuarantine_Mild*'Equipment List &amp; Usage'!$W31)+('Weekly Summary'!L$100*SelfQuarantine_Mild*'Equipment List &amp; Usage'!$X31)+('Weekly Summary'!L$101*SelfQuarantine_Moderate*'Equipment List &amp; Usage'!$X31)))+IF('Equipment List &amp; Usage'!$F31="Yes",'Equipment List &amp; Usage'!$C$114*(IF('Equipment List &amp; Usage'!$AA31&gt;0,'Weekly Summary'!L$128,0)+IF('Equipment List &amp; Usage'!$AB31&gt;0,'Weekly Summary'!L$100+'Weekly Summary'!L$101,0)),'Equipment List &amp; Usage'!$C$115*(('Weekly Summary'!L$128*'Equipment List &amp; Usage'!$AA31)+('Weekly Summary'!L$100*'Equipment List &amp; Usage'!$AB31*SelfQuarantine_Mild)+('Weekly Summary'!L$101*'Equipment List &amp; Usage'!$AB31*SelfQuarantine_Moderate)))+IF('Equipment List &amp; Usage'!$F31="Yes",('Equipment List &amp; Usage'!$C$114*(IF('Equipment List &amp; Usage'!$AE31&gt;0,'Weekly Summary'!L$134,0)+IF('Equipment List &amp; Usage'!$AF31&gt;0,'Weekly Summary'!L$135))),'Equipment List &amp; Usage'!$C$115*(('Weekly Summary'!L$134*'Equipment List &amp; Usage'!$AE31)+('Weekly Summary'!L$135*'Equipment List &amp; Usage'!$AF31))))-SUM($I29:Q29),
IF($F29="yes",MMULT(--('Equipment List &amp; Usage'!$J31:$N31&gt;0),--('Weekly Summary'!L$112:L$116))*'Equipment List &amp; Usage'!$C$114,MMULT(--('Equipment List &amp; Usage'!$J31:$N31),--('Weekly Summary'!L$112:L$116))*'Equipment List &amp; Usage'!$C$115)+IF('Equipment List &amp; Usage'!$F30="yes",'Equipment List &amp; Usage'!$C$114,'Equipment List &amp; Usage'!$C$115)*(('Weekly Summary'!L$66*'Equipment List &amp; Usage'!$Q31)+('Weekly Summary'!L$64*'Equipment List &amp; Usage'!$O31)+('Weekly Summary'!L$65*'Equipment List &amp; Usage'!$P31))+(IF('Equipment List &amp; Usage'!$F31="Yes",'Equipment List &amp; Usage'!$C$114*((('Weekly Summary'!L$131*SelfQuarantine_Mild)+('Weekly Summary'!L$100*SelfQuarantine_Mild)+('Weekly Summary'!L$101*SelfQuarantine_Moderate))),'Equipment List &amp; Usage'!$C$115)*((('Weekly Summary'!L$131*SelfQuarantine_Mild*'Equipment List &amp; Usage'!$W31)+('Weekly Summary'!L$100*SelfQuarantine_Mild*'Equipment List &amp; Usage'!$X31)+('Weekly Summary'!L$101*SelfQuarantine_Moderate*'Equipment List &amp; Usage'!$X31))))+IF('Equipment List &amp; Usage'!$F31="Yes",'Equipment List &amp; Usage'!$C$114*(IF('Equipment List &amp; Usage'!$AA31&gt;0,'Weekly Summary'!L$128,0)+IF('Equipment List &amp; Usage'!$AB31&gt;0,'Weekly Summary'!L$100+'Weekly Summary'!L$101,0)),'Equipment List &amp; Usage'!$C$115*(('Weekly Summary'!L$128*'Equipment List &amp; Usage'!$AA31)+('Weekly Summary'!L$100*'Equipment List &amp; Usage'!$AB31*SelfQuarantine_Mild)+('Weekly Summary'!L$101*'Equipment List &amp; Usage'!$AB31*SelfQuarantine_Moderate)))+IF('Equipment List &amp; Usage'!$F31="Yes",('Equipment List &amp; Usage'!$C$114*(IF('Equipment List &amp; Usage'!$AE31&gt;0,'Weekly Summary'!L$134,0)+IF('Equipment List &amp; Usage'!$AF31&gt;0,'Weekly Summary'!L$135))),'Equipment List &amp; Usage'!$C$115*(('Weekly Summary'!L$134*'Equipment List &amp; Usage'!$AE31)+('Weekly Summary'!L$135*'Equipment List &amp; Usage'!$AF31)))),0)</f>
        <v>0</v>
      </c>
      <c r="S29" s="1374">
        <f ca="1">MAX(IF($F29="Yes",(
IF($F29="yes",MMULT(--('Equipment List &amp; Usage'!$J31:$N31&gt;0),--('Weekly Summary'!M$112:M$116))*'Equipment List &amp; Usage'!$C$114,MMULT(--('Equipment List &amp; Usage'!$J31:$N31),--('Weekly Summary'!M$112:M$116))*'Equipment List &amp; Usage'!$C$115)+IF('Equipment List &amp; Usage'!$F30="yes",'Equipment List &amp; Usage'!$C$114,'Equipment List &amp; Usage'!$C$115)*(('Weekly Summary'!M$66*'Equipment List &amp; Usage'!$Q31)+('Weekly Summary'!M$64*'Equipment List &amp; Usage'!$O31)+('Weekly Summary'!M$65*'Equipment List &amp; Usage'!$P31)))+(IF('Equipment List &amp; Usage'!$F31="Yes",'Equipment List &amp; Usage'!$C$114*((('Weekly Summary'!M$131*SelfQuarantine_Mild)+('Weekly Summary'!M$100*SelfQuarantine_Mild)+('Weekly Summary'!M$101*SelfQuarantine_Moderate))),'Equipment List &amp; Usage'!$C$115)*((('Weekly Summary'!M$131*SelfQuarantine_Mild*'Equipment List &amp; Usage'!$W31)+('Weekly Summary'!M$100*SelfQuarantine_Mild*'Equipment List &amp; Usage'!$X31)+('Weekly Summary'!M$101*SelfQuarantine_Moderate*'Equipment List &amp; Usage'!$X31)))+IF('Equipment List &amp; Usage'!$F31="Yes",'Equipment List &amp; Usage'!$C$114*(IF('Equipment List &amp; Usage'!$AA31&gt;0,'Weekly Summary'!M$128,0)+IF('Equipment List &amp; Usage'!$AB31&gt;0,'Weekly Summary'!M$100+'Weekly Summary'!M$101,0)),'Equipment List &amp; Usage'!$C$115*(('Weekly Summary'!M$128*'Equipment List &amp; Usage'!$AA31)+('Weekly Summary'!M$100*'Equipment List &amp; Usage'!$AB31*SelfQuarantine_Mild)+('Weekly Summary'!M$101*'Equipment List &amp; Usage'!$AB31*SelfQuarantine_Moderate)))+IF('Equipment List &amp; Usage'!$F31="Yes",('Equipment List &amp; Usage'!$C$114*(IF('Equipment List &amp; Usage'!$AE31&gt;0,'Weekly Summary'!M$134,0)+IF('Equipment List &amp; Usage'!$AF31&gt;0,'Weekly Summary'!M$135))),'Equipment List &amp; Usage'!$C$115*(('Weekly Summary'!M$134*'Equipment List &amp; Usage'!$AE31)+('Weekly Summary'!M$135*'Equipment List &amp; Usage'!$AF31))))-SUM($I29:R29),
IF($F29="yes",MMULT(--('Equipment List &amp; Usage'!$J31:$N31&gt;0),--('Weekly Summary'!M$112:M$116))*'Equipment List &amp; Usage'!$C$114,MMULT(--('Equipment List &amp; Usage'!$J31:$N31),--('Weekly Summary'!M$112:M$116))*'Equipment List &amp; Usage'!$C$115)+IF('Equipment List &amp; Usage'!$F30="yes",'Equipment List &amp; Usage'!$C$114,'Equipment List &amp; Usage'!$C$115)*(('Weekly Summary'!M$66*'Equipment List &amp; Usage'!$Q31)+('Weekly Summary'!M$64*'Equipment List &amp; Usage'!$O31)+('Weekly Summary'!M$65*'Equipment List &amp; Usage'!$P31))+(IF('Equipment List &amp; Usage'!$F31="Yes",'Equipment List &amp; Usage'!$C$114*((('Weekly Summary'!M$131*SelfQuarantine_Mild)+('Weekly Summary'!M$100*SelfQuarantine_Mild)+('Weekly Summary'!M$101*SelfQuarantine_Moderate))),'Equipment List &amp; Usage'!$C$115)*((('Weekly Summary'!M$131*SelfQuarantine_Mild*'Equipment List &amp; Usage'!$W31)+('Weekly Summary'!M$100*SelfQuarantine_Mild*'Equipment List &amp; Usage'!$X31)+('Weekly Summary'!M$101*SelfQuarantine_Moderate*'Equipment List &amp; Usage'!$X31))))+IF('Equipment List &amp; Usage'!$F31="Yes",'Equipment List &amp; Usage'!$C$114*(IF('Equipment List &amp; Usage'!$AA31&gt;0,'Weekly Summary'!M$128,0)+IF('Equipment List &amp; Usage'!$AB31&gt;0,'Weekly Summary'!M$100+'Weekly Summary'!M$101,0)),'Equipment List &amp; Usage'!$C$115*(('Weekly Summary'!M$128*'Equipment List &amp; Usage'!$AA31)+('Weekly Summary'!M$100*'Equipment List &amp; Usage'!$AB31*SelfQuarantine_Mild)+('Weekly Summary'!M$101*'Equipment List &amp; Usage'!$AB31*SelfQuarantine_Moderate)))+IF('Equipment List &amp; Usage'!$F31="Yes",('Equipment List &amp; Usage'!$C$114*(IF('Equipment List &amp; Usage'!$AE31&gt;0,'Weekly Summary'!M$134,0)+IF('Equipment List &amp; Usage'!$AF31&gt;0,'Weekly Summary'!M$135))),'Equipment List &amp; Usage'!$C$115*(('Weekly Summary'!M$134*'Equipment List &amp; Usage'!$AE31)+('Weekly Summary'!M$135*'Equipment List &amp; Usage'!$AF31)))),0)</f>
        <v>0</v>
      </c>
      <c r="T29" s="1374">
        <f ca="1">MAX(IF($F29="Yes",(
IF($F29="yes",MMULT(--('Equipment List &amp; Usage'!$J31:$N31&gt;0),--('Weekly Summary'!N$112:N$116))*'Equipment List &amp; Usage'!$C$114,MMULT(--('Equipment List &amp; Usage'!$J31:$N31),--('Weekly Summary'!N$112:N$116))*'Equipment List &amp; Usage'!$C$115)+IF('Equipment List &amp; Usage'!$F30="yes",'Equipment List &amp; Usage'!$C$114,'Equipment List &amp; Usage'!$C$115)*(('Weekly Summary'!N$66*'Equipment List &amp; Usage'!$Q31)+('Weekly Summary'!N$64*'Equipment List &amp; Usage'!$O31)+('Weekly Summary'!N$65*'Equipment List &amp; Usage'!$P31)))+(IF('Equipment List &amp; Usage'!$F31="Yes",'Equipment List &amp; Usage'!$C$114*((('Weekly Summary'!N$131*SelfQuarantine_Mild)+('Weekly Summary'!N$100*SelfQuarantine_Mild)+('Weekly Summary'!N$101*SelfQuarantine_Moderate))),'Equipment List &amp; Usage'!$C$115)*((('Weekly Summary'!N$131*SelfQuarantine_Mild*'Equipment List &amp; Usage'!$W31)+('Weekly Summary'!N$100*SelfQuarantine_Mild*'Equipment List &amp; Usage'!$X31)+('Weekly Summary'!N$101*SelfQuarantine_Moderate*'Equipment List &amp; Usage'!$X31)))+IF('Equipment List &amp; Usage'!$F31="Yes",'Equipment List &amp; Usage'!$C$114*(IF('Equipment List &amp; Usage'!$AA31&gt;0,'Weekly Summary'!N$128,0)+IF('Equipment List &amp; Usage'!$AB31&gt;0,'Weekly Summary'!N$100+'Weekly Summary'!N$101,0)),'Equipment List &amp; Usage'!$C$115*(('Weekly Summary'!N$128*'Equipment List &amp; Usage'!$AA31)+('Weekly Summary'!N$100*'Equipment List &amp; Usage'!$AB31*SelfQuarantine_Mild)+('Weekly Summary'!N$101*'Equipment List &amp; Usage'!$AB31*SelfQuarantine_Moderate)))+IF('Equipment List &amp; Usage'!$F31="Yes",('Equipment List &amp; Usage'!$C$114*(IF('Equipment List &amp; Usage'!$AE31&gt;0,'Weekly Summary'!N$134,0)+IF('Equipment List &amp; Usage'!$AF31&gt;0,'Weekly Summary'!N$135))),'Equipment List &amp; Usage'!$C$115*(('Weekly Summary'!N$134*'Equipment List &amp; Usage'!$AE31)+('Weekly Summary'!N$135*'Equipment List &amp; Usage'!$AF31))))-SUM($I29:S29),
IF($F29="yes",MMULT(--('Equipment List &amp; Usage'!$J31:$N31&gt;0),--('Weekly Summary'!N$112:N$116))*'Equipment List &amp; Usage'!$C$114,MMULT(--('Equipment List &amp; Usage'!$J31:$N31),--('Weekly Summary'!N$112:N$116))*'Equipment List &amp; Usage'!$C$115)+IF('Equipment List &amp; Usage'!$F30="yes",'Equipment List &amp; Usage'!$C$114,'Equipment List &amp; Usage'!$C$115)*(('Weekly Summary'!N$66*'Equipment List &amp; Usage'!$Q31)+('Weekly Summary'!N$64*'Equipment List &amp; Usage'!$O31)+('Weekly Summary'!N$65*'Equipment List &amp; Usage'!$P31))+(IF('Equipment List &amp; Usage'!$F31="Yes",'Equipment List &amp; Usage'!$C$114*((('Weekly Summary'!N$131*SelfQuarantine_Mild)+('Weekly Summary'!N$100*SelfQuarantine_Mild)+('Weekly Summary'!N$101*SelfQuarantine_Moderate))),'Equipment List &amp; Usage'!$C$115)*((('Weekly Summary'!N$131*SelfQuarantine_Mild*'Equipment List &amp; Usage'!$W31)+('Weekly Summary'!N$100*SelfQuarantine_Mild*'Equipment List &amp; Usage'!$X31)+('Weekly Summary'!N$101*SelfQuarantine_Moderate*'Equipment List &amp; Usage'!$X31))))+IF('Equipment List &amp; Usage'!$F31="Yes",'Equipment List &amp; Usage'!$C$114*(IF('Equipment List &amp; Usage'!$AA31&gt;0,'Weekly Summary'!N$128,0)+IF('Equipment List &amp; Usage'!$AB31&gt;0,'Weekly Summary'!N$100+'Weekly Summary'!N$101,0)),'Equipment List &amp; Usage'!$C$115*(('Weekly Summary'!N$128*'Equipment List &amp; Usage'!$AA31)+('Weekly Summary'!N$100*'Equipment List &amp; Usage'!$AB31*SelfQuarantine_Mild)+('Weekly Summary'!N$101*'Equipment List &amp; Usage'!$AB31*SelfQuarantine_Moderate)))+IF('Equipment List &amp; Usage'!$F31="Yes",('Equipment List &amp; Usage'!$C$114*(IF('Equipment List &amp; Usage'!$AE31&gt;0,'Weekly Summary'!N$134,0)+IF('Equipment List &amp; Usage'!$AF31&gt;0,'Weekly Summary'!N$135))),'Equipment List &amp; Usage'!$C$115*(('Weekly Summary'!N$134*'Equipment List &amp; Usage'!$AE31)+('Weekly Summary'!N$135*'Equipment List &amp; Usage'!$AF31)))),0)</f>
        <v>0</v>
      </c>
      <c r="U29" s="1374">
        <f ca="1">MAX(IF($F29="Yes",(
IF($F29="yes",MMULT(--('Equipment List &amp; Usage'!$J31:$N31&gt;0),--('Weekly Summary'!O$112:O$116))*'Equipment List &amp; Usage'!$C$114,MMULT(--('Equipment List &amp; Usage'!$J31:$N31),--('Weekly Summary'!O$112:O$116))*'Equipment List &amp; Usage'!$C$115)+IF('Equipment List &amp; Usage'!$F30="yes",'Equipment List &amp; Usage'!$C$114,'Equipment List &amp; Usage'!$C$115)*(('Weekly Summary'!O$66*'Equipment List &amp; Usage'!$Q31)+('Weekly Summary'!O$64*'Equipment List &amp; Usage'!$O31)+('Weekly Summary'!O$65*'Equipment List &amp; Usage'!$P31)))+(IF('Equipment List &amp; Usage'!$F31="Yes",'Equipment List &amp; Usage'!$C$114*((('Weekly Summary'!O$131*SelfQuarantine_Mild)+('Weekly Summary'!O$100*SelfQuarantine_Mild)+('Weekly Summary'!O$101*SelfQuarantine_Moderate))),'Equipment List &amp; Usage'!$C$115)*((('Weekly Summary'!O$131*SelfQuarantine_Mild*'Equipment List &amp; Usage'!$W31)+('Weekly Summary'!O$100*SelfQuarantine_Mild*'Equipment List &amp; Usage'!$X31)+('Weekly Summary'!O$101*SelfQuarantine_Moderate*'Equipment List &amp; Usage'!$X31)))+IF('Equipment List &amp; Usage'!$F31="Yes",'Equipment List &amp; Usage'!$C$114*(IF('Equipment List &amp; Usage'!$AA31&gt;0,'Weekly Summary'!O$128,0)+IF('Equipment List &amp; Usage'!$AB31&gt;0,'Weekly Summary'!O$100+'Weekly Summary'!O$101,0)),'Equipment List &amp; Usage'!$C$115*(('Weekly Summary'!O$128*'Equipment List &amp; Usage'!$AA31)+('Weekly Summary'!O$100*'Equipment List &amp; Usage'!$AB31*SelfQuarantine_Mild)+('Weekly Summary'!O$101*'Equipment List &amp; Usage'!$AB31*SelfQuarantine_Moderate)))+IF('Equipment List &amp; Usage'!$F31="Yes",('Equipment List &amp; Usage'!$C$114*(IF('Equipment List &amp; Usage'!$AE31&gt;0,'Weekly Summary'!O$134,0)+IF('Equipment List &amp; Usage'!$AF31&gt;0,'Weekly Summary'!O$135))),'Equipment List &amp; Usage'!$C$115*(('Weekly Summary'!O$134*'Equipment List &amp; Usage'!$AE31)+('Weekly Summary'!O$135*'Equipment List &amp; Usage'!$AF31))))-SUM($I29:T29),
IF($F29="yes",MMULT(--('Equipment List &amp; Usage'!$J31:$N31&gt;0),--('Weekly Summary'!O$112:O$116))*'Equipment List &amp; Usage'!$C$114,MMULT(--('Equipment List &amp; Usage'!$J31:$N31),--('Weekly Summary'!O$112:O$116))*'Equipment List &amp; Usage'!$C$115)+IF('Equipment List &amp; Usage'!$F30="yes",'Equipment List &amp; Usage'!$C$114,'Equipment List &amp; Usage'!$C$115)*(('Weekly Summary'!O$66*'Equipment List &amp; Usage'!$Q31)+('Weekly Summary'!O$64*'Equipment List &amp; Usage'!$O31)+('Weekly Summary'!O$65*'Equipment List &amp; Usage'!$P31))+(IF('Equipment List &amp; Usage'!$F31="Yes",'Equipment List &amp; Usage'!$C$114*((('Weekly Summary'!O$131*SelfQuarantine_Mild)+('Weekly Summary'!O$100*SelfQuarantine_Mild)+('Weekly Summary'!O$101*SelfQuarantine_Moderate))),'Equipment List &amp; Usage'!$C$115)*((('Weekly Summary'!O$131*SelfQuarantine_Mild*'Equipment List &amp; Usage'!$W31)+('Weekly Summary'!O$100*SelfQuarantine_Mild*'Equipment List &amp; Usage'!$X31)+('Weekly Summary'!O$101*SelfQuarantine_Moderate*'Equipment List &amp; Usage'!$X31))))+IF('Equipment List &amp; Usage'!$F31="Yes",'Equipment List &amp; Usage'!$C$114*(IF('Equipment List &amp; Usage'!$AA31&gt;0,'Weekly Summary'!O$128,0)+IF('Equipment List &amp; Usage'!$AB31&gt;0,'Weekly Summary'!O$100+'Weekly Summary'!O$101,0)),'Equipment List &amp; Usage'!$C$115*(('Weekly Summary'!O$128*'Equipment List &amp; Usage'!$AA31)+('Weekly Summary'!O$100*'Equipment List &amp; Usage'!$AB31*SelfQuarantine_Mild)+('Weekly Summary'!O$101*'Equipment List &amp; Usage'!$AB31*SelfQuarantine_Moderate)))+IF('Equipment List &amp; Usage'!$F31="Yes",('Equipment List &amp; Usage'!$C$114*(IF('Equipment List &amp; Usage'!$AE31&gt;0,'Weekly Summary'!O$134,0)+IF('Equipment List &amp; Usage'!$AF31&gt;0,'Weekly Summary'!O$135))),'Equipment List &amp; Usage'!$C$115*(('Weekly Summary'!O$134*'Equipment List &amp; Usage'!$AE31)+('Weekly Summary'!O$135*'Equipment List &amp; Usage'!$AF31)))),0)</f>
        <v>0</v>
      </c>
      <c r="V29" s="1374">
        <f ca="1">MAX(IF($F29="Yes",(
IF($F29="yes",MMULT(--('Equipment List &amp; Usage'!$J31:$N31&gt;0),--('Weekly Summary'!P$112:P$116))*'Equipment List &amp; Usage'!$C$114,MMULT(--('Equipment List &amp; Usage'!$J31:$N31),--('Weekly Summary'!P$112:P$116))*'Equipment List &amp; Usage'!$C$115)+IF('Equipment List &amp; Usage'!$F30="yes",'Equipment List &amp; Usage'!$C$114,'Equipment List &amp; Usage'!$C$115)*(('Weekly Summary'!P$66*'Equipment List &amp; Usage'!$Q31)+('Weekly Summary'!P$64*'Equipment List &amp; Usage'!$O31)+('Weekly Summary'!P$65*'Equipment List &amp; Usage'!$P31)))+(IF('Equipment List &amp; Usage'!$F31="Yes",'Equipment List &amp; Usage'!$C$114*((('Weekly Summary'!P$131*SelfQuarantine_Mild)+('Weekly Summary'!P$100*SelfQuarantine_Mild)+('Weekly Summary'!P$101*SelfQuarantine_Moderate))),'Equipment List &amp; Usage'!$C$115)*((('Weekly Summary'!P$131*SelfQuarantine_Mild*'Equipment List &amp; Usage'!$W31)+('Weekly Summary'!P$100*SelfQuarantine_Mild*'Equipment List &amp; Usage'!$X31)+('Weekly Summary'!P$101*SelfQuarantine_Moderate*'Equipment List &amp; Usage'!$X31)))+IF('Equipment List &amp; Usage'!$F31="Yes",'Equipment List &amp; Usage'!$C$114*(IF('Equipment List &amp; Usage'!$AA31&gt;0,'Weekly Summary'!P$128,0)+IF('Equipment List &amp; Usage'!$AB31&gt;0,'Weekly Summary'!P$100+'Weekly Summary'!P$101,0)),'Equipment List &amp; Usage'!$C$115*(('Weekly Summary'!P$128*'Equipment List &amp; Usage'!$AA31)+('Weekly Summary'!P$100*'Equipment List &amp; Usage'!$AB31*SelfQuarantine_Mild)+('Weekly Summary'!P$101*'Equipment List &amp; Usage'!$AB31*SelfQuarantine_Moderate)))+IF('Equipment List &amp; Usage'!$F31="Yes",('Equipment List &amp; Usage'!$C$114*(IF('Equipment List &amp; Usage'!$AE31&gt;0,'Weekly Summary'!P$134,0)+IF('Equipment List &amp; Usage'!$AF31&gt;0,'Weekly Summary'!P$135))),'Equipment List &amp; Usage'!$C$115*(('Weekly Summary'!P$134*'Equipment List &amp; Usage'!$AE31)+('Weekly Summary'!P$135*'Equipment List &amp; Usage'!$AF31))))-SUM($I29:U29),
IF($F29="yes",MMULT(--('Equipment List &amp; Usage'!$J31:$N31&gt;0),--('Weekly Summary'!P$112:P$116))*'Equipment List &amp; Usage'!$C$114,MMULT(--('Equipment List &amp; Usage'!$J31:$N31),--('Weekly Summary'!P$112:P$116))*'Equipment List &amp; Usage'!$C$115)+IF('Equipment List &amp; Usage'!$F30="yes",'Equipment List &amp; Usage'!$C$114,'Equipment List &amp; Usage'!$C$115)*(('Weekly Summary'!P$66*'Equipment List &amp; Usage'!$Q31)+('Weekly Summary'!P$64*'Equipment List &amp; Usage'!$O31)+('Weekly Summary'!P$65*'Equipment List &amp; Usage'!$P31))+(IF('Equipment List &amp; Usage'!$F31="Yes",'Equipment List &amp; Usage'!$C$114*((('Weekly Summary'!P$131*SelfQuarantine_Mild)+('Weekly Summary'!P$100*SelfQuarantine_Mild)+('Weekly Summary'!P$101*SelfQuarantine_Moderate))),'Equipment List &amp; Usage'!$C$115)*((('Weekly Summary'!P$131*SelfQuarantine_Mild*'Equipment List &amp; Usage'!$W31)+('Weekly Summary'!P$100*SelfQuarantine_Mild*'Equipment List &amp; Usage'!$X31)+('Weekly Summary'!P$101*SelfQuarantine_Moderate*'Equipment List &amp; Usage'!$X31))))+IF('Equipment List &amp; Usage'!$F31="Yes",'Equipment List &amp; Usage'!$C$114*(IF('Equipment List &amp; Usage'!$AA31&gt;0,'Weekly Summary'!P$128,0)+IF('Equipment List &amp; Usage'!$AB31&gt;0,'Weekly Summary'!P$100+'Weekly Summary'!P$101,0)),'Equipment List &amp; Usage'!$C$115*(('Weekly Summary'!P$128*'Equipment List &amp; Usage'!$AA31)+('Weekly Summary'!P$100*'Equipment List &amp; Usage'!$AB31*SelfQuarantine_Mild)+('Weekly Summary'!P$101*'Equipment List &amp; Usage'!$AB31*SelfQuarantine_Moderate)))+IF('Equipment List &amp; Usage'!$F31="Yes",('Equipment List &amp; Usage'!$C$114*(IF('Equipment List &amp; Usage'!$AE31&gt;0,'Weekly Summary'!P$134,0)+IF('Equipment List &amp; Usage'!$AF31&gt;0,'Weekly Summary'!P$135))),'Equipment List &amp; Usage'!$C$115*(('Weekly Summary'!P$134*'Equipment List &amp; Usage'!$AE31)+('Weekly Summary'!P$135*'Equipment List &amp; Usage'!$AF31)))),0)</f>
        <v>0</v>
      </c>
      <c r="W29" s="1374">
        <f ca="1">MAX(IF($F29="Yes",(
IF($F29="yes",MMULT(--('Equipment List &amp; Usage'!$J31:$N31&gt;0),--('Weekly Summary'!Q$112:Q$116))*'Equipment List &amp; Usage'!$C$114,MMULT(--('Equipment List &amp; Usage'!$J31:$N31),--('Weekly Summary'!Q$112:Q$116))*'Equipment List &amp; Usage'!$C$115)+IF('Equipment List &amp; Usage'!$F30="yes",'Equipment List &amp; Usage'!$C$114,'Equipment List &amp; Usage'!$C$115)*(('Weekly Summary'!Q$66*'Equipment List &amp; Usage'!$Q31)+('Weekly Summary'!Q$64*'Equipment List &amp; Usage'!$O31)+('Weekly Summary'!Q$65*'Equipment List &amp; Usage'!$P31)))+(IF('Equipment List &amp; Usage'!$F31="Yes",'Equipment List &amp; Usage'!$C$114*((('Weekly Summary'!Q$131*SelfQuarantine_Mild)+('Weekly Summary'!Q$100*SelfQuarantine_Mild)+('Weekly Summary'!Q$101*SelfQuarantine_Moderate))),'Equipment List &amp; Usage'!$C$115)*((('Weekly Summary'!Q$131*SelfQuarantine_Mild*'Equipment List &amp; Usage'!$W31)+('Weekly Summary'!Q$100*SelfQuarantine_Mild*'Equipment List &amp; Usage'!$X31)+('Weekly Summary'!Q$101*SelfQuarantine_Moderate*'Equipment List &amp; Usage'!$X31)))+IF('Equipment List &amp; Usage'!$F31="Yes",'Equipment List &amp; Usage'!$C$114*(IF('Equipment List &amp; Usage'!$AA31&gt;0,'Weekly Summary'!Q$128,0)+IF('Equipment List &amp; Usage'!$AB31&gt;0,'Weekly Summary'!Q$100+'Weekly Summary'!Q$101,0)),'Equipment List &amp; Usage'!$C$115*(('Weekly Summary'!Q$128*'Equipment List &amp; Usage'!$AA31)+('Weekly Summary'!Q$100*'Equipment List &amp; Usage'!$AB31*SelfQuarantine_Mild)+('Weekly Summary'!Q$101*'Equipment List &amp; Usage'!$AB31*SelfQuarantine_Moderate)))+IF('Equipment List &amp; Usage'!$F31="Yes",('Equipment List &amp; Usage'!$C$114*(IF('Equipment List &amp; Usage'!$AE31&gt;0,'Weekly Summary'!Q$134,0)+IF('Equipment List &amp; Usage'!$AF31&gt;0,'Weekly Summary'!Q$135))),'Equipment List &amp; Usage'!$C$115*(('Weekly Summary'!Q$134*'Equipment List &amp; Usage'!$AE31)+('Weekly Summary'!Q$135*'Equipment List &amp; Usage'!$AF31))))-SUM($I29:V29),
IF($F29="yes",MMULT(--('Equipment List &amp; Usage'!$J31:$N31&gt;0),--('Weekly Summary'!Q$112:Q$116))*'Equipment List &amp; Usage'!$C$114,MMULT(--('Equipment List &amp; Usage'!$J31:$N31),--('Weekly Summary'!Q$112:Q$116))*'Equipment List &amp; Usage'!$C$115)+IF('Equipment List &amp; Usage'!$F30="yes",'Equipment List &amp; Usage'!$C$114,'Equipment List &amp; Usage'!$C$115)*(('Weekly Summary'!Q$66*'Equipment List &amp; Usage'!$Q31)+('Weekly Summary'!Q$64*'Equipment List &amp; Usage'!$O31)+('Weekly Summary'!Q$65*'Equipment List &amp; Usage'!$P31))+(IF('Equipment List &amp; Usage'!$F31="Yes",'Equipment List &amp; Usage'!$C$114*((('Weekly Summary'!Q$131*SelfQuarantine_Mild)+('Weekly Summary'!Q$100*SelfQuarantine_Mild)+('Weekly Summary'!Q$101*SelfQuarantine_Moderate))),'Equipment List &amp; Usage'!$C$115)*((('Weekly Summary'!Q$131*SelfQuarantine_Mild*'Equipment List &amp; Usage'!$W31)+('Weekly Summary'!Q$100*SelfQuarantine_Mild*'Equipment List &amp; Usage'!$X31)+('Weekly Summary'!Q$101*SelfQuarantine_Moderate*'Equipment List &amp; Usage'!$X31))))+IF('Equipment List &amp; Usage'!$F31="Yes",'Equipment List &amp; Usage'!$C$114*(IF('Equipment List &amp; Usage'!$AA31&gt;0,'Weekly Summary'!Q$128,0)+IF('Equipment List &amp; Usage'!$AB31&gt;0,'Weekly Summary'!Q$100+'Weekly Summary'!Q$101,0)),'Equipment List &amp; Usage'!$C$115*(('Weekly Summary'!Q$128*'Equipment List &amp; Usage'!$AA31)+('Weekly Summary'!Q$100*'Equipment List &amp; Usage'!$AB31*SelfQuarantine_Mild)+('Weekly Summary'!Q$101*'Equipment List &amp; Usage'!$AB31*SelfQuarantine_Moderate)))+IF('Equipment List &amp; Usage'!$F31="Yes",('Equipment List &amp; Usage'!$C$114*(IF('Equipment List &amp; Usage'!$AE31&gt;0,'Weekly Summary'!Q$134,0)+IF('Equipment List &amp; Usage'!$AF31&gt;0,'Weekly Summary'!Q$135))),'Equipment List &amp; Usage'!$C$115*(('Weekly Summary'!Q$134*'Equipment List &amp; Usage'!$AE31)+('Weekly Summary'!Q$135*'Equipment List &amp; Usage'!$AF31)))),0)</f>
        <v>0</v>
      </c>
      <c r="X29" s="1374">
        <f ca="1">MAX(IF($F29="Yes",(
IF($F29="yes",MMULT(--('Equipment List &amp; Usage'!$J31:$N31&gt;0),--('Weekly Summary'!R$112:R$116))*'Equipment List &amp; Usage'!$C$114,MMULT(--('Equipment List &amp; Usage'!$J31:$N31),--('Weekly Summary'!R$112:R$116))*'Equipment List &amp; Usage'!$C$115)+IF('Equipment List &amp; Usage'!$F30="yes",'Equipment List &amp; Usage'!$C$114,'Equipment List &amp; Usage'!$C$115)*(('Weekly Summary'!R$66*'Equipment List &amp; Usage'!$Q31)+('Weekly Summary'!R$64*'Equipment List &amp; Usage'!$O31)+('Weekly Summary'!R$65*'Equipment List &amp; Usage'!$P31)))+(IF('Equipment List &amp; Usage'!$F31="Yes",'Equipment List &amp; Usage'!$C$114*((('Weekly Summary'!R$131*SelfQuarantine_Mild)+('Weekly Summary'!R$100*SelfQuarantine_Mild)+('Weekly Summary'!R$101*SelfQuarantine_Moderate))),'Equipment List &amp; Usage'!$C$115)*((('Weekly Summary'!R$131*SelfQuarantine_Mild*'Equipment List &amp; Usage'!$W31)+('Weekly Summary'!R$100*SelfQuarantine_Mild*'Equipment List &amp; Usage'!$X31)+('Weekly Summary'!R$101*SelfQuarantine_Moderate*'Equipment List &amp; Usage'!$X31)))+IF('Equipment List &amp; Usage'!$F31="Yes",'Equipment List &amp; Usage'!$C$114*(IF('Equipment List &amp; Usage'!$AA31&gt;0,'Weekly Summary'!R$128,0)+IF('Equipment List &amp; Usage'!$AB31&gt;0,'Weekly Summary'!R$100+'Weekly Summary'!R$101,0)),'Equipment List &amp; Usage'!$C$115*(('Weekly Summary'!R$128*'Equipment List &amp; Usage'!$AA31)+('Weekly Summary'!R$100*'Equipment List &amp; Usage'!$AB31*SelfQuarantine_Mild)+('Weekly Summary'!R$101*'Equipment List &amp; Usage'!$AB31*SelfQuarantine_Moderate)))+IF('Equipment List &amp; Usage'!$F31="Yes",('Equipment List &amp; Usage'!$C$114*(IF('Equipment List &amp; Usage'!$AE31&gt;0,'Weekly Summary'!R$134,0)+IF('Equipment List &amp; Usage'!$AF31&gt;0,'Weekly Summary'!R$135))),'Equipment List &amp; Usage'!$C$115*(('Weekly Summary'!R$134*'Equipment List &amp; Usage'!$AE31)+('Weekly Summary'!R$135*'Equipment List &amp; Usage'!$AF31))))-SUM($I29:W29),
IF($F29="yes",MMULT(--('Equipment List &amp; Usage'!$J31:$N31&gt;0),--('Weekly Summary'!R$112:R$116))*'Equipment List &amp; Usage'!$C$114,MMULT(--('Equipment List &amp; Usage'!$J31:$N31),--('Weekly Summary'!R$112:R$116))*'Equipment List &amp; Usage'!$C$115)+IF('Equipment List &amp; Usage'!$F30="yes",'Equipment List &amp; Usage'!$C$114,'Equipment List &amp; Usage'!$C$115)*(('Weekly Summary'!R$66*'Equipment List &amp; Usage'!$Q31)+('Weekly Summary'!R$64*'Equipment List &amp; Usage'!$O31)+('Weekly Summary'!R$65*'Equipment List &amp; Usage'!$P31))+(IF('Equipment List &amp; Usage'!$F31="Yes",'Equipment List &amp; Usage'!$C$114*((('Weekly Summary'!R$131*SelfQuarantine_Mild)+('Weekly Summary'!R$100*SelfQuarantine_Mild)+('Weekly Summary'!R$101*SelfQuarantine_Moderate))),'Equipment List &amp; Usage'!$C$115)*((('Weekly Summary'!R$131*SelfQuarantine_Mild*'Equipment List &amp; Usage'!$W31)+('Weekly Summary'!R$100*SelfQuarantine_Mild*'Equipment List &amp; Usage'!$X31)+('Weekly Summary'!R$101*SelfQuarantine_Moderate*'Equipment List &amp; Usage'!$X31))))+IF('Equipment List &amp; Usage'!$F31="Yes",'Equipment List &amp; Usage'!$C$114*(IF('Equipment List &amp; Usage'!$AA31&gt;0,'Weekly Summary'!R$128,0)+IF('Equipment List &amp; Usage'!$AB31&gt;0,'Weekly Summary'!R$100+'Weekly Summary'!R$101,0)),'Equipment List &amp; Usage'!$C$115*(('Weekly Summary'!R$128*'Equipment List &amp; Usage'!$AA31)+('Weekly Summary'!R$100*'Equipment List &amp; Usage'!$AB31*SelfQuarantine_Mild)+('Weekly Summary'!R$101*'Equipment List &amp; Usage'!$AB31*SelfQuarantine_Moderate)))+IF('Equipment List &amp; Usage'!$F31="Yes",('Equipment List &amp; Usage'!$C$114*(IF('Equipment List &amp; Usage'!$AE31&gt;0,'Weekly Summary'!R$134,0)+IF('Equipment List &amp; Usage'!$AF31&gt;0,'Weekly Summary'!R$135))),'Equipment List &amp; Usage'!$C$115*(('Weekly Summary'!R$134*'Equipment List &amp; Usage'!$AE31)+('Weekly Summary'!R$135*'Equipment List &amp; Usage'!$AF31)))),0)</f>
        <v>0</v>
      </c>
      <c r="Y29" s="1374">
        <f ca="1">MAX(IF($F29="Yes",(
IF($F29="yes",MMULT(--('Equipment List &amp; Usage'!$J31:$N31&gt;0),--('Weekly Summary'!S$112:S$116))*'Equipment List &amp; Usage'!$C$114,MMULT(--('Equipment List &amp; Usage'!$J31:$N31),--('Weekly Summary'!S$112:S$116))*'Equipment List &amp; Usage'!$C$115)+IF('Equipment List &amp; Usage'!$F30="yes",'Equipment List &amp; Usage'!$C$114,'Equipment List &amp; Usage'!$C$115)*(('Weekly Summary'!S$66*'Equipment List &amp; Usage'!$Q31)+('Weekly Summary'!S$64*'Equipment List &amp; Usage'!$O31)+('Weekly Summary'!S$65*'Equipment List &amp; Usage'!$P31)))+(IF('Equipment List &amp; Usage'!$F31="Yes",'Equipment List &amp; Usage'!$C$114*((('Weekly Summary'!S$131*SelfQuarantine_Mild)+('Weekly Summary'!S$100*SelfQuarantine_Mild)+('Weekly Summary'!S$101*SelfQuarantine_Moderate))),'Equipment List &amp; Usage'!$C$115)*((('Weekly Summary'!S$131*SelfQuarantine_Mild*'Equipment List &amp; Usage'!$W31)+('Weekly Summary'!S$100*SelfQuarantine_Mild*'Equipment List &amp; Usage'!$X31)+('Weekly Summary'!S$101*SelfQuarantine_Moderate*'Equipment List &amp; Usage'!$X31)))+IF('Equipment List &amp; Usage'!$F31="Yes",'Equipment List &amp; Usage'!$C$114*(IF('Equipment List &amp; Usage'!$AA31&gt;0,'Weekly Summary'!S$128,0)+IF('Equipment List &amp; Usage'!$AB31&gt;0,'Weekly Summary'!S$100+'Weekly Summary'!S$101,0)),'Equipment List &amp; Usage'!$C$115*(('Weekly Summary'!S$128*'Equipment List &amp; Usage'!$AA31)+('Weekly Summary'!S$100*'Equipment List &amp; Usage'!$AB31*SelfQuarantine_Mild)+('Weekly Summary'!S$101*'Equipment List &amp; Usage'!$AB31*SelfQuarantine_Moderate)))+IF('Equipment List &amp; Usage'!$F31="Yes",('Equipment List &amp; Usage'!$C$114*(IF('Equipment List &amp; Usage'!$AE31&gt;0,'Weekly Summary'!S$134,0)+IF('Equipment List &amp; Usage'!$AF31&gt;0,'Weekly Summary'!S$135))),'Equipment List &amp; Usage'!$C$115*(('Weekly Summary'!S$134*'Equipment List &amp; Usage'!$AE31)+('Weekly Summary'!S$135*'Equipment List &amp; Usage'!$AF31))))-SUM($I29:X29),
IF($F29="yes",MMULT(--('Equipment List &amp; Usage'!$J31:$N31&gt;0),--('Weekly Summary'!S$112:S$116))*'Equipment List &amp; Usage'!$C$114,MMULT(--('Equipment List &amp; Usage'!$J31:$N31),--('Weekly Summary'!S$112:S$116))*'Equipment List &amp; Usage'!$C$115)+IF('Equipment List &amp; Usage'!$F30="yes",'Equipment List &amp; Usage'!$C$114,'Equipment List &amp; Usage'!$C$115)*(('Weekly Summary'!S$66*'Equipment List &amp; Usage'!$Q31)+('Weekly Summary'!S$64*'Equipment List &amp; Usage'!$O31)+('Weekly Summary'!S$65*'Equipment List &amp; Usage'!$P31))+(IF('Equipment List &amp; Usage'!$F31="Yes",'Equipment List &amp; Usage'!$C$114*((('Weekly Summary'!S$131*SelfQuarantine_Mild)+('Weekly Summary'!S$100*SelfQuarantine_Mild)+('Weekly Summary'!S$101*SelfQuarantine_Moderate))),'Equipment List &amp; Usage'!$C$115)*((('Weekly Summary'!S$131*SelfQuarantine_Mild*'Equipment List &amp; Usage'!$W31)+('Weekly Summary'!S$100*SelfQuarantine_Mild*'Equipment List &amp; Usage'!$X31)+('Weekly Summary'!S$101*SelfQuarantine_Moderate*'Equipment List &amp; Usage'!$X31))))+IF('Equipment List &amp; Usage'!$F31="Yes",'Equipment List &amp; Usage'!$C$114*(IF('Equipment List &amp; Usage'!$AA31&gt;0,'Weekly Summary'!S$128,0)+IF('Equipment List &amp; Usage'!$AB31&gt;0,'Weekly Summary'!S$100+'Weekly Summary'!S$101,0)),'Equipment List &amp; Usage'!$C$115*(('Weekly Summary'!S$128*'Equipment List &amp; Usage'!$AA31)+('Weekly Summary'!S$100*'Equipment List &amp; Usage'!$AB31*SelfQuarantine_Mild)+('Weekly Summary'!S$101*'Equipment List &amp; Usage'!$AB31*SelfQuarantine_Moderate)))+IF('Equipment List &amp; Usage'!$F31="Yes",('Equipment List &amp; Usage'!$C$114*(IF('Equipment List &amp; Usage'!$AE31&gt;0,'Weekly Summary'!S$134,0)+IF('Equipment List &amp; Usage'!$AF31&gt;0,'Weekly Summary'!S$135))),'Equipment List &amp; Usage'!$C$115*(('Weekly Summary'!S$134*'Equipment List &amp; Usage'!$AE31)+('Weekly Summary'!S$135*'Equipment List &amp; Usage'!$AF31)))),0)</f>
        <v>0</v>
      </c>
      <c r="Z29" s="1374">
        <f ca="1">MAX(IF($F29="Yes",(
IF($F29="yes",MMULT(--('Equipment List &amp; Usage'!$J31:$N31&gt;0),--('Weekly Summary'!T$112:T$116))*'Equipment List &amp; Usage'!$C$114,MMULT(--('Equipment List &amp; Usage'!$J31:$N31),--('Weekly Summary'!T$112:T$116))*'Equipment List &amp; Usage'!$C$115)+IF('Equipment List &amp; Usage'!$F30="yes",'Equipment List &amp; Usage'!$C$114,'Equipment List &amp; Usage'!$C$115)*(('Weekly Summary'!T$66*'Equipment List &amp; Usage'!$Q31)+('Weekly Summary'!T$64*'Equipment List &amp; Usage'!$O31)+('Weekly Summary'!T$65*'Equipment List &amp; Usage'!$P31)))+(IF('Equipment List &amp; Usage'!$F31="Yes",'Equipment List &amp; Usage'!$C$114*((('Weekly Summary'!T$131*SelfQuarantine_Mild)+('Weekly Summary'!T$100*SelfQuarantine_Mild)+('Weekly Summary'!T$101*SelfQuarantine_Moderate))),'Equipment List &amp; Usage'!$C$115)*((('Weekly Summary'!T$131*SelfQuarantine_Mild*'Equipment List &amp; Usage'!$W31)+('Weekly Summary'!T$100*SelfQuarantine_Mild*'Equipment List &amp; Usage'!$X31)+('Weekly Summary'!T$101*SelfQuarantine_Moderate*'Equipment List &amp; Usage'!$X31)))+IF('Equipment List &amp; Usage'!$F31="Yes",'Equipment List &amp; Usage'!$C$114*(IF('Equipment List &amp; Usage'!$AA31&gt;0,'Weekly Summary'!T$128,0)+IF('Equipment List &amp; Usage'!$AB31&gt;0,'Weekly Summary'!T$100+'Weekly Summary'!T$101,0)),'Equipment List &amp; Usage'!$C$115*(('Weekly Summary'!T$128*'Equipment List &amp; Usage'!$AA31)+('Weekly Summary'!T$100*'Equipment List &amp; Usage'!$AB31*SelfQuarantine_Mild)+('Weekly Summary'!T$101*'Equipment List &amp; Usage'!$AB31*SelfQuarantine_Moderate)))+IF('Equipment List &amp; Usage'!$F31="Yes",('Equipment List &amp; Usage'!$C$114*(IF('Equipment List &amp; Usage'!$AE31&gt;0,'Weekly Summary'!T$134,0)+IF('Equipment List &amp; Usage'!$AF31&gt;0,'Weekly Summary'!T$135))),'Equipment List &amp; Usage'!$C$115*(('Weekly Summary'!T$134*'Equipment List &amp; Usage'!$AE31)+('Weekly Summary'!T$135*'Equipment List &amp; Usage'!$AF31))))-SUM($I29:Y29),
IF($F29="yes",MMULT(--('Equipment List &amp; Usage'!$J31:$N31&gt;0),--('Weekly Summary'!T$112:T$116))*'Equipment List &amp; Usage'!$C$114,MMULT(--('Equipment List &amp; Usage'!$J31:$N31),--('Weekly Summary'!T$112:T$116))*'Equipment List &amp; Usage'!$C$115)+IF('Equipment List &amp; Usage'!$F30="yes",'Equipment List &amp; Usage'!$C$114,'Equipment List &amp; Usage'!$C$115)*(('Weekly Summary'!T$66*'Equipment List &amp; Usage'!$Q31)+('Weekly Summary'!T$64*'Equipment List &amp; Usage'!$O31)+('Weekly Summary'!T$65*'Equipment List &amp; Usage'!$P31))+(IF('Equipment List &amp; Usage'!$F31="Yes",'Equipment List &amp; Usage'!$C$114*((('Weekly Summary'!T$131*SelfQuarantine_Mild)+('Weekly Summary'!T$100*SelfQuarantine_Mild)+('Weekly Summary'!T$101*SelfQuarantine_Moderate))),'Equipment List &amp; Usage'!$C$115)*((('Weekly Summary'!T$131*SelfQuarantine_Mild*'Equipment List &amp; Usage'!$W31)+('Weekly Summary'!T$100*SelfQuarantine_Mild*'Equipment List &amp; Usage'!$X31)+('Weekly Summary'!T$101*SelfQuarantine_Moderate*'Equipment List &amp; Usage'!$X31))))+IF('Equipment List &amp; Usage'!$F31="Yes",'Equipment List &amp; Usage'!$C$114*(IF('Equipment List &amp; Usage'!$AA31&gt;0,'Weekly Summary'!T$128,0)+IF('Equipment List &amp; Usage'!$AB31&gt;0,'Weekly Summary'!T$100+'Weekly Summary'!T$101,0)),'Equipment List &amp; Usage'!$C$115*(('Weekly Summary'!T$128*'Equipment List &amp; Usage'!$AA31)+('Weekly Summary'!T$100*'Equipment List &amp; Usage'!$AB31*SelfQuarantine_Mild)+('Weekly Summary'!T$101*'Equipment List &amp; Usage'!$AB31*SelfQuarantine_Moderate)))+IF('Equipment List &amp; Usage'!$F31="Yes",('Equipment List &amp; Usage'!$C$114*(IF('Equipment List &amp; Usage'!$AE31&gt;0,'Weekly Summary'!T$134,0)+IF('Equipment List &amp; Usage'!$AF31&gt;0,'Weekly Summary'!T$135))),'Equipment List &amp; Usage'!$C$115*(('Weekly Summary'!T$134*'Equipment List &amp; Usage'!$AE31)+('Weekly Summary'!T$135*'Equipment List &amp; Usage'!$AF31)))),0)</f>
        <v>0</v>
      </c>
      <c r="AA29" s="1374">
        <f ca="1">MAX(IF($F29="Yes",(
IF($F29="yes",MMULT(--('Equipment List &amp; Usage'!$J31:$N31&gt;0),--('Weekly Summary'!U$112:U$116))*'Equipment List &amp; Usage'!$C$114,MMULT(--('Equipment List &amp; Usage'!$J31:$N31),--('Weekly Summary'!U$112:U$116))*'Equipment List &amp; Usage'!$C$115)+IF('Equipment List &amp; Usage'!$F30="yes",'Equipment List &amp; Usage'!$C$114,'Equipment List &amp; Usage'!$C$115)*(('Weekly Summary'!U$66*'Equipment List &amp; Usage'!$Q31)+('Weekly Summary'!U$64*'Equipment List &amp; Usage'!$O31)+('Weekly Summary'!U$65*'Equipment List &amp; Usage'!$P31)))+(IF('Equipment List &amp; Usage'!$F31="Yes",'Equipment List &amp; Usage'!$C$114*((('Weekly Summary'!U$131*SelfQuarantine_Mild)+('Weekly Summary'!U$100*SelfQuarantine_Mild)+('Weekly Summary'!U$101*SelfQuarantine_Moderate))),'Equipment List &amp; Usage'!$C$115)*((('Weekly Summary'!U$131*SelfQuarantine_Mild*'Equipment List &amp; Usage'!$W31)+('Weekly Summary'!U$100*SelfQuarantine_Mild*'Equipment List &amp; Usage'!$X31)+('Weekly Summary'!U$101*SelfQuarantine_Moderate*'Equipment List &amp; Usage'!$X31)))+IF('Equipment List &amp; Usage'!$F31="Yes",'Equipment List &amp; Usage'!$C$114*(IF('Equipment List &amp; Usage'!$AA31&gt;0,'Weekly Summary'!U$128,0)+IF('Equipment List &amp; Usage'!$AB31&gt;0,'Weekly Summary'!U$100+'Weekly Summary'!U$101,0)),'Equipment List &amp; Usage'!$C$115*(('Weekly Summary'!U$128*'Equipment List &amp; Usage'!$AA31)+('Weekly Summary'!U$100*'Equipment List &amp; Usage'!$AB31*SelfQuarantine_Mild)+('Weekly Summary'!U$101*'Equipment List &amp; Usage'!$AB31*SelfQuarantine_Moderate)))+IF('Equipment List &amp; Usage'!$F31="Yes",('Equipment List &amp; Usage'!$C$114*(IF('Equipment List &amp; Usage'!$AE31&gt;0,'Weekly Summary'!U$134,0)+IF('Equipment List &amp; Usage'!$AF31&gt;0,'Weekly Summary'!U$135))),'Equipment List &amp; Usage'!$C$115*(('Weekly Summary'!U$134*'Equipment List &amp; Usage'!$AE31)+('Weekly Summary'!U$135*'Equipment List &amp; Usage'!$AF31))))-SUM($I29:Z29),
IF($F29="yes",MMULT(--('Equipment List &amp; Usage'!$J31:$N31&gt;0),--('Weekly Summary'!U$112:U$116))*'Equipment List &amp; Usage'!$C$114,MMULT(--('Equipment List &amp; Usage'!$J31:$N31),--('Weekly Summary'!U$112:U$116))*'Equipment List &amp; Usage'!$C$115)+IF('Equipment List &amp; Usage'!$F30="yes",'Equipment List &amp; Usage'!$C$114,'Equipment List &amp; Usage'!$C$115)*(('Weekly Summary'!U$66*'Equipment List &amp; Usage'!$Q31)+('Weekly Summary'!U$64*'Equipment List &amp; Usage'!$O31)+('Weekly Summary'!U$65*'Equipment List &amp; Usage'!$P31))+(IF('Equipment List &amp; Usage'!$F31="Yes",'Equipment List &amp; Usage'!$C$114*((('Weekly Summary'!U$131*SelfQuarantine_Mild)+('Weekly Summary'!U$100*SelfQuarantine_Mild)+('Weekly Summary'!U$101*SelfQuarantine_Moderate))),'Equipment List &amp; Usage'!$C$115)*((('Weekly Summary'!U$131*SelfQuarantine_Mild*'Equipment List &amp; Usage'!$W31)+('Weekly Summary'!U$100*SelfQuarantine_Mild*'Equipment List &amp; Usage'!$X31)+('Weekly Summary'!U$101*SelfQuarantine_Moderate*'Equipment List &amp; Usage'!$X31))))+IF('Equipment List &amp; Usage'!$F31="Yes",'Equipment List &amp; Usage'!$C$114*(IF('Equipment List &amp; Usage'!$AA31&gt;0,'Weekly Summary'!U$128,0)+IF('Equipment List &amp; Usage'!$AB31&gt;0,'Weekly Summary'!U$100+'Weekly Summary'!U$101,0)),'Equipment List &amp; Usage'!$C$115*(('Weekly Summary'!U$128*'Equipment List &amp; Usage'!$AA31)+('Weekly Summary'!U$100*'Equipment List &amp; Usage'!$AB31*SelfQuarantine_Mild)+('Weekly Summary'!U$101*'Equipment List &amp; Usage'!$AB31*SelfQuarantine_Moderate)))+IF('Equipment List &amp; Usage'!$F31="Yes",('Equipment List &amp; Usage'!$C$114*(IF('Equipment List &amp; Usage'!$AE31&gt;0,'Weekly Summary'!U$134,0)+IF('Equipment List &amp; Usage'!$AF31&gt;0,'Weekly Summary'!U$135))),'Equipment List &amp; Usage'!$C$115*(('Weekly Summary'!U$134*'Equipment List &amp; Usage'!$AE31)+('Weekly Summary'!U$135*'Equipment List &amp; Usage'!$AF31)))),0)</f>
        <v>0</v>
      </c>
      <c r="AB29" s="1374">
        <f ca="1">MAX(IF($F29="Yes",(
IF($F29="yes",MMULT(--('Equipment List &amp; Usage'!$J31:$N31&gt;0),--('Weekly Summary'!V$112:V$116))*'Equipment List &amp; Usage'!$C$114,MMULT(--('Equipment List &amp; Usage'!$J31:$N31),--('Weekly Summary'!V$112:V$116))*'Equipment List &amp; Usage'!$C$115)+IF('Equipment List &amp; Usage'!$F30="yes",'Equipment List &amp; Usage'!$C$114,'Equipment List &amp; Usage'!$C$115)*(('Weekly Summary'!V$66*'Equipment List &amp; Usage'!$Q31)+('Weekly Summary'!V$64*'Equipment List &amp; Usage'!$O31)+('Weekly Summary'!V$65*'Equipment List &amp; Usage'!$P31)))+(IF('Equipment List &amp; Usage'!$F31="Yes",'Equipment List &amp; Usage'!$C$114*((('Weekly Summary'!V$131*SelfQuarantine_Mild)+('Weekly Summary'!V$100*SelfQuarantine_Mild)+('Weekly Summary'!V$101*SelfQuarantine_Moderate))),'Equipment List &amp; Usage'!$C$115)*((('Weekly Summary'!V$131*SelfQuarantine_Mild*'Equipment List &amp; Usage'!$W31)+('Weekly Summary'!V$100*SelfQuarantine_Mild*'Equipment List &amp; Usage'!$X31)+('Weekly Summary'!V$101*SelfQuarantine_Moderate*'Equipment List &amp; Usage'!$X31)))+IF('Equipment List &amp; Usage'!$F31="Yes",'Equipment List &amp; Usage'!$C$114*(IF('Equipment List &amp; Usage'!$AA31&gt;0,'Weekly Summary'!V$128,0)+IF('Equipment List &amp; Usage'!$AB31&gt;0,'Weekly Summary'!V$100+'Weekly Summary'!V$101,0)),'Equipment List &amp; Usage'!$C$115*(('Weekly Summary'!V$128*'Equipment List &amp; Usage'!$AA31)+('Weekly Summary'!V$100*'Equipment List &amp; Usage'!$AB31*SelfQuarantine_Mild)+('Weekly Summary'!V$101*'Equipment List &amp; Usage'!$AB31*SelfQuarantine_Moderate)))+IF('Equipment List &amp; Usage'!$F31="Yes",('Equipment List &amp; Usage'!$C$114*(IF('Equipment List &amp; Usage'!$AE31&gt;0,'Weekly Summary'!V$134,0)+IF('Equipment List &amp; Usage'!$AF31&gt;0,'Weekly Summary'!V$135))),'Equipment List &amp; Usage'!$C$115*(('Weekly Summary'!V$134*'Equipment List &amp; Usage'!$AE31)+('Weekly Summary'!V$135*'Equipment List &amp; Usage'!$AF31))))-SUM($I29:AA29),
IF($F29="yes",MMULT(--('Equipment List &amp; Usage'!$J31:$N31&gt;0),--('Weekly Summary'!V$112:V$116))*'Equipment List &amp; Usage'!$C$114,MMULT(--('Equipment List &amp; Usage'!$J31:$N31),--('Weekly Summary'!V$112:V$116))*'Equipment List &amp; Usage'!$C$115)+IF('Equipment List &amp; Usage'!$F30="yes",'Equipment List &amp; Usage'!$C$114,'Equipment List &amp; Usage'!$C$115)*(('Weekly Summary'!V$66*'Equipment List &amp; Usage'!$Q31)+('Weekly Summary'!V$64*'Equipment List &amp; Usage'!$O31)+('Weekly Summary'!V$65*'Equipment List &amp; Usage'!$P31))+(IF('Equipment List &amp; Usage'!$F31="Yes",'Equipment List &amp; Usage'!$C$114*((('Weekly Summary'!V$131*SelfQuarantine_Mild)+('Weekly Summary'!V$100*SelfQuarantine_Mild)+('Weekly Summary'!V$101*SelfQuarantine_Moderate))),'Equipment List &amp; Usage'!$C$115)*((('Weekly Summary'!V$131*SelfQuarantine_Mild*'Equipment List &amp; Usage'!$W31)+('Weekly Summary'!V$100*SelfQuarantine_Mild*'Equipment List &amp; Usage'!$X31)+('Weekly Summary'!V$101*SelfQuarantine_Moderate*'Equipment List &amp; Usage'!$X31))))+IF('Equipment List &amp; Usage'!$F31="Yes",'Equipment List &amp; Usage'!$C$114*(IF('Equipment List &amp; Usage'!$AA31&gt;0,'Weekly Summary'!V$128,0)+IF('Equipment List &amp; Usage'!$AB31&gt;0,'Weekly Summary'!V$100+'Weekly Summary'!V$101,0)),'Equipment List &amp; Usage'!$C$115*(('Weekly Summary'!V$128*'Equipment List &amp; Usage'!$AA31)+('Weekly Summary'!V$100*'Equipment List &amp; Usage'!$AB31*SelfQuarantine_Mild)+('Weekly Summary'!V$101*'Equipment List &amp; Usage'!$AB31*SelfQuarantine_Moderate)))+IF('Equipment List &amp; Usage'!$F31="Yes",('Equipment List &amp; Usage'!$C$114*(IF('Equipment List &amp; Usage'!$AE31&gt;0,'Weekly Summary'!V$134,0)+IF('Equipment List &amp; Usage'!$AF31&gt;0,'Weekly Summary'!V$135))),'Equipment List &amp; Usage'!$C$115*(('Weekly Summary'!V$134*'Equipment List &amp; Usage'!$AE31)+('Weekly Summary'!V$135*'Equipment List &amp; Usage'!$AF31)))),0)</f>
        <v>0</v>
      </c>
      <c r="AC29" s="1374">
        <f ca="1">MAX(IF($F29="Yes",(
IF($F29="yes",MMULT(--('Equipment List &amp; Usage'!$J31:$N31&gt;0),--('Weekly Summary'!W$112:W$116))*'Equipment List &amp; Usage'!$C$114,MMULT(--('Equipment List &amp; Usage'!$J31:$N31),--('Weekly Summary'!W$112:W$116))*'Equipment List &amp; Usage'!$C$115)+IF('Equipment List &amp; Usage'!$F30="yes",'Equipment List &amp; Usage'!$C$114,'Equipment List &amp; Usage'!$C$115)*(('Weekly Summary'!W$66*'Equipment List &amp; Usage'!$Q31)+('Weekly Summary'!W$64*'Equipment List &amp; Usage'!$O31)+('Weekly Summary'!W$65*'Equipment List &amp; Usage'!$P31)))+(IF('Equipment List &amp; Usage'!$F31="Yes",'Equipment List &amp; Usage'!$C$114*((('Weekly Summary'!W$131*SelfQuarantine_Mild)+('Weekly Summary'!W$100*SelfQuarantine_Mild)+('Weekly Summary'!W$101*SelfQuarantine_Moderate))),'Equipment List &amp; Usage'!$C$115)*((('Weekly Summary'!W$131*SelfQuarantine_Mild*'Equipment List &amp; Usage'!$W31)+('Weekly Summary'!W$100*SelfQuarantine_Mild*'Equipment List &amp; Usage'!$X31)+('Weekly Summary'!W$101*SelfQuarantine_Moderate*'Equipment List &amp; Usage'!$X31)))+IF('Equipment List &amp; Usage'!$F31="Yes",'Equipment List &amp; Usage'!$C$114*(IF('Equipment List &amp; Usage'!$AA31&gt;0,'Weekly Summary'!W$128,0)+IF('Equipment List &amp; Usage'!$AB31&gt;0,'Weekly Summary'!W$100+'Weekly Summary'!W$101,0)),'Equipment List &amp; Usage'!$C$115*(('Weekly Summary'!W$128*'Equipment List &amp; Usage'!$AA31)+('Weekly Summary'!W$100*'Equipment List &amp; Usage'!$AB31*SelfQuarantine_Mild)+('Weekly Summary'!W$101*'Equipment List &amp; Usage'!$AB31*SelfQuarantine_Moderate)))+IF('Equipment List &amp; Usage'!$F31="Yes",('Equipment List &amp; Usage'!$C$114*(IF('Equipment List &amp; Usage'!$AE31&gt;0,'Weekly Summary'!W$134,0)+IF('Equipment List &amp; Usage'!$AF31&gt;0,'Weekly Summary'!W$135))),'Equipment List &amp; Usage'!$C$115*(('Weekly Summary'!W$134*'Equipment List &amp; Usage'!$AE31)+('Weekly Summary'!W$135*'Equipment List &amp; Usage'!$AF31))))-SUM($I29:AB29),
IF($F29="yes",MMULT(--('Equipment List &amp; Usage'!$J31:$N31&gt;0),--('Weekly Summary'!W$112:W$116))*'Equipment List &amp; Usage'!$C$114,MMULT(--('Equipment List &amp; Usage'!$J31:$N31),--('Weekly Summary'!W$112:W$116))*'Equipment List &amp; Usage'!$C$115)+IF('Equipment List &amp; Usage'!$F30="yes",'Equipment List &amp; Usage'!$C$114,'Equipment List &amp; Usage'!$C$115)*(('Weekly Summary'!W$66*'Equipment List &amp; Usage'!$Q31)+('Weekly Summary'!W$64*'Equipment List &amp; Usage'!$O31)+('Weekly Summary'!W$65*'Equipment List &amp; Usage'!$P31))+(IF('Equipment List &amp; Usage'!$F31="Yes",'Equipment List &amp; Usage'!$C$114*((('Weekly Summary'!W$131*SelfQuarantine_Mild)+('Weekly Summary'!W$100*SelfQuarantine_Mild)+('Weekly Summary'!W$101*SelfQuarantine_Moderate))),'Equipment List &amp; Usage'!$C$115)*((('Weekly Summary'!W$131*SelfQuarantine_Mild*'Equipment List &amp; Usage'!$W31)+('Weekly Summary'!W$100*SelfQuarantine_Mild*'Equipment List &amp; Usage'!$X31)+('Weekly Summary'!W$101*SelfQuarantine_Moderate*'Equipment List &amp; Usage'!$X31))))+IF('Equipment List &amp; Usage'!$F31="Yes",'Equipment List &amp; Usage'!$C$114*(IF('Equipment List &amp; Usage'!$AA31&gt;0,'Weekly Summary'!W$128,0)+IF('Equipment List &amp; Usage'!$AB31&gt;0,'Weekly Summary'!W$100+'Weekly Summary'!W$101,0)),'Equipment List &amp; Usage'!$C$115*(('Weekly Summary'!W$128*'Equipment List &amp; Usage'!$AA31)+('Weekly Summary'!W$100*'Equipment List &amp; Usage'!$AB31*SelfQuarantine_Mild)+('Weekly Summary'!W$101*'Equipment List &amp; Usage'!$AB31*SelfQuarantine_Moderate)))+IF('Equipment List &amp; Usage'!$F31="Yes",('Equipment List &amp; Usage'!$C$114*(IF('Equipment List &amp; Usage'!$AE31&gt;0,'Weekly Summary'!W$134,0)+IF('Equipment List &amp; Usage'!$AF31&gt;0,'Weekly Summary'!W$135))),'Equipment List &amp; Usage'!$C$115*(('Weekly Summary'!W$134*'Equipment List &amp; Usage'!$AE31)+('Weekly Summary'!W$135*'Equipment List &amp; Usage'!$AF31)))),0)</f>
        <v>0</v>
      </c>
      <c r="AD29" s="1374">
        <f ca="1">MAX(IF($F29="Yes",(
IF($F29="yes",MMULT(--('Equipment List &amp; Usage'!$J31:$N31&gt;0),--('Weekly Summary'!X$112:X$116))*'Equipment List &amp; Usage'!$C$114,MMULT(--('Equipment List &amp; Usage'!$J31:$N31),--('Weekly Summary'!X$112:X$116))*'Equipment List &amp; Usage'!$C$115)+IF('Equipment List &amp; Usage'!$F30="yes",'Equipment List &amp; Usage'!$C$114,'Equipment List &amp; Usage'!$C$115)*(('Weekly Summary'!X$66*'Equipment List &amp; Usage'!$Q31)+('Weekly Summary'!X$64*'Equipment List &amp; Usage'!$O31)+('Weekly Summary'!X$65*'Equipment List &amp; Usage'!$P31)))+(IF('Equipment List &amp; Usage'!$F31="Yes",'Equipment List &amp; Usage'!$C$114*((('Weekly Summary'!X$131*SelfQuarantine_Mild)+('Weekly Summary'!X$100*SelfQuarantine_Mild)+('Weekly Summary'!X$101*SelfQuarantine_Moderate))),'Equipment List &amp; Usage'!$C$115)*((('Weekly Summary'!X$131*SelfQuarantine_Mild*'Equipment List &amp; Usage'!$W31)+('Weekly Summary'!X$100*SelfQuarantine_Mild*'Equipment List &amp; Usage'!$X31)+('Weekly Summary'!X$101*SelfQuarantine_Moderate*'Equipment List &amp; Usage'!$X31)))+IF('Equipment List &amp; Usage'!$F31="Yes",'Equipment List &amp; Usage'!$C$114*(IF('Equipment List &amp; Usage'!$AA31&gt;0,'Weekly Summary'!X$128,0)+IF('Equipment List &amp; Usage'!$AB31&gt;0,'Weekly Summary'!X$100+'Weekly Summary'!X$101,0)),'Equipment List &amp; Usage'!$C$115*(('Weekly Summary'!X$128*'Equipment List &amp; Usage'!$AA31)+('Weekly Summary'!X$100*'Equipment List &amp; Usage'!$AB31*SelfQuarantine_Mild)+('Weekly Summary'!X$101*'Equipment List &amp; Usage'!$AB31*SelfQuarantine_Moderate)))+IF('Equipment List &amp; Usage'!$F31="Yes",('Equipment List &amp; Usage'!$C$114*(IF('Equipment List &amp; Usage'!$AE31&gt;0,'Weekly Summary'!X$134,0)+IF('Equipment List &amp; Usage'!$AF31&gt;0,'Weekly Summary'!X$135))),'Equipment List &amp; Usage'!$C$115*(('Weekly Summary'!X$134*'Equipment List &amp; Usage'!$AE31)+('Weekly Summary'!X$135*'Equipment List &amp; Usage'!$AF31))))-SUM($I29:AC29),
IF($F29="yes",MMULT(--('Equipment List &amp; Usage'!$J31:$N31&gt;0),--('Weekly Summary'!X$112:X$116))*'Equipment List &amp; Usage'!$C$114,MMULT(--('Equipment List &amp; Usage'!$J31:$N31),--('Weekly Summary'!X$112:X$116))*'Equipment List &amp; Usage'!$C$115)+IF('Equipment List &amp; Usage'!$F30="yes",'Equipment List &amp; Usage'!$C$114,'Equipment List &amp; Usage'!$C$115)*(('Weekly Summary'!X$66*'Equipment List &amp; Usage'!$Q31)+('Weekly Summary'!X$64*'Equipment List &amp; Usage'!$O31)+('Weekly Summary'!X$65*'Equipment List &amp; Usage'!$P31))+(IF('Equipment List &amp; Usage'!$F31="Yes",'Equipment List &amp; Usage'!$C$114*((('Weekly Summary'!X$131*SelfQuarantine_Mild)+('Weekly Summary'!X$100*SelfQuarantine_Mild)+('Weekly Summary'!X$101*SelfQuarantine_Moderate))),'Equipment List &amp; Usage'!$C$115)*((('Weekly Summary'!X$131*SelfQuarantine_Mild*'Equipment List &amp; Usage'!$W31)+('Weekly Summary'!X$100*SelfQuarantine_Mild*'Equipment List &amp; Usage'!$X31)+('Weekly Summary'!X$101*SelfQuarantine_Moderate*'Equipment List &amp; Usage'!$X31))))+IF('Equipment List &amp; Usage'!$F31="Yes",'Equipment List &amp; Usage'!$C$114*(IF('Equipment List &amp; Usage'!$AA31&gt;0,'Weekly Summary'!X$128,0)+IF('Equipment List &amp; Usage'!$AB31&gt;0,'Weekly Summary'!X$100+'Weekly Summary'!X$101,0)),'Equipment List &amp; Usage'!$C$115*(('Weekly Summary'!X$128*'Equipment List &amp; Usage'!$AA31)+('Weekly Summary'!X$100*'Equipment List &amp; Usage'!$AB31*SelfQuarantine_Mild)+('Weekly Summary'!X$101*'Equipment List &amp; Usage'!$AB31*SelfQuarantine_Moderate)))+IF('Equipment List &amp; Usage'!$F31="Yes",('Equipment List &amp; Usage'!$C$114*(IF('Equipment List &amp; Usage'!$AE31&gt;0,'Weekly Summary'!X$134,0)+IF('Equipment List &amp; Usage'!$AF31&gt;0,'Weekly Summary'!X$135))),'Equipment List &amp; Usage'!$C$115*(('Weekly Summary'!X$134*'Equipment List &amp; Usage'!$AE31)+('Weekly Summary'!X$135*'Equipment List &amp; Usage'!$AF31)))),0)</f>
        <v>0</v>
      </c>
      <c r="AE29" s="1374">
        <f ca="1">MAX(IF($F29="Yes",(
IF($F29="yes",MMULT(--('Equipment List &amp; Usage'!$J31:$N31&gt;0),--('Weekly Summary'!Y$112:Y$116))*'Equipment List &amp; Usage'!$C$114,MMULT(--('Equipment List &amp; Usage'!$J31:$N31),--('Weekly Summary'!Y$112:Y$116))*'Equipment List &amp; Usage'!$C$115)+IF('Equipment List &amp; Usage'!$F30="yes",'Equipment List &amp; Usage'!$C$114,'Equipment List &amp; Usage'!$C$115)*(('Weekly Summary'!Y$66*'Equipment List &amp; Usage'!$Q31)+('Weekly Summary'!Y$64*'Equipment List &amp; Usage'!$O31)+('Weekly Summary'!Y$65*'Equipment List &amp; Usage'!$P31)))+(IF('Equipment List &amp; Usage'!$F31="Yes",'Equipment List &amp; Usage'!$C$114*((('Weekly Summary'!Y$131*SelfQuarantine_Mild)+('Weekly Summary'!Y$100*SelfQuarantine_Mild)+('Weekly Summary'!Y$101*SelfQuarantine_Moderate))),'Equipment List &amp; Usage'!$C$115)*((('Weekly Summary'!Y$131*SelfQuarantine_Mild*'Equipment List &amp; Usage'!$W31)+('Weekly Summary'!Y$100*SelfQuarantine_Mild*'Equipment List &amp; Usage'!$X31)+('Weekly Summary'!Y$101*SelfQuarantine_Moderate*'Equipment List &amp; Usage'!$X31)))+IF('Equipment List &amp; Usage'!$F31="Yes",'Equipment List &amp; Usage'!$C$114*(IF('Equipment List &amp; Usage'!$AA31&gt;0,'Weekly Summary'!Y$128,0)+IF('Equipment List &amp; Usage'!$AB31&gt;0,'Weekly Summary'!Y$100+'Weekly Summary'!Y$101,0)),'Equipment List &amp; Usage'!$C$115*(('Weekly Summary'!Y$128*'Equipment List &amp; Usage'!$AA31)+('Weekly Summary'!Y$100*'Equipment List &amp; Usage'!$AB31*SelfQuarantine_Mild)+('Weekly Summary'!Y$101*'Equipment List &amp; Usage'!$AB31*SelfQuarantine_Moderate)))+IF('Equipment List &amp; Usage'!$F31="Yes",('Equipment List &amp; Usage'!$C$114*(IF('Equipment List &amp; Usage'!$AE31&gt;0,'Weekly Summary'!Y$134,0)+IF('Equipment List &amp; Usage'!$AF31&gt;0,'Weekly Summary'!Y$135))),'Equipment List &amp; Usage'!$C$115*(('Weekly Summary'!Y$134*'Equipment List &amp; Usage'!$AE31)+('Weekly Summary'!Y$135*'Equipment List &amp; Usage'!$AF31))))-SUM($I29:AD29),
IF($F29="yes",MMULT(--('Equipment List &amp; Usage'!$J31:$N31&gt;0),--('Weekly Summary'!Y$112:Y$116))*'Equipment List &amp; Usage'!$C$114,MMULT(--('Equipment List &amp; Usage'!$J31:$N31),--('Weekly Summary'!Y$112:Y$116))*'Equipment List &amp; Usage'!$C$115)+IF('Equipment List &amp; Usage'!$F30="yes",'Equipment List &amp; Usage'!$C$114,'Equipment List &amp; Usage'!$C$115)*(('Weekly Summary'!Y$66*'Equipment List &amp; Usage'!$Q31)+('Weekly Summary'!Y$64*'Equipment List &amp; Usage'!$O31)+('Weekly Summary'!Y$65*'Equipment List &amp; Usage'!$P31))+(IF('Equipment List &amp; Usage'!$F31="Yes",'Equipment List &amp; Usage'!$C$114*((('Weekly Summary'!Y$131*SelfQuarantine_Mild)+('Weekly Summary'!Y$100*SelfQuarantine_Mild)+('Weekly Summary'!Y$101*SelfQuarantine_Moderate))),'Equipment List &amp; Usage'!$C$115)*((('Weekly Summary'!Y$131*SelfQuarantine_Mild*'Equipment List &amp; Usage'!$W31)+('Weekly Summary'!Y$100*SelfQuarantine_Mild*'Equipment List &amp; Usage'!$X31)+('Weekly Summary'!Y$101*SelfQuarantine_Moderate*'Equipment List &amp; Usage'!$X31))))+IF('Equipment List &amp; Usage'!$F31="Yes",'Equipment List &amp; Usage'!$C$114*(IF('Equipment List &amp; Usage'!$AA31&gt;0,'Weekly Summary'!Y$128,0)+IF('Equipment List &amp; Usage'!$AB31&gt;0,'Weekly Summary'!Y$100+'Weekly Summary'!Y$101,0)),'Equipment List &amp; Usage'!$C$115*(('Weekly Summary'!Y$128*'Equipment List &amp; Usage'!$AA31)+('Weekly Summary'!Y$100*'Equipment List &amp; Usage'!$AB31*SelfQuarantine_Mild)+('Weekly Summary'!Y$101*'Equipment List &amp; Usage'!$AB31*SelfQuarantine_Moderate)))+IF('Equipment List &amp; Usage'!$F31="Yes",('Equipment List &amp; Usage'!$C$114*(IF('Equipment List &amp; Usage'!$AE31&gt;0,'Weekly Summary'!Y$134,0)+IF('Equipment List &amp; Usage'!$AF31&gt;0,'Weekly Summary'!Y$135))),'Equipment List &amp; Usage'!$C$115*(('Weekly Summary'!Y$134*'Equipment List &amp; Usage'!$AE31)+('Weekly Summary'!Y$135*'Equipment List &amp; Usage'!$AF31)))),0)</f>
        <v>0</v>
      </c>
      <c r="AF29" s="1374">
        <f ca="1">MAX(IF($F29="Yes",(
IF($F29="yes",MMULT(--('Equipment List &amp; Usage'!$J31:$N31&gt;0),--('Weekly Summary'!Z$112:Z$116))*'Equipment List &amp; Usage'!$C$114,MMULT(--('Equipment List &amp; Usage'!$J31:$N31),--('Weekly Summary'!Z$112:Z$116))*'Equipment List &amp; Usage'!$C$115)+IF('Equipment List &amp; Usage'!$F30="yes",'Equipment List &amp; Usage'!$C$114,'Equipment List &amp; Usage'!$C$115)*(('Weekly Summary'!Z$66*'Equipment List &amp; Usage'!$Q31)+('Weekly Summary'!Z$64*'Equipment List &amp; Usage'!$O31)+('Weekly Summary'!Z$65*'Equipment List &amp; Usage'!$P31)))+(IF('Equipment List &amp; Usage'!$F31="Yes",'Equipment List &amp; Usage'!$C$114*((('Weekly Summary'!Z$131*SelfQuarantine_Mild)+('Weekly Summary'!Z$100*SelfQuarantine_Mild)+('Weekly Summary'!Z$101*SelfQuarantine_Moderate))),'Equipment List &amp; Usage'!$C$115)*((('Weekly Summary'!Z$131*SelfQuarantine_Mild*'Equipment List &amp; Usage'!$W31)+('Weekly Summary'!Z$100*SelfQuarantine_Mild*'Equipment List &amp; Usage'!$X31)+('Weekly Summary'!Z$101*SelfQuarantine_Moderate*'Equipment List &amp; Usage'!$X31)))+IF('Equipment List &amp; Usage'!$F31="Yes",'Equipment List &amp; Usage'!$C$114*(IF('Equipment List &amp; Usage'!$AA31&gt;0,'Weekly Summary'!Z$128,0)+IF('Equipment List &amp; Usage'!$AB31&gt;0,'Weekly Summary'!Z$100+'Weekly Summary'!Z$101,0)),'Equipment List &amp; Usage'!$C$115*(('Weekly Summary'!Z$128*'Equipment List &amp; Usage'!$AA31)+('Weekly Summary'!Z$100*'Equipment List &amp; Usage'!$AB31*SelfQuarantine_Mild)+('Weekly Summary'!Z$101*'Equipment List &amp; Usage'!$AB31*SelfQuarantine_Moderate)))+IF('Equipment List &amp; Usage'!$F31="Yes",('Equipment List &amp; Usage'!$C$114*(IF('Equipment List &amp; Usage'!$AE31&gt;0,'Weekly Summary'!Z$134,0)+IF('Equipment List &amp; Usage'!$AF31&gt;0,'Weekly Summary'!Z$135))),'Equipment List &amp; Usage'!$C$115*(('Weekly Summary'!Z$134*'Equipment List &amp; Usage'!$AE31)+('Weekly Summary'!Z$135*'Equipment List &amp; Usage'!$AF31))))-SUM($I29:AE29),
IF($F29="yes",MMULT(--('Equipment List &amp; Usage'!$J31:$N31&gt;0),--('Weekly Summary'!Z$112:Z$116))*'Equipment List &amp; Usage'!$C$114,MMULT(--('Equipment List &amp; Usage'!$J31:$N31),--('Weekly Summary'!Z$112:Z$116))*'Equipment List &amp; Usage'!$C$115)+IF('Equipment List &amp; Usage'!$F30="yes",'Equipment List &amp; Usage'!$C$114,'Equipment List &amp; Usage'!$C$115)*(('Weekly Summary'!Z$66*'Equipment List &amp; Usage'!$Q31)+('Weekly Summary'!Z$64*'Equipment List &amp; Usage'!$O31)+('Weekly Summary'!Z$65*'Equipment List &amp; Usage'!$P31))+(IF('Equipment List &amp; Usage'!$F31="Yes",'Equipment List &amp; Usage'!$C$114*((('Weekly Summary'!Z$131*SelfQuarantine_Mild)+('Weekly Summary'!Z$100*SelfQuarantine_Mild)+('Weekly Summary'!Z$101*SelfQuarantine_Moderate))),'Equipment List &amp; Usage'!$C$115)*((('Weekly Summary'!Z$131*SelfQuarantine_Mild*'Equipment List &amp; Usage'!$W31)+('Weekly Summary'!Z$100*SelfQuarantine_Mild*'Equipment List &amp; Usage'!$X31)+('Weekly Summary'!Z$101*SelfQuarantine_Moderate*'Equipment List &amp; Usage'!$X31))))+IF('Equipment List &amp; Usage'!$F31="Yes",'Equipment List &amp; Usage'!$C$114*(IF('Equipment List &amp; Usage'!$AA31&gt;0,'Weekly Summary'!Z$128,0)+IF('Equipment List &amp; Usage'!$AB31&gt;0,'Weekly Summary'!Z$100+'Weekly Summary'!Z$101,0)),'Equipment List &amp; Usage'!$C$115*(('Weekly Summary'!Z$128*'Equipment List &amp; Usage'!$AA31)+('Weekly Summary'!Z$100*'Equipment List &amp; Usage'!$AB31*SelfQuarantine_Mild)+('Weekly Summary'!Z$101*'Equipment List &amp; Usage'!$AB31*SelfQuarantine_Moderate)))+IF('Equipment List &amp; Usage'!$F31="Yes",('Equipment List &amp; Usage'!$C$114*(IF('Equipment List &amp; Usage'!$AE31&gt;0,'Weekly Summary'!Z$134,0)+IF('Equipment List &amp; Usage'!$AF31&gt;0,'Weekly Summary'!Z$135))),'Equipment List &amp; Usage'!$C$115*(('Weekly Summary'!Z$134*'Equipment List &amp; Usage'!$AE31)+('Weekly Summary'!Z$135*'Equipment List &amp; Usage'!$AF31)))),0)</f>
        <v>0</v>
      </c>
      <c r="AG29" s="1374">
        <f ca="1">MAX(IF($F29="Yes",(
IF($F29="yes",MMULT(--('Equipment List &amp; Usage'!$J31:$N31&gt;0),--('Weekly Summary'!AA$112:AA$116))*'Equipment List &amp; Usage'!$C$114,MMULT(--('Equipment List &amp; Usage'!$J31:$N31),--('Weekly Summary'!AA$112:AA$116))*'Equipment List &amp; Usage'!$C$115)+IF('Equipment List &amp; Usage'!$F30="yes",'Equipment List &amp; Usage'!$C$114,'Equipment List &amp; Usage'!$C$115)*(('Weekly Summary'!AA$66*'Equipment List &amp; Usage'!$Q31)+('Weekly Summary'!AA$64*'Equipment List &amp; Usage'!$O31)+('Weekly Summary'!AA$65*'Equipment List &amp; Usage'!$P31)))+(IF('Equipment List &amp; Usage'!$F31="Yes",'Equipment List &amp; Usage'!$C$114*((('Weekly Summary'!AA$131*SelfQuarantine_Mild)+('Weekly Summary'!AA$100*SelfQuarantine_Mild)+('Weekly Summary'!AA$101*SelfQuarantine_Moderate))),'Equipment List &amp; Usage'!$C$115)*((('Weekly Summary'!AA$131*SelfQuarantine_Mild*'Equipment List &amp; Usage'!$W31)+('Weekly Summary'!AA$100*SelfQuarantine_Mild*'Equipment List &amp; Usage'!$X31)+('Weekly Summary'!AA$101*SelfQuarantine_Moderate*'Equipment List &amp; Usage'!$X31)))+IF('Equipment List &amp; Usage'!$F31="Yes",'Equipment List &amp; Usage'!$C$114*(IF('Equipment List &amp; Usage'!$AA31&gt;0,'Weekly Summary'!AA$128,0)+IF('Equipment List &amp; Usage'!$AB31&gt;0,'Weekly Summary'!AA$100+'Weekly Summary'!AA$101,0)),'Equipment List &amp; Usage'!$C$115*(('Weekly Summary'!AA$128*'Equipment List &amp; Usage'!$AA31)+('Weekly Summary'!AA$100*'Equipment List &amp; Usage'!$AB31*SelfQuarantine_Mild)+('Weekly Summary'!AA$101*'Equipment List &amp; Usage'!$AB31*SelfQuarantine_Moderate)))+IF('Equipment List &amp; Usage'!$F31="Yes",('Equipment List &amp; Usage'!$C$114*(IF('Equipment List &amp; Usage'!$AE31&gt;0,'Weekly Summary'!AA$134,0)+IF('Equipment List &amp; Usage'!$AF31&gt;0,'Weekly Summary'!AA$135))),'Equipment List &amp; Usage'!$C$115*(('Weekly Summary'!AA$134*'Equipment List &amp; Usage'!$AE31)+('Weekly Summary'!AA$135*'Equipment List &amp; Usage'!$AF31))))-SUM($I29:AF29),
IF($F29="yes",MMULT(--('Equipment List &amp; Usage'!$J31:$N31&gt;0),--('Weekly Summary'!AA$112:AA$116))*'Equipment List &amp; Usage'!$C$114,MMULT(--('Equipment List &amp; Usage'!$J31:$N31),--('Weekly Summary'!AA$112:AA$116))*'Equipment List &amp; Usage'!$C$115)+IF('Equipment List &amp; Usage'!$F30="yes",'Equipment List &amp; Usage'!$C$114,'Equipment List &amp; Usage'!$C$115)*(('Weekly Summary'!AA$66*'Equipment List &amp; Usage'!$Q31)+('Weekly Summary'!AA$64*'Equipment List &amp; Usage'!$O31)+('Weekly Summary'!AA$65*'Equipment List &amp; Usage'!$P31))+(IF('Equipment List &amp; Usage'!$F31="Yes",'Equipment List &amp; Usage'!$C$114*((('Weekly Summary'!AA$131*SelfQuarantine_Mild)+('Weekly Summary'!AA$100*SelfQuarantine_Mild)+('Weekly Summary'!AA$101*SelfQuarantine_Moderate))),'Equipment List &amp; Usage'!$C$115)*((('Weekly Summary'!AA$131*SelfQuarantine_Mild*'Equipment List &amp; Usage'!$W31)+('Weekly Summary'!AA$100*SelfQuarantine_Mild*'Equipment List &amp; Usage'!$X31)+('Weekly Summary'!AA$101*SelfQuarantine_Moderate*'Equipment List &amp; Usage'!$X31))))+IF('Equipment List &amp; Usage'!$F31="Yes",'Equipment List &amp; Usage'!$C$114*(IF('Equipment List &amp; Usage'!$AA31&gt;0,'Weekly Summary'!AA$128,0)+IF('Equipment List &amp; Usage'!$AB31&gt;0,'Weekly Summary'!AA$100+'Weekly Summary'!AA$101,0)),'Equipment List &amp; Usage'!$C$115*(('Weekly Summary'!AA$128*'Equipment List &amp; Usage'!$AA31)+('Weekly Summary'!AA$100*'Equipment List &amp; Usage'!$AB31*SelfQuarantine_Mild)+('Weekly Summary'!AA$101*'Equipment List &amp; Usage'!$AB31*SelfQuarantine_Moderate)))+IF('Equipment List &amp; Usage'!$F31="Yes",('Equipment List &amp; Usage'!$C$114*(IF('Equipment List &amp; Usage'!$AE31&gt;0,'Weekly Summary'!AA$134,0)+IF('Equipment List &amp; Usage'!$AF31&gt;0,'Weekly Summary'!AA$135))),'Equipment List &amp; Usage'!$C$115*(('Weekly Summary'!AA$134*'Equipment List &amp; Usage'!$AE31)+('Weekly Summary'!AA$135*'Equipment List &amp; Usage'!$AF31)))),0)</f>
        <v>0</v>
      </c>
      <c r="AH29" s="1374">
        <f ca="1">MAX(IF($F29="Yes",(
IF($F29="yes",MMULT(--('Equipment List &amp; Usage'!$J31:$N31&gt;0),--('Weekly Summary'!AB$112:AB$116))*'Equipment List &amp; Usage'!$C$114,MMULT(--('Equipment List &amp; Usage'!$J31:$N31),--('Weekly Summary'!AB$112:AB$116))*'Equipment List &amp; Usage'!$C$115)+IF('Equipment List &amp; Usage'!$F30="yes",'Equipment List &amp; Usage'!$C$114,'Equipment List &amp; Usage'!$C$115)*(('Weekly Summary'!AB$66*'Equipment List &amp; Usage'!$Q31)+('Weekly Summary'!AB$64*'Equipment List &amp; Usage'!$O31)+('Weekly Summary'!AB$65*'Equipment List &amp; Usage'!$P31)))+(IF('Equipment List &amp; Usage'!$F31="Yes",'Equipment List &amp; Usage'!$C$114*((('Weekly Summary'!AB$131*SelfQuarantine_Mild)+('Weekly Summary'!AB$100*SelfQuarantine_Mild)+('Weekly Summary'!AB$101*SelfQuarantine_Moderate))),'Equipment List &amp; Usage'!$C$115)*((('Weekly Summary'!AB$131*SelfQuarantine_Mild*'Equipment List &amp; Usage'!$W31)+('Weekly Summary'!AB$100*SelfQuarantine_Mild*'Equipment List &amp; Usage'!$X31)+('Weekly Summary'!AB$101*SelfQuarantine_Moderate*'Equipment List &amp; Usage'!$X31)))+IF('Equipment List &amp; Usage'!$F31="Yes",'Equipment List &amp; Usage'!$C$114*(IF('Equipment List &amp; Usage'!$AA31&gt;0,'Weekly Summary'!AB$128,0)+IF('Equipment List &amp; Usage'!$AB31&gt;0,'Weekly Summary'!AB$100+'Weekly Summary'!AB$101,0)),'Equipment List &amp; Usage'!$C$115*(('Weekly Summary'!AB$128*'Equipment List &amp; Usage'!$AA31)+('Weekly Summary'!AB$100*'Equipment List &amp; Usage'!$AB31*SelfQuarantine_Mild)+('Weekly Summary'!AB$101*'Equipment List &amp; Usage'!$AB31*SelfQuarantine_Moderate)))+IF('Equipment List &amp; Usage'!$F31="Yes",('Equipment List &amp; Usage'!$C$114*(IF('Equipment List &amp; Usage'!$AE31&gt;0,'Weekly Summary'!AB$134,0)+IF('Equipment List &amp; Usage'!$AF31&gt;0,'Weekly Summary'!AB$135))),'Equipment List &amp; Usage'!$C$115*(('Weekly Summary'!AB$134*'Equipment List &amp; Usage'!$AE31)+('Weekly Summary'!AB$135*'Equipment List &amp; Usage'!$AF31))))-SUM($I29:AG29),
IF($F29="yes",MMULT(--('Equipment List &amp; Usage'!$J31:$N31&gt;0),--('Weekly Summary'!AB$112:AB$116))*'Equipment List &amp; Usage'!$C$114,MMULT(--('Equipment List &amp; Usage'!$J31:$N31),--('Weekly Summary'!AB$112:AB$116))*'Equipment List &amp; Usage'!$C$115)+IF('Equipment List &amp; Usage'!$F30="yes",'Equipment List &amp; Usage'!$C$114,'Equipment List &amp; Usage'!$C$115)*(('Weekly Summary'!AB$66*'Equipment List &amp; Usage'!$Q31)+('Weekly Summary'!AB$64*'Equipment List &amp; Usage'!$O31)+('Weekly Summary'!AB$65*'Equipment List &amp; Usage'!$P31))+(IF('Equipment List &amp; Usage'!$F31="Yes",'Equipment List &amp; Usage'!$C$114*((('Weekly Summary'!AB$131*SelfQuarantine_Mild)+('Weekly Summary'!AB$100*SelfQuarantine_Mild)+('Weekly Summary'!AB$101*SelfQuarantine_Moderate))),'Equipment List &amp; Usage'!$C$115)*((('Weekly Summary'!AB$131*SelfQuarantine_Mild*'Equipment List &amp; Usage'!$W31)+('Weekly Summary'!AB$100*SelfQuarantine_Mild*'Equipment List &amp; Usage'!$X31)+('Weekly Summary'!AB$101*SelfQuarantine_Moderate*'Equipment List &amp; Usage'!$X31))))+IF('Equipment List &amp; Usage'!$F31="Yes",'Equipment List &amp; Usage'!$C$114*(IF('Equipment List &amp; Usage'!$AA31&gt;0,'Weekly Summary'!AB$128,0)+IF('Equipment List &amp; Usage'!$AB31&gt;0,'Weekly Summary'!AB$100+'Weekly Summary'!AB$101,0)),'Equipment List &amp; Usage'!$C$115*(('Weekly Summary'!AB$128*'Equipment List &amp; Usage'!$AA31)+('Weekly Summary'!AB$100*'Equipment List &amp; Usage'!$AB31*SelfQuarantine_Mild)+('Weekly Summary'!AB$101*'Equipment List &amp; Usage'!$AB31*SelfQuarantine_Moderate)))+IF('Equipment List &amp; Usage'!$F31="Yes",('Equipment List &amp; Usage'!$C$114*(IF('Equipment List &amp; Usage'!$AE31&gt;0,'Weekly Summary'!AB$134,0)+IF('Equipment List &amp; Usage'!$AF31&gt;0,'Weekly Summary'!AB$135))),'Equipment List &amp; Usage'!$C$115*(('Weekly Summary'!AB$134*'Equipment List &amp; Usage'!$AE31)+('Weekly Summary'!AB$135*'Equipment List &amp; Usage'!$AF31)))),0)</f>
        <v>0</v>
      </c>
      <c r="AI29" s="1374">
        <f ca="1">MAX(IF($F29="Yes",(
IF($F29="yes",MMULT(--('Equipment List &amp; Usage'!$J31:$N31&gt;0),--('Weekly Summary'!AC$112:AC$116))*'Equipment List &amp; Usage'!$C$114,MMULT(--('Equipment List &amp; Usage'!$J31:$N31),--('Weekly Summary'!AC$112:AC$116))*'Equipment List &amp; Usage'!$C$115)+IF('Equipment List &amp; Usage'!$F30="yes",'Equipment List &amp; Usage'!$C$114,'Equipment List &amp; Usage'!$C$115)*(('Weekly Summary'!AC$66*'Equipment List &amp; Usage'!$Q31)+('Weekly Summary'!AC$64*'Equipment List &amp; Usage'!$O31)+('Weekly Summary'!AC$65*'Equipment List &amp; Usage'!$P31)))+(IF('Equipment List &amp; Usage'!$F31="Yes",'Equipment List &amp; Usage'!$C$114*((('Weekly Summary'!AC$131*SelfQuarantine_Mild)+('Weekly Summary'!AC$100*SelfQuarantine_Mild)+('Weekly Summary'!AC$101*SelfQuarantine_Moderate))),'Equipment List &amp; Usage'!$C$115)*((('Weekly Summary'!AC$131*SelfQuarantine_Mild*'Equipment List &amp; Usage'!$W31)+('Weekly Summary'!AC$100*SelfQuarantine_Mild*'Equipment List &amp; Usage'!$X31)+('Weekly Summary'!AC$101*SelfQuarantine_Moderate*'Equipment List &amp; Usage'!$X31)))+IF('Equipment List &amp; Usage'!$F31="Yes",'Equipment List &amp; Usage'!$C$114*(IF('Equipment List &amp; Usage'!$AA31&gt;0,'Weekly Summary'!AC$128,0)+IF('Equipment List &amp; Usage'!$AB31&gt;0,'Weekly Summary'!AC$100+'Weekly Summary'!AC$101,0)),'Equipment List &amp; Usage'!$C$115*(('Weekly Summary'!AC$128*'Equipment List &amp; Usage'!$AA31)+('Weekly Summary'!AC$100*'Equipment List &amp; Usage'!$AB31*SelfQuarantine_Mild)+('Weekly Summary'!AC$101*'Equipment List &amp; Usage'!$AB31*SelfQuarantine_Moderate)))+IF('Equipment List &amp; Usage'!$F31="Yes",('Equipment List &amp; Usage'!$C$114*(IF('Equipment List &amp; Usage'!$AE31&gt;0,'Weekly Summary'!AC$134,0)+IF('Equipment List &amp; Usage'!$AF31&gt;0,'Weekly Summary'!AC$135))),'Equipment List &amp; Usage'!$C$115*(('Weekly Summary'!AC$134*'Equipment List &amp; Usage'!$AE31)+('Weekly Summary'!AC$135*'Equipment List &amp; Usage'!$AF31))))-SUM($I29:AH29),
IF($F29="yes",MMULT(--('Equipment List &amp; Usage'!$J31:$N31&gt;0),--('Weekly Summary'!AC$112:AC$116))*'Equipment List &amp; Usage'!$C$114,MMULT(--('Equipment List &amp; Usage'!$J31:$N31),--('Weekly Summary'!AC$112:AC$116))*'Equipment List &amp; Usage'!$C$115)+IF('Equipment List &amp; Usage'!$F30="yes",'Equipment List &amp; Usage'!$C$114,'Equipment List &amp; Usage'!$C$115)*(('Weekly Summary'!AC$66*'Equipment List &amp; Usage'!$Q31)+('Weekly Summary'!AC$64*'Equipment List &amp; Usage'!$O31)+('Weekly Summary'!AC$65*'Equipment List &amp; Usage'!$P31))+(IF('Equipment List &amp; Usage'!$F31="Yes",'Equipment List &amp; Usage'!$C$114*((('Weekly Summary'!AC$131*SelfQuarantine_Mild)+('Weekly Summary'!AC$100*SelfQuarantine_Mild)+('Weekly Summary'!AC$101*SelfQuarantine_Moderate))),'Equipment List &amp; Usage'!$C$115)*((('Weekly Summary'!AC$131*SelfQuarantine_Mild*'Equipment List &amp; Usage'!$W31)+('Weekly Summary'!AC$100*SelfQuarantine_Mild*'Equipment List &amp; Usage'!$X31)+('Weekly Summary'!AC$101*SelfQuarantine_Moderate*'Equipment List &amp; Usage'!$X31))))+IF('Equipment List &amp; Usage'!$F31="Yes",'Equipment List &amp; Usage'!$C$114*(IF('Equipment List &amp; Usage'!$AA31&gt;0,'Weekly Summary'!AC$128,0)+IF('Equipment List &amp; Usage'!$AB31&gt;0,'Weekly Summary'!AC$100+'Weekly Summary'!AC$101,0)),'Equipment List &amp; Usage'!$C$115*(('Weekly Summary'!AC$128*'Equipment List &amp; Usage'!$AA31)+('Weekly Summary'!AC$100*'Equipment List &amp; Usage'!$AB31*SelfQuarantine_Mild)+('Weekly Summary'!AC$101*'Equipment List &amp; Usage'!$AB31*SelfQuarantine_Moderate)))+IF('Equipment List &amp; Usage'!$F31="Yes",('Equipment List &amp; Usage'!$C$114*(IF('Equipment List &amp; Usage'!$AE31&gt;0,'Weekly Summary'!AC$134,0)+IF('Equipment List &amp; Usage'!$AF31&gt;0,'Weekly Summary'!AC$135))),'Equipment List &amp; Usage'!$C$115*(('Weekly Summary'!AC$134*'Equipment List &amp; Usage'!$AE31)+('Weekly Summary'!AC$135*'Equipment List &amp; Usage'!$AF31)))),0)</f>
        <v>0</v>
      </c>
      <c r="AJ29" s="1374">
        <f ca="1">MAX(IF($F29="Yes",(
IF($F29="yes",MMULT(--('Equipment List &amp; Usage'!$J31:$N31&gt;0),--('Weekly Summary'!AD$112:AD$116))*'Equipment List &amp; Usage'!$C$114,MMULT(--('Equipment List &amp; Usage'!$J31:$N31),--('Weekly Summary'!AD$112:AD$116))*'Equipment List &amp; Usage'!$C$115)+IF('Equipment List &amp; Usage'!$F30="yes",'Equipment List &amp; Usage'!$C$114,'Equipment List &amp; Usage'!$C$115)*(('Weekly Summary'!AD$66*'Equipment List &amp; Usage'!$Q31)+('Weekly Summary'!AD$64*'Equipment List &amp; Usage'!$O31)+('Weekly Summary'!AD$65*'Equipment List &amp; Usage'!$P31)))+(IF('Equipment List &amp; Usage'!$F31="Yes",'Equipment List &amp; Usage'!$C$114*((('Weekly Summary'!AD$131*SelfQuarantine_Mild)+('Weekly Summary'!AD$100*SelfQuarantine_Mild)+('Weekly Summary'!AD$101*SelfQuarantine_Moderate))),'Equipment List &amp; Usage'!$C$115)*((('Weekly Summary'!AD$131*SelfQuarantine_Mild*'Equipment List &amp; Usage'!$W31)+('Weekly Summary'!AD$100*SelfQuarantine_Mild*'Equipment List &amp; Usage'!$X31)+('Weekly Summary'!AD$101*SelfQuarantine_Moderate*'Equipment List &amp; Usage'!$X31)))+IF('Equipment List &amp; Usage'!$F31="Yes",'Equipment List &amp; Usage'!$C$114*(IF('Equipment List &amp; Usage'!$AA31&gt;0,'Weekly Summary'!AD$128,0)+IF('Equipment List &amp; Usage'!$AB31&gt;0,'Weekly Summary'!AD$100+'Weekly Summary'!AD$101,0)),'Equipment List &amp; Usage'!$C$115*(('Weekly Summary'!AD$128*'Equipment List &amp; Usage'!$AA31)+('Weekly Summary'!AD$100*'Equipment List &amp; Usage'!$AB31*SelfQuarantine_Mild)+('Weekly Summary'!AD$101*'Equipment List &amp; Usage'!$AB31*SelfQuarantine_Moderate)))+IF('Equipment List &amp; Usage'!$F31="Yes",('Equipment List &amp; Usage'!$C$114*(IF('Equipment List &amp; Usage'!$AE31&gt;0,'Weekly Summary'!AD$134,0)+IF('Equipment List &amp; Usage'!$AF31&gt;0,'Weekly Summary'!AD$135))),'Equipment List &amp; Usage'!$C$115*(('Weekly Summary'!AD$134*'Equipment List &amp; Usage'!$AE31)+('Weekly Summary'!AD$135*'Equipment List &amp; Usage'!$AF31))))-SUM($I29:AI29),
IF($F29="yes",MMULT(--('Equipment List &amp; Usage'!$J31:$N31&gt;0),--('Weekly Summary'!AD$112:AD$116))*'Equipment List &amp; Usage'!$C$114,MMULT(--('Equipment List &amp; Usage'!$J31:$N31),--('Weekly Summary'!AD$112:AD$116))*'Equipment List &amp; Usage'!$C$115)+IF('Equipment List &amp; Usage'!$F30="yes",'Equipment List &amp; Usage'!$C$114,'Equipment List &amp; Usage'!$C$115)*(('Weekly Summary'!AD$66*'Equipment List &amp; Usage'!$Q31)+('Weekly Summary'!AD$64*'Equipment List &amp; Usage'!$O31)+('Weekly Summary'!AD$65*'Equipment List &amp; Usage'!$P31))+(IF('Equipment List &amp; Usage'!$F31="Yes",'Equipment List &amp; Usage'!$C$114*((('Weekly Summary'!AD$131*SelfQuarantine_Mild)+('Weekly Summary'!AD$100*SelfQuarantine_Mild)+('Weekly Summary'!AD$101*SelfQuarantine_Moderate))),'Equipment List &amp; Usage'!$C$115)*((('Weekly Summary'!AD$131*SelfQuarantine_Mild*'Equipment List &amp; Usage'!$W31)+('Weekly Summary'!AD$100*SelfQuarantine_Mild*'Equipment List &amp; Usage'!$X31)+('Weekly Summary'!AD$101*SelfQuarantine_Moderate*'Equipment List &amp; Usage'!$X31))))+IF('Equipment List &amp; Usage'!$F31="Yes",'Equipment List &amp; Usage'!$C$114*(IF('Equipment List &amp; Usage'!$AA31&gt;0,'Weekly Summary'!AD$128,0)+IF('Equipment List &amp; Usage'!$AB31&gt;0,'Weekly Summary'!AD$100+'Weekly Summary'!AD$101,0)),'Equipment List &amp; Usage'!$C$115*(('Weekly Summary'!AD$128*'Equipment List &amp; Usage'!$AA31)+('Weekly Summary'!AD$100*'Equipment List &amp; Usage'!$AB31*SelfQuarantine_Mild)+('Weekly Summary'!AD$101*'Equipment List &amp; Usage'!$AB31*SelfQuarantine_Moderate)))+IF('Equipment List &amp; Usage'!$F31="Yes",('Equipment List &amp; Usage'!$C$114*(IF('Equipment List &amp; Usage'!$AE31&gt;0,'Weekly Summary'!AD$134,0)+IF('Equipment List &amp; Usage'!$AF31&gt;0,'Weekly Summary'!AD$135))),'Equipment List &amp; Usage'!$C$115*(('Weekly Summary'!AD$134*'Equipment List &amp; Usage'!$AE31)+('Weekly Summary'!AD$135*'Equipment List &amp; Usage'!$AF31)))),0)</f>
        <v>0</v>
      </c>
      <c r="AK29" s="1374">
        <f ca="1">MAX(IF($F29="Yes",(
IF($F29="yes",MMULT(--('Equipment List &amp; Usage'!$J31:$N31&gt;0),--('Weekly Summary'!AE$112:AE$116))*'Equipment List &amp; Usage'!$C$114,MMULT(--('Equipment List &amp; Usage'!$J31:$N31),--('Weekly Summary'!AE$112:AE$116))*'Equipment List &amp; Usage'!$C$115)+IF('Equipment List &amp; Usage'!$F30="yes",'Equipment List &amp; Usage'!$C$114,'Equipment List &amp; Usage'!$C$115)*(('Weekly Summary'!AE$66*'Equipment List &amp; Usage'!$Q31)+('Weekly Summary'!AE$64*'Equipment List &amp; Usage'!$O31)+('Weekly Summary'!AE$65*'Equipment List &amp; Usage'!$P31)))+(IF('Equipment List &amp; Usage'!$F31="Yes",'Equipment List &amp; Usage'!$C$114*((('Weekly Summary'!AE$131*SelfQuarantine_Mild)+('Weekly Summary'!AE$100*SelfQuarantine_Mild)+('Weekly Summary'!AE$101*SelfQuarantine_Moderate))),'Equipment List &amp; Usage'!$C$115)*((('Weekly Summary'!AE$131*SelfQuarantine_Mild*'Equipment List &amp; Usage'!$W31)+('Weekly Summary'!AE$100*SelfQuarantine_Mild*'Equipment List &amp; Usage'!$X31)+('Weekly Summary'!AE$101*SelfQuarantine_Moderate*'Equipment List &amp; Usage'!$X31)))+IF('Equipment List &amp; Usage'!$F31="Yes",'Equipment List &amp; Usage'!$C$114*(IF('Equipment List &amp; Usage'!$AA31&gt;0,'Weekly Summary'!AE$128,0)+IF('Equipment List &amp; Usage'!$AB31&gt;0,'Weekly Summary'!AE$100+'Weekly Summary'!AE$101,0)),'Equipment List &amp; Usage'!$C$115*(('Weekly Summary'!AE$128*'Equipment List &amp; Usage'!$AA31)+('Weekly Summary'!AE$100*'Equipment List &amp; Usage'!$AB31*SelfQuarantine_Mild)+('Weekly Summary'!AE$101*'Equipment List &amp; Usage'!$AB31*SelfQuarantine_Moderate)))+IF('Equipment List &amp; Usage'!$F31="Yes",('Equipment List &amp; Usage'!$C$114*(IF('Equipment List &amp; Usage'!$AE31&gt;0,'Weekly Summary'!AE$134,0)+IF('Equipment List &amp; Usage'!$AF31&gt;0,'Weekly Summary'!AE$135))),'Equipment List &amp; Usage'!$C$115*(('Weekly Summary'!AE$134*'Equipment List &amp; Usage'!$AE31)+('Weekly Summary'!AE$135*'Equipment List &amp; Usage'!$AF31))))-SUM($I29:AJ29),
IF($F29="yes",MMULT(--('Equipment List &amp; Usage'!$J31:$N31&gt;0),--('Weekly Summary'!AE$112:AE$116))*'Equipment List &amp; Usage'!$C$114,MMULT(--('Equipment List &amp; Usage'!$J31:$N31),--('Weekly Summary'!AE$112:AE$116))*'Equipment List &amp; Usage'!$C$115)+IF('Equipment List &amp; Usage'!$F30="yes",'Equipment List &amp; Usage'!$C$114,'Equipment List &amp; Usage'!$C$115)*(('Weekly Summary'!AE$66*'Equipment List &amp; Usage'!$Q31)+('Weekly Summary'!AE$64*'Equipment List &amp; Usage'!$O31)+('Weekly Summary'!AE$65*'Equipment List &amp; Usage'!$P31))+(IF('Equipment List &amp; Usage'!$F31="Yes",'Equipment List &amp; Usage'!$C$114*((('Weekly Summary'!AE$131*SelfQuarantine_Mild)+('Weekly Summary'!AE$100*SelfQuarantine_Mild)+('Weekly Summary'!AE$101*SelfQuarantine_Moderate))),'Equipment List &amp; Usage'!$C$115)*((('Weekly Summary'!AE$131*SelfQuarantine_Mild*'Equipment List &amp; Usage'!$W31)+('Weekly Summary'!AE$100*SelfQuarantine_Mild*'Equipment List &amp; Usage'!$X31)+('Weekly Summary'!AE$101*SelfQuarantine_Moderate*'Equipment List &amp; Usage'!$X31))))+IF('Equipment List &amp; Usage'!$F31="Yes",'Equipment List &amp; Usage'!$C$114*(IF('Equipment List &amp; Usage'!$AA31&gt;0,'Weekly Summary'!AE$128,0)+IF('Equipment List &amp; Usage'!$AB31&gt;0,'Weekly Summary'!AE$100+'Weekly Summary'!AE$101,0)),'Equipment List &amp; Usage'!$C$115*(('Weekly Summary'!AE$128*'Equipment List &amp; Usage'!$AA31)+('Weekly Summary'!AE$100*'Equipment List &amp; Usage'!$AB31*SelfQuarantine_Mild)+('Weekly Summary'!AE$101*'Equipment List &amp; Usage'!$AB31*SelfQuarantine_Moderate)))+IF('Equipment List &amp; Usage'!$F31="Yes",('Equipment List &amp; Usage'!$C$114*(IF('Equipment List &amp; Usage'!$AE31&gt;0,'Weekly Summary'!AE$134,0)+IF('Equipment List &amp; Usage'!$AF31&gt;0,'Weekly Summary'!AE$135))),'Equipment List &amp; Usage'!$C$115*(('Weekly Summary'!AE$134*'Equipment List &amp; Usage'!$AE31)+('Weekly Summary'!AE$135*'Equipment List &amp; Usage'!$AF31)))),0)</f>
        <v>0</v>
      </c>
      <c r="AL29" s="1374">
        <f ca="1">MAX(IF($F29="Yes",(
IF($F29="yes",MMULT(--('Equipment List &amp; Usage'!$J31:$N31&gt;0),--('Weekly Summary'!AF$112:AF$116))*'Equipment List &amp; Usage'!$C$114,MMULT(--('Equipment List &amp; Usage'!$J31:$N31),--('Weekly Summary'!AF$112:AF$116))*'Equipment List &amp; Usage'!$C$115)+IF('Equipment List &amp; Usage'!$F30="yes",'Equipment List &amp; Usage'!$C$114,'Equipment List &amp; Usage'!$C$115)*(('Weekly Summary'!AF$66*'Equipment List &amp; Usage'!$Q31)+('Weekly Summary'!AF$64*'Equipment List &amp; Usage'!$O31)+('Weekly Summary'!AF$65*'Equipment List &amp; Usage'!$P31)))+(IF('Equipment List &amp; Usage'!$F31="Yes",'Equipment List &amp; Usage'!$C$114*((('Weekly Summary'!AF$131*SelfQuarantine_Mild)+('Weekly Summary'!AF$100*SelfQuarantine_Mild)+('Weekly Summary'!AF$101*SelfQuarantine_Moderate))),'Equipment List &amp; Usage'!$C$115)*((('Weekly Summary'!AF$131*SelfQuarantine_Mild*'Equipment List &amp; Usage'!$W31)+('Weekly Summary'!AF$100*SelfQuarantine_Mild*'Equipment List &amp; Usage'!$X31)+('Weekly Summary'!AF$101*SelfQuarantine_Moderate*'Equipment List &amp; Usage'!$X31)))+IF('Equipment List &amp; Usage'!$F31="Yes",'Equipment List &amp; Usage'!$C$114*(IF('Equipment List &amp; Usage'!$AA31&gt;0,'Weekly Summary'!AF$128,0)+IF('Equipment List &amp; Usage'!$AB31&gt;0,'Weekly Summary'!AF$100+'Weekly Summary'!AF$101,0)),'Equipment List &amp; Usage'!$C$115*(('Weekly Summary'!AF$128*'Equipment List &amp; Usage'!$AA31)+('Weekly Summary'!AF$100*'Equipment List &amp; Usage'!$AB31*SelfQuarantine_Mild)+('Weekly Summary'!AF$101*'Equipment List &amp; Usage'!$AB31*SelfQuarantine_Moderate)))+IF('Equipment List &amp; Usage'!$F31="Yes",('Equipment List &amp; Usage'!$C$114*(IF('Equipment List &amp; Usage'!$AE31&gt;0,'Weekly Summary'!AF$134,0)+IF('Equipment List &amp; Usage'!$AF31&gt;0,'Weekly Summary'!AF$135))),'Equipment List &amp; Usage'!$C$115*(('Weekly Summary'!AF$134*'Equipment List &amp; Usage'!$AE31)+('Weekly Summary'!AF$135*'Equipment List &amp; Usage'!$AF31))))-SUM($I29:AK29),
IF($F29="yes",MMULT(--('Equipment List &amp; Usage'!$J31:$N31&gt;0),--('Weekly Summary'!AF$112:AF$116))*'Equipment List &amp; Usage'!$C$114,MMULT(--('Equipment List &amp; Usage'!$J31:$N31),--('Weekly Summary'!AF$112:AF$116))*'Equipment List &amp; Usage'!$C$115)+IF('Equipment List &amp; Usage'!$F30="yes",'Equipment List &amp; Usage'!$C$114,'Equipment List &amp; Usage'!$C$115)*(('Weekly Summary'!AF$66*'Equipment List &amp; Usage'!$Q31)+('Weekly Summary'!AF$64*'Equipment List &amp; Usage'!$O31)+('Weekly Summary'!AF$65*'Equipment List &amp; Usage'!$P31))+(IF('Equipment List &amp; Usage'!$F31="Yes",'Equipment List &amp; Usage'!$C$114*((('Weekly Summary'!AF$131*SelfQuarantine_Mild)+('Weekly Summary'!AF$100*SelfQuarantine_Mild)+('Weekly Summary'!AF$101*SelfQuarantine_Moderate))),'Equipment List &amp; Usage'!$C$115)*((('Weekly Summary'!AF$131*SelfQuarantine_Mild*'Equipment List &amp; Usage'!$W31)+('Weekly Summary'!AF$100*SelfQuarantine_Mild*'Equipment List &amp; Usage'!$X31)+('Weekly Summary'!AF$101*SelfQuarantine_Moderate*'Equipment List &amp; Usage'!$X31))))+IF('Equipment List &amp; Usage'!$F31="Yes",'Equipment List &amp; Usage'!$C$114*(IF('Equipment List &amp; Usage'!$AA31&gt;0,'Weekly Summary'!AF$128,0)+IF('Equipment List &amp; Usage'!$AB31&gt;0,'Weekly Summary'!AF$100+'Weekly Summary'!AF$101,0)),'Equipment List &amp; Usage'!$C$115*(('Weekly Summary'!AF$128*'Equipment List &amp; Usage'!$AA31)+('Weekly Summary'!AF$100*'Equipment List &amp; Usage'!$AB31*SelfQuarantine_Mild)+('Weekly Summary'!AF$101*'Equipment List &amp; Usage'!$AB31*SelfQuarantine_Moderate)))+IF('Equipment List &amp; Usage'!$F31="Yes",('Equipment List &amp; Usage'!$C$114*(IF('Equipment List &amp; Usage'!$AE31&gt;0,'Weekly Summary'!AF$134,0)+IF('Equipment List &amp; Usage'!$AF31&gt;0,'Weekly Summary'!AF$135))),'Equipment List &amp; Usage'!$C$115*(('Weekly Summary'!AF$134*'Equipment List &amp; Usage'!$AE31)+('Weekly Summary'!AF$135*'Equipment List &amp; Usage'!$AF31)))),0)</f>
        <v>0</v>
      </c>
      <c r="AM29" s="1374">
        <f ca="1">MAX(IF($F29="Yes",(
IF($F29="yes",MMULT(--('Equipment List &amp; Usage'!$J31:$N31&gt;0),--('Weekly Summary'!AG$112:AG$116))*'Equipment List &amp; Usage'!$C$114,MMULT(--('Equipment List &amp; Usage'!$J31:$N31),--('Weekly Summary'!AG$112:AG$116))*'Equipment List &amp; Usage'!$C$115)+IF('Equipment List &amp; Usage'!$F30="yes",'Equipment List &amp; Usage'!$C$114,'Equipment List &amp; Usage'!$C$115)*(('Weekly Summary'!AG$66*'Equipment List &amp; Usage'!$Q31)+('Weekly Summary'!AG$64*'Equipment List &amp; Usage'!$O31)+('Weekly Summary'!AG$65*'Equipment List &amp; Usage'!$P31)))+(IF('Equipment List &amp; Usage'!$F31="Yes",'Equipment List &amp; Usage'!$C$114*((('Weekly Summary'!AG$131*SelfQuarantine_Mild)+('Weekly Summary'!AG$100*SelfQuarantine_Mild)+('Weekly Summary'!AG$101*SelfQuarantine_Moderate))),'Equipment List &amp; Usage'!$C$115)*((('Weekly Summary'!AG$131*SelfQuarantine_Mild*'Equipment List &amp; Usage'!$W31)+('Weekly Summary'!AG$100*SelfQuarantine_Mild*'Equipment List &amp; Usage'!$X31)+('Weekly Summary'!AG$101*SelfQuarantine_Moderate*'Equipment List &amp; Usage'!$X31)))+IF('Equipment List &amp; Usage'!$F31="Yes",'Equipment List &amp; Usage'!$C$114*(IF('Equipment List &amp; Usage'!$AA31&gt;0,'Weekly Summary'!AG$128,0)+IF('Equipment List &amp; Usage'!$AB31&gt;0,'Weekly Summary'!AG$100+'Weekly Summary'!AG$101,0)),'Equipment List &amp; Usage'!$C$115*(('Weekly Summary'!AG$128*'Equipment List &amp; Usage'!$AA31)+('Weekly Summary'!AG$100*'Equipment List &amp; Usage'!$AB31*SelfQuarantine_Mild)+('Weekly Summary'!AG$101*'Equipment List &amp; Usage'!$AB31*SelfQuarantine_Moderate)))+IF('Equipment List &amp; Usage'!$F31="Yes",('Equipment List &amp; Usage'!$C$114*(IF('Equipment List &amp; Usage'!$AE31&gt;0,'Weekly Summary'!AG$134,0)+IF('Equipment List &amp; Usage'!$AF31&gt;0,'Weekly Summary'!AG$135))),'Equipment List &amp; Usage'!$C$115*(('Weekly Summary'!AG$134*'Equipment List &amp; Usage'!$AE31)+('Weekly Summary'!AG$135*'Equipment List &amp; Usage'!$AF31))))-SUM($I29:AL29),
IF($F29="yes",MMULT(--('Equipment List &amp; Usage'!$J31:$N31&gt;0),--('Weekly Summary'!AG$112:AG$116))*'Equipment List &amp; Usage'!$C$114,MMULT(--('Equipment List &amp; Usage'!$J31:$N31),--('Weekly Summary'!AG$112:AG$116))*'Equipment List &amp; Usage'!$C$115)+IF('Equipment List &amp; Usage'!$F30="yes",'Equipment List &amp; Usage'!$C$114,'Equipment List &amp; Usage'!$C$115)*(('Weekly Summary'!AG$66*'Equipment List &amp; Usage'!$Q31)+('Weekly Summary'!AG$64*'Equipment List &amp; Usage'!$O31)+('Weekly Summary'!AG$65*'Equipment List &amp; Usage'!$P31))+(IF('Equipment List &amp; Usage'!$F31="Yes",'Equipment List &amp; Usage'!$C$114*((('Weekly Summary'!AG$131*SelfQuarantine_Mild)+('Weekly Summary'!AG$100*SelfQuarantine_Mild)+('Weekly Summary'!AG$101*SelfQuarantine_Moderate))),'Equipment List &amp; Usage'!$C$115)*((('Weekly Summary'!AG$131*SelfQuarantine_Mild*'Equipment List &amp; Usage'!$W31)+('Weekly Summary'!AG$100*SelfQuarantine_Mild*'Equipment List &amp; Usage'!$X31)+('Weekly Summary'!AG$101*SelfQuarantine_Moderate*'Equipment List &amp; Usage'!$X31))))+IF('Equipment List &amp; Usage'!$F31="Yes",'Equipment List &amp; Usage'!$C$114*(IF('Equipment List &amp; Usage'!$AA31&gt;0,'Weekly Summary'!AG$128,0)+IF('Equipment List &amp; Usage'!$AB31&gt;0,'Weekly Summary'!AG$100+'Weekly Summary'!AG$101,0)),'Equipment List &amp; Usage'!$C$115*(('Weekly Summary'!AG$128*'Equipment List &amp; Usage'!$AA31)+('Weekly Summary'!AG$100*'Equipment List &amp; Usage'!$AB31*SelfQuarantine_Mild)+('Weekly Summary'!AG$101*'Equipment List &amp; Usage'!$AB31*SelfQuarantine_Moderate)))+IF('Equipment List &amp; Usage'!$F31="Yes",('Equipment List &amp; Usage'!$C$114*(IF('Equipment List &amp; Usage'!$AE31&gt;0,'Weekly Summary'!AG$134,0)+IF('Equipment List &amp; Usage'!$AF31&gt;0,'Weekly Summary'!AG$135))),'Equipment List &amp; Usage'!$C$115*(('Weekly Summary'!AG$134*'Equipment List &amp; Usage'!$AE31)+('Weekly Summary'!AG$135*'Equipment List &amp; Usage'!$AF31)))),0)</f>
        <v>0</v>
      </c>
      <c r="AN29" s="1374">
        <f ca="1">MAX(IF($F29="Yes",(
IF($F29="yes",MMULT(--('Equipment List &amp; Usage'!$J31:$N31&gt;0),--('Weekly Summary'!AH$112:AH$116))*'Equipment List &amp; Usage'!$C$114,MMULT(--('Equipment List &amp; Usage'!$J31:$N31),--('Weekly Summary'!AH$112:AH$116))*'Equipment List &amp; Usage'!$C$115)+IF('Equipment List &amp; Usage'!$F30="yes",'Equipment List &amp; Usage'!$C$114,'Equipment List &amp; Usage'!$C$115)*(('Weekly Summary'!AH$66*'Equipment List &amp; Usage'!$Q31)+('Weekly Summary'!AH$64*'Equipment List &amp; Usage'!$O31)+('Weekly Summary'!AH$65*'Equipment List &amp; Usage'!$P31)))+(IF('Equipment List &amp; Usage'!$F31="Yes",'Equipment List &amp; Usage'!$C$114*((('Weekly Summary'!AH$131*SelfQuarantine_Mild)+('Weekly Summary'!AH$100*SelfQuarantine_Mild)+('Weekly Summary'!AH$101*SelfQuarantine_Moderate))),'Equipment List &amp; Usage'!$C$115)*((('Weekly Summary'!AH$131*SelfQuarantine_Mild*'Equipment List &amp; Usage'!$W31)+('Weekly Summary'!AH$100*SelfQuarantine_Mild*'Equipment List &amp; Usage'!$X31)+('Weekly Summary'!AH$101*SelfQuarantine_Moderate*'Equipment List &amp; Usage'!$X31)))+IF('Equipment List &amp; Usage'!$F31="Yes",'Equipment List &amp; Usage'!$C$114*(IF('Equipment List &amp; Usage'!$AA31&gt;0,'Weekly Summary'!AH$128,0)+IF('Equipment List &amp; Usage'!$AB31&gt;0,'Weekly Summary'!AH$100+'Weekly Summary'!AH$101,0)),'Equipment List &amp; Usage'!$C$115*(('Weekly Summary'!AH$128*'Equipment List &amp; Usage'!$AA31)+('Weekly Summary'!AH$100*'Equipment List &amp; Usage'!$AB31*SelfQuarantine_Mild)+('Weekly Summary'!AH$101*'Equipment List &amp; Usage'!$AB31*SelfQuarantine_Moderate)))+IF('Equipment List &amp; Usage'!$F31="Yes",('Equipment List &amp; Usage'!$C$114*(IF('Equipment List &amp; Usage'!$AE31&gt;0,'Weekly Summary'!AH$134,0)+IF('Equipment List &amp; Usage'!$AF31&gt;0,'Weekly Summary'!AH$135))),'Equipment List &amp; Usage'!$C$115*(('Weekly Summary'!AH$134*'Equipment List &amp; Usage'!$AE31)+('Weekly Summary'!AH$135*'Equipment List &amp; Usage'!$AF31))))-SUM($I29:AM29),
IF($F29="yes",MMULT(--('Equipment List &amp; Usage'!$J31:$N31&gt;0),--('Weekly Summary'!AH$112:AH$116))*'Equipment List &amp; Usage'!$C$114,MMULT(--('Equipment List &amp; Usage'!$J31:$N31),--('Weekly Summary'!AH$112:AH$116))*'Equipment List &amp; Usage'!$C$115)+IF('Equipment List &amp; Usage'!$F30="yes",'Equipment List &amp; Usage'!$C$114,'Equipment List &amp; Usage'!$C$115)*(('Weekly Summary'!AH$66*'Equipment List &amp; Usage'!$Q31)+('Weekly Summary'!AH$64*'Equipment List &amp; Usage'!$O31)+('Weekly Summary'!AH$65*'Equipment List &amp; Usage'!$P31))+(IF('Equipment List &amp; Usage'!$F31="Yes",'Equipment List &amp; Usage'!$C$114*((('Weekly Summary'!AH$131*SelfQuarantine_Mild)+('Weekly Summary'!AH$100*SelfQuarantine_Mild)+('Weekly Summary'!AH$101*SelfQuarantine_Moderate))),'Equipment List &amp; Usage'!$C$115)*((('Weekly Summary'!AH$131*SelfQuarantine_Mild*'Equipment List &amp; Usage'!$W31)+('Weekly Summary'!AH$100*SelfQuarantine_Mild*'Equipment List &amp; Usage'!$X31)+('Weekly Summary'!AH$101*SelfQuarantine_Moderate*'Equipment List &amp; Usage'!$X31))))+IF('Equipment List &amp; Usage'!$F31="Yes",'Equipment List &amp; Usage'!$C$114*(IF('Equipment List &amp; Usage'!$AA31&gt;0,'Weekly Summary'!AH$128,0)+IF('Equipment List &amp; Usage'!$AB31&gt;0,'Weekly Summary'!AH$100+'Weekly Summary'!AH$101,0)),'Equipment List &amp; Usage'!$C$115*(('Weekly Summary'!AH$128*'Equipment List &amp; Usage'!$AA31)+('Weekly Summary'!AH$100*'Equipment List &amp; Usage'!$AB31*SelfQuarantine_Mild)+('Weekly Summary'!AH$101*'Equipment List &amp; Usage'!$AB31*SelfQuarantine_Moderate)))+IF('Equipment List &amp; Usage'!$F31="Yes",('Equipment List &amp; Usage'!$C$114*(IF('Equipment List &amp; Usage'!$AE31&gt;0,'Weekly Summary'!AH$134,0)+IF('Equipment List &amp; Usage'!$AF31&gt;0,'Weekly Summary'!AH$135))),'Equipment List &amp; Usage'!$C$115*(('Weekly Summary'!AH$134*'Equipment List &amp; Usage'!$AE31)+('Weekly Summary'!AH$135*'Equipment List &amp; Usage'!$AF31)))),0)</f>
        <v>0</v>
      </c>
      <c r="AO29" s="1374">
        <f ca="1">MAX(IF($F29="Yes",(
IF($F29="yes",MMULT(--('Equipment List &amp; Usage'!$J31:$N31&gt;0),--('Weekly Summary'!AI$112:AI$116))*'Equipment List &amp; Usage'!$C$114,MMULT(--('Equipment List &amp; Usage'!$J31:$N31),--('Weekly Summary'!AI$112:AI$116))*'Equipment List &amp; Usage'!$C$115)+IF('Equipment List &amp; Usage'!$F30="yes",'Equipment List &amp; Usage'!$C$114,'Equipment List &amp; Usage'!$C$115)*(('Weekly Summary'!AI$66*'Equipment List &amp; Usage'!$Q31)+('Weekly Summary'!AI$64*'Equipment List &amp; Usage'!$O31)+('Weekly Summary'!AI$65*'Equipment List &amp; Usage'!$P31)))+(IF('Equipment List &amp; Usage'!$F31="Yes",'Equipment List &amp; Usage'!$C$114*((('Weekly Summary'!AI$131*SelfQuarantine_Mild)+('Weekly Summary'!AI$100*SelfQuarantine_Mild)+('Weekly Summary'!AI$101*SelfQuarantine_Moderate))),'Equipment List &amp; Usage'!$C$115)*((('Weekly Summary'!AI$131*SelfQuarantine_Mild*'Equipment List &amp; Usage'!$W31)+('Weekly Summary'!AI$100*SelfQuarantine_Mild*'Equipment List &amp; Usage'!$X31)+('Weekly Summary'!AI$101*SelfQuarantine_Moderate*'Equipment List &amp; Usage'!$X31)))+IF('Equipment List &amp; Usage'!$F31="Yes",'Equipment List &amp; Usage'!$C$114*(IF('Equipment List &amp; Usage'!$AA31&gt;0,'Weekly Summary'!AI$128,0)+IF('Equipment List &amp; Usage'!$AB31&gt;0,'Weekly Summary'!AI$100+'Weekly Summary'!AI$101,0)),'Equipment List &amp; Usage'!$C$115*(('Weekly Summary'!AI$128*'Equipment List &amp; Usage'!$AA31)+('Weekly Summary'!AI$100*'Equipment List &amp; Usage'!$AB31*SelfQuarantine_Mild)+('Weekly Summary'!AI$101*'Equipment List &amp; Usage'!$AB31*SelfQuarantine_Moderate)))+IF('Equipment List &amp; Usage'!$F31="Yes",('Equipment List &amp; Usage'!$C$114*(IF('Equipment List &amp; Usage'!$AE31&gt;0,'Weekly Summary'!AI$134,0)+IF('Equipment List &amp; Usage'!$AF31&gt;0,'Weekly Summary'!AI$135))),'Equipment List &amp; Usage'!$C$115*(('Weekly Summary'!AI$134*'Equipment List &amp; Usage'!$AE31)+('Weekly Summary'!AI$135*'Equipment List &amp; Usage'!$AF31))))-SUM($I29:AN29),
IF($F29="yes",MMULT(--('Equipment List &amp; Usage'!$J31:$N31&gt;0),--('Weekly Summary'!AI$112:AI$116))*'Equipment List &amp; Usage'!$C$114,MMULT(--('Equipment List &amp; Usage'!$J31:$N31),--('Weekly Summary'!AI$112:AI$116))*'Equipment List &amp; Usage'!$C$115)+IF('Equipment List &amp; Usage'!$F30="yes",'Equipment List &amp; Usage'!$C$114,'Equipment List &amp; Usage'!$C$115)*(('Weekly Summary'!AI$66*'Equipment List &amp; Usage'!$Q31)+('Weekly Summary'!AI$64*'Equipment List &amp; Usage'!$O31)+('Weekly Summary'!AI$65*'Equipment List &amp; Usage'!$P31))+(IF('Equipment List &amp; Usage'!$F31="Yes",'Equipment List &amp; Usage'!$C$114*((('Weekly Summary'!AI$131*SelfQuarantine_Mild)+('Weekly Summary'!AI$100*SelfQuarantine_Mild)+('Weekly Summary'!AI$101*SelfQuarantine_Moderate))),'Equipment List &amp; Usage'!$C$115)*((('Weekly Summary'!AI$131*SelfQuarantine_Mild*'Equipment List &amp; Usage'!$W31)+('Weekly Summary'!AI$100*SelfQuarantine_Mild*'Equipment List &amp; Usage'!$X31)+('Weekly Summary'!AI$101*SelfQuarantine_Moderate*'Equipment List &amp; Usage'!$X31))))+IF('Equipment List &amp; Usage'!$F31="Yes",'Equipment List &amp; Usage'!$C$114*(IF('Equipment List &amp; Usage'!$AA31&gt;0,'Weekly Summary'!AI$128,0)+IF('Equipment List &amp; Usage'!$AB31&gt;0,'Weekly Summary'!AI$100+'Weekly Summary'!AI$101,0)),'Equipment List &amp; Usage'!$C$115*(('Weekly Summary'!AI$128*'Equipment List &amp; Usage'!$AA31)+('Weekly Summary'!AI$100*'Equipment List &amp; Usage'!$AB31*SelfQuarantine_Mild)+('Weekly Summary'!AI$101*'Equipment List &amp; Usage'!$AB31*SelfQuarantine_Moderate)))+IF('Equipment List &amp; Usage'!$F31="Yes",('Equipment List &amp; Usage'!$C$114*(IF('Equipment List &amp; Usage'!$AE31&gt;0,'Weekly Summary'!AI$134,0)+IF('Equipment List &amp; Usage'!$AF31&gt;0,'Weekly Summary'!AI$135))),'Equipment List &amp; Usage'!$C$115*(('Weekly Summary'!AI$134*'Equipment List &amp; Usage'!$AE31)+('Weekly Summary'!AI$135*'Equipment List &amp; Usage'!$AF31)))),0)</f>
        <v>0</v>
      </c>
      <c r="AP29" s="1374">
        <f ca="1">MAX(IF($F29="Yes",(
IF($F29="yes",MMULT(--('Equipment List &amp; Usage'!$J31:$N31&gt;0),--('Weekly Summary'!AJ$112:AJ$116))*'Equipment List &amp; Usage'!$C$114,MMULT(--('Equipment List &amp; Usage'!$J31:$N31),--('Weekly Summary'!AJ$112:AJ$116))*'Equipment List &amp; Usage'!$C$115)+IF('Equipment List &amp; Usage'!$F30="yes",'Equipment List &amp; Usage'!$C$114,'Equipment List &amp; Usage'!$C$115)*(('Weekly Summary'!AJ$66*'Equipment List &amp; Usage'!$Q31)+('Weekly Summary'!AJ$64*'Equipment List &amp; Usage'!$O31)+('Weekly Summary'!AJ$65*'Equipment List &amp; Usage'!$P31)))+(IF('Equipment List &amp; Usage'!$F31="Yes",'Equipment List &amp; Usage'!$C$114*((('Weekly Summary'!AJ$131*SelfQuarantine_Mild)+('Weekly Summary'!AJ$100*SelfQuarantine_Mild)+('Weekly Summary'!AJ$101*SelfQuarantine_Moderate))),'Equipment List &amp; Usage'!$C$115)*((('Weekly Summary'!AJ$131*SelfQuarantine_Mild*'Equipment List &amp; Usage'!$W31)+('Weekly Summary'!AJ$100*SelfQuarantine_Mild*'Equipment List &amp; Usage'!$X31)+('Weekly Summary'!AJ$101*SelfQuarantine_Moderate*'Equipment List &amp; Usage'!$X31)))+IF('Equipment List &amp; Usage'!$F31="Yes",'Equipment List &amp; Usage'!$C$114*(IF('Equipment List &amp; Usage'!$AA31&gt;0,'Weekly Summary'!AJ$128,0)+IF('Equipment List &amp; Usage'!$AB31&gt;0,'Weekly Summary'!AJ$100+'Weekly Summary'!AJ$101,0)),'Equipment List &amp; Usage'!$C$115*(('Weekly Summary'!AJ$128*'Equipment List &amp; Usage'!$AA31)+('Weekly Summary'!AJ$100*'Equipment List &amp; Usage'!$AB31*SelfQuarantine_Mild)+('Weekly Summary'!AJ$101*'Equipment List &amp; Usage'!$AB31*SelfQuarantine_Moderate)))+IF('Equipment List &amp; Usage'!$F31="Yes",('Equipment List &amp; Usage'!$C$114*(IF('Equipment List &amp; Usage'!$AE31&gt;0,'Weekly Summary'!AJ$134,0)+IF('Equipment List &amp; Usage'!$AF31&gt;0,'Weekly Summary'!AJ$135))),'Equipment List &amp; Usage'!$C$115*(('Weekly Summary'!AJ$134*'Equipment List &amp; Usage'!$AE31)+('Weekly Summary'!AJ$135*'Equipment List &amp; Usage'!$AF31))))-SUM($I29:AO29),
IF($F29="yes",MMULT(--('Equipment List &amp; Usage'!$J31:$N31&gt;0),--('Weekly Summary'!AJ$112:AJ$116))*'Equipment List &amp; Usage'!$C$114,MMULT(--('Equipment List &amp; Usage'!$J31:$N31),--('Weekly Summary'!AJ$112:AJ$116))*'Equipment List &amp; Usage'!$C$115)+IF('Equipment List &amp; Usage'!$F30="yes",'Equipment List &amp; Usage'!$C$114,'Equipment List &amp; Usage'!$C$115)*(('Weekly Summary'!AJ$66*'Equipment List &amp; Usage'!$Q31)+('Weekly Summary'!AJ$64*'Equipment List &amp; Usage'!$O31)+('Weekly Summary'!AJ$65*'Equipment List &amp; Usage'!$P31))+(IF('Equipment List &amp; Usage'!$F31="Yes",'Equipment List &amp; Usage'!$C$114*((('Weekly Summary'!AJ$131*SelfQuarantine_Mild)+('Weekly Summary'!AJ$100*SelfQuarantine_Mild)+('Weekly Summary'!AJ$101*SelfQuarantine_Moderate))),'Equipment List &amp; Usage'!$C$115)*((('Weekly Summary'!AJ$131*SelfQuarantine_Mild*'Equipment List &amp; Usage'!$W31)+('Weekly Summary'!AJ$100*SelfQuarantine_Mild*'Equipment List &amp; Usage'!$X31)+('Weekly Summary'!AJ$101*SelfQuarantine_Moderate*'Equipment List &amp; Usage'!$X31))))+IF('Equipment List &amp; Usage'!$F31="Yes",'Equipment List &amp; Usage'!$C$114*(IF('Equipment List &amp; Usage'!$AA31&gt;0,'Weekly Summary'!AJ$128,0)+IF('Equipment List &amp; Usage'!$AB31&gt;0,'Weekly Summary'!AJ$100+'Weekly Summary'!AJ$101,0)),'Equipment List &amp; Usage'!$C$115*(('Weekly Summary'!AJ$128*'Equipment List &amp; Usage'!$AA31)+('Weekly Summary'!AJ$100*'Equipment List &amp; Usage'!$AB31*SelfQuarantine_Mild)+('Weekly Summary'!AJ$101*'Equipment List &amp; Usage'!$AB31*SelfQuarantine_Moderate)))+IF('Equipment List &amp; Usage'!$F31="Yes",('Equipment List &amp; Usage'!$C$114*(IF('Equipment List &amp; Usage'!$AE31&gt;0,'Weekly Summary'!AJ$134,0)+IF('Equipment List &amp; Usage'!$AF31&gt;0,'Weekly Summary'!AJ$135))),'Equipment List &amp; Usage'!$C$115*(('Weekly Summary'!AJ$134*'Equipment List &amp; Usage'!$AE31)+('Weekly Summary'!AJ$135*'Equipment List &amp; Usage'!$AF31)))),0)</f>
        <v>0</v>
      </c>
      <c r="AQ29" s="1374">
        <f ca="1">MAX(IF($F29="Yes",(
IF($F29="yes",MMULT(--('Equipment List &amp; Usage'!$J31:$N31&gt;0),--('Weekly Summary'!AK$112:AK$116))*'Equipment List &amp; Usage'!$C$114,MMULT(--('Equipment List &amp; Usage'!$J31:$N31),--('Weekly Summary'!AK$112:AK$116))*'Equipment List &amp; Usage'!$C$115)+IF('Equipment List &amp; Usage'!$F30="yes",'Equipment List &amp; Usage'!$C$114,'Equipment List &amp; Usage'!$C$115)*(('Weekly Summary'!AK$66*'Equipment List &amp; Usage'!$Q31)+('Weekly Summary'!AK$64*'Equipment List &amp; Usage'!$O31)+('Weekly Summary'!AK$65*'Equipment List &amp; Usage'!$P31)))+(IF('Equipment List &amp; Usage'!$F31="Yes",'Equipment List &amp; Usage'!$C$114*((('Weekly Summary'!AK$131*SelfQuarantine_Mild)+('Weekly Summary'!AK$100*SelfQuarantine_Mild)+('Weekly Summary'!AK$101*SelfQuarantine_Moderate))),'Equipment List &amp; Usage'!$C$115)*((('Weekly Summary'!AK$131*SelfQuarantine_Mild*'Equipment List &amp; Usage'!$W31)+('Weekly Summary'!AK$100*SelfQuarantine_Mild*'Equipment List &amp; Usage'!$X31)+('Weekly Summary'!AK$101*SelfQuarantine_Moderate*'Equipment List &amp; Usage'!$X31)))+IF('Equipment List &amp; Usage'!$F31="Yes",'Equipment List &amp; Usage'!$C$114*(IF('Equipment List &amp; Usage'!$AA31&gt;0,'Weekly Summary'!AK$128,0)+IF('Equipment List &amp; Usage'!$AB31&gt;0,'Weekly Summary'!AK$100+'Weekly Summary'!AK$101,0)),'Equipment List &amp; Usage'!$C$115*(('Weekly Summary'!AK$128*'Equipment List &amp; Usage'!$AA31)+('Weekly Summary'!AK$100*'Equipment List &amp; Usage'!$AB31*SelfQuarantine_Mild)+('Weekly Summary'!AK$101*'Equipment List &amp; Usage'!$AB31*SelfQuarantine_Moderate)))+IF('Equipment List &amp; Usage'!$F31="Yes",('Equipment List &amp; Usage'!$C$114*(IF('Equipment List &amp; Usage'!$AE31&gt;0,'Weekly Summary'!AK$134,0)+IF('Equipment List &amp; Usage'!$AF31&gt;0,'Weekly Summary'!AK$135))),'Equipment List &amp; Usage'!$C$115*(('Weekly Summary'!AK$134*'Equipment List &amp; Usage'!$AE31)+('Weekly Summary'!AK$135*'Equipment List &amp; Usage'!$AF31))))-SUM($I29:AP29),
IF($F29="yes",MMULT(--('Equipment List &amp; Usage'!$J31:$N31&gt;0),--('Weekly Summary'!AK$112:AK$116))*'Equipment List &amp; Usage'!$C$114,MMULT(--('Equipment List &amp; Usage'!$J31:$N31),--('Weekly Summary'!AK$112:AK$116))*'Equipment List &amp; Usage'!$C$115)+IF('Equipment List &amp; Usage'!$F30="yes",'Equipment List &amp; Usage'!$C$114,'Equipment List &amp; Usage'!$C$115)*(('Weekly Summary'!AK$66*'Equipment List &amp; Usage'!$Q31)+('Weekly Summary'!AK$64*'Equipment List &amp; Usage'!$O31)+('Weekly Summary'!AK$65*'Equipment List &amp; Usage'!$P31))+(IF('Equipment List &amp; Usage'!$F31="Yes",'Equipment List &amp; Usage'!$C$114*((('Weekly Summary'!AK$131*SelfQuarantine_Mild)+('Weekly Summary'!AK$100*SelfQuarantine_Mild)+('Weekly Summary'!AK$101*SelfQuarantine_Moderate))),'Equipment List &amp; Usage'!$C$115)*((('Weekly Summary'!AK$131*SelfQuarantine_Mild*'Equipment List &amp; Usage'!$W31)+('Weekly Summary'!AK$100*SelfQuarantine_Mild*'Equipment List &amp; Usage'!$X31)+('Weekly Summary'!AK$101*SelfQuarantine_Moderate*'Equipment List &amp; Usage'!$X31))))+IF('Equipment List &amp; Usage'!$F31="Yes",'Equipment List &amp; Usage'!$C$114*(IF('Equipment List &amp; Usage'!$AA31&gt;0,'Weekly Summary'!AK$128,0)+IF('Equipment List &amp; Usage'!$AB31&gt;0,'Weekly Summary'!AK$100+'Weekly Summary'!AK$101,0)),'Equipment List &amp; Usage'!$C$115*(('Weekly Summary'!AK$128*'Equipment List &amp; Usage'!$AA31)+('Weekly Summary'!AK$100*'Equipment List &amp; Usage'!$AB31*SelfQuarantine_Mild)+('Weekly Summary'!AK$101*'Equipment List &amp; Usage'!$AB31*SelfQuarantine_Moderate)))+IF('Equipment List &amp; Usage'!$F31="Yes",('Equipment List &amp; Usage'!$C$114*(IF('Equipment List &amp; Usage'!$AE31&gt;0,'Weekly Summary'!AK$134,0)+IF('Equipment List &amp; Usage'!$AF31&gt;0,'Weekly Summary'!AK$135))),'Equipment List &amp; Usage'!$C$115*(('Weekly Summary'!AK$134*'Equipment List &amp; Usage'!$AE31)+('Weekly Summary'!AK$135*'Equipment List &amp; Usage'!$AF31)))),0)</f>
        <v>0</v>
      </c>
      <c r="AR29" s="1374">
        <f ca="1">MAX(IF($F29="Yes",(
IF($F29="yes",MMULT(--('Equipment List &amp; Usage'!$J31:$N31&gt;0),--('Weekly Summary'!AL$112:AL$116))*'Equipment List &amp; Usage'!$C$114,MMULT(--('Equipment List &amp; Usage'!$J31:$N31),--('Weekly Summary'!AL$112:AL$116))*'Equipment List &amp; Usage'!$C$115)+IF('Equipment List &amp; Usage'!$F30="yes",'Equipment List &amp; Usage'!$C$114,'Equipment List &amp; Usage'!$C$115)*(('Weekly Summary'!AL$66*'Equipment List &amp; Usage'!$Q31)+('Weekly Summary'!AL$64*'Equipment List &amp; Usage'!$O31)+('Weekly Summary'!AL$65*'Equipment List &amp; Usage'!$P31)))+(IF('Equipment List &amp; Usage'!$F31="Yes",'Equipment List &amp; Usage'!$C$114*((('Weekly Summary'!AL$131*SelfQuarantine_Mild)+('Weekly Summary'!AL$100*SelfQuarantine_Mild)+('Weekly Summary'!AL$101*SelfQuarantine_Moderate))),'Equipment List &amp; Usage'!$C$115)*((('Weekly Summary'!AL$131*SelfQuarantine_Mild*'Equipment List &amp; Usage'!$W31)+('Weekly Summary'!AL$100*SelfQuarantine_Mild*'Equipment List &amp; Usage'!$X31)+('Weekly Summary'!AL$101*SelfQuarantine_Moderate*'Equipment List &amp; Usage'!$X31)))+IF('Equipment List &amp; Usage'!$F31="Yes",'Equipment List &amp; Usage'!$C$114*(IF('Equipment List &amp; Usage'!$AA31&gt;0,'Weekly Summary'!AL$128,0)+IF('Equipment List &amp; Usage'!$AB31&gt;0,'Weekly Summary'!AL$100+'Weekly Summary'!AL$101,0)),'Equipment List &amp; Usage'!$C$115*(('Weekly Summary'!AL$128*'Equipment List &amp; Usage'!$AA31)+('Weekly Summary'!AL$100*'Equipment List &amp; Usage'!$AB31*SelfQuarantine_Mild)+('Weekly Summary'!AL$101*'Equipment List &amp; Usage'!$AB31*SelfQuarantine_Moderate)))+IF('Equipment List &amp; Usage'!$F31="Yes",('Equipment List &amp; Usage'!$C$114*(IF('Equipment List &amp; Usage'!$AE31&gt;0,'Weekly Summary'!AL$134,0)+IF('Equipment List &amp; Usage'!$AF31&gt;0,'Weekly Summary'!AL$135))),'Equipment List &amp; Usage'!$C$115*(('Weekly Summary'!AL$134*'Equipment List &amp; Usage'!$AE31)+('Weekly Summary'!AL$135*'Equipment List &amp; Usage'!$AF31))))-SUM($I29:AQ29),
IF($F29="yes",MMULT(--('Equipment List &amp; Usage'!$J31:$N31&gt;0),--('Weekly Summary'!AL$112:AL$116))*'Equipment List &amp; Usage'!$C$114,MMULT(--('Equipment List &amp; Usage'!$J31:$N31),--('Weekly Summary'!AL$112:AL$116))*'Equipment List &amp; Usage'!$C$115)+IF('Equipment List &amp; Usage'!$F30="yes",'Equipment List &amp; Usage'!$C$114,'Equipment List &amp; Usage'!$C$115)*(('Weekly Summary'!AL$66*'Equipment List &amp; Usage'!$Q31)+('Weekly Summary'!AL$64*'Equipment List &amp; Usage'!$O31)+('Weekly Summary'!AL$65*'Equipment List &amp; Usage'!$P31))+(IF('Equipment List &amp; Usage'!$F31="Yes",'Equipment List &amp; Usage'!$C$114*((('Weekly Summary'!AL$131*SelfQuarantine_Mild)+('Weekly Summary'!AL$100*SelfQuarantine_Mild)+('Weekly Summary'!AL$101*SelfQuarantine_Moderate))),'Equipment List &amp; Usage'!$C$115)*((('Weekly Summary'!AL$131*SelfQuarantine_Mild*'Equipment List &amp; Usage'!$W31)+('Weekly Summary'!AL$100*SelfQuarantine_Mild*'Equipment List &amp; Usage'!$X31)+('Weekly Summary'!AL$101*SelfQuarantine_Moderate*'Equipment List &amp; Usage'!$X31))))+IF('Equipment List &amp; Usage'!$F31="Yes",'Equipment List &amp; Usage'!$C$114*(IF('Equipment List &amp; Usage'!$AA31&gt;0,'Weekly Summary'!AL$128,0)+IF('Equipment List &amp; Usage'!$AB31&gt;0,'Weekly Summary'!AL$100+'Weekly Summary'!AL$101,0)),'Equipment List &amp; Usage'!$C$115*(('Weekly Summary'!AL$128*'Equipment List &amp; Usage'!$AA31)+('Weekly Summary'!AL$100*'Equipment List &amp; Usage'!$AB31*SelfQuarantine_Mild)+('Weekly Summary'!AL$101*'Equipment List &amp; Usage'!$AB31*SelfQuarantine_Moderate)))+IF('Equipment List &amp; Usage'!$F31="Yes",('Equipment List &amp; Usage'!$C$114*(IF('Equipment List &amp; Usage'!$AE31&gt;0,'Weekly Summary'!AL$134,0)+IF('Equipment List &amp; Usage'!$AF31&gt;0,'Weekly Summary'!AL$135))),'Equipment List &amp; Usage'!$C$115*(('Weekly Summary'!AL$134*'Equipment List &amp; Usage'!$AE31)+('Weekly Summary'!AL$135*'Equipment List &amp; Usage'!$AF31)))),0)</f>
        <v>0</v>
      </c>
      <c r="AS29" s="1374">
        <f ca="1">MAX(IF($F29="Yes",(
IF($F29="yes",MMULT(--('Equipment List &amp; Usage'!$J31:$N31&gt;0),--('Weekly Summary'!AM$112:AM$116))*'Equipment List &amp; Usage'!$C$114,MMULT(--('Equipment List &amp; Usage'!$J31:$N31),--('Weekly Summary'!AM$112:AM$116))*'Equipment List &amp; Usage'!$C$115)+IF('Equipment List &amp; Usage'!$F30="yes",'Equipment List &amp; Usage'!$C$114,'Equipment List &amp; Usage'!$C$115)*(('Weekly Summary'!AM$66*'Equipment List &amp; Usage'!$Q31)+('Weekly Summary'!AM$64*'Equipment List &amp; Usage'!$O31)+('Weekly Summary'!AM$65*'Equipment List &amp; Usage'!$P31)))+(IF('Equipment List &amp; Usage'!$F31="Yes",'Equipment List &amp; Usage'!$C$114*((('Weekly Summary'!AM$131*SelfQuarantine_Mild)+('Weekly Summary'!AM$100*SelfQuarantine_Mild)+('Weekly Summary'!AM$101*SelfQuarantine_Moderate))),'Equipment List &amp; Usage'!$C$115)*((('Weekly Summary'!AM$131*SelfQuarantine_Mild*'Equipment List &amp; Usage'!$W31)+('Weekly Summary'!AM$100*SelfQuarantine_Mild*'Equipment List &amp; Usage'!$X31)+('Weekly Summary'!AM$101*SelfQuarantine_Moderate*'Equipment List &amp; Usage'!$X31)))+IF('Equipment List &amp; Usage'!$F31="Yes",'Equipment List &amp; Usage'!$C$114*(IF('Equipment List &amp; Usage'!$AA31&gt;0,'Weekly Summary'!AM$128,0)+IF('Equipment List &amp; Usage'!$AB31&gt;0,'Weekly Summary'!AM$100+'Weekly Summary'!AM$101,0)),'Equipment List &amp; Usage'!$C$115*(('Weekly Summary'!AM$128*'Equipment List &amp; Usage'!$AA31)+('Weekly Summary'!AM$100*'Equipment List &amp; Usage'!$AB31*SelfQuarantine_Mild)+('Weekly Summary'!AM$101*'Equipment List &amp; Usage'!$AB31*SelfQuarantine_Moderate)))+IF('Equipment List &amp; Usage'!$F31="Yes",('Equipment List &amp; Usage'!$C$114*(IF('Equipment List &amp; Usage'!$AE31&gt;0,'Weekly Summary'!AM$134,0)+IF('Equipment List &amp; Usage'!$AF31&gt;0,'Weekly Summary'!AM$135))),'Equipment List &amp; Usage'!$C$115*(('Weekly Summary'!AM$134*'Equipment List &amp; Usage'!$AE31)+('Weekly Summary'!AM$135*'Equipment List &amp; Usage'!$AF31))))-SUM($I29:AR29),
IF($F29="yes",MMULT(--('Equipment List &amp; Usage'!$J31:$N31&gt;0),--('Weekly Summary'!AM$112:AM$116))*'Equipment List &amp; Usage'!$C$114,MMULT(--('Equipment List &amp; Usage'!$J31:$N31),--('Weekly Summary'!AM$112:AM$116))*'Equipment List &amp; Usage'!$C$115)+IF('Equipment List &amp; Usage'!$F30="yes",'Equipment List &amp; Usage'!$C$114,'Equipment List &amp; Usage'!$C$115)*(('Weekly Summary'!AM$66*'Equipment List &amp; Usage'!$Q31)+('Weekly Summary'!AM$64*'Equipment List &amp; Usage'!$O31)+('Weekly Summary'!AM$65*'Equipment List &amp; Usage'!$P31))+(IF('Equipment List &amp; Usage'!$F31="Yes",'Equipment List &amp; Usage'!$C$114*((('Weekly Summary'!AM$131*SelfQuarantine_Mild)+('Weekly Summary'!AM$100*SelfQuarantine_Mild)+('Weekly Summary'!AM$101*SelfQuarantine_Moderate))),'Equipment List &amp; Usage'!$C$115)*((('Weekly Summary'!AM$131*SelfQuarantine_Mild*'Equipment List &amp; Usage'!$W31)+('Weekly Summary'!AM$100*SelfQuarantine_Mild*'Equipment List &amp; Usage'!$X31)+('Weekly Summary'!AM$101*SelfQuarantine_Moderate*'Equipment List &amp; Usage'!$X31))))+IF('Equipment List &amp; Usage'!$F31="Yes",'Equipment List &amp; Usage'!$C$114*(IF('Equipment List &amp; Usage'!$AA31&gt;0,'Weekly Summary'!AM$128,0)+IF('Equipment List &amp; Usage'!$AB31&gt;0,'Weekly Summary'!AM$100+'Weekly Summary'!AM$101,0)),'Equipment List &amp; Usage'!$C$115*(('Weekly Summary'!AM$128*'Equipment List &amp; Usage'!$AA31)+('Weekly Summary'!AM$100*'Equipment List &amp; Usage'!$AB31*SelfQuarantine_Mild)+('Weekly Summary'!AM$101*'Equipment List &amp; Usage'!$AB31*SelfQuarantine_Moderate)))+IF('Equipment List &amp; Usage'!$F31="Yes",('Equipment List &amp; Usage'!$C$114*(IF('Equipment List &amp; Usage'!$AE31&gt;0,'Weekly Summary'!AM$134,0)+IF('Equipment List &amp; Usage'!$AF31&gt;0,'Weekly Summary'!AM$135))),'Equipment List &amp; Usage'!$C$115*(('Weekly Summary'!AM$134*'Equipment List &amp; Usage'!$AE31)+('Weekly Summary'!AM$135*'Equipment List &amp; Usage'!$AF31)))),0)</f>
        <v>0</v>
      </c>
      <c r="AT29" s="1374">
        <f ca="1">MAX(IF($F29="Yes",(
IF($F29="yes",MMULT(--('Equipment List &amp; Usage'!$J31:$N31&gt;0),--('Weekly Summary'!AN$112:AN$116))*'Equipment List &amp; Usage'!$C$114,MMULT(--('Equipment List &amp; Usage'!$J31:$N31),--('Weekly Summary'!AN$112:AN$116))*'Equipment List &amp; Usage'!$C$115)+IF('Equipment List &amp; Usage'!$F30="yes",'Equipment List &amp; Usage'!$C$114,'Equipment List &amp; Usage'!$C$115)*(('Weekly Summary'!AN$66*'Equipment List &amp; Usage'!$Q31)+('Weekly Summary'!AN$64*'Equipment List &amp; Usage'!$O31)+('Weekly Summary'!AN$65*'Equipment List &amp; Usage'!$P31)))+(IF('Equipment List &amp; Usage'!$F31="Yes",'Equipment List &amp; Usage'!$C$114*((('Weekly Summary'!AN$131*SelfQuarantine_Mild)+('Weekly Summary'!AN$100*SelfQuarantine_Mild)+('Weekly Summary'!AN$101*SelfQuarantine_Moderate))),'Equipment List &amp; Usage'!$C$115)*((('Weekly Summary'!AN$131*SelfQuarantine_Mild*'Equipment List &amp; Usage'!$W31)+('Weekly Summary'!AN$100*SelfQuarantine_Mild*'Equipment List &amp; Usage'!$X31)+('Weekly Summary'!AN$101*SelfQuarantine_Moderate*'Equipment List &amp; Usage'!$X31)))+IF('Equipment List &amp; Usage'!$F31="Yes",'Equipment List &amp; Usage'!$C$114*(IF('Equipment List &amp; Usage'!$AA31&gt;0,'Weekly Summary'!AN$128,0)+IF('Equipment List &amp; Usage'!$AB31&gt;0,'Weekly Summary'!AN$100+'Weekly Summary'!AN$101,0)),'Equipment List &amp; Usage'!$C$115*(('Weekly Summary'!AN$128*'Equipment List &amp; Usage'!$AA31)+('Weekly Summary'!AN$100*'Equipment List &amp; Usage'!$AB31*SelfQuarantine_Mild)+('Weekly Summary'!AN$101*'Equipment List &amp; Usage'!$AB31*SelfQuarantine_Moderate)))+IF('Equipment List &amp; Usage'!$F31="Yes",('Equipment List &amp; Usage'!$C$114*(IF('Equipment List &amp; Usage'!$AE31&gt;0,'Weekly Summary'!AN$134,0)+IF('Equipment List &amp; Usage'!$AF31&gt;0,'Weekly Summary'!AN$135))),'Equipment List &amp; Usage'!$C$115*(('Weekly Summary'!AN$134*'Equipment List &amp; Usage'!$AE31)+('Weekly Summary'!AN$135*'Equipment List &amp; Usage'!$AF31))))-SUM($I29:AS29),
IF($F29="yes",MMULT(--('Equipment List &amp; Usage'!$J31:$N31&gt;0),--('Weekly Summary'!AN$112:AN$116))*'Equipment List &amp; Usage'!$C$114,MMULT(--('Equipment List &amp; Usage'!$J31:$N31),--('Weekly Summary'!AN$112:AN$116))*'Equipment List &amp; Usage'!$C$115)+IF('Equipment List &amp; Usage'!$F30="yes",'Equipment List &amp; Usage'!$C$114,'Equipment List &amp; Usage'!$C$115)*(('Weekly Summary'!AN$66*'Equipment List &amp; Usage'!$Q31)+('Weekly Summary'!AN$64*'Equipment List &amp; Usage'!$O31)+('Weekly Summary'!AN$65*'Equipment List &amp; Usage'!$P31))+(IF('Equipment List &amp; Usage'!$F31="Yes",'Equipment List &amp; Usage'!$C$114*((('Weekly Summary'!AN$131*SelfQuarantine_Mild)+('Weekly Summary'!AN$100*SelfQuarantine_Mild)+('Weekly Summary'!AN$101*SelfQuarantine_Moderate))),'Equipment List &amp; Usage'!$C$115)*((('Weekly Summary'!AN$131*SelfQuarantine_Mild*'Equipment List &amp; Usage'!$W31)+('Weekly Summary'!AN$100*SelfQuarantine_Mild*'Equipment List &amp; Usage'!$X31)+('Weekly Summary'!AN$101*SelfQuarantine_Moderate*'Equipment List &amp; Usage'!$X31))))+IF('Equipment List &amp; Usage'!$F31="Yes",'Equipment List &amp; Usage'!$C$114*(IF('Equipment List &amp; Usage'!$AA31&gt;0,'Weekly Summary'!AN$128,0)+IF('Equipment List &amp; Usage'!$AB31&gt;0,'Weekly Summary'!AN$100+'Weekly Summary'!AN$101,0)),'Equipment List &amp; Usage'!$C$115*(('Weekly Summary'!AN$128*'Equipment List &amp; Usage'!$AA31)+('Weekly Summary'!AN$100*'Equipment List &amp; Usage'!$AB31*SelfQuarantine_Mild)+('Weekly Summary'!AN$101*'Equipment List &amp; Usage'!$AB31*SelfQuarantine_Moderate)))+IF('Equipment List &amp; Usage'!$F31="Yes",('Equipment List &amp; Usage'!$C$114*(IF('Equipment List &amp; Usage'!$AE31&gt;0,'Weekly Summary'!AN$134,0)+IF('Equipment List &amp; Usage'!$AF31&gt;0,'Weekly Summary'!AN$135))),'Equipment List &amp; Usage'!$C$115*(('Weekly Summary'!AN$134*'Equipment List &amp; Usage'!$AE31)+('Weekly Summary'!AN$135*'Equipment List &amp; Usage'!$AF31)))),0)</f>
        <v>0</v>
      </c>
      <c r="AU29" s="1374">
        <f ca="1">MAX(IF($F29="Yes",(
IF($F29="yes",MMULT(--('Equipment List &amp; Usage'!$J31:$N31&gt;0),--('Weekly Summary'!AO$112:AO$116))*'Equipment List &amp; Usage'!$C$114,MMULT(--('Equipment List &amp; Usage'!$J31:$N31),--('Weekly Summary'!AO$112:AO$116))*'Equipment List &amp; Usage'!$C$115)+IF('Equipment List &amp; Usage'!$F30="yes",'Equipment List &amp; Usage'!$C$114,'Equipment List &amp; Usage'!$C$115)*(('Weekly Summary'!AO$66*'Equipment List &amp; Usage'!$Q31)+('Weekly Summary'!AO$64*'Equipment List &amp; Usage'!$O31)+('Weekly Summary'!AO$65*'Equipment List &amp; Usage'!$P31)))+(IF('Equipment List &amp; Usage'!$F31="Yes",'Equipment List &amp; Usage'!$C$114*((('Weekly Summary'!AO$131*SelfQuarantine_Mild)+('Weekly Summary'!AO$100*SelfQuarantine_Mild)+('Weekly Summary'!AO$101*SelfQuarantine_Moderate))),'Equipment List &amp; Usage'!$C$115)*((('Weekly Summary'!AO$131*SelfQuarantine_Mild*'Equipment List &amp; Usage'!$W31)+('Weekly Summary'!AO$100*SelfQuarantine_Mild*'Equipment List &amp; Usage'!$X31)+('Weekly Summary'!AO$101*SelfQuarantine_Moderate*'Equipment List &amp; Usage'!$X31)))+IF('Equipment List &amp; Usage'!$F31="Yes",'Equipment List &amp; Usage'!$C$114*(IF('Equipment List &amp; Usage'!$AA31&gt;0,'Weekly Summary'!AO$128,0)+IF('Equipment List &amp; Usage'!$AB31&gt;0,'Weekly Summary'!AO$100+'Weekly Summary'!AO$101,0)),'Equipment List &amp; Usage'!$C$115*(('Weekly Summary'!AO$128*'Equipment List &amp; Usage'!$AA31)+('Weekly Summary'!AO$100*'Equipment List &amp; Usage'!$AB31*SelfQuarantine_Mild)+('Weekly Summary'!AO$101*'Equipment List &amp; Usage'!$AB31*SelfQuarantine_Moderate)))+IF('Equipment List &amp; Usage'!$F31="Yes",('Equipment List &amp; Usage'!$C$114*(IF('Equipment List &amp; Usage'!$AE31&gt;0,'Weekly Summary'!AO$134,0)+IF('Equipment List &amp; Usage'!$AF31&gt;0,'Weekly Summary'!AO$135))),'Equipment List &amp; Usage'!$C$115*(('Weekly Summary'!AO$134*'Equipment List &amp; Usage'!$AE31)+('Weekly Summary'!AO$135*'Equipment List &amp; Usage'!$AF31))))-SUM($I29:AT29),
IF($F29="yes",MMULT(--('Equipment List &amp; Usage'!$J31:$N31&gt;0),--('Weekly Summary'!AO$112:AO$116))*'Equipment List &amp; Usage'!$C$114,MMULT(--('Equipment List &amp; Usage'!$J31:$N31),--('Weekly Summary'!AO$112:AO$116))*'Equipment List &amp; Usage'!$C$115)+IF('Equipment List &amp; Usage'!$F30="yes",'Equipment List &amp; Usage'!$C$114,'Equipment List &amp; Usage'!$C$115)*(('Weekly Summary'!AO$66*'Equipment List &amp; Usage'!$Q31)+('Weekly Summary'!AO$64*'Equipment List &amp; Usage'!$O31)+('Weekly Summary'!AO$65*'Equipment List &amp; Usage'!$P31))+(IF('Equipment List &amp; Usage'!$F31="Yes",'Equipment List &amp; Usage'!$C$114*((('Weekly Summary'!AO$131*SelfQuarantine_Mild)+('Weekly Summary'!AO$100*SelfQuarantine_Mild)+('Weekly Summary'!AO$101*SelfQuarantine_Moderate))),'Equipment List &amp; Usage'!$C$115)*((('Weekly Summary'!AO$131*SelfQuarantine_Mild*'Equipment List &amp; Usage'!$W31)+('Weekly Summary'!AO$100*SelfQuarantine_Mild*'Equipment List &amp; Usage'!$X31)+('Weekly Summary'!AO$101*SelfQuarantine_Moderate*'Equipment List &amp; Usage'!$X31))))+IF('Equipment List &amp; Usage'!$F31="Yes",'Equipment List &amp; Usage'!$C$114*(IF('Equipment List &amp; Usage'!$AA31&gt;0,'Weekly Summary'!AO$128,0)+IF('Equipment List &amp; Usage'!$AB31&gt;0,'Weekly Summary'!AO$100+'Weekly Summary'!AO$101,0)),'Equipment List &amp; Usage'!$C$115*(('Weekly Summary'!AO$128*'Equipment List &amp; Usage'!$AA31)+('Weekly Summary'!AO$100*'Equipment List &amp; Usage'!$AB31*SelfQuarantine_Mild)+('Weekly Summary'!AO$101*'Equipment List &amp; Usage'!$AB31*SelfQuarantine_Moderate)))+IF('Equipment List &amp; Usage'!$F31="Yes",('Equipment List &amp; Usage'!$C$114*(IF('Equipment List &amp; Usage'!$AE31&gt;0,'Weekly Summary'!AO$134,0)+IF('Equipment List &amp; Usage'!$AF31&gt;0,'Weekly Summary'!AO$135))),'Equipment List &amp; Usage'!$C$115*(('Weekly Summary'!AO$134*'Equipment List &amp; Usage'!$AE31)+('Weekly Summary'!AO$135*'Equipment List &amp; Usage'!$AF31)))),0)</f>
        <v>0</v>
      </c>
      <c r="AV29" s="1374">
        <f ca="1">MAX(IF($F29="Yes",(
IF($F29="yes",MMULT(--('Equipment List &amp; Usage'!$J31:$N31&gt;0),--('Weekly Summary'!AP$112:AP$116))*'Equipment List &amp; Usage'!$C$114,MMULT(--('Equipment List &amp; Usage'!$J31:$N31),--('Weekly Summary'!AP$112:AP$116))*'Equipment List &amp; Usage'!$C$115)+IF('Equipment List &amp; Usage'!$F30="yes",'Equipment List &amp; Usage'!$C$114,'Equipment List &amp; Usage'!$C$115)*(('Weekly Summary'!AP$66*'Equipment List &amp; Usage'!$Q31)+('Weekly Summary'!AP$64*'Equipment List &amp; Usage'!$O31)+('Weekly Summary'!AP$65*'Equipment List &amp; Usage'!$P31)))+(IF('Equipment List &amp; Usage'!$F31="Yes",'Equipment List &amp; Usage'!$C$114*((('Weekly Summary'!AP$131*SelfQuarantine_Mild)+('Weekly Summary'!AP$100*SelfQuarantine_Mild)+('Weekly Summary'!AP$101*SelfQuarantine_Moderate))),'Equipment List &amp; Usage'!$C$115)*((('Weekly Summary'!AP$131*SelfQuarantine_Mild*'Equipment List &amp; Usage'!$W31)+('Weekly Summary'!AP$100*SelfQuarantine_Mild*'Equipment List &amp; Usage'!$X31)+('Weekly Summary'!AP$101*SelfQuarantine_Moderate*'Equipment List &amp; Usage'!$X31)))+IF('Equipment List &amp; Usage'!$F31="Yes",'Equipment List &amp; Usage'!$C$114*(IF('Equipment List &amp; Usage'!$AA31&gt;0,'Weekly Summary'!AP$128,0)+IF('Equipment List &amp; Usage'!$AB31&gt;0,'Weekly Summary'!AP$100+'Weekly Summary'!AP$101,0)),'Equipment List &amp; Usage'!$C$115*(('Weekly Summary'!AP$128*'Equipment List &amp; Usage'!$AA31)+('Weekly Summary'!AP$100*'Equipment List &amp; Usage'!$AB31*SelfQuarantine_Mild)+('Weekly Summary'!AP$101*'Equipment List &amp; Usage'!$AB31*SelfQuarantine_Moderate)))+IF('Equipment List &amp; Usage'!$F31="Yes",('Equipment List &amp; Usage'!$C$114*(IF('Equipment List &amp; Usage'!$AE31&gt;0,'Weekly Summary'!AP$134,0)+IF('Equipment List &amp; Usage'!$AF31&gt;0,'Weekly Summary'!AP$135))),'Equipment List &amp; Usage'!$C$115*(('Weekly Summary'!AP$134*'Equipment List &amp; Usage'!$AE31)+('Weekly Summary'!AP$135*'Equipment List &amp; Usage'!$AF31))))-SUM($I29:AU29),
IF($F29="yes",MMULT(--('Equipment List &amp; Usage'!$J31:$N31&gt;0),--('Weekly Summary'!AP$112:AP$116))*'Equipment List &amp; Usage'!$C$114,MMULT(--('Equipment List &amp; Usage'!$J31:$N31),--('Weekly Summary'!AP$112:AP$116))*'Equipment List &amp; Usage'!$C$115)+IF('Equipment List &amp; Usage'!$F30="yes",'Equipment List &amp; Usage'!$C$114,'Equipment List &amp; Usage'!$C$115)*(('Weekly Summary'!AP$66*'Equipment List &amp; Usage'!$Q31)+('Weekly Summary'!AP$64*'Equipment List &amp; Usage'!$O31)+('Weekly Summary'!AP$65*'Equipment List &amp; Usage'!$P31))+(IF('Equipment List &amp; Usage'!$F31="Yes",'Equipment List &amp; Usage'!$C$114*((('Weekly Summary'!AP$131*SelfQuarantine_Mild)+('Weekly Summary'!AP$100*SelfQuarantine_Mild)+('Weekly Summary'!AP$101*SelfQuarantine_Moderate))),'Equipment List &amp; Usage'!$C$115)*((('Weekly Summary'!AP$131*SelfQuarantine_Mild*'Equipment List &amp; Usage'!$W31)+('Weekly Summary'!AP$100*SelfQuarantine_Mild*'Equipment List &amp; Usage'!$X31)+('Weekly Summary'!AP$101*SelfQuarantine_Moderate*'Equipment List &amp; Usage'!$X31))))+IF('Equipment List &amp; Usage'!$F31="Yes",'Equipment List &amp; Usage'!$C$114*(IF('Equipment List &amp; Usage'!$AA31&gt;0,'Weekly Summary'!AP$128,0)+IF('Equipment List &amp; Usage'!$AB31&gt;0,'Weekly Summary'!AP$100+'Weekly Summary'!AP$101,0)),'Equipment List &amp; Usage'!$C$115*(('Weekly Summary'!AP$128*'Equipment List &amp; Usage'!$AA31)+('Weekly Summary'!AP$100*'Equipment List &amp; Usage'!$AB31*SelfQuarantine_Mild)+('Weekly Summary'!AP$101*'Equipment List &amp; Usage'!$AB31*SelfQuarantine_Moderate)))+IF('Equipment List &amp; Usage'!$F31="Yes",('Equipment List &amp; Usage'!$C$114*(IF('Equipment List &amp; Usage'!$AE31&gt;0,'Weekly Summary'!AP$134,0)+IF('Equipment List &amp; Usage'!$AF31&gt;0,'Weekly Summary'!AP$135))),'Equipment List &amp; Usage'!$C$115*(('Weekly Summary'!AP$134*'Equipment List &amp; Usage'!$AE31)+('Weekly Summary'!AP$135*'Equipment List &amp; Usage'!$AF31)))),0)</f>
        <v>0</v>
      </c>
      <c r="AW29" s="1374">
        <f ca="1">MAX(IF($F29="Yes",(
IF($F29="yes",MMULT(--('Equipment List &amp; Usage'!$J31:$N31&gt;0),--('Weekly Summary'!AQ$112:AQ$116))*'Equipment List &amp; Usage'!$C$114,MMULT(--('Equipment List &amp; Usage'!$J31:$N31),--('Weekly Summary'!AQ$112:AQ$116))*'Equipment List &amp; Usage'!$C$115)+IF('Equipment List &amp; Usage'!$F30="yes",'Equipment List &amp; Usage'!$C$114,'Equipment List &amp; Usage'!$C$115)*(('Weekly Summary'!AQ$66*'Equipment List &amp; Usage'!$Q31)+('Weekly Summary'!AQ$64*'Equipment List &amp; Usage'!$O31)+('Weekly Summary'!AQ$65*'Equipment List &amp; Usage'!$P31)))+(IF('Equipment List &amp; Usage'!$F31="Yes",'Equipment List &amp; Usage'!$C$114*((('Weekly Summary'!AQ$131*SelfQuarantine_Mild)+('Weekly Summary'!AQ$100*SelfQuarantine_Mild)+('Weekly Summary'!AQ$101*SelfQuarantine_Moderate))),'Equipment List &amp; Usage'!$C$115)*((('Weekly Summary'!AQ$131*SelfQuarantine_Mild*'Equipment List &amp; Usage'!$W31)+('Weekly Summary'!AQ$100*SelfQuarantine_Mild*'Equipment List &amp; Usage'!$X31)+('Weekly Summary'!AQ$101*SelfQuarantine_Moderate*'Equipment List &amp; Usage'!$X31)))+IF('Equipment List &amp; Usage'!$F31="Yes",'Equipment List &amp; Usage'!$C$114*(IF('Equipment List &amp; Usage'!$AA31&gt;0,'Weekly Summary'!AQ$128,0)+IF('Equipment List &amp; Usage'!$AB31&gt;0,'Weekly Summary'!AQ$100+'Weekly Summary'!AQ$101,0)),'Equipment List &amp; Usage'!$C$115*(('Weekly Summary'!AQ$128*'Equipment List &amp; Usage'!$AA31)+('Weekly Summary'!AQ$100*'Equipment List &amp; Usage'!$AB31*SelfQuarantine_Mild)+('Weekly Summary'!AQ$101*'Equipment List &amp; Usage'!$AB31*SelfQuarantine_Moderate)))+IF('Equipment List &amp; Usage'!$F31="Yes",('Equipment List &amp; Usage'!$C$114*(IF('Equipment List &amp; Usage'!$AE31&gt;0,'Weekly Summary'!AQ$134,0)+IF('Equipment List &amp; Usage'!$AF31&gt;0,'Weekly Summary'!AQ$135))),'Equipment List &amp; Usage'!$C$115*(('Weekly Summary'!AQ$134*'Equipment List &amp; Usage'!$AE31)+('Weekly Summary'!AQ$135*'Equipment List &amp; Usage'!$AF31))))-SUM($I29:AV29),
IF($F29="yes",MMULT(--('Equipment List &amp; Usage'!$J31:$N31&gt;0),--('Weekly Summary'!AQ$112:AQ$116))*'Equipment List &amp; Usage'!$C$114,MMULT(--('Equipment List &amp; Usage'!$J31:$N31),--('Weekly Summary'!AQ$112:AQ$116))*'Equipment List &amp; Usage'!$C$115)+IF('Equipment List &amp; Usage'!$F30="yes",'Equipment List &amp; Usage'!$C$114,'Equipment List &amp; Usage'!$C$115)*(('Weekly Summary'!AQ$66*'Equipment List &amp; Usage'!$Q31)+('Weekly Summary'!AQ$64*'Equipment List &amp; Usage'!$O31)+('Weekly Summary'!AQ$65*'Equipment List &amp; Usage'!$P31))+(IF('Equipment List &amp; Usage'!$F31="Yes",'Equipment List &amp; Usage'!$C$114*((('Weekly Summary'!AQ$131*SelfQuarantine_Mild)+('Weekly Summary'!AQ$100*SelfQuarantine_Mild)+('Weekly Summary'!AQ$101*SelfQuarantine_Moderate))),'Equipment List &amp; Usage'!$C$115)*((('Weekly Summary'!AQ$131*SelfQuarantine_Mild*'Equipment List &amp; Usage'!$W31)+('Weekly Summary'!AQ$100*SelfQuarantine_Mild*'Equipment List &amp; Usage'!$X31)+('Weekly Summary'!AQ$101*SelfQuarantine_Moderate*'Equipment List &amp; Usage'!$X31))))+IF('Equipment List &amp; Usage'!$F31="Yes",'Equipment List &amp; Usage'!$C$114*(IF('Equipment List &amp; Usage'!$AA31&gt;0,'Weekly Summary'!AQ$128,0)+IF('Equipment List &amp; Usage'!$AB31&gt;0,'Weekly Summary'!AQ$100+'Weekly Summary'!AQ$101,0)),'Equipment List &amp; Usage'!$C$115*(('Weekly Summary'!AQ$128*'Equipment List &amp; Usage'!$AA31)+('Weekly Summary'!AQ$100*'Equipment List &amp; Usage'!$AB31*SelfQuarantine_Mild)+('Weekly Summary'!AQ$101*'Equipment List &amp; Usage'!$AB31*SelfQuarantine_Moderate)))+IF('Equipment List &amp; Usage'!$F31="Yes",('Equipment List &amp; Usage'!$C$114*(IF('Equipment List &amp; Usage'!$AE31&gt;0,'Weekly Summary'!AQ$134,0)+IF('Equipment List &amp; Usage'!$AF31&gt;0,'Weekly Summary'!AQ$135))),'Equipment List &amp; Usage'!$C$115*(('Weekly Summary'!AQ$134*'Equipment List &amp; Usage'!$AE31)+('Weekly Summary'!AQ$135*'Equipment List &amp; Usage'!$AF31)))),0)</f>
        <v>0</v>
      </c>
      <c r="AX29" s="1374">
        <f ca="1">MAX(IF($F29="Yes",(
IF($F29="yes",MMULT(--('Equipment List &amp; Usage'!$J31:$N31&gt;0),--('Weekly Summary'!AR$112:AR$116))*'Equipment List &amp; Usage'!$C$114,MMULT(--('Equipment List &amp; Usage'!$J31:$N31),--('Weekly Summary'!AR$112:AR$116))*'Equipment List &amp; Usage'!$C$115)+IF('Equipment List &amp; Usage'!$F30="yes",'Equipment List &amp; Usage'!$C$114,'Equipment List &amp; Usage'!$C$115)*(('Weekly Summary'!AR$66*'Equipment List &amp; Usage'!$Q31)+('Weekly Summary'!AR$64*'Equipment List &amp; Usage'!$O31)+('Weekly Summary'!AR$65*'Equipment List &amp; Usage'!$P31)))+(IF('Equipment List &amp; Usage'!$F31="Yes",'Equipment List &amp; Usage'!$C$114*((('Weekly Summary'!AR$131*SelfQuarantine_Mild)+('Weekly Summary'!AR$100*SelfQuarantine_Mild)+('Weekly Summary'!AR$101*SelfQuarantine_Moderate))),'Equipment List &amp; Usage'!$C$115)*((('Weekly Summary'!AR$131*SelfQuarantine_Mild*'Equipment List &amp; Usage'!$W31)+('Weekly Summary'!AR$100*SelfQuarantine_Mild*'Equipment List &amp; Usage'!$X31)+('Weekly Summary'!AR$101*SelfQuarantine_Moderate*'Equipment List &amp; Usage'!$X31)))+IF('Equipment List &amp; Usage'!$F31="Yes",'Equipment List &amp; Usage'!$C$114*(IF('Equipment List &amp; Usage'!$AA31&gt;0,'Weekly Summary'!AR$128,0)+IF('Equipment List &amp; Usage'!$AB31&gt;0,'Weekly Summary'!AR$100+'Weekly Summary'!AR$101,0)),'Equipment List &amp; Usage'!$C$115*(('Weekly Summary'!AR$128*'Equipment List &amp; Usage'!$AA31)+('Weekly Summary'!AR$100*'Equipment List &amp; Usage'!$AB31*SelfQuarantine_Mild)+('Weekly Summary'!AR$101*'Equipment List &amp; Usage'!$AB31*SelfQuarantine_Moderate)))+IF('Equipment List &amp; Usage'!$F31="Yes",('Equipment List &amp; Usage'!$C$114*(IF('Equipment List &amp; Usage'!$AE31&gt;0,'Weekly Summary'!AR$134,0)+IF('Equipment List &amp; Usage'!$AF31&gt;0,'Weekly Summary'!AR$135))),'Equipment List &amp; Usage'!$C$115*(('Weekly Summary'!AR$134*'Equipment List &amp; Usage'!$AE31)+('Weekly Summary'!AR$135*'Equipment List &amp; Usage'!$AF31))))-SUM($I29:AW29),
IF($F29="yes",MMULT(--('Equipment List &amp; Usage'!$J31:$N31&gt;0),--('Weekly Summary'!AR$112:AR$116))*'Equipment List &amp; Usage'!$C$114,MMULT(--('Equipment List &amp; Usage'!$J31:$N31),--('Weekly Summary'!AR$112:AR$116))*'Equipment List &amp; Usage'!$C$115)+IF('Equipment List &amp; Usage'!$F30="yes",'Equipment List &amp; Usage'!$C$114,'Equipment List &amp; Usage'!$C$115)*(('Weekly Summary'!AR$66*'Equipment List &amp; Usage'!$Q31)+('Weekly Summary'!AR$64*'Equipment List &amp; Usage'!$O31)+('Weekly Summary'!AR$65*'Equipment List &amp; Usage'!$P31))+(IF('Equipment List &amp; Usage'!$F31="Yes",'Equipment List &amp; Usage'!$C$114*((('Weekly Summary'!AR$131*SelfQuarantine_Mild)+('Weekly Summary'!AR$100*SelfQuarantine_Mild)+('Weekly Summary'!AR$101*SelfQuarantine_Moderate))),'Equipment List &amp; Usage'!$C$115)*((('Weekly Summary'!AR$131*SelfQuarantine_Mild*'Equipment List &amp; Usage'!$W31)+('Weekly Summary'!AR$100*SelfQuarantine_Mild*'Equipment List &amp; Usage'!$X31)+('Weekly Summary'!AR$101*SelfQuarantine_Moderate*'Equipment List &amp; Usage'!$X31))))+IF('Equipment List &amp; Usage'!$F31="Yes",'Equipment List &amp; Usage'!$C$114*(IF('Equipment List &amp; Usage'!$AA31&gt;0,'Weekly Summary'!AR$128,0)+IF('Equipment List &amp; Usage'!$AB31&gt;0,'Weekly Summary'!AR$100+'Weekly Summary'!AR$101,0)),'Equipment List &amp; Usage'!$C$115*(('Weekly Summary'!AR$128*'Equipment List &amp; Usage'!$AA31)+('Weekly Summary'!AR$100*'Equipment List &amp; Usage'!$AB31*SelfQuarantine_Mild)+('Weekly Summary'!AR$101*'Equipment List &amp; Usage'!$AB31*SelfQuarantine_Moderate)))+IF('Equipment List &amp; Usage'!$F31="Yes",('Equipment List &amp; Usage'!$C$114*(IF('Equipment List &amp; Usage'!$AE31&gt;0,'Weekly Summary'!AR$134,0)+IF('Equipment List &amp; Usage'!$AF31&gt;0,'Weekly Summary'!AR$135))),'Equipment List &amp; Usage'!$C$115*(('Weekly Summary'!AR$134*'Equipment List &amp; Usage'!$AE31)+('Weekly Summary'!AR$135*'Equipment List &amp; Usage'!$AF31)))),0)</f>
        <v>0</v>
      </c>
      <c r="AY29" s="1374">
        <f ca="1">MAX(IF($F29="Yes",(
IF($F29="yes",MMULT(--('Equipment List &amp; Usage'!$J31:$N31&gt;0),--('Weekly Summary'!AS$112:AS$116))*'Equipment List &amp; Usage'!$C$114,MMULT(--('Equipment List &amp; Usage'!$J31:$N31),--('Weekly Summary'!AS$112:AS$116))*'Equipment List &amp; Usage'!$C$115)+IF('Equipment List &amp; Usage'!$F30="yes",'Equipment List &amp; Usage'!$C$114,'Equipment List &amp; Usage'!$C$115)*(('Weekly Summary'!AS$66*'Equipment List &amp; Usage'!$Q31)+('Weekly Summary'!AS$64*'Equipment List &amp; Usage'!$O31)+('Weekly Summary'!AS$65*'Equipment List &amp; Usage'!$P31)))+(IF('Equipment List &amp; Usage'!$F31="Yes",'Equipment List &amp; Usage'!$C$114*((('Weekly Summary'!AS$131*SelfQuarantine_Mild)+('Weekly Summary'!AS$100*SelfQuarantine_Mild)+('Weekly Summary'!AS$101*SelfQuarantine_Moderate))),'Equipment List &amp; Usage'!$C$115)*((('Weekly Summary'!AS$131*SelfQuarantine_Mild*'Equipment List &amp; Usage'!$W31)+('Weekly Summary'!AS$100*SelfQuarantine_Mild*'Equipment List &amp; Usage'!$X31)+('Weekly Summary'!AS$101*SelfQuarantine_Moderate*'Equipment List &amp; Usage'!$X31)))+IF('Equipment List &amp; Usage'!$F31="Yes",'Equipment List &amp; Usage'!$C$114*(IF('Equipment List &amp; Usage'!$AA31&gt;0,'Weekly Summary'!AS$128,0)+IF('Equipment List &amp; Usage'!$AB31&gt;0,'Weekly Summary'!AS$100+'Weekly Summary'!AS$101,0)),'Equipment List &amp; Usage'!$C$115*(('Weekly Summary'!AS$128*'Equipment List &amp; Usage'!$AA31)+('Weekly Summary'!AS$100*'Equipment List &amp; Usage'!$AB31*SelfQuarantine_Mild)+('Weekly Summary'!AS$101*'Equipment List &amp; Usage'!$AB31*SelfQuarantine_Moderate)))+IF('Equipment List &amp; Usage'!$F31="Yes",('Equipment List &amp; Usage'!$C$114*(IF('Equipment List &amp; Usage'!$AE31&gt;0,'Weekly Summary'!AS$134,0)+IF('Equipment List &amp; Usage'!$AF31&gt;0,'Weekly Summary'!AS$135))),'Equipment List &amp; Usage'!$C$115*(('Weekly Summary'!AS$134*'Equipment List &amp; Usage'!$AE31)+('Weekly Summary'!AS$135*'Equipment List &amp; Usage'!$AF31))))-SUM($I29:AX29),
IF($F29="yes",MMULT(--('Equipment List &amp; Usage'!$J31:$N31&gt;0),--('Weekly Summary'!AS$112:AS$116))*'Equipment List &amp; Usage'!$C$114,MMULT(--('Equipment List &amp; Usage'!$J31:$N31),--('Weekly Summary'!AS$112:AS$116))*'Equipment List &amp; Usage'!$C$115)+IF('Equipment List &amp; Usage'!$F30="yes",'Equipment List &amp; Usage'!$C$114,'Equipment List &amp; Usage'!$C$115)*(('Weekly Summary'!AS$66*'Equipment List &amp; Usage'!$Q31)+('Weekly Summary'!AS$64*'Equipment List &amp; Usage'!$O31)+('Weekly Summary'!AS$65*'Equipment List &amp; Usage'!$P31))+(IF('Equipment List &amp; Usage'!$F31="Yes",'Equipment List &amp; Usage'!$C$114*((('Weekly Summary'!AS$131*SelfQuarantine_Mild)+('Weekly Summary'!AS$100*SelfQuarantine_Mild)+('Weekly Summary'!AS$101*SelfQuarantine_Moderate))),'Equipment List &amp; Usage'!$C$115)*((('Weekly Summary'!AS$131*SelfQuarantine_Mild*'Equipment List &amp; Usage'!$W31)+('Weekly Summary'!AS$100*SelfQuarantine_Mild*'Equipment List &amp; Usage'!$X31)+('Weekly Summary'!AS$101*SelfQuarantine_Moderate*'Equipment List &amp; Usage'!$X31))))+IF('Equipment List &amp; Usage'!$F31="Yes",'Equipment List &amp; Usage'!$C$114*(IF('Equipment List &amp; Usage'!$AA31&gt;0,'Weekly Summary'!AS$128,0)+IF('Equipment List &amp; Usage'!$AB31&gt;0,'Weekly Summary'!AS$100+'Weekly Summary'!AS$101,0)),'Equipment List &amp; Usage'!$C$115*(('Weekly Summary'!AS$128*'Equipment List &amp; Usage'!$AA31)+('Weekly Summary'!AS$100*'Equipment List &amp; Usage'!$AB31*SelfQuarantine_Mild)+('Weekly Summary'!AS$101*'Equipment List &amp; Usage'!$AB31*SelfQuarantine_Moderate)))+IF('Equipment List &amp; Usage'!$F31="Yes",('Equipment List &amp; Usage'!$C$114*(IF('Equipment List &amp; Usage'!$AE31&gt;0,'Weekly Summary'!AS$134,0)+IF('Equipment List &amp; Usage'!$AF31&gt;0,'Weekly Summary'!AS$135))),'Equipment List &amp; Usage'!$C$115*(('Weekly Summary'!AS$134*'Equipment List &amp; Usage'!$AE31)+('Weekly Summary'!AS$135*'Equipment List &amp; Usage'!$AF31)))),0)</f>
        <v>0</v>
      </c>
      <c r="AZ29" s="1374">
        <f ca="1">MAX(IF($F29="Yes",(
IF($F29="yes",MMULT(--('Equipment List &amp; Usage'!$J31:$N31&gt;0),--('Weekly Summary'!AT$112:AT$116))*'Equipment List &amp; Usage'!$C$114,MMULT(--('Equipment List &amp; Usage'!$J31:$N31),--('Weekly Summary'!AT$112:AT$116))*'Equipment List &amp; Usage'!$C$115)+IF('Equipment List &amp; Usage'!$F30="yes",'Equipment List &amp; Usage'!$C$114,'Equipment List &amp; Usage'!$C$115)*(('Weekly Summary'!AT$66*'Equipment List &amp; Usage'!$Q31)+('Weekly Summary'!AT$64*'Equipment List &amp; Usage'!$O31)+('Weekly Summary'!AT$65*'Equipment List &amp; Usage'!$P31)))+(IF('Equipment List &amp; Usage'!$F31="Yes",'Equipment List &amp; Usage'!$C$114*((('Weekly Summary'!AT$131*SelfQuarantine_Mild)+('Weekly Summary'!AT$100*SelfQuarantine_Mild)+('Weekly Summary'!AT$101*SelfQuarantine_Moderate))),'Equipment List &amp; Usage'!$C$115)*((('Weekly Summary'!AT$131*SelfQuarantine_Mild*'Equipment List &amp; Usage'!$W31)+('Weekly Summary'!AT$100*SelfQuarantine_Mild*'Equipment List &amp; Usage'!$X31)+('Weekly Summary'!AT$101*SelfQuarantine_Moderate*'Equipment List &amp; Usage'!$X31)))+IF('Equipment List &amp; Usage'!$F31="Yes",'Equipment List &amp; Usage'!$C$114*(IF('Equipment List &amp; Usage'!$AA31&gt;0,'Weekly Summary'!AT$128,0)+IF('Equipment List &amp; Usage'!$AB31&gt;0,'Weekly Summary'!AT$100+'Weekly Summary'!AT$101,0)),'Equipment List &amp; Usage'!$C$115*(('Weekly Summary'!AT$128*'Equipment List &amp; Usage'!$AA31)+('Weekly Summary'!AT$100*'Equipment List &amp; Usage'!$AB31*SelfQuarantine_Mild)+('Weekly Summary'!AT$101*'Equipment List &amp; Usage'!$AB31*SelfQuarantine_Moderate)))+IF('Equipment List &amp; Usage'!$F31="Yes",('Equipment List &amp; Usage'!$C$114*(IF('Equipment List &amp; Usage'!$AE31&gt;0,'Weekly Summary'!AT$134,0)+IF('Equipment List &amp; Usage'!$AF31&gt;0,'Weekly Summary'!AT$135))),'Equipment List &amp; Usage'!$C$115*(('Weekly Summary'!AT$134*'Equipment List &amp; Usage'!$AE31)+('Weekly Summary'!AT$135*'Equipment List &amp; Usage'!$AF31))))-SUM($I29:AY29),
IF($F29="yes",MMULT(--('Equipment List &amp; Usage'!$J31:$N31&gt;0),--('Weekly Summary'!AT$112:AT$116))*'Equipment List &amp; Usage'!$C$114,MMULT(--('Equipment List &amp; Usage'!$J31:$N31),--('Weekly Summary'!AT$112:AT$116))*'Equipment List &amp; Usage'!$C$115)+IF('Equipment List &amp; Usage'!$F30="yes",'Equipment List &amp; Usage'!$C$114,'Equipment List &amp; Usage'!$C$115)*(('Weekly Summary'!AT$66*'Equipment List &amp; Usage'!$Q31)+('Weekly Summary'!AT$64*'Equipment List &amp; Usage'!$O31)+('Weekly Summary'!AT$65*'Equipment List &amp; Usage'!$P31))+(IF('Equipment List &amp; Usage'!$F31="Yes",'Equipment List &amp; Usage'!$C$114*((('Weekly Summary'!AT$131*SelfQuarantine_Mild)+('Weekly Summary'!AT$100*SelfQuarantine_Mild)+('Weekly Summary'!AT$101*SelfQuarantine_Moderate))),'Equipment List &amp; Usage'!$C$115)*((('Weekly Summary'!AT$131*SelfQuarantine_Mild*'Equipment List &amp; Usage'!$W31)+('Weekly Summary'!AT$100*SelfQuarantine_Mild*'Equipment List &amp; Usage'!$X31)+('Weekly Summary'!AT$101*SelfQuarantine_Moderate*'Equipment List &amp; Usage'!$X31))))+IF('Equipment List &amp; Usage'!$F31="Yes",'Equipment List &amp; Usage'!$C$114*(IF('Equipment List &amp; Usage'!$AA31&gt;0,'Weekly Summary'!AT$128,0)+IF('Equipment List &amp; Usage'!$AB31&gt;0,'Weekly Summary'!AT$100+'Weekly Summary'!AT$101,0)),'Equipment List &amp; Usage'!$C$115*(('Weekly Summary'!AT$128*'Equipment List &amp; Usage'!$AA31)+('Weekly Summary'!AT$100*'Equipment List &amp; Usage'!$AB31*SelfQuarantine_Mild)+('Weekly Summary'!AT$101*'Equipment List &amp; Usage'!$AB31*SelfQuarantine_Moderate)))+IF('Equipment List &amp; Usage'!$F31="Yes",('Equipment List &amp; Usage'!$C$114*(IF('Equipment List &amp; Usage'!$AE31&gt;0,'Weekly Summary'!AT$134,0)+IF('Equipment List &amp; Usage'!$AF31&gt;0,'Weekly Summary'!AT$135))),'Equipment List &amp; Usage'!$C$115*(('Weekly Summary'!AT$134*'Equipment List &amp; Usage'!$AE31)+('Weekly Summary'!AT$135*'Equipment List &amp; Usage'!$AF31)))),0)</f>
        <v>0</v>
      </c>
      <c r="BA29" s="1374">
        <f ca="1">MAX(IF($F29="Yes",(
IF($F29="yes",MMULT(--('Equipment List &amp; Usage'!$J31:$N31&gt;0),--('Weekly Summary'!AU$112:AU$116))*'Equipment List &amp; Usage'!$C$114,MMULT(--('Equipment List &amp; Usage'!$J31:$N31),--('Weekly Summary'!AU$112:AU$116))*'Equipment List &amp; Usage'!$C$115)+IF('Equipment List &amp; Usage'!$F30="yes",'Equipment List &amp; Usage'!$C$114,'Equipment List &amp; Usage'!$C$115)*(('Weekly Summary'!AU$66*'Equipment List &amp; Usage'!$Q31)+('Weekly Summary'!AU$64*'Equipment List &amp; Usage'!$O31)+('Weekly Summary'!AU$65*'Equipment List &amp; Usage'!$P31)))+(IF('Equipment List &amp; Usage'!$F31="Yes",'Equipment List &amp; Usage'!$C$114*((('Weekly Summary'!AU$131*SelfQuarantine_Mild)+('Weekly Summary'!AU$100*SelfQuarantine_Mild)+('Weekly Summary'!AU$101*SelfQuarantine_Moderate))),'Equipment List &amp; Usage'!$C$115)*((('Weekly Summary'!AU$131*SelfQuarantine_Mild*'Equipment List &amp; Usage'!$W31)+('Weekly Summary'!AU$100*SelfQuarantine_Mild*'Equipment List &amp; Usage'!$X31)+('Weekly Summary'!AU$101*SelfQuarantine_Moderate*'Equipment List &amp; Usage'!$X31)))+IF('Equipment List &amp; Usage'!$F31="Yes",'Equipment List &amp; Usage'!$C$114*(IF('Equipment List &amp; Usage'!$AA31&gt;0,'Weekly Summary'!AU$128,0)+IF('Equipment List &amp; Usage'!$AB31&gt;0,'Weekly Summary'!AU$100+'Weekly Summary'!AU$101,0)),'Equipment List &amp; Usage'!$C$115*(('Weekly Summary'!AU$128*'Equipment List &amp; Usage'!$AA31)+('Weekly Summary'!AU$100*'Equipment List &amp; Usage'!$AB31*SelfQuarantine_Mild)+('Weekly Summary'!AU$101*'Equipment List &amp; Usage'!$AB31*SelfQuarantine_Moderate)))+IF('Equipment List &amp; Usage'!$F31="Yes",('Equipment List &amp; Usage'!$C$114*(IF('Equipment List &amp; Usage'!$AE31&gt;0,'Weekly Summary'!AU$134,0)+IF('Equipment List &amp; Usage'!$AF31&gt;0,'Weekly Summary'!AU$135))),'Equipment List &amp; Usage'!$C$115*(('Weekly Summary'!AU$134*'Equipment List &amp; Usage'!$AE31)+('Weekly Summary'!AU$135*'Equipment List &amp; Usage'!$AF31))))-SUM($I29:AZ29),
IF($F29="yes",MMULT(--('Equipment List &amp; Usage'!$J31:$N31&gt;0),--('Weekly Summary'!AU$112:AU$116))*'Equipment List &amp; Usage'!$C$114,MMULT(--('Equipment List &amp; Usage'!$J31:$N31),--('Weekly Summary'!AU$112:AU$116))*'Equipment List &amp; Usage'!$C$115)+IF('Equipment List &amp; Usage'!$F30="yes",'Equipment List &amp; Usage'!$C$114,'Equipment List &amp; Usage'!$C$115)*(('Weekly Summary'!AU$66*'Equipment List &amp; Usage'!$Q31)+('Weekly Summary'!AU$64*'Equipment List &amp; Usage'!$O31)+('Weekly Summary'!AU$65*'Equipment List &amp; Usage'!$P31))+(IF('Equipment List &amp; Usage'!$F31="Yes",'Equipment List &amp; Usage'!$C$114*((('Weekly Summary'!AU$131*SelfQuarantine_Mild)+('Weekly Summary'!AU$100*SelfQuarantine_Mild)+('Weekly Summary'!AU$101*SelfQuarantine_Moderate))),'Equipment List &amp; Usage'!$C$115)*((('Weekly Summary'!AU$131*SelfQuarantine_Mild*'Equipment List &amp; Usage'!$W31)+('Weekly Summary'!AU$100*SelfQuarantine_Mild*'Equipment List &amp; Usage'!$X31)+('Weekly Summary'!AU$101*SelfQuarantine_Moderate*'Equipment List &amp; Usage'!$X31))))+IF('Equipment List &amp; Usage'!$F31="Yes",'Equipment List &amp; Usage'!$C$114*(IF('Equipment List &amp; Usage'!$AA31&gt;0,'Weekly Summary'!AU$128,0)+IF('Equipment List &amp; Usage'!$AB31&gt;0,'Weekly Summary'!AU$100+'Weekly Summary'!AU$101,0)),'Equipment List &amp; Usage'!$C$115*(('Weekly Summary'!AU$128*'Equipment List &amp; Usage'!$AA31)+('Weekly Summary'!AU$100*'Equipment List &amp; Usage'!$AB31*SelfQuarantine_Mild)+('Weekly Summary'!AU$101*'Equipment List &amp; Usage'!$AB31*SelfQuarantine_Moderate)))+IF('Equipment List &amp; Usage'!$F31="Yes",('Equipment List &amp; Usage'!$C$114*(IF('Equipment List &amp; Usage'!$AE31&gt;0,'Weekly Summary'!AU$134,0)+IF('Equipment List &amp; Usage'!$AF31&gt;0,'Weekly Summary'!AU$135))),'Equipment List &amp; Usage'!$C$115*(('Weekly Summary'!AU$134*'Equipment List &amp; Usage'!$AE31)+('Weekly Summary'!AU$135*'Equipment List &amp; Usage'!$AF31)))),0)</f>
        <v>0</v>
      </c>
      <c r="BB29" s="1374">
        <f ca="1">MAX(IF($F29="Yes",(
IF($F29="yes",MMULT(--('Equipment List &amp; Usage'!$J31:$N31&gt;0),--('Weekly Summary'!AV$112:AV$116))*'Equipment List &amp; Usage'!$C$114,MMULT(--('Equipment List &amp; Usage'!$J31:$N31),--('Weekly Summary'!AV$112:AV$116))*'Equipment List &amp; Usage'!$C$115)+IF('Equipment List &amp; Usage'!$F30="yes",'Equipment List &amp; Usage'!$C$114,'Equipment List &amp; Usage'!$C$115)*(('Weekly Summary'!AV$66*'Equipment List &amp; Usage'!$Q31)+('Weekly Summary'!AV$64*'Equipment List &amp; Usage'!$O31)+('Weekly Summary'!AV$65*'Equipment List &amp; Usage'!$P31)))+(IF('Equipment List &amp; Usage'!$F31="Yes",'Equipment List &amp; Usage'!$C$114*((('Weekly Summary'!AV$131*SelfQuarantine_Mild)+('Weekly Summary'!AV$100*SelfQuarantine_Mild)+('Weekly Summary'!AV$101*SelfQuarantine_Moderate))),'Equipment List &amp; Usage'!$C$115)*((('Weekly Summary'!AV$131*SelfQuarantine_Mild*'Equipment List &amp; Usage'!$W31)+('Weekly Summary'!AV$100*SelfQuarantine_Mild*'Equipment List &amp; Usage'!$X31)+('Weekly Summary'!AV$101*SelfQuarantine_Moderate*'Equipment List &amp; Usage'!$X31)))+IF('Equipment List &amp; Usage'!$F31="Yes",'Equipment List &amp; Usage'!$C$114*(IF('Equipment List &amp; Usage'!$AA31&gt;0,'Weekly Summary'!AV$128,0)+IF('Equipment List &amp; Usage'!$AB31&gt;0,'Weekly Summary'!AV$100+'Weekly Summary'!AV$101,0)),'Equipment List &amp; Usage'!$C$115*(('Weekly Summary'!AV$128*'Equipment List &amp; Usage'!$AA31)+('Weekly Summary'!AV$100*'Equipment List &amp; Usage'!$AB31*SelfQuarantine_Mild)+('Weekly Summary'!AV$101*'Equipment List &amp; Usage'!$AB31*SelfQuarantine_Moderate)))+IF('Equipment List &amp; Usage'!$F31="Yes",('Equipment List &amp; Usage'!$C$114*(IF('Equipment List &amp; Usage'!$AE31&gt;0,'Weekly Summary'!AV$134,0)+IF('Equipment List &amp; Usage'!$AF31&gt;0,'Weekly Summary'!AV$135))),'Equipment List &amp; Usage'!$C$115*(('Weekly Summary'!AV$134*'Equipment List &amp; Usage'!$AE31)+('Weekly Summary'!AV$135*'Equipment List &amp; Usage'!$AF31))))-SUM($I29:BA29),
IF($F29="yes",MMULT(--('Equipment List &amp; Usage'!$J31:$N31&gt;0),--('Weekly Summary'!AV$112:AV$116))*'Equipment List &amp; Usage'!$C$114,MMULT(--('Equipment List &amp; Usage'!$J31:$N31),--('Weekly Summary'!AV$112:AV$116))*'Equipment List &amp; Usage'!$C$115)+IF('Equipment List &amp; Usage'!$F30="yes",'Equipment List &amp; Usage'!$C$114,'Equipment List &amp; Usage'!$C$115)*(('Weekly Summary'!AV$66*'Equipment List &amp; Usage'!$Q31)+('Weekly Summary'!AV$64*'Equipment List &amp; Usage'!$O31)+('Weekly Summary'!AV$65*'Equipment List &amp; Usage'!$P31))+(IF('Equipment List &amp; Usage'!$F31="Yes",'Equipment List &amp; Usage'!$C$114*((('Weekly Summary'!AV$131*SelfQuarantine_Mild)+('Weekly Summary'!AV$100*SelfQuarantine_Mild)+('Weekly Summary'!AV$101*SelfQuarantine_Moderate))),'Equipment List &amp; Usage'!$C$115)*((('Weekly Summary'!AV$131*SelfQuarantine_Mild*'Equipment List &amp; Usage'!$W31)+('Weekly Summary'!AV$100*SelfQuarantine_Mild*'Equipment List &amp; Usage'!$X31)+('Weekly Summary'!AV$101*SelfQuarantine_Moderate*'Equipment List &amp; Usage'!$X31))))+IF('Equipment List &amp; Usage'!$F31="Yes",'Equipment List &amp; Usage'!$C$114*(IF('Equipment List &amp; Usage'!$AA31&gt;0,'Weekly Summary'!AV$128,0)+IF('Equipment List &amp; Usage'!$AB31&gt;0,'Weekly Summary'!AV$100+'Weekly Summary'!AV$101,0)),'Equipment List &amp; Usage'!$C$115*(('Weekly Summary'!AV$128*'Equipment List &amp; Usage'!$AA31)+('Weekly Summary'!AV$100*'Equipment List &amp; Usage'!$AB31*SelfQuarantine_Mild)+('Weekly Summary'!AV$101*'Equipment List &amp; Usage'!$AB31*SelfQuarantine_Moderate)))+IF('Equipment List &amp; Usage'!$F31="Yes",('Equipment List &amp; Usage'!$C$114*(IF('Equipment List &amp; Usage'!$AE31&gt;0,'Weekly Summary'!AV$134,0)+IF('Equipment List &amp; Usage'!$AF31&gt;0,'Weekly Summary'!AV$135))),'Equipment List &amp; Usage'!$C$115*(('Weekly Summary'!AV$134*'Equipment List &amp; Usage'!$AE31)+('Weekly Summary'!AV$135*'Equipment List &amp; Usage'!$AF31)))),0)</f>
        <v>0</v>
      </c>
      <c r="BC29" s="1374">
        <f ca="1">MAX(IF($F29="Yes",(
IF($F29="yes",MMULT(--('Equipment List &amp; Usage'!$J31:$N31&gt;0),--('Weekly Summary'!AW$112:AW$116))*'Equipment List &amp; Usage'!$C$114,MMULT(--('Equipment List &amp; Usage'!$J31:$N31),--('Weekly Summary'!AW$112:AW$116))*'Equipment List &amp; Usage'!$C$115)+IF('Equipment List &amp; Usage'!$F30="yes",'Equipment List &amp; Usage'!$C$114,'Equipment List &amp; Usage'!$C$115)*(('Weekly Summary'!AW$66*'Equipment List &amp; Usage'!$Q31)+('Weekly Summary'!AW$64*'Equipment List &amp; Usage'!$O31)+('Weekly Summary'!AW$65*'Equipment List &amp; Usage'!$P31)))+(IF('Equipment List &amp; Usage'!$F31="Yes",'Equipment List &amp; Usage'!$C$114*((('Weekly Summary'!AW$131*SelfQuarantine_Mild)+('Weekly Summary'!AW$100*SelfQuarantine_Mild)+('Weekly Summary'!AW$101*SelfQuarantine_Moderate))),'Equipment List &amp; Usage'!$C$115)*((('Weekly Summary'!AW$131*SelfQuarantine_Mild*'Equipment List &amp; Usage'!$W31)+('Weekly Summary'!AW$100*SelfQuarantine_Mild*'Equipment List &amp; Usage'!$X31)+('Weekly Summary'!AW$101*SelfQuarantine_Moderate*'Equipment List &amp; Usage'!$X31)))+IF('Equipment List &amp; Usage'!$F31="Yes",'Equipment List &amp; Usage'!$C$114*(IF('Equipment List &amp; Usage'!$AA31&gt;0,'Weekly Summary'!AW$128,0)+IF('Equipment List &amp; Usage'!$AB31&gt;0,'Weekly Summary'!AW$100+'Weekly Summary'!AW$101,0)),'Equipment List &amp; Usage'!$C$115*(('Weekly Summary'!AW$128*'Equipment List &amp; Usage'!$AA31)+('Weekly Summary'!AW$100*'Equipment List &amp; Usage'!$AB31*SelfQuarantine_Mild)+('Weekly Summary'!AW$101*'Equipment List &amp; Usage'!$AB31*SelfQuarantine_Moderate)))+IF('Equipment List &amp; Usage'!$F31="Yes",('Equipment List &amp; Usage'!$C$114*(IF('Equipment List &amp; Usage'!$AE31&gt;0,'Weekly Summary'!AW$134,0)+IF('Equipment List &amp; Usage'!$AF31&gt;0,'Weekly Summary'!AW$135))),'Equipment List &amp; Usage'!$C$115*(('Weekly Summary'!AW$134*'Equipment List &amp; Usage'!$AE31)+('Weekly Summary'!AW$135*'Equipment List &amp; Usage'!$AF31))))-SUM($I29:BB29),
IF($F29="yes",MMULT(--('Equipment List &amp; Usage'!$J31:$N31&gt;0),--('Weekly Summary'!AW$112:AW$116))*'Equipment List &amp; Usage'!$C$114,MMULT(--('Equipment List &amp; Usage'!$J31:$N31),--('Weekly Summary'!AW$112:AW$116))*'Equipment List &amp; Usage'!$C$115)+IF('Equipment List &amp; Usage'!$F30="yes",'Equipment List &amp; Usage'!$C$114,'Equipment List &amp; Usage'!$C$115)*(('Weekly Summary'!AW$66*'Equipment List &amp; Usage'!$Q31)+('Weekly Summary'!AW$64*'Equipment List &amp; Usage'!$O31)+('Weekly Summary'!AW$65*'Equipment List &amp; Usage'!$P31))+(IF('Equipment List &amp; Usage'!$F31="Yes",'Equipment List &amp; Usage'!$C$114*((('Weekly Summary'!AW$131*SelfQuarantine_Mild)+('Weekly Summary'!AW$100*SelfQuarantine_Mild)+('Weekly Summary'!AW$101*SelfQuarantine_Moderate))),'Equipment List &amp; Usage'!$C$115)*((('Weekly Summary'!AW$131*SelfQuarantine_Mild*'Equipment List &amp; Usage'!$W31)+('Weekly Summary'!AW$100*SelfQuarantine_Mild*'Equipment List &amp; Usage'!$X31)+('Weekly Summary'!AW$101*SelfQuarantine_Moderate*'Equipment List &amp; Usage'!$X31))))+IF('Equipment List &amp; Usage'!$F31="Yes",'Equipment List &amp; Usage'!$C$114*(IF('Equipment List &amp; Usage'!$AA31&gt;0,'Weekly Summary'!AW$128,0)+IF('Equipment List &amp; Usage'!$AB31&gt;0,'Weekly Summary'!AW$100+'Weekly Summary'!AW$101,0)),'Equipment List &amp; Usage'!$C$115*(('Weekly Summary'!AW$128*'Equipment List &amp; Usage'!$AA31)+('Weekly Summary'!AW$100*'Equipment List &amp; Usage'!$AB31*SelfQuarantine_Mild)+('Weekly Summary'!AW$101*'Equipment List &amp; Usage'!$AB31*SelfQuarantine_Moderate)))+IF('Equipment List &amp; Usage'!$F31="Yes",('Equipment List &amp; Usage'!$C$114*(IF('Equipment List &amp; Usage'!$AE31&gt;0,'Weekly Summary'!AW$134,0)+IF('Equipment List &amp; Usage'!$AF31&gt;0,'Weekly Summary'!AW$135))),'Equipment List &amp; Usage'!$C$115*(('Weekly Summary'!AW$134*'Equipment List &amp; Usage'!$AE31)+('Weekly Summary'!AW$135*'Equipment List &amp; Usage'!$AF31)))),0)</f>
        <v>0</v>
      </c>
      <c r="BD29" s="1374">
        <f ca="1">MAX(IF($F29="Yes",(
IF($F29="yes",MMULT(--('Equipment List &amp; Usage'!$J31:$N31&gt;0),--('Weekly Summary'!AX$112:AX$116))*'Equipment List &amp; Usage'!$C$114,MMULT(--('Equipment List &amp; Usage'!$J31:$N31),--('Weekly Summary'!AX$112:AX$116))*'Equipment List &amp; Usage'!$C$115)+IF('Equipment List &amp; Usage'!$F30="yes",'Equipment List &amp; Usage'!$C$114,'Equipment List &amp; Usage'!$C$115)*(('Weekly Summary'!AX$66*'Equipment List &amp; Usage'!$Q31)+('Weekly Summary'!AX$64*'Equipment List &amp; Usage'!$O31)+('Weekly Summary'!AX$65*'Equipment List &amp; Usage'!$P31)))+(IF('Equipment List &amp; Usage'!$F31="Yes",'Equipment List &amp; Usage'!$C$114*((('Weekly Summary'!AX$131*SelfQuarantine_Mild)+('Weekly Summary'!AX$100*SelfQuarantine_Mild)+('Weekly Summary'!AX$101*SelfQuarantine_Moderate))),'Equipment List &amp; Usage'!$C$115)*((('Weekly Summary'!AX$131*SelfQuarantine_Mild*'Equipment List &amp; Usage'!$W31)+('Weekly Summary'!AX$100*SelfQuarantine_Mild*'Equipment List &amp; Usage'!$X31)+('Weekly Summary'!AX$101*SelfQuarantine_Moderate*'Equipment List &amp; Usage'!$X31)))+IF('Equipment List &amp; Usage'!$F31="Yes",'Equipment List &amp; Usage'!$C$114*(IF('Equipment List &amp; Usage'!$AA31&gt;0,'Weekly Summary'!AX$128,0)+IF('Equipment List &amp; Usage'!$AB31&gt;0,'Weekly Summary'!AX$100+'Weekly Summary'!AX$101,0)),'Equipment List &amp; Usage'!$C$115*(('Weekly Summary'!AX$128*'Equipment List &amp; Usage'!$AA31)+('Weekly Summary'!AX$100*'Equipment List &amp; Usage'!$AB31*SelfQuarantine_Mild)+('Weekly Summary'!AX$101*'Equipment List &amp; Usage'!$AB31*SelfQuarantine_Moderate)))+IF('Equipment List &amp; Usage'!$F31="Yes",('Equipment List &amp; Usage'!$C$114*(IF('Equipment List &amp; Usage'!$AE31&gt;0,'Weekly Summary'!AX$134,0)+IF('Equipment List &amp; Usage'!$AF31&gt;0,'Weekly Summary'!AX$135))),'Equipment List &amp; Usage'!$C$115*(('Weekly Summary'!AX$134*'Equipment List &amp; Usage'!$AE31)+('Weekly Summary'!AX$135*'Equipment List &amp; Usage'!$AF31))))-SUM($I29:BC29),
IF($F29="yes",MMULT(--('Equipment List &amp; Usage'!$J31:$N31&gt;0),--('Weekly Summary'!AX$112:AX$116))*'Equipment List &amp; Usage'!$C$114,MMULT(--('Equipment List &amp; Usage'!$J31:$N31),--('Weekly Summary'!AX$112:AX$116))*'Equipment List &amp; Usage'!$C$115)+IF('Equipment List &amp; Usage'!$F30="yes",'Equipment List &amp; Usage'!$C$114,'Equipment List &amp; Usage'!$C$115)*(('Weekly Summary'!AX$66*'Equipment List &amp; Usage'!$Q31)+('Weekly Summary'!AX$64*'Equipment List &amp; Usage'!$O31)+('Weekly Summary'!AX$65*'Equipment List &amp; Usage'!$P31))+(IF('Equipment List &amp; Usage'!$F31="Yes",'Equipment List &amp; Usage'!$C$114*((('Weekly Summary'!AX$131*SelfQuarantine_Mild)+('Weekly Summary'!AX$100*SelfQuarantine_Mild)+('Weekly Summary'!AX$101*SelfQuarantine_Moderate))),'Equipment List &amp; Usage'!$C$115)*((('Weekly Summary'!AX$131*SelfQuarantine_Mild*'Equipment List &amp; Usage'!$W31)+('Weekly Summary'!AX$100*SelfQuarantine_Mild*'Equipment List &amp; Usage'!$X31)+('Weekly Summary'!AX$101*SelfQuarantine_Moderate*'Equipment List &amp; Usage'!$X31))))+IF('Equipment List &amp; Usage'!$F31="Yes",'Equipment List &amp; Usage'!$C$114*(IF('Equipment List &amp; Usage'!$AA31&gt;0,'Weekly Summary'!AX$128,0)+IF('Equipment List &amp; Usage'!$AB31&gt;0,'Weekly Summary'!AX$100+'Weekly Summary'!AX$101,0)),'Equipment List &amp; Usage'!$C$115*(('Weekly Summary'!AX$128*'Equipment List &amp; Usage'!$AA31)+('Weekly Summary'!AX$100*'Equipment List &amp; Usage'!$AB31*SelfQuarantine_Mild)+('Weekly Summary'!AX$101*'Equipment List &amp; Usage'!$AB31*SelfQuarantine_Moderate)))+IF('Equipment List &amp; Usage'!$F31="Yes",('Equipment List &amp; Usage'!$C$114*(IF('Equipment List &amp; Usage'!$AE31&gt;0,'Weekly Summary'!AX$134,0)+IF('Equipment List &amp; Usage'!$AF31&gt;0,'Weekly Summary'!AX$135))),'Equipment List &amp; Usage'!$C$115*(('Weekly Summary'!AX$134*'Equipment List &amp; Usage'!$AE31)+('Weekly Summary'!AX$135*'Equipment List &amp; Usage'!$AF31)))),0)</f>
        <v>0</v>
      </c>
      <c r="BE29" s="1374">
        <f ca="1">MAX(IF($F29="Yes",(
IF($F29="yes",MMULT(--('Equipment List &amp; Usage'!$J31:$N31&gt;0),--('Weekly Summary'!AY$112:AY$116))*'Equipment List &amp; Usage'!$C$114,MMULT(--('Equipment List &amp; Usage'!$J31:$N31),--('Weekly Summary'!AY$112:AY$116))*'Equipment List &amp; Usage'!$C$115)+IF('Equipment List &amp; Usage'!$F30="yes",'Equipment List &amp; Usage'!$C$114,'Equipment List &amp; Usage'!$C$115)*(('Weekly Summary'!AY$66*'Equipment List &amp; Usage'!$Q31)+('Weekly Summary'!AY$64*'Equipment List &amp; Usage'!$O31)+('Weekly Summary'!AY$65*'Equipment List &amp; Usage'!$P31)))+(IF('Equipment List &amp; Usage'!$F31="Yes",'Equipment List &amp; Usage'!$C$114*((('Weekly Summary'!AY$131*SelfQuarantine_Mild)+('Weekly Summary'!AY$100*SelfQuarantine_Mild)+('Weekly Summary'!AY$101*SelfQuarantine_Moderate))),'Equipment List &amp; Usage'!$C$115)*((('Weekly Summary'!AY$131*SelfQuarantine_Mild*'Equipment List &amp; Usage'!$W31)+('Weekly Summary'!AY$100*SelfQuarantine_Mild*'Equipment List &amp; Usage'!$X31)+('Weekly Summary'!AY$101*SelfQuarantine_Moderate*'Equipment List &amp; Usage'!$X31)))+IF('Equipment List &amp; Usage'!$F31="Yes",'Equipment List &amp; Usage'!$C$114*(IF('Equipment List &amp; Usage'!$AA31&gt;0,'Weekly Summary'!AY$128,0)+IF('Equipment List &amp; Usage'!$AB31&gt;0,'Weekly Summary'!AY$100+'Weekly Summary'!AY$101,0)),'Equipment List &amp; Usage'!$C$115*(('Weekly Summary'!AY$128*'Equipment List &amp; Usage'!$AA31)+('Weekly Summary'!AY$100*'Equipment List &amp; Usage'!$AB31*SelfQuarantine_Mild)+('Weekly Summary'!AY$101*'Equipment List &amp; Usage'!$AB31*SelfQuarantine_Moderate)))+IF('Equipment List &amp; Usage'!$F31="Yes",('Equipment List &amp; Usage'!$C$114*(IF('Equipment List &amp; Usage'!$AE31&gt;0,'Weekly Summary'!AY$134,0)+IF('Equipment List &amp; Usage'!$AF31&gt;0,'Weekly Summary'!AY$135))),'Equipment List &amp; Usage'!$C$115*(('Weekly Summary'!AY$134*'Equipment List &amp; Usage'!$AE31)+('Weekly Summary'!AY$135*'Equipment List &amp; Usage'!$AF31))))-SUM($I29:BD29),
IF($F29="yes",MMULT(--('Equipment List &amp; Usage'!$J31:$N31&gt;0),--('Weekly Summary'!AY$112:AY$116))*'Equipment List &amp; Usage'!$C$114,MMULT(--('Equipment List &amp; Usage'!$J31:$N31),--('Weekly Summary'!AY$112:AY$116))*'Equipment List &amp; Usage'!$C$115)+IF('Equipment List &amp; Usage'!$F30="yes",'Equipment List &amp; Usage'!$C$114,'Equipment List &amp; Usage'!$C$115)*(('Weekly Summary'!AY$66*'Equipment List &amp; Usage'!$Q31)+('Weekly Summary'!AY$64*'Equipment List &amp; Usage'!$O31)+('Weekly Summary'!AY$65*'Equipment List &amp; Usage'!$P31))+(IF('Equipment List &amp; Usage'!$F31="Yes",'Equipment List &amp; Usage'!$C$114*((('Weekly Summary'!AY$131*SelfQuarantine_Mild)+('Weekly Summary'!AY$100*SelfQuarantine_Mild)+('Weekly Summary'!AY$101*SelfQuarantine_Moderate))),'Equipment List &amp; Usage'!$C$115)*((('Weekly Summary'!AY$131*SelfQuarantine_Mild*'Equipment List &amp; Usage'!$W31)+('Weekly Summary'!AY$100*SelfQuarantine_Mild*'Equipment List &amp; Usage'!$X31)+('Weekly Summary'!AY$101*SelfQuarantine_Moderate*'Equipment List &amp; Usage'!$X31))))+IF('Equipment List &amp; Usage'!$F31="Yes",'Equipment List &amp; Usage'!$C$114*(IF('Equipment List &amp; Usage'!$AA31&gt;0,'Weekly Summary'!AY$128,0)+IF('Equipment List &amp; Usage'!$AB31&gt;0,'Weekly Summary'!AY$100+'Weekly Summary'!AY$101,0)),'Equipment List &amp; Usage'!$C$115*(('Weekly Summary'!AY$128*'Equipment List &amp; Usage'!$AA31)+('Weekly Summary'!AY$100*'Equipment List &amp; Usage'!$AB31*SelfQuarantine_Mild)+('Weekly Summary'!AY$101*'Equipment List &amp; Usage'!$AB31*SelfQuarantine_Moderate)))+IF('Equipment List &amp; Usage'!$F31="Yes",('Equipment List &amp; Usage'!$C$114*(IF('Equipment List &amp; Usage'!$AE31&gt;0,'Weekly Summary'!AY$134,0)+IF('Equipment List &amp; Usage'!$AF31&gt;0,'Weekly Summary'!AY$135))),'Equipment List &amp; Usage'!$C$115*(('Weekly Summary'!AY$134*'Equipment List &amp; Usage'!$AE31)+('Weekly Summary'!AY$135*'Equipment List &amp; Usage'!$AF31)))),0)</f>
        <v>0</v>
      </c>
      <c r="BF29" s="1374">
        <f ca="1">MAX(IF($F29="Yes",(
IF($F29="yes",MMULT(--('Equipment List &amp; Usage'!$J31:$N31&gt;0),--('Weekly Summary'!AZ$112:AZ$116))*'Equipment List &amp; Usage'!$C$114,MMULT(--('Equipment List &amp; Usage'!$J31:$N31),--('Weekly Summary'!AZ$112:AZ$116))*'Equipment List &amp; Usage'!$C$115)+IF('Equipment List &amp; Usage'!$F30="yes",'Equipment List &amp; Usage'!$C$114,'Equipment List &amp; Usage'!$C$115)*(('Weekly Summary'!AZ$66*'Equipment List &amp; Usage'!$Q31)+('Weekly Summary'!AZ$64*'Equipment List &amp; Usage'!$O31)+('Weekly Summary'!AZ$65*'Equipment List &amp; Usage'!$P31)))+(IF('Equipment List &amp; Usage'!$F31="Yes",'Equipment List &amp; Usage'!$C$114*((('Weekly Summary'!AZ$131*SelfQuarantine_Mild)+('Weekly Summary'!AZ$100*SelfQuarantine_Mild)+('Weekly Summary'!AZ$101*SelfQuarantine_Moderate))),'Equipment List &amp; Usage'!$C$115)*((('Weekly Summary'!AZ$131*SelfQuarantine_Mild*'Equipment List &amp; Usage'!$W31)+('Weekly Summary'!AZ$100*SelfQuarantine_Mild*'Equipment List &amp; Usage'!$X31)+('Weekly Summary'!AZ$101*SelfQuarantine_Moderate*'Equipment List &amp; Usage'!$X31)))+IF('Equipment List &amp; Usage'!$F31="Yes",'Equipment List &amp; Usage'!$C$114*(IF('Equipment List &amp; Usage'!$AA31&gt;0,'Weekly Summary'!AZ$128,0)+IF('Equipment List &amp; Usage'!$AB31&gt;0,'Weekly Summary'!AZ$100+'Weekly Summary'!AZ$101,0)),'Equipment List &amp; Usage'!$C$115*(('Weekly Summary'!AZ$128*'Equipment List &amp; Usage'!$AA31)+('Weekly Summary'!AZ$100*'Equipment List &amp; Usage'!$AB31*SelfQuarantine_Mild)+('Weekly Summary'!AZ$101*'Equipment List &amp; Usage'!$AB31*SelfQuarantine_Moderate)))+IF('Equipment List &amp; Usage'!$F31="Yes",('Equipment List &amp; Usage'!$C$114*(IF('Equipment List &amp; Usage'!$AE31&gt;0,'Weekly Summary'!AZ$134,0)+IF('Equipment List &amp; Usage'!$AF31&gt;0,'Weekly Summary'!AZ$135))),'Equipment List &amp; Usage'!$C$115*(('Weekly Summary'!AZ$134*'Equipment List &amp; Usage'!$AE31)+('Weekly Summary'!AZ$135*'Equipment List &amp; Usage'!$AF31))))-SUM($I29:BE29),
IF($F29="yes",MMULT(--('Equipment List &amp; Usage'!$J31:$N31&gt;0),--('Weekly Summary'!AZ$112:AZ$116))*'Equipment List &amp; Usage'!$C$114,MMULT(--('Equipment List &amp; Usage'!$J31:$N31),--('Weekly Summary'!AZ$112:AZ$116))*'Equipment List &amp; Usage'!$C$115)+IF('Equipment List &amp; Usage'!$F30="yes",'Equipment List &amp; Usage'!$C$114,'Equipment List &amp; Usage'!$C$115)*(('Weekly Summary'!AZ$66*'Equipment List &amp; Usage'!$Q31)+('Weekly Summary'!AZ$64*'Equipment List &amp; Usage'!$O31)+('Weekly Summary'!AZ$65*'Equipment List &amp; Usage'!$P31))+(IF('Equipment List &amp; Usage'!$F31="Yes",'Equipment List &amp; Usage'!$C$114*((('Weekly Summary'!AZ$131*SelfQuarantine_Mild)+('Weekly Summary'!AZ$100*SelfQuarantine_Mild)+('Weekly Summary'!AZ$101*SelfQuarantine_Moderate))),'Equipment List &amp; Usage'!$C$115)*((('Weekly Summary'!AZ$131*SelfQuarantine_Mild*'Equipment List &amp; Usage'!$W31)+('Weekly Summary'!AZ$100*SelfQuarantine_Mild*'Equipment List &amp; Usage'!$X31)+('Weekly Summary'!AZ$101*SelfQuarantine_Moderate*'Equipment List &amp; Usage'!$X31))))+IF('Equipment List &amp; Usage'!$F31="Yes",'Equipment List &amp; Usage'!$C$114*(IF('Equipment List &amp; Usage'!$AA31&gt;0,'Weekly Summary'!AZ$128,0)+IF('Equipment List &amp; Usage'!$AB31&gt;0,'Weekly Summary'!AZ$100+'Weekly Summary'!AZ$101,0)),'Equipment List &amp; Usage'!$C$115*(('Weekly Summary'!AZ$128*'Equipment List &amp; Usage'!$AA31)+('Weekly Summary'!AZ$100*'Equipment List &amp; Usage'!$AB31*SelfQuarantine_Mild)+('Weekly Summary'!AZ$101*'Equipment List &amp; Usage'!$AB31*SelfQuarantine_Moderate)))+IF('Equipment List &amp; Usage'!$F31="Yes",('Equipment List &amp; Usage'!$C$114*(IF('Equipment List &amp; Usage'!$AE31&gt;0,'Weekly Summary'!AZ$134,0)+IF('Equipment List &amp; Usage'!$AF31&gt;0,'Weekly Summary'!AZ$135))),'Equipment List &amp; Usage'!$C$115*(('Weekly Summary'!AZ$134*'Equipment List &amp; Usage'!$AE31)+('Weekly Summary'!AZ$135*'Equipment List &amp; Usage'!$AF31)))),0)</f>
        <v>0</v>
      </c>
      <c r="BG29" s="1374">
        <f ca="1">MAX(IF($F29="Yes",(
IF($F29="yes",MMULT(--('Equipment List &amp; Usage'!$J31:$N31&gt;0),--('Weekly Summary'!BA$112:BA$116))*'Equipment List &amp; Usage'!$C$114,MMULT(--('Equipment List &amp; Usage'!$J31:$N31),--('Weekly Summary'!BA$112:BA$116))*'Equipment List &amp; Usage'!$C$115)+IF('Equipment List &amp; Usage'!$F30="yes",'Equipment List &amp; Usage'!$C$114,'Equipment List &amp; Usage'!$C$115)*(('Weekly Summary'!BA$66*'Equipment List &amp; Usage'!$Q31)+('Weekly Summary'!BA$64*'Equipment List &amp; Usage'!$O31)+('Weekly Summary'!BA$65*'Equipment List &amp; Usage'!$P31)))+(IF('Equipment List &amp; Usage'!$F31="Yes",'Equipment List &amp; Usage'!$C$114*((('Weekly Summary'!BA$131*SelfQuarantine_Mild)+('Weekly Summary'!BA$100*SelfQuarantine_Mild)+('Weekly Summary'!BA$101*SelfQuarantine_Moderate))),'Equipment List &amp; Usage'!$C$115)*((('Weekly Summary'!BA$131*SelfQuarantine_Mild*'Equipment List &amp; Usage'!$W31)+('Weekly Summary'!BA$100*SelfQuarantine_Mild*'Equipment List &amp; Usage'!$X31)+('Weekly Summary'!BA$101*SelfQuarantine_Moderate*'Equipment List &amp; Usage'!$X31)))+IF('Equipment List &amp; Usage'!$F31="Yes",'Equipment List &amp; Usage'!$C$114*(IF('Equipment List &amp; Usage'!$AA31&gt;0,'Weekly Summary'!BA$128,0)+IF('Equipment List &amp; Usage'!$AB31&gt;0,'Weekly Summary'!BA$100+'Weekly Summary'!BA$101,0)),'Equipment List &amp; Usage'!$C$115*(('Weekly Summary'!BA$128*'Equipment List &amp; Usage'!$AA31)+('Weekly Summary'!BA$100*'Equipment List &amp; Usage'!$AB31*SelfQuarantine_Mild)+('Weekly Summary'!BA$101*'Equipment List &amp; Usage'!$AB31*SelfQuarantine_Moderate)))+IF('Equipment List &amp; Usage'!$F31="Yes",('Equipment List &amp; Usage'!$C$114*(IF('Equipment List &amp; Usage'!$AE31&gt;0,'Weekly Summary'!BA$134,0)+IF('Equipment List &amp; Usage'!$AF31&gt;0,'Weekly Summary'!BA$135))),'Equipment List &amp; Usage'!$C$115*(('Weekly Summary'!BA$134*'Equipment List &amp; Usage'!$AE31)+('Weekly Summary'!BA$135*'Equipment List &amp; Usage'!$AF31))))-SUM($I29:BF29),
IF($F29="yes",MMULT(--('Equipment List &amp; Usage'!$J31:$N31&gt;0),--('Weekly Summary'!BA$112:BA$116))*'Equipment List &amp; Usage'!$C$114,MMULT(--('Equipment List &amp; Usage'!$J31:$N31),--('Weekly Summary'!BA$112:BA$116))*'Equipment List &amp; Usage'!$C$115)+IF('Equipment List &amp; Usage'!$F30="yes",'Equipment List &amp; Usage'!$C$114,'Equipment List &amp; Usage'!$C$115)*(('Weekly Summary'!BA$66*'Equipment List &amp; Usage'!$Q31)+('Weekly Summary'!BA$64*'Equipment List &amp; Usage'!$O31)+('Weekly Summary'!BA$65*'Equipment List &amp; Usage'!$P31))+(IF('Equipment List &amp; Usage'!$F31="Yes",'Equipment List &amp; Usage'!$C$114*((('Weekly Summary'!BA$131*SelfQuarantine_Mild)+('Weekly Summary'!BA$100*SelfQuarantine_Mild)+('Weekly Summary'!BA$101*SelfQuarantine_Moderate))),'Equipment List &amp; Usage'!$C$115)*((('Weekly Summary'!BA$131*SelfQuarantine_Mild*'Equipment List &amp; Usage'!$W31)+('Weekly Summary'!BA$100*SelfQuarantine_Mild*'Equipment List &amp; Usage'!$X31)+('Weekly Summary'!BA$101*SelfQuarantine_Moderate*'Equipment List &amp; Usage'!$X31))))+IF('Equipment List &amp; Usage'!$F31="Yes",'Equipment List &amp; Usage'!$C$114*(IF('Equipment List &amp; Usage'!$AA31&gt;0,'Weekly Summary'!BA$128,0)+IF('Equipment List &amp; Usage'!$AB31&gt;0,'Weekly Summary'!BA$100+'Weekly Summary'!BA$101,0)),'Equipment List &amp; Usage'!$C$115*(('Weekly Summary'!BA$128*'Equipment List &amp; Usage'!$AA31)+('Weekly Summary'!BA$100*'Equipment List &amp; Usage'!$AB31*SelfQuarantine_Mild)+('Weekly Summary'!BA$101*'Equipment List &amp; Usage'!$AB31*SelfQuarantine_Moderate)))+IF('Equipment List &amp; Usage'!$F31="Yes",('Equipment List &amp; Usage'!$C$114*(IF('Equipment List &amp; Usage'!$AE31&gt;0,'Weekly Summary'!BA$134,0)+IF('Equipment List &amp; Usage'!$AF31&gt;0,'Weekly Summary'!BA$135))),'Equipment List &amp; Usage'!$C$115*(('Weekly Summary'!BA$134*'Equipment List &amp; Usage'!$AE31)+('Weekly Summary'!BA$135*'Equipment List &amp; Usage'!$AF31)))),0)</f>
        <v>0</v>
      </c>
      <c r="BH29" s="1374">
        <f ca="1">MAX(IF($F29="Yes",(
IF($F29="yes",MMULT(--('Equipment List &amp; Usage'!$J31:$N31&gt;0),--('Weekly Summary'!BB$112:BB$116))*'Equipment List &amp; Usage'!$C$114,MMULT(--('Equipment List &amp; Usage'!$J31:$N31),--('Weekly Summary'!BB$112:BB$116))*'Equipment List &amp; Usage'!$C$115)+IF('Equipment List &amp; Usage'!$F30="yes",'Equipment List &amp; Usage'!$C$114,'Equipment List &amp; Usage'!$C$115)*(('Weekly Summary'!BB$66*'Equipment List &amp; Usage'!$Q31)+('Weekly Summary'!BB$64*'Equipment List &amp; Usage'!$O31)+('Weekly Summary'!BB$65*'Equipment List &amp; Usage'!$P31)))+(IF('Equipment List &amp; Usage'!$F31="Yes",'Equipment List &amp; Usage'!$C$114*((('Weekly Summary'!BB$131*SelfQuarantine_Mild)+('Weekly Summary'!BB$100*SelfQuarantine_Mild)+('Weekly Summary'!BB$101*SelfQuarantine_Moderate))),'Equipment List &amp; Usage'!$C$115)*((('Weekly Summary'!BB$131*SelfQuarantine_Mild*'Equipment List &amp; Usage'!$W31)+('Weekly Summary'!BB$100*SelfQuarantine_Mild*'Equipment List &amp; Usage'!$X31)+('Weekly Summary'!BB$101*SelfQuarantine_Moderate*'Equipment List &amp; Usage'!$X31)))+IF('Equipment List &amp; Usage'!$F31="Yes",'Equipment List &amp; Usage'!$C$114*(IF('Equipment List &amp; Usage'!$AA31&gt;0,'Weekly Summary'!BB$128,0)+IF('Equipment List &amp; Usage'!$AB31&gt;0,'Weekly Summary'!BB$100+'Weekly Summary'!BB$101,0)),'Equipment List &amp; Usage'!$C$115*(('Weekly Summary'!BB$128*'Equipment List &amp; Usage'!$AA31)+('Weekly Summary'!BB$100*'Equipment List &amp; Usage'!$AB31*SelfQuarantine_Mild)+('Weekly Summary'!BB$101*'Equipment List &amp; Usage'!$AB31*SelfQuarantine_Moderate)))+IF('Equipment List &amp; Usage'!$F31="Yes",('Equipment List &amp; Usage'!$C$114*(IF('Equipment List &amp; Usage'!$AE31&gt;0,'Weekly Summary'!BB$134,0)+IF('Equipment List &amp; Usage'!$AF31&gt;0,'Weekly Summary'!BB$135))),'Equipment List &amp; Usage'!$C$115*(('Weekly Summary'!BB$134*'Equipment List &amp; Usage'!$AE31)+('Weekly Summary'!BB$135*'Equipment List &amp; Usage'!$AF31))))-SUM($I29:BG29),
IF($F29="yes",MMULT(--('Equipment List &amp; Usage'!$J31:$N31&gt;0),--('Weekly Summary'!BB$112:BB$116))*'Equipment List &amp; Usage'!$C$114,MMULT(--('Equipment List &amp; Usage'!$J31:$N31),--('Weekly Summary'!BB$112:BB$116))*'Equipment List &amp; Usage'!$C$115)+IF('Equipment List &amp; Usage'!$F30="yes",'Equipment List &amp; Usage'!$C$114,'Equipment List &amp; Usage'!$C$115)*(('Weekly Summary'!BB$66*'Equipment List &amp; Usage'!$Q31)+('Weekly Summary'!BB$64*'Equipment List &amp; Usage'!$O31)+('Weekly Summary'!BB$65*'Equipment List &amp; Usage'!$P31))+(IF('Equipment List &amp; Usage'!$F31="Yes",'Equipment List &amp; Usage'!$C$114*((('Weekly Summary'!BB$131*SelfQuarantine_Mild)+('Weekly Summary'!BB$100*SelfQuarantine_Mild)+('Weekly Summary'!BB$101*SelfQuarantine_Moderate))),'Equipment List &amp; Usage'!$C$115)*((('Weekly Summary'!BB$131*SelfQuarantine_Mild*'Equipment List &amp; Usage'!$W31)+('Weekly Summary'!BB$100*SelfQuarantine_Mild*'Equipment List &amp; Usage'!$X31)+('Weekly Summary'!BB$101*SelfQuarantine_Moderate*'Equipment List &amp; Usage'!$X31))))+IF('Equipment List &amp; Usage'!$F31="Yes",'Equipment List &amp; Usage'!$C$114*(IF('Equipment List &amp; Usage'!$AA31&gt;0,'Weekly Summary'!BB$128,0)+IF('Equipment List &amp; Usage'!$AB31&gt;0,'Weekly Summary'!BB$100+'Weekly Summary'!BB$101,0)),'Equipment List &amp; Usage'!$C$115*(('Weekly Summary'!BB$128*'Equipment List &amp; Usage'!$AA31)+('Weekly Summary'!BB$100*'Equipment List &amp; Usage'!$AB31*SelfQuarantine_Mild)+('Weekly Summary'!BB$101*'Equipment List &amp; Usage'!$AB31*SelfQuarantine_Moderate)))+IF('Equipment List &amp; Usage'!$F31="Yes",('Equipment List &amp; Usage'!$C$114*(IF('Equipment List &amp; Usage'!$AE31&gt;0,'Weekly Summary'!BB$134,0)+IF('Equipment List &amp; Usage'!$AF31&gt;0,'Weekly Summary'!BB$135))),'Equipment List &amp; Usage'!$C$115*(('Weekly Summary'!BB$134*'Equipment List &amp; Usage'!$AE31)+('Weekly Summary'!BB$135*'Equipment List &amp; Usage'!$AF31)))),0)</f>
        <v>0</v>
      </c>
      <c r="BI29" s="1374">
        <f ca="1">MAX(IF($F29="Yes",(
IF($F29="yes",MMULT(--('Equipment List &amp; Usage'!$J31:$N31&gt;0),--('Weekly Summary'!BC$112:BC$116))*'Equipment List &amp; Usage'!$C$114,MMULT(--('Equipment List &amp; Usage'!$J31:$N31),--('Weekly Summary'!BC$112:BC$116))*'Equipment List &amp; Usage'!$C$115)+IF('Equipment List &amp; Usage'!$F30="yes",'Equipment List &amp; Usage'!$C$114,'Equipment List &amp; Usage'!$C$115)*(('Weekly Summary'!BC$66*'Equipment List &amp; Usage'!$Q31)+('Weekly Summary'!BC$64*'Equipment List &amp; Usage'!$O31)+('Weekly Summary'!BC$65*'Equipment List &amp; Usage'!$P31)))+(IF('Equipment List &amp; Usage'!$F31="Yes",'Equipment List &amp; Usage'!$C$114*((('Weekly Summary'!BC$131*SelfQuarantine_Mild)+('Weekly Summary'!BC$100*SelfQuarantine_Mild)+('Weekly Summary'!BC$101*SelfQuarantine_Moderate))),'Equipment List &amp; Usage'!$C$115)*((('Weekly Summary'!BC$131*SelfQuarantine_Mild*'Equipment List &amp; Usage'!$W31)+('Weekly Summary'!BC$100*SelfQuarantine_Mild*'Equipment List &amp; Usage'!$X31)+('Weekly Summary'!BC$101*SelfQuarantine_Moderate*'Equipment List &amp; Usage'!$X31)))+IF('Equipment List &amp; Usage'!$F31="Yes",'Equipment List &amp; Usage'!$C$114*(IF('Equipment List &amp; Usage'!$AA31&gt;0,'Weekly Summary'!BC$128,0)+IF('Equipment List &amp; Usage'!$AB31&gt;0,'Weekly Summary'!BC$100+'Weekly Summary'!BC$101,0)),'Equipment List &amp; Usage'!$C$115*(('Weekly Summary'!BC$128*'Equipment List &amp; Usage'!$AA31)+('Weekly Summary'!BC$100*'Equipment List &amp; Usage'!$AB31*SelfQuarantine_Mild)+('Weekly Summary'!BC$101*'Equipment List &amp; Usage'!$AB31*SelfQuarantine_Moderate)))+IF('Equipment List &amp; Usage'!$F31="Yes",('Equipment List &amp; Usage'!$C$114*(IF('Equipment List &amp; Usage'!$AE31&gt;0,'Weekly Summary'!BC$134,0)+IF('Equipment List &amp; Usage'!$AF31&gt;0,'Weekly Summary'!BC$135))),'Equipment List &amp; Usage'!$C$115*(('Weekly Summary'!BC$134*'Equipment List &amp; Usage'!$AE31)+('Weekly Summary'!BC$135*'Equipment List &amp; Usage'!$AF31))))-SUM($I29:BH29),
IF($F29="yes",MMULT(--('Equipment List &amp; Usage'!$J31:$N31&gt;0),--('Weekly Summary'!BC$112:BC$116))*'Equipment List &amp; Usage'!$C$114,MMULT(--('Equipment List &amp; Usage'!$J31:$N31),--('Weekly Summary'!BC$112:BC$116))*'Equipment List &amp; Usage'!$C$115)+IF('Equipment List &amp; Usage'!$F30="yes",'Equipment List &amp; Usage'!$C$114,'Equipment List &amp; Usage'!$C$115)*(('Weekly Summary'!BC$66*'Equipment List &amp; Usage'!$Q31)+('Weekly Summary'!BC$64*'Equipment List &amp; Usage'!$O31)+('Weekly Summary'!BC$65*'Equipment List &amp; Usage'!$P31))+(IF('Equipment List &amp; Usage'!$F31="Yes",'Equipment List &amp; Usage'!$C$114*((('Weekly Summary'!BC$131*SelfQuarantine_Mild)+('Weekly Summary'!BC$100*SelfQuarantine_Mild)+('Weekly Summary'!BC$101*SelfQuarantine_Moderate))),'Equipment List &amp; Usage'!$C$115)*((('Weekly Summary'!BC$131*SelfQuarantine_Mild*'Equipment List &amp; Usage'!$W31)+('Weekly Summary'!BC$100*SelfQuarantine_Mild*'Equipment List &amp; Usage'!$X31)+('Weekly Summary'!BC$101*SelfQuarantine_Moderate*'Equipment List &amp; Usage'!$X31))))+IF('Equipment List &amp; Usage'!$F31="Yes",'Equipment List &amp; Usage'!$C$114*(IF('Equipment List &amp; Usage'!$AA31&gt;0,'Weekly Summary'!BC$128,0)+IF('Equipment List &amp; Usage'!$AB31&gt;0,'Weekly Summary'!BC$100+'Weekly Summary'!BC$101,0)),'Equipment List &amp; Usage'!$C$115*(('Weekly Summary'!BC$128*'Equipment List &amp; Usage'!$AA31)+('Weekly Summary'!BC$100*'Equipment List &amp; Usage'!$AB31*SelfQuarantine_Mild)+('Weekly Summary'!BC$101*'Equipment List &amp; Usage'!$AB31*SelfQuarantine_Moderate)))+IF('Equipment List &amp; Usage'!$F31="Yes",('Equipment List &amp; Usage'!$C$114*(IF('Equipment List &amp; Usage'!$AE31&gt;0,'Weekly Summary'!BC$134,0)+IF('Equipment List &amp; Usage'!$AF31&gt;0,'Weekly Summary'!BC$135))),'Equipment List &amp; Usage'!$C$115*(('Weekly Summary'!BC$134*'Equipment List &amp; Usage'!$AE31)+('Weekly Summary'!BC$135*'Equipment List &amp; Usage'!$AF31)))),0)</f>
        <v>0</v>
      </c>
      <c r="BJ29" s="1377">
        <f ca="1">MAX(IF($F29="Yes",(
IF($F29="yes",MMULT(--('Equipment List &amp; Usage'!$J31:$N31&gt;0),--('Weekly Summary'!BD$112:BD$116))*'Equipment List &amp; Usage'!$C$114,MMULT(--('Equipment List &amp; Usage'!$J31:$N31),--('Weekly Summary'!BD$112:BD$116))*'Equipment List &amp; Usage'!$C$115)+IF('Equipment List &amp; Usage'!$F30="yes",'Equipment List &amp; Usage'!$C$114,'Equipment List &amp; Usage'!$C$115)*(('Weekly Summary'!BD$66*'Equipment List &amp; Usage'!$Q31)+('Weekly Summary'!BD$64*'Equipment List &amp; Usage'!$O31)+('Weekly Summary'!BD$65*'Equipment List &amp; Usage'!$P31)))+(IF('Equipment List &amp; Usage'!$F31="Yes",'Equipment List &amp; Usage'!$C$114*((('Weekly Summary'!BD$131*SelfQuarantine_Mild)+('Weekly Summary'!BD$100*SelfQuarantine_Mild)+('Weekly Summary'!BD$101*SelfQuarantine_Moderate))),'Equipment List &amp; Usage'!$C$115)*((('Weekly Summary'!BD$131*SelfQuarantine_Mild*'Equipment List &amp; Usage'!$W31)+('Weekly Summary'!BD$100*SelfQuarantine_Mild*'Equipment List &amp; Usage'!$X31)+('Weekly Summary'!BD$101*SelfQuarantine_Moderate*'Equipment List &amp; Usage'!$X31)))+IF('Equipment List &amp; Usage'!$F31="Yes",'Equipment List &amp; Usage'!$C$114*(IF('Equipment List &amp; Usage'!$AA31&gt;0,'Weekly Summary'!BD$128,0)+IF('Equipment List &amp; Usage'!$AB31&gt;0,'Weekly Summary'!BD$100+'Weekly Summary'!BD$101,0)),'Equipment List &amp; Usage'!$C$115*(('Weekly Summary'!BD$128*'Equipment List &amp; Usage'!$AA31)+('Weekly Summary'!BD$100*'Equipment List &amp; Usage'!$AB31*SelfQuarantine_Mild)+('Weekly Summary'!BD$101*'Equipment List &amp; Usage'!$AB31*SelfQuarantine_Moderate)))+IF('Equipment List &amp; Usage'!$F31="Yes",('Equipment List &amp; Usage'!$C$114*(IF('Equipment List &amp; Usage'!$AE31&gt;0,'Weekly Summary'!BD$134,0)+IF('Equipment List &amp; Usage'!$AF31&gt;0,'Weekly Summary'!BD$135))),'Equipment List &amp; Usage'!$C$115*(('Weekly Summary'!BD$134*'Equipment List &amp; Usage'!$AE31)+('Weekly Summary'!BD$135*'Equipment List &amp; Usage'!$AF31))))-SUM($I29:BI29),
IF($F29="yes",MMULT(--('Equipment List &amp; Usage'!$J31:$N31&gt;0),--('Weekly Summary'!BD$112:BD$116))*'Equipment List &amp; Usage'!$C$114,MMULT(--('Equipment List &amp; Usage'!$J31:$N31),--('Weekly Summary'!BD$112:BD$116))*'Equipment List &amp; Usage'!$C$115)+IF('Equipment List &amp; Usage'!$F30="yes",'Equipment List &amp; Usage'!$C$114,'Equipment List &amp; Usage'!$C$115)*(('Weekly Summary'!BD$66*'Equipment List &amp; Usage'!$Q31)+('Weekly Summary'!BD$64*'Equipment List &amp; Usage'!$O31)+('Weekly Summary'!BD$65*'Equipment List &amp; Usage'!$P31))+(IF('Equipment List &amp; Usage'!$F31="Yes",'Equipment List &amp; Usage'!$C$114*((('Weekly Summary'!BD$131*SelfQuarantine_Mild)+('Weekly Summary'!BD$100*SelfQuarantine_Mild)+('Weekly Summary'!BD$101*SelfQuarantine_Moderate))),'Equipment List &amp; Usage'!$C$115)*((('Weekly Summary'!BD$131*SelfQuarantine_Mild*'Equipment List &amp; Usage'!$W31)+('Weekly Summary'!BD$100*SelfQuarantine_Mild*'Equipment List &amp; Usage'!$X31)+('Weekly Summary'!BD$101*SelfQuarantine_Moderate*'Equipment List &amp; Usage'!$X31))))+IF('Equipment List &amp; Usage'!$F31="Yes",'Equipment List &amp; Usage'!$C$114*(IF('Equipment List &amp; Usage'!$AA31&gt;0,'Weekly Summary'!BD$128,0)+IF('Equipment List &amp; Usage'!$AB31&gt;0,'Weekly Summary'!BD$100+'Weekly Summary'!BD$101,0)),'Equipment List &amp; Usage'!$C$115*(('Weekly Summary'!BD$128*'Equipment List &amp; Usage'!$AA31)+('Weekly Summary'!BD$100*'Equipment List &amp; Usage'!$AB31*SelfQuarantine_Mild)+('Weekly Summary'!BD$101*'Equipment List &amp; Usage'!$AB31*SelfQuarantine_Moderate)))+IF('Equipment List &amp; Usage'!$F31="Yes",('Equipment List &amp; Usage'!$C$114*(IF('Equipment List &amp; Usage'!$AE31&gt;0,'Weekly Summary'!BD$134,0)+IF('Equipment List &amp; Usage'!$AF31&gt;0,'Weekly Summary'!BD$135))),'Equipment List &amp; Usage'!$C$115*(('Weekly Summary'!BD$134*'Equipment List &amp; Usage'!$AE31)+('Weekly Summary'!BD$135*'Equipment List &amp; Usage'!$AF31)))),0)</f>
        <v>0</v>
      </c>
    </row>
    <row r="30" spans="2:62" x14ac:dyDescent="0.35">
      <c r="B30" s="949" t="str">
        <f>'Equipment List &amp; Usage'!B32</f>
        <v>IPC</v>
      </c>
      <c r="C30" s="948" t="str">
        <f>'Equipment List &amp; Usage'!C32</f>
        <v>PPE</v>
      </c>
      <c r="D30" s="948" t="str">
        <f>'Equipment List &amp; Usage'!D32</f>
        <v>Mask, medical / surgical for healthworker</v>
      </c>
      <c r="E30" s="948" t="str">
        <f>'Equipment List &amp; Usage'!E32</f>
        <v>Each</v>
      </c>
      <c r="F30" s="948" t="str">
        <f>'Equipment List &amp; Usage'!F32</f>
        <v>No</v>
      </c>
      <c r="G30" s="948" t="str">
        <f>'Equipment List &amp; Usage'!G32</f>
        <v>N/A</v>
      </c>
      <c r="H30" s="1365">
        <f t="shared" ca="1" si="2"/>
        <v>101498.38030917989</v>
      </c>
      <c r="J30" s="1341"/>
      <c r="K30" s="1374">
        <f ca="1">IF('User Dashboard'!$H$13=1,0,IF($F30="Yes",(
IF($F30="yes",MMULT(--('Equipment List &amp; Usage'!$J32:$N32&gt;0),--('Weekly Summary'!E$112:E$116))*'Equipment List &amp; Usage'!$C$114,MMULT(--('Equipment List &amp; Usage'!$J32:$N32),--('Weekly Summary'!E$112:E$116))*'Equipment List &amp; Usage'!$C$115)+IF('Equipment List &amp; Usage'!$F31="yes",'Equipment List &amp; Usage'!$C$114,'Equipment List &amp; Usage'!$C$115)*(('Weekly Summary'!E$66*'Equipment List &amp; Usage'!$Q32)+('Weekly Summary'!E$64*'Equipment List &amp; Usage'!$O32)+('Weekly Summary'!E$65*'Equipment List &amp; Usage'!$P32)))+(IF('Equipment List &amp; Usage'!$F32="Yes",'Equipment List &amp; Usage'!$C$114*((('Weekly Summary'!E$131*SelfQuarantine_Mild)+('Weekly Summary'!E$100*SelfQuarantine_Mild)+('Weekly Summary'!E$101*SelfQuarantine_Moderate))),'Equipment List &amp; Usage'!$C$115)*((('Weekly Summary'!E$131*SelfQuarantine_Mild*'Equipment List &amp; Usage'!$W32)+('Weekly Summary'!E$100*SelfQuarantine_Mild*'Equipment List &amp; Usage'!$X32)+('Weekly Summary'!E$101*SelfQuarantine_Moderate*'Equipment List &amp; Usage'!$X32)))+IF('Equipment List &amp; Usage'!$F32="Yes",'Equipment List &amp; Usage'!$C$114*(IF('Equipment List &amp; Usage'!$AA32&gt;0,'Weekly Summary'!E$128,0)+IF('Equipment List &amp; Usage'!$AB32&gt;0,'Weekly Summary'!E$100+'Weekly Summary'!E$101,0)),'Equipment List &amp; Usage'!$C$115*(('Weekly Summary'!E$128*'Equipment List &amp; Usage'!$AA32)+('Weekly Summary'!E$100*'Equipment List &amp; Usage'!$AB32*SelfQuarantine_Mild)+('Weekly Summary'!E$101*'Equipment List &amp; Usage'!$AB32*SelfQuarantine_Moderate)))+IF('Equipment List &amp; Usage'!$F32="Yes",('Equipment List &amp; Usage'!$C$114*(IF('Equipment List &amp; Usage'!$AE32&gt;0,'Weekly Summary'!E$134,0)+IF('Equipment List &amp; Usage'!$AF32&gt;0,'Weekly Summary'!E$135))),'Equipment List &amp; Usage'!$C$115*(('Weekly Summary'!E$134*'Equipment List &amp; Usage'!$AE32)+('Weekly Summary'!E$135*'Equipment List &amp; Usage'!$AF32)))),
IF($F30="yes",MMULT(--('Equipment List &amp; Usage'!$J32:$N32&gt;0),--('Weekly Summary'!E$112:E$116))*'Equipment List &amp; Usage'!$C$114,MMULT(--('Equipment List &amp; Usage'!$J32:$N32),--('Weekly Summary'!E$112:E$116))*'Equipment List &amp; Usage'!$C$115)+IF('Equipment List &amp; Usage'!$F31="yes",'Equipment List &amp; Usage'!$C$114,'Equipment List &amp; Usage'!$C$115)*(('Weekly Summary'!E$66*'Equipment List &amp; Usage'!$Q32)+('Weekly Summary'!E$64*'Equipment List &amp; Usage'!$O32)+('Weekly Summary'!E$65*'Equipment List &amp; Usage'!$P32))+(IF('Equipment List &amp; Usage'!$F32="Yes",'Equipment List &amp; Usage'!$C$114*((('Weekly Summary'!E$131*SelfQuarantine_Mild)+('Weekly Summary'!E$100*SelfQuarantine_Mild)+('Weekly Summary'!E$101*SelfQuarantine_Moderate))),'Equipment List &amp; Usage'!$C$115)*((('Weekly Summary'!E$131*SelfQuarantine_Mild*'Equipment List &amp; Usage'!$W32)+('Weekly Summary'!E$100*SelfQuarantine_Mild*'Equipment List &amp; Usage'!$X32)+('Weekly Summary'!E$101*SelfQuarantine_Moderate*'Equipment List &amp; Usage'!$X32))))+IF('Equipment List &amp; Usage'!$F32="Yes",'Equipment List &amp; Usage'!$C$114*(IF('Equipment List &amp; Usage'!$AA32&gt;0,'Weekly Summary'!E$128,0)+IF('Equipment List &amp; Usage'!$AB32&gt;0,'Weekly Summary'!E$100+'Weekly Summary'!E$101,0)),'Equipment List &amp; Usage'!$C$115*(('Weekly Summary'!E$128*'Equipment List &amp; Usage'!$AA32)+('Weekly Summary'!E$100*'Equipment List &amp; Usage'!$AB32*SelfQuarantine_Mild)+('Weekly Summary'!E$101*'Equipment List &amp; Usage'!$AB32*SelfQuarantine_Moderate)))+IF('Equipment List &amp; Usage'!$F32="Yes",('Equipment List &amp; Usage'!$C$114*(IF('Equipment List &amp; Usage'!$AE32&gt;0,'Weekly Summary'!E$134,0)+IF('Equipment List &amp; Usage'!$AF32&gt;0,'Weekly Summary'!E$135))),'Equipment List &amp; Usage'!$C$115*(('Weekly Summary'!E$134*'Equipment List &amp; Usage'!$AE32)+('Weekly Summary'!E$135*'Equipment List &amp; Usage'!$AF32)))))</f>
        <v>8835.9111945906661</v>
      </c>
      <c r="L30" s="1374">
        <f ca="1">MAX(IF($F30="Yes",(
IF($F30="yes",MMULT(--('Equipment List &amp; Usage'!$J32:$N32&gt;0),--('Weekly Summary'!F$112:F$116))*'Equipment List &amp; Usage'!$C$114,MMULT(--('Equipment List &amp; Usage'!$J32:$N32),--('Weekly Summary'!F$112:F$116))*'Equipment List &amp; Usage'!$C$115)+IF('Equipment List &amp; Usage'!$F31="yes",'Equipment List &amp; Usage'!$C$114,'Equipment List &amp; Usage'!$C$115)*(('Weekly Summary'!F$66*'Equipment List &amp; Usage'!$Q32)+('Weekly Summary'!F$64*'Equipment List &amp; Usage'!$O32)+('Weekly Summary'!F$65*'Equipment List &amp; Usage'!$P32)))+(IF('Equipment List &amp; Usage'!$F32="Yes",'Equipment List &amp; Usage'!$C$114*((('Weekly Summary'!F$131*SelfQuarantine_Mild)+('Weekly Summary'!F$100*SelfQuarantine_Mild)+('Weekly Summary'!F$101*SelfQuarantine_Moderate))),'Equipment List &amp; Usage'!$C$115)*((('Weekly Summary'!F$131*SelfQuarantine_Mild*'Equipment List &amp; Usage'!$W32)+('Weekly Summary'!F$100*SelfQuarantine_Mild*'Equipment List &amp; Usage'!$X32)+('Weekly Summary'!F$101*SelfQuarantine_Moderate*'Equipment List &amp; Usage'!$X32)))+IF('Equipment List &amp; Usage'!$F32="Yes",'Equipment List &amp; Usage'!$C$114*(IF('Equipment List &amp; Usage'!$AA32&gt;0,'Weekly Summary'!F$128,0)+IF('Equipment List &amp; Usage'!$AB32&gt;0,'Weekly Summary'!F$100+'Weekly Summary'!F$101,0)),'Equipment List &amp; Usage'!$C$115*(('Weekly Summary'!F$128*'Equipment List &amp; Usage'!$AA32)+('Weekly Summary'!F$100*'Equipment List &amp; Usage'!$AB32*SelfQuarantine_Mild)+('Weekly Summary'!F$101*'Equipment List &amp; Usage'!$AB32*SelfQuarantine_Moderate)))+IF('Equipment List &amp; Usage'!$F32="Yes",('Equipment List &amp; Usage'!$C$114*(IF('Equipment List &amp; Usage'!$AE32&gt;0,'Weekly Summary'!F$134,0)+IF('Equipment List &amp; Usage'!$AF32&gt;0,'Weekly Summary'!F$135))),'Equipment List &amp; Usage'!$C$115*(('Weekly Summary'!F$134*'Equipment List &amp; Usage'!$AE32)+('Weekly Summary'!F$135*'Equipment List &amp; Usage'!$AF32))))-SUM($I30:K30),
IF($F30="yes",MMULT(--('Equipment List &amp; Usage'!$J32:$N32&gt;0),--('Weekly Summary'!F$112:F$116))*'Equipment List &amp; Usage'!$C$114,MMULT(--('Equipment List &amp; Usage'!$J32:$N32),--('Weekly Summary'!F$112:F$116))*'Equipment List &amp; Usage'!$C$115)+IF('Equipment List &amp; Usage'!$F31="yes",'Equipment List &amp; Usage'!$C$114,'Equipment List &amp; Usage'!$C$115)*(('Weekly Summary'!F$66*'Equipment List &amp; Usage'!$Q32)+('Weekly Summary'!F$64*'Equipment List &amp; Usage'!$O32)+('Weekly Summary'!F$65*'Equipment List &amp; Usage'!$P32))+(IF('Equipment List &amp; Usage'!$F32="Yes",'Equipment List &amp; Usage'!$C$114*((('Weekly Summary'!F$131*SelfQuarantine_Mild)+('Weekly Summary'!F$100*SelfQuarantine_Mild)+('Weekly Summary'!F$101*SelfQuarantine_Moderate))),'Equipment List &amp; Usage'!$C$115)*((('Weekly Summary'!F$131*SelfQuarantine_Mild*'Equipment List &amp; Usage'!$W32)+('Weekly Summary'!F$100*SelfQuarantine_Mild*'Equipment List &amp; Usage'!$X32)+('Weekly Summary'!F$101*SelfQuarantine_Moderate*'Equipment List &amp; Usage'!$X32))))+IF('Equipment List &amp; Usage'!$F32="Yes",'Equipment List &amp; Usage'!$C$114*(IF('Equipment List &amp; Usage'!$AA32&gt;0,'Weekly Summary'!F$128,0)+IF('Equipment List &amp; Usage'!$AB32&gt;0,'Weekly Summary'!F$100+'Weekly Summary'!F$101,0)),'Equipment List &amp; Usage'!$C$115*(('Weekly Summary'!F$128*'Equipment List &amp; Usage'!$AA32)+('Weekly Summary'!F$100*'Equipment List &amp; Usage'!$AB32*SelfQuarantine_Mild)+('Weekly Summary'!F$101*'Equipment List &amp; Usage'!$AB32*SelfQuarantine_Moderate)))+IF('Equipment List &amp; Usage'!$F32="Yes",('Equipment List &amp; Usage'!$C$114*(IF('Equipment List &amp; Usage'!$AE32&gt;0,'Weekly Summary'!F$134,0)+IF('Equipment List &amp; Usage'!$AF32&gt;0,'Weekly Summary'!F$135))),'Equipment List &amp; Usage'!$C$115*(('Weekly Summary'!F$134*'Equipment List &amp; Usage'!$AE32)+('Weekly Summary'!F$135*'Equipment List &amp; Usage'!$AF32)))),0)</f>
        <v>9008.8206553593773</v>
      </c>
      <c r="M30" s="1374">
        <f ca="1">MAX(IF($F30="Yes",(
IF($F30="yes",MMULT(--('Equipment List &amp; Usage'!$J32:$N32&gt;0),--('Weekly Summary'!G$112:G$116))*'Equipment List &amp; Usage'!$C$114,MMULT(--('Equipment List &amp; Usage'!$J32:$N32),--('Weekly Summary'!G$112:G$116))*'Equipment List &amp; Usage'!$C$115)+IF('Equipment List &amp; Usage'!$F31="yes",'Equipment List &amp; Usage'!$C$114,'Equipment List &amp; Usage'!$C$115)*(('Weekly Summary'!G$66*'Equipment List &amp; Usage'!$Q32)+('Weekly Summary'!G$64*'Equipment List &amp; Usage'!$O32)+('Weekly Summary'!G$65*'Equipment List &amp; Usage'!$P32)))+(IF('Equipment List &amp; Usage'!$F32="Yes",'Equipment List &amp; Usage'!$C$114*((('Weekly Summary'!G$131*SelfQuarantine_Mild)+('Weekly Summary'!G$100*SelfQuarantine_Mild)+('Weekly Summary'!G$101*SelfQuarantine_Moderate))),'Equipment List &amp; Usage'!$C$115)*((('Weekly Summary'!G$131*SelfQuarantine_Mild*'Equipment List &amp; Usage'!$W32)+('Weekly Summary'!G$100*SelfQuarantine_Mild*'Equipment List &amp; Usage'!$X32)+('Weekly Summary'!G$101*SelfQuarantine_Moderate*'Equipment List &amp; Usage'!$X32)))+IF('Equipment List &amp; Usage'!$F32="Yes",'Equipment List &amp; Usage'!$C$114*(IF('Equipment List &amp; Usage'!$AA32&gt;0,'Weekly Summary'!G$128,0)+IF('Equipment List &amp; Usage'!$AB32&gt;0,'Weekly Summary'!G$100+'Weekly Summary'!G$101,0)),'Equipment List &amp; Usage'!$C$115*(('Weekly Summary'!G$128*'Equipment List &amp; Usage'!$AA32)+('Weekly Summary'!G$100*'Equipment List &amp; Usage'!$AB32*SelfQuarantine_Mild)+('Weekly Summary'!G$101*'Equipment List &amp; Usage'!$AB32*SelfQuarantine_Moderate)))+IF('Equipment List &amp; Usage'!$F32="Yes",('Equipment List &amp; Usage'!$C$114*(IF('Equipment List &amp; Usage'!$AE32&gt;0,'Weekly Summary'!G$134,0)+IF('Equipment List &amp; Usage'!$AF32&gt;0,'Weekly Summary'!G$135))),'Equipment List &amp; Usage'!$C$115*(('Weekly Summary'!G$134*'Equipment List &amp; Usage'!$AE32)+('Weekly Summary'!G$135*'Equipment List &amp; Usage'!$AF32))))-SUM($I30:L30),
IF($F30="yes",MMULT(--('Equipment List &amp; Usage'!$J32:$N32&gt;0),--('Weekly Summary'!G$112:G$116))*'Equipment List &amp; Usage'!$C$114,MMULT(--('Equipment List &amp; Usage'!$J32:$N32),--('Weekly Summary'!G$112:G$116))*'Equipment List &amp; Usage'!$C$115)+IF('Equipment List &amp; Usage'!$F31="yes",'Equipment List &amp; Usage'!$C$114,'Equipment List &amp; Usage'!$C$115)*(('Weekly Summary'!G$66*'Equipment List &amp; Usage'!$Q32)+('Weekly Summary'!G$64*'Equipment List &amp; Usage'!$O32)+('Weekly Summary'!G$65*'Equipment List &amp; Usage'!$P32))+(IF('Equipment List &amp; Usage'!$F32="Yes",'Equipment List &amp; Usage'!$C$114*((('Weekly Summary'!G$131*SelfQuarantine_Mild)+('Weekly Summary'!G$100*SelfQuarantine_Mild)+('Weekly Summary'!G$101*SelfQuarantine_Moderate))),'Equipment List &amp; Usage'!$C$115)*((('Weekly Summary'!G$131*SelfQuarantine_Mild*'Equipment List &amp; Usage'!$W32)+('Weekly Summary'!G$100*SelfQuarantine_Mild*'Equipment List &amp; Usage'!$X32)+('Weekly Summary'!G$101*SelfQuarantine_Moderate*'Equipment List &amp; Usage'!$X32))))+IF('Equipment List &amp; Usage'!$F32="Yes",'Equipment List &amp; Usage'!$C$114*(IF('Equipment List &amp; Usage'!$AA32&gt;0,'Weekly Summary'!G$128,0)+IF('Equipment List &amp; Usage'!$AB32&gt;0,'Weekly Summary'!G$100+'Weekly Summary'!G$101,0)),'Equipment List &amp; Usage'!$C$115*(('Weekly Summary'!G$128*'Equipment List &amp; Usage'!$AA32)+('Weekly Summary'!G$100*'Equipment List &amp; Usage'!$AB32*SelfQuarantine_Mild)+('Weekly Summary'!G$101*'Equipment List &amp; Usage'!$AB32*SelfQuarantine_Moderate)))+IF('Equipment List &amp; Usage'!$F32="Yes",('Equipment List &amp; Usage'!$C$114*(IF('Equipment List &amp; Usage'!$AE32&gt;0,'Weekly Summary'!G$134,0)+IF('Equipment List &amp; Usage'!$AF32&gt;0,'Weekly Summary'!G$135))),'Equipment List &amp; Usage'!$C$115*(('Weekly Summary'!G$134*'Equipment List &amp; Usage'!$AE32)+('Weekly Summary'!G$135*'Equipment List &amp; Usage'!$AF32)))),0)</f>
        <v>9605.3205354045876</v>
      </c>
      <c r="N30" s="1374">
        <f ca="1">MAX(IF($F30="Yes",(
IF($F30="yes",MMULT(--('Equipment List &amp; Usage'!$J32:$N32&gt;0),--('Weekly Summary'!H$112:H$116))*'Equipment List &amp; Usage'!$C$114,MMULT(--('Equipment List &amp; Usage'!$J32:$N32),--('Weekly Summary'!H$112:H$116))*'Equipment List &amp; Usage'!$C$115)+IF('Equipment List &amp; Usage'!$F31="yes",'Equipment List &amp; Usage'!$C$114,'Equipment List &amp; Usage'!$C$115)*(('Weekly Summary'!H$66*'Equipment List &amp; Usage'!$Q32)+('Weekly Summary'!H$64*'Equipment List &amp; Usage'!$O32)+('Weekly Summary'!H$65*'Equipment List &amp; Usage'!$P32)))+(IF('Equipment List &amp; Usage'!$F32="Yes",'Equipment List &amp; Usage'!$C$114*((('Weekly Summary'!H$131*SelfQuarantine_Mild)+('Weekly Summary'!H$100*SelfQuarantine_Mild)+('Weekly Summary'!H$101*SelfQuarantine_Moderate))),'Equipment List &amp; Usage'!$C$115)*((('Weekly Summary'!H$131*SelfQuarantine_Mild*'Equipment List &amp; Usage'!$W32)+('Weekly Summary'!H$100*SelfQuarantine_Mild*'Equipment List &amp; Usage'!$X32)+('Weekly Summary'!H$101*SelfQuarantine_Moderate*'Equipment List &amp; Usage'!$X32)))+IF('Equipment List &amp; Usage'!$F32="Yes",'Equipment List &amp; Usage'!$C$114*(IF('Equipment List &amp; Usage'!$AA32&gt;0,'Weekly Summary'!H$128,0)+IF('Equipment List &amp; Usage'!$AB32&gt;0,'Weekly Summary'!H$100+'Weekly Summary'!H$101,0)),'Equipment List &amp; Usage'!$C$115*(('Weekly Summary'!H$128*'Equipment List &amp; Usage'!$AA32)+('Weekly Summary'!H$100*'Equipment List &amp; Usage'!$AB32*SelfQuarantine_Mild)+('Weekly Summary'!H$101*'Equipment List &amp; Usage'!$AB32*SelfQuarantine_Moderate)))+IF('Equipment List &amp; Usage'!$F32="Yes",('Equipment List &amp; Usage'!$C$114*(IF('Equipment List &amp; Usage'!$AE32&gt;0,'Weekly Summary'!H$134,0)+IF('Equipment List &amp; Usage'!$AF32&gt;0,'Weekly Summary'!H$135))),'Equipment List &amp; Usage'!$C$115*(('Weekly Summary'!H$134*'Equipment List &amp; Usage'!$AE32)+('Weekly Summary'!H$135*'Equipment List &amp; Usage'!$AF32))))-SUM($I30:M30),
IF($F30="yes",MMULT(--('Equipment List &amp; Usage'!$J32:$N32&gt;0),--('Weekly Summary'!H$112:H$116))*'Equipment List &amp; Usage'!$C$114,MMULT(--('Equipment List &amp; Usage'!$J32:$N32),--('Weekly Summary'!H$112:H$116))*'Equipment List &amp; Usage'!$C$115)+IF('Equipment List &amp; Usage'!$F31="yes",'Equipment List &amp; Usage'!$C$114,'Equipment List &amp; Usage'!$C$115)*(('Weekly Summary'!H$66*'Equipment List &amp; Usage'!$Q32)+('Weekly Summary'!H$64*'Equipment List &amp; Usage'!$O32)+('Weekly Summary'!H$65*'Equipment List &amp; Usage'!$P32))+(IF('Equipment List &amp; Usage'!$F32="Yes",'Equipment List &amp; Usage'!$C$114*((('Weekly Summary'!H$131*SelfQuarantine_Mild)+('Weekly Summary'!H$100*SelfQuarantine_Mild)+('Weekly Summary'!H$101*SelfQuarantine_Moderate))),'Equipment List &amp; Usage'!$C$115)*((('Weekly Summary'!H$131*SelfQuarantine_Mild*'Equipment List &amp; Usage'!$W32)+('Weekly Summary'!H$100*SelfQuarantine_Mild*'Equipment List &amp; Usage'!$X32)+('Weekly Summary'!H$101*SelfQuarantine_Moderate*'Equipment List &amp; Usage'!$X32))))+IF('Equipment List &amp; Usage'!$F32="Yes",'Equipment List &amp; Usage'!$C$114*(IF('Equipment List &amp; Usage'!$AA32&gt;0,'Weekly Summary'!H$128,0)+IF('Equipment List &amp; Usage'!$AB32&gt;0,'Weekly Summary'!H$100+'Weekly Summary'!H$101,0)),'Equipment List &amp; Usage'!$C$115*(('Weekly Summary'!H$128*'Equipment List &amp; Usage'!$AA32)+('Weekly Summary'!H$100*'Equipment List &amp; Usage'!$AB32*SelfQuarantine_Mild)+('Weekly Summary'!H$101*'Equipment List &amp; Usage'!$AB32*SelfQuarantine_Moderate)))+IF('Equipment List &amp; Usage'!$F32="Yes",('Equipment List &amp; Usage'!$C$114*(IF('Equipment List &amp; Usage'!$AE32&gt;0,'Weekly Summary'!H$134,0)+IF('Equipment List &amp; Usage'!$AF32&gt;0,'Weekly Summary'!H$135))),'Equipment List &amp; Usage'!$C$115*(('Weekly Summary'!H$134*'Equipment List &amp; Usage'!$AE32)+('Weekly Summary'!H$135*'Equipment List &amp; Usage'!$AF32)))),0)</f>
        <v>11683.086713647923</v>
      </c>
      <c r="O30" s="1374">
        <f ca="1">MAX(IF($F30="Yes",(
IF($F30="yes",MMULT(--('Equipment List &amp; Usage'!$J32:$N32&gt;0),--('Weekly Summary'!I$112:I$116))*'Equipment List &amp; Usage'!$C$114,MMULT(--('Equipment List &amp; Usage'!$J32:$N32),--('Weekly Summary'!I$112:I$116))*'Equipment List &amp; Usage'!$C$115)+IF('Equipment List &amp; Usage'!$F31="yes",'Equipment List &amp; Usage'!$C$114,'Equipment List &amp; Usage'!$C$115)*(('Weekly Summary'!I$66*'Equipment List &amp; Usage'!$Q32)+('Weekly Summary'!I$64*'Equipment List &amp; Usage'!$O32)+('Weekly Summary'!I$65*'Equipment List &amp; Usage'!$P32)))+(IF('Equipment List &amp; Usage'!$F32="Yes",'Equipment List &amp; Usage'!$C$114*((('Weekly Summary'!I$131*SelfQuarantine_Mild)+('Weekly Summary'!I$100*SelfQuarantine_Mild)+('Weekly Summary'!I$101*SelfQuarantine_Moderate))),'Equipment List &amp; Usage'!$C$115)*((('Weekly Summary'!I$131*SelfQuarantine_Mild*'Equipment List &amp; Usage'!$W32)+('Weekly Summary'!I$100*SelfQuarantine_Mild*'Equipment List &amp; Usage'!$X32)+('Weekly Summary'!I$101*SelfQuarantine_Moderate*'Equipment List &amp; Usage'!$X32)))+IF('Equipment List &amp; Usage'!$F32="Yes",'Equipment List &amp; Usage'!$C$114*(IF('Equipment List &amp; Usage'!$AA32&gt;0,'Weekly Summary'!I$128,0)+IF('Equipment List &amp; Usage'!$AB32&gt;0,'Weekly Summary'!I$100+'Weekly Summary'!I$101,0)),'Equipment List &amp; Usage'!$C$115*(('Weekly Summary'!I$128*'Equipment List &amp; Usage'!$AA32)+('Weekly Summary'!I$100*'Equipment List &amp; Usage'!$AB32*SelfQuarantine_Mild)+('Weekly Summary'!I$101*'Equipment List &amp; Usage'!$AB32*SelfQuarantine_Moderate)))+IF('Equipment List &amp; Usage'!$F32="Yes",('Equipment List &amp; Usage'!$C$114*(IF('Equipment List &amp; Usage'!$AE32&gt;0,'Weekly Summary'!I$134,0)+IF('Equipment List &amp; Usage'!$AF32&gt;0,'Weekly Summary'!I$135))),'Equipment List &amp; Usage'!$C$115*(('Weekly Summary'!I$134*'Equipment List &amp; Usage'!$AE32)+('Weekly Summary'!I$135*'Equipment List &amp; Usage'!$AF32))))-SUM($I30:N30),
IF($F30="yes",MMULT(--('Equipment List &amp; Usage'!$J32:$N32&gt;0),--('Weekly Summary'!I$112:I$116))*'Equipment List &amp; Usage'!$C$114,MMULT(--('Equipment List &amp; Usage'!$J32:$N32),--('Weekly Summary'!I$112:I$116))*'Equipment List &amp; Usage'!$C$115)+IF('Equipment List &amp; Usage'!$F31="yes",'Equipment List &amp; Usage'!$C$114,'Equipment List &amp; Usage'!$C$115)*(('Weekly Summary'!I$66*'Equipment List &amp; Usage'!$Q32)+('Weekly Summary'!I$64*'Equipment List &amp; Usage'!$O32)+('Weekly Summary'!I$65*'Equipment List &amp; Usage'!$P32))+(IF('Equipment List &amp; Usage'!$F32="Yes",'Equipment List &amp; Usage'!$C$114*((('Weekly Summary'!I$131*SelfQuarantine_Mild)+('Weekly Summary'!I$100*SelfQuarantine_Mild)+('Weekly Summary'!I$101*SelfQuarantine_Moderate))),'Equipment List &amp; Usage'!$C$115)*((('Weekly Summary'!I$131*SelfQuarantine_Mild*'Equipment List &amp; Usage'!$W32)+('Weekly Summary'!I$100*SelfQuarantine_Mild*'Equipment List &amp; Usage'!$X32)+('Weekly Summary'!I$101*SelfQuarantine_Moderate*'Equipment List &amp; Usage'!$X32))))+IF('Equipment List &amp; Usage'!$F32="Yes",'Equipment List &amp; Usage'!$C$114*(IF('Equipment List &amp; Usage'!$AA32&gt;0,'Weekly Summary'!I$128,0)+IF('Equipment List &amp; Usage'!$AB32&gt;0,'Weekly Summary'!I$100+'Weekly Summary'!I$101,0)),'Equipment List &amp; Usage'!$C$115*(('Weekly Summary'!I$128*'Equipment List &amp; Usage'!$AA32)+('Weekly Summary'!I$100*'Equipment List &amp; Usage'!$AB32*SelfQuarantine_Mild)+('Weekly Summary'!I$101*'Equipment List &amp; Usage'!$AB32*SelfQuarantine_Moderate)))+IF('Equipment List &amp; Usage'!$F32="Yes",('Equipment List &amp; Usage'!$C$114*(IF('Equipment List &amp; Usage'!$AE32&gt;0,'Weekly Summary'!I$134,0)+IF('Equipment List &amp; Usage'!$AF32&gt;0,'Weekly Summary'!I$135))),'Equipment List &amp; Usage'!$C$115*(('Weekly Summary'!I$134*'Equipment List &amp; Usage'!$AE32)+('Weekly Summary'!I$135*'Equipment List &amp; Usage'!$AF32)))),0)</f>
        <v>18865.751886174905</v>
      </c>
      <c r="P30" s="1374">
        <f ca="1">MAX(IF($F30="Yes",(
IF($F30="yes",MMULT(--('Equipment List &amp; Usage'!$J32:$N32&gt;0),--('Weekly Summary'!J$112:J$116))*'Equipment List &amp; Usage'!$C$114,MMULT(--('Equipment List &amp; Usage'!$J32:$N32),--('Weekly Summary'!J$112:J$116))*'Equipment List &amp; Usage'!$C$115)+IF('Equipment List &amp; Usage'!$F31="yes",'Equipment List &amp; Usage'!$C$114,'Equipment List &amp; Usage'!$C$115)*(('Weekly Summary'!J$66*'Equipment List &amp; Usage'!$Q32)+('Weekly Summary'!J$64*'Equipment List &amp; Usage'!$O32)+('Weekly Summary'!J$65*'Equipment List &amp; Usage'!$P32)))+(IF('Equipment List &amp; Usage'!$F32="Yes",'Equipment List &amp; Usage'!$C$114*((('Weekly Summary'!J$131*SelfQuarantine_Mild)+('Weekly Summary'!J$100*SelfQuarantine_Mild)+('Weekly Summary'!J$101*SelfQuarantine_Moderate))),'Equipment List &amp; Usage'!$C$115)*((('Weekly Summary'!J$131*SelfQuarantine_Mild*'Equipment List &amp; Usage'!$W32)+('Weekly Summary'!J$100*SelfQuarantine_Mild*'Equipment List &amp; Usage'!$X32)+('Weekly Summary'!J$101*SelfQuarantine_Moderate*'Equipment List &amp; Usage'!$X32)))+IF('Equipment List &amp; Usage'!$F32="Yes",'Equipment List &amp; Usage'!$C$114*(IF('Equipment List &amp; Usage'!$AA32&gt;0,'Weekly Summary'!J$128,0)+IF('Equipment List &amp; Usage'!$AB32&gt;0,'Weekly Summary'!J$100+'Weekly Summary'!J$101,0)),'Equipment List &amp; Usage'!$C$115*(('Weekly Summary'!J$128*'Equipment List &amp; Usage'!$AA32)+('Weekly Summary'!J$100*'Equipment List &amp; Usage'!$AB32*SelfQuarantine_Mild)+('Weekly Summary'!J$101*'Equipment List &amp; Usage'!$AB32*SelfQuarantine_Moderate)))+IF('Equipment List &amp; Usage'!$F32="Yes",('Equipment List &amp; Usage'!$C$114*(IF('Equipment List &amp; Usage'!$AE32&gt;0,'Weekly Summary'!J$134,0)+IF('Equipment List &amp; Usage'!$AF32&gt;0,'Weekly Summary'!J$135))),'Equipment List &amp; Usage'!$C$115*(('Weekly Summary'!J$134*'Equipment List &amp; Usage'!$AE32)+('Weekly Summary'!J$135*'Equipment List &amp; Usage'!$AF32))))-SUM($I30:O30),
IF($F30="yes",MMULT(--('Equipment List &amp; Usage'!$J32:$N32&gt;0),--('Weekly Summary'!J$112:J$116))*'Equipment List &amp; Usage'!$C$114,MMULT(--('Equipment List &amp; Usage'!$J32:$N32),--('Weekly Summary'!J$112:J$116))*'Equipment List &amp; Usage'!$C$115)+IF('Equipment List &amp; Usage'!$F31="yes",'Equipment List &amp; Usage'!$C$114,'Equipment List &amp; Usage'!$C$115)*(('Weekly Summary'!J$66*'Equipment List &amp; Usage'!$Q32)+('Weekly Summary'!J$64*'Equipment List &amp; Usage'!$O32)+('Weekly Summary'!J$65*'Equipment List &amp; Usage'!$P32))+(IF('Equipment List &amp; Usage'!$F32="Yes",'Equipment List &amp; Usage'!$C$114*((('Weekly Summary'!J$131*SelfQuarantine_Mild)+('Weekly Summary'!J$100*SelfQuarantine_Mild)+('Weekly Summary'!J$101*SelfQuarantine_Moderate))),'Equipment List &amp; Usage'!$C$115)*((('Weekly Summary'!J$131*SelfQuarantine_Mild*'Equipment List &amp; Usage'!$W32)+('Weekly Summary'!J$100*SelfQuarantine_Mild*'Equipment List &amp; Usage'!$X32)+('Weekly Summary'!J$101*SelfQuarantine_Moderate*'Equipment List &amp; Usage'!$X32))))+IF('Equipment List &amp; Usage'!$F32="Yes",'Equipment List &amp; Usage'!$C$114*(IF('Equipment List &amp; Usage'!$AA32&gt;0,'Weekly Summary'!J$128,0)+IF('Equipment List &amp; Usage'!$AB32&gt;0,'Weekly Summary'!J$100+'Weekly Summary'!J$101,0)),'Equipment List &amp; Usage'!$C$115*(('Weekly Summary'!J$128*'Equipment List &amp; Usage'!$AA32)+('Weekly Summary'!J$100*'Equipment List &amp; Usage'!$AB32*SelfQuarantine_Mild)+('Weekly Summary'!J$101*'Equipment List &amp; Usage'!$AB32*SelfQuarantine_Moderate)))+IF('Equipment List &amp; Usage'!$F32="Yes",('Equipment List &amp; Usage'!$C$114*(IF('Equipment List &amp; Usage'!$AE32&gt;0,'Weekly Summary'!J$134,0)+IF('Equipment List &amp; Usage'!$AF32&gt;0,'Weekly Summary'!J$135))),'Equipment List &amp; Usage'!$C$115*(('Weekly Summary'!J$134*'Equipment List &amp; Usage'!$AE32)+('Weekly Summary'!J$135*'Equipment List &amp; Usage'!$AF32)))),0)</f>
        <v>43499.489324002432</v>
      </c>
      <c r="Q30" s="1374">
        <f ca="1">MAX(IF($F30="Yes",(
IF($F30="yes",MMULT(--('Equipment List &amp; Usage'!$J32:$N32&gt;0),--('Weekly Summary'!K$112:K$116))*'Equipment List &amp; Usage'!$C$114,MMULT(--('Equipment List &amp; Usage'!$J32:$N32),--('Weekly Summary'!K$112:K$116))*'Equipment List &amp; Usage'!$C$115)+IF('Equipment List &amp; Usage'!$F31="yes",'Equipment List &amp; Usage'!$C$114,'Equipment List &amp; Usage'!$C$115)*(('Weekly Summary'!K$66*'Equipment List &amp; Usage'!$Q32)+('Weekly Summary'!K$64*'Equipment List &amp; Usage'!$O32)+('Weekly Summary'!K$65*'Equipment List &amp; Usage'!$P32)))+(IF('Equipment List &amp; Usage'!$F32="Yes",'Equipment List &amp; Usage'!$C$114*((('Weekly Summary'!K$131*SelfQuarantine_Mild)+('Weekly Summary'!K$100*SelfQuarantine_Mild)+('Weekly Summary'!K$101*SelfQuarantine_Moderate))),'Equipment List &amp; Usage'!$C$115)*((('Weekly Summary'!K$131*SelfQuarantine_Mild*'Equipment List &amp; Usage'!$W32)+('Weekly Summary'!K$100*SelfQuarantine_Mild*'Equipment List &amp; Usage'!$X32)+('Weekly Summary'!K$101*SelfQuarantine_Moderate*'Equipment List &amp; Usage'!$X32)))+IF('Equipment List &amp; Usage'!$F32="Yes",'Equipment List &amp; Usage'!$C$114*(IF('Equipment List &amp; Usage'!$AA32&gt;0,'Weekly Summary'!K$128,0)+IF('Equipment List &amp; Usage'!$AB32&gt;0,'Weekly Summary'!K$100+'Weekly Summary'!K$101,0)),'Equipment List &amp; Usage'!$C$115*(('Weekly Summary'!K$128*'Equipment List &amp; Usage'!$AA32)+('Weekly Summary'!K$100*'Equipment List &amp; Usage'!$AB32*SelfQuarantine_Mild)+('Weekly Summary'!K$101*'Equipment List &amp; Usage'!$AB32*SelfQuarantine_Moderate)))+IF('Equipment List &amp; Usage'!$F32="Yes",('Equipment List &amp; Usage'!$C$114*(IF('Equipment List &amp; Usage'!$AE32&gt;0,'Weekly Summary'!K$134,0)+IF('Equipment List &amp; Usage'!$AF32&gt;0,'Weekly Summary'!K$135))),'Equipment List &amp; Usage'!$C$115*(('Weekly Summary'!K$134*'Equipment List &amp; Usage'!$AE32)+('Weekly Summary'!K$135*'Equipment List &amp; Usage'!$AF32))))-SUM($I30:P30),
IF($F30="yes",MMULT(--('Equipment List &amp; Usage'!$J32:$N32&gt;0),--('Weekly Summary'!K$112:K$116))*'Equipment List &amp; Usage'!$C$114,MMULT(--('Equipment List &amp; Usage'!$J32:$N32),--('Weekly Summary'!K$112:K$116))*'Equipment List &amp; Usage'!$C$115)+IF('Equipment List &amp; Usage'!$F31="yes",'Equipment List &amp; Usage'!$C$114,'Equipment List &amp; Usage'!$C$115)*(('Weekly Summary'!K$66*'Equipment List &amp; Usage'!$Q32)+('Weekly Summary'!K$64*'Equipment List &amp; Usage'!$O32)+('Weekly Summary'!K$65*'Equipment List &amp; Usage'!$P32))+(IF('Equipment List &amp; Usage'!$F32="Yes",'Equipment List &amp; Usage'!$C$114*((('Weekly Summary'!K$131*SelfQuarantine_Mild)+('Weekly Summary'!K$100*SelfQuarantine_Mild)+('Weekly Summary'!K$101*SelfQuarantine_Moderate))),'Equipment List &amp; Usage'!$C$115)*((('Weekly Summary'!K$131*SelfQuarantine_Mild*'Equipment List &amp; Usage'!$W32)+('Weekly Summary'!K$100*SelfQuarantine_Mild*'Equipment List &amp; Usage'!$X32)+('Weekly Summary'!K$101*SelfQuarantine_Moderate*'Equipment List &amp; Usage'!$X32))))+IF('Equipment List &amp; Usage'!$F32="Yes",'Equipment List &amp; Usage'!$C$114*(IF('Equipment List &amp; Usage'!$AA32&gt;0,'Weekly Summary'!K$128,0)+IF('Equipment List &amp; Usage'!$AB32&gt;0,'Weekly Summary'!K$100+'Weekly Summary'!K$101,0)),'Equipment List &amp; Usage'!$C$115*(('Weekly Summary'!K$128*'Equipment List &amp; Usage'!$AA32)+('Weekly Summary'!K$100*'Equipment List &amp; Usage'!$AB32*SelfQuarantine_Mild)+('Weekly Summary'!K$101*'Equipment List &amp; Usage'!$AB32*SelfQuarantine_Moderate)))+IF('Equipment List &amp; Usage'!$F32="Yes",('Equipment List &amp; Usage'!$C$114*(IF('Equipment List &amp; Usage'!$AE32&gt;0,'Weekly Summary'!K$134,0)+IF('Equipment List &amp; Usage'!$AF32&gt;0,'Weekly Summary'!K$135))),'Equipment List &amp; Usage'!$C$115*(('Weekly Summary'!K$134*'Equipment List &amp; Usage'!$AE32)+('Weekly Summary'!K$135*'Equipment List &amp; Usage'!$AF32)))),0)</f>
        <v>0</v>
      </c>
      <c r="R30" s="1374">
        <f ca="1">MAX(IF($F30="Yes",(
IF($F30="yes",MMULT(--('Equipment List &amp; Usage'!$J32:$N32&gt;0),--('Weekly Summary'!L$112:L$116))*'Equipment List &amp; Usage'!$C$114,MMULT(--('Equipment List &amp; Usage'!$J32:$N32),--('Weekly Summary'!L$112:L$116))*'Equipment List &amp; Usage'!$C$115)+IF('Equipment List &amp; Usage'!$F31="yes",'Equipment List &amp; Usage'!$C$114,'Equipment List &amp; Usage'!$C$115)*(('Weekly Summary'!L$66*'Equipment List &amp; Usage'!$Q32)+('Weekly Summary'!L$64*'Equipment List &amp; Usage'!$O32)+('Weekly Summary'!L$65*'Equipment List &amp; Usage'!$P32)))+(IF('Equipment List &amp; Usage'!$F32="Yes",'Equipment List &amp; Usage'!$C$114*((('Weekly Summary'!L$131*SelfQuarantine_Mild)+('Weekly Summary'!L$100*SelfQuarantine_Mild)+('Weekly Summary'!L$101*SelfQuarantine_Moderate))),'Equipment List &amp; Usage'!$C$115)*((('Weekly Summary'!L$131*SelfQuarantine_Mild*'Equipment List &amp; Usage'!$W32)+('Weekly Summary'!L$100*SelfQuarantine_Mild*'Equipment List &amp; Usage'!$X32)+('Weekly Summary'!L$101*SelfQuarantine_Moderate*'Equipment List &amp; Usage'!$X32)))+IF('Equipment List &amp; Usage'!$F32="Yes",'Equipment List &amp; Usage'!$C$114*(IF('Equipment List &amp; Usage'!$AA32&gt;0,'Weekly Summary'!L$128,0)+IF('Equipment List &amp; Usage'!$AB32&gt;0,'Weekly Summary'!L$100+'Weekly Summary'!L$101,0)),'Equipment List &amp; Usage'!$C$115*(('Weekly Summary'!L$128*'Equipment List &amp; Usage'!$AA32)+('Weekly Summary'!L$100*'Equipment List &amp; Usage'!$AB32*SelfQuarantine_Mild)+('Weekly Summary'!L$101*'Equipment List &amp; Usage'!$AB32*SelfQuarantine_Moderate)))+IF('Equipment List &amp; Usage'!$F32="Yes",('Equipment List &amp; Usage'!$C$114*(IF('Equipment List &amp; Usage'!$AE32&gt;0,'Weekly Summary'!L$134,0)+IF('Equipment List &amp; Usage'!$AF32&gt;0,'Weekly Summary'!L$135))),'Equipment List &amp; Usage'!$C$115*(('Weekly Summary'!L$134*'Equipment List &amp; Usage'!$AE32)+('Weekly Summary'!L$135*'Equipment List &amp; Usage'!$AF32))))-SUM($I30:Q30),
IF($F30="yes",MMULT(--('Equipment List &amp; Usage'!$J32:$N32&gt;0),--('Weekly Summary'!L$112:L$116))*'Equipment List &amp; Usage'!$C$114,MMULT(--('Equipment List &amp; Usage'!$J32:$N32),--('Weekly Summary'!L$112:L$116))*'Equipment List &amp; Usage'!$C$115)+IF('Equipment List &amp; Usage'!$F31="yes",'Equipment List &amp; Usage'!$C$114,'Equipment List &amp; Usage'!$C$115)*(('Weekly Summary'!L$66*'Equipment List &amp; Usage'!$Q32)+('Weekly Summary'!L$64*'Equipment List &amp; Usage'!$O32)+('Weekly Summary'!L$65*'Equipment List &amp; Usage'!$P32))+(IF('Equipment List &amp; Usage'!$F32="Yes",'Equipment List &amp; Usage'!$C$114*((('Weekly Summary'!L$131*SelfQuarantine_Mild)+('Weekly Summary'!L$100*SelfQuarantine_Mild)+('Weekly Summary'!L$101*SelfQuarantine_Moderate))),'Equipment List &amp; Usage'!$C$115)*((('Weekly Summary'!L$131*SelfQuarantine_Mild*'Equipment List &amp; Usage'!$W32)+('Weekly Summary'!L$100*SelfQuarantine_Mild*'Equipment List &amp; Usage'!$X32)+('Weekly Summary'!L$101*SelfQuarantine_Moderate*'Equipment List &amp; Usage'!$X32))))+IF('Equipment List &amp; Usage'!$F32="Yes",'Equipment List &amp; Usage'!$C$114*(IF('Equipment List &amp; Usage'!$AA32&gt;0,'Weekly Summary'!L$128,0)+IF('Equipment List &amp; Usage'!$AB32&gt;0,'Weekly Summary'!L$100+'Weekly Summary'!L$101,0)),'Equipment List &amp; Usage'!$C$115*(('Weekly Summary'!L$128*'Equipment List &amp; Usage'!$AA32)+('Weekly Summary'!L$100*'Equipment List &amp; Usage'!$AB32*SelfQuarantine_Mild)+('Weekly Summary'!L$101*'Equipment List &amp; Usage'!$AB32*SelfQuarantine_Moderate)))+IF('Equipment List &amp; Usage'!$F32="Yes",('Equipment List &amp; Usage'!$C$114*(IF('Equipment List &amp; Usage'!$AE32&gt;0,'Weekly Summary'!L$134,0)+IF('Equipment List &amp; Usage'!$AF32&gt;0,'Weekly Summary'!L$135))),'Equipment List &amp; Usage'!$C$115*(('Weekly Summary'!L$134*'Equipment List &amp; Usage'!$AE32)+('Weekly Summary'!L$135*'Equipment List &amp; Usage'!$AF32)))),0)</f>
        <v>0</v>
      </c>
      <c r="S30" s="1374">
        <f ca="1">MAX(IF($F30="Yes",(
IF($F30="yes",MMULT(--('Equipment List &amp; Usage'!$J32:$N32&gt;0),--('Weekly Summary'!M$112:M$116))*'Equipment List &amp; Usage'!$C$114,MMULT(--('Equipment List &amp; Usage'!$J32:$N32),--('Weekly Summary'!M$112:M$116))*'Equipment List &amp; Usage'!$C$115)+IF('Equipment List &amp; Usage'!$F31="yes",'Equipment List &amp; Usage'!$C$114,'Equipment List &amp; Usage'!$C$115)*(('Weekly Summary'!M$66*'Equipment List &amp; Usage'!$Q32)+('Weekly Summary'!M$64*'Equipment List &amp; Usage'!$O32)+('Weekly Summary'!M$65*'Equipment List &amp; Usage'!$P32)))+(IF('Equipment List &amp; Usage'!$F32="Yes",'Equipment List &amp; Usage'!$C$114*((('Weekly Summary'!M$131*SelfQuarantine_Mild)+('Weekly Summary'!M$100*SelfQuarantine_Mild)+('Weekly Summary'!M$101*SelfQuarantine_Moderate))),'Equipment List &amp; Usage'!$C$115)*((('Weekly Summary'!M$131*SelfQuarantine_Mild*'Equipment List &amp; Usage'!$W32)+('Weekly Summary'!M$100*SelfQuarantine_Mild*'Equipment List &amp; Usage'!$X32)+('Weekly Summary'!M$101*SelfQuarantine_Moderate*'Equipment List &amp; Usage'!$X32)))+IF('Equipment List &amp; Usage'!$F32="Yes",'Equipment List &amp; Usage'!$C$114*(IF('Equipment List &amp; Usage'!$AA32&gt;0,'Weekly Summary'!M$128,0)+IF('Equipment List &amp; Usage'!$AB32&gt;0,'Weekly Summary'!M$100+'Weekly Summary'!M$101,0)),'Equipment List &amp; Usage'!$C$115*(('Weekly Summary'!M$128*'Equipment List &amp; Usage'!$AA32)+('Weekly Summary'!M$100*'Equipment List &amp; Usage'!$AB32*SelfQuarantine_Mild)+('Weekly Summary'!M$101*'Equipment List &amp; Usage'!$AB32*SelfQuarantine_Moderate)))+IF('Equipment List &amp; Usage'!$F32="Yes",('Equipment List &amp; Usage'!$C$114*(IF('Equipment List &amp; Usage'!$AE32&gt;0,'Weekly Summary'!M$134,0)+IF('Equipment List &amp; Usage'!$AF32&gt;0,'Weekly Summary'!M$135))),'Equipment List &amp; Usage'!$C$115*(('Weekly Summary'!M$134*'Equipment List &amp; Usage'!$AE32)+('Weekly Summary'!M$135*'Equipment List &amp; Usage'!$AF32))))-SUM($I30:R30),
IF($F30="yes",MMULT(--('Equipment List &amp; Usage'!$J32:$N32&gt;0),--('Weekly Summary'!M$112:M$116))*'Equipment List &amp; Usage'!$C$114,MMULT(--('Equipment List &amp; Usage'!$J32:$N32),--('Weekly Summary'!M$112:M$116))*'Equipment List &amp; Usage'!$C$115)+IF('Equipment List &amp; Usage'!$F31="yes",'Equipment List &amp; Usage'!$C$114,'Equipment List &amp; Usage'!$C$115)*(('Weekly Summary'!M$66*'Equipment List &amp; Usage'!$Q32)+('Weekly Summary'!M$64*'Equipment List &amp; Usage'!$O32)+('Weekly Summary'!M$65*'Equipment List &amp; Usage'!$P32))+(IF('Equipment List &amp; Usage'!$F32="Yes",'Equipment List &amp; Usage'!$C$114*((('Weekly Summary'!M$131*SelfQuarantine_Mild)+('Weekly Summary'!M$100*SelfQuarantine_Mild)+('Weekly Summary'!M$101*SelfQuarantine_Moderate))),'Equipment List &amp; Usage'!$C$115)*((('Weekly Summary'!M$131*SelfQuarantine_Mild*'Equipment List &amp; Usage'!$W32)+('Weekly Summary'!M$100*SelfQuarantine_Mild*'Equipment List &amp; Usage'!$X32)+('Weekly Summary'!M$101*SelfQuarantine_Moderate*'Equipment List &amp; Usage'!$X32))))+IF('Equipment List &amp; Usage'!$F32="Yes",'Equipment List &amp; Usage'!$C$114*(IF('Equipment List &amp; Usage'!$AA32&gt;0,'Weekly Summary'!M$128,0)+IF('Equipment List &amp; Usage'!$AB32&gt;0,'Weekly Summary'!M$100+'Weekly Summary'!M$101,0)),'Equipment List &amp; Usage'!$C$115*(('Weekly Summary'!M$128*'Equipment List &amp; Usage'!$AA32)+('Weekly Summary'!M$100*'Equipment List &amp; Usage'!$AB32*SelfQuarantine_Mild)+('Weekly Summary'!M$101*'Equipment List &amp; Usage'!$AB32*SelfQuarantine_Moderate)))+IF('Equipment List &amp; Usage'!$F32="Yes",('Equipment List &amp; Usage'!$C$114*(IF('Equipment List &amp; Usage'!$AE32&gt;0,'Weekly Summary'!M$134,0)+IF('Equipment List &amp; Usage'!$AF32&gt;0,'Weekly Summary'!M$135))),'Equipment List &amp; Usage'!$C$115*(('Weekly Summary'!M$134*'Equipment List &amp; Usage'!$AE32)+('Weekly Summary'!M$135*'Equipment List &amp; Usage'!$AF32)))),0)</f>
        <v>0</v>
      </c>
      <c r="T30" s="1374">
        <f ca="1">MAX(IF($F30="Yes",(
IF($F30="yes",MMULT(--('Equipment List &amp; Usage'!$J32:$N32&gt;0),--('Weekly Summary'!N$112:N$116))*'Equipment List &amp; Usage'!$C$114,MMULT(--('Equipment List &amp; Usage'!$J32:$N32),--('Weekly Summary'!N$112:N$116))*'Equipment List &amp; Usage'!$C$115)+IF('Equipment List &amp; Usage'!$F31="yes",'Equipment List &amp; Usage'!$C$114,'Equipment List &amp; Usage'!$C$115)*(('Weekly Summary'!N$66*'Equipment List &amp; Usage'!$Q32)+('Weekly Summary'!N$64*'Equipment List &amp; Usage'!$O32)+('Weekly Summary'!N$65*'Equipment List &amp; Usage'!$P32)))+(IF('Equipment List &amp; Usage'!$F32="Yes",'Equipment List &amp; Usage'!$C$114*((('Weekly Summary'!N$131*SelfQuarantine_Mild)+('Weekly Summary'!N$100*SelfQuarantine_Mild)+('Weekly Summary'!N$101*SelfQuarantine_Moderate))),'Equipment List &amp; Usage'!$C$115)*((('Weekly Summary'!N$131*SelfQuarantine_Mild*'Equipment List &amp; Usage'!$W32)+('Weekly Summary'!N$100*SelfQuarantine_Mild*'Equipment List &amp; Usage'!$X32)+('Weekly Summary'!N$101*SelfQuarantine_Moderate*'Equipment List &amp; Usage'!$X32)))+IF('Equipment List &amp; Usage'!$F32="Yes",'Equipment List &amp; Usage'!$C$114*(IF('Equipment List &amp; Usage'!$AA32&gt;0,'Weekly Summary'!N$128,0)+IF('Equipment List &amp; Usage'!$AB32&gt;0,'Weekly Summary'!N$100+'Weekly Summary'!N$101,0)),'Equipment List &amp; Usage'!$C$115*(('Weekly Summary'!N$128*'Equipment List &amp; Usage'!$AA32)+('Weekly Summary'!N$100*'Equipment List &amp; Usage'!$AB32*SelfQuarantine_Mild)+('Weekly Summary'!N$101*'Equipment List &amp; Usage'!$AB32*SelfQuarantine_Moderate)))+IF('Equipment List &amp; Usage'!$F32="Yes",('Equipment List &amp; Usage'!$C$114*(IF('Equipment List &amp; Usage'!$AE32&gt;0,'Weekly Summary'!N$134,0)+IF('Equipment List &amp; Usage'!$AF32&gt;0,'Weekly Summary'!N$135))),'Equipment List &amp; Usage'!$C$115*(('Weekly Summary'!N$134*'Equipment List &amp; Usage'!$AE32)+('Weekly Summary'!N$135*'Equipment List &amp; Usage'!$AF32))))-SUM($I30:S30),
IF($F30="yes",MMULT(--('Equipment List &amp; Usage'!$J32:$N32&gt;0),--('Weekly Summary'!N$112:N$116))*'Equipment List &amp; Usage'!$C$114,MMULT(--('Equipment List &amp; Usage'!$J32:$N32),--('Weekly Summary'!N$112:N$116))*'Equipment List &amp; Usage'!$C$115)+IF('Equipment List &amp; Usage'!$F31="yes",'Equipment List &amp; Usage'!$C$114,'Equipment List &amp; Usage'!$C$115)*(('Weekly Summary'!N$66*'Equipment List &amp; Usage'!$Q32)+('Weekly Summary'!N$64*'Equipment List &amp; Usage'!$O32)+('Weekly Summary'!N$65*'Equipment List &amp; Usage'!$P32))+(IF('Equipment List &amp; Usage'!$F32="Yes",'Equipment List &amp; Usage'!$C$114*((('Weekly Summary'!N$131*SelfQuarantine_Mild)+('Weekly Summary'!N$100*SelfQuarantine_Mild)+('Weekly Summary'!N$101*SelfQuarantine_Moderate))),'Equipment List &amp; Usage'!$C$115)*((('Weekly Summary'!N$131*SelfQuarantine_Mild*'Equipment List &amp; Usage'!$W32)+('Weekly Summary'!N$100*SelfQuarantine_Mild*'Equipment List &amp; Usage'!$X32)+('Weekly Summary'!N$101*SelfQuarantine_Moderate*'Equipment List &amp; Usage'!$X32))))+IF('Equipment List &amp; Usage'!$F32="Yes",'Equipment List &amp; Usage'!$C$114*(IF('Equipment List &amp; Usage'!$AA32&gt;0,'Weekly Summary'!N$128,0)+IF('Equipment List &amp; Usage'!$AB32&gt;0,'Weekly Summary'!N$100+'Weekly Summary'!N$101,0)),'Equipment List &amp; Usage'!$C$115*(('Weekly Summary'!N$128*'Equipment List &amp; Usage'!$AA32)+('Weekly Summary'!N$100*'Equipment List &amp; Usage'!$AB32*SelfQuarantine_Mild)+('Weekly Summary'!N$101*'Equipment List &amp; Usage'!$AB32*SelfQuarantine_Moderate)))+IF('Equipment List &amp; Usage'!$F32="Yes",('Equipment List &amp; Usage'!$C$114*(IF('Equipment List &amp; Usage'!$AE32&gt;0,'Weekly Summary'!N$134,0)+IF('Equipment List &amp; Usage'!$AF32&gt;0,'Weekly Summary'!N$135))),'Equipment List &amp; Usage'!$C$115*(('Weekly Summary'!N$134*'Equipment List &amp; Usage'!$AE32)+('Weekly Summary'!N$135*'Equipment List &amp; Usage'!$AF32)))),0)</f>
        <v>0</v>
      </c>
      <c r="U30" s="1374">
        <f ca="1">MAX(IF($F30="Yes",(
IF($F30="yes",MMULT(--('Equipment List &amp; Usage'!$J32:$N32&gt;0),--('Weekly Summary'!O$112:O$116))*'Equipment List &amp; Usage'!$C$114,MMULT(--('Equipment List &amp; Usage'!$J32:$N32),--('Weekly Summary'!O$112:O$116))*'Equipment List &amp; Usage'!$C$115)+IF('Equipment List &amp; Usage'!$F31="yes",'Equipment List &amp; Usage'!$C$114,'Equipment List &amp; Usage'!$C$115)*(('Weekly Summary'!O$66*'Equipment List &amp; Usage'!$Q32)+('Weekly Summary'!O$64*'Equipment List &amp; Usage'!$O32)+('Weekly Summary'!O$65*'Equipment List &amp; Usage'!$P32)))+(IF('Equipment List &amp; Usage'!$F32="Yes",'Equipment List &amp; Usage'!$C$114*((('Weekly Summary'!O$131*SelfQuarantine_Mild)+('Weekly Summary'!O$100*SelfQuarantine_Mild)+('Weekly Summary'!O$101*SelfQuarantine_Moderate))),'Equipment List &amp; Usage'!$C$115)*((('Weekly Summary'!O$131*SelfQuarantine_Mild*'Equipment List &amp; Usage'!$W32)+('Weekly Summary'!O$100*SelfQuarantine_Mild*'Equipment List &amp; Usage'!$X32)+('Weekly Summary'!O$101*SelfQuarantine_Moderate*'Equipment List &amp; Usage'!$X32)))+IF('Equipment List &amp; Usage'!$F32="Yes",'Equipment List &amp; Usage'!$C$114*(IF('Equipment List &amp; Usage'!$AA32&gt;0,'Weekly Summary'!O$128,0)+IF('Equipment List &amp; Usage'!$AB32&gt;0,'Weekly Summary'!O$100+'Weekly Summary'!O$101,0)),'Equipment List &amp; Usage'!$C$115*(('Weekly Summary'!O$128*'Equipment List &amp; Usage'!$AA32)+('Weekly Summary'!O$100*'Equipment List &amp; Usage'!$AB32*SelfQuarantine_Mild)+('Weekly Summary'!O$101*'Equipment List &amp; Usage'!$AB32*SelfQuarantine_Moderate)))+IF('Equipment List &amp; Usage'!$F32="Yes",('Equipment List &amp; Usage'!$C$114*(IF('Equipment List &amp; Usage'!$AE32&gt;0,'Weekly Summary'!O$134,0)+IF('Equipment List &amp; Usage'!$AF32&gt;0,'Weekly Summary'!O$135))),'Equipment List &amp; Usage'!$C$115*(('Weekly Summary'!O$134*'Equipment List &amp; Usage'!$AE32)+('Weekly Summary'!O$135*'Equipment List &amp; Usage'!$AF32))))-SUM($I30:T30),
IF($F30="yes",MMULT(--('Equipment List &amp; Usage'!$J32:$N32&gt;0),--('Weekly Summary'!O$112:O$116))*'Equipment List &amp; Usage'!$C$114,MMULT(--('Equipment List &amp; Usage'!$J32:$N32),--('Weekly Summary'!O$112:O$116))*'Equipment List &amp; Usage'!$C$115)+IF('Equipment List &amp; Usage'!$F31="yes",'Equipment List &amp; Usage'!$C$114,'Equipment List &amp; Usage'!$C$115)*(('Weekly Summary'!O$66*'Equipment List &amp; Usage'!$Q32)+('Weekly Summary'!O$64*'Equipment List &amp; Usage'!$O32)+('Weekly Summary'!O$65*'Equipment List &amp; Usage'!$P32))+(IF('Equipment List &amp; Usage'!$F32="Yes",'Equipment List &amp; Usage'!$C$114*((('Weekly Summary'!O$131*SelfQuarantine_Mild)+('Weekly Summary'!O$100*SelfQuarantine_Mild)+('Weekly Summary'!O$101*SelfQuarantine_Moderate))),'Equipment List &amp; Usage'!$C$115)*((('Weekly Summary'!O$131*SelfQuarantine_Mild*'Equipment List &amp; Usage'!$W32)+('Weekly Summary'!O$100*SelfQuarantine_Mild*'Equipment List &amp; Usage'!$X32)+('Weekly Summary'!O$101*SelfQuarantine_Moderate*'Equipment List &amp; Usage'!$X32))))+IF('Equipment List &amp; Usage'!$F32="Yes",'Equipment List &amp; Usage'!$C$114*(IF('Equipment List &amp; Usage'!$AA32&gt;0,'Weekly Summary'!O$128,0)+IF('Equipment List &amp; Usage'!$AB32&gt;0,'Weekly Summary'!O$100+'Weekly Summary'!O$101,0)),'Equipment List &amp; Usage'!$C$115*(('Weekly Summary'!O$128*'Equipment List &amp; Usage'!$AA32)+('Weekly Summary'!O$100*'Equipment List &amp; Usage'!$AB32*SelfQuarantine_Mild)+('Weekly Summary'!O$101*'Equipment List &amp; Usage'!$AB32*SelfQuarantine_Moderate)))+IF('Equipment List &amp; Usage'!$F32="Yes",('Equipment List &amp; Usage'!$C$114*(IF('Equipment List &amp; Usage'!$AE32&gt;0,'Weekly Summary'!O$134,0)+IF('Equipment List &amp; Usage'!$AF32&gt;0,'Weekly Summary'!O$135))),'Equipment List &amp; Usage'!$C$115*(('Weekly Summary'!O$134*'Equipment List &amp; Usage'!$AE32)+('Weekly Summary'!O$135*'Equipment List &amp; Usage'!$AF32)))),0)</f>
        <v>0</v>
      </c>
      <c r="V30" s="1374">
        <f ca="1">MAX(IF($F30="Yes",(
IF($F30="yes",MMULT(--('Equipment List &amp; Usage'!$J32:$N32&gt;0),--('Weekly Summary'!P$112:P$116))*'Equipment List &amp; Usage'!$C$114,MMULT(--('Equipment List &amp; Usage'!$J32:$N32),--('Weekly Summary'!P$112:P$116))*'Equipment List &amp; Usage'!$C$115)+IF('Equipment List &amp; Usage'!$F31="yes",'Equipment List &amp; Usage'!$C$114,'Equipment List &amp; Usage'!$C$115)*(('Weekly Summary'!P$66*'Equipment List &amp; Usage'!$Q32)+('Weekly Summary'!P$64*'Equipment List &amp; Usage'!$O32)+('Weekly Summary'!P$65*'Equipment List &amp; Usage'!$P32)))+(IF('Equipment List &amp; Usage'!$F32="Yes",'Equipment List &amp; Usage'!$C$114*((('Weekly Summary'!P$131*SelfQuarantine_Mild)+('Weekly Summary'!P$100*SelfQuarantine_Mild)+('Weekly Summary'!P$101*SelfQuarantine_Moderate))),'Equipment List &amp; Usage'!$C$115)*((('Weekly Summary'!P$131*SelfQuarantine_Mild*'Equipment List &amp; Usage'!$W32)+('Weekly Summary'!P$100*SelfQuarantine_Mild*'Equipment List &amp; Usage'!$X32)+('Weekly Summary'!P$101*SelfQuarantine_Moderate*'Equipment List &amp; Usage'!$X32)))+IF('Equipment List &amp; Usage'!$F32="Yes",'Equipment List &amp; Usage'!$C$114*(IF('Equipment List &amp; Usage'!$AA32&gt;0,'Weekly Summary'!P$128,0)+IF('Equipment List &amp; Usage'!$AB32&gt;0,'Weekly Summary'!P$100+'Weekly Summary'!P$101,0)),'Equipment List &amp; Usage'!$C$115*(('Weekly Summary'!P$128*'Equipment List &amp; Usage'!$AA32)+('Weekly Summary'!P$100*'Equipment List &amp; Usage'!$AB32*SelfQuarantine_Mild)+('Weekly Summary'!P$101*'Equipment List &amp; Usage'!$AB32*SelfQuarantine_Moderate)))+IF('Equipment List &amp; Usage'!$F32="Yes",('Equipment List &amp; Usage'!$C$114*(IF('Equipment List &amp; Usage'!$AE32&gt;0,'Weekly Summary'!P$134,0)+IF('Equipment List &amp; Usage'!$AF32&gt;0,'Weekly Summary'!P$135))),'Equipment List &amp; Usage'!$C$115*(('Weekly Summary'!P$134*'Equipment List &amp; Usage'!$AE32)+('Weekly Summary'!P$135*'Equipment List &amp; Usage'!$AF32))))-SUM($I30:U30),
IF($F30="yes",MMULT(--('Equipment List &amp; Usage'!$J32:$N32&gt;0),--('Weekly Summary'!P$112:P$116))*'Equipment List &amp; Usage'!$C$114,MMULT(--('Equipment List &amp; Usage'!$J32:$N32),--('Weekly Summary'!P$112:P$116))*'Equipment List &amp; Usage'!$C$115)+IF('Equipment List &amp; Usage'!$F31="yes",'Equipment List &amp; Usage'!$C$114,'Equipment List &amp; Usage'!$C$115)*(('Weekly Summary'!P$66*'Equipment List &amp; Usage'!$Q32)+('Weekly Summary'!P$64*'Equipment List &amp; Usage'!$O32)+('Weekly Summary'!P$65*'Equipment List &amp; Usage'!$P32))+(IF('Equipment List &amp; Usage'!$F32="Yes",'Equipment List &amp; Usage'!$C$114*((('Weekly Summary'!P$131*SelfQuarantine_Mild)+('Weekly Summary'!P$100*SelfQuarantine_Mild)+('Weekly Summary'!P$101*SelfQuarantine_Moderate))),'Equipment List &amp; Usage'!$C$115)*((('Weekly Summary'!P$131*SelfQuarantine_Mild*'Equipment List &amp; Usage'!$W32)+('Weekly Summary'!P$100*SelfQuarantine_Mild*'Equipment List &amp; Usage'!$X32)+('Weekly Summary'!P$101*SelfQuarantine_Moderate*'Equipment List &amp; Usage'!$X32))))+IF('Equipment List &amp; Usage'!$F32="Yes",'Equipment List &amp; Usage'!$C$114*(IF('Equipment List &amp; Usage'!$AA32&gt;0,'Weekly Summary'!P$128,0)+IF('Equipment List &amp; Usage'!$AB32&gt;0,'Weekly Summary'!P$100+'Weekly Summary'!P$101,0)),'Equipment List &amp; Usage'!$C$115*(('Weekly Summary'!P$128*'Equipment List &amp; Usage'!$AA32)+('Weekly Summary'!P$100*'Equipment List &amp; Usage'!$AB32*SelfQuarantine_Mild)+('Weekly Summary'!P$101*'Equipment List &amp; Usage'!$AB32*SelfQuarantine_Moderate)))+IF('Equipment List &amp; Usage'!$F32="Yes",('Equipment List &amp; Usage'!$C$114*(IF('Equipment List &amp; Usage'!$AE32&gt;0,'Weekly Summary'!P$134,0)+IF('Equipment List &amp; Usage'!$AF32&gt;0,'Weekly Summary'!P$135))),'Equipment List &amp; Usage'!$C$115*(('Weekly Summary'!P$134*'Equipment List &amp; Usage'!$AE32)+('Weekly Summary'!P$135*'Equipment List &amp; Usage'!$AF32)))),0)</f>
        <v>0</v>
      </c>
      <c r="W30" s="1374">
        <f ca="1">MAX(IF($F30="Yes",(
IF($F30="yes",MMULT(--('Equipment List &amp; Usage'!$J32:$N32&gt;0),--('Weekly Summary'!Q$112:Q$116))*'Equipment List &amp; Usage'!$C$114,MMULT(--('Equipment List &amp; Usage'!$J32:$N32),--('Weekly Summary'!Q$112:Q$116))*'Equipment List &amp; Usage'!$C$115)+IF('Equipment List &amp; Usage'!$F31="yes",'Equipment List &amp; Usage'!$C$114,'Equipment List &amp; Usage'!$C$115)*(('Weekly Summary'!Q$66*'Equipment List &amp; Usage'!$Q32)+('Weekly Summary'!Q$64*'Equipment List &amp; Usage'!$O32)+('Weekly Summary'!Q$65*'Equipment List &amp; Usage'!$P32)))+(IF('Equipment List &amp; Usage'!$F32="Yes",'Equipment List &amp; Usage'!$C$114*((('Weekly Summary'!Q$131*SelfQuarantine_Mild)+('Weekly Summary'!Q$100*SelfQuarantine_Mild)+('Weekly Summary'!Q$101*SelfQuarantine_Moderate))),'Equipment List &amp; Usage'!$C$115)*((('Weekly Summary'!Q$131*SelfQuarantine_Mild*'Equipment List &amp; Usage'!$W32)+('Weekly Summary'!Q$100*SelfQuarantine_Mild*'Equipment List &amp; Usage'!$X32)+('Weekly Summary'!Q$101*SelfQuarantine_Moderate*'Equipment List &amp; Usage'!$X32)))+IF('Equipment List &amp; Usage'!$F32="Yes",'Equipment List &amp; Usage'!$C$114*(IF('Equipment List &amp; Usage'!$AA32&gt;0,'Weekly Summary'!Q$128,0)+IF('Equipment List &amp; Usage'!$AB32&gt;0,'Weekly Summary'!Q$100+'Weekly Summary'!Q$101,0)),'Equipment List &amp; Usage'!$C$115*(('Weekly Summary'!Q$128*'Equipment List &amp; Usage'!$AA32)+('Weekly Summary'!Q$100*'Equipment List &amp; Usage'!$AB32*SelfQuarantine_Mild)+('Weekly Summary'!Q$101*'Equipment List &amp; Usage'!$AB32*SelfQuarantine_Moderate)))+IF('Equipment List &amp; Usage'!$F32="Yes",('Equipment List &amp; Usage'!$C$114*(IF('Equipment List &amp; Usage'!$AE32&gt;0,'Weekly Summary'!Q$134,0)+IF('Equipment List &amp; Usage'!$AF32&gt;0,'Weekly Summary'!Q$135))),'Equipment List &amp; Usage'!$C$115*(('Weekly Summary'!Q$134*'Equipment List &amp; Usage'!$AE32)+('Weekly Summary'!Q$135*'Equipment List &amp; Usage'!$AF32))))-SUM($I30:V30),
IF($F30="yes",MMULT(--('Equipment List &amp; Usage'!$J32:$N32&gt;0),--('Weekly Summary'!Q$112:Q$116))*'Equipment List &amp; Usage'!$C$114,MMULT(--('Equipment List &amp; Usage'!$J32:$N32),--('Weekly Summary'!Q$112:Q$116))*'Equipment List &amp; Usage'!$C$115)+IF('Equipment List &amp; Usage'!$F31="yes",'Equipment List &amp; Usage'!$C$114,'Equipment List &amp; Usage'!$C$115)*(('Weekly Summary'!Q$66*'Equipment List &amp; Usage'!$Q32)+('Weekly Summary'!Q$64*'Equipment List &amp; Usage'!$O32)+('Weekly Summary'!Q$65*'Equipment List &amp; Usage'!$P32))+(IF('Equipment List &amp; Usage'!$F32="Yes",'Equipment List &amp; Usage'!$C$114*((('Weekly Summary'!Q$131*SelfQuarantine_Mild)+('Weekly Summary'!Q$100*SelfQuarantine_Mild)+('Weekly Summary'!Q$101*SelfQuarantine_Moderate))),'Equipment List &amp; Usage'!$C$115)*((('Weekly Summary'!Q$131*SelfQuarantine_Mild*'Equipment List &amp; Usage'!$W32)+('Weekly Summary'!Q$100*SelfQuarantine_Mild*'Equipment List &amp; Usage'!$X32)+('Weekly Summary'!Q$101*SelfQuarantine_Moderate*'Equipment List &amp; Usage'!$X32))))+IF('Equipment List &amp; Usage'!$F32="Yes",'Equipment List &amp; Usage'!$C$114*(IF('Equipment List &amp; Usage'!$AA32&gt;0,'Weekly Summary'!Q$128,0)+IF('Equipment List &amp; Usage'!$AB32&gt;0,'Weekly Summary'!Q$100+'Weekly Summary'!Q$101,0)),'Equipment List &amp; Usage'!$C$115*(('Weekly Summary'!Q$128*'Equipment List &amp; Usage'!$AA32)+('Weekly Summary'!Q$100*'Equipment List &amp; Usage'!$AB32*SelfQuarantine_Mild)+('Weekly Summary'!Q$101*'Equipment List &amp; Usage'!$AB32*SelfQuarantine_Moderate)))+IF('Equipment List &amp; Usage'!$F32="Yes",('Equipment List &amp; Usage'!$C$114*(IF('Equipment List &amp; Usage'!$AE32&gt;0,'Weekly Summary'!Q$134,0)+IF('Equipment List &amp; Usage'!$AF32&gt;0,'Weekly Summary'!Q$135))),'Equipment List &amp; Usage'!$C$115*(('Weekly Summary'!Q$134*'Equipment List &amp; Usage'!$AE32)+('Weekly Summary'!Q$135*'Equipment List &amp; Usage'!$AF32)))),0)</f>
        <v>0</v>
      </c>
      <c r="X30" s="1374">
        <f ca="1">MAX(IF($F30="Yes",(
IF($F30="yes",MMULT(--('Equipment List &amp; Usage'!$J32:$N32&gt;0),--('Weekly Summary'!R$112:R$116))*'Equipment List &amp; Usage'!$C$114,MMULT(--('Equipment List &amp; Usage'!$J32:$N32),--('Weekly Summary'!R$112:R$116))*'Equipment List &amp; Usage'!$C$115)+IF('Equipment List &amp; Usage'!$F31="yes",'Equipment List &amp; Usage'!$C$114,'Equipment List &amp; Usage'!$C$115)*(('Weekly Summary'!R$66*'Equipment List &amp; Usage'!$Q32)+('Weekly Summary'!R$64*'Equipment List &amp; Usage'!$O32)+('Weekly Summary'!R$65*'Equipment List &amp; Usage'!$P32)))+(IF('Equipment List &amp; Usage'!$F32="Yes",'Equipment List &amp; Usage'!$C$114*((('Weekly Summary'!R$131*SelfQuarantine_Mild)+('Weekly Summary'!R$100*SelfQuarantine_Mild)+('Weekly Summary'!R$101*SelfQuarantine_Moderate))),'Equipment List &amp; Usage'!$C$115)*((('Weekly Summary'!R$131*SelfQuarantine_Mild*'Equipment List &amp; Usage'!$W32)+('Weekly Summary'!R$100*SelfQuarantine_Mild*'Equipment List &amp; Usage'!$X32)+('Weekly Summary'!R$101*SelfQuarantine_Moderate*'Equipment List &amp; Usage'!$X32)))+IF('Equipment List &amp; Usage'!$F32="Yes",'Equipment List &amp; Usage'!$C$114*(IF('Equipment List &amp; Usage'!$AA32&gt;0,'Weekly Summary'!R$128,0)+IF('Equipment List &amp; Usage'!$AB32&gt;0,'Weekly Summary'!R$100+'Weekly Summary'!R$101,0)),'Equipment List &amp; Usage'!$C$115*(('Weekly Summary'!R$128*'Equipment List &amp; Usage'!$AA32)+('Weekly Summary'!R$100*'Equipment List &amp; Usage'!$AB32*SelfQuarantine_Mild)+('Weekly Summary'!R$101*'Equipment List &amp; Usage'!$AB32*SelfQuarantine_Moderate)))+IF('Equipment List &amp; Usage'!$F32="Yes",('Equipment List &amp; Usage'!$C$114*(IF('Equipment List &amp; Usage'!$AE32&gt;0,'Weekly Summary'!R$134,0)+IF('Equipment List &amp; Usage'!$AF32&gt;0,'Weekly Summary'!R$135))),'Equipment List &amp; Usage'!$C$115*(('Weekly Summary'!R$134*'Equipment List &amp; Usage'!$AE32)+('Weekly Summary'!R$135*'Equipment List &amp; Usage'!$AF32))))-SUM($I30:W30),
IF($F30="yes",MMULT(--('Equipment List &amp; Usage'!$J32:$N32&gt;0),--('Weekly Summary'!R$112:R$116))*'Equipment List &amp; Usage'!$C$114,MMULT(--('Equipment List &amp; Usage'!$J32:$N32),--('Weekly Summary'!R$112:R$116))*'Equipment List &amp; Usage'!$C$115)+IF('Equipment List &amp; Usage'!$F31="yes",'Equipment List &amp; Usage'!$C$114,'Equipment List &amp; Usage'!$C$115)*(('Weekly Summary'!R$66*'Equipment List &amp; Usage'!$Q32)+('Weekly Summary'!R$64*'Equipment List &amp; Usage'!$O32)+('Weekly Summary'!R$65*'Equipment List &amp; Usage'!$P32))+(IF('Equipment List &amp; Usage'!$F32="Yes",'Equipment List &amp; Usage'!$C$114*((('Weekly Summary'!R$131*SelfQuarantine_Mild)+('Weekly Summary'!R$100*SelfQuarantine_Mild)+('Weekly Summary'!R$101*SelfQuarantine_Moderate))),'Equipment List &amp; Usage'!$C$115)*((('Weekly Summary'!R$131*SelfQuarantine_Mild*'Equipment List &amp; Usage'!$W32)+('Weekly Summary'!R$100*SelfQuarantine_Mild*'Equipment List &amp; Usage'!$X32)+('Weekly Summary'!R$101*SelfQuarantine_Moderate*'Equipment List &amp; Usage'!$X32))))+IF('Equipment List &amp; Usage'!$F32="Yes",'Equipment List &amp; Usage'!$C$114*(IF('Equipment List &amp; Usage'!$AA32&gt;0,'Weekly Summary'!R$128,0)+IF('Equipment List &amp; Usage'!$AB32&gt;0,'Weekly Summary'!R$100+'Weekly Summary'!R$101,0)),'Equipment List &amp; Usage'!$C$115*(('Weekly Summary'!R$128*'Equipment List &amp; Usage'!$AA32)+('Weekly Summary'!R$100*'Equipment List &amp; Usage'!$AB32*SelfQuarantine_Mild)+('Weekly Summary'!R$101*'Equipment List &amp; Usage'!$AB32*SelfQuarantine_Moderate)))+IF('Equipment List &amp; Usage'!$F32="Yes",('Equipment List &amp; Usage'!$C$114*(IF('Equipment List &amp; Usage'!$AE32&gt;0,'Weekly Summary'!R$134,0)+IF('Equipment List &amp; Usage'!$AF32&gt;0,'Weekly Summary'!R$135))),'Equipment List &amp; Usage'!$C$115*(('Weekly Summary'!R$134*'Equipment List &amp; Usage'!$AE32)+('Weekly Summary'!R$135*'Equipment List &amp; Usage'!$AF32)))),0)</f>
        <v>0</v>
      </c>
      <c r="Y30" s="1374">
        <f ca="1">MAX(IF($F30="Yes",(
IF($F30="yes",MMULT(--('Equipment List &amp; Usage'!$J32:$N32&gt;0),--('Weekly Summary'!S$112:S$116))*'Equipment List &amp; Usage'!$C$114,MMULT(--('Equipment List &amp; Usage'!$J32:$N32),--('Weekly Summary'!S$112:S$116))*'Equipment List &amp; Usage'!$C$115)+IF('Equipment List &amp; Usage'!$F31="yes",'Equipment List &amp; Usage'!$C$114,'Equipment List &amp; Usage'!$C$115)*(('Weekly Summary'!S$66*'Equipment List &amp; Usage'!$Q32)+('Weekly Summary'!S$64*'Equipment List &amp; Usage'!$O32)+('Weekly Summary'!S$65*'Equipment List &amp; Usage'!$P32)))+(IF('Equipment List &amp; Usage'!$F32="Yes",'Equipment List &amp; Usage'!$C$114*((('Weekly Summary'!S$131*SelfQuarantine_Mild)+('Weekly Summary'!S$100*SelfQuarantine_Mild)+('Weekly Summary'!S$101*SelfQuarantine_Moderate))),'Equipment List &amp; Usage'!$C$115)*((('Weekly Summary'!S$131*SelfQuarantine_Mild*'Equipment List &amp; Usage'!$W32)+('Weekly Summary'!S$100*SelfQuarantine_Mild*'Equipment List &amp; Usage'!$X32)+('Weekly Summary'!S$101*SelfQuarantine_Moderate*'Equipment List &amp; Usage'!$X32)))+IF('Equipment List &amp; Usage'!$F32="Yes",'Equipment List &amp; Usage'!$C$114*(IF('Equipment List &amp; Usage'!$AA32&gt;0,'Weekly Summary'!S$128,0)+IF('Equipment List &amp; Usage'!$AB32&gt;0,'Weekly Summary'!S$100+'Weekly Summary'!S$101,0)),'Equipment List &amp; Usage'!$C$115*(('Weekly Summary'!S$128*'Equipment List &amp; Usage'!$AA32)+('Weekly Summary'!S$100*'Equipment List &amp; Usage'!$AB32*SelfQuarantine_Mild)+('Weekly Summary'!S$101*'Equipment List &amp; Usage'!$AB32*SelfQuarantine_Moderate)))+IF('Equipment List &amp; Usage'!$F32="Yes",('Equipment List &amp; Usage'!$C$114*(IF('Equipment List &amp; Usage'!$AE32&gt;0,'Weekly Summary'!S$134,0)+IF('Equipment List &amp; Usage'!$AF32&gt;0,'Weekly Summary'!S$135))),'Equipment List &amp; Usage'!$C$115*(('Weekly Summary'!S$134*'Equipment List &amp; Usage'!$AE32)+('Weekly Summary'!S$135*'Equipment List &amp; Usage'!$AF32))))-SUM($I30:X30),
IF($F30="yes",MMULT(--('Equipment List &amp; Usage'!$J32:$N32&gt;0),--('Weekly Summary'!S$112:S$116))*'Equipment List &amp; Usage'!$C$114,MMULT(--('Equipment List &amp; Usage'!$J32:$N32),--('Weekly Summary'!S$112:S$116))*'Equipment List &amp; Usage'!$C$115)+IF('Equipment List &amp; Usage'!$F31="yes",'Equipment List &amp; Usage'!$C$114,'Equipment List &amp; Usage'!$C$115)*(('Weekly Summary'!S$66*'Equipment List &amp; Usage'!$Q32)+('Weekly Summary'!S$64*'Equipment List &amp; Usage'!$O32)+('Weekly Summary'!S$65*'Equipment List &amp; Usage'!$P32))+(IF('Equipment List &amp; Usage'!$F32="Yes",'Equipment List &amp; Usage'!$C$114*((('Weekly Summary'!S$131*SelfQuarantine_Mild)+('Weekly Summary'!S$100*SelfQuarantine_Mild)+('Weekly Summary'!S$101*SelfQuarantine_Moderate))),'Equipment List &amp; Usage'!$C$115)*((('Weekly Summary'!S$131*SelfQuarantine_Mild*'Equipment List &amp; Usage'!$W32)+('Weekly Summary'!S$100*SelfQuarantine_Mild*'Equipment List &amp; Usage'!$X32)+('Weekly Summary'!S$101*SelfQuarantine_Moderate*'Equipment List &amp; Usage'!$X32))))+IF('Equipment List &amp; Usage'!$F32="Yes",'Equipment List &amp; Usage'!$C$114*(IF('Equipment List &amp; Usage'!$AA32&gt;0,'Weekly Summary'!S$128,0)+IF('Equipment List &amp; Usage'!$AB32&gt;0,'Weekly Summary'!S$100+'Weekly Summary'!S$101,0)),'Equipment List &amp; Usage'!$C$115*(('Weekly Summary'!S$128*'Equipment List &amp; Usage'!$AA32)+('Weekly Summary'!S$100*'Equipment List &amp; Usage'!$AB32*SelfQuarantine_Mild)+('Weekly Summary'!S$101*'Equipment List &amp; Usage'!$AB32*SelfQuarantine_Moderate)))+IF('Equipment List &amp; Usage'!$F32="Yes",('Equipment List &amp; Usage'!$C$114*(IF('Equipment List &amp; Usage'!$AE32&gt;0,'Weekly Summary'!S$134,0)+IF('Equipment List &amp; Usage'!$AF32&gt;0,'Weekly Summary'!S$135))),'Equipment List &amp; Usage'!$C$115*(('Weekly Summary'!S$134*'Equipment List &amp; Usage'!$AE32)+('Weekly Summary'!S$135*'Equipment List &amp; Usage'!$AF32)))),0)</f>
        <v>0</v>
      </c>
      <c r="Z30" s="1374">
        <f ca="1">MAX(IF($F30="Yes",(
IF($F30="yes",MMULT(--('Equipment List &amp; Usage'!$J32:$N32&gt;0),--('Weekly Summary'!T$112:T$116))*'Equipment List &amp; Usage'!$C$114,MMULT(--('Equipment List &amp; Usage'!$J32:$N32),--('Weekly Summary'!T$112:T$116))*'Equipment List &amp; Usage'!$C$115)+IF('Equipment List &amp; Usage'!$F31="yes",'Equipment List &amp; Usage'!$C$114,'Equipment List &amp; Usage'!$C$115)*(('Weekly Summary'!T$66*'Equipment List &amp; Usage'!$Q32)+('Weekly Summary'!T$64*'Equipment List &amp; Usage'!$O32)+('Weekly Summary'!T$65*'Equipment List &amp; Usage'!$P32)))+(IF('Equipment List &amp; Usage'!$F32="Yes",'Equipment List &amp; Usage'!$C$114*((('Weekly Summary'!T$131*SelfQuarantine_Mild)+('Weekly Summary'!T$100*SelfQuarantine_Mild)+('Weekly Summary'!T$101*SelfQuarantine_Moderate))),'Equipment List &amp; Usage'!$C$115)*((('Weekly Summary'!T$131*SelfQuarantine_Mild*'Equipment List &amp; Usage'!$W32)+('Weekly Summary'!T$100*SelfQuarantine_Mild*'Equipment List &amp; Usage'!$X32)+('Weekly Summary'!T$101*SelfQuarantine_Moderate*'Equipment List &amp; Usage'!$X32)))+IF('Equipment List &amp; Usage'!$F32="Yes",'Equipment List &amp; Usage'!$C$114*(IF('Equipment List &amp; Usage'!$AA32&gt;0,'Weekly Summary'!T$128,0)+IF('Equipment List &amp; Usage'!$AB32&gt;0,'Weekly Summary'!T$100+'Weekly Summary'!T$101,0)),'Equipment List &amp; Usage'!$C$115*(('Weekly Summary'!T$128*'Equipment List &amp; Usage'!$AA32)+('Weekly Summary'!T$100*'Equipment List &amp; Usage'!$AB32*SelfQuarantine_Mild)+('Weekly Summary'!T$101*'Equipment List &amp; Usage'!$AB32*SelfQuarantine_Moderate)))+IF('Equipment List &amp; Usage'!$F32="Yes",('Equipment List &amp; Usage'!$C$114*(IF('Equipment List &amp; Usage'!$AE32&gt;0,'Weekly Summary'!T$134,0)+IF('Equipment List &amp; Usage'!$AF32&gt;0,'Weekly Summary'!T$135))),'Equipment List &amp; Usage'!$C$115*(('Weekly Summary'!T$134*'Equipment List &amp; Usage'!$AE32)+('Weekly Summary'!T$135*'Equipment List &amp; Usage'!$AF32))))-SUM($I30:Y30),
IF($F30="yes",MMULT(--('Equipment List &amp; Usage'!$J32:$N32&gt;0),--('Weekly Summary'!T$112:T$116))*'Equipment List &amp; Usage'!$C$114,MMULT(--('Equipment List &amp; Usage'!$J32:$N32),--('Weekly Summary'!T$112:T$116))*'Equipment List &amp; Usage'!$C$115)+IF('Equipment List &amp; Usage'!$F31="yes",'Equipment List &amp; Usage'!$C$114,'Equipment List &amp; Usage'!$C$115)*(('Weekly Summary'!T$66*'Equipment List &amp; Usage'!$Q32)+('Weekly Summary'!T$64*'Equipment List &amp; Usage'!$O32)+('Weekly Summary'!T$65*'Equipment List &amp; Usage'!$P32))+(IF('Equipment List &amp; Usage'!$F32="Yes",'Equipment List &amp; Usage'!$C$114*((('Weekly Summary'!T$131*SelfQuarantine_Mild)+('Weekly Summary'!T$100*SelfQuarantine_Mild)+('Weekly Summary'!T$101*SelfQuarantine_Moderate))),'Equipment List &amp; Usage'!$C$115)*((('Weekly Summary'!T$131*SelfQuarantine_Mild*'Equipment List &amp; Usage'!$W32)+('Weekly Summary'!T$100*SelfQuarantine_Mild*'Equipment List &amp; Usage'!$X32)+('Weekly Summary'!T$101*SelfQuarantine_Moderate*'Equipment List &amp; Usage'!$X32))))+IF('Equipment List &amp; Usage'!$F32="Yes",'Equipment List &amp; Usage'!$C$114*(IF('Equipment List &amp; Usage'!$AA32&gt;0,'Weekly Summary'!T$128,0)+IF('Equipment List &amp; Usage'!$AB32&gt;0,'Weekly Summary'!T$100+'Weekly Summary'!T$101,0)),'Equipment List &amp; Usage'!$C$115*(('Weekly Summary'!T$128*'Equipment List &amp; Usage'!$AA32)+('Weekly Summary'!T$100*'Equipment List &amp; Usage'!$AB32*SelfQuarantine_Mild)+('Weekly Summary'!T$101*'Equipment List &amp; Usage'!$AB32*SelfQuarantine_Moderate)))+IF('Equipment List &amp; Usage'!$F32="Yes",('Equipment List &amp; Usage'!$C$114*(IF('Equipment List &amp; Usage'!$AE32&gt;0,'Weekly Summary'!T$134,0)+IF('Equipment List &amp; Usage'!$AF32&gt;0,'Weekly Summary'!T$135))),'Equipment List &amp; Usage'!$C$115*(('Weekly Summary'!T$134*'Equipment List &amp; Usage'!$AE32)+('Weekly Summary'!T$135*'Equipment List &amp; Usage'!$AF32)))),0)</f>
        <v>0</v>
      </c>
      <c r="AA30" s="1374">
        <f ca="1">MAX(IF($F30="Yes",(
IF($F30="yes",MMULT(--('Equipment List &amp; Usage'!$J32:$N32&gt;0),--('Weekly Summary'!U$112:U$116))*'Equipment List &amp; Usage'!$C$114,MMULT(--('Equipment List &amp; Usage'!$J32:$N32),--('Weekly Summary'!U$112:U$116))*'Equipment List &amp; Usage'!$C$115)+IF('Equipment List &amp; Usage'!$F31="yes",'Equipment List &amp; Usage'!$C$114,'Equipment List &amp; Usage'!$C$115)*(('Weekly Summary'!U$66*'Equipment List &amp; Usage'!$Q32)+('Weekly Summary'!U$64*'Equipment List &amp; Usage'!$O32)+('Weekly Summary'!U$65*'Equipment List &amp; Usage'!$P32)))+(IF('Equipment List &amp; Usage'!$F32="Yes",'Equipment List &amp; Usage'!$C$114*((('Weekly Summary'!U$131*SelfQuarantine_Mild)+('Weekly Summary'!U$100*SelfQuarantine_Mild)+('Weekly Summary'!U$101*SelfQuarantine_Moderate))),'Equipment List &amp; Usage'!$C$115)*((('Weekly Summary'!U$131*SelfQuarantine_Mild*'Equipment List &amp; Usage'!$W32)+('Weekly Summary'!U$100*SelfQuarantine_Mild*'Equipment List &amp; Usage'!$X32)+('Weekly Summary'!U$101*SelfQuarantine_Moderate*'Equipment List &amp; Usage'!$X32)))+IF('Equipment List &amp; Usage'!$F32="Yes",'Equipment List &amp; Usage'!$C$114*(IF('Equipment List &amp; Usage'!$AA32&gt;0,'Weekly Summary'!U$128,0)+IF('Equipment List &amp; Usage'!$AB32&gt;0,'Weekly Summary'!U$100+'Weekly Summary'!U$101,0)),'Equipment List &amp; Usage'!$C$115*(('Weekly Summary'!U$128*'Equipment List &amp; Usage'!$AA32)+('Weekly Summary'!U$100*'Equipment List &amp; Usage'!$AB32*SelfQuarantine_Mild)+('Weekly Summary'!U$101*'Equipment List &amp; Usage'!$AB32*SelfQuarantine_Moderate)))+IF('Equipment List &amp; Usage'!$F32="Yes",('Equipment List &amp; Usage'!$C$114*(IF('Equipment List &amp; Usage'!$AE32&gt;0,'Weekly Summary'!U$134,0)+IF('Equipment List &amp; Usage'!$AF32&gt;0,'Weekly Summary'!U$135))),'Equipment List &amp; Usage'!$C$115*(('Weekly Summary'!U$134*'Equipment List &amp; Usage'!$AE32)+('Weekly Summary'!U$135*'Equipment List &amp; Usage'!$AF32))))-SUM($I30:Z30),
IF($F30="yes",MMULT(--('Equipment List &amp; Usage'!$J32:$N32&gt;0),--('Weekly Summary'!U$112:U$116))*'Equipment List &amp; Usage'!$C$114,MMULT(--('Equipment List &amp; Usage'!$J32:$N32),--('Weekly Summary'!U$112:U$116))*'Equipment List &amp; Usage'!$C$115)+IF('Equipment List &amp; Usage'!$F31="yes",'Equipment List &amp; Usage'!$C$114,'Equipment List &amp; Usage'!$C$115)*(('Weekly Summary'!U$66*'Equipment List &amp; Usage'!$Q32)+('Weekly Summary'!U$64*'Equipment List &amp; Usage'!$O32)+('Weekly Summary'!U$65*'Equipment List &amp; Usage'!$P32))+(IF('Equipment List &amp; Usage'!$F32="Yes",'Equipment List &amp; Usage'!$C$114*((('Weekly Summary'!U$131*SelfQuarantine_Mild)+('Weekly Summary'!U$100*SelfQuarantine_Mild)+('Weekly Summary'!U$101*SelfQuarantine_Moderate))),'Equipment List &amp; Usage'!$C$115)*((('Weekly Summary'!U$131*SelfQuarantine_Mild*'Equipment List &amp; Usage'!$W32)+('Weekly Summary'!U$100*SelfQuarantine_Mild*'Equipment List &amp; Usage'!$X32)+('Weekly Summary'!U$101*SelfQuarantine_Moderate*'Equipment List &amp; Usage'!$X32))))+IF('Equipment List &amp; Usage'!$F32="Yes",'Equipment List &amp; Usage'!$C$114*(IF('Equipment List &amp; Usage'!$AA32&gt;0,'Weekly Summary'!U$128,0)+IF('Equipment List &amp; Usage'!$AB32&gt;0,'Weekly Summary'!U$100+'Weekly Summary'!U$101,0)),'Equipment List &amp; Usage'!$C$115*(('Weekly Summary'!U$128*'Equipment List &amp; Usage'!$AA32)+('Weekly Summary'!U$100*'Equipment List &amp; Usage'!$AB32*SelfQuarantine_Mild)+('Weekly Summary'!U$101*'Equipment List &amp; Usage'!$AB32*SelfQuarantine_Moderate)))+IF('Equipment List &amp; Usage'!$F32="Yes",('Equipment List &amp; Usage'!$C$114*(IF('Equipment List &amp; Usage'!$AE32&gt;0,'Weekly Summary'!U$134,0)+IF('Equipment List &amp; Usage'!$AF32&gt;0,'Weekly Summary'!U$135))),'Equipment List &amp; Usage'!$C$115*(('Weekly Summary'!U$134*'Equipment List &amp; Usage'!$AE32)+('Weekly Summary'!U$135*'Equipment List &amp; Usage'!$AF32)))),0)</f>
        <v>0</v>
      </c>
      <c r="AB30" s="1374">
        <f ca="1">MAX(IF($F30="Yes",(
IF($F30="yes",MMULT(--('Equipment List &amp; Usage'!$J32:$N32&gt;0),--('Weekly Summary'!V$112:V$116))*'Equipment List &amp; Usage'!$C$114,MMULT(--('Equipment List &amp; Usage'!$J32:$N32),--('Weekly Summary'!V$112:V$116))*'Equipment List &amp; Usage'!$C$115)+IF('Equipment List &amp; Usage'!$F31="yes",'Equipment List &amp; Usage'!$C$114,'Equipment List &amp; Usage'!$C$115)*(('Weekly Summary'!V$66*'Equipment List &amp; Usage'!$Q32)+('Weekly Summary'!V$64*'Equipment List &amp; Usage'!$O32)+('Weekly Summary'!V$65*'Equipment List &amp; Usage'!$P32)))+(IF('Equipment List &amp; Usage'!$F32="Yes",'Equipment List &amp; Usage'!$C$114*((('Weekly Summary'!V$131*SelfQuarantine_Mild)+('Weekly Summary'!V$100*SelfQuarantine_Mild)+('Weekly Summary'!V$101*SelfQuarantine_Moderate))),'Equipment List &amp; Usage'!$C$115)*((('Weekly Summary'!V$131*SelfQuarantine_Mild*'Equipment List &amp; Usage'!$W32)+('Weekly Summary'!V$100*SelfQuarantine_Mild*'Equipment List &amp; Usage'!$X32)+('Weekly Summary'!V$101*SelfQuarantine_Moderate*'Equipment List &amp; Usage'!$X32)))+IF('Equipment List &amp; Usage'!$F32="Yes",'Equipment List &amp; Usage'!$C$114*(IF('Equipment List &amp; Usage'!$AA32&gt;0,'Weekly Summary'!V$128,0)+IF('Equipment List &amp; Usage'!$AB32&gt;0,'Weekly Summary'!V$100+'Weekly Summary'!V$101,0)),'Equipment List &amp; Usage'!$C$115*(('Weekly Summary'!V$128*'Equipment List &amp; Usage'!$AA32)+('Weekly Summary'!V$100*'Equipment List &amp; Usage'!$AB32*SelfQuarantine_Mild)+('Weekly Summary'!V$101*'Equipment List &amp; Usage'!$AB32*SelfQuarantine_Moderate)))+IF('Equipment List &amp; Usage'!$F32="Yes",('Equipment List &amp; Usage'!$C$114*(IF('Equipment List &amp; Usage'!$AE32&gt;0,'Weekly Summary'!V$134,0)+IF('Equipment List &amp; Usage'!$AF32&gt;0,'Weekly Summary'!V$135))),'Equipment List &amp; Usage'!$C$115*(('Weekly Summary'!V$134*'Equipment List &amp; Usage'!$AE32)+('Weekly Summary'!V$135*'Equipment List &amp; Usage'!$AF32))))-SUM($I30:AA30),
IF($F30="yes",MMULT(--('Equipment List &amp; Usage'!$J32:$N32&gt;0),--('Weekly Summary'!V$112:V$116))*'Equipment List &amp; Usage'!$C$114,MMULT(--('Equipment List &amp; Usage'!$J32:$N32),--('Weekly Summary'!V$112:V$116))*'Equipment List &amp; Usage'!$C$115)+IF('Equipment List &amp; Usage'!$F31="yes",'Equipment List &amp; Usage'!$C$114,'Equipment List &amp; Usage'!$C$115)*(('Weekly Summary'!V$66*'Equipment List &amp; Usage'!$Q32)+('Weekly Summary'!V$64*'Equipment List &amp; Usage'!$O32)+('Weekly Summary'!V$65*'Equipment List &amp; Usage'!$P32))+(IF('Equipment List &amp; Usage'!$F32="Yes",'Equipment List &amp; Usage'!$C$114*((('Weekly Summary'!V$131*SelfQuarantine_Mild)+('Weekly Summary'!V$100*SelfQuarantine_Mild)+('Weekly Summary'!V$101*SelfQuarantine_Moderate))),'Equipment List &amp; Usage'!$C$115)*((('Weekly Summary'!V$131*SelfQuarantine_Mild*'Equipment List &amp; Usage'!$W32)+('Weekly Summary'!V$100*SelfQuarantine_Mild*'Equipment List &amp; Usage'!$X32)+('Weekly Summary'!V$101*SelfQuarantine_Moderate*'Equipment List &amp; Usage'!$X32))))+IF('Equipment List &amp; Usage'!$F32="Yes",'Equipment List &amp; Usage'!$C$114*(IF('Equipment List &amp; Usage'!$AA32&gt;0,'Weekly Summary'!V$128,0)+IF('Equipment List &amp; Usage'!$AB32&gt;0,'Weekly Summary'!V$100+'Weekly Summary'!V$101,0)),'Equipment List &amp; Usage'!$C$115*(('Weekly Summary'!V$128*'Equipment List &amp; Usage'!$AA32)+('Weekly Summary'!V$100*'Equipment List &amp; Usage'!$AB32*SelfQuarantine_Mild)+('Weekly Summary'!V$101*'Equipment List &amp; Usage'!$AB32*SelfQuarantine_Moderate)))+IF('Equipment List &amp; Usage'!$F32="Yes",('Equipment List &amp; Usage'!$C$114*(IF('Equipment List &amp; Usage'!$AE32&gt;0,'Weekly Summary'!V$134,0)+IF('Equipment List &amp; Usage'!$AF32&gt;0,'Weekly Summary'!V$135))),'Equipment List &amp; Usage'!$C$115*(('Weekly Summary'!V$134*'Equipment List &amp; Usage'!$AE32)+('Weekly Summary'!V$135*'Equipment List &amp; Usage'!$AF32)))),0)</f>
        <v>0</v>
      </c>
      <c r="AC30" s="1374">
        <f ca="1">MAX(IF($F30="Yes",(
IF($F30="yes",MMULT(--('Equipment List &amp; Usage'!$J32:$N32&gt;0),--('Weekly Summary'!W$112:W$116))*'Equipment List &amp; Usage'!$C$114,MMULT(--('Equipment List &amp; Usage'!$J32:$N32),--('Weekly Summary'!W$112:W$116))*'Equipment List &amp; Usage'!$C$115)+IF('Equipment List &amp; Usage'!$F31="yes",'Equipment List &amp; Usage'!$C$114,'Equipment List &amp; Usage'!$C$115)*(('Weekly Summary'!W$66*'Equipment List &amp; Usage'!$Q32)+('Weekly Summary'!W$64*'Equipment List &amp; Usage'!$O32)+('Weekly Summary'!W$65*'Equipment List &amp; Usage'!$P32)))+(IF('Equipment List &amp; Usage'!$F32="Yes",'Equipment List &amp; Usage'!$C$114*((('Weekly Summary'!W$131*SelfQuarantine_Mild)+('Weekly Summary'!W$100*SelfQuarantine_Mild)+('Weekly Summary'!W$101*SelfQuarantine_Moderate))),'Equipment List &amp; Usage'!$C$115)*((('Weekly Summary'!W$131*SelfQuarantine_Mild*'Equipment List &amp; Usage'!$W32)+('Weekly Summary'!W$100*SelfQuarantine_Mild*'Equipment List &amp; Usage'!$X32)+('Weekly Summary'!W$101*SelfQuarantine_Moderate*'Equipment List &amp; Usage'!$X32)))+IF('Equipment List &amp; Usage'!$F32="Yes",'Equipment List &amp; Usage'!$C$114*(IF('Equipment List &amp; Usage'!$AA32&gt;0,'Weekly Summary'!W$128,0)+IF('Equipment List &amp; Usage'!$AB32&gt;0,'Weekly Summary'!W$100+'Weekly Summary'!W$101,0)),'Equipment List &amp; Usage'!$C$115*(('Weekly Summary'!W$128*'Equipment List &amp; Usage'!$AA32)+('Weekly Summary'!W$100*'Equipment List &amp; Usage'!$AB32*SelfQuarantine_Mild)+('Weekly Summary'!W$101*'Equipment List &amp; Usage'!$AB32*SelfQuarantine_Moderate)))+IF('Equipment List &amp; Usage'!$F32="Yes",('Equipment List &amp; Usage'!$C$114*(IF('Equipment List &amp; Usage'!$AE32&gt;0,'Weekly Summary'!W$134,0)+IF('Equipment List &amp; Usage'!$AF32&gt;0,'Weekly Summary'!W$135))),'Equipment List &amp; Usage'!$C$115*(('Weekly Summary'!W$134*'Equipment List &amp; Usage'!$AE32)+('Weekly Summary'!W$135*'Equipment List &amp; Usage'!$AF32))))-SUM($I30:AB30),
IF($F30="yes",MMULT(--('Equipment List &amp; Usage'!$J32:$N32&gt;0),--('Weekly Summary'!W$112:W$116))*'Equipment List &amp; Usage'!$C$114,MMULT(--('Equipment List &amp; Usage'!$J32:$N32),--('Weekly Summary'!W$112:W$116))*'Equipment List &amp; Usage'!$C$115)+IF('Equipment List &amp; Usage'!$F31="yes",'Equipment List &amp; Usage'!$C$114,'Equipment List &amp; Usage'!$C$115)*(('Weekly Summary'!W$66*'Equipment List &amp; Usage'!$Q32)+('Weekly Summary'!W$64*'Equipment List &amp; Usage'!$O32)+('Weekly Summary'!W$65*'Equipment List &amp; Usage'!$P32))+(IF('Equipment List &amp; Usage'!$F32="Yes",'Equipment List &amp; Usage'!$C$114*((('Weekly Summary'!W$131*SelfQuarantine_Mild)+('Weekly Summary'!W$100*SelfQuarantine_Mild)+('Weekly Summary'!W$101*SelfQuarantine_Moderate))),'Equipment List &amp; Usage'!$C$115)*((('Weekly Summary'!W$131*SelfQuarantine_Mild*'Equipment List &amp; Usage'!$W32)+('Weekly Summary'!W$100*SelfQuarantine_Mild*'Equipment List &amp; Usage'!$X32)+('Weekly Summary'!W$101*SelfQuarantine_Moderate*'Equipment List &amp; Usage'!$X32))))+IF('Equipment List &amp; Usage'!$F32="Yes",'Equipment List &amp; Usage'!$C$114*(IF('Equipment List &amp; Usage'!$AA32&gt;0,'Weekly Summary'!W$128,0)+IF('Equipment List &amp; Usage'!$AB32&gt;0,'Weekly Summary'!W$100+'Weekly Summary'!W$101,0)),'Equipment List &amp; Usage'!$C$115*(('Weekly Summary'!W$128*'Equipment List &amp; Usage'!$AA32)+('Weekly Summary'!W$100*'Equipment List &amp; Usage'!$AB32*SelfQuarantine_Mild)+('Weekly Summary'!W$101*'Equipment List &amp; Usage'!$AB32*SelfQuarantine_Moderate)))+IF('Equipment List &amp; Usage'!$F32="Yes",('Equipment List &amp; Usage'!$C$114*(IF('Equipment List &amp; Usage'!$AE32&gt;0,'Weekly Summary'!W$134,0)+IF('Equipment List &amp; Usage'!$AF32&gt;0,'Weekly Summary'!W$135))),'Equipment List &amp; Usage'!$C$115*(('Weekly Summary'!W$134*'Equipment List &amp; Usage'!$AE32)+('Weekly Summary'!W$135*'Equipment List &amp; Usage'!$AF32)))),0)</f>
        <v>0</v>
      </c>
      <c r="AD30" s="1374">
        <f ca="1">MAX(IF($F30="Yes",(
IF($F30="yes",MMULT(--('Equipment List &amp; Usage'!$J32:$N32&gt;0),--('Weekly Summary'!X$112:X$116))*'Equipment List &amp; Usage'!$C$114,MMULT(--('Equipment List &amp; Usage'!$J32:$N32),--('Weekly Summary'!X$112:X$116))*'Equipment List &amp; Usage'!$C$115)+IF('Equipment List &amp; Usage'!$F31="yes",'Equipment List &amp; Usage'!$C$114,'Equipment List &amp; Usage'!$C$115)*(('Weekly Summary'!X$66*'Equipment List &amp; Usage'!$Q32)+('Weekly Summary'!X$64*'Equipment List &amp; Usage'!$O32)+('Weekly Summary'!X$65*'Equipment List &amp; Usage'!$P32)))+(IF('Equipment List &amp; Usage'!$F32="Yes",'Equipment List &amp; Usage'!$C$114*((('Weekly Summary'!X$131*SelfQuarantine_Mild)+('Weekly Summary'!X$100*SelfQuarantine_Mild)+('Weekly Summary'!X$101*SelfQuarantine_Moderate))),'Equipment List &amp; Usage'!$C$115)*((('Weekly Summary'!X$131*SelfQuarantine_Mild*'Equipment List &amp; Usage'!$W32)+('Weekly Summary'!X$100*SelfQuarantine_Mild*'Equipment List &amp; Usage'!$X32)+('Weekly Summary'!X$101*SelfQuarantine_Moderate*'Equipment List &amp; Usage'!$X32)))+IF('Equipment List &amp; Usage'!$F32="Yes",'Equipment List &amp; Usage'!$C$114*(IF('Equipment List &amp; Usage'!$AA32&gt;0,'Weekly Summary'!X$128,0)+IF('Equipment List &amp; Usage'!$AB32&gt;0,'Weekly Summary'!X$100+'Weekly Summary'!X$101,0)),'Equipment List &amp; Usage'!$C$115*(('Weekly Summary'!X$128*'Equipment List &amp; Usage'!$AA32)+('Weekly Summary'!X$100*'Equipment List &amp; Usage'!$AB32*SelfQuarantine_Mild)+('Weekly Summary'!X$101*'Equipment List &amp; Usage'!$AB32*SelfQuarantine_Moderate)))+IF('Equipment List &amp; Usage'!$F32="Yes",('Equipment List &amp; Usage'!$C$114*(IF('Equipment List &amp; Usage'!$AE32&gt;0,'Weekly Summary'!X$134,0)+IF('Equipment List &amp; Usage'!$AF32&gt;0,'Weekly Summary'!X$135))),'Equipment List &amp; Usage'!$C$115*(('Weekly Summary'!X$134*'Equipment List &amp; Usage'!$AE32)+('Weekly Summary'!X$135*'Equipment List &amp; Usage'!$AF32))))-SUM($I30:AC30),
IF($F30="yes",MMULT(--('Equipment List &amp; Usage'!$J32:$N32&gt;0),--('Weekly Summary'!X$112:X$116))*'Equipment List &amp; Usage'!$C$114,MMULT(--('Equipment List &amp; Usage'!$J32:$N32),--('Weekly Summary'!X$112:X$116))*'Equipment List &amp; Usage'!$C$115)+IF('Equipment List &amp; Usage'!$F31="yes",'Equipment List &amp; Usage'!$C$114,'Equipment List &amp; Usage'!$C$115)*(('Weekly Summary'!X$66*'Equipment List &amp; Usage'!$Q32)+('Weekly Summary'!X$64*'Equipment List &amp; Usage'!$O32)+('Weekly Summary'!X$65*'Equipment List &amp; Usage'!$P32))+(IF('Equipment List &amp; Usage'!$F32="Yes",'Equipment List &amp; Usage'!$C$114*((('Weekly Summary'!X$131*SelfQuarantine_Mild)+('Weekly Summary'!X$100*SelfQuarantine_Mild)+('Weekly Summary'!X$101*SelfQuarantine_Moderate))),'Equipment List &amp; Usage'!$C$115)*((('Weekly Summary'!X$131*SelfQuarantine_Mild*'Equipment List &amp; Usage'!$W32)+('Weekly Summary'!X$100*SelfQuarantine_Mild*'Equipment List &amp; Usage'!$X32)+('Weekly Summary'!X$101*SelfQuarantine_Moderate*'Equipment List &amp; Usage'!$X32))))+IF('Equipment List &amp; Usage'!$F32="Yes",'Equipment List &amp; Usage'!$C$114*(IF('Equipment List &amp; Usage'!$AA32&gt;0,'Weekly Summary'!X$128,0)+IF('Equipment List &amp; Usage'!$AB32&gt;0,'Weekly Summary'!X$100+'Weekly Summary'!X$101,0)),'Equipment List &amp; Usage'!$C$115*(('Weekly Summary'!X$128*'Equipment List &amp; Usage'!$AA32)+('Weekly Summary'!X$100*'Equipment List &amp; Usage'!$AB32*SelfQuarantine_Mild)+('Weekly Summary'!X$101*'Equipment List &amp; Usage'!$AB32*SelfQuarantine_Moderate)))+IF('Equipment List &amp; Usage'!$F32="Yes",('Equipment List &amp; Usage'!$C$114*(IF('Equipment List &amp; Usage'!$AE32&gt;0,'Weekly Summary'!X$134,0)+IF('Equipment List &amp; Usage'!$AF32&gt;0,'Weekly Summary'!X$135))),'Equipment List &amp; Usage'!$C$115*(('Weekly Summary'!X$134*'Equipment List &amp; Usage'!$AE32)+('Weekly Summary'!X$135*'Equipment List &amp; Usage'!$AF32)))),0)</f>
        <v>0</v>
      </c>
      <c r="AE30" s="1374">
        <f ca="1">MAX(IF($F30="Yes",(
IF($F30="yes",MMULT(--('Equipment List &amp; Usage'!$J32:$N32&gt;0),--('Weekly Summary'!Y$112:Y$116))*'Equipment List &amp; Usage'!$C$114,MMULT(--('Equipment List &amp; Usage'!$J32:$N32),--('Weekly Summary'!Y$112:Y$116))*'Equipment List &amp; Usage'!$C$115)+IF('Equipment List &amp; Usage'!$F31="yes",'Equipment List &amp; Usage'!$C$114,'Equipment List &amp; Usage'!$C$115)*(('Weekly Summary'!Y$66*'Equipment List &amp; Usage'!$Q32)+('Weekly Summary'!Y$64*'Equipment List &amp; Usage'!$O32)+('Weekly Summary'!Y$65*'Equipment List &amp; Usage'!$P32)))+(IF('Equipment List &amp; Usage'!$F32="Yes",'Equipment List &amp; Usage'!$C$114*((('Weekly Summary'!Y$131*SelfQuarantine_Mild)+('Weekly Summary'!Y$100*SelfQuarantine_Mild)+('Weekly Summary'!Y$101*SelfQuarantine_Moderate))),'Equipment List &amp; Usage'!$C$115)*((('Weekly Summary'!Y$131*SelfQuarantine_Mild*'Equipment List &amp; Usage'!$W32)+('Weekly Summary'!Y$100*SelfQuarantine_Mild*'Equipment List &amp; Usage'!$X32)+('Weekly Summary'!Y$101*SelfQuarantine_Moderate*'Equipment List &amp; Usage'!$X32)))+IF('Equipment List &amp; Usage'!$F32="Yes",'Equipment List &amp; Usage'!$C$114*(IF('Equipment List &amp; Usage'!$AA32&gt;0,'Weekly Summary'!Y$128,0)+IF('Equipment List &amp; Usage'!$AB32&gt;0,'Weekly Summary'!Y$100+'Weekly Summary'!Y$101,0)),'Equipment List &amp; Usage'!$C$115*(('Weekly Summary'!Y$128*'Equipment List &amp; Usage'!$AA32)+('Weekly Summary'!Y$100*'Equipment List &amp; Usage'!$AB32*SelfQuarantine_Mild)+('Weekly Summary'!Y$101*'Equipment List &amp; Usage'!$AB32*SelfQuarantine_Moderate)))+IF('Equipment List &amp; Usage'!$F32="Yes",('Equipment List &amp; Usage'!$C$114*(IF('Equipment List &amp; Usage'!$AE32&gt;0,'Weekly Summary'!Y$134,0)+IF('Equipment List &amp; Usage'!$AF32&gt;0,'Weekly Summary'!Y$135))),'Equipment List &amp; Usage'!$C$115*(('Weekly Summary'!Y$134*'Equipment List &amp; Usage'!$AE32)+('Weekly Summary'!Y$135*'Equipment List &amp; Usage'!$AF32))))-SUM($I30:AD30),
IF($F30="yes",MMULT(--('Equipment List &amp; Usage'!$J32:$N32&gt;0),--('Weekly Summary'!Y$112:Y$116))*'Equipment List &amp; Usage'!$C$114,MMULT(--('Equipment List &amp; Usage'!$J32:$N32),--('Weekly Summary'!Y$112:Y$116))*'Equipment List &amp; Usage'!$C$115)+IF('Equipment List &amp; Usage'!$F31="yes",'Equipment List &amp; Usage'!$C$114,'Equipment List &amp; Usage'!$C$115)*(('Weekly Summary'!Y$66*'Equipment List &amp; Usage'!$Q32)+('Weekly Summary'!Y$64*'Equipment List &amp; Usage'!$O32)+('Weekly Summary'!Y$65*'Equipment List &amp; Usage'!$P32))+(IF('Equipment List &amp; Usage'!$F32="Yes",'Equipment List &amp; Usage'!$C$114*((('Weekly Summary'!Y$131*SelfQuarantine_Mild)+('Weekly Summary'!Y$100*SelfQuarantine_Mild)+('Weekly Summary'!Y$101*SelfQuarantine_Moderate))),'Equipment List &amp; Usage'!$C$115)*((('Weekly Summary'!Y$131*SelfQuarantine_Mild*'Equipment List &amp; Usage'!$W32)+('Weekly Summary'!Y$100*SelfQuarantine_Mild*'Equipment List &amp; Usage'!$X32)+('Weekly Summary'!Y$101*SelfQuarantine_Moderate*'Equipment List &amp; Usage'!$X32))))+IF('Equipment List &amp; Usage'!$F32="Yes",'Equipment List &amp; Usage'!$C$114*(IF('Equipment List &amp; Usage'!$AA32&gt;0,'Weekly Summary'!Y$128,0)+IF('Equipment List &amp; Usage'!$AB32&gt;0,'Weekly Summary'!Y$100+'Weekly Summary'!Y$101,0)),'Equipment List &amp; Usage'!$C$115*(('Weekly Summary'!Y$128*'Equipment List &amp; Usage'!$AA32)+('Weekly Summary'!Y$100*'Equipment List &amp; Usage'!$AB32*SelfQuarantine_Mild)+('Weekly Summary'!Y$101*'Equipment List &amp; Usage'!$AB32*SelfQuarantine_Moderate)))+IF('Equipment List &amp; Usage'!$F32="Yes",('Equipment List &amp; Usage'!$C$114*(IF('Equipment List &amp; Usage'!$AE32&gt;0,'Weekly Summary'!Y$134,0)+IF('Equipment List &amp; Usage'!$AF32&gt;0,'Weekly Summary'!Y$135))),'Equipment List &amp; Usage'!$C$115*(('Weekly Summary'!Y$134*'Equipment List &amp; Usage'!$AE32)+('Weekly Summary'!Y$135*'Equipment List &amp; Usage'!$AF32)))),0)</f>
        <v>0</v>
      </c>
      <c r="AF30" s="1374">
        <f ca="1">MAX(IF($F30="Yes",(
IF($F30="yes",MMULT(--('Equipment List &amp; Usage'!$J32:$N32&gt;0),--('Weekly Summary'!Z$112:Z$116))*'Equipment List &amp; Usage'!$C$114,MMULT(--('Equipment List &amp; Usage'!$J32:$N32),--('Weekly Summary'!Z$112:Z$116))*'Equipment List &amp; Usage'!$C$115)+IF('Equipment List &amp; Usage'!$F31="yes",'Equipment List &amp; Usage'!$C$114,'Equipment List &amp; Usage'!$C$115)*(('Weekly Summary'!Z$66*'Equipment List &amp; Usage'!$Q32)+('Weekly Summary'!Z$64*'Equipment List &amp; Usage'!$O32)+('Weekly Summary'!Z$65*'Equipment List &amp; Usage'!$P32)))+(IF('Equipment List &amp; Usage'!$F32="Yes",'Equipment List &amp; Usage'!$C$114*((('Weekly Summary'!Z$131*SelfQuarantine_Mild)+('Weekly Summary'!Z$100*SelfQuarantine_Mild)+('Weekly Summary'!Z$101*SelfQuarantine_Moderate))),'Equipment List &amp; Usage'!$C$115)*((('Weekly Summary'!Z$131*SelfQuarantine_Mild*'Equipment List &amp; Usage'!$W32)+('Weekly Summary'!Z$100*SelfQuarantine_Mild*'Equipment List &amp; Usage'!$X32)+('Weekly Summary'!Z$101*SelfQuarantine_Moderate*'Equipment List &amp; Usage'!$X32)))+IF('Equipment List &amp; Usage'!$F32="Yes",'Equipment List &amp; Usage'!$C$114*(IF('Equipment List &amp; Usage'!$AA32&gt;0,'Weekly Summary'!Z$128,0)+IF('Equipment List &amp; Usage'!$AB32&gt;0,'Weekly Summary'!Z$100+'Weekly Summary'!Z$101,0)),'Equipment List &amp; Usage'!$C$115*(('Weekly Summary'!Z$128*'Equipment List &amp; Usage'!$AA32)+('Weekly Summary'!Z$100*'Equipment List &amp; Usage'!$AB32*SelfQuarantine_Mild)+('Weekly Summary'!Z$101*'Equipment List &amp; Usage'!$AB32*SelfQuarantine_Moderate)))+IF('Equipment List &amp; Usage'!$F32="Yes",('Equipment List &amp; Usage'!$C$114*(IF('Equipment List &amp; Usage'!$AE32&gt;0,'Weekly Summary'!Z$134,0)+IF('Equipment List &amp; Usage'!$AF32&gt;0,'Weekly Summary'!Z$135))),'Equipment List &amp; Usage'!$C$115*(('Weekly Summary'!Z$134*'Equipment List &amp; Usage'!$AE32)+('Weekly Summary'!Z$135*'Equipment List &amp; Usage'!$AF32))))-SUM($I30:AE30),
IF($F30="yes",MMULT(--('Equipment List &amp; Usage'!$J32:$N32&gt;0),--('Weekly Summary'!Z$112:Z$116))*'Equipment List &amp; Usage'!$C$114,MMULT(--('Equipment List &amp; Usage'!$J32:$N32),--('Weekly Summary'!Z$112:Z$116))*'Equipment List &amp; Usage'!$C$115)+IF('Equipment List &amp; Usage'!$F31="yes",'Equipment List &amp; Usage'!$C$114,'Equipment List &amp; Usage'!$C$115)*(('Weekly Summary'!Z$66*'Equipment List &amp; Usage'!$Q32)+('Weekly Summary'!Z$64*'Equipment List &amp; Usage'!$O32)+('Weekly Summary'!Z$65*'Equipment List &amp; Usage'!$P32))+(IF('Equipment List &amp; Usage'!$F32="Yes",'Equipment List &amp; Usage'!$C$114*((('Weekly Summary'!Z$131*SelfQuarantine_Mild)+('Weekly Summary'!Z$100*SelfQuarantine_Mild)+('Weekly Summary'!Z$101*SelfQuarantine_Moderate))),'Equipment List &amp; Usage'!$C$115)*((('Weekly Summary'!Z$131*SelfQuarantine_Mild*'Equipment List &amp; Usage'!$W32)+('Weekly Summary'!Z$100*SelfQuarantine_Mild*'Equipment List &amp; Usage'!$X32)+('Weekly Summary'!Z$101*SelfQuarantine_Moderate*'Equipment List &amp; Usage'!$X32))))+IF('Equipment List &amp; Usage'!$F32="Yes",'Equipment List &amp; Usage'!$C$114*(IF('Equipment List &amp; Usage'!$AA32&gt;0,'Weekly Summary'!Z$128,0)+IF('Equipment List &amp; Usage'!$AB32&gt;0,'Weekly Summary'!Z$100+'Weekly Summary'!Z$101,0)),'Equipment List &amp; Usage'!$C$115*(('Weekly Summary'!Z$128*'Equipment List &amp; Usage'!$AA32)+('Weekly Summary'!Z$100*'Equipment List &amp; Usage'!$AB32*SelfQuarantine_Mild)+('Weekly Summary'!Z$101*'Equipment List &amp; Usage'!$AB32*SelfQuarantine_Moderate)))+IF('Equipment List &amp; Usage'!$F32="Yes",('Equipment List &amp; Usage'!$C$114*(IF('Equipment List &amp; Usage'!$AE32&gt;0,'Weekly Summary'!Z$134,0)+IF('Equipment List &amp; Usage'!$AF32&gt;0,'Weekly Summary'!Z$135))),'Equipment List &amp; Usage'!$C$115*(('Weekly Summary'!Z$134*'Equipment List &amp; Usage'!$AE32)+('Weekly Summary'!Z$135*'Equipment List &amp; Usage'!$AF32)))),0)</f>
        <v>0</v>
      </c>
      <c r="AG30" s="1374">
        <f ca="1">MAX(IF($F30="Yes",(
IF($F30="yes",MMULT(--('Equipment List &amp; Usage'!$J32:$N32&gt;0),--('Weekly Summary'!AA$112:AA$116))*'Equipment List &amp; Usage'!$C$114,MMULT(--('Equipment List &amp; Usage'!$J32:$N32),--('Weekly Summary'!AA$112:AA$116))*'Equipment List &amp; Usage'!$C$115)+IF('Equipment List &amp; Usage'!$F31="yes",'Equipment List &amp; Usage'!$C$114,'Equipment List &amp; Usage'!$C$115)*(('Weekly Summary'!AA$66*'Equipment List &amp; Usage'!$Q32)+('Weekly Summary'!AA$64*'Equipment List &amp; Usage'!$O32)+('Weekly Summary'!AA$65*'Equipment List &amp; Usage'!$P32)))+(IF('Equipment List &amp; Usage'!$F32="Yes",'Equipment List &amp; Usage'!$C$114*((('Weekly Summary'!AA$131*SelfQuarantine_Mild)+('Weekly Summary'!AA$100*SelfQuarantine_Mild)+('Weekly Summary'!AA$101*SelfQuarantine_Moderate))),'Equipment List &amp; Usage'!$C$115)*((('Weekly Summary'!AA$131*SelfQuarantine_Mild*'Equipment List &amp; Usage'!$W32)+('Weekly Summary'!AA$100*SelfQuarantine_Mild*'Equipment List &amp; Usage'!$X32)+('Weekly Summary'!AA$101*SelfQuarantine_Moderate*'Equipment List &amp; Usage'!$X32)))+IF('Equipment List &amp; Usage'!$F32="Yes",'Equipment List &amp; Usage'!$C$114*(IF('Equipment List &amp; Usage'!$AA32&gt;0,'Weekly Summary'!AA$128,0)+IF('Equipment List &amp; Usage'!$AB32&gt;0,'Weekly Summary'!AA$100+'Weekly Summary'!AA$101,0)),'Equipment List &amp; Usage'!$C$115*(('Weekly Summary'!AA$128*'Equipment List &amp; Usage'!$AA32)+('Weekly Summary'!AA$100*'Equipment List &amp; Usage'!$AB32*SelfQuarantine_Mild)+('Weekly Summary'!AA$101*'Equipment List &amp; Usage'!$AB32*SelfQuarantine_Moderate)))+IF('Equipment List &amp; Usage'!$F32="Yes",('Equipment List &amp; Usage'!$C$114*(IF('Equipment List &amp; Usage'!$AE32&gt;0,'Weekly Summary'!AA$134,0)+IF('Equipment List &amp; Usage'!$AF32&gt;0,'Weekly Summary'!AA$135))),'Equipment List &amp; Usage'!$C$115*(('Weekly Summary'!AA$134*'Equipment List &amp; Usage'!$AE32)+('Weekly Summary'!AA$135*'Equipment List &amp; Usage'!$AF32))))-SUM($I30:AF30),
IF($F30="yes",MMULT(--('Equipment List &amp; Usage'!$J32:$N32&gt;0),--('Weekly Summary'!AA$112:AA$116))*'Equipment List &amp; Usage'!$C$114,MMULT(--('Equipment List &amp; Usage'!$J32:$N32),--('Weekly Summary'!AA$112:AA$116))*'Equipment List &amp; Usage'!$C$115)+IF('Equipment List &amp; Usage'!$F31="yes",'Equipment List &amp; Usage'!$C$114,'Equipment List &amp; Usage'!$C$115)*(('Weekly Summary'!AA$66*'Equipment List &amp; Usage'!$Q32)+('Weekly Summary'!AA$64*'Equipment List &amp; Usage'!$O32)+('Weekly Summary'!AA$65*'Equipment List &amp; Usage'!$P32))+(IF('Equipment List &amp; Usage'!$F32="Yes",'Equipment List &amp; Usage'!$C$114*((('Weekly Summary'!AA$131*SelfQuarantine_Mild)+('Weekly Summary'!AA$100*SelfQuarantine_Mild)+('Weekly Summary'!AA$101*SelfQuarantine_Moderate))),'Equipment List &amp; Usage'!$C$115)*((('Weekly Summary'!AA$131*SelfQuarantine_Mild*'Equipment List &amp; Usage'!$W32)+('Weekly Summary'!AA$100*SelfQuarantine_Mild*'Equipment List &amp; Usage'!$X32)+('Weekly Summary'!AA$101*SelfQuarantine_Moderate*'Equipment List &amp; Usage'!$X32))))+IF('Equipment List &amp; Usage'!$F32="Yes",'Equipment List &amp; Usage'!$C$114*(IF('Equipment List &amp; Usage'!$AA32&gt;0,'Weekly Summary'!AA$128,0)+IF('Equipment List &amp; Usage'!$AB32&gt;0,'Weekly Summary'!AA$100+'Weekly Summary'!AA$101,0)),'Equipment List &amp; Usage'!$C$115*(('Weekly Summary'!AA$128*'Equipment List &amp; Usage'!$AA32)+('Weekly Summary'!AA$100*'Equipment List &amp; Usage'!$AB32*SelfQuarantine_Mild)+('Weekly Summary'!AA$101*'Equipment List &amp; Usage'!$AB32*SelfQuarantine_Moderate)))+IF('Equipment List &amp; Usage'!$F32="Yes",('Equipment List &amp; Usage'!$C$114*(IF('Equipment List &amp; Usage'!$AE32&gt;0,'Weekly Summary'!AA$134,0)+IF('Equipment List &amp; Usage'!$AF32&gt;0,'Weekly Summary'!AA$135))),'Equipment List &amp; Usage'!$C$115*(('Weekly Summary'!AA$134*'Equipment List &amp; Usage'!$AE32)+('Weekly Summary'!AA$135*'Equipment List &amp; Usage'!$AF32)))),0)</f>
        <v>0</v>
      </c>
      <c r="AH30" s="1374">
        <f ca="1">MAX(IF($F30="Yes",(
IF($F30="yes",MMULT(--('Equipment List &amp; Usage'!$J32:$N32&gt;0),--('Weekly Summary'!AB$112:AB$116))*'Equipment List &amp; Usage'!$C$114,MMULT(--('Equipment List &amp; Usage'!$J32:$N32),--('Weekly Summary'!AB$112:AB$116))*'Equipment List &amp; Usage'!$C$115)+IF('Equipment List &amp; Usage'!$F31="yes",'Equipment List &amp; Usage'!$C$114,'Equipment List &amp; Usage'!$C$115)*(('Weekly Summary'!AB$66*'Equipment List &amp; Usage'!$Q32)+('Weekly Summary'!AB$64*'Equipment List &amp; Usage'!$O32)+('Weekly Summary'!AB$65*'Equipment List &amp; Usage'!$P32)))+(IF('Equipment List &amp; Usage'!$F32="Yes",'Equipment List &amp; Usage'!$C$114*((('Weekly Summary'!AB$131*SelfQuarantine_Mild)+('Weekly Summary'!AB$100*SelfQuarantine_Mild)+('Weekly Summary'!AB$101*SelfQuarantine_Moderate))),'Equipment List &amp; Usage'!$C$115)*((('Weekly Summary'!AB$131*SelfQuarantine_Mild*'Equipment List &amp; Usage'!$W32)+('Weekly Summary'!AB$100*SelfQuarantine_Mild*'Equipment List &amp; Usage'!$X32)+('Weekly Summary'!AB$101*SelfQuarantine_Moderate*'Equipment List &amp; Usage'!$X32)))+IF('Equipment List &amp; Usage'!$F32="Yes",'Equipment List &amp; Usage'!$C$114*(IF('Equipment List &amp; Usage'!$AA32&gt;0,'Weekly Summary'!AB$128,0)+IF('Equipment List &amp; Usage'!$AB32&gt;0,'Weekly Summary'!AB$100+'Weekly Summary'!AB$101,0)),'Equipment List &amp; Usage'!$C$115*(('Weekly Summary'!AB$128*'Equipment List &amp; Usage'!$AA32)+('Weekly Summary'!AB$100*'Equipment List &amp; Usage'!$AB32*SelfQuarantine_Mild)+('Weekly Summary'!AB$101*'Equipment List &amp; Usage'!$AB32*SelfQuarantine_Moderate)))+IF('Equipment List &amp; Usage'!$F32="Yes",('Equipment List &amp; Usage'!$C$114*(IF('Equipment List &amp; Usage'!$AE32&gt;0,'Weekly Summary'!AB$134,0)+IF('Equipment List &amp; Usage'!$AF32&gt;0,'Weekly Summary'!AB$135))),'Equipment List &amp; Usage'!$C$115*(('Weekly Summary'!AB$134*'Equipment List &amp; Usage'!$AE32)+('Weekly Summary'!AB$135*'Equipment List &amp; Usage'!$AF32))))-SUM($I30:AG30),
IF($F30="yes",MMULT(--('Equipment List &amp; Usage'!$J32:$N32&gt;0),--('Weekly Summary'!AB$112:AB$116))*'Equipment List &amp; Usage'!$C$114,MMULT(--('Equipment List &amp; Usage'!$J32:$N32),--('Weekly Summary'!AB$112:AB$116))*'Equipment List &amp; Usage'!$C$115)+IF('Equipment List &amp; Usage'!$F31="yes",'Equipment List &amp; Usage'!$C$114,'Equipment List &amp; Usage'!$C$115)*(('Weekly Summary'!AB$66*'Equipment List &amp; Usage'!$Q32)+('Weekly Summary'!AB$64*'Equipment List &amp; Usage'!$O32)+('Weekly Summary'!AB$65*'Equipment List &amp; Usage'!$P32))+(IF('Equipment List &amp; Usage'!$F32="Yes",'Equipment List &amp; Usage'!$C$114*((('Weekly Summary'!AB$131*SelfQuarantine_Mild)+('Weekly Summary'!AB$100*SelfQuarantine_Mild)+('Weekly Summary'!AB$101*SelfQuarantine_Moderate))),'Equipment List &amp; Usage'!$C$115)*((('Weekly Summary'!AB$131*SelfQuarantine_Mild*'Equipment List &amp; Usage'!$W32)+('Weekly Summary'!AB$100*SelfQuarantine_Mild*'Equipment List &amp; Usage'!$X32)+('Weekly Summary'!AB$101*SelfQuarantine_Moderate*'Equipment List &amp; Usage'!$X32))))+IF('Equipment List &amp; Usage'!$F32="Yes",'Equipment List &amp; Usage'!$C$114*(IF('Equipment List &amp; Usage'!$AA32&gt;0,'Weekly Summary'!AB$128,0)+IF('Equipment List &amp; Usage'!$AB32&gt;0,'Weekly Summary'!AB$100+'Weekly Summary'!AB$101,0)),'Equipment List &amp; Usage'!$C$115*(('Weekly Summary'!AB$128*'Equipment List &amp; Usage'!$AA32)+('Weekly Summary'!AB$100*'Equipment List &amp; Usage'!$AB32*SelfQuarantine_Mild)+('Weekly Summary'!AB$101*'Equipment List &amp; Usage'!$AB32*SelfQuarantine_Moderate)))+IF('Equipment List &amp; Usage'!$F32="Yes",('Equipment List &amp; Usage'!$C$114*(IF('Equipment List &amp; Usage'!$AE32&gt;0,'Weekly Summary'!AB$134,0)+IF('Equipment List &amp; Usage'!$AF32&gt;0,'Weekly Summary'!AB$135))),'Equipment List &amp; Usage'!$C$115*(('Weekly Summary'!AB$134*'Equipment List &amp; Usage'!$AE32)+('Weekly Summary'!AB$135*'Equipment List &amp; Usage'!$AF32)))),0)</f>
        <v>0</v>
      </c>
      <c r="AI30" s="1374">
        <f ca="1">MAX(IF($F30="Yes",(
IF($F30="yes",MMULT(--('Equipment List &amp; Usage'!$J32:$N32&gt;0),--('Weekly Summary'!AC$112:AC$116))*'Equipment List &amp; Usage'!$C$114,MMULT(--('Equipment List &amp; Usage'!$J32:$N32),--('Weekly Summary'!AC$112:AC$116))*'Equipment List &amp; Usage'!$C$115)+IF('Equipment List &amp; Usage'!$F31="yes",'Equipment List &amp; Usage'!$C$114,'Equipment List &amp; Usage'!$C$115)*(('Weekly Summary'!AC$66*'Equipment List &amp; Usage'!$Q32)+('Weekly Summary'!AC$64*'Equipment List &amp; Usage'!$O32)+('Weekly Summary'!AC$65*'Equipment List &amp; Usage'!$P32)))+(IF('Equipment List &amp; Usage'!$F32="Yes",'Equipment List &amp; Usage'!$C$114*((('Weekly Summary'!AC$131*SelfQuarantine_Mild)+('Weekly Summary'!AC$100*SelfQuarantine_Mild)+('Weekly Summary'!AC$101*SelfQuarantine_Moderate))),'Equipment List &amp; Usage'!$C$115)*((('Weekly Summary'!AC$131*SelfQuarantine_Mild*'Equipment List &amp; Usage'!$W32)+('Weekly Summary'!AC$100*SelfQuarantine_Mild*'Equipment List &amp; Usage'!$X32)+('Weekly Summary'!AC$101*SelfQuarantine_Moderate*'Equipment List &amp; Usage'!$X32)))+IF('Equipment List &amp; Usage'!$F32="Yes",'Equipment List &amp; Usage'!$C$114*(IF('Equipment List &amp; Usage'!$AA32&gt;0,'Weekly Summary'!AC$128,0)+IF('Equipment List &amp; Usage'!$AB32&gt;0,'Weekly Summary'!AC$100+'Weekly Summary'!AC$101,0)),'Equipment List &amp; Usage'!$C$115*(('Weekly Summary'!AC$128*'Equipment List &amp; Usage'!$AA32)+('Weekly Summary'!AC$100*'Equipment List &amp; Usage'!$AB32*SelfQuarantine_Mild)+('Weekly Summary'!AC$101*'Equipment List &amp; Usage'!$AB32*SelfQuarantine_Moderate)))+IF('Equipment List &amp; Usage'!$F32="Yes",('Equipment List &amp; Usage'!$C$114*(IF('Equipment List &amp; Usage'!$AE32&gt;0,'Weekly Summary'!AC$134,0)+IF('Equipment List &amp; Usage'!$AF32&gt;0,'Weekly Summary'!AC$135))),'Equipment List &amp; Usage'!$C$115*(('Weekly Summary'!AC$134*'Equipment List &amp; Usage'!$AE32)+('Weekly Summary'!AC$135*'Equipment List &amp; Usage'!$AF32))))-SUM($I30:AH30),
IF($F30="yes",MMULT(--('Equipment List &amp; Usage'!$J32:$N32&gt;0),--('Weekly Summary'!AC$112:AC$116))*'Equipment List &amp; Usage'!$C$114,MMULT(--('Equipment List &amp; Usage'!$J32:$N32),--('Weekly Summary'!AC$112:AC$116))*'Equipment List &amp; Usage'!$C$115)+IF('Equipment List &amp; Usage'!$F31="yes",'Equipment List &amp; Usage'!$C$114,'Equipment List &amp; Usage'!$C$115)*(('Weekly Summary'!AC$66*'Equipment List &amp; Usage'!$Q32)+('Weekly Summary'!AC$64*'Equipment List &amp; Usage'!$O32)+('Weekly Summary'!AC$65*'Equipment List &amp; Usage'!$P32))+(IF('Equipment List &amp; Usage'!$F32="Yes",'Equipment List &amp; Usage'!$C$114*((('Weekly Summary'!AC$131*SelfQuarantine_Mild)+('Weekly Summary'!AC$100*SelfQuarantine_Mild)+('Weekly Summary'!AC$101*SelfQuarantine_Moderate))),'Equipment List &amp; Usage'!$C$115)*((('Weekly Summary'!AC$131*SelfQuarantine_Mild*'Equipment List &amp; Usage'!$W32)+('Weekly Summary'!AC$100*SelfQuarantine_Mild*'Equipment List &amp; Usage'!$X32)+('Weekly Summary'!AC$101*SelfQuarantine_Moderate*'Equipment List &amp; Usage'!$X32))))+IF('Equipment List &amp; Usage'!$F32="Yes",'Equipment List &amp; Usage'!$C$114*(IF('Equipment List &amp; Usage'!$AA32&gt;0,'Weekly Summary'!AC$128,0)+IF('Equipment List &amp; Usage'!$AB32&gt;0,'Weekly Summary'!AC$100+'Weekly Summary'!AC$101,0)),'Equipment List &amp; Usage'!$C$115*(('Weekly Summary'!AC$128*'Equipment List &amp; Usage'!$AA32)+('Weekly Summary'!AC$100*'Equipment List &amp; Usage'!$AB32*SelfQuarantine_Mild)+('Weekly Summary'!AC$101*'Equipment List &amp; Usage'!$AB32*SelfQuarantine_Moderate)))+IF('Equipment List &amp; Usage'!$F32="Yes",('Equipment List &amp; Usage'!$C$114*(IF('Equipment List &amp; Usage'!$AE32&gt;0,'Weekly Summary'!AC$134,0)+IF('Equipment List &amp; Usage'!$AF32&gt;0,'Weekly Summary'!AC$135))),'Equipment List &amp; Usage'!$C$115*(('Weekly Summary'!AC$134*'Equipment List &amp; Usage'!$AE32)+('Weekly Summary'!AC$135*'Equipment List &amp; Usage'!$AF32)))),0)</f>
        <v>0</v>
      </c>
      <c r="AJ30" s="1374">
        <f ca="1">MAX(IF($F30="Yes",(
IF($F30="yes",MMULT(--('Equipment List &amp; Usage'!$J32:$N32&gt;0),--('Weekly Summary'!AD$112:AD$116))*'Equipment List &amp; Usage'!$C$114,MMULT(--('Equipment List &amp; Usage'!$J32:$N32),--('Weekly Summary'!AD$112:AD$116))*'Equipment List &amp; Usage'!$C$115)+IF('Equipment List &amp; Usage'!$F31="yes",'Equipment List &amp; Usage'!$C$114,'Equipment List &amp; Usage'!$C$115)*(('Weekly Summary'!AD$66*'Equipment List &amp; Usage'!$Q32)+('Weekly Summary'!AD$64*'Equipment List &amp; Usage'!$O32)+('Weekly Summary'!AD$65*'Equipment List &amp; Usage'!$P32)))+(IF('Equipment List &amp; Usage'!$F32="Yes",'Equipment List &amp; Usage'!$C$114*((('Weekly Summary'!AD$131*SelfQuarantine_Mild)+('Weekly Summary'!AD$100*SelfQuarantine_Mild)+('Weekly Summary'!AD$101*SelfQuarantine_Moderate))),'Equipment List &amp; Usage'!$C$115)*((('Weekly Summary'!AD$131*SelfQuarantine_Mild*'Equipment List &amp; Usage'!$W32)+('Weekly Summary'!AD$100*SelfQuarantine_Mild*'Equipment List &amp; Usage'!$X32)+('Weekly Summary'!AD$101*SelfQuarantine_Moderate*'Equipment List &amp; Usage'!$X32)))+IF('Equipment List &amp; Usage'!$F32="Yes",'Equipment List &amp; Usage'!$C$114*(IF('Equipment List &amp; Usage'!$AA32&gt;0,'Weekly Summary'!AD$128,0)+IF('Equipment List &amp; Usage'!$AB32&gt;0,'Weekly Summary'!AD$100+'Weekly Summary'!AD$101,0)),'Equipment List &amp; Usage'!$C$115*(('Weekly Summary'!AD$128*'Equipment List &amp; Usage'!$AA32)+('Weekly Summary'!AD$100*'Equipment List &amp; Usage'!$AB32*SelfQuarantine_Mild)+('Weekly Summary'!AD$101*'Equipment List &amp; Usage'!$AB32*SelfQuarantine_Moderate)))+IF('Equipment List &amp; Usage'!$F32="Yes",('Equipment List &amp; Usage'!$C$114*(IF('Equipment List &amp; Usage'!$AE32&gt;0,'Weekly Summary'!AD$134,0)+IF('Equipment List &amp; Usage'!$AF32&gt;0,'Weekly Summary'!AD$135))),'Equipment List &amp; Usage'!$C$115*(('Weekly Summary'!AD$134*'Equipment List &amp; Usage'!$AE32)+('Weekly Summary'!AD$135*'Equipment List &amp; Usage'!$AF32))))-SUM($I30:AI30),
IF($F30="yes",MMULT(--('Equipment List &amp; Usage'!$J32:$N32&gt;0),--('Weekly Summary'!AD$112:AD$116))*'Equipment List &amp; Usage'!$C$114,MMULT(--('Equipment List &amp; Usage'!$J32:$N32),--('Weekly Summary'!AD$112:AD$116))*'Equipment List &amp; Usage'!$C$115)+IF('Equipment List &amp; Usage'!$F31="yes",'Equipment List &amp; Usage'!$C$114,'Equipment List &amp; Usage'!$C$115)*(('Weekly Summary'!AD$66*'Equipment List &amp; Usage'!$Q32)+('Weekly Summary'!AD$64*'Equipment List &amp; Usage'!$O32)+('Weekly Summary'!AD$65*'Equipment List &amp; Usage'!$P32))+(IF('Equipment List &amp; Usage'!$F32="Yes",'Equipment List &amp; Usage'!$C$114*((('Weekly Summary'!AD$131*SelfQuarantine_Mild)+('Weekly Summary'!AD$100*SelfQuarantine_Mild)+('Weekly Summary'!AD$101*SelfQuarantine_Moderate))),'Equipment List &amp; Usage'!$C$115)*((('Weekly Summary'!AD$131*SelfQuarantine_Mild*'Equipment List &amp; Usage'!$W32)+('Weekly Summary'!AD$100*SelfQuarantine_Mild*'Equipment List &amp; Usage'!$X32)+('Weekly Summary'!AD$101*SelfQuarantine_Moderate*'Equipment List &amp; Usage'!$X32))))+IF('Equipment List &amp; Usage'!$F32="Yes",'Equipment List &amp; Usage'!$C$114*(IF('Equipment List &amp; Usage'!$AA32&gt;0,'Weekly Summary'!AD$128,0)+IF('Equipment List &amp; Usage'!$AB32&gt;0,'Weekly Summary'!AD$100+'Weekly Summary'!AD$101,0)),'Equipment List &amp; Usage'!$C$115*(('Weekly Summary'!AD$128*'Equipment List &amp; Usage'!$AA32)+('Weekly Summary'!AD$100*'Equipment List &amp; Usage'!$AB32*SelfQuarantine_Mild)+('Weekly Summary'!AD$101*'Equipment List &amp; Usage'!$AB32*SelfQuarantine_Moderate)))+IF('Equipment List &amp; Usage'!$F32="Yes",('Equipment List &amp; Usage'!$C$114*(IF('Equipment List &amp; Usage'!$AE32&gt;0,'Weekly Summary'!AD$134,0)+IF('Equipment List &amp; Usage'!$AF32&gt;0,'Weekly Summary'!AD$135))),'Equipment List &amp; Usage'!$C$115*(('Weekly Summary'!AD$134*'Equipment List &amp; Usage'!$AE32)+('Weekly Summary'!AD$135*'Equipment List &amp; Usage'!$AF32)))),0)</f>
        <v>0</v>
      </c>
      <c r="AK30" s="1374">
        <f ca="1">MAX(IF($F30="Yes",(
IF($F30="yes",MMULT(--('Equipment List &amp; Usage'!$J32:$N32&gt;0),--('Weekly Summary'!AE$112:AE$116))*'Equipment List &amp; Usage'!$C$114,MMULT(--('Equipment List &amp; Usage'!$J32:$N32),--('Weekly Summary'!AE$112:AE$116))*'Equipment List &amp; Usage'!$C$115)+IF('Equipment List &amp; Usage'!$F31="yes",'Equipment List &amp; Usage'!$C$114,'Equipment List &amp; Usage'!$C$115)*(('Weekly Summary'!AE$66*'Equipment List &amp; Usage'!$Q32)+('Weekly Summary'!AE$64*'Equipment List &amp; Usage'!$O32)+('Weekly Summary'!AE$65*'Equipment List &amp; Usage'!$P32)))+(IF('Equipment List &amp; Usage'!$F32="Yes",'Equipment List &amp; Usage'!$C$114*((('Weekly Summary'!AE$131*SelfQuarantine_Mild)+('Weekly Summary'!AE$100*SelfQuarantine_Mild)+('Weekly Summary'!AE$101*SelfQuarantine_Moderate))),'Equipment List &amp; Usage'!$C$115)*((('Weekly Summary'!AE$131*SelfQuarantine_Mild*'Equipment List &amp; Usage'!$W32)+('Weekly Summary'!AE$100*SelfQuarantine_Mild*'Equipment List &amp; Usage'!$X32)+('Weekly Summary'!AE$101*SelfQuarantine_Moderate*'Equipment List &amp; Usage'!$X32)))+IF('Equipment List &amp; Usage'!$F32="Yes",'Equipment List &amp; Usage'!$C$114*(IF('Equipment List &amp; Usage'!$AA32&gt;0,'Weekly Summary'!AE$128,0)+IF('Equipment List &amp; Usage'!$AB32&gt;0,'Weekly Summary'!AE$100+'Weekly Summary'!AE$101,0)),'Equipment List &amp; Usage'!$C$115*(('Weekly Summary'!AE$128*'Equipment List &amp; Usage'!$AA32)+('Weekly Summary'!AE$100*'Equipment List &amp; Usage'!$AB32*SelfQuarantine_Mild)+('Weekly Summary'!AE$101*'Equipment List &amp; Usage'!$AB32*SelfQuarantine_Moderate)))+IF('Equipment List &amp; Usage'!$F32="Yes",('Equipment List &amp; Usage'!$C$114*(IF('Equipment List &amp; Usage'!$AE32&gt;0,'Weekly Summary'!AE$134,0)+IF('Equipment List &amp; Usage'!$AF32&gt;0,'Weekly Summary'!AE$135))),'Equipment List &amp; Usage'!$C$115*(('Weekly Summary'!AE$134*'Equipment List &amp; Usage'!$AE32)+('Weekly Summary'!AE$135*'Equipment List &amp; Usage'!$AF32))))-SUM($I30:AJ30),
IF($F30="yes",MMULT(--('Equipment List &amp; Usage'!$J32:$N32&gt;0),--('Weekly Summary'!AE$112:AE$116))*'Equipment List &amp; Usage'!$C$114,MMULT(--('Equipment List &amp; Usage'!$J32:$N32),--('Weekly Summary'!AE$112:AE$116))*'Equipment List &amp; Usage'!$C$115)+IF('Equipment List &amp; Usage'!$F31="yes",'Equipment List &amp; Usage'!$C$114,'Equipment List &amp; Usage'!$C$115)*(('Weekly Summary'!AE$66*'Equipment List &amp; Usage'!$Q32)+('Weekly Summary'!AE$64*'Equipment List &amp; Usage'!$O32)+('Weekly Summary'!AE$65*'Equipment List &amp; Usage'!$P32))+(IF('Equipment List &amp; Usage'!$F32="Yes",'Equipment List &amp; Usage'!$C$114*((('Weekly Summary'!AE$131*SelfQuarantine_Mild)+('Weekly Summary'!AE$100*SelfQuarantine_Mild)+('Weekly Summary'!AE$101*SelfQuarantine_Moderate))),'Equipment List &amp; Usage'!$C$115)*((('Weekly Summary'!AE$131*SelfQuarantine_Mild*'Equipment List &amp; Usage'!$W32)+('Weekly Summary'!AE$100*SelfQuarantine_Mild*'Equipment List &amp; Usage'!$X32)+('Weekly Summary'!AE$101*SelfQuarantine_Moderate*'Equipment List &amp; Usage'!$X32))))+IF('Equipment List &amp; Usage'!$F32="Yes",'Equipment List &amp; Usage'!$C$114*(IF('Equipment List &amp; Usage'!$AA32&gt;0,'Weekly Summary'!AE$128,0)+IF('Equipment List &amp; Usage'!$AB32&gt;0,'Weekly Summary'!AE$100+'Weekly Summary'!AE$101,0)),'Equipment List &amp; Usage'!$C$115*(('Weekly Summary'!AE$128*'Equipment List &amp; Usage'!$AA32)+('Weekly Summary'!AE$100*'Equipment List &amp; Usage'!$AB32*SelfQuarantine_Mild)+('Weekly Summary'!AE$101*'Equipment List &amp; Usage'!$AB32*SelfQuarantine_Moderate)))+IF('Equipment List &amp; Usage'!$F32="Yes",('Equipment List &amp; Usage'!$C$114*(IF('Equipment List &amp; Usage'!$AE32&gt;0,'Weekly Summary'!AE$134,0)+IF('Equipment List &amp; Usage'!$AF32&gt;0,'Weekly Summary'!AE$135))),'Equipment List &amp; Usage'!$C$115*(('Weekly Summary'!AE$134*'Equipment List &amp; Usage'!$AE32)+('Weekly Summary'!AE$135*'Equipment List &amp; Usage'!$AF32)))),0)</f>
        <v>0</v>
      </c>
      <c r="AL30" s="1374">
        <f ca="1">MAX(IF($F30="Yes",(
IF($F30="yes",MMULT(--('Equipment List &amp; Usage'!$J32:$N32&gt;0),--('Weekly Summary'!AF$112:AF$116))*'Equipment List &amp; Usage'!$C$114,MMULT(--('Equipment List &amp; Usage'!$J32:$N32),--('Weekly Summary'!AF$112:AF$116))*'Equipment List &amp; Usage'!$C$115)+IF('Equipment List &amp; Usage'!$F31="yes",'Equipment List &amp; Usage'!$C$114,'Equipment List &amp; Usage'!$C$115)*(('Weekly Summary'!AF$66*'Equipment List &amp; Usage'!$Q32)+('Weekly Summary'!AF$64*'Equipment List &amp; Usage'!$O32)+('Weekly Summary'!AF$65*'Equipment List &amp; Usage'!$P32)))+(IF('Equipment List &amp; Usage'!$F32="Yes",'Equipment List &amp; Usage'!$C$114*((('Weekly Summary'!AF$131*SelfQuarantine_Mild)+('Weekly Summary'!AF$100*SelfQuarantine_Mild)+('Weekly Summary'!AF$101*SelfQuarantine_Moderate))),'Equipment List &amp; Usage'!$C$115)*((('Weekly Summary'!AF$131*SelfQuarantine_Mild*'Equipment List &amp; Usage'!$W32)+('Weekly Summary'!AF$100*SelfQuarantine_Mild*'Equipment List &amp; Usage'!$X32)+('Weekly Summary'!AF$101*SelfQuarantine_Moderate*'Equipment List &amp; Usage'!$X32)))+IF('Equipment List &amp; Usage'!$F32="Yes",'Equipment List &amp; Usage'!$C$114*(IF('Equipment List &amp; Usage'!$AA32&gt;0,'Weekly Summary'!AF$128,0)+IF('Equipment List &amp; Usage'!$AB32&gt;0,'Weekly Summary'!AF$100+'Weekly Summary'!AF$101,0)),'Equipment List &amp; Usage'!$C$115*(('Weekly Summary'!AF$128*'Equipment List &amp; Usage'!$AA32)+('Weekly Summary'!AF$100*'Equipment List &amp; Usage'!$AB32*SelfQuarantine_Mild)+('Weekly Summary'!AF$101*'Equipment List &amp; Usage'!$AB32*SelfQuarantine_Moderate)))+IF('Equipment List &amp; Usage'!$F32="Yes",('Equipment List &amp; Usage'!$C$114*(IF('Equipment List &amp; Usage'!$AE32&gt;0,'Weekly Summary'!AF$134,0)+IF('Equipment List &amp; Usage'!$AF32&gt;0,'Weekly Summary'!AF$135))),'Equipment List &amp; Usage'!$C$115*(('Weekly Summary'!AF$134*'Equipment List &amp; Usage'!$AE32)+('Weekly Summary'!AF$135*'Equipment List &amp; Usage'!$AF32))))-SUM($I30:AK30),
IF($F30="yes",MMULT(--('Equipment List &amp; Usage'!$J32:$N32&gt;0),--('Weekly Summary'!AF$112:AF$116))*'Equipment List &amp; Usage'!$C$114,MMULT(--('Equipment List &amp; Usage'!$J32:$N32),--('Weekly Summary'!AF$112:AF$116))*'Equipment List &amp; Usage'!$C$115)+IF('Equipment List &amp; Usage'!$F31="yes",'Equipment List &amp; Usage'!$C$114,'Equipment List &amp; Usage'!$C$115)*(('Weekly Summary'!AF$66*'Equipment List &amp; Usage'!$Q32)+('Weekly Summary'!AF$64*'Equipment List &amp; Usage'!$O32)+('Weekly Summary'!AF$65*'Equipment List &amp; Usage'!$P32))+(IF('Equipment List &amp; Usage'!$F32="Yes",'Equipment List &amp; Usage'!$C$114*((('Weekly Summary'!AF$131*SelfQuarantine_Mild)+('Weekly Summary'!AF$100*SelfQuarantine_Mild)+('Weekly Summary'!AF$101*SelfQuarantine_Moderate))),'Equipment List &amp; Usage'!$C$115)*((('Weekly Summary'!AF$131*SelfQuarantine_Mild*'Equipment List &amp; Usage'!$W32)+('Weekly Summary'!AF$100*SelfQuarantine_Mild*'Equipment List &amp; Usage'!$X32)+('Weekly Summary'!AF$101*SelfQuarantine_Moderate*'Equipment List &amp; Usage'!$X32))))+IF('Equipment List &amp; Usage'!$F32="Yes",'Equipment List &amp; Usage'!$C$114*(IF('Equipment List &amp; Usage'!$AA32&gt;0,'Weekly Summary'!AF$128,0)+IF('Equipment List &amp; Usage'!$AB32&gt;0,'Weekly Summary'!AF$100+'Weekly Summary'!AF$101,0)),'Equipment List &amp; Usage'!$C$115*(('Weekly Summary'!AF$128*'Equipment List &amp; Usage'!$AA32)+('Weekly Summary'!AF$100*'Equipment List &amp; Usage'!$AB32*SelfQuarantine_Mild)+('Weekly Summary'!AF$101*'Equipment List &amp; Usage'!$AB32*SelfQuarantine_Moderate)))+IF('Equipment List &amp; Usage'!$F32="Yes",('Equipment List &amp; Usage'!$C$114*(IF('Equipment List &amp; Usage'!$AE32&gt;0,'Weekly Summary'!AF$134,0)+IF('Equipment List &amp; Usage'!$AF32&gt;0,'Weekly Summary'!AF$135))),'Equipment List &amp; Usage'!$C$115*(('Weekly Summary'!AF$134*'Equipment List &amp; Usage'!$AE32)+('Weekly Summary'!AF$135*'Equipment List &amp; Usage'!$AF32)))),0)</f>
        <v>0</v>
      </c>
      <c r="AM30" s="1374">
        <f ca="1">MAX(IF($F30="Yes",(
IF($F30="yes",MMULT(--('Equipment List &amp; Usage'!$J32:$N32&gt;0),--('Weekly Summary'!AG$112:AG$116))*'Equipment List &amp; Usage'!$C$114,MMULT(--('Equipment List &amp; Usage'!$J32:$N32),--('Weekly Summary'!AG$112:AG$116))*'Equipment List &amp; Usage'!$C$115)+IF('Equipment List &amp; Usage'!$F31="yes",'Equipment List &amp; Usage'!$C$114,'Equipment List &amp; Usage'!$C$115)*(('Weekly Summary'!AG$66*'Equipment List &amp; Usage'!$Q32)+('Weekly Summary'!AG$64*'Equipment List &amp; Usage'!$O32)+('Weekly Summary'!AG$65*'Equipment List &amp; Usage'!$P32)))+(IF('Equipment List &amp; Usage'!$F32="Yes",'Equipment List &amp; Usage'!$C$114*((('Weekly Summary'!AG$131*SelfQuarantine_Mild)+('Weekly Summary'!AG$100*SelfQuarantine_Mild)+('Weekly Summary'!AG$101*SelfQuarantine_Moderate))),'Equipment List &amp; Usage'!$C$115)*((('Weekly Summary'!AG$131*SelfQuarantine_Mild*'Equipment List &amp; Usage'!$W32)+('Weekly Summary'!AG$100*SelfQuarantine_Mild*'Equipment List &amp; Usage'!$X32)+('Weekly Summary'!AG$101*SelfQuarantine_Moderate*'Equipment List &amp; Usage'!$X32)))+IF('Equipment List &amp; Usage'!$F32="Yes",'Equipment List &amp; Usage'!$C$114*(IF('Equipment List &amp; Usage'!$AA32&gt;0,'Weekly Summary'!AG$128,0)+IF('Equipment List &amp; Usage'!$AB32&gt;0,'Weekly Summary'!AG$100+'Weekly Summary'!AG$101,0)),'Equipment List &amp; Usage'!$C$115*(('Weekly Summary'!AG$128*'Equipment List &amp; Usage'!$AA32)+('Weekly Summary'!AG$100*'Equipment List &amp; Usage'!$AB32*SelfQuarantine_Mild)+('Weekly Summary'!AG$101*'Equipment List &amp; Usage'!$AB32*SelfQuarantine_Moderate)))+IF('Equipment List &amp; Usage'!$F32="Yes",('Equipment List &amp; Usage'!$C$114*(IF('Equipment List &amp; Usage'!$AE32&gt;0,'Weekly Summary'!AG$134,0)+IF('Equipment List &amp; Usage'!$AF32&gt;0,'Weekly Summary'!AG$135))),'Equipment List &amp; Usage'!$C$115*(('Weekly Summary'!AG$134*'Equipment List &amp; Usage'!$AE32)+('Weekly Summary'!AG$135*'Equipment List &amp; Usage'!$AF32))))-SUM($I30:AL30),
IF($F30="yes",MMULT(--('Equipment List &amp; Usage'!$J32:$N32&gt;0),--('Weekly Summary'!AG$112:AG$116))*'Equipment List &amp; Usage'!$C$114,MMULT(--('Equipment List &amp; Usage'!$J32:$N32),--('Weekly Summary'!AG$112:AG$116))*'Equipment List &amp; Usage'!$C$115)+IF('Equipment List &amp; Usage'!$F31="yes",'Equipment List &amp; Usage'!$C$114,'Equipment List &amp; Usage'!$C$115)*(('Weekly Summary'!AG$66*'Equipment List &amp; Usage'!$Q32)+('Weekly Summary'!AG$64*'Equipment List &amp; Usage'!$O32)+('Weekly Summary'!AG$65*'Equipment List &amp; Usage'!$P32))+(IF('Equipment List &amp; Usage'!$F32="Yes",'Equipment List &amp; Usage'!$C$114*((('Weekly Summary'!AG$131*SelfQuarantine_Mild)+('Weekly Summary'!AG$100*SelfQuarantine_Mild)+('Weekly Summary'!AG$101*SelfQuarantine_Moderate))),'Equipment List &amp; Usage'!$C$115)*((('Weekly Summary'!AG$131*SelfQuarantine_Mild*'Equipment List &amp; Usage'!$W32)+('Weekly Summary'!AG$100*SelfQuarantine_Mild*'Equipment List &amp; Usage'!$X32)+('Weekly Summary'!AG$101*SelfQuarantine_Moderate*'Equipment List &amp; Usage'!$X32))))+IF('Equipment List &amp; Usage'!$F32="Yes",'Equipment List &amp; Usage'!$C$114*(IF('Equipment List &amp; Usage'!$AA32&gt;0,'Weekly Summary'!AG$128,0)+IF('Equipment List &amp; Usage'!$AB32&gt;0,'Weekly Summary'!AG$100+'Weekly Summary'!AG$101,0)),'Equipment List &amp; Usage'!$C$115*(('Weekly Summary'!AG$128*'Equipment List &amp; Usage'!$AA32)+('Weekly Summary'!AG$100*'Equipment List &amp; Usage'!$AB32*SelfQuarantine_Mild)+('Weekly Summary'!AG$101*'Equipment List &amp; Usage'!$AB32*SelfQuarantine_Moderate)))+IF('Equipment List &amp; Usage'!$F32="Yes",('Equipment List &amp; Usage'!$C$114*(IF('Equipment List &amp; Usage'!$AE32&gt;0,'Weekly Summary'!AG$134,0)+IF('Equipment List &amp; Usage'!$AF32&gt;0,'Weekly Summary'!AG$135))),'Equipment List &amp; Usage'!$C$115*(('Weekly Summary'!AG$134*'Equipment List &amp; Usage'!$AE32)+('Weekly Summary'!AG$135*'Equipment List &amp; Usage'!$AF32)))),0)</f>
        <v>0</v>
      </c>
      <c r="AN30" s="1374">
        <f ca="1">MAX(IF($F30="Yes",(
IF($F30="yes",MMULT(--('Equipment List &amp; Usage'!$J32:$N32&gt;0),--('Weekly Summary'!AH$112:AH$116))*'Equipment List &amp; Usage'!$C$114,MMULT(--('Equipment List &amp; Usage'!$J32:$N32),--('Weekly Summary'!AH$112:AH$116))*'Equipment List &amp; Usage'!$C$115)+IF('Equipment List &amp; Usage'!$F31="yes",'Equipment List &amp; Usage'!$C$114,'Equipment List &amp; Usage'!$C$115)*(('Weekly Summary'!AH$66*'Equipment List &amp; Usage'!$Q32)+('Weekly Summary'!AH$64*'Equipment List &amp; Usage'!$O32)+('Weekly Summary'!AH$65*'Equipment List &amp; Usage'!$P32)))+(IF('Equipment List &amp; Usage'!$F32="Yes",'Equipment List &amp; Usage'!$C$114*((('Weekly Summary'!AH$131*SelfQuarantine_Mild)+('Weekly Summary'!AH$100*SelfQuarantine_Mild)+('Weekly Summary'!AH$101*SelfQuarantine_Moderate))),'Equipment List &amp; Usage'!$C$115)*((('Weekly Summary'!AH$131*SelfQuarantine_Mild*'Equipment List &amp; Usage'!$W32)+('Weekly Summary'!AH$100*SelfQuarantine_Mild*'Equipment List &amp; Usage'!$X32)+('Weekly Summary'!AH$101*SelfQuarantine_Moderate*'Equipment List &amp; Usage'!$X32)))+IF('Equipment List &amp; Usage'!$F32="Yes",'Equipment List &amp; Usage'!$C$114*(IF('Equipment List &amp; Usage'!$AA32&gt;0,'Weekly Summary'!AH$128,0)+IF('Equipment List &amp; Usage'!$AB32&gt;0,'Weekly Summary'!AH$100+'Weekly Summary'!AH$101,0)),'Equipment List &amp; Usage'!$C$115*(('Weekly Summary'!AH$128*'Equipment List &amp; Usage'!$AA32)+('Weekly Summary'!AH$100*'Equipment List &amp; Usage'!$AB32*SelfQuarantine_Mild)+('Weekly Summary'!AH$101*'Equipment List &amp; Usage'!$AB32*SelfQuarantine_Moderate)))+IF('Equipment List &amp; Usage'!$F32="Yes",('Equipment List &amp; Usage'!$C$114*(IF('Equipment List &amp; Usage'!$AE32&gt;0,'Weekly Summary'!AH$134,0)+IF('Equipment List &amp; Usage'!$AF32&gt;0,'Weekly Summary'!AH$135))),'Equipment List &amp; Usage'!$C$115*(('Weekly Summary'!AH$134*'Equipment List &amp; Usage'!$AE32)+('Weekly Summary'!AH$135*'Equipment List &amp; Usage'!$AF32))))-SUM($I30:AM30),
IF($F30="yes",MMULT(--('Equipment List &amp; Usage'!$J32:$N32&gt;0),--('Weekly Summary'!AH$112:AH$116))*'Equipment List &amp; Usage'!$C$114,MMULT(--('Equipment List &amp; Usage'!$J32:$N32),--('Weekly Summary'!AH$112:AH$116))*'Equipment List &amp; Usage'!$C$115)+IF('Equipment List &amp; Usage'!$F31="yes",'Equipment List &amp; Usage'!$C$114,'Equipment List &amp; Usage'!$C$115)*(('Weekly Summary'!AH$66*'Equipment List &amp; Usage'!$Q32)+('Weekly Summary'!AH$64*'Equipment List &amp; Usage'!$O32)+('Weekly Summary'!AH$65*'Equipment List &amp; Usage'!$P32))+(IF('Equipment List &amp; Usage'!$F32="Yes",'Equipment List &amp; Usage'!$C$114*((('Weekly Summary'!AH$131*SelfQuarantine_Mild)+('Weekly Summary'!AH$100*SelfQuarantine_Mild)+('Weekly Summary'!AH$101*SelfQuarantine_Moderate))),'Equipment List &amp; Usage'!$C$115)*((('Weekly Summary'!AH$131*SelfQuarantine_Mild*'Equipment List &amp; Usage'!$W32)+('Weekly Summary'!AH$100*SelfQuarantine_Mild*'Equipment List &amp; Usage'!$X32)+('Weekly Summary'!AH$101*SelfQuarantine_Moderate*'Equipment List &amp; Usage'!$X32))))+IF('Equipment List &amp; Usage'!$F32="Yes",'Equipment List &amp; Usage'!$C$114*(IF('Equipment List &amp; Usage'!$AA32&gt;0,'Weekly Summary'!AH$128,0)+IF('Equipment List &amp; Usage'!$AB32&gt;0,'Weekly Summary'!AH$100+'Weekly Summary'!AH$101,0)),'Equipment List &amp; Usage'!$C$115*(('Weekly Summary'!AH$128*'Equipment List &amp; Usage'!$AA32)+('Weekly Summary'!AH$100*'Equipment List &amp; Usage'!$AB32*SelfQuarantine_Mild)+('Weekly Summary'!AH$101*'Equipment List &amp; Usage'!$AB32*SelfQuarantine_Moderate)))+IF('Equipment List &amp; Usage'!$F32="Yes",('Equipment List &amp; Usage'!$C$114*(IF('Equipment List &amp; Usage'!$AE32&gt;0,'Weekly Summary'!AH$134,0)+IF('Equipment List &amp; Usage'!$AF32&gt;0,'Weekly Summary'!AH$135))),'Equipment List &amp; Usage'!$C$115*(('Weekly Summary'!AH$134*'Equipment List &amp; Usage'!$AE32)+('Weekly Summary'!AH$135*'Equipment List &amp; Usage'!$AF32)))),0)</f>
        <v>0</v>
      </c>
      <c r="AO30" s="1374">
        <f ca="1">MAX(IF($F30="Yes",(
IF($F30="yes",MMULT(--('Equipment List &amp; Usage'!$J32:$N32&gt;0),--('Weekly Summary'!AI$112:AI$116))*'Equipment List &amp; Usage'!$C$114,MMULT(--('Equipment List &amp; Usage'!$J32:$N32),--('Weekly Summary'!AI$112:AI$116))*'Equipment List &amp; Usage'!$C$115)+IF('Equipment List &amp; Usage'!$F31="yes",'Equipment List &amp; Usage'!$C$114,'Equipment List &amp; Usage'!$C$115)*(('Weekly Summary'!AI$66*'Equipment List &amp; Usage'!$Q32)+('Weekly Summary'!AI$64*'Equipment List &amp; Usage'!$O32)+('Weekly Summary'!AI$65*'Equipment List &amp; Usage'!$P32)))+(IF('Equipment List &amp; Usage'!$F32="Yes",'Equipment List &amp; Usage'!$C$114*((('Weekly Summary'!AI$131*SelfQuarantine_Mild)+('Weekly Summary'!AI$100*SelfQuarantine_Mild)+('Weekly Summary'!AI$101*SelfQuarantine_Moderate))),'Equipment List &amp; Usage'!$C$115)*((('Weekly Summary'!AI$131*SelfQuarantine_Mild*'Equipment List &amp; Usage'!$W32)+('Weekly Summary'!AI$100*SelfQuarantine_Mild*'Equipment List &amp; Usage'!$X32)+('Weekly Summary'!AI$101*SelfQuarantine_Moderate*'Equipment List &amp; Usage'!$X32)))+IF('Equipment List &amp; Usage'!$F32="Yes",'Equipment List &amp; Usage'!$C$114*(IF('Equipment List &amp; Usage'!$AA32&gt;0,'Weekly Summary'!AI$128,0)+IF('Equipment List &amp; Usage'!$AB32&gt;0,'Weekly Summary'!AI$100+'Weekly Summary'!AI$101,0)),'Equipment List &amp; Usage'!$C$115*(('Weekly Summary'!AI$128*'Equipment List &amp; Usage'!$AA32)+('Weekly Summary'!AI$100*'Equipment List &amp; Usage'!$AB32*SelfQuarantine_Mild)+('Weekly Summary'!AI$101*'Equipment List &amp; Usage'!$AB32*SelfQuarantine_Moderate)))+IF('Equipment List &amp; Usage'!$F32="Yes",('Equipment List &amp; Usage'!$C$114*(IF('Equipment List &amp; Usage'!$AE32&gt;0,'Weekly Summary'!AI$134,0)+IF('Equipment List &amp; Usage'!$AF32&gt;0,'Weekly Summary'!AI$135))),'Equipment List &amp; Usage'!$C$115*(('Weekly Summary'!AI$134*'Equipment List &amp; Usage'!$AE32)+('Weekly Summary'!AI$135*'Equipment List &amp; Usage'!$AF32))))-SUM($I30:AN30),
IF($F30="yes",MMULT(--('Equipment List &amp; Usage'!$J32:$N32&gt;0),--('Weekly Summary'!AI$112:AI$116))*'Equipment List &amp; Usage'!$C$114,MMULT(--('Equipment List &amp; Usage'!$J32:$N32),--('Weekly Summary'!AI$112:AI$116))*'Equipment List &amp; Usage'!$C$115)+IF('Equipment List &amp; Usage'!$F31="yes",'Equipment List &amp; Usage'!$C$114,'Equipment List &amp; Usage'!$C$115)*(('Weekly Summary'!AI$66*'Equipment List &amp; Usage'!$Q32)+('Weekly Summary'!AI$64*'Equipment List &amp; Usage'!$O32)+('Weekly Summary'!AI$65*'Equipment List &amp; Usage'!$P32))+(IF('Equipment List &amp; Usage'!$F32="Yes",'Equipment List &amp; Usage'!$C$114*((('Weekly Summary'!AI$131*SelfQuarantine_Mild)+('Weekly Summary'!AI$100*SelfQuarantine_Mild)+('Weekly Summary'!AI$101*SelfQuarantine_Moderate))),'Equipment List &amp; Usage'!$C$115)*((('Weekly Summary'!AI$131*SelfQuarantine_Mild*'Equipment List &amp; Usage'!$W32)+('Weekly Summary'!AI$100*SelfQuarantine_Mild*'Equipment List &amp; Usage'!$X32)+('Weekly Summary'!AI$101*SelfQuarantine_Moderate*'Equipment List &amp; Usage'!$X32))))+IF('Equipment List &amp; Usage'!$F32="Yes",'Equipment List &amp; Usage'!$C$114*(IF('Equipment List &amp; Usage'!$AA32&gt;0,'Weekly Summary'!AI$128,0)+IF('Equipment List &amp; Usage'!$AB32&gt;0,'Weekly Summary'!AI$100+'Weekly Summary'!AI$101,0)),'Equipment List &amp; Usage'!$C$115*(('Weekly Summary'!AI$128*'Equipment List &amp; Usage'!$AA32)+('Weekly Summary'!AI$100*'Equipment List &amp; Usage'!$AB32*SelfQuarantine_Mild)+('Weekly Summary'!AI$101*'Equipment List &amp; Usage'!$AB32*SelfQuarantine_Moderate)))+IF('Equipment List &amp; Usage'!$F32="Yes",('Equipment List &amp; Usage'!$C$114*(IF('Equipment List &amp; Usage'!$AE32&gt;0,'Weekly Summary'!AI$134,0)+IF('Equipment List &amp; Usage'!$AF32&gt;0,'Weekly Summary'!AI$135))),'Equipment List &amp; Usage'!$C$115*(('Weekly Summary'!AI$134*'Equipment List &amp; Usage'!$AE32)+('Weekly Summary'!AI$135*'Equipment List &amp; Usage'!$AF32)))),0)</f>
        <v>0</v>
      </c>
      <c r="AP30" s="1374">
        <f ca="1">MAX(IF($F30="Yes",(
IF($F30="yes",MMULT(--('Equipment List &amp; Usage'!$J32:$N32&gt;0),--('Weekly Summary'!AJ$112:AJ$116))*'Equipment List &amp; Usage'!$C$114,MMULT(--('Equipment List &amp; Usage'!$J32:$N32),--('Weekly Summary'!AJ$112:AJ$116))*'Equipment List &amp; Usage'!$C$115)+IF('Equipment List &amp; Usage'!$F31="yes",'Equipment List &amp; Usage'!$C$114,'Equipment List &amp; Usage'!$C$115)*(('Weekly Summary'!AJ$66*'Equipment List &amp; Usage'!$Q32)+('Weekly Summary'!AJ$64*'Equipment List &amp; Usage'!$O32)+('Weekly Summary'!AJ$65*'Equipment List &amp; Usage'!$P32)))+(IF('Equipment List &amp; Usage'!$F32="Yes",'Equipment List &amp; Usage'!$C$114*((('Weekly Summary'!AJ$131*SelfQuarantine_Mild)+('Weekly Summary'!AJ$100*SelfQuarantine_Mild)+('Weekly Summary'!AJ$101*SelfQuarantine_Moderate))),'Equipment List &amp; Usage'!$C$115)*((('Weekly Summary'!AJ$131*SelfQuarantine_Mild*'Equipment List &amp; Usage'!$W32)+('Weekly Summary'!AJ$100*SelfQuarantine_Mild*'Equipment List &amp; Usage'!$X32)+('Weekly Summary'!AJ$101*SelfQuarantine_Moderate*'Equipment List &amp; Usage'!$X32)))+IF('Equipment List &amp; Usage'!$F32="Yes",'Equipment List &amp; Usage'!$C$114*(IF('Equipment List &amp; Usage'!$AA32&gt;0,'Weekly Summary'!AJ$128,0)+IF('Equipment List &amp; Usage'!$AB32&gt;0,'Weekly Summary'!AJ$100+'Weekly Summary'!AJ$101,0)),'Equipment List &amp; Usage'!$C$115*(('Weekly Summary'!AJ$128*'Equipment List &amp; Usage'!$AA32)+('Weekly Summary'!AJ$100*'Equipment List &amp; Usage'!$AB32*SelfQuarantine_Mild)+('Weekly Summary'!AJ$101*'Equipment List &amp; Usage'!$AB32*SelfQuarantine_Moderate)))+IF('Equipment List &amp; Usage'!$F32="Yes",('Equipment List &amp; Usage'!$C$114*(IF('Equipment List &amp; Usage'!$AE32&gt;0,'Weekly Summary'!AJ$134,0)+IF('Equipment List &amp; Usage'!$AF32&gt;0,'Weekly Summary'!AJ$135))),'Equipment List &amp; Usage'!$C$115*(('Weekly Summary'!AJ$134*'Equipment List &amp; Usage'!$AE32)+('Weekly Summary'!AJ$135*'Equipment List &amp; Usage'!$AF32))))-SUM($I30:AO30),
IF($F30="yes",MMULT(--('Equipment List &amp; Usage'!$J32:$N32&gt;0),--('Weekly Summary'!AJ$112:AJ$116))*'Equipment List &amp; Usage'!$C$114,MMULT(--('Equipment List &amp; Usage'!$J32:$N32),--('Weekly Summary'!AJ$112:AJ$116))*'Equipment List &amp; Usage'!$C$115)+IF('Equipment List &amp; Usage'!$F31="yes",'Equipment List &amp; Usage'!$C$114,'Equipment List &amp; Usage'!$C$115)*(('Weekly Summary'!AJ$66*'Equipment List &amp; Usage'!$Q32)+('Weekly Summary'!AJ$64*'Equipment List &amp; Usage'!$O32)+('Weekly Summary'!AJ$65*'Equipment List &amp; Usage'!$P32))+(IF('Equipment List &amp; Usage'!$F32="Yes",'Equipment List &amp; Usage'!$C$114*((('Weekly Summary'!AJ$131*SelfQuarantine_Mild)+('Weekly Summary'!AJ$100*SelfQuarantine_Mild)+('Weekly Summary'!AJ$101*SelfQuarantine_Moderate))),'Equipment List &amp; Usage'!$C$115)*((('Weekly Summary'!AJ$131*SelfQuarantine_Mild*'Equipment List &amp; Usage'!$W32)+('Weekly Summary'!AJ$100*SelfQuarantine_Mild*'Equipment List &amp; Usage'!$X32)+('Weekly Summary'!AJ$101*SelfQuarantine_Moderate*'Equipment List &amp; Usage'!$X32))))+IF('Equipment List &amp; Usage'!$F32="Yes",'Equipment List &amp; Usage'!$C$114*(IF('Equipment List &amp; Usage'!$AA32&gt;0,'Weekly Summary'!AJ$128,0)+IF('Equipment List &amp; Usage'!$AB32&gt;0,'Weekly Summary'!AJ$100+'Weekly Summary'!AJ$101,0)),'Equipment List &amp; Usage'!$C$115*(('Weekly Summary'!AJ$128*'Equipment List &amp; Usage'!$AA32)+('Weekly Summary'!AJ$100*'Equipment List &amp; Usage'!$AB32*SelfQuarantine_Mild)+('Weekly Summary'!AJ$101*'Equipment List &amp; Usage'!$AB32*SelfQuarantine_Moderate)))+IF('Equipment List &amp; Usage'!$F32="Yes",('Equipment List &amp; Usage'!$C$114*(IF('Equipment List &amp; Usage'!$AE32&gt;0,'Weekly Summary'!AJ$134,0)+IF('Equipment List &amp; Usage'!$AF32&gt;0,'Weekly Summary'!AJ$135))),'Equipment List &amp; Usage'!$C$115*(('Weekly Summary'!AJ$134*'Equipment List &amp; Usage'!$AE32)+('Weekly Summary'!AJ$135*'Equipment List &amp; Usage'!$AF32)))),0)</f>
        <v>0</v>
      </c>
      <c r="AQ30" s="1374">
        <f ca="1">MAX(IF($F30="Yes",(
IF($F30="yes",MMULT(--('Equipment List &amp; Usage'!$J32:$N32&gt;0),--('Weekly Summary'!AK$112:AK$116))*'Equipment List &amp; Usage'!$C$114,MMULT(--('Equipment List &amp; Usage'!$J32:$N32),--('Weekly Summary'!AK$112:AK$116))*'Equipment List &amp; Usage'!$C$115)+IF('Equipment List &amp; Usage'!$F31="yes",'Equipment List &amp; Usage'!$C$114,'Equipment List &amp; Usage'!$C$115)*(('Weekly Summary'!AK$66*'Equipment List &amp; Usage'!$Q32)+('Weekly Summary'!AK$64*'Equipment List &amp; Usage'!$O32)+('Weekly Summary'!AK$65*'Equipment List &amp; Usage'!$P32)))+(IF('Equipment List &amp; Usage'!$F32="Yes",'Equipment List &amp; Usage'!$C$114*((('Weekly Summary'!AK$131*SelfQuarantine_Mild)+('Weekly Summary'!AK$100*SelfQuarantine_Mild)+('Weekly Summary'!AK$101*SelfQuarantine_Moderate))),'Equipment List &amp; Usage'!$C$115)*((('Weekly Summary'!AK$131*SelfQuarantine_Mild*'Equipment List &amp; Usage'!$W32)+('Weekly Summary'!AK$100*SelfQuarantine_Mild*'Equipment List &amp; Usage'!$X32)+('Weekly Summary'!AK$101*SelfQuarantine_Moderate*'Equipment List &amp; Usage'!$X32)))+IF('Equipment List &amp; Usage'!$F32="Yes",'Equipment List &amp; Usage'!$C$114*(IF('Equipment List &amp; Usage'!$AA32&gt;0,'Weekly Summary'!AK$128,0)+IF('Equipment List &amp; Usage'!$AB32&gt;0,'Weekly Summary'!AK$100+'Weekly Summary'!AK$101,0)),'Equipment List &amp; Usage'!$C$115*(('Weekly Summary'!AK$128*'Equipment List &amp; Usage'!$AA32)+('Weekly Summary'!AK$100*'Equipment List &amp; Usage'!$AB32*SelfQuarantine_Mild)+('Weekly Summary'!AK$101*'Equipment List &amp; Usage'!$AB32*SelfQuarantine_Moderate)))+IF('Equipment List &amp; Usage'!$F32="Yes",('Equipment List &amp; Usage'!$C$114*(IF('Equipment List &amp; Usage'!$AE32&gt;0,'Weekly Summary'!AK$134,0)+IF('Equipment List &amp; Usage'!$AF32&gt;0,'Weekly Summary'!AK$135))),'Equipment List &amp; Usage'!$C$115*(('Weekly Summary'!AK$134*'Equipment List &amp; Usage'!$AE32)+('Weekly Summary'!AK$135*'Equipment List &amp; Usage'!$AF32))))-SUM($I30:AP30),
IF($F30="yes",MMULT(--('Equipment List &amp; Usage'!$J32:$N32&gt;0),--('Weekly Summary'!AK$112:AK$116))*'Equipment List &amp; Usage'!$C$114,MMULT(--('Equipment List &amp; Usage'!$J32:$N32),--('Weekly Summary'!AK$112:AK$116))*'Equipment List &amp; Usage'!$C$115)+IF('Equipment List &amp; Usage'!$F31="yes",'Equipment List &amp; Usage'!$C$114,'Equipment List &amp; Usage'!$C$115)*(('Weekly Summary'!AK$66*'Equipment List &amp; Usage'!$Q32)+('Weekly Summary'!AK$64*'Equipment List &amp; Usage'!$O32)+('Weekly Summary'!AK$65*'Equipment List &amp; Usage'!$P32))+(IF('Equipment List &amp; Usage'!$F32="Yes",'Equipment List &amp; Usage'!$C$114*((('Weekly Summary'!AK$131*SelfQuarantine_Mild)+('Weekly Summary'!AK$100*SelfQuarantine_Mild)+('Weekly Summary'!AK$101*SelfQuarantine_Moderate))),'Equipment List &amp; Usage'!$C$115)*((('Weekly Summary'!AK$131*SelfQuarantine_Mild*'Equipment List &amp; Usage'!$W32)+('Weekly Summary'!AK$100*SelfQuarantine_Mild*'Equipment List &amp; Usage'!$X32)+('Weekly Summary'!AK$101*SelfQuarantine_Moderate*'Equipment List &amp; Usage'!$X32))))+IF('Equipment List &amp; Usage'!$F32="Yes",'Equipment List &amp; Usage'!$C$114*(IF('Equipment List &amp; Usage'!$AA32&gt;0,'Weekly Summary'!AK$128,0)+IF('Equipment List &amp; Usage'!$AB32&gt;0,'Weekly Summary'!AK$100+'Weekly Summary'!AK$101,0)),'Equipment List &amp; Usage'!$C$115*(('Weekly Summary'!AK$128*'Equipment List &amp; Usage'!$AA32)+('Weekly Summary'!AK$100*'Equipment List &amp; Usage'!$AB32*SelfQuarantine_Mild)+('Weekly Summary'!AK$101*'Equipment List &amp; Usage'!$AB32*SelfQuarantine_Moderate)))+IF('Equipment List &amp; Usage'!$F32="Yes",('Equipment List &amp; Usage'!$C$114*(IF('Equipment List &amp; Usage'!$AE32&gt;0,'Weekly Summary'!AK$134,0)+IF('Equipment List &amp; Usage'!$AF32&gt;0,'Weekly Summary'!AK$135))),'Equipment List &amp; Usage'!$C$115*(('Weekly Summary'!AK$134*'Equipment List &amp; Usage'!$AE32)+('Weekly Summary'!AK$135*'Equipment List &amp; Usage'!$AF32)))),0)</f>
        <v>0</v>
      </c>
      <c r="AR30" s="1374">
        <f ca="1">MAX(IF($F30="Yes",(
IF($F30="yes",MMULT(--('Equipment List &amp; Usage'!$J32:$N32&gt;0),--('Weekly Summary'!AL$112:AL$116))*'Equipment List &amp; Usage'!$C$114,MMULT(--('Equipment List &amp; Usage'!$J32:$N32),--('Weekly Summary'!AL$112:AL$116))*'Equipment List &amp; Usage'!$C$115)+IF('Equipment List &amp; Usage'!$F31="yes",'Equipment List &amp; Usage'!$C$114,'Equipment List &amp; Usage'!$C$115)*(('Weekly Summary'!AL$66*'Equipment List &amp; Usage'!$Q32)+('Weekly Summary'!AL$64*'Equipment List &amp; Usage'!$O32)+('Weekly Summary'!AL$65*'Equipment List &amp; Usage'!$P32)))+(IF('Equipment List &amp; Usage'!$F32="Yes",'Equipment List &amp; Usage'!$C$114*((('Weekly Summary'!AL$131*SelfQuarantine_Mild)+('Weekly Summary'!AL$100*SelfQuarantine_Mild)+('Weekly Summary'!AL$101*SelfQuarantine_Moderate))),'Equipment List &amp; Usage'!$C$115)*((('Weekly Summary'!AL$131*SelfQuarantine_Mild*'Equipment List &amp; Usage'!$W32)+('Weekly Summary'!AL$100*SelfQuarantine_Mild*'Equipment List &amp; Usage'!$X32)+('Weekly Summary'!AL$101*SelfQuarantine_Moderate*'Equipment List &amp; Usage'!$X32)))+IF('Equipment List &amp; Usage'!$F32="Yes",'Equipment List &amp; Usage'!$C$114*(IF('Equipment List &amp; Usage'!$AA32&gt;0,'Weekly Summary'!AL$128,0)+IF('Equipment List &amp; Usage'!$AB32&gt;0,'Weekly Summary'!AL$100+'Weekly Summary'!AL$101,0)),'Equipment List &amp; Usage'!$C$115*(('Weekly Summary'!AL$128*'Equipment List &amp; Usage'!$AA32)+('Weekly Summary'!AL$100*'Equipment List &amp; Usage'!$AB32*SelfQuarantine_Mild)+('Weekly Summary'!AL$101*'Equipment List &amp; Usage'!$AB32*SelfQuarantine_Moderate)))+IF('Equipment List &amp; Usage'!$F32="Yes",('Equipment List &amp; Usage'!$C$114*(IF('Equipment List &amp; Usage'!$AE32&gt;0,'Weekly Summary'!AL$134,0)+IF('Equipment List &amp; Usage'!$AF32&gt;0,'Weekly Summary'!AL$135))),'Equipment List &amp; Usage'!$C$115*(('Weekly Summary'!AL$134*'Equipment List &amp; Usage'!$AE32)+('Weekly Summary'!AL$135*'Equipment List &amp; Usage'!$AF32))))-SUM($I30:AQ30),
IF($F30="yes",MMULT(--('Equipment List &amp; Usage'!$J32:$N32&gt;0),--('Weekly Summary'!AL$112:AL$116))*'Equipment List &amp; Usage'!$C$114,MMULT(--('Equipment List &amp; Usage'!$J32:$N32),--('Weekly Summary'!AL$112:AL$116))*'Equipment List &amp; Usage'!$C$115)+IF('Equipment List &amp; Usage'!$F31="yes",'Equipment List &amp; Usage'!$C$114,'Equipment List &amp; Usage'!$C$115)*(('Weekly Summary'!AL$66*'Equipment List &amp; Usage'!$Q32)+('Weekly Summary'!AL$64*'Equipment List &amp; Usage'!$O32)+('Weekly Summary'!AL$65*'Equipment List &amp; Usage'!$P32))+(IF('Equipment List &amp; Usage'!$F32="Yes",'Equipment List &amp; Usage'!$C$114*((('Weekly Summary'!AL$131*SelfQuarantine_Mild)+('Weekly Summary'!AL$100*SelfQuarantine_Mild)+('Weekly Summary'!AL$101*SelfQuarantine_Moderate))),'Equipment List &amp; Usage'!$C$115)*((('Weekly Summary'!AL$131*SelfQuarantine_Mild*'Equipment List &amp; Usage'!$W32)+('Weekly Summary'!AL$100*SelfQuarantine_Mild*'Equipment List &amp; Usage'!$X32)+('Weekly Summary'!AL$101*SelfQuarantine_Moderate*'Equipment List &amp; Usage'!$X32))))+IF('Equipment List &amp; Usage'!$F32="Yes",'Equipment List &amp; Usage'!$C$114*(IF('Equipment List &amp; Usage'!$AA32&gt;0,'Weekly Summary'!AL$128,0)+IF('Equipment List &amp; Usage'!$AB32&gt;0,'Weekly Summary'!AL$100+'Weekly Summary'!AL$101,0)),'Equipment List &amp; Usage'!$C$115*(('Weekly Summary'!AL$128*'Equipment List &amp; Usage'!$AA32)+('Weekly Summary'!AL$100*'Equipment List &amp; Usage'!$AB32*SelfQuarantine_Mild)+('Weekly Summary'!AL$101*'Equipment List &amp; Usage'!$AB32*SelfQuarantine_Moderate)))+IF('Equipment List &amp; Usage'!$F32="Yes",('Equipment List &amp; Usage'!$C$114*(IF('Equipment List &amp; Usage'!$AE32&gt;0,'Weekly Summary'!AL$134,0)+IF('Equipment List &amp; Usage'!$AF32&gt;0,'Weekly Summary'!AL$135))),'Equipment List &amp; Usage'!$C$115*(('Weekly Summary'!AL$134*'Equipment List &amp; Usage'!$AE32)+('Weekly Summary'!AL$135*'Equipment List &amp; Usage'!$AF32)))),0)</f>
        <v>0</v>
      </c>
      <c r="AS30" s="1374">
        <f ca="1">MAX(IF($F30="Yes",(
IF($F30="yes",MMULT(--('Equipment List &amp; Usage'!$J32:$N32&gt;0),--('Weekly Summary'!AM$112:AM$116))*'Equipment List &amp; Usage'!$C$114,MMULT(--('Equipment List &amp; Usage'!$J32:$N32),--('Weekly Summary'!AM$112:AM$116))*'Equipment List &amp; Usage'!$C$115)+IF('Equipment List &amp; Usage'!$F31="yes",'Equipment List &amp; Usage'!$C$114,'Equipment List &amp; Usage'!$C$115)*(('Weekly Summary'!AM$66*'Equipment List &amp; Usage'!$Q32)+('Weekly Summary'!AM$64*'Equipment List &amp; Usage'!$O32)+('Weekly Summary'!AM$65*'Equipment List &amp; Usage'!$P32)))+(IF('Equipment List &amp; Usage'!$F32="Yes",'Equipment List &amp; Usage'!$C$114*((('Weekly Summary'!AM$131*SelfQuarantine_Mild)+('Weekly Summary'!AM$100*SelfQuarantine_Mild)+('Weekly Summary'!AM$101*SelfQuarantine_Moderate))),'Equipment List &amp; Usage'!$C$115)*((('Weekly Summary'!AM$131*SelfQuarantine_Mild*'Equipment List &amp; Usage'!$W32)+('Weekly Summary'!AM$100*SelfQuarantine_Mild*'Equipment List &amp; Usage'!$X32)+('Weekly Summary'!AM$101*SelfQuarantine_Moderate*'Equipment List &amp; Usage'!$X32)))+IF('Equipment List &amp; Usage'!$F32="Yes",'Equipment List &amp; Usage'!$C$114*(IF('Equipment List &amp; Usage'!$AA32&gt;0,'Weekly Summary'!AM$128,0)+IF('Equipment List &amp; Usage'!$AB32&gt;0,'Weekly Summary'!AM$100+'Weekly Summary'!AM$101,0)),'Equipment List &amp; Usage'!$C$115*(('Weekly Summary'!AM$128*'Equipment List &amp; Usage'!$AA32)+('Weekly Summary'!AM$100*'Equipment List &amp; Usage'!$AB32*SelfQuarantine_Mild)+('Weekly Summary'!AM$101*'Equipment List &amp; Usage'!$AB32*SelfQuarantine_Moderate)))+IF('Equipment List &amp; Usage'!$F32="Yes",('Equipment List &amp; Usage'!$C$114*(IF('Equipment List &amp; Usage'!$AE32&gt;0,'Weekly Summary'!AM$134,0)+IF('Equipment List &amp; Usage'!$AF32&gt;0,'Weekly Summary'!AM$135))),'Equipment List &amp; Usage'!$C$115*(('Weekly Summary'!AM$134*'Equipment List &amp; Usage'!$AE32)+('Weekly Summary'!AM$135*'Equipment List &amp; Usage'!$AF32))))-SUM($I30:AR30),
IF($F30="yes",MMULT(--('Equipment List &amp; Usage'!$J32:$N32&gt;0),--('Weekly Summary'!AM$112:AM$116))*'Equipment List &amp; Usage'!$C$114,MMULT(--('Equipment List &amp; Usage'!$J32:$N32),--('Weekly Summary'!AM$112:AM$116))*'Equipment List &amp; Usage'!$C$115)+IF('Equipment List &amp; Usage'!$F31="yes",'Equipment List &amp; Usage'!$C$114,'Equipment List &amp; Usage'!$C$115)*(('Weekly Summary'!AM$66*'Equipment List &amp; Usage'!$Q32)+('Weekly Summary'!AM$64*'Equipment List &amp; Usage'!$O32)+('Weekly Summary'!AM$65*'Equipment List &amp; Usage'!$P32))+(IF('Equipment List &amp; Usage'!$F32="Yes",'Equipment List &amp; Usage'!$C$114*((('Weekly Summary'!AM$131*SelfQuarantine_Mild)+('Weekly Summary'!AM$100*SelfQuarantine_Mild)+('Weekly Summary'!AM$101*SelfQuarantine_Moderate))),'Equipment List &amp; Usage'!$C$115)*((('Weekly Summary'!AM$131*SelfQuarantine_Mild*'Equipment List &amp; Usage'!$W32)+('Weekly Summary'!AM$100*SelfQuarantine_Mild*'Equipment List &amp; Usage'!$X32)+('Weekly Summary'!AM$101*SelfQuarantine_Moderate*'Equipment List &amp; Usage'!$X32))))+IF('Equipment List &amp; Usage'!$F32="Yes",'Equipment List &amp; Usage'!$C$114*(IF('Equipment List &amp; Usage'!$AA32&gt;0,'Weekly Summary'!AM$128,0)+IF('Equipment List &amp; Usage'!$AB32&gt;0,'Weekly Summary'!AM$100+'Weekly Summary'!AM$101,0)),'Equipment List &amp; Usage'!$C$115*(('Weekly Summary'!AM$128*'Equipment List &amp; Usage'!$AA32)+('Weekly Summary'!AM$100*'Equipment List &amp; Usage'!$AB32*SelfQuarantine_Mild)+('Weekly Summary'!AM$101*'Equipment List &amp; Usage'!$AB32*SelfQuarantine_Moderate)))+IF('Equipment List &amp; Usage'!$F32="Yes",('Equipment List &amp; Usage'!$C$114*(IF('Equipment List &amp; Usage'!$AE32&gt;0,'Weekly Summary'!AM$134,0)+IF('Equipment List &amp; Usage'!$AF32&gt;0,'Weekly Summary'!AM$135))),'Equipment List &amp; Usage'!$C$115*(('Weekly Summary'!AM$134*'Equipment List &amp; Usage'!$AE32)+('Weekly Summary'!AM$135*'Equipment List &amp; Usage'!$AF32)))),0)</f>
        <v>0</v>
      </c>
      <c r="AT30" s="1374">
        <f ca="1">MAX(IF($F30="Yes",(
IF($F30="yes",MMULT(--('Equipment List &amp; Usage'!$J32:$N32&gt;0),--('Weekly Summary'!AN$112:AN$116))*'Equipment List &amp; Usage'!$C$114,MMULT(--('Equipment List &amp; Usage'!$J32:$N32),--('Weekly Summary'!AN$112:AN$116))*'Equipment List &amp; Usage'!$C$115)+IF('Equipment List &amp; Usage'!$F31="yes",'Equipment List &amp; Usage'!$C$114,'Equipment List &amp; Usage'!$C$115)*(('Weekly Summary'!AN$66*'Equipment List &amp; Usage'!$Q32)+('Weekly Summary'!AN$64*'Equipment List &amp; Usage'!$O32)+('Weekly Summary'!AN$65*'Equipment List &amp; Usage'!$P32)))+(IF('Equipment List &amp; Usage'!$F32="Yes",'Equipment List &amp; Usage'!$C$114*((('Weekly Summary'!AN$131*SelfQuarantine_Mild)+('Weekly Summary'!AN$100*SelfQuarantine_Mild)+('Weekly Summary'!AN$101*SelfQuarantine_Moderate))),'Equipment List &amp; Usage'!$C$115)*((('Weekly Summary'!AN$131*SelfQuarantine_Mild*'Equipment List &amp; Usage'!$W32)+('Weekly Summary'!AN$100*SelfQuarantine_Mild*'Equipment List &amp; Usage'!$X32)+('Weekly Summary'!AN$101*SelfQuarantine_Moderate*'Equipment List &amp; Usage'!$X32)))+IF('Equipment List &amp; Usage'!$F32="Yes",'Equipment List &amp; Usage'!$C$114*(IF('Equipment List &amp; Usage'!$AA32&gt;0,'Weekly Summary'!AN$128,0)+IF('Equipment List &amp; Usage'!$AB32&gt;0,'Weekly Summary'!AN$100+'Weekly Summary'!AN$101,0)),'Equipment List &amp; Usage'!$C$115*(('Weekly Summary'!AN$128*'Equipment List &amp; Usage'!$AA32)+('Weekly Summary'!AN$100*'Equipment List &amp; Usage'!$AB32*SelfQuarantine_Mild)+('Weekly Summary'!AN$101*'Equipment List &amp; Usage'!$AB32*SelfQuarantine_Moderate)))+IF('Equipment List &amp; Usage'!$F32="Yes",('Equipment List &amp; Usage'!$C$114*(IF('Equipment List &amp; Usage'!$AE32&gt;0,'Weekly Summary'!AN$134,0)+IF('Equipment List &amp; Usage'!$AF32&gt;0,'Weekly Summary'!AN$135))),'Equipment List &amp; Usage'!$C$115*(('Weekly Summary'!AN$134*'Equipment List &amp; Usage'!$AE32)+('Weekly Summary'!AN$135*'Equipment List &amp; Usage'!$AF32))))-SUM($I30:AS30),
IF($F30="yes",MMULT(--('Equipment List &amp; Usage'!$J32:$N32&gt;0),--('Weekly Summary'!AN$112:AN$116))*'Equipment List &amp; Usage'!$C$114,MMULT(--('Equipment List &amp; Usage'!$J32:$N32),--('Weekly Summary'!AN$112:AN$116))*'Equipment List &amp; Usage'!$C$115)+IF('Equipment List &amp; Usage'!$F31="yes",'Equipment List &amp; Usage'!$C$114,'Equipment List &amp; Usage'!$C$115)*(('Weekly Summary'!AN$66*'Equipment List &amp; Usage'!$Q32)+('Weekly Summary'!AN$64*'Equipment List &amp; Usage'!$O32)+('Weekly Summary'!AN$65*'Equipment List &amp; Usage'!$P32))+(IF('Equipment List &amp; Usage'!$F32="Yes",'Equipment List &amp; Usage'!$C$114*((('Weekly Summary'!AN$131*SelfQuarantine_Mild)+('Weekly Summary'!AN$100*SelfQuarantine_Mild)+('Weekly Summary'!AN$101*SelfQuarantine_Moderate))),'Equipment List &amp; Usage'!$C$115)*((('Weekly Summary'!AN$131*SelfQuarantine_Mild*'Equipment List &amp; Usage'!$W32)+('Weekly Summary'!AN$100*SelfQuarantine_Mild*'Equipment List &amp; Usage'!$X32)+('Weekly Summary'!AN$101*SelfQuarantine_Moderate*'Equipment List &amp; Usage'!$X32))))+IF('Equipment List &amp; Usage'!$F32="Yes",'Equipment List &amp; Usage'!$C$114*(IF('Equipment List &amp; Usage'!$AA32&gt;0,'Weekly Summary'!AN$128,0)+IF('Equipment List &amp; Usage'!$AB32&gt;0,'Weekly Summary'!AN$100+'Weekly Summary'!AN$101,0)),'Equipment List &amp; Usage'!$C$115*(('Weekly Summary'!AN$128*'Equipment List &amp; Usage'!$AA32)+('Weekly Summary'!AN$100*'Equipment List &amp; Usage'!$AB32*SelfQuarantine_Mild)+('Weekly Summary'!AN$101*'Equipment List &amp; Usage'!$AB32*SelfQuarantine_Moderate)))+IF('Equipment List &amp; Usage'!$F32="Yes",('Equipment List &amp; Usage'!$C$114*(IF('Equipment List &amp; Usage'!$AE32&gt;0,'Weekly Summary'!AN$134,0)+IF('Equipment List &amp; Usage'!$AF32&gt;0,'Weekly Summary'!AN$135))),'Equipment List &amp; Usage'!$C$115*(('Weekly Summary'!AN$134*'Equipment List &amp; Usage'!$AE32)+('Weekly Summary'!AN$135*'Equipment List &amp; Usage'!$AF32)))),0)</f>
        <v>0</v>
      </c>
      <c r="AU30" s="1374">
        <f ca="1">MAX(IF($F30="Yes",(
IF($F30="yes",MMULT(--('Equipment List &amp; Usage'!$J32:$N32&gt;0),--('Weekly Summary'!AO$112:AO$116))*'Equipment List &amp; Usage'!$C$114,MMULT(--('Equipment List &amp; Usage'!$J32:$N32),--('Weekly Summary'!AO$112:AO$116))*'Equipment List &amp; Usage'!$C$115)+IF('Equipment List &amp; Usage'!$F31="yes",'Equipment List &amp; Usage'!$C$114,'Equipment List &amp; Usage'!$C$115)*(('Weekly Summary'!AO$66*'Equipment List &amp; Usage'!$Q32)+('Weekly Summary'!AO$64*'Equipment List &amp; Usage'!$O32)+('Weekly Summary'!AO$65*'Equipment List &amp; Usage'!$P32)))+(IF('Equipment List &amp; Usage'!$F32="Yes",'Equipment List &amp; Usage'!$C$114*((('Weekly Summary'!AO$131*SelfQuarantine_Mild)+('Weekly Summary'!AO$100*SelfQuarantine_Mild)+('Weekly Summary'!AO$101*SelfQuarantine_Moderate))),'Equipment List &amp; Usage'!$C$115)*((('Weekly Summary'!AO$131*SelfQuarantine_Mild*'Equipment List &amp; Usage'!$W32)+('Weekly Summary'!AO$100*SelfQuarantine_Mild*'Equipment List &amp; Usage'!$X32)+('Weekly Summary'!AO$101*SelfQuarantine_Moderate*'Equipment List &amp; Usage'!$X32)))+IF('Equipment List &amp; Usage'!$F32="Yes",'Equipment List &amp; Usage'!$C$114*(IF('Equipment List &amp; Usage'!$AA32&gt;0,'Weekly Summary'!AO$128,0)+IF('Equipment List &amp; Usage'!$AB32&gt;0,'Weekly Summary'!AO$100+'Weekly Summary'!AO$101,0)),'Equipment List &amp; Usage'!$C$115*(('Weekly Summary'!AO$128*'Equipment List &amp; Usage'!$AA32)+('Weekly Summary'!AO$100*'Equipment List &amp; Usage'!$AB32*SelfQuarantine_Mild)+('Weekly Summary'!AO$101*'Equipment List &amp; Usage'!$AB32*SelfQuarantine_Moderate)))+IF('Equipment List &amp; Usage'!$F32="Yes",('Equipment List &amp; Usage'!$C$114*(IF('Equipment List &amp; Usage'!$AE32&gt;0,'Weekly Summary'!AO$134,0)+IF('Equipment List &amp; Usage'!$AF32&gt;0,'Weekly Summary'!AO$135))),'Equipment List &amp; Usage'!$C$115*(('Weekly Summary'!AO$134*'Equipment List &amp; Usage'!$AE32)+('Weekly Summary'!AO$135*'Equipment List &amp; Usage'!$AF32))))-SUM($I30:AT30),
IF($F30="yes",MMULT(--('Equipment List &amp; Usage'!$J32:$N32&gt;0),--('Weekly Summary'!AO$112:AO$116))*'Equipment List &amp; Usage'!$C$114,MMULT(--('Equipment List &amp; Usage'!$J32:$N32),--('Weekly Summary'!AO$112:AO$116))*'Equipment List &amp; Usage'!$C$115)+IF('Equipment List &amp; Usage'!$F31="yes",'Equipment List &amp; Usage'!$C$114,'Equipment List &amp; Usage'!$C$115)*(('Weekly Summary'!AO$66*'Equipment List &amp; Usage'!$Q32)+('Weekly Summary'!AO$64*'Equipment List &amp; Usage'!$O32)+('Weekly Summary'!AO$65*'Equipment List &amp; Usage'!$P32))+(IF('Equipment List &amp; Usage'!$F32="Yes",'Equipment List &amp; Usage'!$C$114*((('Weekly Summary'!AO$131*SelfQuarantine_Mild)+('Weekly Summary'!AO$100*SelfQuarantine_Mild)+('Weekly Summary'!AO$101*SelfQuarantine_Moderate))),'Equipment List &amp; Usage'!$C$115)*((('Weekly Summary'!AO$131*SelfQuarantine_Mild*'Equipment List &amp; Usage'!$W32)+('Weekly Summary'!AO$100*SelfQuarantine_Mild*'Equipment List &amp; Usage'!$X32)+('Weekly Summary'!AO$101*SelfQuarantine_Moderate*'Equipment List &amp; Usage'!$X32))))+IF('Equipment List &amp; Usage'!$F32="Yes",'Equipment List &amp; Usage'!$C$114*(IF('Equipment List &amp; Usage'!$AA32&gt;0,'Weekly Summary'!AO$128,0)+IF('Equipment List &amp; Usage'!$AB32&gt;0,'Weekly Summary'!AO$100+'Weekly Summary'!AO$101,0)),'Equipment List &amp; Usage'!$C$115*(('Weekly Summary'!AO$128*'Equipment List &amp; Usage'!$AA32)+('Weekly Summary'!AO$100*'Equipment List &amp; Usage'!$AB32*SelfQuarantine_Mild)+('Weekly Summary'!AO$101*'Equipment List &amp; Usage'!$AB32*SelfQuarantine_Moderate)))+IF('Equipment List &amp; Usage'!$F32="Yes",('Equipment List &amp; Usage'!$C$114*(IF('Equipment List &amp; Usage'!$AE32&gt;0,'Weekly Summary'!AO$134,0)+IF('Equipment List &amp; Usage'!$AF32&gt;0,'Weekly Summary'!AO$135))),'Equipment List &amp; Usage'!$C$115*(('Weekly Summary'!AO$134*'Equipment List &amp; Usage'!$AE32)+('Weekly Summary'!AO$135*'Equipment List &amp; Usage'!$AF32)))),0)</f>
        <v>0</v>
      </c>
      <c r="AV30" s="1374">
        <f ca="1">MAX(IF($F30="Yes",(
IF($F30="yes",MMULT(--('Equipment List &amp; Usage'!$J32:$N32&gt;0),--('Weekly Summary'!AP$112:AP$116))*'Equipment List &amp; Usage'!$C$114,MMULT(--('Equipment List &amp; Usage'!$J32:$N32),--('Weekly Summary'!AP$112:AP$116))*'Equipment List &amp; Usage'!$C$115)+IF('Equipment List &amp; Usage'!$F31="yes",'Equipment List &amp; Usage'!$C$114,'Equipment List &amp; Usage'!$C$115)*(('Weekly Summary'!AP$66*'Equipment List &amp; Usage'!$Q32)+('Weekly Summary'!AP$64*'Equipment List &amp; Usage'!$O32)+('Weekly Summary'!AP$65*'Equipment List &amp; Usage'!$P32)))+(IF('Equipment List &amp; Usage'!$F32="Yes",'Equipment List &amp; Usage'!$C$114*((('Weekly Summary'!AP$131*SelfQuarantine_Mild)+('Weekly Summary'!AP$100*SelfQuarantine_Mild)+('Weekly Summary'!AP$101*SelfQuarantine_Moderate))),'Equipment List &amp; Usage'!$C$115)*((('Weekly Summary'!AP$131*SelfQuarantine_Mild*'Equipment List &amp; Usage'!$W32)+('Weekly Summary'!AP$100*SelfQuarantine_Mild*'Equipment List &amp; Usage'!$X32)+('Weekly Summary'!AP$101*SelfQuarantine_Moderate*'Equipment List &amp; Usage'!$X32)))+IF('Equipment List &amp; Usage'!$F32="Yes",'Equipment List &amp; Usage'!$C$114*(IF('Equipment List &amp; Usage'!$AA32&gt;0,'Weekly Summary'!AP$128,0)+IF('Equipment List &amp; Usage'!$AB32&gt;0,'Weekly Summary'!AP$100+'Weekly Summary'!AP$101,0)),'Equipment List &amp; Usage'!$C$115*(('Weekly Summary'!AP$128*'Equipment List &amp; Usage'!$AA32)+('Weekly Summary'!AP$100*'Equipment List &amp; Usage'!$AB32*SelfQuarantine_Mild)+('Weekly Summary'!AP$101*'Equipment List &amp; Usage'!$AB32*SelfQuarantine_Moderate)))+IF('Equipment List &amp; Usage'!$F32="Yes",('Equipment List &amp; Usage'!$C$114*(IF('Equipment List &amp; Usage'!$AE32&gt;0,'Weekly Summary'!AP$134,0)+IF('Equipment List &amp; Usage'!$AF32&gt;0,'Weekly Summary'!AP$135))),'Equipment List &amp; Usage'!$C$115*(('Weekly Summary'!AP$134*'Equipment List &amp; Usage'!$AE32)+('Weekly Summary'!AP$135*'Equipment List &amp; Usage'!$AF32))))-SUM($I30:AU30),
IF($F30="yes",MMULT(--('Equipment List &amp; Usage'!$J32:$N32&gt;0),--('Weekly Summary'!AP$112:AP$116))*'Equipment List &amp; Usage'!$C$114,MMULT(--('Equipment List &amp; Usage'!$J32:$N32),--('Weekly Summary'!AP$112:AP$116))*'Equipment List &amp; Usage'!$C$115)+IF('Equipment List &amp; Usage'!$F31="yes",'Equipment List &amp; Usage'!$C$114,'Equipment List &amp; Usage'!$C$115)*(('Weekly Summary'!AP$66*'Equipment List &amp; Usage'!$Q32)+('Weekly Summary'!AP$64*'Equipment List &amp; Usage'!$O32)+('Weekly Summary'!AP$65*'Equipment List &amp; Usage'!$P32))+(IF('Equipment List &amp; Usage'!$F32="Yes",'Equipment List &amp; Usage'!$C$114*((('Weekly Summary'!AP$131*SelfQuarantine_Mild)+('Weekly Summary'!AP$100*SelfQuarantine_Mild)+('Weekly Summary'!AP$101*SelfQuarantine_Moderate))),'Equipment List &amp; Usage'!$C$115)*((('Weekly Summary'!AP$131*SelfQuarantine_Mild*'Equipment List &amp; Usage'!$W32)+('Weekly Summary'!AP$100*SelfQuarantine_Mild*'Equipment List &amp; Usage'!$X32)+('Weekly Summary'!AP$101*SelfQuarantine_Moderate*'Equipment List &amp; Usage'!$X32))))+IF('Equipment List &amp; Usage'!$F32="Yes",'Equipment List &amp; Usage'!$C$114*(IF('Equipment List &amp; Usage'!$AA32&gt;0,'Weekly Summary'!AP$128,0)+IF('Equipment List &amp; Usage'!$AB32&gt;0,'Weekly Summary'!AP$100+'Weekly Summary'!AP$101,0)),'Equipment List &amp; Usage'!$C$115*(('Weekly Summary'!AP$128*'Equipment List &amp; Usage'!$AA32)+('Weekly Summary'!AP$100*'Equipment List &amp; Usage'!$AB32*SelfQuarantine_Mild)+('Weekly Summary'!AP$101*'Equipment List &amp; Usage'!$AB32*SelfQuarantine_Moderate)))+IF('Equipment List &amp; Usage'!$F32="Yes",('Equipment List &amp; Usage'!$C$114*(IF('Equipment List &amp; Usage'!$AE32&gt;0,'Weekly Summary'!AP$134,0)+IF('Equipment List &amp; Usage'!$AF32&gt;0,'Weekly Summary'!AP$135))),'Equipment List &amp; Usage'!$C$115*(('Weekly Summary'!AP$134*'Equipment List &amp; Usage'!$AE32)+('Weekly Summary'!AP$135*'Equipment List &amp; Usage'!$AF32)))),0)</f>
        <v>0</v>
      </c>
      <c r="AW30" s="1374">
        <f ca="1">MAX(IF($F30="Yes",(
IF($F30="yes",MMULT(--('Equipment List &amp; Usage'!$J32:$N32&gt;0),--('Weekly Summary'!AQ$112:AQ$116))*'Equipment List &amp; Usage'!$C$114,MMULT(--('Equipment List &amp; Usage'!$J32:$N32),--('Weekly Summary'!AQ$112:AQ$116))*'Equipment List &amp; Usage'!$C$115)+IF('Equipment List &amp; Usage'!$F31="yes",'Equipment List &amp; Usage'!$C$114,'Equipment List &amp; Usage'!$C$115)*(('Weekly Summary'!AQ$66*'Equipment List &amp; Usage'!$Q32)+('Weekly Summary'!AQ$64*'Equipment List &amp; Usage'!$O32)+('Weekly Summary'!AQ$65*'Equipment List &amp; Usage'!$P32)))+(IF('Equipment List &amp; Usage'!$F32="Yes",'Equipment List &amp; Usage'!$C$114*((('Weekly Summary'!AQ$131*SelfQuarantine_Mild)+('Weekly Summary'!AQ$100*SelfQuarantine_Mild)+('Weekly Summary'!AQ$101*SelfQuarantine_Moderate))),'Equipment List &amp; Usage'!$C$115)*((('Weekly Summary'!AQ$131*SelfQuarantine_Mild*'Equipment List &amp; Usage'!$W32)+('Weekly Summary'!AQ$100*SelfQuarantine_Mild*'Equipment List &amp; Usage'!$X32)+('Weekly Summary'!AQ$101*SelfQuarantine_Moderate*'Equipment List &amp; Usage'!$X32)))+IF('Equipment List &amp; Usage'!$F32="Yes",'Equipment List &amp; Usage'!$C$114*(IF('Equipment List &amp; Usage'!$AA32&gt;0,'Weekly Summary'!AQ$128,0)+IF('Equipment List &amp; Usage'!$AB32&gt;0,'Weekly Summary'!AQ$100+'Weekly Summary'!AQ$101,0)),'Equipment List &amp; Usage'!$C$115*(('Weekly Summary'!AQ$128*'Equipment List &amp; Usage'!$AA32)+('Weekly Summary'!AQ$100*'Equipment List &amp; Usage'!$AB32*SelfQuarantine_Mild)+('Weekly Summary'!AQ$101*'Equipment List &amp; Usage'!$AB32*SelfQuarantine_Moderate)))+IF('Equipment List &amp; Usage'!$F32="Yes",('Equipment List &amp; Usage'!$C$114*(IF('Equipment List &amp; Usage'!$AE32&gt;0,'Weekly Summary'!AQ$134,0)+IF('Equipment List &amp; Usage'!$AF32&gt;0,'Weekly Summary'!AQ$135))),'Equipment List &amp; Usage'!$C$115*(('Weekly Summary'!AQ$134*'Equipment List &amp; Usage'!$AE32)+('Weekly Summary'!AQ$135*'Equipment List &amp; Usage'!$AF32))))-SUM($I30:AV30),
IF($F30="yes",MMULT(--('Equipment List &amp; Usage'!$J32:$N32&gt;0),--('Weekly Summary'!AQ$112:AQ$116))*'Equipment List &amp; Usage'!$C$114,MMULT(--('Equipment List &amp; Usage'!$J32:$N32),--('Weekly Summary'!AQ$112:AQ$116))*'Equipment List &amp; Usage'!$C$115)+IF('Equipment List &amp; Usage'!$F31="yes",'Equipment List &amp; Usage'!$C$114,'Equipment List &amp; Usage'!$C$115)*(('Weekly Summary'!AQ$66*'Equipment List &amp; Usage'!$Q32)+('Weekly Summary'!AQ$64*'Equipment List &amp; Usage'!$O32)+('Weekly Summary'!AQ$65*'Equipment List &amp; Usage'!$P32))+(IF('Equipment List &amp; Usage'!$F32="Yes",'Equipment List &amp; Usage'!$C$114*((('Weekly Summary'!AQ$131*SelfQuarantine_Mild)+('Weekly Summary'!AQ$100*SelfQuarantine_Mild)+('Weekly Summary'!AQ$101*SelfQuarantine_Moderate))),'Equipment List &amp; Usage'!$C$115)*((('Weekly Summary'!AQ$131*SelfQuarantine_Mild*'Equipment List &amp; Usage'!$W32)+('Weekly Summary'!AQ$100*SelfQuarantine_Mild*'Equipment List &amp; Usage'!$X32)+('Weekly Summary'!AQ$101*SelfQuarantine_Moderate*'Equipment List &amp; Usage'!$X32))))+IF('Equipment List &amp; Usage'!$F32="Yes",'Equipment List &amp; Usage'!$C$114*(IF('Equipment List &amp; Usage'!$AA32&gt;0,'Weekly Summary'!AQ$128,0)+IF('Equipment List &amp; Usage'!$AB32&gt;0,'Weekly Summary'!AQ$100+'Weekly Summary'!AQ$101,0)),'Equipment List &amp; Usage'!$C$115*(('Weekly Summary'!AQ$128*'Equipment List &amp; Usage'!$AA32)+('Weekly Summary'!AQ$100*'Equipment List &amp; Usage'!$AB32*SelfQuarantine_Mild)+('Weekly Summary'!AQ$101*'Equipment List &amp; Usage'!$AB32*SelfQuarantine_Moderate)))+IF('Equipment List &amp; Usage'!$F32="Yes",('Equipment List &amp; Usage'!$C$114*(IF('Equipment List &amp; Usage'!$AE32&gt;0,'Weekly Summary'!AQ$134,0)+IF('Equipment List &amp; Usage'!$AF32&gt;0,'Weekly Summary'!AQ$135))),'Equipment List &amp; Usage'!$C$115*(('Weekly Summary'!AQ$134*'Equipment List &amp; Usage'!$AE32)+('Weekly Summary'!AQ$135*'Equipment List &amp; Usage'!$AF32)))),0)</f>
        <v>0</v>
      </c>
      <c r="AX30" s="1374">
        <f ca="1">MAX(IF($F30="Yes",(
IF($F30="yes",MMULT(--('Equipment List &amp; Usage'!$J32:$N32&gt;0),--('Weekly Summary'!AR$112:AR$116))*'Equipment List &amp; Usage'!$C$114,MMULT(--('Equipment List &amp; Usage'!$J32:$N32),--('Weekly Summary'!AR$112:AR$116))*'Equipment List &amp; Usage'!$C$115)+IF('Equipment List &amp; Usage'!$F31="yes",'Equipment List &amp; Usage'!$C$114,'Equipment List &amp; Usage'!$C$115)*(('Weekly Summary'!AR$66*'Equipment List &amp; Usage'!$Q32)+('Weekly Summary'!AR$64*'Equipment List &amp; Usage'!$O32)+('Weekly Summary'!AR$65*'Equipment List &amp; Usage'!$P32)))+(IF('Equipment List &amp; Usage'!$F32="Yes",'Equipment List &amp; Usage'!$C$114*((('Weekly Summary'!AR$131*SelfQuarantine_Mild)+('Weekly Summary'!AR$100*SelfQuarantine_Mild)+('Weekly Summary'!AR$101*SelfQuarantine_Moderate))),'Equipment List &amp; Usage'!$C$115)*((('Weekly Summary'!AR$131*SelfQuarantine_Mild*'Equipment List &amp; Usage'!$W32)+('Weekly Summary'!AR$100*SelfQuarantine_Mild*'Equipment List &amp; Usage'!$X32)+('Weekly Summary'!AR$101*SelfQuarantine_Moderate*'Equipment List &amp; Usage'!$X32)))+IF('Equipment List &amp; Usage'!$F32="Yes",'Equipment List &amp; Usage'!$C$114*(IF('Equipment List &amp; Usage'!$AA32&gt;0,'Weekly Summary'!AR$128,0)+IF('Equipment List &amp; Usage'!$AB32&gt;0,'Weekly Summary'!AR$100+'Weekly Summary'!AR$101,0)),'Equipment List &amp; Usage'!$C$115*(('Weekly Summary'!AR$128*'Equipment List &amp; Usage'!$AA32)+('Weekly Summary'!AR$100*'Equipment List &amp; Usage'!$AB32*SelfQuarantine_Mild)+('Weekly Summary'!AR$101*'Equipment List &amp; Usage'!$AB32*SelfQuarantine_Moderate)))+IF('Equipment List &amp; Usage'!$F32="Yes",('Equipment List &amp; Usage'!$C$114*(IF('Equipment List &amp; Usage'!$AE32&gt;0,'Weekly Summary'!AR$134,0)+IF('Equipment List &amp; Usage'!$AF32&gt;0,'Weekly Summary'!AR$135))),'Equipment List &amp; Usage'!$C$115*(('Weekly Summary'!AR$134*'Equipment List &amp; Usage'!$AE32)+('Weekly Summary'!AR$135*'Equipment List &amp; Usage'!$AF32))))-SUM($I30:AW30),
IF($F30="yes",MMULT(--('Equipment List &amp; Usage'!$J32:$N32&gt;0),--('Weekly Summary'!AR$112:AR$116))*'Equipment List &amp; Usage'!$C$114,MMULT(--('Equipment List &amp; Usage'!$J32:$N32),--('Weekly Summary'!AR$112:AR$116))*'Equipment List &amp; Usage'!$C$115)+IF('Equipment List &amp; Usage'!$F31="yes",'Equipment List &amp; Usage'!$C$114,'Equipment List &amp; Usage'!$C$115)*(('Weekly Summary'!AR$66*'Equipment List &amp; Usage'!$Q32)+('Weekly Summary'!AR$64*'Equipment List &amp; Usage'!$O32)+('Weekly Summary'!AR$65*'Equipment List &amp; Usage'!$P32))+(IF('Equipment List &amp; Usage'!$F32="Yes",'Equipment List &amp; Usage'!$C$114*((('Weekly Summary'!AR$131*SelfQuarantine_Mild)+('Weekly Summary'!AR$100*SelfQuarantine_Mild)+('Weekly Summary'!AR$101*SelfQuarantine_Moderate))),'Equipment List &amp; Usage'!$C$115)*((('Weekly Summary'!AR$131*SelfQuarantine_Mild*'Equipment List &amp; Usage'!$W32)+('Weekly Summary'!AR$100*SelfQuarantine_Mild*'Equipment List &amp; Usage'!$X32)+('Weekly Summary'!AR$101*SelfQuarantine_Moderate*'Equipment List &amp; Usage'!$X32))))+IF('Equipment List &amp; Usage'!$F32="Yes",'Equipment List &amp; Usage'!$C$114*(IF('Equipment List &amp; Usage'!$AA32&gt;0,'Weekly Summary'!AR$128,0)+IF('Equipment List &amp; Usage'!$AB32&gt;0,'Weekly Summary'!AR$100+'Weekly Summary'!AR$101,0)),'Equipment List &amp; Usage'!$C$115*(('Weekly Summary'!AR$128*'Equipment List &amp; Usage'!$AA32)+('Weekly Summary'!AR$100*'Equipment List &amp; Usage'!$AB32*SelfQuarantine_Mild)+('Weekly Summary'!AR$101*'Equipment List &amp; Usage'!$AB32*SelfQuarantine_Moderate)))+IF('Equipment List &amp; Usage'!$F32="Yes",('Equipment List &amp; Usage'!$C$114*(IF('Equipment List &amp; Usage'!$AE32&gt;0,'Weekly Summary'!AR$134,0)+IF('Equipment List &amp; Usage'!$AF32&gt;0,'Weekly Summary'!AR$135))),'Equipment List &amp; Usage'!$C$115*(('Weekly Summary'!AR$134*'Equipment List &amp; Usage'!$AE32)+('Weekly Summary'!AR$135*'Equipment List &amp; Usage'!$AF32)))),0)</f>
        <v>0</v>
      </c>
      <c r="AY30" s="1374">
        <f ca="1">MAX(IF($F30="Yes",(
IF($F30="yes",MMULT(--('Equipment List &amp; Usage'!$J32:$N32&gt;0),--('Weekly Summary'!AS$112:AS$116))*'Equipment List &amp; Usage'!$C$114,MMULT(--('Equipment List &amp; Usage'!$J32:$N32),--('Weekly Summary'!AS$112:AS$116))*'Equipment List &amp; Usage'!$C$115)+IF('Equipment List &amp; Usage'!$F31="yes",'Equipment List &amp; Usage'!$C$114,'Equipment List &amp; Usage'!$C$115)*(('Weekly Summary'!AS$66*'Equipment List &amp; Usage'!$Q32)+('Weekly Summary'!AS$64*'Equipment List &amp; Usage'!$O32)+('Weekly Summary'!AS$65*'Equipment List &amp; Usage'!$P32)))+(IF('Equipment List &amp; Usage'!$F32="Yes",'Equipment List &amp; Usage'!$C$114*((('Weekly Summary'!AS$131*SelfQuarantine_Mild)+('Weekly Summary'!AS$100*SelfQuarantine_Mild)+('Weekly Summary'!AS$101*SelfQuarantine_Moderate))),'Equipment List &amp; Usage'!$C$115)*((('Weekly Summary'!AS$131*SelfQuarantine_Mild*'Equipment List &amp; Usage'!$W32)+('Weekly Summary'!AS$100*SelfQuarantine_Mild*'Equipment List &amp; Usage'!$X32)+('Weekly Summary'!AS$101*SelfQuarantine_Moderate*'Equipment List &amp; Usage'!$X32)))+IF('Equipment List &amp; Usage'!$F32="Yes",'Equipment List &amp; Usage'!$C$114*(IF('Equipment List &amp; Usage'!$AA32&gt;0,'Weekly Summary'!AS$128,0)+IF('Equipment List &amp; Usage'!$AB32&gt;0,'Weekly Summary'!AS$100+'Weekly Summary'!AS$101,0)),'Equipment List &amp; Usage'!$C$115*(('Weekly Summary'!AS$128*'Equipment List &amp; Usage'!$AA32)+('Weekly Summary'!AS$100*'Equipment List &amp; Usage'!$AB32*SelfQuarantine_Mild)+('Weekly Summary'!AS$101*'Equipment List &amp; Usage'!$AB32*SelfQuarantine_Moderate)))+IF('Equipment List &amp; Usage'!$F32="Yes",('Equipment List &amp; Usage'!$C$114*(IF('Equipment List &amp; Usage'!$AE32&gt;0,'Weekly Summary'!AS$134,0)+IF('Equipment List &amp; Usage'!$AF32&gt;0,'Weekly Summary'!AS$135))),'Equipment List &amp; Usage'!$C$115*(('Weekly Summary'!AS$134*'Equipment List &amp; Usage'!$AE32)+('Weekly Summary'!AS$135*'Equipment List &amp; Usage'!$AF32))))-SUM($I30:AX30),
IF($F30="yes",MMULT(--('Equipment List &amp; Usage'!$J32:$N32&gt;0),--('Weekly Summary'!AS$112:AS$116))*'Equipment List &amp; Usage'!$C$114,MMULT(--('Equipment List &amp; Usage'!$J32:$N32),--('Weekly Summary'!AS$112:AS$116))*'Equipment List &amp; Usage'!$C$115)+IF('Equipment List &amp; Usage'!$F31="yes",'Equipment List &amp; Usage'!$C$114,'Equipment List &amp; Usage'!$C$115)*(('Weekly Summary'!AS$66*'Equipment List &amp; Usage'!$Q32)+('Weekly Summary'!AS$64*'Equipment List &amp; Usage'!$O32)+('Weekly Summary'!AS$65*'Equipment List &amp; Usage'!$P32))+(IF('Equipment List &amp; Usage'!$F32="Yes",'Equipment List &amp; Usage'!$C$114*((('Weekly Summary'!AS$131*SelfQuarantine_Mild)+('Weekly Summary'!AS$100*SelfQuarantine_Mild)+('Weekly Summary'!AS$101*SelfQuarantine_Moderate))),'Equipment List &amp; Usage'!$C$115)*((('Weekly Summary'!AS$131*SelfQuarantine_Mild*'Equipment List &amp; Usage'!$W32)+('Weekly Summary'!AS$100*SelfQuarantine_Mild*'Equipment List &amp; Usage'!$X32)+('Weekly Summary'!AS$101*SelfQuarantine_Moderate*'Equipment List &amp; Usage'!$X32))))+IF('Equipment List &amp; Usage'!$F32="Yes",'Equipment List &amp; Usage'!$C$114*(IF('Equipment List &amp; Usage'!$AA32&gt;0,'Weekly Summary'!AS$128,0)+IF('Equipment List &amp; Usage'!$AB32&gt;0,'Weekly Summary'!AS$100+'Weekly Summary'!AS$101,0)),'Equipment List &amp; Usage'!$C$115*(('Weekly Summary'!AS$128*'Equipment List &amp; Usage'!$AA32)+('Weekly Summary'!AS$100*'Equipment List &amp; Usage'!$AB32*SelfQuarantine_Mild)+('Weekly Summary'!AS$101*'Equipment List &amp; Usage'!$AB32*SelfQuarantine_Moderate)))+IF('Equipment List &amp; Usage'!$F32="Yes",('Equipment List &amp; Usage'!$C$114*(IF('Equipment List &amp; Usage'!$AE32&gt;0,'Weekly Summary'!AS$134,0)+IF('Equipment List &amp; Usage'!$AF32&gt;0,'Weekly Summary'!AS$135))),'Equipment List &amp; Usage'!$C$115*(('Weekly Summary'!AS$134*'Equipment List &amp; Usage'!$AE32)+('Weekly Summary'!AS$135*'Equipment List &amp; Usage'!$AF32)))),0)</f>
        <v>0</v>
      </c>
      <c r="AZ30" s="1374">
        <f ca="1">MAX(IF($F30="Yes",(
IF($F30="yes",MMULT(--('Equipment List &amp; Usage'!$J32:$N32&gt;0),--('Weekly Summary'!AT$112:AT$116))*'Equipment List &amp; Usage'!$C$114,MMULT(--('Equipment List &amp; Usage'!$J32:$N32),--('Weekly Summary'!AT$112:AT$116))*'Equipment List &amp; Usage'!$C$115)+IF('Equipment List &amp; Usage'!$F31="yes",'Equipment List &amp; Usage'!$C$114,'Equipment List &amp; Usage'!$C$115)*(('Weekly Summary'!AT$66*'Equipment List &amp; Usage'!$Q32)+('Weekly Summary'!AT$64*'Equipment List &amp; Usage'!$O32)+('Weekly Summary'!AT$65*'Equipment List &amp; Usage'!$P32)))+(IF('Equipment List &amp; Usage'!$F32="Yes",'Equipment List &amp; Usage'!$C$114*((('Weekly Summary'!AT$131*SelfQuarantine_Mild)+('Weekly Summary'!AT$100*SelfQuarantine_Mild)+('Weekly Summary'!AT$101*SelfQuarantine_Moderate))),'Equipment List &amp; Usage'!$C$115)*((('Weekly Summary'!AT$131*SelfQuarantine_Mild*'Equipment List &amp; Usage'!$W32)+('Weekly Summary'!AT$100*SelfQuarantine_Mild*'Equipment List &amp; Usage'!$X32)+('Weekly Summary'!AT$101*SelfQuarantine_Moderate*'Equipment List &amp; Usage'!$X32)))+IF('Equipment List &amp; Usage'!$F32="Yes",'Equipment List &amp; Usage'!$C$114*(IF('Equipment List &amp; Usage'!$AA32&gt;0,'Weekly Summary'!AT$128,0)+IF('Equipment List &amp; Usage'!$AB32&gt;0,'Weekly Summary'!AT$100+'Weekly Summary'!AT$101,0)),'Equipment List &amp; Usage'!$C$115*(('Weekly Summary'!AT$128*'Equipment List &amp; Usage'!$AA32)+('Weekly Summary'!AT$100*'Equipment List &amp; Usage'!$AB32*SelfQuarantine_Mild)+('Weekly Summary'!AT$101*'Equipment List &amp; Usage'!$AB32*SelfQuarantine_Moderate)))+IF('Equipment List &amp; Usage'!$F32="Yes",('Equipment List &amp; Usage'!$C$114*(IF('Equipment List &amp; Usage'!$AE32&gt;0,'Weekly Summary'!AT$134,0)+IF('Equipment List &amp; Usage'!$AF32&gt;0,'Weekly Summary'!AT$135))),'Equipment List &amp; Usage'!$C$115*(('Weekly Summary'!AT$134*'Equipment List &amp; Usage'!$AE32)+('Weekly Summary'!AT$135*'Equipment List &amp; Usage'!$AF32))))-SUM($I30:AY30),
IF($F30="yes",MMULT(--('Equipment List &amp; Usage'!$J32:$N32&gt;0),--('Weekly Summary'!AT$112:AT$116))*'Equipment List &amp; Usage'!$C$114,MMULT(--('Equipment List &amp; Usage'!$J32:$N32),--('Weekly Summary'!AT$112:AT$116))*'Equipment List &amp; Usage'!$C$115)+IF('Equipment List &amp; Usage'!$F31="yes",'Equipment List &amp; Usage'!$C$114,'Equipment List &amp; Usage'!$C$115)*(('Weekly Summary'!AT$66*'Equipment List &amp; Usage'!$Q32)+('Weekly Summary'!AT$64*'Equipment List &amp; Usage'!$O32)+('Weekly Summary'!AT$65*'Equipment List &amp; Usage'!$P32))+(IF('Equipment List &amp; Usage'!$F32="Yes",'Equipment List &amp; Usage'!$C$114*((('Weekly Summary'!AT$131*SelfQuarantine_Mild)+('Weekly Summary'!AT$100*SelfQuarantine_Mild)+('Weekly Summary'!AT$101*SelfQuarantine_Moderate))),'Equipment List &amp; Usage'!$C$115)*((('Weekly Summary'!AT$131*SelfQuarantine_Mild*'Equipment List &amp; Usage'!$W32)+('Weekly Summary'!AT$100*SelfQuarantine_Mild*'Equipment List &amp; Usage'!$X32)+('Weekly Summary'!AT$101*SelfQuarantine_Moderate*'Equipment List &amp; Usage'!$X32))))+IF('Equipment List &amp; Usage'!$F32="Yes",'Equipment List &amp; Usage'!$C$114*(IF('Equipment List &amp; Usage'!$AA32&gt;0,'Weekly Summary'!AT$128,0)+IF('Equipment List &amp; Usage'!$AB32&gt;0,'Weekly Summary'!AT$100+'Weekly Summary'!AT$101,0)),'Equipment List &amp; Usage'!$C$115*(('Weekly Summary'!AT$128*'Equipment List &amp; Usage'!$AA32)+('Weekly Summary'!AT$100*'Equipment List &amp; Usage'!$AB32*SelfQuarantine_Mild)+('Weekly Summary'!AT$101*'Equipment List &amp; Usage'!$AB32*SelfQuarantine_Moderate)))+IF('Equipment List &amp; Usage'!$F32="Yes",('Equipment List &amp; Usage'!$C$114*(IF('Equipment List &amp; Usage'!$AE32&gt;0,'Weekly Summary'!AT$134,0)+IF('Equipment List &amp; Usage'!$AF32&gt;0,'Weekly Summary'!AT$135))),'Equipment List &amp; Usage'!$C$115*(('Weekly Summary'!AT$134*'Equipment List &amp; Usage'!$AE32)+('Weekly Summary'!AT$135*'Equipment List &amp; Usage'!$AF32)))),0)</f>
        <v>0</v>
      </c>
      <c r="BA30" s="1374">
        <f ca="1">MAX(IF($F30="Yes",(
IF($F30="yes",MMULT(--('Equipment List &amp; Usage'!$J32:$N32&gt;0),--('Weekly Summary'!AU$112:AU$116))*'Equipment List &amp; Usage'!$C$114,MMULT(--('Equipment List &amp; Usage'!$J32:$N32),--('Weekly Summary'!AU$112:AU$116))*'Equipment List &amp; Usage'!$C$115)+IF('Equipment List &amp; Usage'!$F31="yes",'Equipment List &amp; Usage'!$C$114,'Equipment List &amp; Usage'!$C$115)*(('Weekly Summary'!AU$66*'Equipment List &amp; Usage'!$Q32)+('Weekly Summary'!AU$64*'Equipment List &amp; Usage'!$O32)+('Weekly Summary'!AU$65*'Equipment List &amp; Usage'!$P32)))+(IF('Equipment List &amp; Usage'!$F32="Yes",'Equipment List &amp; Usage'!$C$114*((('Weekly Summary'!AU$131*SelfQuarantine_Mild)+('Weekly Summary'!AU$100*SelfQuarantine_Mild)+('Weekly Summary'!AU$101*SelfQuarantine_Moderate))),'Equipment List &amp; Usage'!$C$115)*((('Weekly Summary'!AU$131*SelfQuarantine_Mild*'Equipment List &amp; Usage'!$W32)+('Weekly Summary'!AU$100*SelfQuarantine_Mild*'Equipment List &amp; Usage'!$X32)+('Weekly Summary'!AU$101*SelfQuarantine_Moderate*'Equipment List &amp; Usage'!$X32)))+IF('Equipment List &amp; Usage'!$F32="Yes",'Equipment List &amp; Usage'!$C$114*(IF('Equipment List &amp; Usage'!$AA32&gt;0,'Weekly Summary'!AU$128,0)+IF('Equipment List &amp; Usage'!$AB32&gt;0,'Weekly Summary'!AU$100+'Weekly Summary'!AU$101,0)),'Equipment List &amp; Usage'!$C$115*(('Weekly Summary'!AU$128*'Equipment List &amp; Usage'!$AA32)+('Weekly Summary'!AU$100*'Equipment List &amp; Usage'!$AB32*SelfQuarantine_Mild)+('Weekly Summary'!AU$101*'Equipment List &amp; Usage'!$AB32*SelfQuarantine_Moderate)))+IF('Equipment List &amp; Usage'!$F32="Yes",('Equipment List &amp; Usage'!$C$114*(IF('Equipment List &amp; Usage'!$AE32&gt;0,'Weekly Summary'!AU$134,0)+IF('Equipment List &amp; Usage'!$AF32&gt;0,'Weekly Summary'!AU$135))),'Equipment List &amp; Usage'!$C$115*(('Weekly Summary'!AU$134*'Equipment List &amp; Usage'!$AE32)+('Weekly Summary'!AU$135*'Equipment List &amp; Usage'!$AF32))))-SUM($I30:AZ30),
IF($F30="yes",MMULT(--('Equipment List &amp; Usage'!$J32:$N32&gt;0),--('Weekly Summary'!AU$112:AU$116))*'Equipment List &amp; Usage'!$C$114,MMULT(--('Equipment List &amp; Usage'!$J32:$N32),--('Weekly Summary'!AU$112:AU$116))*'Equipment List &amp; Usage'!$C$115)+IF('Equipment List &amp; Usage'!$F31="yes",'Equipment List &amp; Usage'!$C$114,'Equipment List &amp; Usage'!$C$115)*(('Weekly Summary'!AU$66*'Equipment List &amp; Usage'!$Q32)+('Weekly Summary'!AU$64*'Equipment List &amp; Usage'!$O32)+('Weekly Summary'!AU$65*'Equipment List &amp; Usage'!$P32))+(IF('Equipment List &amp; Usage'!$F32="Yes",'Equipment List &amp; Usage'!$C$114*((('Weekly Summary'!AU$131*SelfQuarantine_Mild)+('Weekly Summary'!AU$100*SelfQuarantine_Mild)+('Weekly Summary'!AU$101*SelfQuarantine_Moderate))),'Equipment List &amp; Usage'!$C$115)*((('Weekly Summary'!AU$131*SelfQuarantine_Mild*'Equipment List &amp; Usage'!$W32)+('Weekly Summary'!AU$100*SelfQuarantine_Mild*'Equipment List &amp; Usage'!$X32)+('Weekly Summary'!AU$101*SelfQuarantine_Moderate*'Equipment List &amp; Usage'!$X32))))+IF('Equipment List &amp; Usage'!$F32="Yes",'Equipment List &amp; Usage'!$C$114*(IF('Equipment List &amp; Usage'!$AA32&gt;0,'Weekly Summary'!AU$128,0)+IF('Equipment List &amp; Usage'!$AB32&gt;0,'Weekly Summary'!AU$100+'Weekly Summary'!AU$101,0)),'Equipment List &amp; Usage'!$C$115*(('Weekly Summary'!AU$128*'Equipment List &amp; Usage'!$AA32)+('Weekly Summary'!AU$100*'Equipment List &amp; Usage'!$AB32*SelfQuarantine_Mild)+('Weekly Summary'!AU$101*'Equipment List &amp; Usage'!$AB32*SelfQuarantine_Moderate)))+IF('Equipment List &amp; Usage'!$F32="Yes",('Equipment List &amp; Usage'!$C$114*(IF('Equipment List &amp; Usage'!$AE32&gt;0,'Weekly Summary'!AU$134,0)+IF('Equipment List &amp; Usage'!$AF32&gt;0,'Weekly Summary'!AU$135))),'Equipment List &amp; Usage'!$C$115*(('Weekly Summary'!AU$134*'Equipment List &amp; Usage'!$AE32)+('Weekly Summary'!AU$135*'Equipment List &amp; Usage'!$AF32)))),0)</f>
        <v>0</v>
      </c>
      <c r="BB30" s="1374">
        <f ca="1">MAX(IF($F30="Yes",(
IF($F30="yes",MMULT(--('Equipment List &amp; Usage'!$J32:$N32&gt;0),--('Weekly Summary'!AV$112:AV$116))*'Equipment List &amp; Usage'!$C$114,MMULT(--('Equipment List &amp; Usage'!$J32:$N32),--('Weekly Summary'!AV$112:AV$116))*'Equipment List &amp; Usage'!$C$115)+IF('Equipment List &amp; Usage'!$F31="yes",'Equipment List &amp; Usage'!$C$114,'Equipment List &amp; Usage'!$C$115)*(('Weekly Summary'!AV$66*'Equipment List &amp; Usage'!$Q32)+('Weekly Summary'!AV$64*'Equipment List &amp; Usage'!$O32)+('Weekly Summary'!AV$65*'Equipment List &amp; Usage'!$P32)))+(IF('Equipment List &amp; Usage'!$F32="Yes",'Equipment List &amp; Usage'!$C$114*((('Weekly Summary'!AV$131*SelfQuarantine_Mild)+('Weekly Summary'!AV$100*SelfQuarantine_Mild)+('Weekly Summary'!AV$101*SelfQuarantine_Moderate))),'Equipment List &amp; Usage'!$C$115)*((('Weekly Summary'!AV$131*SelfQuarantine_Mild*'Equipment List &amp; Usage'!$W32)+('Weekly Summary'!AV$100*SelfQuarantine_Mild*'Equipment List &amp; Usage'!$X32)+('Weekly Summary'!AV$101*SelfQuarantine_Moderate*'Equipment List &amp; Usage'!$X32)))+IF('Equipment List &amp; Usage'!$F32="Yes",'Equipment List &amp; Usage'!$C$114*(IF('Equipment List &amp; Usage'!$AA32&gt;0,'Weekly Summary'!AV$128,0)+IF('Equipment List &amp; Usage'!$AB32&gt;0,'Weekly Summary'!AV$100+'Weekly Summary'!AV$101,0)),'Equipment List &amp; Usage'!$C$115*(('Weekly Summary'!AV$128*'Equipment List &amp; Usage'!$AA32)+('Weekly Summary'!AV$100*'Equipment List &amp; Usage'!$AB32*SelfQuarantine_Mild)+('Weekly Summary'!AV$101*'Equipment List &amp; Usage'!$AB32*SelfQuarantine_Moderate)))+IF('Equipment List &amp; Usage'!$F32="Yes",('Equipment List &amp; Usage'!$C$114*(IF('Equipment List &amp; Usage'!$AE32&gt;0,'Weekly Summary'!AV$134,0)+IF('Equipment List &amp; Usage'!$AF32&gt;0,'Weekly Summary'!AV$135))),'Equipment List &amp; Usage'!$C$115*(('Weekly Summary'!AV$134*'Equipment List &amp; Usage'!$AE32)+('Weekly Summary'!AV$135*'Equipment List &amp; Usage'!$AF32))))-SUM($I30:BA30),
IF($F30="yes",MMULT(--('Equipment List &amp; Usage'!$J32:$N32&gt;0),--('Weekly Summary'!AV$112:AV$116))*'Equipment List &amp; Usage'!$C$114,MMULT(--('Equipment List &amp; Usage'!$J32:$N32),--('Weekly Summary'!AV$112:AV$116))*'Equipment List &amp; Usage'!$C$115)+IF('Equipment List &amp; Usage'!$F31="yes",'Equipment List &amp; Usage'!$C$114,'Equipment List &amp; Usage'!$C$115)*(('Weekly Summary'!AV$66*'Equipment List &amp; Usage'!$Q32)+('Weekly Summary'!AV$64*'Equipment List &amp; Usage'!$O32)+('Weekly Summary'!AV$65*'Equipment List &amp; Usage'!$P32))+(IF('Equipment List &amp; Usage'!$F32="Yes",'Equipment List &amp; Usage'!$C$114*((('Weekly Summary'!AV$131*SelfQuarantine_Mild)+('Weekly Summary'!AV$100*SelfQuarantine_Mild)+('Weekly Summary'!AV$101*SelfQuarantine_Moderate))),'Equipment List &amp; Usage'!$C$115)*((('Weekly Summary'!AV$131*SelfQuarantine_Mild*'Equipment List &amp; Usage'!$W32)+('Weekly Summary'!AV$100*SelfQuarantine_Mild*'Equipment List &amp; Usage'!$X32)+('Weekly Summary'!AV$101*SelfQuarantine_Moderate*'Equipment List &amp; Usage'!$X32))))+IF('Equipment List &amp; Usage'!$F32="Yes",'Equipment List &amp; Usage'!$C$114*(IF('Equipment List &amp; Usage'!$AA32&gt;0,'Weekly Summary'!AV$128,0)+IF('Equipment List &amp; Usage'!$AB32&gt;0,'Weekly Summary'!AV$100+'Weekly Summary'!AV$101,0)),'Equipment List &amp; Usage'!$C$115*(('Weekly Summary'!AV$128*'Equipment List &amp; Usage'!$AA32)+('Weekly Summary'!AV$100*'Equipment List &amp; Usage'!$AB32*SelfQuarantine_Mild)+('Weekly Summary'!AV$101*'Equipment List &amp; Usage'!$AB32*SelfQuarantine_Moderate)))+IF('Equipment List &amp; Usage'!$F32="Yes",('Equipment List &amp; Usage'!$C$114*(IF('Equipment List &amp; Usage'!$AE32&gt;0,'Weekly Summary'!AV$134,0)+IF('Equipment List &amp; Usage'!$AF32&gt;0,'Weekly Summary'!AV$135))),'Equipment List &amp; Usage'!$C$115*(('Weekly Summary'!AV$134*'Equipment List &amp; Usage'!$AE32)+('Weekly Summary'!AV$135*'Equipment List &amp; Usage'!$AF32)))),0)</f>
        <v>0</v>
      </c>
      <c r="BC30" s="1374">
        <f ca="1">MAX(IF($F30="Yes",(
IF($F30="yes",MMULT(--('Equipment List &amp; Usage'!$J32:$N32&gt;0),--('Weekly Summary'!AW$112:AW$116))*'Equipment List &amp; Usage'!$C$114,MMULT(--('Equipment List &amp; Usage'!$J32:$N32),--('Weekly Summary'!AW$112:AW$116))*'Equipment List &amp; Usage'!$C$115)+IF('Equipment List &amp; Usage'!$F31="yes",'Equipment List &amp; Usage'!$C$114,'Equipment List &amp; Usage'!$C$115)*(('Weekly Summary'!AW$66*'Equipment List &amp; Usage'!$Q32)+('Weekly Summary'!AW$64*'Equipment List &amp; Usage'!$O32)+('Weekly Summary'!AW$65*'Equipment List &amp; Usage'!$P32)))+(IF('Equipment List &amp; Usage'!$F32="Yes",'Equipment List &amp; Usage'!$C$114*((('Weekly Summary'!AW$131*SelfQuarantine_Mild)+('Weekly Summary'!AW$100*SelfQuarantine_Mild)+('Weekly Summary'!AW$101*SelfQuarantine_Moderate))),'Equipment List &amp; Usage'!$C$115)*((('Weekly Summary'!AW$131*SelfQuarantine_Mild*'Equipment List &amp; Usage'!$W32)+('Weekly Summary'!AW$100*SelfQuarantine_Mild*'Equipment List &amp; Usage'!$X32)+('Weekly Summary'!AW$101*SelfQuarantine_Moderate*'Equipment List &amp; Usage'!$X32)))+IF('Equipment List &amp; Usage'!$F32="Yes",'Equipment List &amp; Usage'!$C$114*(IF('Equipment List &amp; Usage'!$AA32&gt;0,'Weekly Summary'!AW$128,0)+IF('Equipment List &amp; Usage'!$AB32&gt;0,'Weekly Summary'!AW$100+'Weekly Summary'!AW$101,0)),'Equipment List &amp; Usage'!$C$115*(('Weekly Summary'!AW$128*'Equipment List &amp; Usage'!$AA32)+('Weekly Summary'!AW$100*'Equipment List &amp; Usage'!$AB32*SelfQuarantine_Mild)+('Weekly Summary'!AW$101*'Equipment List &amp; Usage'!$AB32*SelfQuarantine_Moderate)))+IF('Equipment List &amp; Usage'!$F32="Yes",('Equipment List &amp; Usage'!$C$114*(IF('Equipment List &amp; Usage'!$AE32&gt;0,'Weekly Summary'!AW$134,0)+IF('Equipment List &amp; Usage'!$AF32&gt;0,'Weekly Summary'!AW$135))),'Equipment List &amp; Usage'!$C$115*(('Weekly Summary'!AW$134*'Equipment List &amp; Usage'!$AE32)+('Weekly Summary'!AW$135*'Equipment List &amp; Usage'!$AF32))))-SUM($I30:BB30),
IF($F30="yes",MMULT(--('Equipment List &amp; Usage'!$J32:$N32&gt;0),--('Weekly Summary'!AW$112:AW$116))*'Equipment List &amp; Usage'!$C$114,MMULT(--('Equipment List &amp; Usage'!$J32:$N32),--('Weekly Summary'!AW$112:AW$116))*'Equipment List &amp; Usage'!$C$115)+IF('Equipment List &amp; Usage'!$F31="yes",'Equipment List &amp; Usage'!$C$114,'Equipment List &amp; Usage'!$C$115)*(('Weekly Summary'!AW$66*'Equipment List &amp; Usage'!$Q32)+('Weekly Summary'!AW$64*'Equipment List &amp; Usage'!$O32)+('Weekly Summary'!AW$65*'Equipment List &amp; Usage'!$P32))+(IF('Equipment List &amp; Usage'!$F32="Yes",'Equipment List &amp; Usage'!$C$114*((('Weekly Summary'!AW$131*SelfQuarantine_Mild)+('Weekly Summary'!AW$100*SelfQuarantine_Mild)+('Weekly Summary'!AW$101*SelfQuarantine_Moderate))),'Equipment List &amp; Usage'!$C$115)*((('Weekly Summary'!AW$131*SelfQuarantine_Mild*'Equipment List &amp; Usage'!$W32)+('Weekly Summary'!AW$100*SelfQuarantine_Mild*'Equipment List &amp; Usage'!$X32)+('Weekly Summary'!AW$101*SelfQuarantine_Moderate*'Equipment List &amp; Usage'!$X32))))+IF('Equipment List &amp; Usage'!$F32="Yes",'Equipment List &amp; Usage'!$C$114*(IF('Equipment List &amp; Usage'!$AA32&gt;0,'Weekly Summary'!AW$128,0)+IF('Equipment List &amp; Usage'!$AB32&gt;0,'Weekly Summary'!AW$100+'Weekly Summary'!AW$101,0)),'Equipment List &amp; Usage'!$C$115*(('Weekly Summary'!AW$128*'Equipment List &amp; Usage'!$AA32)+('Weekly Summary'!AW$100*'Equipment List &amp; Usage'!$AB32*SelfQuarantine_Mild)+('Weekly Summary'!AW$101*'Equipment List &amp; Usage'!$AB32*SelfQuarantine_Moderate)))+IF('Equipment List &amp; Usage'!$F32="Yes",('Equipment List &amp; Usage'!$C$114*(IF('Equipment List &amp; Usage'!$AE32&gt;0,'Weekly Summary'!AW$134,0)+IF('Equipment List &amp; Usage'!$AF32&gt;0,'Weekly Summary'!AW$135))),'Equipment List &amp; Usage'!$C$115*(('Weekly Summary'!AW$134*'Equipment List &amp; Usage'!$AE32)+('Weekly Summary'!AW$135*'Equipment List &amp; Usage'!$AF32)))),0)</f>
        <v>0</v>
      </c>
      <c r="BD30" s="1374">
        <f ca="1">MAX(IF($F30="Yes",(
IF($F30="yes",MMULT(--('Equipment List &amp; Usage'!$J32:$N32&gt;0),--('Weekly Summary'!AX$112:AX$116))*'Equipment List &amp; Usage'!$C$114,MMULT(--('Equipment List &amp; Usage'!$J32:$N32),--('Weekly Summary'!AX$112:AX$116))*'Equipment List &amp; Usage'!$C$115)+IF('Equipment List &amp; Usage'!$F31="yes",'Equipment List &amp; Usage'!$C$114,'Equipment List &amp; Usage'!$C$115)*(('Weekly Summary'!AX$66*'Equipment List &amp; Usage'!$Q32)+('Weekly Summary'!AX$64*'Equipment List &amp; Usage'!$O32)+('Weekly Summary'!AX$65*'Equipment List &amp; Usage'!$P32)))+(IF('Equipment List &amp; Usage'!$F32="Yes",'Equipment List &amp; Usage'!$C$114*((('Weekly Summary'!AX$131*SelfQuarantine_Mild)+('Weekly Summary'!AX$100*SelfQuarantine_Mild)+('Weekly Summary'!AX$101*SelfQuarantine_Moderate))),'Equipment List &amp; Usage'!$C$115)*((('Weekly Summary'!AX$131*SelfQuarantine_Mild*'Equipment List &amp; Usage'!$W32)+('Weekly Summary'!AX$100*SelfQuarantine_Mild*'Equipment List &amp; Usage'!$X32)+('Weekly Summary'!AX$101*SelfQuarantine_Moderate*'Equipment List &amp; Usage'!$X32)))+IF('Equipment List &amp; Usage'!$F32="Yes",'Equipment List &amp; Usage'!$C$114*(IF('Equipment List &amp; Usage'!$AA32&gt;0,'Weekly Summary'!AX$128,0)+IF('Equipment List &amp; Usage'!$AB32&gt;0,'Weekly Summary'!AX$100+'Weekly Summary'!AX$101,0)),'Equipment List &amp; Usage'!$C$115*(('Weekly Summary'!AX$128*'Equipment List &amp; Usage'!$AA32)+('Weekly Summary'!AX$100*'Equipment List &amp; Usage'!$AB32*SelfQuarantine_Mild)+('Weekly Summary'!AX$101*'Equipment List &amp; Usage'!$AB32*SelfQuarantine_Moderate)))+IF('Equipment List &amp; Usage'!$F32="Yes",('Equipment List &amp; Usage'!$C$114*(IF('Equipment List &amp; Usage'!$AE32&gt;0,'Weekly Summary'!AX$134,0)+IF('Equipment List &amp; Usage'!$AF32&gt;0,'Weekly Summary'!AX$135))),'Equipment List &amp; Usage'!$C$115*(('Weekly Summary'!AX$134*'Equipment List &amp; Usage'!$AE32)+('Weekly Summary'!AX$135*'Equipment List &amp; Usage'!$AF32))))-SUM($I30:BC30),
IF($F30="yes",MMULT(--('Equipment List &amp; Usage'!$J32:$N32&gt;0),--('Weekly Summary'!AX$112:AX$116))*'Equipment List &amp; Usage'!$C$114,MMULT(--('Equipment List &amp; Usage'!$J32:$N32),--('Weekly Summary'!AX$112:AX$116))*'Equipment List &amp; Usage'!$C$115)+IF('Equipment List &amp; Usage'!$F31="yes",'Equipment List &amp; Usage'!$C$114,'Equipment List &amp; Usage'!$C$115)*(('Weekly Summary'!AX$66*'Equipment List &amp; Usage'!$Q32)+('Weekly Summary'!AX$64*'Equipment List &amp; Usage'!$O32)+('Weekly Summary'!AX$65*'Equipment List &amp; Usage'!$P32))+(IF('Equipment List &amp; Usage'!$F32="Yes",'Equipment List &amp; Usage'!$C$114*((('Weekly Summary'!AX$131*SelfQuarantine_Mild)+('Weekly Summary'!AX$100*SelfQuarantine_Mild)+('Weekly Summary'!AX$101*SelfQuarantine_Moderate))),'Equipment List &amp; Usage'!$C$115)*((('Weekly Summary'!AX$131*SelfQuarantine_Mild*'Equipment List &amp; Usage'!$W32)+('Weekly Summary'!AX$100*SelfQuarantine_Mild*'Equipment List &amp; Usage'!$X32)+('Weekly Summary'!AX$101*SelfQuarantine_Moderate*'Equipment List &amp; Usage'!$X32))))+IF('Equipment List &amp; Usage'!$F32="Yes",'Equipment List &amp; Usage'!$C$114*(IF('Equipment List &amp; Usage'!$AA32&gt;0,'Weekly Summary'!AX$128,0)+IF('Equipment List &amp; Usage'!$AB32&gt;0,'Weekly Summary'!AX$100+'Weekly Summary'!AX$101,0)),'Equipment List &amp; Usage'!$C$115*(('Weekly Summary'!AX$128*'Equipment List &amp; Usage'!$AA32)+('Weekly Summary'!AX$100*'Equipment List &amp; Usage'!$AB32*SelfQuarantine_Mild)+('Weekly Summary'!AX$101*'Equipment List &amp; Usage'!$AB32*SelfQuarantine_Moderate)))+IF('Equipment List &amp; Usage'!$F32="Yes",('Equipment List &amp; Usage'!$C$114*(IF('Equipment List &amp; Usage'!$AE32&gt;0,'Weekly Summary'!AX$134,0)+IF('Equipment List &amp; Usage'!$AF32&gt;0,'Weekly Summary'!AX$135))),'Equipment List &amp; Usage'!$C$115*(('Weekly Summary'!AX$134*'Equipment List &amp; Usage'!$AE32)+('Weekly Summary'!AX$135*'Equipment List &amp; Usage'!$AF32)))),0)</f>
        <v>0</v>
      </c>
      <c r="BE30" s="1374">
        <f ca="1">MAX(IF($F30="Yes",(
IF($F30="yes",MMULT(--('Equipment List &amp; Usage'!$J32:$N32&gt;0),--('Weekly Summary'!AY$112:AY$116))*'Equipment List &amp; Usage'!$C$114,MMULT(--('Equipment List &amp; Usage'!$J32:$N32),--('Weekly Summary'!AY$112:AY$116))*'Equipment List &amp; Usage'!$C$115)+IF('Equipment List &amp; Usage'!$F31="yes",'Equipment List &amp; Usage'!$C$114,'Equipment List &amp; Usage'!$C$115)*(('Weekly Summary'!AY$66*'Equipment List &amp; Usage'!$Q32)+('Weekly Summary'!AY$64*'Equipment List &amp; Usage'!$O32)+('Weekly Summary'!AY$65*'Equipment List &amp; Usage'!$P32)))+(IF('Equipment List &amp; Usage'!$F32="Yes",'Equipment List &amp; Usage'!$C$114*((('Weekly Summary'!AY$131*SelfQuarantine_Mild)+('Weekly Summary'!AY$100*SelfQuarantine_Mild)+('Weekly Summary'!AY$101*SelfQuarantine_Moderate))),'Equipment List &amp; Usage'!$C$115)*((('Weekly Summary'!AY$131*SelfQuarantine_Mild*'Equipment List &amp; Usage'!$W32)+('Weekly Summary'!AY$100*SelfQuarantine_Mild*'Equipment List &amp; Usage'!$X32)+('Weekly Summary'!AY$101*SelfQuarantine_Moderate*'Equipment List &amp; Usage'!$X32)))+IF('Equipment List &amp; Usage'!$F32="Yes",'Equipment List &amp; Usage'!$C$114*(IF('Equipment List &amp; Usage'!$AA32&gt;0,'Weekly Summary'!AY$128,0)+IF('Equipment List &amp; Usage'!$AB32&gt;0,'Weekly Summary'!AY$100+'Weekly Summary'!AY$101,0)),'Equipment List &amp; Usage'!$C$115*(('Weekly Summary'!AY$128*'Equipment List &amp; Usage'!$AA32)+('Weekly Summary'!AY$100*'Equipment List &amp; Usage'!$AB32*SelfQuarantine_Mild)+('Weekly Summary'!AY$101*'Equipment List &amp; Usage'!$AB32*SelfQuarantine_Moderate)))+IF('Equipment List &amp; Usage'!$F32="Yes",('Equipment List &amp; Usage'!$C$114*(IF('Equipment List &amp; Usage'!$AE32&gt;0,'Weekly Summary'!AY$134,0)+IF('Equipment List &amp; Usage'!$AF32&gt;0,'Weekly Summary'!AY$135))),'Equipment List &amp; Usage'!$C$115*(('Weekly Summary'!AY$134*'Equipment List &amp; Usage'!$AE32)+('Weekly Summary'!AY$135*'Equipment List &amp; Usage'!$AF32))))-SUM($I30:BD30),
IF($F30="yes",MMULT(--('Equipment List &amp; Usage'!$J32:$N32&gt;0),--('Weekly Summary'!AY$112:AY$116))*'Equipment List &amp; Usage'!$C$114,MMULT(--('Equipment List &amp; Usage'!$J32:$N32),--('Weekly Summary'!AY$112:AY$116))*'Equipment List &amp; Usage'!$C$115)+IF('Equipment List &amp; Usage'!$F31="yes",'Equipment List &amp; Usage'!$C$114,'Equipment List &amp; Usage'!$C$115)*(('Weekly Summary'!AY$66*'Equipment List &amp; Usage'!$Q32)+('Weekly Summary'!AY$64*'Equipment List &amp; Usage'!$O32)+('Weekly Summary'!AY$65*'Equipment List &amp; Usage'!$P32))+(IF('Equipment List &amp; Usage'!$F32="Yes",'Equipment List &amp; Usage'!$C$114*((('Weekly Summary'!AY$131*SelfQuarantine_Mild)+('Weekly Summary'!AY$100*SelfQuarantine_Mild)+('Weekly Summary'!AY$101*SelfQuarantine_Moderate))),'Equipment List &amp; Usage'!$C$115)*((('Weekly Summary'!AY$131*SelfQuarantine_Mild*'Equipment List &amp; Usage'!$W32)+('Weekly Summary'!AY$100*SelfQuarantine_Mild*'Equipment List &amp; Usage'!$X32)+('Weekly Summary'!AY$101*SelfQuarantine_Moderate*'Equipment List &amp; Usage'!$X32))))+IF('Equipment List &amp; Usage'!$F32="Yes",'Equipment List &amp; Usage'!$C$114*(IF('Equipment List &amp; Usage'!$AA32&gt;0,'Weekly Summary'!AY$128,0)+IF('Equipment List &amp; Usage'!$AB32&gt;0,'Weekly Summary'!AY$100+'Weekly Summary'!AY$101,0)),'Equipment List &amp; Usage'!$C$115*(('Weekly Summary'!AY$128*'Equipment List &amp; Usage'!$AA32)+('Weekly Summary'!AY$100*'Equipment List &amp; Usage'!$AB32*SelfQuarantine_Mild)+('Weekly Summary'!AY$101*'Equipment List &amp; Usage'!$AB32*SelfQuarantine_Moderate)))+IF('Equipment List &amp; Usage'!$F32="Yes",('Equipment List &amp; Usage'!$C$114*(IF('Equipment List &amp; Usage'!$AE32&gt;0,'Weekly Summary'!AY$134,0)+IF('Equipment List &amp; Usage'!$AF32&gt;0,'Weekly Summary'!AY$135))),'Equipment List &amp; Usage'!$C$115*(('Weekly Summary'!AY$134*'Equipment List &amp; Usage'!$AE32)+('Weekly Summary'!AY$135*'Equipment List &amp; Usage'!$AF32)))),0)</f>
        <v>0</v>
      </c>
      <c r="BF30" s="1374">
        <f ca="1">MAX(IF($F30="Yes",(
IF($F30="yes",MMULT(--('Equipment List &amp; Usage'!$J32:$N32&gt;0),--('Weekly Summary'!AZ$112:AZ$116))*'Equipment List &amp; Usage'!$C$114,MMULT(--('Equipment List &amp; Usage'!$J32:$N32),--('Weekly Summary'!AZ$112:AZ$116))*'Equipment List &amp; Usage'!$C$115)+IF('Equipment List &amp; Usage'!$F31="yes",'Equipment List &amp; Usage'!$C$114,'Equipment List &amp; Usage'!$C$115)*(('Weekly Summary'!AZ$66*'Equipment List &amp; Usage'!$Q32)+('Weekly Summary'!AZ$64*'Equipment List &amp; Usage'!$O32)+('Weekly Summary'!AZ$65*'Equipment List &amp; Usage'!$P32)))+(IF('Equipment List &amp; Usage'!$F32="Yes",'Equipment List &amp; Usage'!$C$114*((('Weekly Summary'!AZ$131*SelfQuarantine_Mild)+('Weekly Summary'!AZ$100*SelfQuarantine_Mild)+('Weekly Summary'!AZ$101*SelfQuarantine_Moderate))),'Equipment List &amp; Usage'!$C$115)*((('Weekly Summary'!AZ$131*SelfQuarantine_Mild*'Equipment List &amp; Usage'!$W32)+('Weekly Summary'!AZ$100*SelfQuarantine_Mild*'Equipment List &amp; Usage'!$X32)+('Weekly Summary'!AZ$101*SelfQuarantine_Moderate*'Equipment List &amp; Usage'!$X32)))+IF('Equipment List &amp; Usage'!$F32="Yes",'Equipment List &amp; Usage'!$C$114*(IF('Equipment List &amp; Usage'!$AA32&gt;0,'Weekly Summary'!AZ$128,0)+IF('Equipment List &amp; Usage'!$AB32&gt;0,'Weekly Summary'!AZ$100+'Weekly Summary'!AZ$101,0)),'Equipment List &amp; Usage'!$C$115*(('Weekly Summary'!AZ$128*'Equipment List &amp; Usage'!$AA32)+('Weekly Summary'!AZ$100*'Equipment List &amp; Usage'!$AB32*SelfQuarantine_Mild)+('Weekly Summary'!AZ$101*'Equipment List &amp; Usage'!$AB32*SelfQuarantine_Moderate)))+IF('Equipment List &amp; Usage'!$F32="Yes",('Equipment List &amp; Usage'!$C$114*(IF('Equipment List &amp; Usage'!$AE32&gt;0,'Weekly Summary'!AZ$134,0)+IF('Equipment List &amp; Usage'!$AF32&gt;0,'Weekly Summary'!AZ$135))),'Equipment List &amp; Usage'!$C$115*(('Weekly Summary'!AZ$134*'Equipment List &amp; Usage'!$AE32)+('Weekly Summary'!AZ$135*'Equipment List &amp; Usage'!$AF32))))-SUM($I30:BE30),
IF($F30="yes",MMULT(--('Equipment List &amp; Usage'!$J32:$N32&gt;0),--('Weekly Summary'!AZ$112:AZ$116))*'Equipment List &amp; Usage'!$C$114,MMULT(--('Equipment List &amp; Usage'!$J32:$N32),--('Weekly Summary'!AZ$112:AZ$116))*'Equipment List &amp; Usage'!$C$115)+IF('Equipment List &amp; Usage'!$F31="yes",'Equipment List &amp; Usage'!$C$114,'Equipment List &amp; Usage'!$C$115)*(('Weekly Summary'!AZ$66*'Equipment List &amp; Usage'!$Q32)+('Weekly Summary'!AZ$64*'Equipment List &amp; Usage'!$O32)+('Weekly Summary'!AZ$65*'Equipment List &amp; Usage'!$P32))+(IF('Equipment List &amp; Usage'!$F32="Yes",'Equipment List &amp; Usage'!$C$114*((('Weekly Summary'!AZ$131*SelfQuarantine_Mild)+('Weekly Summary'!AZ$100*SelfQuarantine_Mild)+('Weekly Summary'!AZ$101*SelfQuarantine_Moderate))),'Equipment List &amp; Usage'!$C$115)*((('Weekly Summary'!AZ$131*SelfQuarantine_Mild*'Equipment List &amp; Usage'!$W32)+('Weekly Summary'!AZ$100*SelfQuarantine_Mild*'Equipment List &amp; Usage'!$X32)+('Weekly Summary'!AZ$101*SelfQuarantine_Moderate*'Equipment List &amp; Usage'!$X32))))+IF('Equipment List &amp; Usage'!$F32="Yes",'Equipment List &amp; Usage'!$C$114*(IF('Equipment List &amp; Usage'!$AA32&gt;0,'Weekly Summary'!AZ$128,0)+IF('Equipment List &amp; Usage'!$AB32&gt;0,'Weekly Summary'!AZ$100+'Weekly Summary'!AZ$101,0)),'Equipment List &amp; Usage'!$C$115*(('Weekly Summary'!AZ$128*'Equipment List &amp; Usage'!$AA32)+('Weekly Summary'!AZ$100*'Equipment List &amp; Usage'!$AB32*SelfQuarantine_Mild)+('Weekly Summary'!AZ$101*'Equipment List &amp; Usage'!$AB32*SelfQuarantine_Moderate)))+IF('Equipment List &amp; Usage'!$F32="Yes",('Equipment List &amp; Usage'!$C$114*(IF('Equipment List &amp; Usage'!$AE32&gt;0,'Weekly Summary'!AZ$134,0)+IF('Equipment List &amp; Usage'!$AF32&gt;0,'Weekly Summary'!AZ$135))),'Equipment List &amp; Usage'!$C$115*(('Weekly Summary'!AZ$134*'Equipment List &amp; Usage'!$AE32)+('Weekly Summary'!AZ$135*'Equipment List &amp; Usage'!$AF32)))),0)</f>
        <v>0</v>
      </c>
      <c r="BG30" s="1374">
        <f ca="1">MAX(IF($F30="Yes",(
IF($F30="yes",MMULT(--('Equipment List &amp; Usage'!$J32:$N32&gt;0),--('Weekly Summary'!BA$112:BA$116))*'Equipment List &amp; Usage'!$C$114,MMULT(--('Equipment List &amp; Usage'!$J32:$N32),--('Weekly Summary'!BA$112:BA$116))*'Equipment List &amp; Usage'!$C$115)+IF('Equipment List &amp; Usage'!$F31="yes",'Equipment List &amp; Usage'!$C$114,'Equipment List &amp; Usage'!$C$115)*(('Weekly Summary'!BA$66*'Equipment List &amp; Usage'!$Q32)+('Weekly Summary'!BA$64*'Equipment List &amp; Usage'!$O32)+('Weekly Summary'!BA$65*'Equipment List &amp; Usage'!$P32)))+(IF('Equipment List &amp; Usage'!$F32="Yes",'Equipment List &amp; Usage'!$C$114*((('Weekly Summary'!BA$131*SelfQuarantine_Mild)+('Weekly Summary'!BA$100*SelfQuarantine_Mild)+('Weekly Summary'!BA$101*SelfQuarantine_Moderate))),'Equipment List &amp; Usage'!$C$115)*((('Weekly Summary'!BA$131*SelfQuarantine_Mild*'Equipment List &amp; Usage'!$W32)+('Weekly Summary'!BA$100*SelfQuarantine_Mild*'Equipment List &amp; Usage'!$X32)+('Weekly Summary'!BA$101*SelfQuarantine_Moderate*'Equipment List &amp; Usage'!$X32)))+IF('Equipment List &amp; Usage'!$F32="Yes",'Equipment List &amp; Usage'!$C$114*(IF('Equipment List &amp; Usage'!$AA32&gt;0,'Weekly Summary'!BA$128,0)+IF('Equipment List &amp; Usage'!$AB32&gt;0,'Weekly Summary'!BA$100+'Weekly Summary'!BA$101,0)),'Equipment List &amp; Usage'!$C$115*(('Weekly Summary'!BA$128*'Equipment List &amp; Usage'!$AA32)+('Weekly Summary'!BA$100*'Equipment List &amp; Usage'!$AB32*SelfQuarantine_Mild)+('Weekly Summary'!BA$101*'Equipment List &amp; Usage'!$AB32*SelfQuarantine_Moderate)))+IF('Equipment List &amp; Usage'!$F32="Yes",('Equipment List &amp; Usage'!$C$114*(IF('Equipment List &amp; Usage'!$AE32&gt;0,'Weekly Summary'!BA$134,0)+IF('Equipment List &amp; Usage'!$AF32&gt;0,'Weekly Summary'!BA$135))),'Equipment List &amp; Usage'!$C$115*(('Weekly Summary'!BA$134*'Equipment List &amp; Usage'!$AE32)+('Weekly Summary'!BA$135*'Equipment List &amp; Usage'!$AF32))))-SUM($I30:BF30),
IF($F30="yes",MMULT(--('Equipment List &amp; Usage'!$J32:$N32&gt;0),--('Weekly Summary'!BA$112:BA$116))*'Equipment List &amp; Usage'!$C$114,MMULT(--('Equipment List &amp; Usage'!$J32:$N32),--('Weekly Summary'!BA$112:BA$116))*'Equipment List &amp; Usage'!$C$115)+IF('Equipment List &amp; Usage'!$F31="yes",'Equipment List &amp; Usage'!$C$114,'Equipment List &amp; Usage'!$C$115)*(('Weekly Summary'!BA$66*'Equipment List &amp; Usage'!$Q32)+('Weekly Summary'!BA$64*'Equipment List &amp; Usage'!$O32)+('Weekly Summary'!BA$65*'Equipment List &amp; Usage'!$P32))+(IF('Equipment List &amp; Usage'!$F32="Yes",'Equipment List &amp; Usage'!$C$114*((('Weekly Summary'!BA$131*SelfQuarantine_Mild)+('Weekly Summary'!BA$100*SelfQuarantine_Mild)+('Weekly Summary'!BA$101*SelfQuarantine_Moderate))),'Equipment List &amp; Usage'!$C$115)*((('Weekly Summary'!BA$131*SelfQuarantine_Mild*'Equipment List &amp; Usage'!$W32)+('Weekly Summary'!BA$100*SelfQuarantine_Mild*'Equipment List &amp; Usage'!$X32)+('Weekly Summary'!BA$101*SelfQuarantine_Moderate*'Equipment List &amp; Usage'!$X32))))+IF('Equipment List &amp; Usage'!$F32="Yes",'Equipment List &amp; Usage'!$C$114*(IF('Equipment List &amp; Usage'!$AA32&gt;0,'Weekly Summary'!BA$128,0)+IF('Equipment List &amp; Usage'!$AB32&gt;0,'Weekly Summary'!BA$100+'Weekly Summary'!BA$101,0)),'Equipment List &amp; Usage'!$C$115*(('Weekly Summary'!BA$128*'Equipment List &amp; Usage'!$AA32)+('Weekly Summary'!BA$100*'Equipment List &amp; Usage'!$AB32*SelfQuarantine_Mild)+('Weekly Summary'!BA$101*'Equipment List &amp; Usage'!$AB32*SelfQuarantine_Moderate)))+IF('Equipment List &amp; Usage'!$F32="Yes",('Equipment List &amp; Usage'!$C$114*(IF('Equipment List &amp; Usage'!$AE32&gt;0,'Weekly Summary'!BA$134,0)+IF('Equipment List &amp; Usage'!$AF32&gt;0,'Weekly Summary'!BA$135))),'Equipment List &amp; Usage'!$C$115*(('Weekly Summary'!BA$134*'Equipment List &amp; Usage'!$AE32)+('Weekly Summary'!BA$135*'Equipment List &amp; Usage'!$AF32)))),0)</f>
        <v>0</v>
      </c>
      <c r="BH30" s="1374">
        <f ca="1">MAX(IF($F30="Yes",(
IF($F30="yes",MMULT(--('Equipment List &amp; Usage'!$J32:$N32&gt;0),--('Weekly Summary'!BB$112:BB$116))*'Equipment List &amp; Usage'!$C$114,MMULT(--('Equipment List &amp; Usage'!$J32:$N32),--('Weekly Summary'!BB$112:BB$116))*'Equipment List &amp; Usage'!$C$115)+IF('Equipment List &amp; Usage'!$F31="yes",'Equipment List &amp; Usage'!$C$114,'Equipment List &amp; Usage'!$C$115)*(('Weekly Summary'!BB$66*'Equipment List &amp; Usage'!$Q32)+('Weekly Summary'!BB$64*'Equipment List &amp; Usage'!$O32)+('Weekly Summary'!BB$65*'Equipment List &amp; Usage'!$P32)))+(IF('Equipment List &amp; Usage'!$F32="Yes",'Equipment List &amp; Usage'!$C$114*((('Weekly Summary'!BB$131*SelfQuarantine_Mild)+('Weekly Summary'!BB$100*SelfQuarantine_Mild)+('Weekly Summary'!BB$101*SelfQuarantine_Moderate))),'Equipment List &amp; Usage'!$C$115)*((('Weekly Summary'!BB$131*SelfQuarantine_Mild*'Equipment List &amp; Usage'!$W32)+('Weekly Summary'!BB$100*SelfQuarantine_Mild*'Equipment List &amp; Usage'!$X32)+('Weekly Summary'!BB$101*SelfQuarantine_Moderate*'Equipment List &amp; Usage'!$X32)))+IF('Equipment List &amp; Usage'!$F32="Yes",'Equipment List &amp; Usage'!$C$114*(IF('Equipment List &amp; Usage'!$AA32&gt;0,'Weekly Summary'!BB$128,0)+IF('Equipment List &amp; Usage'!$AB32&gt;0,'Weekly Summary'!BB$100+'Weekly Summary'!BB$101,0)),'Equipment List &amp; Usage'!$C$115*(('Weekly Summary'!BB$128*'Equipment List &amp; Usage'!$AA32)+('Weekly Summary'!BB$100*'Equipment List &amp; Usage'!$AB32*SelfQuarantine_Mild)+('Weekly Summary'!BB$101*'Equipment List &amp; Usage'!$AB32*SelfQuarantine_Moderate)))+IF('Equipment List &amp; Usage'!$F32="Yes",('Equipment List &amp; Usage'!$C$114*(IF('Equipment List &amp; Usage'!$AE32&gt;0,'Weekly Summary'!BB$134,0)+IF('Equipment List &amp; Usage'!$AF32&gt;0,'Weekly Summary'!BB$135))),'Equipment List &amp; Usage'!$C$115*(('Weekly Summary'!BB$134*'Equipment List &amp; Usage'!$AE32)+('Weekly Summary'!BB$135*'Equipment List &amp; Usage'!$AF32))))-SUM($I30:BG30),
IF($F30="yes",MMULT(--('Equipment List &amp; Usage'!$J32:$N32&gt;0),--('Weekly Summary'!BB$112:BB$116))*'Equipment List &amp; Usage'!$C$114,MMULT(--('Equipment List &amp; Usage'!$J32:$N32),--('Weekly Summary'!BB$112:BB$116))*'Equipment List &amp; Usage'!$C$115)+IF('Equipment List &amp; Usage'!$F31="yes",'Equipment List &amp; Usage'!$C$114,'Equipment List &amp; Usage'!$C$115)*(('Weekly Summary'!BB$66*'Equipment List &amp; Usage'!$Q32)+('Weekly Summary'!BB$64*'Equipment List &amp; Usage'!$O32)+('Weekly Summary'!BB$65*'Equipment List &amp; Usage'!$P32))+(IF('Equipment List &amp; Usage'!$F32="Yes",'Equipment List &amp; Usage'!$C$114*((('Weekly Summary'!BB$131*SelfQuarantine_Mild)+('Weekly Summary'!BB$100*SelfQuarantine_Mild)+('Weekly Summary'!BB$101*SelfQuarantine_Moderate))),'Equipment List &amp; Usage'!$C$115)*((('Weekly Summary'!BB$131*SelfQuarantine_Mild*'Equipment List &amp; Usage'!$W32)+('Weekly Summary'!BB$100*SelfQuarantine_Mild*'Equipment List &amp; Usage'!$X32)+('Weekly Summary'!BB$101*SelfQuarantine_Moderate*'Equipment List &amp; Usage'!$X32))))+IF('Equipment List &amp; Usage'!$F32="Yes",'Equipment List &amp; Usage'!$C$114*(IF('Equipment List &amp; Usage'!$AA32&gt;0,'Weekly Summary'!BB$128,0)+IF('Equipment List &amp; Usage'!$AB32&gt;0,'Weekly Summary'!BB$100+'Weekly Summary'!BB$101,0)),'Equipment List &amp; Usage'!$C$115*(('Weekly Summary'!BB$128*'Equipment List &amp; Usage'!$AA32)+('Weekly Summary'!BB$100*'Equipment List &amp; Usage'!$AB32*SelfQuarantine_Mild)+('Weekly Summary'!BB$101*'Equipment List &amp; Usage'!$AB32*SelfQuarantine_Moderate)))+IF('Equipment List &amp; Usage'!$F32="Yes",('Equipment List &amp; Usage'!$C$114*(IF('Equipment List &amp; Usage'!$AE32&gt;0,'Weekly Summary'!BB$134,0)+IF('Equipment List &amp; Usage'!$AF32&gt;0,'Weekly Summary'!BB$135))),'Equipment List &amp; Usage'!$C$115*(('Weekly Summary'!BB$134*'Equipment List &amp; Usage'!$AE32)+('Weekly Summary'!BB$135*'Equipment List &amp; Usage'!$AF32)))),0)</f>
        <v>0</v>
      </c>
      <c r="BI30" s="1374">
        <f ca="1">MAX(IF($F30="Yes",(
IF($F30="yes",MMULT(--('Equipment List &amp; Usage'!$J32:$N32&gt;0),--('Weekly Summary'!BC$112:BC$116))*'Equipment List &amp; Usage'!$C$114,MMULT(--('Equipment List &amp; Usage'!$J32:$N32),--('Weekly Summary'!BC$112:BC$116))*'Equipment List &amp; Usage'!$C$115)+IF('Equipment List &amp; Usage'!$F31="yes",'Equipment List &amp; Usage'!$C$114,'Equipment List &amp; Usage'!$C$115)*(('Weekly Summary'!BC$66*'Equipment List &amp; Usage'!$Q32)+('Weekly Summary'!BC$64*'Equipment List &amp; Usage'!$O32)+('Weekly Summary'!BC$65*'Equipment List &amp; Usage'!$P32)))+(IF('Equipment List &amp; Usage'!$F32="Yes",'Equipment List &amp; Usage'!$C$114*((('Weekly Summary'!BC$131*SelfQuarantine_Mild)+('Weekly Summary'!BC$100*SelfQuarantine_Mild)+('Weekly Summary'!BC$101*SelfQuarantine_Moderate))),'Equipment List &amp; Usage'!$C$115)*((('Weekly Summary'!BC$131*SelfQuarantine_Mild*'Equipment List &amp; Usage'!$W32)+('Weekly Summary'!BC$100*SelfQuarantine_Mild*'Equipment List &amp; Usage'!$X32)+('Weekly Summary'!BC$101*SelfQuarantine_Moderate*'Equipment List &amp; Usage'!$X32)))+IF('Equipment List &amp; Usage'!$F32="Yes",'Equipment List &amp; Usage'!$C$114*(IF('Equipment List &amp; Usage'!$AA32&gt;0,'Weekly Summary'!BC$128,0)+IF('Equipment List &amp; Usage'!$AB32&gt;0,'Weekly Summary'!BC$100+'Weekly Summary'!BC$101,0)),'Equipment List &amp; Usage'!$C$115*(('Weekly Summary'!BC$128*'Equipment List &amp; Usage'!$AA32)+('Weekly Summary'!BC$100*'Equipment List &amp; Usage'!$AB32*SelfQuarantine_Mild)+('Weekly Summary'!BC$101*'Equipment List &amp; Usage'!$AB32*SelfQuarantine_Moderate)))+IF('Equipment List &amp; Usage'!$F32="Yes",('Equipment List &amp; Usage'!$C$114*(IF('Equipment List &amp; Usage'!$AE32&gt;0,'Weekly Summary'!BC$134,0)+IF('Equipment List &amp; Usage'!$AF32&gt;0,'Weekly Summary'!BC$135))),'Equipment List &amp; Usage'!$C$115*(('Weekly Summary'!BC$134*'Equipment List &amp; Usage'!$AE32)+('Weekly Summary'!BC$135*'Equipment List &amp; Usage'!$AF32))))-SUM($I30:BH30),
IF($F30="yes",MMULT(--('Equipment List &amp; Usage'!$J32:$N32&gt;0),--('Weekly Summary'!BC$112:BC$116))*'Equipment List &amp; Usage'!$C$114,MMULT(--('Equipment List &amp; Usage'!$J32:$N32),--('Weekly Summary'!BC$112:BC$116))*'Equipment List &amp; Usage'!$C$115)+IF('Equipment List &amp; Usage'!$F31="yes",'Equipment List &amp; Usage'!$C$114,'Equipment List &amp; Usage'!$C$115)*(('Weekly Summary'!BC$66*'Equipment List &amp; Usage'!$Q32)+('Weekly Summary'!BC$64*'Equipment List &amp; Usage'!$O32)+('Weekly Summary'!BC$65*'Equipment List &amp; Usage'!$P32))+(IF('Equipment List &amp; Usage'!$F32="Yes",'Equipment List &amp; Usage'!$C$114*((('Weekly Summary'!BC$131*SelfQuarantine_Mild)+('Weekly Summary'!BC$100*SelfQuarantine_Mild)+('Weekly Summary'!BC$101*SelfQuarantine_Moderate))),'Equipment List &amp; Usage'!$C$115)*((('Weekly Summary'!BC$131*SelfQuarantine_Mild*'Equipment List &amp; Usage'!$W32)+('Weekly Summary'!BC$100*SelfQuarantine_Mild*'Equipment List &amp; Usage'!$X32)+('Weekly Summary'!BC$101*SelfQuarantine_Moderate*'Equipment List &amp; Usage'!$X32))))+IF('Equipment List &amp; Usage'!$F32="Yes",'Equipment List &amp; Usage'!$C$114*(IF('Equipment List &amp; Usage'!$AA32&gt;0,'Weekly Summary'!BC$128,0)+IF('Equipment List &amp; Usage'!$AB32&gt;0,'Weekly Summary'!BC$100+'Weekly Summary'!BC$101,0)),'Equipment List &amp; Usage'!$C$115*(('Weekly Summary'!BC$128*'Equipment List &amp; Usage'!$AA32)+('Weekly Summary'!BC$100*'Equipment List &amp; Usage'!$AB32*SelfQuarantine_Mild)+('Weekly Summary'!BC$101*'Equipment List &amp; Usage'!$AB32*SelfQuarantine_Moderate)))+IF('Equipment List &amp; Usage'!$F32="Yes",('Equipment List &amp; Usage'!$C$114*(IF('Equipment List &amp; Usage'!$AE32&gt;0,'Weekly Summary'!BC$134,0)+IF('Equipment List &amp; Usage'!$AF32&gt;0,'Weekly Summary'!BC$135))),'Equipment List &amp; Usage'!$C$115*(('Weekly Summary'!BC$134*'Equipment List &amp; Usage'!$AE32)+('Weekly Summary'!BC$135*'Equipment List &amp; Usage'!$AF32)))),0)</f>
        <v>0</v>
      </c>
      <c r="BJ30" s="1377">
        <f ca="1">MAX(IF($F30="Yes",(
IF($F30="yes",MMULT(--('Equipment List &amp; Usage'!$J32:$N32&gt;0),--('Weekly Summary'!BD$112:BD$116))*'Equipment List &amp; Usage'!$C$114,MMULT(--('Equipment List &amp; Usage'!$J32:$N32),--('Weekly Summary'!BD$112:BD$116))*'Equipment List &amp; Usage'!$C$115)+IF('Equipment List &amp; Usage'!$F31="yes",'Equipment List &amp; Usage'!$C$114,'Equipment List &amp; Usage'!$C$115)*(('Weekly Summary'!BD$66*'Equipment List &amp; Usage'!$Q32)+('Weekly Summary'!BD$64*'Equipment List &amp; Usage'!$O32)+('Weekly Summary'!BD$65*'Equipment List &amp; Usage'!$P32)))+(IF('Equipment List &amp; Usage'!$F32="Yes",'Equipment List &amp; Usage'!$C$114*((('Weekly Summary'!BD$131*SelfQuarantine_Mild)+('Weekly Summary'!BD$100*SelfQuarantine_Mild)+('Weekly Summary'!BD$101*SelfQuarantine_Moderate))),'Equipment List &amp; Usage'!$C$115)*((('Weekly Summary'!BD$131*SelfQuarantine_Mild*'Equipment List &amp; Usage'!$W32)+('Weekly Summary'!BD$100*SelfQuarantine_Mild*'Equipment List &amp; Usage'!$X32)+('Weekly Summary'!BD$101*SelfQuarantine_Moderate*'Equipment List &amp; Usage'!$X32)))+IF('Equipment List &amp; Usage'!$F32="Yes",'Equipment List &amp; Usage'!$C$114*(IF('Equipment List &amp; Usage'!$AA32&gt;0,'Weekly Summary'!BD$128,0)+IF('Equipment List &amp; Usage'!$AB32&gt;0,'Weekly Summary'!BD$100+'Weekly Summary'!BD$101,0)),'Equipment List &amp; Usage'!$C$115*(('Weekly Summary'!BD$128*'Equipment List &amp; Usage'!$AA32)+('Weekly Summary'!BD$100*'Equipment List &amp; Usage'!$AB32*SelfQuarantine_Mild)+('Weekly Summary'!BD$101*'Equipment List &amp; Usage'!$AB32*SelfQuarantine_Moderate)))+IF('Equipment List &amp; Usage'!$F32="Yes",('Equipment List &amp; Usage'!$C$114*(IF('Equipment List &amp; Usage'!$AE32&gt;0,'Weekly Summary'!BD$134,0)+IF('Equipment List &amp; Usage'!$AF32&gt;0,'Weekly Summary'!BD$135))),'Equipment List &amp; Usage'!$C$115*(('Weekly Summary'!BD$134*'Equipment List &amp; Usage'!$AE32)+('Weekly Summary'!BD$135*'Equipment List &amp; Usage'!$AF32))))-SUM($I30:BI30),
IF($F30="yes",MMULT(--('Equipment List &amp; Usage'!$J32:$N32&gt;0),--('Weekly Summary'!BD$112:BD$116))*'Equipment List &amp; Usage'!$C$114,MMULT(--('Equipment List &amp; Usage'!$J32:$N32),--('Weekly Summary'!BD$112:BD$116))*'Equipment List &amp; Usage'!$C$115)+IF('Equipment List &amp; Usage'!$F31="yes",'Equipment List &amp; Usage'!$C$114,'Equipment List &amp; Usage'!$C$115)*(('Weekly Summary'!BD$66*'Equipment List &amp; Usage'!$Q32)+('Weekly Summary'!BD$64*'Equipment List &amp; Usage'!$O32)+('Weekly Summary'!BD$65*'Equipment List &amp; Usage'!$P32))+(IF('Equipment List &amp; Usage'!$F32="Yes",'Equipment List &amp; Usage'!$C$114*((('Weekly Summary'!BD$131*SelfQuarantine_Mild)+('Weekly Summary'!BD$100*SelfQuarantine_Mild)+('Weekly Summary'!BD$101*SelfQuarantine_Moderate))),'Equipment List &amp; Usage'!$C$115)*((('Weekly Summary'!BD$131*SelfQuarantine_Mild*'Equipment List &amp; Usage'!$W32)+('Weekly Summary'!BD$100*SelfQuarantine_Mild*'Equipment List &amp; Usage'!$X32)+('Weekly Summary'!BD$101*SelfQuarantine_Moderate*'Equipment List &amp; Usage'!$X32))))+IF('Equipment List &amp; Usage'!$F32="Yes",'Equipment List &amp; Usage'!$C$114*(IF('Equipment List &amp; Usage'!$AA32&gt;0,'Weekly Summary'!BD$128,0)+IF('Equipment List &amp; Usage'!$AB32&gt;0,'Weekly Summary'!BD$100+'Weekly Summary'!BD$101,0)),'Equipment List &amp; Usage'!$C$115*(('Weekly Summary'!BD$128*'Equipment List &amp; Usage'!$AA32)+('Weekly Summary'!BD$100*'Equipment List &amp; Usage'!$AB32*SelfQuarantine_Mild)+('Weekly Summary'!BD$101*'Equipment List &amp; Usage'!$AB32*SelfQuarantine_Moderate)))+IF('Equipment List &amp; Usage'!$F32="Yes",('Equipment List &amp; Usage'!$C$114*(IF('Equipment List &amp; Usage'!$AE32&gt;0,'Weekly Summary'!BD$134,0)+IF('Equipment List &amp; Usage'!$AF32&gt;0,'Weekly Summary'!BD$135))),'Equipment List &amp; Usage'!$C$115*(('Weekly Summary'!BD$134*'Equipment List &amp; Usage'!$AE32)+('Weekly Summary'!BD$135*'Equipment List &amp; Usage'!$AF32)))),0)</f>
        <v>0</v>
      </c>
    </row>
    <row r="31" spans="2:62" ht="15" thickBot="1" x14ac:dyDescent="0.4">
      <c r="B31" s="954" t="str">
        <f>'Equipment List &amp; Usage'!B33</f>
        <v>IPC</v>
      </c>
      <c r="C31" s="955" t="str">
        <f>'Equipment List &amp; Usage'!C33</f>
        <v>PPE</v>
      </c>
      <c r="D31" s="955" t="str">
        <f>'Equipment List &amp; Usage'!D33</f>
        <v>Mask, medical / surgical for patient</v>
      </c>
      <c r="E31" s="955" t="str">
        <f>'Equipment List &amp; Usage'!E33</f>
        <v>Each</v>
      </c>
      <c r="F31" s="955" t="str">
        <f>'Equipment List &amp; Usage'!F33</f>
        <v>No</v>
      </c>
      <c r="G31" s="955" t="str">
        <f>'Equipment List &amp; Usage'!G33</f>
        <v>N/A</v>
      </c>
      <c r="H31" s="1366">
        <f t="shared" ca="1" si="2"/>
        <v>10552.118159278707</v>
      </c>
      <c r="J31" s="1342"/>
      <c r="K31" s="1378">
        <f ca="1">IF('User Dashboard'!$H$13=1,0,IF($F31="Yes",(
IF($F31="yes",MMULT(--('Equipment List &amp; Usage'!$J33:$N33&gt;0),--('Weekly Summary'!E$112:E$116))*'Equipment List &amp; Usage'!$C$114,MMULT(--('Equipment List &amp; Usage'!$J33:$N33),--('Weekly Summary'!E$112:E$116))*'Equipment List &amp; Usage'!$C$115)+IF('Equipment List &amp; Usage'!$F32="yes",'Equipment List &amp; Usage'!$C$114,'Equipment List &amp; Usage'!$C$115)*(('Weekly Summary'!E$66*'Equipment List &amp; Usage'!$Q33)+('Weekly Summary'!E$64*'Equipment List &amp; Usage'!$O33)+('Weekly Summary'!E$65*'Equipment List &amp; Usage'!$P33)))+(IF('Equipment List &amp; Usage'!$F33="Yes",'Equipment List &amp; Usage'!$C$114*((('Weekly Summary'!E$131*SelfQuarantine_Mild)+('Weekly Summary'!E$100*SelfQuarantine_Mild)+('Weekly Summary'!E$101*SelfQuarantine_Moderate))),'Equipment List &amp; Usage'!$C$115)*((('Weekly Summary'!E$131*SelfQuarantine_Mild*'Equipment List &amp; Usage'!$W33)+('Weekly Summary'!E$100*SelfQuarantine_Mild*'Equipment List &amp; Usage'!$X33)+('Weekly Summary'!E$101*SelfQuarantine_Moderate*'Equipment List &amp; Usage'!$X33)))+IF('Equipment List &amp; Usage'!$F33="Yes",'Equipment List &amp; Usage'!$C$114*(IF('Equipment List &amp; Usage'!$AA33&gt;0,'Weekly Summary'!E$128,0)+IF('Equipment List &amp; Usage'!$AB33&gt;0,'Weekly Summary'!E$100+'Weekly Summary'!E$101,0)),'Equipment List &amp; Usage'!$C$115*(('Weekly Summary'!E$128*'Equipment List &amp; Usage'!$AA33)+('Weekly Summary'!E$100*'Equipment List &amp; Usage'!$AB33*SelfQuarantine_Mild)+('Weekly Summary'!E$101*'Equipment List &amp; Usage'!$AB33*SelfQuarantine_Moderate)))+IF('Equipment List &amp; Usage'!$F33="Yes",('Equipment List &amp; Usage'!$C$114*(IF('Equipment List &amp; Usage'!$AE33&gt;0,'Weekly Summary'!E$134,0)+IF('Equipment List &amp; Usage'!$AF33&gt;0,'Weekly Summary'!E$135))),'Equipment List &amp; Usage'!$C$115*(('Weekly Summary'!E$134*'Equipment List &amp; Usage'!$AE33)+('Weekly Summary'!E$135*'Equipment List &amp; Usage'!$AF33)))),
IF($F31="yes",MMULT(--('Equipment List &amp; Usage'!$J33:$N33&gt;0),--('Weekly Summary'!E$112:E$116))*'Equipment List &amp; Usage'!$C$114,MMULT(--('Equipment List &amp; Usage'!$J33:$N33),--('Weekly Summary'!E$112:E$116))*'Equipment List &amp; Usage'!$C$115)+IF('Equipment List &amp; Usage'!$F32="yes",'Equipment List &amp; Usage'!$C$114,'Equipment List &amp; Usage'!$C$115)*(('Weekly Summary'!E$66*'Equipment List &amp; Usage'!$Q33)+('Weekly Summary'!E$64*'Equipment List &amp; Usage'!$O33)+('Weekly Summary'!E$65*'Equipment List &amp; Usage'!$P33))+(IF('Equipment List &amp; Usage'!$F33="Yes",'Equipment List &amp; Usage'!$C$114*((('Weekly Summary'!E$131*SelfQuarantine_Mild)+('Weekly Summary'!E$100*SelfQuarantine_Mild)+('Weekly Summary'!E$101*SelfQuarantine_Moderate))),'Equipment List &amp; Usage'!$C$115)*((('Weekly Summary'!E$131*SelfQuarantine_Mild*'Equipment List &amp; Usage'!$W33)+('Weekly Summary'!E$100*SelfQuarantine_Mild*'Equipment List &amp; Usage'!$X33)+('Weekly Summary'!E$101*SelfQuarantine_Moderate*'Equipment List &amp; Usage'!$X33))))+IF('Equipment List &amp; Usage'!$F33="Yes",'Equipment List &amp; Usage'!$C$114*(IF('Equipment List &amp; Usage'!$AA33&gt;0,'Weekly Summary'!E$128,0)+IF('Equipment List &amp; Usage'!$AB33&gt;0,'Weekly Summary'!E$100+'Weekly Summary'!E$101,0)),'Equipment List &amp; Usage'!$C$115*(('Weekly Summary'!E$128*'Equipment List &amp; Usage'!$AA33)+('Weekly Summary'!E$100*'Equipment List &amp; Usage'!$AB33*SelfQuarantine_Mild)+('Weekly Summary'!E$101*'Equipment List &amp; Usage'!$AB33*SelfQuarantine_Moderate)))+IF('Equipment List &amp; Usage'!$F33="Yes",('Equipment List &amp; Usage'!$C$114*(IF('Equipment List &amp; Usage'!$AE33&gt;0,'Weekly Summary'!E$134,0)+IF('Equipment List &amp; Usage'!$AF33&gt;0,'Weekly Summary'!E$135))),'Equipment List &amp; Usage'!$C$115*(('Weekly Summary'!E$134*'Equipment List &amp; Usage'!$AE33)+('Weekly Summary'!E$135*'Equipment List &amp; Usage'!$AF33)))))</f>
        <v>15.721152706071489</v>
      </c>
      <c r="L31" s="1378">
        <f ca="1">MAX(IF($F31="Yes",(
IF($F31="yes",MMULT(--('Equipment List &amp; Usage'!$J33:$N33&gt;0),--('Weekly Summary'!F$112:F$116))*'Equipment List &amp; Usage'!$C$114,MMULT(--('Equipment List &amp; Usage'!$J33:$N33),--('Weekly Summary'!F$112:F$116))*'Equipment List &amp; Usage'!$C$115)+IF('Equipment List &amp; Usage'!$F32="yes",'Equipment List &amp; Usage'!$C$114,'Equipment List &amp; Usage'!$C$115)*(('Weekly Summary'!F$66*'Equipment List &amp; Usage'!$Q33)+('Weekly Summary'!F$64*'Equipment List &amp; Usage'!$O33)+('Weekly Summary'!F$65*'Equipment List &amp; Usage'!$P33)))+(IF('Equipment List &amp; Usage'!$F33="Yes",'Equipment List &amp; Usage'!$C$114*((('Weekly Summary'!F$131*SelfQuarantine_Mild)+('Weekly Summary'!F$100*SelfQuarantine_Mild)+('Weekly Summary'!F$101*SelfQuarantine_Moderate))),'Equipment List &amp; Usage'!$C$115)*((('Weekly Summary'!F$131*SelfQuarantine_Mild*'Equipment List &amp; Usage'!$W33)+('Weekly Summary'!F$100*SelfQuarantine_Mild*'Equipment List &amp; Usage'!$X33)+('Weekly Summary'!F$101*SelfQuarantine_Moderate*'Equipment List &amp; Usage'!$X33)))+IF('Equipment List &amp; Usage'!$F33="Yes",'Equipment List &amp; Usage'!$C$114*(IF('Equipment List &amp; Usage'!$AA33&gt;0,'Weekly Summary'!F$128,0)+IF('Equipment List &amp; Usage'!$AB33&gt;0,'Weekly Summary'!F$100+'Weekly Summary'!F$101,0)),'Equipment List &amp; Usage'!$C$115*(('Weekly Summary'!F$128*'Equipment List &amp; Usage'!$AA33)+('Weekly Summary'!F$100*'Equipment List &amp; Usage'!$AB33*SelfQuarantine_Mild)+('Weekly Summary'!F$101*'Equipment List &amp; Usage'!$AB33*SelfQuarantine_Moderate)))+IF('Equipment List &amp; Usage'!$F33="Yes",('Equipment List &amp; Usage'!$C$114*(IF('Equipment List &amp; Usage'!$AE33&gt;0,'Weekly Summary'!F$134,0)+IF('Equipment List &amp; Usage'!$AF33&gt;0,'Weekly Summary'!F$135))),'Equipment List &amp; Usage'!$C$115*(('Weekly Summary'!F$134*'Equipment List &amp; Usage'!$AE33)+('Weekly Summary'!F$135*'Equipment List &amp; Usage'!$AF33))))-SUM($I31:K31),
IF($F31="yes",MMULT(--('Equipment List &amp; Usage'!$J33:$N33&gt;0),--('Weekly Summary'!F$112:F$116))*'Equipment List &amp; Usage'!$C$114,MMULT(--('Equipment List &amp; Usage'!$J33:$N33),--('Weekly Summary'!F$112:F$116))*'Equipment List &amp; Usage'!$C$115)+IF('Equipment List &amp; Usage'!$F32="yes",'Equipment List &amp; Usage'!$C$114,'Equipment List &amp; Usage'!$C$115)*(('Weekly Summary'!F$66*'Equipment List &amp; Usage'!$Q33)+('Weekly Summary'!F$64*'Equipment List &amp; Usage'!$O33)+('Weekly Summary'!F$65*'Equipment List &amp; Usage'!$P33))+(IF('Equipment List &amp; Usage'!$F33="Yes",'Equipment List &amp; Usage'!$C$114*((('Weekly Summary'!F$131*SelfQuarantine_Mild)+('Weekly Summary'!F$100*SelfQuarantine_Mild)+('Weekly Summary'!F$101*SelfQuarantine_Moderate))),'Equipment List &amp; Usage'!$C$115)*((('Weekly Summary'!F$131*SelfQuarantine_Mild*'Equipment List &amp; Usage'!$W33)+('Weekly Summary'!F$100*SelfQuarantine_Mild*'Equipment List &amp; Usage'!$X33)+('Weekly Summary'!F$101*SelfQuarantine_Moderate*'Equipment List &amp; Usage'!$X33))))+IF('Equipment List &amp; Usage'!$F33="Yes",'Equipment List &amp; Usage'!$C$114*(IF('Equipment List &amp; Usage'!$AA33&gt;0,'Weekly Summary'!F$128,0)+IF('Equipment List &amp; Usage'!$AB33&gt;0,'Weekly Summary'!F$100+'Weekly Summary'!F$101,0)),'Equipment List &amp; Usage'!$C$115*(('Weekly Summary'!F$128*'Equipment List &amp; Usage'!$AA33)+('Weekly Summary'!F$100*'Equipment List &amp; Usage'!$AB33*SelfQuarantine_Mild)+('Weekly Summary'!F$101*'Equipment List &amp; Usage'!$AB33*SelfQuarantine_Moderate)))+IF('Equipment List &amp; Usage'!$F33="Yes",('Equipment List &amp; Usage'!$C$114*(IF('Equipment List &amp; Usage'!$AE33&gt;0,'Weekly Summary'!F$134,0)+IF('Equipment List &amp; Usage'!$AF33&gt;0,'Weekly Summary'!F$135))),'Equipment List &amp; Usage'!$C$115*(('Weekly Summary'!F$134*'Equipment List &amp; Usage'!$AE33)+('Weekly Summary'!F$135*'Equipment List &amp; Usage'!$AF33)))),0)</f>
        <v>53.706584584254145</v>
      </c>
      <c r="M31" s="1378">
        <f ca="1">MAX(IF($F31="Yes",(
IF($F31="yes",MMULT(--('Equipment List &amp; Usage'!$J33:$N33&gt;0),--('Weekly Summary'!G$112:G$116))*'Equipment List &amp; Usage'!$C$114,MMULT(--('Equipment List &amp; Usage'!$J33:$N33),--('Weekly Summary'!G$112:G$116))*'Equipment List &amp; Usage'!$C$115)+IF('Equipment List &amp; Usage'!$F32="yes",'Equipment List &amp; Usage'!$C$114,'Equipment List &amp; Usage'!$C$115)*(('Weekly Summary'!G$66*'Equipment List &amp; Usage'!$Q33)+('Weekly Summary'!G$64*'Equipment List &amp; Usage'!$O33)+('Weekly Summary'!G$65*'Equipment List &amp; Usage'!$P33)))+(IF('Equipment List &amp; Usage'!$F33="Yes",'Equipment List &amp; Usage'!$C$114*((('Weekly Summary'!G$131*SelfQuarantine_Mild)+('Weekly Summary'!G$100*SelfQuarantine_Mild)+('Weekly Summary'!G$101*SelfQuarantine_Moderate))),'Equipment List &amp; Usage'!$C$115)*((('Weekly Summary'!G$131*SelfQuarantine_Mild*'Equipment List &amp; Usage'!$W33)+('Weekly Summary'!G$100*SelfQuarantine_Mild*'Equipment List &amp; Usage'!$X33)+('Weekly Summary'!G$101*SelfQuarantine_Moderate*'Equipment List &amp; Usage'!$X33)))+IF('Equipment List &amp; Usage'!$F33="Yes",'Equipment List &amp; Usage'!$C$114*(IF('Equipment List &amp; Usage'!$AA33&gt;0,'Weekly Summary'!G$128,0)+IF('Equipment List &amp; Usage'!$AB33&gt;0,'Weekly Summary'!G$100+'Weekly Summary'!G$101,0)),'Equipment List &amp; Usage'!$C$115*(('Weekly Summary'!G$128*'Equipment List &amp; Usage'!$AA33)+('Weekly Summary'!G$100*'Equipment List &amp; Usage'!$AB33*SelfQuarantine_Mild)+('Weekly Summary'!G$101*'Equipment List &amp; Usage'!$AB33*SelfQuarantine_Moderate)))+IF('Equipment List &amp; Usage'!$F33="Yes",('Equipment List &amp; Usage'!$C$114*(IF('Equipment List &amp; Usage'!$AE33&gt;0,'Weekly Summary'!G$134,0)+IF('Equipment List &amp; Usage'!$AF33&gt;0,'Weekly Summary'!G$135))),'Equipment List &amp; Usage'!$C$115*(('Weekly Summary'!G$134*'Equipment List &amp; Usage'!$AE33)+('Weekly Summary'!G$135*'Equipment List &amp; Usage'!$AF33))))-SUM($I31:L31),
IF($F31="yes",MMULT(--('Equipment List &amp; Usage'!$J33:$N33&gt;0),--('Weekly Summary'!G$112:G$116))*'Equipment List &amp; Usage'!$C$114,MMULT(--('Equipment List &amp; Usage'!$J33:$N33),--('Weekly Summary'!G$112:G$116))*'Equipment List &amp; Usage'!$C$115)+IF('Equipment List &amp; Usage'!$F32="yes",'Equipment List &amp; Usage'!$C$114,'Equipment List &amp; Usage'!$C$115)*(('Weekly Summary'!G$66*'Equipment List &amp; Usage'!$Q33)+('Weekly Summary'!G$64*'Equipment List &amp; Usage'!$O33)+('Weekly Summary'!G$65*'Equipment List &amp; Usage'!$P33))+(IF('Equipment List &amp; Usage'!$F33="Yes",'Equipment List &amp; Usage'!$C$114*((('Weekly Summary'!G$131*SelfQuarantine_Mild)+('Weekly Summary'!G$100*SelfQuarantine_Mild)+('Weekly Summary'!G$101*SelfQuarantine_Moderate))),'Equipment List &amp; Usage'!$C$115)*((('Weekly Summary'!G$131*SelfQuarantine_Mild*'Equipment List &amp; Usage'!$W33)+('Weekly Summary'!G$100*SelfQuarantine_Mild*'Equipment List &amp; Usage'!$X33)+('Weekly Summary'!G$101*SelfQuarantine_Moderate*'Equipment List &amp; Usage'!$X33))))+IF('Equipment List &amp; Usage'!$F33="Yes",'Equipment List &amp; Usage'!$C$114*(IF('Equipment List &amp; Usage'!$AA33&gt;0,'Weekly Summary'!G$128,0)+IF('Equipment List &amp; Usage'!$AB33&gt;0,'Weekly Summary'!G$100+'Weekly Summary'!G$101,0)),'Equipment List &amp; Usage'!$C$115*(('Weekly Summary'!G$128*'Equipment List &amp; Usage'!$AA33)+('Weekly Summary'!G$100*'Equipment List &amp; Usage'!$AB33*SelfQuarantine_Mild)+('Weekly Summary'!G$101*'Equipment List &amp; Usage'!$AB33*SelfQuarantine_Moderate)))+IF('Equipment List &amp; Usage'!$F33="Yes",('Equipment List &amp; Usage'!$C$114*(IF('Equipment List &amp; Usage'!$AE33&gt;0,'Weekly Summary'!G$134,0)+IF('Equipment List &amp; Usage'!$AF33&gt;0,'Weekly Summary'!G$135))),'Equipment List &amp; Usage'!$C$115*(('Weekly Summary'!G$134*'Equipment List &amp; Usage'!$AE33)+('Weekly Summary'!G$135*'Equipment List &amp; Usage'!$AF33)))),0)</f>
        <v>184.5613988263697</v>
      </c>
      <c r="N31" s="1378">
        <f ca="1">MAX(IF($F31="Yes",(
IF($F31="yes",MMULT(--('Equipment List &amp; Usage'!$J33:$N33&gt;0),--('Weekly Summary'!H$112:H$116))*'Equipment List &amp; Usage'!$C$114,MMULT(--('Equipment List &amp; Usage'!$J33:$N33),--('Weekly Summary'!H$112:H$116))*'Equipment List &amp; Usage'!$C$115)+IF('Equipment List &amp; Usage'!$F32="yes",'Equipment List &amp; Usage'!$C$114,'Equipment List &amp; Usage'!$C$115)*(('Weekly Summary'!H$66*'Equipment List &amp; Usage'!$Q33)+('Weekly Summary'!H$64*'Equipment List &amp; Usage'!$O33)+('Weekly Summary'!H$65*'Equipment List &amp; Usage'!$P33)))+(IF('Equipment List &amp; Usage'!$F33="Yes",'Equipment List &amp; Usage'!$C$114*((('Weekly Summary'!H$131*SelfQuarantine_Mild)+('Weekly Summary'!H$100*SelfQuarantine_Mild)+('Weekly Summary'!H$101*SelfQuarantine_Moderate))),'Equipment List &amp; Usage'!$C$115)*((('Weekly Summary'!H$131*SelfQuarantine_Mild*'Equipment List &amp; Usage'!$W33)+('Weekly Summary'!H$100*SelfQuarantine_Mild*'Equipment List &amp; Usage'!$X33)+('Weekly Summary'!H$101*SelfQuarantine_Moderate*'Equipment List &amp; Usage'!$X33)))+IF('Equipment List &amp; Usage'!$F33="Yes",'Equipment List &amp; Usage'!$C$114*(IF('Equipment List &amp; Usage'!$AA33&gt;0,'Weekly Summary'!H$128,0)+IF('Equipment List &amp; Usage'!$AB33&gt;0,'Weekly Summary'!H$100+'Weekly Summary'!H$101,0)),'Equipment List &amp; Usage'!$C$115*(('Weekly Summary'!H$128*'Equipment List &amp; Usage'!$AA33)+('Weekly Summary'!H$100*'Equipment List &amp; Usage'!$AB33*SelfQuarantine_Mild)+('Weekly Summary'!H$101*'Equipment List &amp; Usage'!$AB33*SelfQuarantine_Moderate)))+IF('Equipment List &amp; Usage'!$F33="Yes",('Equipment List &amp; Usage'!$C$114*(IF('Equipment List &amp; Usage'!$AE33&gt;0,'Weekly Summary'!H$134,0)+IF('Equipment List &amp; Usage'!$AF33&gt;0,'Weekly Summary'!H$135))),'Equipment List &amp; Usage'!$C$115*(('Weekly Summary'!H$134*'Equipment List &amp; Usage'!$AE33)+('Weekly Summary'!H$135*'Equipment List &amp; Usage'!$AF33))))-SUM($I31:M31),
IF($F31="yes",MMULT(--('Equipment List &amp; Usage'!$J33:$N33&gt;0),--('Weekly Summary'!H$112:H$116))*'Equipment List &amp; Usage'!$C$114,MMULT(--('Equipment List &amp; Usage'!$J33:$N33),--('Weekly Summary'!H$112:H$116))*'Equipment List &amp; Usage'!$C$115)+IF('Equipment List &amp; Usage'!$F32="yes",'Equipment List &amp; Usage'!$C$114,'Equipment List &amp; Usage'!$C$115)*(('Weekly Summary'!H$66*'Equipment List &amp; Usage'!$Q33)+('Weekly Summary'!H$64*'Equipment List &amp; Usage'!$O33)+('Weekly Summary'!H$65*'Equipment List &amp; Usage'!$P33))+(IF('Equipment List &amp; Usage'!$F33="Yes",'Equipment List &amp; Usage'!$C$114*((('Weekly Summary'!H$131*SelfQuarantine_Mild)+('Weekly Summary'!H$100*SelfQuarantine_Mild)+('Weekly Summary'!H$101*SelfQuarantine_Moderate))),'Equipment List &amp; Usage'!$C$115)*((('Weekly Summary'!H$131*SelfQuarantine_Mild*'Equipment List &amp; Usage'!$W33)+('Weekly Summary'!H$100*SelfQuarantine_Mild*'Equipment List &amp; Usage'!$X33)+('Weekly Summary'!H$101*SelfQuarantine_Moderate*'Equipment List &amp; Usage'!$X33))))+IF('Equipment List &amp; Usage'!$F33="Yes",'Equipment List &amp; Usage'!$C$114*(IF('Equipment List &amp; Usage'!$AA33&gt;0,'Weekly Summary'!H$128,0)+IF('Equipment List &amp; Usage'!$AB33&gt;0,'Weekly Summary'!H$100+'Weekly Summary'!H$101,0)),'Equipment List &amp; Usage'!$C$115*(('Weekly Summary'!H$128*'Equipment List &amp; Usage'!$AA33)+('Weekly Summary'!H$100*'Equipment List &amp; Usage'!$AB33*SelfQuarantine_Mild)+('Weekly Summary'!H$101*'Equipment List &amp; Usage'!$AB33*SelfQuarantine_Moderate)))+IF('Equipment List &amp; Usage'!$F33="Yes",('Equipment List &amp; Usage'!$C$114*(IF('Equipment List &amp; Usage'!$AE33&gt;0,'Weekly Summary'!H$134,0)+IF('Equipment List &amp; Usage'!$AF33&gt;0,'Weekly Summary'!H$135))),'Equipment List &amp; Usage'!$C$115*(('Weekly Summary'!H$134*'Equipment List &amp; Usage'!$AE33)+('Weekly Summary'!H$135*'Equipment List &amp; Usage'!$AF33)))),0)</f>
        <v>634.22035300134212</v>
      </c>
      <c r="O31" s="1378">
        <f ca="1">MAX(IF($F31="Yes",(
IF($F31="yes",MMULT(--('Equipment List &amp; Usage'!$J33:$N33&gt;0),--('Weekly Summary'!I$112:I$116))*'Equipment List &amp; Usage'!$C$114,MMULT(--('Equipment List &amp; Usage'!$J33:$N33),--('Weekly Summary'!I$112:I$116))*'Equipment List &amp; Usage'!$C$115)+IF('Equipment List &amp; Usage'!$F32="yes",'Equipment List &amp; Usage'!$C$114,'Equipment List &amp; Usage'!$C$115)*(('Weekly Summary'!I$66*'Equipment List &amp; Usage'!$Q33)+('Weekly Summary'!I$64*'Equipment List &amp; Usage'!$O33)+('Weekly Summary'!I$65*'Equipment List &amp; Usage'!$P33)))+(IF('Equipment List &amp; Usage'!$F33="Yes",'Equipment List &amp; Usage'!$C$114*((('Weekly Summary'!I$131*SelfQuarantine_Mild)+('Weekly Summary'!I$100*SelfQuarantine_Mild)+('Weekly Summary'!I$101*SelfQuarantine_Moderate))),'Equipment List &amp; Usage'!$C$115)*((('Weekly Summary'!I$131*SelfQuarantine_Mild*'Equipment List &amp; Usage'!$W33)+('Weekly Summary'!I$100*SelfQuarantine_Mild*'Equipment List &amp; Usage'!$X33)+('Weekly Summary'!I$101*SelfQuarantine_Moderate*'Equipment List &amp; Usage'!$X33)))+IF('Equipment List &amp; Usage'!$F33="Yes",'Equipment List &amp; Usage'!$C$114*(IF('Equipment List &amp; Usage'!$AA33&gt;0,'Weekly Summary'!I$128,0)+IF('Equipment List &amp; Usage'!$AB33&gt;0,'Weekly Summary'!I$100+'Weekly Summary'!I$101,0)),'Equipment List &amp; Usage'!$C$115*(('Weekly Summary'!I$128*'Equipment List &amp; Usage'!$AA33)+('Weekly Summary'!I$100*'Equipment List &amp; Usage'!$AB33*SelfQuarantine_Mild)+('Weekly Summary'!I$101*'Equipment List &amp; Usage'!$AB33*SelfQuarantine_Moderate)))+IF('Equipment List &amp; Usage'!$F33="Yes",('Equipment List &amp; Usage'!$C$114*(IF('Equipment List &amp; Usage'!$AE33&gt;0,'Weekly Summary'!I$134,0)+IF('Equipment List &amp; Usage'!$AF33&gt;0,'Weekly Summary'!I$135))),'Equipment List &amp; Usage'!$C$115*(('Weekly Summary'!I$134*'Equipment List &amp; Usage'!$AE33)+('Weekly Summary'!I$135*'Equipment List &amp; Usage'!$AF33))))-SUM($I31:N31),
IF($F31="yes",MMULT(--('Equipment List &amp; Usage'!$J33:$N33&gt;0),--('Weekly Summary'!I$112:I$116))*'Equipment List &amp; Usage'!$C$114,MMULT(--('Equipment List &amp; Usage'!$J33:$N33),--('Weekly Summary'!I$112:I$116))*'Equipment List &amp; Usage'!$C$115)+IF('Equipment List &amp; Usage'!$F32="yes",'Equipment List &amp; Usage'!$C$114,'Equipment List &amp; Usage'!$C$115)*(('Weekly Summary'!I$66*'Equipment List &amp; Usage'!$Q33)+('Weekly Summary'!I$64*'Equipment List &amp; Usage'!$O33)+('Weekly Summary'!I$65*'Equipment List &amp; Usage'!$P33))+(IF('Equipment List &amp; Usage'!$F33="Yes",'Equipment List &amp; Usage'!$C$114*((('Weekly Summary'!I$131*SelfQuarantine_Mild)+('Weekly Summary'!I$100*SelfQuarantine_Mild)+('Weekly Summary'!I$101*SelfQuarantine_Moderate))),'Equipment List &amp; Usage'!$C$115)*((('Weekly Summary'!I$131*SelfQuarantine_Mild*'Equipment List &amp; Usage'!$W33)+('Weekly Summary'!I$100*SelfQuarantine_Mild*'Equipment List &amp; Usage'!$X33)+('Weekly Summary'!I$101*SelfQuarantine_Moderate*'Equipment List &amp; Usage'!$X33))))+IF('Equipment List &amp; Usage'!$F33="Yes",'Equipment List &amp; Usage'!$C$114*(IF('Equipment List &amp; Usage'!$AA33&gt;0,'Weekly Summary'!I$128,0)+IF('Equipment List &amp; Usage'!$AB33&gt;0,'Weekly Summary'!I$100+'Weekly Summary'!I$101,0)),'Equipment List &amp; Usage'!$C$115*(('Weekly Summary'!I$128*'Equipment List &amp; Usage'!$AA33)+('Weekly Summary'!I$100*'Equipment List &amp; Usage'!$AB33*SelfQuarantine_Mild)+('Weekly Summary'!I$101*'Equipment List &amp; Usage'!$AB33*SelfQuarantine_Moderate)))+IF('Equipment List &amp; Usage'!$F33="Yes",('Equipment List &amp; Usage'!$C$114*(IF('Equipment List &amp; Usage'!$AE33&gt;0,'Weekly Summary'!I$134,0)+IF('Equipment List &amp; Usage'!$AF33&gt;0,'Weekly Summary'!I$135))),'Equipment List &amp; Usage'!$C$115*(('Weekly Summary'!I$134*'Equipment List &amp; Usage'!$AE33)+('Weekly Summary'!I$135*'Equipment List &amp; Usage'!$AF33)))),0)</f>
        <v>2179.1706645590152</v>
      </c>
      <c r="P31" s="1378">
        <f ca="1">MAX(IF($F31="Yes",(
IF($F31="yes",MMULT(--('Equipment List &amp; Usage'!$J33:$N33&gt;0),--('Weekly Summary'!J$112:J$116))*'Equipment List &amp; Usage'!$C$114,MMULT(--('Equipment List &amp; Usage'!$J33:$N33),--('Weekly Summary'!J$112:J$116))*'Equipment List &amp; Usage'!$C$115)+IF('Equipment List &amp; Usage'!$F32="yes",'Equipment List &amp; Usage'!$C$114,'Equipment List &amp; Usage'!$C$115)*(('Weekly Summary'!J$66*'Equipment List &amp; Usage'!$Q33)+('Weekly Summary'!J$64*'Equipment List &amp; Usage'!$O33)+('Weekly Summary'!J$65*'Equipment List &amp; Usage'!$P33)))+(IF('Equipment List &amp; Usage'!$F33="Yes",'Equipment List &amp; Usage'!$C$114*((('Weekly Summary'!J$131*SelfQuarantine_Mild)+('Weekly Summary'!J$100*SelfQuarantine_Mild)+('Weekly Summary'!J$101*SelfQuarantine_Moderate))),'Equipment List &amp; Usage'!$C$115)*((('Weekly Summary'!J$131*SelfQuarantine_Mild*'Equipment List &amp; Usage'!$W33)+('Weekly Summary'!J$100*SelfQuarantine_Mild*'Equipment List &amp; Usage'!$X33)+('Weekly Summary'!J$101*SelfQuarantine_Moderate*'Equipment List &amp; Usage'!$X33)))+IF('Equipment List &amp; Usage'!$F33="Yes",'Equipment List &amp; Usage'!$C$114*(IF('Equipment List &amp; Usage'!$AA33&gt;0,'Weekly Summary'!J$128,0)+IF('Equipment List &amp; Usage'!$AB33&gt;0,'Weekly Summary'!J$100+'Weekly Summary'!J$101,0)),'Equipment List &amp; Usage'!$C$115*(('Weekly Summary'!J$128*'Equipment List &amp; Usage'!$AA33)+('Weekly Summary'!J$100*'Equipment List &amp; Usage'!$AB33*SelfQuarantine_Mild)+('Weekly Summary'!J$101*'Equipment List &amp; Usage'!$AB33*SelfQuarantine_Moderate)))+IF('Equipment List &amp; Usage'!$F33="Yes",('Equipment List &amp; Usage'!$C$114*(IF('Equipment List &amp; Usage'!$AE33&gt;0,'Weekly Summary'!J$134,0)+IF('Equipment List &amp; Usage'!$AF33&gt;0,'Weekly Summary'!J$135))),'Equipment List &amp; Usage'!$C$115*(('Weekly Summary'!J$134*'Equipment List &amp; Usage'!$AE33)+('Weekly Summary'!J$135*'Equipment List &amp; Usage'!$AF33))))-SUM($I31:O31),
IF($F31="yes",MMULT(--('Equipment List &amp; Usage'!$J33:$N33&gt;0),--('Weekly Summary'!J$112:J$116))*'Equipment List &amp; Usage'!$C$114,MMULT(--('Equipment List &amp; Usage'!$J33:$N33),--('Weekly Summary'!J$112:J$116))*'Equipment List &amp; Usage'!$C$115)+IF('Equipment List &amp; Usage'!$F32="yes",'Equipment List &amp; Usage'!$C$114,'Equipment List &amp; Usage'!$C$115)*(('Weekly Summary'!J$66*'Equipment List &amp; Usage'!$Q33)+('Weekly Summary'!J$64*'Equipment List &amp; Usage'!$O33)+('Weekly Summary'!J$65*'Equipment List &amp; Usage'!$P33))+(IF('Equipment List &amp; Usage'!$F33="Yes",'Equipment List &amp; Usage'!$C$114*((('Weekly Summary'!J$131*SelfQuarantine_Mild)+('Weekly Summary'!J$100*SelfQuarantine_Mild)+('Weekly Summary'!J$101*SelfQuarantine_Moderate))),'Equipment List &amp; Usage'!$C$115)*((('Weekly Summary'!J$131*SelfQuarantine_Mild*'Equipment List &amp; Usage'!$W33)+('Weekly Summary'!J$100*SelfQuarantine_Mild*'Equipment List &amp; Usage'!$X33)+('Weekly Summary'!J$101*SelfQuarantine_Moderate*'Equipment List &amp; Usage'!$X33))))+IF('Equipment List &amp; Usage'!$F33="Yes",'Equipment List &amp; Usage'!$C$114*(IF('Equipment List &amp; Usage'!$AA33&gt;0,'Weekly Summary'!J$128,0)+IF('Equipment List &amp; Usage'!$AB33&gt;0,'Weekly Summary'!J$100+'Weekly Summary'!J$101,0)),'Equipment List &amp; Usage'!$C$115*(('Weekly Summary'!J$128*'Equipment List &amp; Usage'!$AA33)+('Weekly Summary'!J$100*'Equipment List &amp; Usage'!$AB33*SelfQuarantine_Mild)+('Weekly Summary'!J$101*'Equipment List &amp; Usage'!$AB33*SelfQuarantine_Moderate)))+IF('Equipment List &amp; Usage'!$F33="Yes",('Equipment List &amp; Usage'!$C$114*(IF('Equipment List &amp; Usage'!$AE33&gt;0,'Weekly Summary'!J$134,0)+IF('Equipment List &amp; Usage'!$AF33&gt;0,'Weekly Summary'!J$135))),'Equipment List &amp; Usage'!$C$115*(('Weekly Summary'!J$134*'Equipment List &amp; Usage'!$AE33)+('Weekly Summary'!J$135*'Equipment List &amp; Usage'!$AF33)))),0)</f>
        <v>7484.7380056016536</v>
      </c>
      <c r="Q31" s="1378">
        <f ca="1">MAX(IF($F31="Yes",(
IF($F31="yes",MMULT(--('Equipment List &amp; Usage'!$J33:$N33&gt;0),--('Weekly Summary'!K$112:K$116))*'Equipment List &amp; Usage'!$C$114,MMULT(--('Equipment List &amp; Usage'!$J33:$N33),--('Weekly Summary'!K$112:K$116))*'Equipment List &amp; Usage'!$C$115)+IF('Equipment List &amp; Usage'!$F32="yes",'Equipment List &amp; Usage'!$C$114,'Equipment List &amp; Usage'!$C$115)*(('Weekly Summary'!K$66*'Equipment List &amp; Usage'!$Q33)+('Weekly Summary'!K$64*'Equipment List &amp; Usage'!$O33)+('Weekly Summary'!K$65*'Equipment List &amp; Usage'!$P33)))+(IF('Equipment List &amp; Usage'!$F33="Yes",'Equipment List &amp; Usage'!$C$114*((('Weekly Summary'!K$131*SelfQuarantine_Mild)+('Weekly Summary'!K$100*SelfQuarantine_Mild)+('Weekly Summary'!K$101*SelfQuarantine_Moderate))),'Equipment List &amp; Usage'!$C$115)*((('Weekly Summary'!K$131*SelfQuarantine_Mild*'Equipment List &amp; Usage'!$W33)+('Weekly Summary'!K$100*SelfQuarantine_Mild*'Equipment List &amp; Usage'!$X33)+('Weekly Summary'!K$101*SelfQuarantine_Moderate*'Equipment List &amp; Usage'!$X33)))+IF('Equipment List &amp; Usage'!$F33="Yes",'Equipment List &amp; Usage'!$C$114*(IF('Equipment List &amp; Usage'!$AA33&gt;0,'Weekly Summary'!K$128,0)+IF('Equipment List &amp; Usage'!$AB33&gt;0,'Weekly Summary'!K$100+'Weekly Summary'!K$101,0)),'Equipment List &amp; Usage'!$C$115*(('Weekly Summary'!K$128*'Equipment List &amp; Usage'!$AA33)+('Weekly Summary'!K$100*'Equipment List &amp; Usage'!$AB33*SelfQuarantine_Mild)+('Weekly Summary'!K$101*'Equipment List &amp; Usage'!$AB33*SelfQuarantine_Moderate)))+IF('Equipment List &amp; Usage'!$F33="Yes",('Equipment List &amp; Usage'!$C$114*(IF('Equipment List &amp; Usage'!$AE33&gt;0,'Weekly Summary'!K$134,0)+IF('Equipment List &amp; Usage'!$AF33&gt;0,'Weekly Summary'!K$135))),'Equipment List &amp; Usage'!$C$115*(('Weekly Summary'!K$134*'Equipment List &amp; Usage'!$AE33)+('Weekly Summary'!K$135*'Equipment List &amp; Usage'!$AF33))))-SUM($I31:P31),
IF($F31="yes",MMULT(--('Equipment List &amp; Usage'!$J33:$N33&gt;0),--('Weekly Summary'!K$112:K$116))*'Equipment List &amp; Usage'!$C$114,MMULT(--('Equipment List &amp; Usage'!$J33:$N33),--('Weekly Summary'!K$112:K$116))*'Equipment List &amp; Usage'!$C$115)+IF('Equipment List &amp; Usage'!$F32="yes",'Equipment List &amp; Usage'!$C$114,'Equipment List &amp; Usage'!$C$115)*(('Weekly Summary'!K$66*'Equipment List &amp; Usage'!$Q33)+('Weekly Summary'!K$64*'Equipment List &amp; Usage'!$O33)+('Weekly Summary'!K$65*'Equipment List &amp; Usage'!$P33))+(IF('Equipment List &amp; Usage'!$F33="Yes",'Equipment List &amp; Usage'!$C$114*((('Weekly Summary'!K$131*SelfQuarantine_Mild)+('Weekly Summary'!K$100*SelfQuarantine_Mild)+('Weekly Summary'!K$101*SelfQuarantine_Moderate))),'Equipment List &amp; Usage'!$C$115)*((('Weekly Summary'!K$131*SelfQuarantine_Mild*'Equipment List &amp; Usage'!$W33)+('Weekly Summary'!K$100*SelfQuarantine_Mild*'Equipment List &amp; Usage'!$X33)+('Weekly Summary'!K$101*SelfQuarantine_Moderate*'Equipment List &amp; Usage'!$X33))))+IF('Equipment List &amp; Usage'!$F33="Yes",'Equipment List &amp; Usage'!$C$114*(IF('Equipment List &amp; Usage'!$AA33&gt;0,'Weekly Summary'!K$128,0)+IF('Equipment List &amp; Usage'!$AB33&gt;0,'Weekly Summary'!K$100+'Weekly Summary'!K$101,0)),'Equipment List &amp; Usage'!$C$115*(('Weekly Summary'!K$128*'Equipment List &amp; Usage'!$AA33)+('Weekly Summary'!K$100*'Equipment List &amp; Usage'!$AB33*SelfQuarantine_Mild)+('Weekly Summary'!K$101*'Equipment List &amp; Usage'!$AB33*SelfQuarantine_Moderate)))+IF('Equipment List &amp; Usage'!$F33="Yes",('Equipment List &amp; Usage'!$C$114*(IF('Equipment List &amp; Usage'!$AE33&gt;0,'Weekly Summary'!K$134,0)+IF('Equipment List &amp; Usage'!$AF33&gt;0,'Weekly Summary'!K$135))),'Equipment List &amp; Usage'!$C$115*(('Weekly Summary'!K$134*'Equipment List &amp; Usage'!$AE33)+('Weekly Summary'!K$135*'Equipment List &amp; Usage'!$AF33)))),0)</f>
        <v>0</v>
      </c>
      <c r="R31" s="1378">
        <f ca="1">MAX(IF($F31="Yes",(
IF($F31="yes",MMULT(--('Equipment List &amp; Usage'!$J33:$N33&gt;0),--('Weekly Summary'!L$112:L$116))*'Equipment List &amp; Usage'!$C$114,MMULT(--('Equipment List &amp; Usage'!$J33:$N33),--('Weekly Summary'!L$112:L$116))*'Equipment List &amp; Usage'!$C$115)+IF('Equipment List &amp; Usage'!$F32="yes",'Equipment List &amp; Usage'!$C$114,'Equipment List &amp; Usage'!$C$115)*(('Weekly Summary'!L$66*'Equipment List &amp; Usage'!$Q33)+('Weekly Summary'!L$64*'Equipment List &amp; Usage'!$O33)+('Weekly Summary'!L$65*'Equipment List &amp; Usage'!$P33)))+(IF('Equipment List &amp; Usage'!$F33="Yes",'Equipment List &amp; Usage'!$C$114*((('Weekly Summary'!L$131*SelfQuarantine_Mild)+('Weekly Summary'!L$100*SelfQuarantine_Mild)+('Weekly Summary'!L$101*SelfQuarantine_Moderate))),'Equipment List &amp; Usage'!$C$115)*((('Weekly Summary'!L$131*SelfQuarantine_Mild*'Equipment List &amp; Usage'!$W33)+('Weekly Summary'!L$100*SelfQuarantine_Mild*'Equipment List &amp; Usage'!$X33)+('Weekly Summary'!L$101*SelfQuarantine_Moderate*'Equipment List &amp; Usage'!$X33)))+IF('Equipment List &amp; Usage'!$F33="Yes",'Equipment List &amp; Usage'!$C$114*(IF('Equipment List &amp; Usage'!$AA33&gt;0,'Weekly Summary'!L$128,0)+IF('Equipment List &amp; Usage'!$AB33&gt;0,'Weekly Summary'!L$100+'Weekly Summary'!L$101,0)),'Equipment List &amp; Usage'!$C$115*(('Weekly Summary'!L$128*'Equipment List &amp; Usage'!$AA33)+('Weekly Summary'!L$100*'Equipment List &amp; Usage'!$AB33*SelfQuarantine_Mild)+('Weekly Summary'!L$101*'Equipment List &amp; Usage'!$AB33*SelfQuarantine_Moderate)))+IF('Equipment List &amp; Usage'!$F33="Yes",('Equipment List &amp; Usage'!$C$114*(IF('Equipment List &amp; Usage'!$AE33&gt;0,'Weekly Summary'!L$134,0)+IF('Equipment List &amp; Usage'!$AF33&gt;0,'Weekly Summary'!L$135))),'Equipment List &amp; Usage'!$C$115*(('Weekly Summary'!L$134*'Equipment List &amp; Usage'!$AE33)+('Weekly Summary'!L$135*'Equipment List &amp; Usage'!$AF33))))-SUM($I31:Q31),
IF($F31="yes",MMULT(--('Equipment List &amp; Usage'!$J33:$N33&gt;0),--('Weekly Summary'!L$112:L$116))*'Equipment List &amp; Usage'!$C$114,MMULT(--('Equipment List &amp; Usage'!$J33:$N33),--('Weekly Summary'!L$112:L$116))*'Equipment List &amp; Usage'!$C$115)+IF('Equipment List &amp; Usage'!$F32="yes",'Equipment List &amp; Usage'!$C$114,'Equipment List &amp; Usage'!$C$115)*(('Weekly Summary'!L$66*'Equipment List &amp; Usage'!$Q33)+('Weekly Summary'!L$64*'Equipment List &amp; Usage'!$O33)+('Weekly Summary'!L$65*'Equipment List &amp; Usage'!$P33))+(IF('Equipment List &amp; Usage'!$F33="Yes",'Equipment List &amp; Usage'!$C$114*((('Weekly Summary'!L$131*SelfQuarantine_Mild)+('Weekly Summary'!L$100*SelfQuarantine_Mild)+('Weekly Summary'!L$101*SelfQuarantine_Moderate))),'Equipment List &amp; Usage'!$C$115)*((('Weekly Summary'!L$131*SelfQuarantine_Mild*'Equipment List &amp; Usage'!$W33)+('Weekly Summary'!L$100*SelfQuarantine_Mild*'Equipment List &amp; Usage'!$X33)+('Weekly Summary'!L$101*SelfQuarantine_Moderate*'Equipment List &amp; Usage'!$X33))))+IF('Equipment List &amp; Usage'!$F33="Yes",'Equipment List &amp; Usage'!$C$114*(IF('Equipment List &amp; Usage'!$AA33&gt;0,'Weekly Summary'!L$128,0)+IF('Equipment List &amp; Usage'!$AB33&gt;0,'Weekly Summary'!L$100+'Weekly Summary'!L$101,0)),'Equipment List &amp; Usage'!$C$115*(('Weekly Summary'!L$128*'Equipment List &amp; Usage'!$AA33)+('Weekly Summary'!L$100*'Equipment List &amp; Usage'!$AB33*SelfQuarantine_Mild)+('Weekly Summary'!L$101*'Equipment List &amp; Usage'!$AB33*SelfQuarantine_Moderate)))+IF('Equipment List &amp; Usage'!$F33="Yes",('Equipment List &amp; Usage'!$C$114*(IF('Equipment List &amp; Usage'!$AE33&gt;0,'Weekly Summary'!L$134,0)+IF('Equipment List &amp; Usage'!$AF33&gt;0,'Weekly Summary'!L$135))),'Equipment List &amp; Usage'!$C$115*(('Weekly Summary'!L$134*'Equipment List &amp; Usage'!$AE33)+('Weekly Summary'!L$135*'Equipment List &amp; Usage'!$AF33)))),0)</f>
        <v>0</v>
      </c>
      <c r="S31" s="1378">
        <f ca="1">MAX(IF($F31="Yes",(
IF($F31="yes",MMULT(--('Equipment List &amp; Usage'!$J33:$N33&gt;0),--('Weekly Summary'!M$112:M$116))*'Equipment List &amp; Usage'!$C$114,MMULT(--('Equipment List &amp; Usage'!$J33:$N33),--('Weekly Summary'!M$112:M$116))*'Equipment List &amp; Usage'!$C$115)+IF('Equipment List &amp; Usage'!$F32="yes",'Equipment List &amp; Usage'!$C$114,'Equipment List &amp; Usage'!$C$115)*(('Weekly Summary'!M$66*'Equipment List &amp; Usage'!$Q33)+('Weekly Summary'!M$64*'Equipment List &amp; Usage'!$O33)+('Weekly Summary'!M$65*'Equipment List &amp; Usage'!$P33)))+(IF('Equipment List &amp; Usage'!$F33="Yes",'Equipment List &amp; Usage'!$C$114*((('Weekly Summary'!M$131*SelfQuarantine_Mild)+('Weekly Summary'!M$100*SelfQuarantine_Mild)+('Weekly Summary'!M$101*SelfQuarantine_Moderate))),'Equipment List &amp; Usage'!$C$115)*((('Weekly Summary'!M$131*SelfQuarantine_Mild*'Equipment List &amp; Usage'!$W33)+('Weekly Summary'!M$100*SelfQuarantine_Mild*'Equipment List &amp; Usage'!$X33)+('Weekly Summary'!M$101*SelfQuarantine_Moderate*'Equipment List &amp; Usage'!$X33)))+IF('Equipment List &amp; Usage'!$F33="Yes",'Equipment List &amp; Usage'!$C$114*(IF('Equipment List &amp; Usage'!$AA33&gt;0,'Weekly Summary'!M$128,0)+IF('Equipment List &amp; Usage'!$AB33&gt;0,'Weekly Summary'!M$100+'Weekly Summary'!M$101,0)),'Equipment List &amp; Usage'!$C$115*(('Weekly Summary'!M$128*'Equipment List &amp; Usage'!$AA33)+('Weekly Summary'!M$100*'Equipment List &amp; Usage'!$AB33*SelfQuarantine_Mild)+('Weekly Summary'!M$101*'Equipment List &amp; Usage'!$AB33*SelfQuarantine_Moderate)))+IF('Equipment List &amp; Usage'!$F33="Yes",('Equipment List &amp; Usage'!$C$114*(IF('Equipment List &amp; Usage'!$AE33&gt;0,'Weekly Summary'!M$134,0)+IF('Equipment List &amp; Usage'!$AF33&gt;0,'Weekly Summary'!M$135))),'Equipment List &amp; Usage'!$C$115*(('Weekly Summary'!M$134*'Equipment List &amp; Usage'!$AE33)+('Weekly Summary'!M$135*'Equipment List &amp; Usage'!$AF33))))-SUM($I31:R31),
IF($F31="yes",MMULT(--('Equipment List &amp; Usage'!$J33:$N33&gt;0),--('Weekly Summary'!M$112:M$116))*'Equipment List &amp; Usage'!$C$114,MMULT(--('Equipment List &amp; Usage'!$J33:$N33),--('Weekly Summary'!M$112:M$116))*'Equipment List &amp; Usage'!$C$115)+IF('Equipment List &amp; Usage'!$F32="yes",'Equipment List &amp; Usage'!$C$114,'Equipment List &amp; Usage'!$C$115)*(('Weekly Summary'!M$66*'Equipment List &amp; Usage'!$Q33)+('Weekly Summary'!M$64*'Equipment List &amp; Usage'!$O33)+('Weekly Summary'!M$65*'Equipment List &amp; Usage'!$P33))+(IF('Equipment List &amp; Usage'!$F33="Yes",'Equipment List &amp; Usage'!$C$114*((('Weekly Summary'!M$131*SelfQuarantine_Mild)+('Weekly Summary'!M$100*SelfQuarantine_Mild)+('Weekly Summary'!M$101*SelfQuarantine_Moderate))),'Equipment List &amp; Usage'!$C$115)*((('Weekly Summary'!M$131*SelfQuarantine_Mild*'Equipment List &amp; Usage'!$W33)+('Weekly Summary'!M$100*SelfQuarantine_Mild*'Equipment List &amp; Usage'!$X33)+('Weekly Summary'!M$101*SelfQuarantine_Moderate*'Equipment List &amp; Usage'!$X33))))+IF('Equipment List &amp; Usage'!$F33="Yes",'Equipment List &amp; Usage'!$C$114*(IF('Equipment List &amp; Usage'!$AA33&gt;0,'Weekly Summary'!M$128,0)+IF('Equipment List &amp; Usage'!$AB33&gt;0,'Weekly Summary'!M$100+'Weekly Summary'!M$101,0)),'Equipment List &amp; Usage'!$C$115*(('Weekly Summary'!M$128*'Equipment List &amp; Usage'!$AA33)+('Weekly Summary'!M$100*'Equipment List &amp; Usage'!$AB33*SelfQuarantine_Mild)+('Weekly Summary'!M$101*'Equipment List &amp; Usage'!$AB33*SelfQuarantine_Moderate)))+IF('Equipment List &amp; Usage'!$F33="Yes",('Equipment List &amp; Usage'!$C$114*(IF('Equipment List &amp; Usage'!$AE33&gt;0,'Weekly Summary'!M$134,0)+IF('Equipment List &amp; Usage'!$AF33&gt;0,'Weekly Summary'!M$135))),'Equipment List &amp; Usage'!$C$115*(('Weekly Summary'!M$134*'Equipment List &amp; Usage'!$AE33)+('Weekly Summary'!M$135*'Equipment List &amp; Usage'!$AF33)))),0)</f>
        <v>0</v>
      </c>
      <c r="T31" s="1378">
        <f ca="1">MAX(IF($F31="Yes",(
IF($F31="yes",MMULT(--('Equipment List &amp; Usage'!$J33:$N33&gt;0),--('Weekly Summary'!N$112:N$116))*'Equipment List &amp; Usage'!$C$114,MMULT(--('Equipment List &amp; Usage'!$J33:$N33),--('Weekly Summary'!N$112:N$116))*'Equipment List &amp; Usage'!$C$115)+IF('Equipment List &amp; Usage'!$F32="yes",'Equipment List &amp; Usage'!$C$114,'Equipment List &amp; Usage'!$C$115)*(('Weekly Summary'!N$66*'Equipment List &amp; Usage'!$Q33)+('Weekly Summary'!N$64*'Equipment List &amp; Usage'!$O33)+('Weekly Summary'!N$65*'Equipment List &amp; Usage'!$P33)))+(IF('Equipment List &amp; Usage'!$F33="Yes",'Equipment List &amp; Usage'!$C$114*((('Weekly Summary'!N$131*SelfQuarantine_Mild)+('Weekly Summary'!N$100*SelfQuarantine_Mild)+('Weekly Summary'!N$101*SelfQuarantine_Moderate))),'Equipment List &amp; Usage'!$C$115)*((('Weekly Summary'!N$131*SelfQuarantine_Mild*'Equipment List &amp; Usage'!$W33)+('Weekly Summary'!N$100*SelfQuarantine_Mild*'Equipment List &amp; Usage'!$X33)+('Weekly Summary'!N$101*SelfQuarantine_Moderate*'Equipment List &amp; Usage'!$X33)))+IF('Equipment List &amp; Usage'!$F33="Yes",'Equipment List &amp; Usage'!$C$114*(IF('Equipment List &amp; Usage'!$AA33&gt;0,'Weekly Summary'!N$128,0)+IF('Equipment List &amp; Usage'!$AB33&gt;0,'Weekly Summary'!N$100+'Weekly Summary'!N$101,0)),'Equipment List &amp; Usage'!$C$115*(('Weekly Summary'!N$128*'Equipment List &amp; Usage'!$AA33)+('Weekly Summary'!N$100*'Equipment List &amp; Usage'!$AB33*SelfQuarantine_Mild)+('Weekly Summary'!N$101*'Equipment List &amp; Usage'!$AB33*SelfQuarantine_Moderate)))+IF('Equipment List &amp; Usage'!$F33="Yes",('Equipment List &amp; Usage'!$C$114*(IF('Equipment List &amp; Usage'!$AE33&gt;0,'Weekly Summary'!N$134,0)+IF('Equipment List &amp; Usage'!$AF33&gt;0,'Weekly Summary'!N$135))),'Equipment List &amp; Usage'!$C$115*(('Weekly Summary'!N$134*'Equipment List &amp; Usage'!$AE33)+('Weekly Summary'!N$135*'Equipment List &amp; Usage'!$AF33))))-SUM($I31:S31),
IF($F31="yes",MMULT(--('Equipment List &amp; Usage'!$J33:$N33&gt;0),--('Weekly Summary'!N$112:N$116))*'Equipment List &amp; Usage'!$C$114,MMULT(--('Equipment List &amp; Usage'!$J33:$N33),--('Weekly Summary'!N$112:N$116))*'Equipment List &amp; Usage'!$C$115)+IF('Equipment List &amp; Usage'!$F32="yes",'Equipment List &amp; Usage'!$C$114,'Equipment List &amp; Usage'!$C$115)*(('Weekly Summary'!N$66*'Equipment List &amp; Usage'!$Q33)+('Weekly Summary'!N$64*'Equipment List &amp; Usage'!$O33)+('Weekly Summary'!N$65*'Equipment List &amp; Usage'!$P33))+(IF('Equipment List &amp; Usage'!$F33="Yes",'Equipment List &amp; Usage'!$C$114*((('Weekly Summary'!N$131*SelfQuarantine_Mild)+('Weekly Summary'!N$100*SelfQuarantine_Mild)+('Weekly Summary'!N$101*SelfQuarantine_Moderate))),'Equipment List &amp; Usage'!$C$115)*((('Weekly Summary'!N$131*SelfQuarantine_Mild*'Equipment List &amp; Usage'!$W33)+('Weekly Summary'!N$100*SelfQuarantine_Mild*'Equipment List &amp; Usage'!$X33)+('Weekly Summary'!N$101*SelfQuarantine_Moderate*'Equipment List &amp; Usage'!$X33))))+IF('Equipment List &amp; Usage'!$F33="Yes",'Equipment List &amp; Usage'!$C$114*(IF('Equipment List &amp; Usage'!$AA33&gt;0,'Weekly Summary'!N$128,0)+IF('Equipment List &amp; Usage'!$AB33&gt;0,'Weekly Summary'!N$100+'Weekly Summary'!N$101,0)),'Equipment List &amp; Usage'!$C$115*(('Weekly Summary'!N$128*'Equipment List &amp; Usage'!$AA33)+('Weekly Summary'!N$100*'Equipment List &amp; Usage'!$AB33*SelfQuarantine_Mild)+('Weekly Summary'!N$101*'Equipment List &amp; Usage'!$AB33*SelfQuarantine_Moderate)))+IF('Equipment List &amp; Usage'!$F33="Yes",('Equipment List &amp; Usage'!$C$114*(IF('Equipment List &amp; Usage'!$AE33&gt;0,'Weekly Summary'!N$134,0)+IF('Equipment List &amp; Usage'!$AF33&gt;0,'Weekly Summary'!N$135))),'Equipment List &amp; Usage'!$C$115*(('Weekly Summary'!N$134*'Equipment List &amp; Usage'!$AE33)+('Weekly Summary'!N$135*'Equipment List &amp; Usage'!$AF33)))),0)</f>
        <v>0</v>
      </c>
      <c r="U31" s="1378">
        <f ca="1">MAX(IF($F31="Yes",(
IF($F31="yes",MMULT(--('Equipment List &amp; Usage'!$J33:$N33&gt;0),--('Weekly Summary'!O$112:O$116))*'Equipment List &amp; Usage'!$C$114,MMULT(--('Equipment List &amp; Usage'!$J33:$N33),--('Weekly Summary'!O$112:O$116))*'Equipment List &amp; Usage'!$C$115)+IF('Equipment List &amp; Usage'!$F32="yes",'Equipment List &amp; Usage'!$C$114,'Equipment List &amp; Usage'!$C$115)*(('Weekly Summary'!O$66*'Equipment List &amp; Usage'!$Q33)+('Weekly Summary'!O$64*'Equipment List &amp; Usage'!$O33)+('Weekly Summary'!O$65*'Equipment List &amp; Usage'!$P33)))+(IF('Equipment List &amp; Usage'!$F33="Yes",'Equipment List &amp; Usage'!$C$114*((('Weekly Summary'!O$131*SelfQuarantine_Mild)+('Weekly Summary'!O$100*SelfQuarantine_Mild)+('Weekly Summary'!O$101*SelfQuarantine_Moderate))),'Equipment List &amp; Usage'!$C$115)*((('Weekly Summary'!O$131*SelfQuarantine_Mild*'Equipment List &amp; Usage'!$W33)+('Weekly Summary'!O$100*SelfQuarantine_Mild*'Equipment List &amp; Usage'!$X33)+('Weekly Summary'!O$101*SelfQuarantine_Moderate*'Equipment List &amp; Usage'!$X33)))+IF('Equipment List &amp; Usage'!$F33="Yes",'Equipment List &amp; Usage'!$C$114*(IF('Equipment List &amp; Usage'!$AA33&gt;0,'Weekly Summary'!O$128,0)+IF('Equipment List &amp; Usage'!$AB33&gt;0,'Weekly Summary'!O$100+'Weekly Summary'!O$101,0)),'Equipment List &amp; Usage'!$C$115*(('Weekly Summary'!O$128*'Equipment List &amp; Usage'!$AA33)+('Weekly Summary'!O$100*'Equipment List &amp; Usage'!$AB33*SelfQuarantine_Mild)+('Weekly Summary'!O$101*'Equipment List &amp; Usage'!$AB33*SelfQuarantine_Moderate)))+IF('Equipment List &amp; Usage'!$F33="Yes",('Equipment List &amp; Usage'!$C$114*(IF('Equipment List &amp; Usage'!$AE33&gt;0,'Weekly Summary'!O$134,0)+IF('Equipment List &amp; Usage'!$AF33&gt;0,'Weekly Summary'!O$135))),'Equipment List &amp; Usage'!$C$115*(('Weekly Summary'!O$134*'Equipment List &amp; Usage'!$AE33)+('Weekly Summary'!O$135*'Equipment List &amp; Usage'!$AF33))))-SUM($I31:T31),
IF($F31="yes",MMULT(--('Equipment List &amp; Usage'!$J33:$N33&gt;0),--('Weekly Summary'!O$112:O$116))*'Equipment List &amp; Usage'!$C$114,MMULT(--('Equipment List &amp; Usage'!$J33:$N33),--('Weekly Summary'!O$112:O$116))*'Equipment List &amp; Usage'!$C$115)+IF('Equipment List &amp; Usage'!$F32="yes",'Equipment List &amp; Usage'!$C$114,'Equipment List &amp; Usage'!$C$115)*(('Weekly Summary'!O$66*'Equipment List &amp; Usage'!$Q33)+('Weekly Summary'!O$64*'Equipment List &amp; Usage'!$O33)+('Weekly Summary'!O$65*'Equipment List &amp; Usage'!$P33))+(IF('Equipment List &amp; Usage'!$F33="Yes",'Equipment List &amp; Usage'!$C$114*((('Weekly Summary'!O$131*SelfQuarantine_Mild)+('Weekly Summary'!O$100*SelfQuarantine_Mild)+('Weekly Summary'!O$101*SelfQuarantine_Moderate))),'Equipment List &amp; Usage'!$C$115)*((('Weekly Summary'!O$131*SelfQuarantine_Mild*'Equipment List &amp; Usage'!$W33)+('Weekly Summary'!O$100*SelfQuarantine_Mild*'Equipment List &amp; Usage'!$X33)+('Weekly Summary'!O$101*SelfQuarantine_Moderate*'Equipment List &amp; Usage'!$X33))))+IF('Equipment List &amp; Usage'!$F33="Yes",'Equipment List &amp; Usage'!$C$114*(IF('Equipment List &amp; Usage'!$AA33&gt;0,'Weekly Summary'!O$128,0)+IF('Equipment List &amp; Usage'!$AB33&gt;0,'Weekly Summary'!O$100+'Weekly Summary'!O$101,0)),'Equipment List &amp; Usage'!$C$115*(('Weekly Summary'!O$128*'Equipment List &amp; Usage'!$AA33)+('Weekly Summary'!O$100*'Equipment List &amp; Usage'!$AB33*SelfQuarantine_Mild)+('Weekly Summary'!O$101*'Equipment List &amp; Usage'!$AB33*SelfQuarantine_Moderate)))+IF('Equipment List &amp; Usage'!$F33="Yes",('Equipment List &amp; Usage'!$C$114*(IF('Equipment List &amp; Usage'!$AE33&gt;0,'Weekly Summary'!O$134,0)+IF('Equipment List &amp; Usage'!$AF33&gt;0,'Weekly Summary'!O$135))),'Equipment List &amp; Usage'!$C$115*(('Weekly Summary'!O$134*'Equipment List &amp; Usage'!$AE33)+('Weekly Summary'!O$135*'Equipment List &amp; Usage'!$AF33)))),0)</f>
        <v>0</v>
      </c>
      <c r="V31" s="1378">
        <f ca="1">MAX(IF($F31="Yes",(
IF($F31="yes",MMULT(--('Equipment List &amp; Usage'!$J33:$N33&gt;0),--('Weekly Summary'!P$112:P$116))*'Equipment List &amp; Usage'!$C$114,MMULT(--('Equipment List &amp; Usage'!$J33:$N33),--('Weekly Summary'!P$112:P$116))*'Equipment List &amp; Usage'!$C$115)+IF('Equipment List &amp; Usage'!$F32="yes",'Equipment List &amp; Usage'!$C$114,'Equipment List &amp; Usage'!$C$115)*(('Weekly Summary'!P$66*'Equipment List &amp; Usage'!$Q33)+('Weekly Summary'!P$64*'Equipment List &amp; Usage'!$O33)+('Weekly Summary'!P$65*'Equipment List &amp; Usage'!$P33)))+(IF('Equipment List &amp; Usage'!$F33="Yes",'Equipment List &amp; Usage'!$C$114*((('Weekly Summary'!P$131*SelfQuarantine_Mild)+('Weekly Summary'!P$100*SelfQuarantine_Mild)+('Weekly Summary'!P$101*SelfQuarantine_Moderate))),'Equipment List &amp; Usage'!$C$115)*((('Weekly Summary'!P$131*SelfQuarantine_Mild*'Equipment List &amp; Usage'!$W33)+('Weekly Summary'!P$100*SelfQuarantine_Mild*'Equipment List &amp; Usage'!$X33)+('Weekly Summary'!P$101*SelfQuarantine_Moderate*'Equipment List &amp; Usage'!$X33)))+IF('Equipment List &amp; Usage'!$F33="Yes",'Equipment List &amp; Usage'!$C$114*(IF('Equipment List &amp; Usage'!$AA33&gt;0,'Weekly Summary'!P$128,0)+IF('Equipment List &amp; Usage'!$AB33&gt;0,'Weekly Summary'!P$100+'Weekly Summary'!P$101,0)),'Equipment List &amp; Usage'!$C$115*(('Weekly Summary'!P$128*'Equipment List &amp; Usage'!$AA33)+('Weekly Summary'!P$100*'Equipment List &amp; Usage'!$AB33*SelfQuarantine_Mild)+('Weekly Summary'!P$101*'Equipment List &amp; Usage'!$AB33*SelfQuarantine_Moderate)))+IF('Equipment List &amp; Usage'!$F33="Yes",('Equipment List &amp; Usage'!$C$114*(IF('Equipment List &amp; Usage'!$AE33&gt;0,'Weekly Summary'!P$134,0)+IF('Equipment List &amp; Usage'!$AF33&gt;0,'Weekly Summary'!P$135))),'Equipment List &amp; Usage'!$C$115*(('Weekly Summary'!P$134*'Equipment List &amp; Usage'!$AE33)+('Weekly Summary'!P$135*'Equipment List &amp; Usage'!$AF33))))-SUM($I31:U31),
IF($F31="yes",MMULT(--('Equipment List &amp; Usage'!$J33:$N33&gt;0),--('Weekly Summary'!P$112:P$116))*'Equipment List &amp; Usage'!$C$114,MMULT(--('Equipment List &amp; Usage'!$J33:$N33),--('Weekly Summary'!P$112:P$116))*'Equipment List &amp; Usage'!$C$115)+IF('Equipment List &amp; Usage'!$F32="yes",'Equipment List &amp; Usage'!$C$114,'Equipment List &amp; Usage'!$C$115)*(('Weekly Summary'!P$66*'Equipment List &amp; Usage'!$Q33)+('Weekly Summary'!P$64*'Equipment List &amp; Usage'!$O33)+('Weekly Summary'!P$65*'Equipment List &amp; Usage'!$P33))+(IF('Equipment List &amp; Usage'!$F33="Yes",'Equipment List &amp; Usage'!$C$114*((('Weekly Summary'!P$131*SelfQuarantine_Mild)+('Weekly Summary'!P$100*SelfQuarantine_Mild)+('Weekly Summary'!P$101*SelfQuarantine_Moderate))),'Equipment List &amp; Usage'!$C$115)*((('Weekly Summary'!P$131*SelfQuarantine_Mild*'Equipment List &amp; Usage'!$W33)+('Weekly Summary'!P$100*SelfQuarantine_Mild*'Equipment List &amp; Usage'!$X33)+('Weekly Summary'!P$101*SelfQuarantine_Moderate*'Equipment List &amp; Usage'!$X33))))+IF('Equipment List &amp; Usage'!$F33="Yes",'Equipment List &amp; Usage'!$C$114*(IF('Equipment List &amp; Usage'!$AA33&gt;0,'Weekly Summary'!P$128,0)+IF('Equipment List &amp; Usage'!$AB33&gt;0,'Weekly Summary'!P$100+'Weekly Summary'!P$101,0)),'Equipment List &amp; Usage'!$C$115*(('Weekly Summary'!P$128*'Equipment List &amp; Usage'!$AA33)+('Weekly Summary'!P$100*'Equipment List &amp; Usage'!$AB33*SelfQuarantine_Mild)+('Weekly Summary'!P$101*'Equipment List &amp; Usage'!$AB33*SelfQuarantine_Moderate)))+IF('Equipment List &amp; Usage'!$F33="Yes",('Equipment List &amp; Usage'!$C$114*(IF('Equipment List &amp; Usage'!$AE33&gt;0,'Weekly Summary'!P$134,0)+IF('Equipment List &amp; Usage'!$AF33&gt;0,'Weekly Summary'!P$135))),'Equipment List &amp; Usage'!$C$115*(('Weekly Summary'!P$134*'Equipment List &amp; Usage'!$AE33)+('Weekly Summary'!P$135*'Equipment List &amp; Usage'!$AF33)))),0)</f>
        <v>0</v>
      </c>
      <c r="W31" s="1378">
        <f ca="1">MAX(IF($F31="Yes",(
IF($F31="yes",MMULT(--('Equipment List &amp; Usage'!$J33:$N33&gt;0),--('Weekly Summary'!Q$112:Q$116))*'Equipment List &amp; Usage'!$C$114,MMULT(--('Equipment List &amp; Usage'!$J33:$N33),--('Weekly Summary'!Q$112:Q$116))*'Equipment List &amp; Usage'!$C$115)+IF('Equipment List &amp; Usage'!$F32="yes",'Equipment List &amp; Usage'!$C$114,'Equipment List &amp; Usage'!$C$115)*(('Weekly Summary'!Q$66*'Equipment List &amp; Usage'!$Q33)+('Weekly Summary'!Q$64*'Equipment List &amp; Usage'!$O33)+('Weekly Summary'!Q$65*'Equipment List &amp; Usage'!$P33)))+(IF('Equipment List &amp; Usage'!$F33="Yes",'Equipment List &amp; Usage'!$C$114*((('Weekly Summary'!Q$131*SelfQuarantine_Mild)+('Weekly Summary'!Q$100*SelfQuarantine_Mild)+('Weekly Summary'!Q$101*SelfQuarantine_Moderate))),'Equipment List &amp; Usage'!$C$115)*((('Weekly Summary'!Q$131*SelfQuarantine_Mild*'Equipment List &amp; Usage'!$W33)+('Weekly Summary'!Q$100*SelfQuarantine_Mild*'Equipment List &amp; Usage'!$X33)+('Weekly Summary'!Q$101*SelfQuarantine_Moderate*'Equipment List &amp; Usage'!$X33)))+IF('Equipment List &amp; Usage'!$F33="Yes",'Equipment List &amp; Usage'!$C$114*(IF('Equipment List &amp; Usage'!$AA33&gt;0,'Weekly Summary'!Q$128,0)+IF('Equipment List &amp; Usage'!$AB33&gt;0,'Weekly Summary'!Q$100+'Weekly Summary'!Q$101,0)),'Equipment List &amp; Usage'!$C$115*(('Weekly Summary'!Q$128*'Equipment List &amp; Usage'!$AA33)+('Weekly Summary'!Q$100*'Equipment List &amp; Usage'!$AB33*SelfQuarantine_Mild)+('Weekly Summary'!Q$101*'Equipment List &amp; Usage'!$AB33*SelfQuarantine_Moderate)))+IF('Equipment List &amp; Usage'!$F33="Yes",('Equipment List &amp; Usage'!$C$114*(IF('Equipment List &amp; Usage'!$AE33&gt;0,'Weekly Summary'!Q$134,0)+IF('Equipment List &amp; Usage'!$AF33&gt;0,'Weekly Summary'!Q$135))),'Equipment List &amp; Usage'!$C$115*(('Weekly Summary'!Q$134*'Equipment List &amp; Usage'!$AE33)+('Weekly Summary'!Q$135*'Equipment List &amp; Usage'!$AF33))))-SUM($I31:V31),
IF($F31="yes",MMULT(--('Equipment List &amp; Usage'!$J33:$N33&gt;0),--('Weekly Summary'!Q$112:Q$116))*'Equipment List &amp; Usage'!$C$114,MMULT(--('Equipment List &amp; Usage'!$J33:$N33),--('Weekly Summary'!Q$112:Q$116))*'Equipment List &amp; Usage'!$C$115)+IF('Equipment List &amp; Usage'!$F32="yes",'Equipment List &amp; Usage'!$C$114,'Equipment List &amp; Usage'!$C$115)*(('Weekly Summary'!Q$66*'Equipment List &amp; Usage'!$Q33)+('Weekly Summary'!Q$64*'Equipment List &amp; Usage'!$O33)+('Weekly Summary'!Q$65*'Equipment List &amp; Usage'!$P33))+(IF('Equipment List &amp; Usage'!$F33="Yes",'Equipment List &amp; Usage'!$C$114*((('Weekly Summary'!Q$131*SelfQuarantine_Mild)+('Weekly Summary'!Q$100*SelfQuarantine_Mild)+('Weekly Summary'!Q$101*SelfQuarantine_Moderate))),'Equipment List &amp; Usage'!$C$115)*((('Weekly Summary'!Q$131*SelfQuarantine_Mild*'Equipment List &amp; Usage'!$W33)+('Weekly Summary'!Q$100*SelfQuarantine_Mild*'Equipment List &amp; Usage'!$X33)+('Weekly Summary'!Q$101*SelfQuarantine_Moderate*'Equipment List &amp; Usage'!$X33))))+IF('Equipment List &amp; Usage'!$F33="Yes",'Equipment List &amp; Usage'!$C$114*(IF('Equipment List &amp; Usage'!$AA33&gt;0,'Weekly Summary'!Q$128,0)+IF('Equipment List &amp; Usage'!$AB33&gt;0,'Weekly Summary'!Q$100+'Weekly Summary'!Q$101,0)),'Equipment List &amp; Usage'!$C$115*(('Weekly Summary'!Q$128*'Equipment List &amp; Usage'!$AA33)+('Weekly Summary'!Q$100*'Equipment List &amp; Usage'!$AB33*SelfQuarantine_Mild)+('Weekly Summary'!Q$101*'Equipment List &amp; Usage'!$AB33*SelfQuarantine_Moderate)))+IF('Equipment List &amp; Usage'!$F33="Yes",('Equipment List &amp; Usage'!$C$114*(IF('Equipment List &amp; Usage'!$AE33&gt;0,'Weekly Summary'!Q$134,0)+IF('Equipment List &amp; Usage'!$AF33&gt;0,'Weekly Summary'!Q$135))),'Equipment List &amp; Usage'!$C$115*(('Weekly Summary'!Q$134*'Equipment List &amp; Usage'!$AE33)+('Weekly Summary'!Q$135*'Equipment List &amp; Usage'!$AF33)))),0)</f>
        <v>0</v>
      </c>
      <c r="X31" s="1378">
        <f ca="1">MAX(IF($F31="Yes",(
IF($F31="yes",MMULT(--('Equipment List &amp; Usage'!$J33:$N33&gt;0),--('Weekly Summary'!R$112:R$116))*'Equipment List &amp; Usage'!$C$114,MMULT(--('Equipment List &amp; Usage'!$J33:$N33),--('Weekly Summary'!R$112:R$116))*'Equipment List &amp; Usage'!$C$115)+IF('Equipment List &amp; Usage'!$F32="yes",'Equipment List &amp; Usage'!$C$114,'Equipment List &amp; Usage'!$C$115)*(('Weekly Summary'!R$66*'Equipment List &amp; Usage'!$Q33)+('Weekly Summary'!R$64*'Equipment List &amp; Usage'!$O33)+('Weekly Summary'!R$65*'Equipment List &amp; Usage'!$P33)))+(IF('Equipment List &amp; Usage'!$F33="Yes",'Equipment List &amp; Usage'!$C$114*((('Weekly Summary'!R$131*SelfQuarantine_Mild)+('Weekly Summary'!R$100*SelfQuarantine_Mild)+('Weekly Summary'!R$101*SelfQuarantine_Moderate))),'Equipment List &amp; Usage'!$C$115)*((('Weekly Summary'!R$131*SelfQuarantine_Mild*'Equipment List &amp; Usage'!$W33)+('Weekly Summary'!R$100*SelfQuarantine_Mild*'Equipment List &amp; Usage'!$X33)+('Weekly Summary'!R$101*SelfQuarantine_Moderate*'Equipment List &amp; Usage'!$X33)))+IF('Equipment List &amp; Usage'!$F33="Yes",'Equipment List &amp; Usage'!$C$114*(IF('Equipment List &amp; Usage'!$AA33&gt;0,'Weekly Summary'!R$128,0)+IF('Equipment List &amp; Usage'!$AB33&gt;0,'Weekly Summary'!R$100+'Weekly Summary'!R$101,0)),'Equipment List &amp; Usage'!$C$115*(('Weekly Summary'!R$128*'Equipment List &amp; Usage'!$AA33)+('Weekly Summary'!R$100*'Equipment List &amp; Usage'!$AB33*SelfQuarantine_Mild)+('Weekly Summary'!R$101*'Equipment List &amp; Usage'!$AB33*SelfQuarantine_Moderate)))+IF('Equipment List &amp; Usage'!$F33="Yes",('Equipment List &amp; Usage'!$C$114*(IF('Equipment List &amp; Usage'!$AE33&gt;0,'Weekly Summary'!R$134,0)+IF('Equipment List &amp; Usage'!$AF33&gt;0,'Weekly Summary'!R$135))),'Equipment List &amp; Usage'!$C$115*(('Weekly Summary'!R$134*'Equipment List &amp; Usage'!$AE33)+('Weekly Summary'!R$135*'Equipment List &amp; Usage'!$AF33))))-SUM($I31:W31),
IF($F31="yes",MMULT(--('Equipment List &amp; Usage'!$J33:$N33&gt;0),--('Weekly Summary'!R$112:R$116))*'Equipment List &amp; Usage'!$C$114,MMULT(--('Equipment List &amp; Usage'!$J33:$N33),--('Weekly Summary'!R$112:R$116))*'Equipment List &amp; Usage'!$C$115)+IF('Equipment List &amp; Usage'!$F32="yes",'Equipment List &amp; Usage'!$C$114,'Equipment List &amp; Usage'!$C$115)*(('Weekly Summary'!R$66*'Equipment List &amp; Usage'!$Q33)+('Weekly Summary'!R$64*'Equipment List &amp; Usage'!$O33)+('Weekly Summary'!R$65*'Equipment List &amp; Usage'!$P33))+(IF('Equipment List &amp; Usage'!$F33="Yes",'Equipment List &amp; Usage'!$C$114*((('Weekly Summary'!R$131*SelfQuarantine_Mild)+('Weekly Summary'!R$100*SelfQuarantine_Mild)+('Weekly Summary'!R$101*SelfQuarantine_Moderate))),'Equipment List &amp; Usage'!$C$115)*((('Weekly Summary'!R$131*SelfQuarantine_Mild*'Equipment List &amp; Usage'!$W33)+('Weekly Summary'!R$100*SelfQuarantine_Mild*'Equipment List &amp; Usage'!$X33)+('Weekly Summary'!R$101*SelfQuarantine_Moderate*'Equipment List &amp; Usage'!$X33))))+IF('Equipment List &amp; Usage'!$F33="Yes",'Equipment List &amp; Usage'!$C$114*(IF('Equipment List &amp; Usage'!$AA33&gt;0,'Weekly Summary'!R$128,0)+IF('Equipment List &amp; Usage'!$AB33&gt;0,'Weekly Summary'!R$100+'Weekly Summary'!R$101,0)),'Equipment List &amp; Usage'!$C$115*(('Weekly Summary'!R$128*'Equipment List &amp; Usage'!$AA33)+('Weekly Summary'!R$100*'Equipment List &amp; Usage'!$AB33*SelfQuarantine_Mild)+('Weekly Summary'!R$101*'Equipment List &amp; Usage'!$AB33*SelfQuarantine_Moderate)))+IF('Equipment List &amp; Usage'!$F33="Yes",('Equipment List &amp; Usage'!$C$114*(IF('Equipment List &amp; Usage'!$AE33&gt;0,'Weekly Summary'!R$134,0)+IF('Equipment List &amp; Usage'!$AF33&gt;0,'Weekly Summary'!R$135))),'Equipment List &amp; Usage'!$C$115*(('Weekly Summary'!R$134*'Equipment List &amp; Usage'!$AE33)+('Weekly Summary'!R$135*'Equipment List &amp; Usage'!$AF33)))),0)</f>
        <v>0</v>
      </c>
      <c r="Y31" s="1378">
        <f ca="1">MAX(IF($F31="Yes",(
IF($F31="yes",MMULT(--('Equipment List &amp; Usage'!$J33:$N33&gt;0),--('Weekly Summary'!S$112:S$116))*'Equipment List &amp; Usage'!$C$114,MMULT(--('Equipment List &amp; Usage'!$J33:$N33),--('Weekly Summary'!S$112:S$116))*'Equipment List &amp; Usage'!$C$115)+IF('Equipment List &amp; Usage'!$F32="yes",'Equipment List &amp; Usage'!$C$114,'Equipment List &amp; Usage'!$C$115)*(('Weekly Summary'!S$66*'Equipment List &amp; Usage'!$Q33)+('Weekly Summary'!S$64*'Equipment List &amp; Usage'!$O33)+('Weekly Summary'!S$65*'Equipment List &amp; Usage'!$P33)))+(IF('Equipment List &amp; Usage'!$F33="Yes",'Equipment List &amp; Usage'!$C$114*((('Weekly Summary'!S$131*SelfQuarantine_Mild)+('Weekly Summary'!S$100*SelfQuarantine_Mild)+('Weekly Summary'!S$101*SelfQuarantine_Moderate))),'Equipment List &amp; Usage'!$C$115)*((('Weekly Summary'!S$131*SelfQuarantine_Mild*'Equipment List &amp; Usage'!$W33)+('Weekly Summary'!S$100*SelfQuarantine_Mild*'Equipment List &amp; Usage'!$X33)+('Weekly Summary'!S$101*SelfQuarantine_Moderate*'Equipment List &amp; Usage'!$X33)))+IF('Equipment List &amp; Usage'!$F33="Yes",'Equipment List &amp; Usage'!$C$114*(IF('Equipment List &amp; Usage'!$AA33&gt;0,'Weekly Summary'!S$128,0)+IF('Equipment List &amp; Usage'!$AB33&gt;0,'Weekly Summary'!S$100+'Weekly Summary'!S$101,0)),'Equipment List &amp; Usage'!$C$115*(('Weekly Summary'!S$128*'Equipment List &amp; Usage'!$AA33)+('Weekly Summary'!S$100*'Equipment List &amp; Usage'!$AB33*SelfQuarantine_Mild)+('Weekly Summary'!S$101*'Equipment List &amp; Usage'!$AB33*SelfQuarantine_Moderate)))+IF('Equipment List &amp; Usage'!$F33="Yes",('Equipment List &amp; Usage'!$C$114*(IF('Equipment List &amp; Usage'!$AE33&gt;0,'Weekly Summary'!S$134,0)+IF('Equipment List &amp; Usage'!$AF33&gt;0,'Weekly Summary'!S$135))),'Equipment List &amp; Usage'!$C$115*(('Weekly Summary'!S$134*'Equipment List &amp; Usage'!$AE33)+('Weekly Summary'!S$135*'Equipment List &amp; Usage'!$AF33))))-SUM($I31:X31),
IF($F31="yes",MMULT(--('Equipment List &amp; Usage'!$J33:$N33&gt;0),--('Weekly Summary'!S$112:S$116))*'Equipment List &amp; Usage'!$C$114,MMULT(--('Equipment List &amp; Usage'!$J33:$N33),--('Weekly Summary'!S$112:S$116))*'Equipment List &amp; Usage'!$C$115)+IF('Equipment List &amp; Usage'!$F32="yes",'Equipment List &amp; Usage'!$C$114,'Equipment List &amp; Usage'!$C$115)*(('Weekly Summary'!S$66*'Equipment List &amp; Usage'!$Q33)+('Weekly Summary'!S$64*'Equipment List &amp; Usage'!$O33)+('Weekly Summary'!S$65*'Equipment List &amp; Usage'!$P33))+(IF('Equipment List &amp; Usage'!$F33="Yes",'Equipment List &amp; Usage'!$C$114*((('Weekly Summary'!S$131*SelfQuarantine_Mild)+('Weekly Summary'!S$100*SelfQuarantine_Mild)+('Weekly Summary'!S$101*SelfQuarantine_Moderate))),'Equipment List &amp; Usage'!$C$115)*((('Weekly Summary'!S$131*SelfQuarantine_Mild*'Equipment List &amp; Usage'!$W33)+('Weekly Summary'!S$100*SelfQuarantine_Mild*'Equipment List &amp; Usage'!$X33)+('Weekly Summary'!S$101*SelfQuarantine_Moderate*'Equipment List &amp; Usage'!$X33))))+IF('Equipment List &amp; Usage'!$F33="Yes",'Equipment List &amp; Usage'!$C$114*(IF('Equipment List &amp; Usage'!$AA33&gt;0,'Weekly Summary'!S$128,0)+IF('Equipment List &amp; Usage'!$AB33&gt;0,'Weekly Summary'!S$100+'Weekly Summary'!S$101,0)),'Equipment List &amp; Usage'!$C$115*(('Weekly Summary'!S$128*'Equipment List &amp; Usage'!$AA33)+('Weekly Summary'!S$100*'Equipment List &amp; Usage'!$AB33*SelfQuarantine_Mild)+('Weekly Summary'!S$101*'Equipment List &amp; Usage'!$AB33*SelfQuarantine_Moderate)))+IF('Equipment List &amp; Usage'!$F33="Yes",('Equipment List &amp; Usage'!$C$114*(IF('Equipment List &amp; Usage'!$AE33&gt;0,'Weekly Summary'!S$134,0)+IF('Equipment List &amp; Usage'!$AF33&gt;0,'Weekly Summary'!S$135))),'Equipment List &amp; Usage'!$C$115*(('Weekly Summary'!S$134*'Equipment List &amp; Usage'!$AE33)+('Weekly Summary'!S$135*'Equipment List &amp; Usage'!$AF33)))),0)</f>
        <v>0</v>
      </c>
      <c r="Z31" s="1378">
        <f ca="1">MAX(IF($F31="Yes",(
IF($F31="yes",MMULT(--('Equipment List &amp; Usage'!$J33:$N33&gt;0),--('Weekly Summary'!T$112:T$116))*'Equipment List &amp; Usage'!$C$114,MMULT(--('Equipment List &amp; Usage'!$J33:$N33),--('Weekly Summary'!T$112:T$116))*'Equipment List &amp; Usage'!$C$115)+IF('Equipment List &amp; Usage'!$F32="yes",'Equipment List &amp; Usage'!$C$114,'Equipment List &amp; Usage'!$C$115)*(('Weekly Summary'!T$66*'Equipment List &amp; Usage'!$Q33)+('Weekly Summary'!T$64*'Equipment List &amp; Usage'!$O33)+('Weekly Summary'!T$65*'Equipment List &amp; Usage'!$P33)))+(IF('Equipment List &amp; Usage'!$F33="Yes",'Equipment List &amp; Usage'!$C$114*((('Weekly Summary'!T$131*SelfQuarantine_Mild)+('Weekly Summary'!T$100*SelfQuarantine_Mild)+('Weekly Summary'!T$101*SelfQuarantine_Moderate))),'Equipment List &amp; Usage'!$C$115)*((('Weekly Summary'!T$131*SelfQuarantine_Mild*'Equipment List &amp; Usage'!$W33)+('Weekly Summary'!T$100*SelfQuarantine_Mild*'Equipment List &amp; Usage'!$X33)+('Weekly Summary'!T$101*SelfQuarantine_Moderate*'Equipment List &amp; Usage'!$X33)))+IF('Equipment List &amp; Usage'!$F33="Yes",'Equipment List &amp; Usage'!$C$114*(IF('Equipment List &amp; Usage'!$AA33&gt;0,'Weekly Summary'!T$128,0)+IF('Equipment List &amp; Usage'!$AB33&gt;0,'Weekly Summary'!T$100+'Weekly Summary'!T$101,0)),'Equipment List &amp; Usage'!$C$115*(('Weekly Summary'!T$128*'Equipment List &amp; Usage'!$AA33)+('Weekly Summary'!T$100*'Equipment List &amp; Usage'!$AB33*SelfQuarantine_Mild)+('Weekly Summary'!T$101*'Equipment List &amp; Usage'!$AB33*SelfQuarantine_Moderate)))+IF('Equipment List &amp; Usage'!$F33="Yes",('Equipment List &amp; Usage'!$C$114*(IF('Equipment List &amp; Usage'!$AE33&gt;0,'Weekly Summary'!T$134,0)+IF('Equipment List &amp; Usage'!$AF33&gt;0,'Weekly Summary'!T$135))),'Equipment List &amp; Usage'!$C$115*(('Weekly Summary'!T$134*'Equipment List &amp; Usage'!$AE33)+('Weekly Summary'!T$135*'Equipment List &amp; Usage'!$AF33))))-SUM($I31:Y31),
IF($F31="yes",MMULT(--('Equipment List &amp; Usage'!$J33:$N33&gt;0),--('Weekly Summary'!T$112:T$116))*'Equipment List &amp; Usage'!$C$114,MMULT(--('Equipment List &amp; Usage'!$J33:$N33),--('Weekly Summary'!T$112:T$116))*'Equipment List &amp; Usage'!$C$115)+IF('Equipment List &amp; Usage'!$F32="yes",'Equipment List &amp; Usage'!$C$114,'Equipment List &amp; Usage'!$C$115)*(('Weekly Summary'!T$66*'Equipment List &amp; Usage'!$Q33)+('Weekly Summary'!T$64*'Equipment List &amp; Usage'!$O33)+('Weekly Summary'!T$65*'Equipment List &amp; Usage'!$P33))+(IF('Equipment List &amp; Usage'!$F33="Yes",'Equipment List &amp; Usage'!$C$114*((('Weekly Summary'!T$131*SelfQuarantine_Mild)+('Weekly Summary'!T$100*SelfQuarantine_Mild)+('Weekly Summary'!T$101*SelfQuarantine_Moderate))),'Equipment List &amp; Usage'!$C$115)*((('Weekly Summary'!T$131*SelfQuarantine_Mild*'Equipment List &amp; Usage'!$W33)+('Weekly Summary'!T$100*SelfQuarantine_Mild*'Equipment List &amp; Usage'!$X33)+('Weekly Summary'!T$101*SelfQuarantine_Moderate*'Equipment List &amp; Usage'!$X33))))+IF('Equipment List &amp; Usage'!$F33="Yes",'Equipment List &amp; Usage'!$C$114*(IF('Equipment List &amp; Usage'!$AA33&gt;0,'Weekly Summary'!T$128,0)+IF('Equipment List &amp; Usage'!$AB33&gt;0,'Weekly Summary'!T$100+'Weekly Summary'!T$101,0)),'Equipment List &amp; Usage'!$C$115*(('Weekly Summary'!T$128*'Equipment List &amp; Usage'!$AA33)+('Weekly Summary'!T$100*'Equipment List &amp; Usage'!$AB33*SelfQuarantine_Mild)+('Weekly Summary'!T$101*'Equipment List &amp; Usage'!$AB33*SelfQuarantine_Moderate)))+IF('Equipment List &amp; Usage'!$F33="Yes",('Equipment List &amp; Usage'!$C$114*(IF('Equipment List &amp; Usage'!$AE33&gt;0,'Weekly Summary'!T$134,0)+IF('Equipment List &amp; Usage'!$AF33&gt;0,'Weekly Summary'!T$135))),'Equipment List &amp; Usage'!$C$115*(('Weekly Summary'!T$134*'Equipment List &amp; Usage'!$AE33)+('Weekly Summary'!T$135*'Equipment List &amp; Usage'!$AF33)))),0)</f>
        <v>0</v>
      </c>
      <c r="AA31" s="1378">
        <f ca="1">MAX(IF($F31="Yes",(
IF($F31="yes",MMULT(--('Equipment List &amp; Usage'!$J33:$N33&gt;0),--('Weekly Summary'!U$112:U$116))*'Equipment List &amp; Usage'!$C$114,MMULT(--('Equipment List &amp; Usage'!$J33:$N33),--('Weekly Summary'!U$112:U$116))*'Equipment List &amp; Usage'!$C$115)+IF('Equipment List &amp; Usage'!$F32="yes",'Equipment List &amp; Usage'!$C$114,'Equipment List &amp; Usage'!$C$115)*(('Weekly Summary'!U$66*'Equipment List &amp; Usage'!$Q33)+('Weekly Summary'!U$64*'Equipment List &amp; Usage'!$O33)+('Weekly Summary'!U$65*'Equipment List &amp; Usage'!$P33)))+(IF('Equipment List &amp; Usage'!$F33="Yes",'Equipment List &amp; Usage'!$C$114*((('Weekly Summary'!U$131*SelfQuarantine_Mild)+('Weekly Summary'!U$100*SelfQuarantine_Mild)+('Weekly Summary'!U$101*SelfQuarantine_Moderate))),'Equipment List &amp; Usage'!$C$115)*((('Weekly Summary'!U$131*SelfQuarantine_Mild*'Equipment List &amp; Usage'!$W33)+('Weekly Summary'!U$100*SelfQuarantine_Mild*'Equipment List &amp; Usage'!$X33)+('Weekly Summary'!U$101*SelfQuarantine_Moderate*'Equipment List &amp; Usage'!$X33)))+IF('Equipment List &amp; Usage'!$F33="Yes",'Equipment List &amp; Usage'!$C$114*(IF('Equipment List &amp; Usage'!$AA33&gt;0,'Weekly Summary'!U$128,0)+IF('Equipment List &amp; Usage'!$AB33&gt;0,'Weekly Summary'!U$100+'Weekly Summary'!U$101,0)),'Equipment List &amp; Usage'!$C$115*(('Weekly Summary'!U$128*'Equipment List &amp; Usage'!$AA33)+('Weekly Summary'!U$100*'Equipment List &amp; Usage'!$AB33*SelfQuarantine_Mild)+('Weekly Summary'!U$101*'Equipment List &amp; Usage'!$AB33*SelfQuarantine_Moderate)))+IF('Equipment List &amp; Usage'!$F33="Yes",('Equipment List &amp; Usage'!$C$114*(IF('Equipment List &amp; Usage'!$AE33&gt;0,'Weekly Summary'!U$134,0)+IF('Equipment List &amp; Usage'!$AF33&gt;0,'Weekly Summary'!U$135))),'Equipment List &amp; Usage'!$C$115*(('Weekly Summary'!U$134*'Equipment List &amp; Usage'!$AE33)+('Weekly Summary'!U$135*'Equipment List &amp; Usage'!$AF33))))-SUM($I31:Z31),
IF($F31="yes",MMULT(--('Equipment List &amp; Usage'!$J33:$N33&gt;0),--('Weekly Summary'!U$112:U$116))*'Equipment List &amp; Usage'!$C$114,MMULT(--('Equipment List &amp; Usage'!$J33:$N33),--('Weekly Summary'!U$112:U$116))*'Equipment List &amp; Usage'!$C$115)+IF('Equipment List &amp; Usage'!$F32="yes",'Equipment List &amp; Usage'!$C$114,'Equipment List &amp; Usage'!$C$115)*(('Weekly Summary'!U$66*'Equipment List &amp; Usage'!$Q33)+('Weekly Summary'!U$64*'Equipment List &amp; Usage'!$O33)+('Weekly Summary'!U$65*'Equipment List &amp; Usage'!$P33))+(IF('Equipment List &amp; Usage'!$F33="Yes",'Equipment List &amp; Usage'!$C$114*((('Weekly Summary'!U$131*SelfQuarantine_Mild)+('Weekly Summary'!U$100*SelfQuarantine_Mild)+('Weekly Summary'!U$101*SelfQuarantine_Moderate))),'Equipment List &amp; Usage'!$C$115)*((('Weekly Summary'!U$131*SelfQuarantine_Mild*'Equipment List &amp; Usage'!$W33)+('Weekly Summary'!U$100*SelfQuarantine_Mild*'Equipment List &amp; Usage'!$X33)+('Weekly Summary'!U$101*SelfQuarantine_Moderate*'Equipment List &amp; Usage'!$X33))))+IF('Equipment List &amp; Usage'!$F33="Yes",'Equipment List &amp; Usage'!$C$114*(IF('Equipment List &amp; Usage'!$AA33&gt;0,'Weekly Summary'!U$128,0)+IF('Equipment List &amp; Usage'!$AB33&gt;0,'Weekly Summary'!U$100+'Weekly Summary'!U$101,0)),'Equipment List &amp; Usage'!$C$115*(('Weekly Summary'!U$128*'Equipment List &amp; Usage'!$AA33)+('Weekly Summary'!U$100*'Equipment List &amp; Usage'!$AB33*SelfQuarantine_Mild)+('Weekly Summary'!U$101*'Equipment List &amp; Usage'!$AB33*SelfQuarantine_Moderate)))+IF('Equipment List &amp; Usage'!$F33="Yes",('Equipment List &amp; Usage'!$C$114*(IF('Equipment List &amp; Usage'!$AE33&gt;0,'Weekly Summary'!U$134,0)+IF('Equipment List &amp; Usage'!$AF33&gt;0,'Weekly Summary'!U$135))),'Equipment List &amp; Usage'!$C$115*(('Weekly Summary'!U$134*'Equipment List &amp; Usage'!$AE33)+('Weekly Summary'!U$135*'Equipment List &amp; Usage'!$AF33)))),0)</f>
        <v>0</v>
      </c>
      <c r="AB31" s="1378">
        <f ca="1">MAX(IF($F31="Yes",(
IF($F31="yes",MMULT(--('Equipment List &amp; Usage'!$J33:$N33&gt;0),--('Weekly Summary'!V$112:V$116))*'Equipment List &amp; Usage'!$C$114,MMULT(--('Equipment List &amp; Usage'!$J33:$N33),--('Weekly Summary'!V$112:V$116))*'Equipment List &amp; Usage'!$C$115)+IF('Equipment List &amp; Usage'!$F32="yes",'Equipment List &amp; Usage'!$C$114,'Equipment List &amp; Usage'!$C$115)*(('Weekly Summary'!V$66*'Equipment List &amp; Usage'!$Q33)+('Weekly Summary'!V$64*'Equipment List &amp; Usage'!$O33)+('Weekly Summary'!V$65*'Equipment List &amp; Usage'!$P33)))+(IF('Equipment List &amp; Usage'!$F33="Yes",'Equipment List &amp; Usage'!$C$114*((('Weekly Summary'!V$131*SelfQuarantine_Mild)+('Weekly Summary'!V$100*SelfQuarantine_Mild)+('Weekly Summary'!V$101*SelfQuarantine_Moderate))),'Equipment List &amp; Usage'!$C$115)*((('Weekly Summary'!V$131*SelfQuarantine_Mild*'Equipment List &amp; Usage'!$W33)+('Weekly Summary'!V$100*SelfQuarantine_Mild*'Equipment List &amp; Usage'!$X33)+('Weekly Summary'!V$101*SelfQuarantine_Moderate*'Equipment List &amp; Usage'!$X33)))+IF('Equipment List &amp; Usage'!$F33="Yes",'Equipment List &amp; Usage'!$C$114*(IF('Equipment List &amp; Usage'!$AA33&gt;0,'Weekly Summary'!V$128,0)+IF('Equipment List &amp; Usage'!$AB33&gt;0,'Weekly Summary'!V$100+'Weekly Summary'!V$101,0)),'Equipment List &amp; Usage'!$C$115*(('Weekly Summary'!V$128*'Equipment List &amp; Usage'!$AA33)+('Weekly Summary'!V$100*'Equipment List &amp; Usage'!$AB33*SelfQuarantine_Mild)+('Weekly Summary'!V$101*'Equipment List &amp; Usage'!$AB33*SelfQuarantine_Moderate)))+IF('Equipment List &amp; Usage'!$F33="Yes",('Equipment List &amp; Usage'!$C$114*(IF('Equipment List &amp; Usage'!$AE33&gt;0,'Weekly Summary'!V$134,0)+IF('Equipment List &amp; Usage'!$AF33&gt;0,'Weekly Summary'!V$135))),'Equipment List &amp; Usage'!$C$115*(('Weekly Summary'!V$134*'Equipment List &amp; Usage'!$AE33)+('Weekly Summary'!V$135*'Equipment List &amp; Usage'!$AF33))))-SUM($I31:AA31),
IF($F31="yes",MMULT(--('Equipment List &amp; Usage'!$J33:$N33&gt;0),--('Weekly Summary'!V$112:V$116))*'Equipment List &amp; Usage'!$C$114,MMULT(--('Equipment List &amp; Usage'!$J33:$N33),--('Weekly Summary'!V$112:V$116))*'Equipment List &amp; Usage'!$C$115)+IF('Equipment List &amp; Usage'!$F32="yes",'Equipment List &amp; Usage'!$C$114,'Equipment List &amp; Usage'!$C$115)*(('Weekly Summary'!V$66*'Equipment List &amp; Usage'!$Q33)+('Weekly Summary'!V$64*'Equipment List &amp; Usage'!$O33)+('Weekly Summary'!V$65*'Equipment List &amp; Usage'!$P33))+(IF('Equipment List &amp; Usage'!$F33="Yes",'Equipment List &amp; Usage'!$C$114*((('Weekly Summary'!V$131*SelfQuarantine_Mild)+('Weekly Summary'!V$100*SelfQuarantine_Mild)+('Weekly Summary'!V$101*SelfQuarantine_Moderate))),'Equipment List &amp; Usage'!$C$115)*((('Weekly Summary'!V$131*SelfQuarantine_Mild*'Equipment List &amp; Usage'!$W33)+('Weekly Summary'!V$100*SelfQuarantine_Mild*'Equipment List &amp; Usage'!$X33)+('Weekly Summary'!V$101*SelfQuarantine_Moderate*'Equipment List &amp; Usage'!$X33))))+IF('Equipment List &amp; Usage'!$F33="Yes",'Equipment List &amp; Usage'!$C$114*(IF('Equipment List &amp; Usage'!$AA33&gt;0,'Weekly Summary'!V$128,0)+IF('Equipment List &amp; Usage'!$AB33&gt;0,'Weekly Summary'!V$100+'Weekly Summary'!V$101,0)),'Equipment List &amp; Usage'!$C$115*(('Weekly Summary'!V$128*'Equipment List &amp; Usage'!$AA33)+('Weekly Summary'!V$100*'Equipment List &amp; Usage'!$AB33*SelfQuarantine_Mild)+('Weekly Summary'!V$101*'Equipment List &amp; Usage'!$AB33*SelfQuarantine_Moderate)))+IF('Equipment List &amp; Usage'!$F33="Yes",('Equipment List &amp; Usage'!$C$114*(IF('Equipment List &amp; Usage'!$AE33&gt;0,'Weekly Summary'!V$134,0)+IF('Equipment List &amp; Usage'!$AF33&gt;0,'Weekly Summary'!V$135))),'Equipment List &amp; Usage'!$C$115*(('Weekly Summary'!V$134*'Equipment List &amp; Usage'!$AE33)+('Weekly Summary'!V$135*'Equipment List &amp; Usage'!$AF33)))),0)</f>
        <v>0</v>
      </c>
      <c r="AC31" s="1378">
        <f ca="1">MAX(IF($F31="Yes",(
IF($F31="yes",MMULT(--('Equipment List &amp; Usage'!$J33:$N33&gt;0),--('Weekly Summary'!W$112:W$116))*'Equipment List &amp; Usage'!$C$114,MMULT(--('Equipment List &amp; Usage'!$J33:$N33),--('Weekly Summary'!W$112:W$116))*'Equipment List &amp; Usage'!$C$115)+IF('Equipment List &amp; Usage'!$F32="yes",'Equipment List &amp; Usage'!$C$114,'Equipment List &amp; Usage'!$C$115)*(('Weekly Summary'!W$66*'Equipment List &amp; Usage'!$Q33)+('Weekly Summary'!W$64*'Equipment List &amp; Usage'!$O33)+('Weekly Summary'!W$65*'Equipment List &amp; Usage'!$P33)))+(IF('Equipment List &amp; Usage'!$F33="Yes",'Equipment List &amp; Usage'!$C$114*((('Weekly Summary'!W$131*SelfQuarantine_Mild)+('Weekly Summary'!W$100*SelfQuarantine_Mild)+('Weekly Summary'!W$101*SelfQuarantine_Moderate))),'Equipment List &amp; Usage'!$C$115)*((('Weekly Summary'!W$131*SelfQuarantine_Mild*'Equipment List &amp; Usage'!$W33)+('Weekly Summary'!W$100*SelfQuarantine_Mild*'Equipment List &amp; Usage'!$X33)+('Weekly Summary'!W$101*SelfQuarantine_Moderate*'Equipment List &amp; Usage'!$X33)))+IF('Equipment List &amp; Usage'!$F33="Yes",'Equipment List &amp; Usage'!$C$114*(IF('Equipment List &amp; Usage'!$AA33&gt;0,'Weekly Summary'!W$128,0)+IF('Equipment List &amp; Usage'!$AB33&gt;0,'Weekly Summary'!W$100+'Weekly Summary'!W$101,0)),'Equipment List &amp; Usage'!$C$115*(('Weekly Summary'!W$128*'Equipment List &amp; Usage'!$AA33)+('Weekly Summary'!W$100*'Equipment List &amp; Usage'!$AB33*SelfQuarantine_Mild)+('Weekly Summary'!W$101*'Equipment List &amp; Usage'!$AB33*SelfQuarantine_Moderate)))+IF('Equipment List &amp; Usage'!$F33="Yes",('Equipment List &amp; Usage'!$C$114*(IF('Equipment List &amp; Usage'!$AE33&gt;0,'Weekly Summary'!W$134,0)+IF('Equipment List &amp; Usage'!$AF33&gt;0,'Weekly Summary'!W$135))),'Equipment List &amp; Usage'!$C$115*(('Weekly Summary'!W$134*'Equipment List &amp; Usage'!$AE33)+('Weekly Summary'!W$135*'Equipment List &amp; Usage'!$AF33))))-SUM($I31:AB31),
IF($F31="yes",MMULT(--('Equipment List &amp; Usage'!$J33:$N33&gt;0),--('Weekly Summary'!W$112:W$116))*'Equipment List &amp; Usage'!$C$114,MMULT(--('Equipment List &amp; Usage'!$J33:$N33),--('Weekly Summary'!W$112:W$116))*'Equipment List &amp; Usage'!$C$115)+IF('Equipment List &amp; Usage'!$F32="yes",'Equipment List &amp; Usage'!$C$114,'Equipment List &amp; Usage'!$C$115)*(('Weekly Summary'!W$66*'Equipment List &amp; Usage'!$Q33)+('Weekly Summary'!W$64*'Equipment List &amp; Usage'!$O33)+('Weekly Summary'!W$65*'Equipment List &amp; Usage'!$P33))+(IF('Equipment List &amp; Usage'!$F33="Yes",'Equipment List &amp; Usage'!$C$114*((('Weekly Summary'!W$131*SelfQuarantine_Mild)+('Weekly Summary'!W$100*SelfQuarantine_Mild)+('Weekly Summary'!W$101*SelfQuarantine_Moderate))),'Equipment List &amp; Usage'!$C$115)*((('Weekly Summary'!W$131*SelfQuarantine_Mild*'Equipment List &amp; Usage'!$W33)+('Weekly Summary'!W$100*SelfQuarantine_Mild*'Equipment List &amp; Usage'!$X33)+('Weekly Summary'!W$101*SelfQuarantine_Moderate*'Equipment List &amp; Usage'!$X33))))+IF('Equipment List &amp; Usage'!$F33="Yes",'Equipment List &amp; Usage'!$C$114*(IF('Equipment List &amp; Usage'!$AA33&gt;0,'Weekly Summary'!W$128,0)+IF('Equipment List &amp; Usage'!$AB33&gt;0,'Weekly Summary'!W$100+'Weekly Summary'!W$101,0)),'Equipment List &amp; Usage'!$C$115*(('Weekly Summary'!W$128*'Equipment List &amp; Usage'!$AA33)+('Weekly Summary'!W$100*'Equipment List &amp; Usage'!$AB33*SelfQuarantine_Mild)+('Weekly Summary'!W$101*'Equipment List &amp; Usage'!$AB33*SelfQuarantine_Moderate)))+IF('Equipment List &amp; Usage'!$F33="Yes",('Equipment List &amp; Usage'!$C$114*(IF('Equipment List &amp; Usage'!$AE33&gt;0,'Weekly Summary'!W$134,0)+IF('Equipment List &amp; Usage'!$AF33&gt;0,'Weekly Summary'!W$135))),'Equipment List &amp; Usage'!$C$115*(('Weekly Summary'!W$134*'Equipment List &amp; Usage'!$AE33)+('Weekly Summary'!W$135*'Equipment List &amp; Usage'!$AF33)))),0)</f>
        <v>0</v>
      </c>
      <c r="AD31" s="1378">
        <f ca="1">MAX(IF($F31="Yes",(
IF($F31="yes",MMULT(--('Equipment List &amp; Usage'!$J33:$N33&gt;0),--('Weekly Summary'!X$112:X$116))*'Equipment List &amp; Usage'!$C$114,MMULT(--('Equipment List &amp; Usage'!$J33:$N33),--('Weekly Summary'!X$112:X$116))*'Equipment List &amp; Usage'!$C$115)+IF('Equipment List &amp; Usage'!$F32="yes",'Equipment List &amp; Usage'!$C$114,'Equipment List &amp; Usage'!$C$115)*(('Weekly Summary'!X$66*'Equipment List &amp; Usage'!$Q33)+('Weekly Summary'!X$64*'Equipment List &amp; Usage'!$O33)+('Weekly Summary'!X$65*'Equipment List &amp; Usage'!$P33)))+(IF('Equipment List &amp; Usage'!$F33="Yes",'Equipment List &amp; Usage'!$C$114*((('Weekly Summary'!X$131*SelfQuarantine_Mild)+('Weekly Summary'!X$100*SelfQuarantine_Mild)+('Weekly Summary'!X$101*SelfQuarantine_Moderate))),'Equipment List &amp; Usage'!$C$115)*((('Weekly Summary'!X$131*SelfQuarantine_Mild*'Equipment List &amp; Usage'!$W33)+('Weekly Summary'!X$100*SelfQuarantine_Mild*'Equipment List &amp; Usage'!$X33)+('Weekly Summary'!X$101*SelfQuarantine_Moderate*'Equipment List &amp; Usage'!$X33)))+IF('Equipment List &amp; Usage'!$F33="Yes",'Equipment List &amp; Usage'!$C$114*(IF('Equipment List &amp; Usage'!$AA33&gt;0,'Weekly Summary'!X$128,0)+IF('Equipment List &amp; Usage'!$AB33&gt;0,'Weekly Summary'!X$100+'Weekly Summary'!X$101,0)),'Equipment List &amp; Usage'!$C$115*(('Weekly Summary'!X$128*'Equipment List &amp; Usage'!$AA33)+('Weekly Summary'!X$100*'Equipment List &amp; Usage'!$AB33*SelfQuarantine_Mild)+('Weekly Summary'!X$101*'Equipment List &amp; Usage'!$AB33*SelfQuarantine_Moderate)))+IF('Equipment List &amp; Usage'!$F33="Yes",('Equipment List &amp; Usage'!$C$114*(IF('Equipment List &amp; Usage'!$AE33&gt;0,'Weekly Summary'!X$134,0)+IF('Equipment List &amp; Usage'!$AF33&gt;0,'Weekly Summary'!X$135))),'Equipment List &amp; Usage'!$C$115*(('Weekly Summary'!X$134*'Equipment List &amp; Usage'!$AE33)+('Weekly Summary'!X$135*'Equipment List &amp; Usage'!$AF33))))-SUM($I31:AC31),
IF($F31="yes",MMULT(--('Equipment List &amp; Usage'!$J33:$N33&gt;0),--('Weekly Summary'!X$112:X$116))*'Equipment List &amp; Usage'!$C$114,MMULT(--('Equipment List &amp; Usage'!$J33:$N33),--('Weekly Summary'!X$112:X$116))*'Equipment List &amp; Usage'!$C$115)+IF('Equipment List &amp; Usage'!$F32="yes",'Equipment List &amp; Usage'!$C$114,'Equipment List &amp; Usage'!$C$115)*(('Weekly Summary'!X$66*'Equipment List &amp; Usage'!$Q33)+('Weekly Summary'!X$64*'Equipment List &amp; Usage'!$O33)+('Weekly Summary'!X$65*'Equipment List &amp; Usage'!$P33))+(IF('Equipment List &amp; Usage'!$F33="Yes",'Equipment List &amp; Usage'!$C$114*((('Weekly Summary'!X$131*SelfQuarantine_Mild)+('Weekly Summary'!X$100*SelfQuarantine_Mild)+('Weekly Summary'!X$101*SelfQuarantine_Moderate))),'Equipment List &amp; Usage'!$C$115)*((('Weekly Summary'!X$131*SelfQuarantine_Mild*'Equipment List &amp; Usage'!$W33)+('Weekly Summary'!X$100*SelfQuarantine_Mild*'Equipment List &amp; Usage'!$X33)+('Weekly Summary'!X$101*SelfQuarantine_Moderate*'Equipment List &amp; Usage'!$X33))))+IF('Equipment List &amp; Usage'!$F33="Yes",'Equipment List &amp; Usage'!$C$114*(IF('Equipment List &amp; Usage'!$AA33&gt;0,'Weekly Summary'!X$128,0)+IF('Equipment List &amp; Usage'!$AB33&gt;0,'Weekly Summary'!X$100+'Weekly Summary'!X$101,0)),'Equipment List &amp; Usage'!$C$115*(('Weekly Summary'!X$128*'Equipment List &amp; Usage'!$AA33)+('Weekly Summary'!X$100*'Equipment List &amp; Usage'!$AB33*SelfQuarantine_Mild)+('Weekly Summary'!X$101*'Equipment List &amp; Usage'!$AB33*SelfQuarantine_Moderate)))+IF('Equipment List &amp; Usage'!$F33="Yes",('Equipment List &amp; Usage'!$C$114*(IF('Equipment List &amp; Usage'!$AE33&gt;0,'Weekly Summary'!X$134,0)+IF('Equipment List &amp; Usage'!$AF33&gt;0,'Weekly Summary'!X$135))),'Equipment List &amp; Usage'!$C$115*(('Weekly Summary'!X$134*'Equipment List &amp; Usage'!$AE33)+('Weekly Summary'!X$135*'Equipment List &amp; Usage'!$AF33)))),0)</f>
        <v>0</v>
      </c>
      <c r="AE31" s="1378">
        <f ca="1">MAX(IF($F31="Yes",(
IF($F31="yes",MMULT(--('Equipment List &amp; Usage'!$J33:$N33&gt;0),--('Weekly Summary'!Y$112:Y$116))*'Equipment List &amp; Usage'!$C$114,MMULT(--('Equipment List &amp; Usage'!$J33:$N33),--('Weekly Summary'!Y$112:Y$116))*'Equipment List &amp; Usage'!$C$115)+IF('Equipment List &amp; Usage'!$F32="yes",'Equipment List &amp; Usage'!$C$114,'Equipment List &amp; Usage'!$C$115)*(('Weekly Summary'!Y$66*'Equipment List &amp; Usage'!$Q33)+('Weekly Summary'!Y$64*'Equipment List &amp; Usage'!$O33)+('Weekly Summary'!Y$65*'Equipment List &amp; Usage'!$P33)))+(IF('Equipment List &amp; Usage'!$F33="Yes",'Equipment List &amp; Usage'!$C$114*((('Weekly Summary'!Y$131*SelfQuarantine_Mild)+('Weekly Summary'!Y$100*SelfQuarantine_Mild)+('Weekly Summary'!Y$101*SelfQuarantine_Moderate))),'Equipment List &amp; Usage'!$C$115)*((('Weekly Summary'!Y$131*SelfQuarantine_Mild*'Equipment List &amp; Usage'!$W33)+('Weekly Summary'!Y$100*SelfQuarantine_Mild*'Equipment List &amp; Usage'!$X33)+('Weekly Summary'!Y$101*SelfQuarantine_Moderate*'Equipment List &amp; Usage'!$X33)))+IF('Equipment List &amp; Usage'!$F33="Yes",'Equipment List &amp; Usage'!$C$114*(IF('Equipment List &amp; Usage'!$AA33&gt;0,'Weekly Summary'!Y$128,0)+IF('Equipment List &amp; Usage'!$AB33&gt;0,'Weekly Summary'!Y$100+'Weekly Summary'!Y$101,0)),'Equipment List &amp; Usage'!$C$115*(('Weekly Summary'!Y$128*'Equipment List &amp; Usage'!$AA33)+('Weekly Summary'!Y$100*'Equipment List &amp; Usage'!$AB33*SelfQuarantine_Mild)+('Weekly Summary'!Y$101*'Equipment List &amp; Usage'!$AB33*SelfQuarantine_Moderate)))+IF('Equipment List &amp; Usage'!$F33="Yes",('Equipment List &amp; Usage'!$C$114*(IF('Equipment List &amp; Usage'!$AE33&gt;0,'Weekly Summary'!Y$134,0)+IF('Equipment List &amp; Usage'!$AF33&gt;0,'Weekly Summary'!Y$135))),'Equipment List &amp; Usage'!$C$115*(('Weekly Summary'!Y$134*'Equipment List &amp; Usage'!$AE33)+('Weekly Summary'!Y$135*'Equipment List &amp; Usage'!$AF33))))-SUM($I31:AD31),
IF($F31="yes",MMULT(--('Equipment List &amp; Usage'!$J33:$N33&gt;0),--('Weekly Summary'!Y$112:Y$116))*'Equipment List &amp; Usage'!$C$114,MMULT(--('Equipment List &amp; Usage'!$J33:$N33),--('Weekly Summary'!Y$112:Y$116))*'Equipment List &amp; Usage'!$C$115)+IF('Equipment List &amp; Usage'!$F32="yes",'Equipment List &amp; Usage'!$C$114,'Equipment List &amp; Usage'!$C$115)*(('Weekly Summary'!Y$66*'Equipment List &amp; Usage'!$Q33)+('Weekly Summary'!Y$64*'Equipment List &amp; Usage'!$O33)+('Weekly Summary'!Y$65*'Equipment List &amp; Usage'!$P33))+(IF('Equipment List &amp; Usage'!$F33="Yes",'Equipment List &amp; Usage'!$C$114*((('Weekly Summary'!Y$131*SelfQuarantine_Mild)+('Weekly Summary'!Y$100*SelfQuarantine_Mild)+('Weekly Summary'!Y$101*SelfQuarantine_Moderate))),'Equipment List &amp; Usage'!$C$115)*((('Weekly Summary'!Y$131*SelfQuarantine_Mild*'Equipment List &amp; Usage'!$W33)+('Weekly Summary'!Y$100*SelfQuarantine_Mild*'Equipment List &amp; Usage'!$X33)+('Weekly Summary'!Y$101*SelfQuarantine_Moderate*'Equipment List &amp; Usage'!$X33))))+IF('Equipment List &amp; Usage'!$F33="Yes",'Equipment List &amp; Usage'!$C$114*(IF('Equipment List &amp; Usage'!$AA33&gt;0,'Weekly Summary'!Y$128,0)+IF('Equipment List &amp; Usage'!$AB33&gt;0,'Weekly Summary'!Y$100+'Weekly Summary'!Y$101,0)),'Equipment List &amp; Usage'!$C$115*(('Weekly Summary'!Y$128*'Equipment List &amp; Usage'!$AA33)+('Weekly Summary'!Y$100*'Equipment List &amp; Usage'!$AB33*SelfQuarantine_Mild)+('Weekly Summary'!Y$101*'Equipment List &amp; Usage'!$AB33*SelfQuarantine_Moderate)))+IF('Equipment List &amp; Usage'!$F33="Yes",('Equipment List &amp; Usage'!$C$114*(IF('Equipment List &amp; Usage'!$AE33&gt;0,'Weekly Summary'!Y$134,0)+IF('Equipment List &amp; Usage'!$AF33&gt;0,'Weekly Summary'!Y$135))),'Equipment List &amp; Usage'!$C$115*(('Weekly Summary'!Y$134*'Equipment List &amp; Usage'!$AE33)+('Weekly Summary'!Y$135*'Equipment List &amp; Usage'!$AF33)))),0)</f>
        <v>0</v>
      </c>
      <c r="AF31" s="1378">
        <f ca="1">MAX(IF($F31="Yes",(
IF($F31="yes",MMULT(--('Equipment List &amp; Usage'!$J33:$N33&gt;0),--('Weekly Summary'!Z$112:Z$116))*'Equipment List &amp; Usage'!$C$114,MMULT(--('Equipment List &amp; Usage'!$J33:$N33),--('Weekly Summary'!Z$112:Z$116))*'Equipment List &amp; Usage'!$C$115)+IF('Equipment List &amp; Usage'!$F32="yes",'Equipment List &amp; Usage'!$C$114,'Equipment List &amp; Usage'!$C$115)*(('Weekly Summary'!Z$66*'Equipment List &amp; Usage'!$Q33)+('Weekly Summary'!Z$64*'Equipment List &amp; Usage'!$O33)+('Weekly Summary'!Z$65*'Equipment List &amp; Usage'!$P33)))+(IF('Equipment List &amp; Usage'!$F33="Yes",'Equipment List &amp; Usage'!$C$114*((('Weekly Summary'!Z$131*SelfQuarantine_Mild)+('Weekly Summary'!Z$100*SelfQuarantine_Mild)+('Weekly Summary'!Z$101*SelfQuarantine_Moderate))),'Equipment List &amp; Usage'!$C$115)*((('Weekly Summary'!Z$131*SelfQuarantine_Mild*'Equipment List &amp; Usage'!$W33)+('Weekly Summary'!Z$100*SelfQuarantine_Mild*'Equipment List &amp; Usage'!$X33)+('Weekly Summary'!Z$101*SelfQuarantine_Moderate*'Equipment List &amp; Usage'!$X33)))+IF('Equipment List &amp; Usage'!$F33="Yes",'Equipment List &amp; Usage'!$C$114*(IF('Equipment List &amp; Usage'!$AA33&gt;0,'Weekly Summary'!Z$128,0)+IF('Equipment List &amp; Usage'!$AB33&gt;0,'Weekly Summary'!Z$100+'Weekly Summary'!Z$101,0)),'Equipment List &amp; Usage'!$C$115*(('Weekly Summary'!Z$128*'Equipment List &amp; Usage'!$AA33)+('Weekly Summary'!Z$100*'Equipment List &amp; Usage'!$AB33*SelfQuarantine_Mild)+('Weekly Summary'!Z$101*'Equipment List &amp; Usage'!$AB33*SelfQuarantine_Moderate)))+IF('Equipment List &amp; Usage'!$F33="Yes",('Equipment List &amp; Usage'!$C$114*(IF('Equipment List &amp; Usage'!$AE33&gt;0,'Weekly Summary'!Z$134,0)+IF('Equipment List &amp; Usage'!$AF33&gt;0,'Weekly Summary'!Z$135))),'Equipment List &amp; Usage'!$C$115*(('Weekly Summary'!Z$134*'Equipment List &amp; Usage'!$AE33)+('Weekly Summary'!Z$135*'Equipment List &amp; Usage'!$AF33))))-SUM($I31:AE31),
IF($F31="yes",MMULT(--('Equipment List &amp; Usage'!$J33:$N33&gt;0),--('Weekly Summary'!Z$112:Z$116))*'Equipment List &amp; Usage'!$C$114,MMULT(--('Equipment List &amp; Usage'!$J33:$N33),--('Weekly Summary'!Z$112:Z$116))*'Equipment List &amp; Usage'!$C$115)+IF('Equipment List &amp; Usage'!$F32="yes",'Equipment List &amp; Usage'!$C$114,'Equipment List &amp; Usage'!$C$115)*(('Weekly Summary'!Z$66*'Equipment List &amp; Usage'!$Q33)+('Weekly Summary'!Z$64*'Equipment List &amp; Usage'!$O33)+('Weekly Summary'!Z$65*'Equipment List &amp; Usage'!$P33))+(IF('Equipment List &amp; Usage'!$F33="Yes",'Equipment List &amp; Usage'!$C$114*((('Weekly Summary'!Z$131*SelfQuarantine_Mild)+('Weekly Summary'!Z$100*SelfQuarantine_Mild)+('Weekly Summary'!Z$101*SelfQuarantine_Moderate))),'Equipment List &amp; Usage'!$C$115)*((('Weekly Summary'!Z$131*SelfQuarantine_Mild*'Equipment List &amp; Usage'!$W33)+('Weekly Summary'!Z$100*SelfQuarantine_Mild*'Equipment List &amp; Usage'!$X33)+('Weekly Summary'!Z$101*SelfQuarantine_Moderate*'Equipment List &amp; Usage'!$X33))))+IF('Equipment List &amp; Usage'!$F33="Yes",'Equipment List &amp; Usage'!$C$114*(IF('Equipment List &amp; Usage'!$AA33&gt;0,'Weekly Summary'!Z$128,0)+IF('Equipment List &amp; Usage'!$AB33&gt;0,'Weekly Summary'!Z$100+'Weekly Summary'!Z$101,0)),'Equipment List &amp; Usage'!$C$115*(('Weekly Summary'!Z$128*'Equipment List &amp; Usage'!$AA33)+('Weekly Summary'!Z$100*'Equipment List &amp; Usage'!$AB33*SelfQuarantine_Mild)+('Weekly Summary'!Z$101*'Equipment List &amp; Usage'!$AB33*SelfQuarantine_Moderate)))+IF('Equipment List &amp; Usage'!$F33="Yes",('Equipment List &amp; Usage'!$C$114*(IF('Equipment List &amp; Usage'!$AE33&gt;0,'Weekly Summary'!Z$134,0)+IF('Equipment List &amp; Usage'!$AF33&gt;0,'Weekly Summary'!Z$135))),'Equipment List &amp; Usage'!$C$115*(('Weekly Summary'!Z$134*'Equipment List &amp; Usage'!$AE33)+('Weekly Summary'!Z$135*'Equipment List &amp; Usage'!$AF33)))),0)</f>
        <v>0</v>
      </c>
      <c r="AG31" s="1378">
        <f ca="1">MAX(IF($F31="Yes",(
IF($F31="yes",MMULT(--('Equipment List &amp; Usage'!$J33:$N33&gt;0),--('Weekly Summary'!AA$112:AA$116))*'Equipment List &amp; Usage'!$C$114,MMULT(--('Equipment List &amp; Usage'!$J33:$N33),--('Weekly Summary'!AA$112:AA$116))*'Equipment List &amp; Usage'!$C$115)+IF('Equipment List &amp; Usage'!$F32="yes",'Equipment List &amp; Usage'!$C$114,'Equipment List &amp; Usage'!$C$115)*(('Weekly Summary'!AA$66*'Equipment List &amp; Usage'!$Q33)+('Weekly Summary'!AA$64*'Equipment List &amp; Usage'!$O33)+('Weekly Summary'!AA$65*'Equipment List &amp; Usage'!$P33)))+(IF('Equipment List &amp; Usage'!$F33="Yes",'Equipment List &amp; Usage'!$C$114*((('Weekly Summary'!AA$131*SelfQuarantine_Mild)+('Weekly Summary'!AA$100*SelfQuarantine_Mild)+('Weekly Summary'!AA$101*SelfQuarantine_Moderate))),'Equipment List &amp; Usage'!$C$115)*((('Weekly Summary'!AA$131*SelfQuarantine_Mild*'Equipment List &amp; Usage'!$W33)+('Weekly Summary'!AA$100*SelfQuarantine_Mild*'Equipment List &amp; Usage'!$X33)+('Weekly Summary'!AA$101*SelfQuarantine_Moderate*'Equipment List &amp; Usage'!$X33)))+IF('Equipment List &amp; Usage'!$F33="Yes",'Equipment List &amp; Usage'!$C$114*(IF('Equipment List &amp; Usage'!$AA33&gt;0,'Weekly Summary'!AA$128,0)+IF('Equipment List &amp; Usage'!$AB33&gt;0,'Weekly Summary'!AA$100+'Weekly Summary'!AA$101,0)),'Equipment List &amp; Usage'!$C$115*(('Weekly Summary'!AA$128*'Equipment List &amp; Usage'!$AA33)+('Weekly Summary'!AA$100*'Equipment List &amp; Usage'!$AB33*SelfQuarantine_Mild)+('Weekly Summary'!AA$101*'Equipment List &amp; Usage'!$AB33*SelfQuarantine_Moderate)))+IF('Equipment List &amp; Usage'!$F33="Yes",('Equipment List &amp; Usage'!$C$114*(IF('Equipment List &amp; Usage'!$AE33&gt;0,'Weekly Summary'!AA$134,0)+IF('Equipment List &amp; Usage'!$AF33&gt;0,'Weekly Summary'!AA$135))),'Equipment List &amp; Usage'!$C$115*(('Weekly Summary'!AA$134*'Equipment List &amp; Usage'!$AE33)+('Weekly Summary'!AA$135*'Equipment List &amp; Usage'!$AF33))))-SUM($I31:AF31),
IF($F31="yes",MMULT(--('Equipment List &amp; Usage'!$J33:$N33&gt;0),--('Weekly Summary'!AA$112:AA$116))*'Equipment List &amp; Usage'!$C$114,MMULT(--('Equipment List &amp; Usage'!$J33:$N33),--('Weekly Summary'!AA$112:AA$116))*'Equipment List &amp; Usage'!$C$115)+IF('Equipment List &amp; Usage'!$F32="yes",'Equipment List &amp; Usage'!$C$114,'Equipment List &amp; Usage'!$C$115)*(('Weekly Summary'!AA$66*'Equipment List &amp; Usage'!$Q33)+('Weekly Summary'!AA$64*'Equipment List &amp; Usage'!$O33)+('Weekly Summary'!AA$65*'Equipment List &amp; Usage'!$P33))+(IF('Equipment List &amp; Usage'!$F33="Yes",'Equipment List &amp; Usage'!$C$114*((('Weekly Summary'!AA$131*SelfQuarantine_Mild)+('Weekly Summary'!AA$100*SelfQuarantine_Mild)+('Weekly Summary'!AA$101*SelfQuarantine_Moderate))),'Equipment List &amp; Usage'!$C$115)*((('Weekly Summary'!AA$131*SelfQuarantine_Mild*'Equipment List &amp; Usage'!$W33)+('Weekly Summary'!AA$100*SelfQuarantine_Mild*'Equipment List &amp; Usage'!$X33)+('Weekly Summary'!AA$101*SelfQuarantine_Moderate*'Equipment List &amp; Usage'!$X33))))+IF('Equipment List &amp; Usage'!$F33="Yes",'Equipment List &amp; Usage'!$C$114*(IF('Equipment List &amp; Usage'!$AA33&gt;0,'Weekly Summary'!AA$128,0)+IF('Equipment List &amp; Usage'!$AB33&gt;0,'Weekly Summary'!AA$100+'Weekly Summary'!AA$101,0)),'Equipment List &amp; Usage'!$C$115*(('Weekly Summary'!AA$128*'Equipment List &amp; Usage'!$AA33)+('Weekly Summary'!AA$100*'Equipment List &amp; Usage'!$AB33*SelfQuarantine_Mild)+('Weekly Summary'!AA$101*'Equipment List &amp; Usage'!$AB33*SelfQuarantine_Moderate)))+IF('Equipment List &amp; Usage'!$F33="Yes",('Equipment List &amp; Usage'!$C$114*(IF('Equipment List &amp; Usage'!$AE33&gt;0,'Weekly Summary'!AA$134,0)+IF('Equipment List &amp; Usage'!$AF33&gt;0,'Weekly Summary'!AA$135))),'Equipment List &amp; Usage'!$C$115*(('Weekly Summary'!AA$134*'Equipment List &amp; Usage'!$AE33)+('Weekly Summary'!AA$135*'Equipment List &amp; Usage'!$AF33)))),0)</f>
        <v>0</v>
      </c>
      <c r="AH31" s="1378">
        <f ca="1">MAX(IF($F31="Yes",(
IF($F31="yes",MMULT(--('Equipment List &amp; Usage'!$J33:$N33&gt;0),--('Weekly Summary'!AB$112:AB$116))*'Equipment List &amp; Usage'!$C$114,MMULT(--('Equipment List &amp; Usage'!$J33:$N33),--('Weekly Summary'!AB$112:AB$116))*'Equipment List &amp; Usage'!$C$115)+IF('Equipment List &amp; Usage'!$F32="yes",'Equipment List &amp; Usage'!$C$114,'Equipment List &amp; Usage'!$C$115)*(('Weekly Summary'!AB$66*'Equipment List &amp; Usage'!$Q33)+('Weekly Summary'!AB$64*'Equipment List &amp; Usage'!$O33)+('Weekly Summary'!AB$65*'Equipment List &amp; Usage'!$P33)))+(IF('Equipment List &amp; Usage'!$F33="Yes",'Equipment List &amp; Usage'!$C$114*((('Weekly Summary'!AB$131*SelfQuarantine_Mild)+('Weekly Summary'!AB$100*SelfQuarantine_Mild)+('Weekly Summary'!AB$101*SelfQuarantine_Moderate))),'Equipment List &amp; Usage'!$C$115)*((('Weekly Summary'!AB$131*SelfQuarantine_Mild*'Equipment List &amp; Usage'!$W33)+('Weekly Summary'!AB$100*SelfQuarantine_Mild*'Equipment List &amp; Usage'!$X33)+('Weekly Summary'!AB$101*SelfQuarantine_Moderate*'Equipment List &amp; Usage'!$X33)))+IF('Equipment List &amp; Usage'!$F33="Yes",'Equipment List &amp; Usage'!$C$114*(IF('Equipment List &amp; Usage'!$AA33&gt;0,'Weekly Summary'!AB$128,0)+IF('Equipment List &amp; Usage'!$AB33&gt;0,'Weekly Summary'!AB$100+'Weekly Summary'!AB$101,0)),'Equipment List &amp; Usage'!$C$115*(('Weekly Summary'!AB$128*'Equipment List &amp; Usage'!$AA33)+('Weekly Summary'!AB$100*'Equipment List &amp; Usage'!$AB33*SelfQuarantine_Mild)+('Weekly Summary'!AB$101*'Equipment List &amp; Usage'!$AB33*SelfQuarantine_Moderate)))+IF('Equipment List &amp; Usage'!$F33="Yes",('Equipment List &amp; Usage'!$C$114*(IF('Equipment List &amp; Usage'!$AE33&gt;0,'Weekly Summary'!AB$134,0)+IF('Equipment List &amp; Usage'!$AF33&gt;0,'Weekly Summary'!AB$135))),'Equipment List &amp; Usage'!$C$115*(('Weekly Summary'!AB$134*'Equipment List &amp; Usage'!$AE33)+('Weekly Summary'!AB$135*'Equipment List &amp; Usage'!$AF33))))-SUM($I31:AG31),
IF($F31="yes",MMULT(--('Equipment List &amp; Usage'!$J33:$N33&gt;0),--('Weekly Summary'!AB$112:AB$116))*'Equipment List &amp; Usage'!$C$114,MMULT(--('Equipment List &amp; Usage'!$J33:$N33),--('Weekly Summary'!AB$112:AB$116))*'Equipment List &amp; Usage'!$C$115)+IF('Equipment List &amp; Usage'!$F32="yes",'Equipment List &amp; Usage'!$C$114,'Equipment List &amp; Usage'!$C$115)*(('Weekly Summary'!AB$66*'Equipment List &amp; Usage'!$Q33)+('Weekly Summary'!AB$64*'Equipment List &amp; Usage'!$O33)+('Weekly Summary'!AB$65*'Equipment List &amp; Usage'!$P33))+(IF('Equipment List &amp; Usage'!$F33="Yes",'Equipment List &amp; Usage'!$C$114*((('Weekly Summary'!AB$131*SelfQuarantine_Mild)+('Weekly Summary'!AB$100*SelfQuarantine_Mild)+('Weekly Summary'!AB$101*SelfQuarantine_Moderate))),'Equipment List &amp; Usage'!$C$115)*((('Weekly Summary'!AB$131*SelfQuarantine_Mild*'Equipment List &amp; Usage'!$W33)+('Weekly Summary'!AB$100*SelfQuarantine_Mild*'Equipment List &amp; Usage'!$X33)+('Weekly Summary'!AB$101*SelfQuarantine_Moderate*'Equipment List &amp; Usage'!$X33))))+IF('Equipment List &amp; Usage'!$F33="Yes",'Equipment List &amp; Usage'!$C$114*(IF('Equipment List &amp; Usage'!$AA33&gt;0,'Weekly Summary'!AB$128,0)+IF('Equipment List &amp; Usage'!$AB33&gt;0,'Weekly Summary'!AB$100+'Weekly Summary'!AB$101,0)),'Equipment List &amp; Usage'!$C$115*(('Weekly Summary'!AB$128*'Equipment List &amp; Usage'!$AA33)+('Weekly Summary'!AB$100*'Equipment List &amp; Usage'!$AB33*SelfQuarantine_Mild)+('Weekly Summary'!AB$101*'Equipment List &amp; Usage'!$AB33*SelfQuarantine_Moderate)))+IF('Equipment List &amp; Usage'!$F33="Yes",('Equipment List &amp; Usage'!$C$114*(IF('Equipment List &amp; Usage'!$AE33&gt;0,'Weekly Summary'!AB$134,0)+IF('Equipment List &amp; Usage'!$AF33&gt;0,'Weekly Summary'!AB$135))),'Equipment List &amp; Usage'!$C$115*(('Weekly Summary'!AB$134*'Equipment List &amp; Usage'!$AE33)+('Weekly Summary'!AB$135*'Equipment List &amp; Usage'!$AF33)))),0)</f>
        <v>0</v>
      </c>
      <c r="AI31" s="1378">
        <f ca="1">MAX(IF($F31="Yes",(
IF($F31="yes",MMULT(--('Equipment List &amp; Usage'!$J33:$N33&gt;0),--('Weekly Summary'!AC$112:AC$116))*'Equipment List &amp; Usage'!$C$114,MMULT(--('Equipment List &amp; Usage'!$J33:$N33),--('Weekly Summary'!AC$112:AC$116))*'Equipment List &amp; Usage'!$C$115)+IF('Equipment List &amp; Usage'!$F32="yes",'Equipment List &amp; Usage'!$C$114,'Equipment List &amp; Usage'!$C$115)*(('Weekly Summary'!AC$66*'Equipment List &amp; Usage'!$Q33)+('Weekly Summary'!AC$64*'Equipment List &amp; Usage'!$O33)+('Weekly Summary'!AC$65*'Equipment List &amp; Usage'!$P33)))+(IF('Equipment List &amp; Usage'!$F33="Yes",'Equipment List &amp; Usage'!$C$114*((('Weekly Summary'!AC$131*SelfQuarantine_Mild)+('Weekly Summary'!AC$100*SelfQuarantine_Mild)+('Weekly Summary'!AC$101*SelfQuarantine_Moderate))),'Equipment List &amp; Usage'!$C$115)*((('Weekly Summary'!AC$131*SelfQuarantine_Mild*'Equipment List &amp; Usage'!$W33)+('Weekly Summary'!AC$100*SelfQuarantine_Mild*'Equipment List &amp; Usage'!$X33)+('Weekly Summary'!AC$101*SelfQuarantine_Moderate*'Equipment List &amp; Usage'!$X33)))+IF('Equipment List &amp; Usage'!$F33="Yes",'Equipment List &amp; Usage'!$C$114*(IF('Equipment List &amp; Usage'!$AA33&gt;0,'Weekly Summary'!AC$128,0)+IF('Equipment List &amp; Usage'!$AB33&gt;0,'Weekly Summary'!AC$100+'Weekly Summary'!AC$101,0)),'Equipment List &amp; Usage'!$C$115*(('Weekly Summary'!AC$128*'Equipment List &amp; Usage'!$AA33)+('Weekly Summary'!AC$100*'Equipment List &amp; Usage'!$AB33*SelfQuarantine_Mild)+('Weekly Summary'!AC$101*'Equipment List &amp; Usage'!$AB33*SelfQuarantine_Moderate)))+IF('Equipment List &amp; Usage'!$F33="Yes",('Equipment List &amp; Usage'!$C$114*(IF('Equipment List &amp; Usage'!$AE33&gt;0,'Weekly Summary'!AC$134,0)+IF('Equipment List &amp; Usage'!$AF33&gt;0,'Weekly Summary'!AC$135))),'Equipment List &amp; Usage'!$C$115*(('Weekly Summary'!AC$134*'Equipment List &amp; Usage'!$AE33)+('Weekly Summary'!AC$135*'Equipment List &amp; Usage'!$AF33))))-SUM($I31:AH31),
IF($F31="yes",MMULT(--('Equipment List &amp; Usage'!$J33:$N33&gt;0),--('Weekly Summary'!AC$112:AC$116))*'Equipment List &amp; Usage'!$C$114,MMULT(--('Equipment List &amp; Usage'!$J33:$N33),--('Weekly Summary'!AC$112:AC$116))*'Equipment List &amp; Usage'!$C$115)+IF('Equipment List &amp; Usage'!$F32="yes",'Equipment List &amp; Usage'!$C$114,'Equipment List &amp; Usage'!$C$115)*(('Weekly Summary'!AC$66*'Equipment List &amp; Usage'!$Q33)+('Weekly Summary'!AC$64*'Equipment List &amp; Usage'!$O33)+('Weekly Summary'!AC$65*'Equipment List &amp; Usage'!$P33))+(IF('Equipment List &amp; Usage'!$F33="Yes",'Equipment List &amp; Usage'!$C$114*((('Weekly Summary'!AC$131*SelfQuarantine_Mild)+('Weekly Summary'!AC$100*SelfQuarantine_Mild)+('Weekly Summary'!AC$101*SelfQuarantine_Moderate))),'Equipment List &amp; Usage'!$C$115)*((('Weekly Summary'!AC$131*SelfQuarantine_Mild*'Equipment List &amp; Usage'!$W33)+('Weekly Summary'!AC$100*SelfQuarantine_Mild*'Equipment List &amp; Usage'!$X33)+('Weekly Summary'!AC$101*SelfQuarantine_Moderate*'Equipment List &amp; Usage'!$X33))))+IF('Equipment List &amp; Usage'!$F33="Yes",'Equipment List &amp; Usage'!$C$114*(IF('Equipment List &amp; Usage'!$AA33&gt;0,'Weekly Summary'!AC$128,0)+IF('Equipment List &amp; Usage'!$AB33&gt;0,'Weekly Summary'!AC$100+'Weekly Summary'!AC$101,0)),'Equipment List &amp; Usage'!$C$115*(('Weekly Summary'!AC$128*'Equipment List &amp; Usage'!$AA33)+('Weekly Summary'!AC$100*'Equipment List &amp; Usage'!$AB33*SelfQuarantine_Mild)+('Weekly Summary'!AC$101*'Equipment List &amp; Usage'!$AB33*SelfQuarantine_Moderate)))+IF('Equipment List &amp; Usage'!$F33="Yes",('Equipment List &amp; Usage'!$C$114*(IF('Equipment List &amp; Usage'!$AE33&gt;0,'Weekly Summary'!AC$134,0)+IF('Equipment List &amp; Usage'!$AF33&gt;0,'Weekly Summary'!AC$135))),'Equipment List &amp; Usage'!$C$115*(('Weekly Summary'!AC$134*'Equipment List &amp; Usage'!$AE33)+('Weekly Summary'!AC$135*'Equipment List &amp; Usage'!$AF33)))),0)</f>
        <v>0</v>
      </c>
      <c r="AJ31" s="1378">
        <f ca="1">MAX(IF($F31="Yes",(
IF($F31="yes",MMULT(--('Equipment List &amp; Usage'!$J33:$N33&gt;0),--('Weekly Summary'!AD$112:AD$116))*'Equipment List &amp; Usage'!$C$114,MMULT(--('Equipment List &amp; Usage'!$J33:$N33),--('Weekly Summary'!AD$112:AD$116))*'Equipment List &amp; Usage'!$C$115)+IF('Equipment List &amp; Usage'!$F32="yes",'Equipment List &amp; Usage'!$C$114,'Equipment List &amp; Usage'!$C$115)*(('Weekly Summary'!AD$66*'Equipment List &amp; Usage'!$Q33)+('Weekly Summary'!AD$64*'Equipment List &amp; Usage'!$O33)+('Weekly Summary'!AD$65*'Equipment List &amp; Usage'!$P33)))+(IF('Equipment List &amp; Usage'!$F33="Yes",'Equipment List &amp; Usage'!$C$114*((('Weekly Summary'!AD$131*SelfQuarantine_Mild)+('Weekly Summary'!AD$100*SelfQuarantine_Mild)+('Weekly Summary'!AD$101*SelfQuarantine_Moderate))),'Equipment List &amp; Usage'!$C$115)*((('Weekly Summary'!AD$131*SelfQuarantine_Mild*'Equipment List &amp; Usage'!$W33)+('Weekly Summary'!AD$100*SelfQuarantine_Mild*'Equipment List &amp; Usage'!$X33)+('Weekly Summary'!AD$101*SelfQuarantine_Moderate*'Equipment List &amp; Usage'!$X33)))+IF('Equipment List &amp; Usage'!$F33="Yes",'Equipment List &amp; Usage'!$C$114*(IF('Equipment List &amp; Usage'!$AA33&gt;0,'Weekly Summary'!AD$128,0)+IF('Equipment List &amp; Usage'!$AB33&gt;0,'Weekly Summary'!AD$100+'Weekly Summary'!AD$101,0)),'Equipment List &amp; Usage'!$C$115*(('Weekly Summary'!AD$128*'Equipment List &amp; Usage'!$AA33)+('Weekly Summary'!AD$100*'Equipment List &amp; Usage'!$AB33*SelfQuarantine_Mild)+('Weekly Summary'!AD$101*'Equipment List &amp; Usage'!$AB33*SelfQuarantine_Moderate)))+IF('Equipment List &amp; Usage'!$F33="Yes",('Equipment List &amp; Usage'!$C$114*(IF('Equipment List &amp; Usage'!$AE33&gt;0,'Weekly Summary'!AD$134,0)+IF('Equipment List &amp; Usage'!$AF33&gt;0,'Weekly Summary'!AD$135))),'Equipment List &amp; Usage'!$C$115*(('Weekly Summary'!AD$134*'Equipment List &amp; Usage'!$AE33)+('Weekly Summary'!AD$135*'Equipment List &amp; Usage'!$AF33))))-SUM($I31:AI31),
IF($F31="yes",MMULT(--('Equipment List &amp; Usage'!$J33:$N33&gt;0),--('Weekly Summary'!AD$112:AD$116))*'Equipment List &amp; Usage'!$C$114,MMULT(--('Equipment List &amp; Usage'!$J33:$N33),--('Weekly Summary'!AD$112:AD$116))*'Equipment List &amp; Usage'!$C$115)+IF('Equipment List &amp; Usage'!$F32="yes",'Equipment List &amp; Usage'!$C$114,'Equipment List &amp; Usage'!$C$115)*(('Weekly Summary'!AD$66*'Equipment List &amp; Usage'!$Q33)+('Weekly Summary'!AD$64*'Equipment List &amp; Usage'!$O33)+('Weekly Summary'!AD$65*'Equipment List &amp; Usage'!$P33))+(IF('Equipment List &amp; Usage'!$F33="Yes",'Equipment List &amp; Usage'!$C$114*((('Weekly Summary'!AD$131*SelfQuarantine_Mild)+('Weekly Summary'!AD$100*SelfQuarantine_Mild)+('Weekly Summary'!AD$101*SelfQuarantine_Moderate))),'Equipment List &amp; Usage'!$C$115)*((('Weekly Summary'!AD$131*SelfQuarantine_Mild*'Equipment List &amp; Usage'!$W33)+('Weekly Summary'!AD$100*SelfQuarantine_Mild*'Equipment List &amp; Usage'!$X33)+('Weekly Summary'!AD$101*SelfQuarantine_Moderate*'Equipment List &amp; Usage'!$X33))))+IF('Equipment List &amp; Usage'!$F33="Yes",'Equipment List &amp; Usage'!$C$114*(IF('Equipment List &amp; Usage'!$AA33&gt;0,'Weekly Summary'!AD$128,0)+IF('Equipment List &amp; Usage'!$AB33&gt;0,'Weekly Summary'!AD$100+'Weekly Summary'!AD$101,0)),'Equipment List &amp; Usage'!$C$115*(('Weekly Summary'!AD$128*'Equipment List &amp; Usage'!$AA33)+('Weekly Summary'!AD$100*'Equipment List &amp; Usage'!$AB33*SelfQuarantine_Mild)+('Weekly Summary'!AD$101*'Equipment List &amp; Usage'!$AB33*SelfQuarantine_Moderate)))+IF('Equipment List &amp; Usage'!$F33="Yes",('Equipment List &amp; Usage'!$C$114*(IF('Equipment List &amp; Usage'!$AE33&gt;0,'Weekly Summary'!AD$134,0)+IF('Equipment List &amp; Usage'!$AF33&gt;0,'Weekly Summary'!AD$135))),'Equipment List &amp; Usage'!$C$115*(('Weekly Summary'!AD$134*'Equipment List &amp; Usage'!$AE33)+('Weekly Summary'!AD$135*'Equipment List &amp; Usage'!$AF33)))),0)</f>
        <v>0</v>
      </c>
      <c r="AK31" s="1378">
        <f ca="1">MAX(IF($F31="Yes",(
IF($F31="yes",MMULT(--('Equipment List &amp; Usage'!$J33:$N33&gt;0),--('Weekly Summary'!AE$112:AE$116))*'Equipment List &amp; Usage'!$C$114,MMULT(--('Equipment List &amp; Usage'!$J33:$N33),--('Weekly Summary'!AE$112:AE$116))*'Equipment List &amp; Usage'!$C$115)+IF('Equipment List &amp; Usage'!$F32="yes",'Equipment List &amp; Usage'!$C$114,'Equipment List &amp; Usage'!$C$115)*(('Weekly Summary'!AE$66*'Equipment List &amp; Usage'!$Q33)+('Weekly Summary'!AE$64*'Equipment List &amp; Usage'!$O33)+('Weekly Summary'!AE$65*'Equipment List &amp; Usage'!$P33)))+(IF('Equipment List &amp; Usage'!$F33="Yes",'Equipment List &amp; Usage'!$C$114*((('Weekly Summary'!AE$131*SelfQuarantine_Mild)+('Weekly Summary'!AE$100*SelfQuarantine_Mild)+('Weekly Summary'!AE$101*SelfQuarantine_Moderate))),'Equipment List &amp; Usage'!$C$115)*((('Weekly Summary'!AE$131*SelfQuarantine_Mild*'Equipment List &amp; Usage'!$W33)+('Weekly Summary'!AE$100*SelfQuarantine_Mild*'Equipment List &amp; Usage'!$X33)+('Weekly Summary'!AE$101*SelfQuarantine_Moderate*'Equipment List &amp; Usage'!$X33)))+IF('Equipment List &amp; Usage'!$F33="Yes",'Equipment List &amp; Usage'!$C$114*(IF('Equipment List &amp; Usage'!$AA33&gt;0,'Weekly Summary'!AE$128,0)+IF('Equipment List &amp; Usage'!$AB33&gt;0,'Weekly Summary'!AE$100+'Weekly Summary'!AE$101,0)),'Equipment List &amp; Usage'!$C$115*(('Weekly Summary'!AE$128*'Equipment List &amp; Usage'!$AA33)+('Weekly Summary'!AE$100*'Equipment List &amp; Usage'!$AB33*SelfQuarantine_Mild)+('Weekly Summary'!AE$101*'Equipment List &amp; Usage'!$AB33*SelfQuarantine_Moderate)))+IF('Equipment List &amp; Usage'!$F33="Yes",('Equipment List &amp; Usage'!$C$114*(IF('Equipment List &amp; Usage'!$AE33&gt;0,'Weekly Summary'!AE$134,0)+IF('Equipment List &amp; Usage'!$AF33&gt;0,'Weekly Summary'!AE$135))),'Equipment List &amp; Usage'!$C$115*(('Weekly Summary'!AE$134*'Equipment List &amp; Usage'!$AE33)+('Weekly Summary'!AE$135*'Equipment List &amp; Usage'!$AF33))))-SUM($I31:AJ31),
IF($F31="yes",MMULT(--('Equipment List &amp; Usage'!$J33:$N33&gt;0),--('Weekly Summary'!AE$112:AE$116))*'Equipment List &amp; Usage'!$C$114,MMULT(--('Equipment List &amp; Usage'!$J33:$N33),--('Weekly Summary'!AE$112:AE$116))*'Equipment List &amp; Usage'!$C$115)+IF('Equipment List &amp; Usage'!$F32="yes",'Equipment List &amp; Usage'!$C$114,'Equipment List &amp; Usage'!$C$115)*(('Weekly Summary'!AE$66*'Equipment List &amp; Usage'!$Q33)+('Weekly Summary'!AE$64*'Equipment List &amp; Usage'!$O33)+('Weekly Summary'!AE$65*'Equipment List &amp; Usage'!$P33))+(IF('Equipment List &amp; Usage'!$F33="Yes",'Equipment List &amp; Usage'!$C$114*((('Weekly Summary'!AE$131*SelfQuarantine_Mild)+('Weekly Summary'!AE$100*SelfQuarantine_Mild)+('Weekly Summary'!AE$101*SelfQuarantine_Moderate))),'Equipment List &amp; Usage'!$C$115)*((('Weekly Summary'!AE$131*SelfQuarantine_Mild*'Equipment List &amp; Usage'!$W33)+('Weekly Summary'!AE$100*SelfQuarantine_Mild*'Equipment List &amp; Usage'!$X33)+('Weekly Summary'!AE$101*SelfQuarantine_Moderate*'Equipment List &amp; Usage'!$X33))))+IF('Equipment List &amp; Usage'!$F33="Yes",'Equipment List &amp; Usage'!$C$114*(IF('Equipment List &amp; Usage'!$AA33&gt;0,'Weekly Summary'!AE$128,0)+IF('Equipment List &amp; Usage'!$AB33&gt;0,'Weekly Summary'!AE$100+'Weekly Summary'!AE$101,0)),'Equipment List &amp; Usage'!$C$115*(('Weekly Summary'!AE$128*'Equipment List &amp; Usage'!$AA33)+('Weekly Summary'!AE$100*'Equipment List &amp; Usage'!$AB33*SelfQuarantine_Mild)+('Weekly Summary'!AE$101*'Equipment List &amp; Usage'!$AB33*SelfQuarantine_Moderate)))+IF('Equipment List &amp; Usage'!$F33="Yes",('Equipment List &amp; Usage'!$C$114*(IF('Equipment List &amp; Usage'!$AE33&gt;0,'Weekly Summary'!AE$134,0)+IF('Equipment List &amp; Usage'!$AF33&gt;0,'Weekly Summary'!AE$135))),'Equipment List &amp; Usage'!$C$115*(('Weekly Summary'!AE$134*'Equipment List &amp; Usage'!$AE33)+('Weekly Summary'!AE$135*'Equipment List &amp; Usage'!$AF33)))),0)</f>
        <v>0</v>
      </c>
      <c r="AL31" s="1378">
        <f ca="1">MAX(IF($F31="Yes",(
IF($F31="yes",MMULT(--('Equipment List &amp; Usage'!$J33:$N33&gt;0),--('Weekly Summary'!AF$112:AF$116))*'Equipment List &amp; Usage'!$C$114,MMULT(--('Equipment List &amp; Usage'!$J33:$N33),--('Weekly Summary'!AF$112:AF$116))*'Equipment List &amp; Usage'!$C$115)+IF('Equipment List &amp; Usage'!$F32="yes",'Equipment List &amp; Usage'!$C$114,'Equipment List &amp; Usage'!$C$115)*(('Weekly Summary'!AF$66*'Equipment List &amp; Usage'!$Q33)+('Weekly Summary'!AF$64*'Equipment List &amp; Usage'!$O33)+('Weekly Summary'!AF$65*'Equipment List &amp; Usage'!$P33)))+(IF('Equipment List &amp; Usage'!$F33="Yes",'Equipment List &amp; Usage'!$C$114*((('Weekly Summary'!AF$131*SelfQuarantine_Mild)+('Weekly Summary'!AF$100*SelfQuarantine_Mild)+('Weekly Summary'!AF$101*SelfQuarantine_Moderate))),'Equipment List &amp; Usage'!$C$115)*((('Weekly Summary'!AF$131*SelfQuarantine_Mild*'Equipment List &amp; Usage'!$W33)+('Weekly Summary'!AF$100*SelfQuarantine_Mild*'Equipment List &amp; Usage'!$X33)+('Weekly Summary'!AF$101*SelfQuarantine_Moderate*'Equipment List &amp; Usage'!$X33)))+IF('Equipment List &amp; Usage'!$F33="Yes",'Equipment List &amp; Usage'!$C$114*(IF('Equipment List &amp; Usage'!$AA33&gt;0,'Weekly Summary'!AF$128,0)+IF('Equipment List &amp; Usage'!$AB33&gt;0,'Weekly Summary'!AF$100+'Weekly Summary'!AF$101,0)),'Equipment List &amp; Usage'!$C$115*(('Weekly Summary'!AF$128*'Equipment List &amp; Usage'!$AA33)+('Weekly Summary'!AF$100*'Equipment List &amp; Usage'!$AB33*SelfQuarantine_Mild)+('Weekly Summary'!AF$101*'Equipment List &amp; Usage'!$AB33*SelfQuarantine_Moderate)))+IF('Equipment List &amp; Usage'!$F33="Yes",('Equipment List &amp; Usage'!$C$114*(IF('Equipment List &amp; Usage'!$AE33&gt;0,'Weekly Summary'!AF$134,0)+IF('Equipment List &amp; Usage'!$AF33&gt;0,'Weekly Summary'!AF$135))),'Equipment List &amp; Usage'!$C$115*(('Weekly Summary'!AF$134*'Equipment List &amp; Usage'!$AE33)+('Weekly Summary'!AF$135*'Equipment List &amp; Usage'!$AF33))))-SUM($I31:AK31),
IF($F31="yes",MMULT(--('Equipment List &amp; Usage'!$J33:$N33&gt;0),--('Weekly Summary'!AF$112:AF$116))*'Equipment List &amp; Usage'!$C$114,MMULT(--('Equipment List &amp; Usage'!$J33:$N33),--('Weekly Summary'!AF$112:AF$116))*'Equipment List &amp; Usage'!$C$115)+IF('Equipment List &amp; Usage'!$F32="yes",'Equipment List &amp; Usage'!$C$114,'Equipment List &amp; Usage'!$C$115)*(('Weekly Summary'!AF$66*'Equipment List &amp; Usage'!$Q33)+('Weekly Summary'!AF$64*'Equipment List &amp; Usage'!$O33)+('Weekly Summary'!AF$65*'Equipment List &amp; Usage'!$P33))+(IF('Equipment List &amp; Usage'!$F33="Yes",'Equipment List &amp; Usage'!$C$114*((('Weekly Summary'!AF$131*SelfQuarantine_Mild)+('Weekly Summary'!AF$100*SelfQuarantine_Mild)+('Weekly Summary'!AF$101*SelfQuarantine_Moderate))),'Equipment List &amp; Usage'!$C$115)*((('Weekly Summary'!AF$131*SelfQuarantine_Mild*'Equipment List &amp; Usage'!$W33)+('Weekly Summary'!AF$100*SelfQuarantine_Mild*'Equipment List &amp; Usage'!$X33)+('Weekly Summary'!AF$101*SelfQuarantine_Moderate*'Equipment List &amp; Usage'!$X33))))+IF('Equipment List &amp; Usage'!$F33="Yes",'Equipment List &amp; Usage'!$C$114*(IF('Equipment List &amp; Usage'!$AA33&gt;0,'Weekly Summary'!AF$128,0)+IF('Equipment List &amp; Usage'!$AB33&gt;0,'Weekly Summary'!AF$100+'Weekly Summary'!AF$101,0)),'Equipment List &amp; Usage'!$C$115*(('Weekly Summary'!AF$128*'Equipment List &amp; Usage'!$AA33)+('Weekly Summary'!AF$100*'Equipment List &amp; Usage'!$AB33*SelfQuarantine_Mild)+('Weekly Summary'!AF$101*'Equipment List &amp; Usage'!$AB33*SelfQuarantine_Moderate)))+IF('Equipment List &amp; Usage'!$F33="Yes",('Equipment List &amp; Usage'!$C$114*(IF('Equipment List &amp; Usage'!$AE33&gt;0,'Weekly Summary'!AF$134,0)+IF('Equipment List &amp; Usage'!$AF33&gt;0,'Weekly Summary'!AF$135))),'Equipment List &amp; Usage'!$C$115*(('Weekly Summary'!AF$134*'Equipment List &amp; Usage'!$AE33)+('Weekly Summary'!AF$135*'Equipment List &amp; Usage'!$AF33)))),0)</f>
        <v>0</v>
      </c>
      <c r="AM31" s="1378">
        <f ca="1">MAX(IF($F31="Yes",(
IF($F31="yes",MMULT(--('Equipment List &amp; Usage'!$J33:$N33&gt;0),--('Weekly Summary'!AG$112:AG$116))*'Equipment List &amp; Usage'!$C$114,MMULT(--('Equipment List &amp; Usage'!$J33:$N33),--('Weekly Summary'!AG$112:AG$116))*'Equipment List &amp; Usage'!$C$115)+IF('Equipment List &amp; Usage'!$F32="yes",'Equipment List &amp; Usage'!$C$114,'Equipment List &amp; Usage'!$C$115)*(('Weekly Summary'!AG$66*'Equipment List &amp; Usage'!$Q33)+('Weekly Summary'!AG$64*'Equipment List &amp; Usage'!$O33)+('Weekly Summary'!AG$65*'Equipment List &amp; Usage'!$P33)))+(IF('Equipment List &amp; Usage'!$F33="Yes",'Equipment List &amp; Usage'!$C$114*((('Weekly Summary'!AG$131*SelfQuarantine_Mild)+('Weekly Summary'!AG$100*SelfQuarantine_Mild)+('Weekly Summary'!AG$101*SelfQuarantine_Moderate))),'Equipment List &amp; Usage'!$C$115)*((('Weekly Summary'!AG$131*SelfQuarantine_Mild*'Equipment List &amp; Usage'!$W33)+('Weekly Summary'!AG$100*SelfQuarantine_Mild*'Equipment List &amp; Usage'!$X33)+('Weekly Summary'!AG$101*SelfQuarantine_Moderate*'Equipment List &amp; Usage'!$X33)))+IF('Equipment List &amp; Usage'!$F33="Yes",'Equipment List &amp; Usage'!$C$114*(IF('Equipment List &amp; Usage'!$AA33&gt;0,'Weekly Summary'!AG$128,0)+IF('Equipment List &amp; Usage'!$AB33&gt;0,'Weekly Summary'!AG$100+'Weekly Summary'!AG$101,0)),'Equipment List &amp; Usage'!$C$115*(('Weekly Summary'!AG$128*'Equipment List &amp; Usage'!$AA33)+('Weekly Summary'!AG$100*'Equipment List &amp; Usage'!$AB33*SelfQuarantine_Mild)+('Weekly Summary'!AG$101*'Equipment List &amp; Usage'!$AB33*SelfQuarantine_Moderate)))+IF('Equipment List &amp; Usage'!$F33="Yes",('Equipment List &amp; Usage'!$C$114*(IF('Equipment List &amp; Usage'!$AE33&gt;0,'Weekly Summary'!AG$134,0)+IF('Equipment List &amp; Usage'!$AF33&gt;0,'Weekly Summary'!AG$135))),'Equipment List &amp; Usage'!$C$115*(('Weekly Summary'!AG$134*'Equipment List &amp; Usage'!$AE33)+('Weekly Summary'!AG$135*'Equipment List &amp; Usage'!$AF33))))-SUM($I31:AL31),
IF($F31="yes",MMULT(--('Equipment List &amp; Usage'!$J33:$N33&gt;0),--('Weekly Summary'!AG$112:AG$116))*'Equipment List &amp; Usage'!$C$114,MMULT(--('Equipment List &amp; Usage'!$J33:$N33),--('Weekly Summary'!AG$112:AG$116))*'Equipment List &amp; Usage'!$C$115)+IF('Equipment List &amp; Usage'!$F32="yes",'Equipment List &amp; Usage'!$C$114,'Equipment List &amp; Usage'!$C$115)*(('Weekly Summary'!AG$66*'Equipment List &amp; Usage'!$Q33)+('Weekly Summary'!AG$64*'Equipment List &amp; Usage'!$O33)+('Weekly Summary'!AG$65*'Equipment List &amp; Usage'!$P33))+(IF('Equipment List &amp; Usage'!$F33="Yes",'Equipment List &amp; Usage'!$C$114*((('Weekly Summary'!AG$131*SelfQuarantine_Mild)+('Weekly Summary'!AG$100*SelfQuarantine_Mild)+('Weekly Summary'!AG$101*SelfQuarantine_Moderate))),'Equipment List &amp; Usage'!$C$115)*((('Weekly Summary'!AG$131*SelfQuarantine_Mild*'Equipment List &amp; Usage'!$W33)+('Weekly Summary'!AG$100*SelfQuarantine_Mild*'Equipment List &amp; Usage'!$X33)+('Weekly Summary'!AG$101*SelfQuarantine_Moderate*'Equipment List &amp; Usage'!$X33))))+IF('Equipment List &amp; Usage'!$F33="Yes",'Equipment List &amp; Usage'!$C$114*(IF('Equipment List &amp; Usage'!$AA33&gt;0,'Weekly Summary'!AG$128,0)+IF('Equipment List &amp; Usage'!$AB33&gt;0,'Weekly Summary'!AG$100+'Weekly Summary'!AG$101,0)),'Equipment List &amp; Usage'!$C$115*(('Weekly Summary'!AG$128*'Equipment List &amp; Usage'!$AA33)+('Weekly Summary'!AG$100*'Equipment List &amp; Usage'!$AB33*SelfQuarantine_Mild)+('Weekly Summary'!AG$101*'Equipment List &amp; Usage'!$AB33*SelfQuarantine_Moderate)))+IF('Equipment List &amp; Usage'!$F33="Yes",('Equipment List &amp; Usage'!$C$114*(IF('Equipment List &amp; Usage'!$AE33&gt;0,'Weekly Summary'!AG$134,0)+IF('Equipment List &amp; Usage'!$AF33&gt;0,'Weekly Summary'!AG$135))),'Equipment List &amp; Usage'!$C$115*(('Weekly Summary'!AG$134*'Equipment List &amp; Usage'!$AE33)+('Weekly Summary'!AG$135*'Equipment List &amp; Usage'!$AF33)))),0)</f>
        <v>0</v>
      </c>
      <c r="AN31" s="1378">
        <f ca="1">MAX(IF($F31="Yes",(
IF($F31="yes",MMULT(--('Equipment List &amp; Usage'!$J33:$N33&gt;0),--('Weekly Summary'!AH$112:AH$116))*'Equipment List &amp; Usage'!$C$114,MMULT(--('Equipment List &amp; Usage'!$J33:$N33),--('Weekly Summary'!AH$112:AH$116))*'Equipment List &amp; Usage'!$C$115)+IF('Equipment List &amp; Usage'!$F32="yes",'Equipment List &amp; Usage'!$C$114,'Equipment List &amp; Usage'!$C$115)*(('Weekly Summary'!AH$66*'Equipment List &amp; Usage'!$Q33)+('Weekly Summary'!AH$64*'Equipment List &amp; Usage'!$O33)+('Weekly Summary'!AH$65*'Equipment List &amp; Usage'!$P33)))+(IF('Equipment List &amp; Usage'!$F33="Yes",'Equipment List &amp; Usage'!$C$114*((('Weekly Summary'!AH$131*SelfQuarantine_Mild)+('Weekly Summary'!AH$100*SelfQuarantine_Mild)+('Weekly Summary'!AH$101*SelfQuarantine_Moderate))),'Equipment List &amp; Usage'!$C$115)*((('Weekly Summary'!AH$131*SelfQuarantine_Mild*'Equipment List &amp; Usage'!$W33)+('Weekly Summary'!AH$100*SelfQuarantine_Mild*'Equipment List &amp; Usage'!$X33)+('Weekly Summary'!AH$101*SelfQuarantine_Moderate*'Equipment List &amp; Usage'!$X33)))+IF('Equipment List &amp; Usage'!$F33="Yes",'Equipment List &amp; Usage'!$C$114*(IF('Equipment List &amp; Usage'!$AA33&gt;0,'Weekly Summary'!AH$128,0)+IF('Equipment List &amp; Usage'!$AB33&gt;0,'Weekly Summary'!AH$100+'Weekly Summary'!AH$101,0)),'Equipment List &amp; Usage'!$C$115*(('Weekly Summary'!AH$128*'Equipment List &amp; Usage'!$AA33)+('Weekly Summary'!AH$100*'Equipment List &amp; Usage'!$AB33*SelfQuarantine_Mild)+('Weekly Summary'!AH$101*'Equipment List &amp; Usage'!$AB33*SelfQuarantine_Moderate)))+IF('Equipment List &amp; Usage'!$F33="Yes",('Equipment List &amp; Usage'!$C$114*(IF('Equipment List &amp; Usage'!$AE33&gt;0,'Weekly Summary'!AH$134,0)+IF('Equipment List &amp; Usage'!$AF33&gt;0,'Weekly Summary'!AH$135))),'Equipment List &amp; Usage'!$C$115*(('Weekly Summary'!AH$134*'Equipment List &amp; Usage'!$AE33)+('Weekly Summary'!AH$135*'Equipment List &amp; Usage'!$AF33))))-SUM($I31:AM31),
IF($F31="yes",MMULT(--('Equipment List &amp; Usage'!$J33:$N33&gt;0),--('Weekly Summary'!AH$112:AH$116))*'Equipment List &amp; Usage'!$C$114,MMULT(--('Equipment List &amp; Usage'!$J33:$N33),--('Weekly Summary'!AH$112:AH$116))*'Equipment List &amp; Usage'!$C$115)+IF('Equipment List &amp; Usage'!$F32="yes",'Equipment List &amp; Usage'!$C$114,'Equipment List &amp; Usage'!$C$115)*(('Weekly Summary'!AH$66*'Equipment List &amp; Usage'!$Q33)+('Weekly Summary'!AH$64*'Equipment List &amp; Usage'!$O33)+('Weekly Summary'!AH$65*'Equipment List &amp; Usage'!$P33))+(IF('Equipment List &amp; Usage'!$F33="Yes",'Equipment List &amp; Usage'!$C$114*((('Weekly Summary'!AH$131*SelfQuarantine_Mild)+('Weekly Summary'!AH$100*SelfQuarantine_Mild)+('Weekly Summary'!AH$101*SelfQuarantine_Moderate))),'Equipment List &amp; Usage'!$C$115)*((('Weekly Summary'!AH$131*SelfQuarantine_Mild*'Equipment List &amp; Usage'!$W33)+('Weekly Summary'!AH$100*SelfQuarantine_Mild*'Equipment List &amp; Usage'!$X33)+('Weekly Summary'!AH$101*SelfQuarantine_Moderate*'Equipment List &amp; Usage'!$X33))))+IF('Equipment List &amp; Usage'!$F33="Yes",'Equipment List &amp; Usage'!$C$114*(IF('Equipment List &amp; Usage'!$AA33&gt;0,'Weekly Summary'!AH$128,0)+IF('Equipment List &amp; Usage'!$AB33&gt;0,'Weekly Summary'!AH$100+'Weekly Summary'!AH$101,0)),'Equipment List &amp; Usage'!$C$115*(('Weekly Summary'!AH$128*'Equipment List &amp; Usage'!$AA33)+('Weekly Summary'!AH$100*'Equipment List &amp; Usage'!$AB33*SelfQuarantine_Mild)+('Weekly Summary'!AH$101*'Equipment List &amp; Usage'!$AB33*SelfQuarantine_Moderate)))+IF('Equipment List &amp; Usage'!$F33="Yes",('Equipment List &amp; Usage'!$C$114*(IF('Equipment List &amp; Usage'!$AE33&gt;0,'Weekly Summary'!AH$134,0)+IF('Equipment List &amp; Usage'!$AF33&gt;0,'Weekly Summary'!AH$135))),'Equipment List &amp; Usage'!$C$115*(('Weekly Summary'!AH$134*'Equipment List &amp; Usage'!$AE33)+('Weekly Summary'!AH$135*'Equipment List &amp; Usage'!$AF33)))),0)</f>
        <v>0</v>
      </c>
      <c r="AO31" s="1378">
        <f ca="1">MAX(IF($F31="Yes",(
IF($F31="yes",MMULT(--('Equipment List &amp; Usage'!$J33:$N33&gt;0),--('Weekly Summary'!AI$112:AI$116))*'Equipment List &amp; Usage'!$C$114,MMULT(--('Equipment List &amp; Usage'!$J33:$N33),--('Weekly Summary'!AI$112:AI$116))*'Equipment List &amp; Usage'!$C$115)+IF('Equipment List &amp; Usage'!$F32="yes",'Equipment List &amp; Usage'!$C$114,'Equipment List &amp; Usage'!$C$115)*(('Weekly Summary'!AI$66*'Equipment List &amp; Usage'!$Q33)+('Weekly Summary'!AI$64*'Equipment List &amp; Usage'!$O33)+('Weekly Summary'!AI$65*'Equipment List &amp; Usage'!$P33)))+(IF('Equipment List &amp; Usage'!$F33="Yes",'Equipment List &amp; Usage'!$C$114*((('Weekly Summary'!AI$131*SelfQuarantine_Mild)+('Weekly Summary'!AI$100*SelfQuarantine_Mild)+('Weekly Summary'!AI$101*SelfQuarantine_Moderate))),'Equipment List &amp; Usage'!$C$115)*((('Weekly Summary'!AI$131*SelfQuarantine_Mild*'Equipment List &amp; Usage'!$W33)+('Weekly Summary'!AI$100*SelfQuarantine_Mild*'Equipment List &amp; Usage'!$X33)+('Weekly Summary'!AI$101*SelfQuarantine_Moderate*'Equipment List &amp; Usage'!$X33)))+IF('Equipment List &amp; Usage'!$F33="Yes",'Equipment List &amp; Usage'!$C$114*(IF('Equipment List &amp; Usage'!$AA33&gt;0,'Weekly Summary'!AI$128,0)+IF('Equipment List &amp; Usage'!$AB33&gt;0,'Weekly Summary'!AI$100+'Weekly Summary'!AI$101,0)),'Equipment List &amp; Usage'!$C$115*(('Weekly Summary'!AI$128*'Equipment List &amp; Usage'!$AA33)+('Weekly Summary'!AI$100*'Equipment List &amp; Usage'!$AB33*SelfQuarantine_Mild)+('Weekly Summary'!AI$101*'Equipment List &amp; Usage'!$AB33*SelfQuarantine_Moderate)))+IF('Equipment List &amp; Usage'!$F33="Yes",('Equipment List &amp; Usage'!$C$114*(IF('Equipment List &amp; Usage'!$AE33&gt;0,'Weekly Summary'!AI$134,0)+IF('Equipment List &amp; Usage'!$AF33&gt;0,'Weekly Summary'!AI$135))),'Equipment List &amp; Usage'!$C$115*(('Weekly Summary'!AI$134*'Equipment List &amp; Usage'!$AE33)+('Weekly Summary'!AI$135*'Equipment List &amp; Usage'!$AF33))))-SUM($I31:AN31),
IF($F31="yes",MMULT(--('Equipment List &amp; Usage'!$J33:$N33&gt;0),--('Weekly Summary'!AI$112:AI$116))*'Equipment List &amp; Usage'!$C$114,MMULT(--('Equipment List &amp; Usage'!$J33:$N33),--('Weekly Summary'!AI$112:AI$116))*'Equipment List &amp; Usage'!$C$115)+IF('Equipment List &amp; Usage'!$F32="yes",'Equipment List &amp; Usage'!$C$114,'Equipment List &amp; Usage'!$C$115)*(('Weekly Summary'!AI$66*'Equipment List &amp; Usage'!$Q33)+('Weekly Summary'!AI$64*'Equipment List &amp; Usage'!$O33)+('Weekly Summary'!AI$65*'Equipment List &amp; Usage'!$P33))+(IF('Equipment List &amp; Usage'!$F33="Yes",'Equipment List &amp; Usage'!$C$114*((('Weekly Summary'!AI$131*SelfQuarantine_Mild)+('Weekly Summary'!AI$100*SelfQuarantine_Mild)+('Weekly Summary'!AI$101*SelfQuarantine_Moderate))),'Equipment List &amp; Usage'!$C$115)*((('Weekly Summary'!AI$131*SelfQuarantine_Mild*'Equipment List &amp; Usage'!$W33)+('Weekly Summary'!AI$100*SelfQuarantine_Mild*'Equipment List &amp; Usage'!$X33)+('Weekly Summary'!AI$101*SelfQuarantine_Moderate*'Equipment List &amp; Usage'!$X33))))+IF('Equipment List &amp; Usage'!$F33="Yes",'Equipment List &amp; Usage'!$C$114*(IF('Equipment List &amp; Usage'!$AA33&gt;0,'Weekly Summary'!AI$128,0)+IF('Equipment List &amp; Usage'!$AB33&gt;0,'Weekly Summary'!AI$100+'Weekly Summary'!AI$101,0)),'Equipment List &amp; Usage'!$C$115*(('Weekly Summary'!AI$128*'Equipment List &amp; Usage'!$AA33)+('Weekly Summary'!AI$100*'Equipment List &amp; Usage'!$AB33*SelfQuarantine_Mild)+('Weekly Summary'!AI$101*'Equipment List &amp; Usage'!$AB33*SelfQuarantine_Moderate)))+IF('Equipment List &amp; Usage'!$F33="Yes",('Equipment List &amp; Usage'!$C$114*(IF('Equipment List &amp; Usage'!$AE33&gt;0,'Weekly Summary'!AI$134,0)+IF('Equipment List &amp; Usage'!$AF33&gt;0,'Weekly Summary'!AI$135))),'Equipment List &amp; Usage'!$C$115*(('Weekly Summary'!AI$134*'Equipment List &amp; Usage'!$AE33)+('Weekly Summary'!AI$135*'Equipment List &amp; Usage'!$AF33)))),0)</f>
        <v>0</v>
      </c>
      <c r="AP31" s="1378">
        <f ca="1">MAX(IF($F31="Yes",(
IF($F31="yes",MMULT(--('Equipment List &amp; Usage'!$J33:$N33&gt;0),--('Weekly Summary'!AJ$112:AJ$116))*'Equipment List &amp; Usage'!$C$114,MMULT(--('Equipment List &amp; Usage'!$J33:$N33),--('Weekly Summary'!AJ$112:AJ$116))*'Equipment List &amp; Usage'!$C$115)+IF('Equipment List &amp; Usage'!$F32="yes",'Equipment List &amp; Usage'!$C$114,'Equipment List &amp; Usage'!$C$115)*(('Weekly Summary'!AJ$66*'Equipment List &amp; Usage'!$Q33)+('Weekly Summary'!AJ$64*'Equipment List &amp; Usage'!$O33)+('Weekly Summary'!AJ$65*'Equipment List &amp; Usage'!$P33)))+(IF('Equipment List &amp; Usage'!$F33="Yes",'Equipment List &amp; Usage'!$C$114*((('Weekly Summary'!AJ$131*SelfQuarantine_Mild)+('Weekly Summary'!AJ$100*SelfQuarantine_Mild)+('Weekly Summary'!AJ$101*SelfQuarantine_Moderate))),'Equipment List &amp; Usage'!$C$115)*((('Weekly Summary'!AJ$131*SelfQuarantine_Mild*'Equipment List &amp; Usage'!$W33)+('Weekly Summary'!AJ$100*SelfQuarantine_Mild*'Equipment List &amp; Usage'!$X33)+('Weekly Summary'!AJ$101*SelfQuarantine_Moderate*'Equipment List &amp; Usage'!$X33)))+IF('Equipment List &amp; Usage'!$F33="Yes",'Equipment List &amp; Usage'!$C$114*(IF('Equipment List &amp; Usage'!$AA33&gt;0,'Weekly Summary'!AJ$128,0)+IF('Equipment List &amp; Usage'!$AB33&gt;0,'Weekly Summary'!AJ$100+'Weekly Summary'!AJ$101,0)),'Equipment List &amp; Usage'!$C$115*(('Weekly Summary'!AJ$128*'Equipment List &amp; Usage'!$AA33)+('Weekly Summary'!AJ$100*'Equipment List &amp; Usage'!$AB33*SelfQuarantine_Mild)+('Weekly Summary'!AJ$101*'Equipment List &amp; Usage'!$AB33*SelfQuarantine_Moderate)))+IF('Equipment List &amp; Usage'!$F33="Yes",('Equipment List &amp; Usage'!$C$114*(IF('Equipment List &amp; Usage'!$AE33&gt;0,'Weekly Summary'!AJ$134,0)+IF('Equipment List &amp; Usage'!$AF33&gt;0,'Weekly Summary'!AJ$135))),'Equipment List &amp; Usage'!$C$115*(('Weekly Summary'!AJ$134*'Equipment List &amp; Usage'!$AE33)+('Weekly Summary'!AJ$135*'Equipment List &amp; Usage'!$AF33))))-SUM($I31:AO31),
IF($F31="yes",MMULT(--('Equipment List &amp; Usage'!$J33:$N33&gt;0),--('Weekly Summary'!AJ$112:AJ$116))*'Equipment List &amp; Usage'!$C$114,MMULT(--('Equipment List &amp; Usage'!$J33:$N33),--('Weekly Summary'!AJ$112:AJ$116))*'Equipment List &amp; Usage'!$C$115)+IF('Equipment List &amp; Usage'!$F32="yes",'Equipment List &amp; Usage'!$C$114,'Equipment List &amp; Usage'!$C$115)*(('Weekly Summary'!AJ$66*'Equipment List &amp; Usage'!$Q33)+('Weekly Summary'!AJ$64*'Equipment List &amp; Usage'!$O33)+('Weekly Summary'!AJ$65*'Equipment List &amp; Usage'!$P33))+(IF('Equipment List &amp; Usage'!$F33="Yes",'Equipment List &amp; Usage'!$C$114*((('Weekly Summary'!AJ$131*SelfQuarantine_Mild)+('Weekly Summary'!AJ$100*SelfQuarantine_Mild)+('Weekly Summary'!AJ$101*SelfQuarantine_Moderate))),'Equipment List &amp; Usage'!$C$115)*((('Weekly Summary'!AJ$131*SelfQuarantine_Mild*'Equipment List &amp; Usage'!$W33)+('Weekly Summary'!AJ$100*SelfQuarantine_Mild*'Equipment List &amp; Usage'!$X33)+('Weekly Summary'!AJ$101*SelfQuarantine_Moderate*'Equipment List &amp; Usage'!$X33))))+IF('Equipment List &amp; Usage'!$F33="Yes",'Equipment List &amp; Usage'!$C$114*(IF('Equipment List &amp; Usage'!$AA33&gt;0,'Weekly Summary'!AJ$128,0)+IF('Equipment List &amp; Usage'!$AB33&gt;0,'Weekly Summary'!AJ$100+'Weekly Summary'!AJ$101,0)),'Equipment List &amp; Usage'!$C$115*(('Weekly Summary'!AJ$128*'Equipment List &amp; Usage'!$AA33)+('Weekly Summary'!AJ$100*'Equipment List &amp; Usage'!$AB33*SelfQuarantine_Mild)+('Weekly Summary'!AJ$101*'Equipment List &amp; Usage'!$AB33*SelfQuarantine_Moderate)))+IF('Equipment List &amp; Usage'!$F33="Yes",('Equipment List &amp; Usage'!$C$114*(IF('Equipment List &amp; Usage'!$AE33&gt;0,'Weekly Summary'!AJ$134,0)+IF('Equipment List &amp; Usage'!$AF33&gt;0,'Weekly Summary'!AJ$135))),'Equipment List &amp; Usage'!$C$115*(('Weekly Summary'!AJ$134*'Equipment List &amp; Usage'!$AE33)+('Weekly Summary'!AJ$135*'Equipment List &amp; Usage'!$AF33)))),0)</f>
        <v>0</v>
      </c>
      <c r="AQ31" s="1378">
        <f ca="1">MAX(IF($F31="Yes",(
IF($F31="yes",MMULT(--('Equipment List &amp; Usage'!$J33:$N33&gt;0),--('Weekly Summary'!AK$112:AK$116))*'Equipment List &amp; Usage'!$C$114,MMULT(--('Equipment List &amp; Usage'!$J33:$N33),--('Weekly Summary'!AK$112:AK$116))*'Equipment List &amp; Usage'!$C$115)+IF('Equipment List &amp; Usage'!$F32="yes",'Equipment List &amp; Usage'!$C$114,'Equipment List &amp; Usage'!$C$115)*(('Weekly Summary'!AK$66*'Equipment List &amp; Usage'!$Q33)+('Weekly Summary'!AK$64*'Equipment List &amp; Usage'!$O33)+('Weekly Summary'!AK$65*'Equipment List &amp; Usage'!$P33)))+(IF('Equipment List &amp; Usage'!$F33="Yes",'Equipment List &amp; Usage'!$C$114*((('Weekly Summary'!AK$131*SelfQuarantine_Mild)+('Weekly Summary'!AK$100*SelfQuarantine_Mild)+('Weekly Summary'!AK$101*SelfQuarantine_Moderate))),'Equipment List &amp; Usage'!$C$115)*((('Weekly Summary'!AK$131*SelfQuarantine_Mild*'Equipment List &amp; Usage'!$W33)+('Weekly Summary'!AK$100*SelfQuarantine_Mild*'Equipment List &amp; Usage'!$X33)+('Weekly Summary'!AK$101*SelfQuarantine_Moderate*'Equipment List &amp; Usage'!$X33)))+IF('Equipment List &amp; Usage'!$F33="Yes",'Equipment List &amp; Usage'!$C$114*(IF('Equipment List &amp; Usage'!$AA33&gt;0,'Weekly Summary'!AK$128,0)+IF('Equipment List &amp; Usage'!$AB33&gt;0,'Weekly Summary'!AK$100+'Weekly Summary'!AK$101,0)),'Equipment List &amp; Usage'!$C$115*(('Weekly Summary'!AK$128*'Equipment List &amp; Usage'!$AA33)+('Weekly Summary'!AK$100*'Equipment List &amp; Usage'!$AB33*SelfQuarantine_Mild)+('Weekly Summary'!AK$101*'Equipment List &amp; Usage'!$AB33*SelfQuarantine_Moderate)))+IF('Equipment List &amp; Usage'!$F33="Yes",('Equipment List &amp; Usage'!$C$114*(IF('Equipment List &amp; Usage'!$AE33&gt;0,'Weekly Summary'!AK$134,0)+IF('Equipment List &amp; Usage'!$AF33&gt;0,'Weekly Summary'!AK$135))),'Equipment List &amp; Usage'!$C$115*(('Weekly Summary'!AK$134*'Equipment List &amp; Usage'!$AE33)+('Weekly Summary'!AK$135*'Equipment List &amp; Usage'!$AF33))))-SUM($I31:AP31),
IF($F31="yes",MMULT(--('Equipment List &amp; Usage'!$J33:$N33&gt;0),--('Weekly Summary'!AK$112:AK$116))*'Equipment List &amp; Usage'!$C$114,MMULT(--('Equipment List &amp; Usage'!$J33:$N33),--('Weekly Summary'!AK$112:AK$116))*'Equipment List &amp; Usage'!$C$115)+IF('Equipment List &amp; Usage'!$F32="yes",'Equipment List &amp; Usage'!$C$114,'Equipment List &amp; Usage'!$C$115)*(('Weekly Summary'!AK$66*'Equipment List &amp; Usage'!$Q33)+('Weekly Summary'!AK$64*'Equipment List &amp; Usage'!$O33)+('Weekly Summary'!AK$65*'Equipment List &amp; Usage'!$P33))+(IF('Equipment List &amp; Usage'!$F33="Yes",'Equipment List &amp; Usage'!$C$114*((('Weekly Summary'!AK$131*SelfQuarantine_Mild)+('Weekly Summary'!AK$100*SelfQuarantine_Mild)+('Weekly Summary'!AK$101*SelfQuarantine_Moderate))),'Equipment List &amp; Usage'!$C$115)*((('Weekly Summary'!AK$131*SelfQuarantine_Mild*'Equipment List &amp; Usage'!$W33)+('Weekly Summary'!AK$100*SelfQuarantine_Mild*'Equipment List &amp; Usage'!$X33)+('Weekly Summary'!AK$101*SelfQuarantine_Moderate*'Equipment List &amp; Usage'!$X33))))+IF('Equipment List &amp; Usage'!$F33="Yes",'Equipment List &amp; Usage'!$C$114*(IF('Equipment List &amp; Usage'!$AA33&gt;0,'Weekly Summary'!AK$128,0)+IF('Equipment List &amp; Usage'!$AB33&gt;0,'Weekly Summary'!AK$100+'Weekly Summary'!AK$101,0)),'Equipment List &amp; Usage'!$C$115*(('Weekly Summary'!AK$128*'Equipment List &amp; Usage'!$AA33)+('Weekly Summary'!AK$100*'Equipment List &amp; Usage'!$AB33*SelfQuarantine_Mild)+('Weekly Summary'!AK$101*'Equipment List &amp; Usage'!$AB33*SelfQuarantine_Moderate)))+IF('Equipment List &amp; Usage'!$F33="Yes",('Equipment List &amp; Usage'!$C$114*(IF('Equipment List &amp; Usage'!$AE33&gt;0,'Weekly Summary'!AK$134,0)+IF('Equipment List &amp; Usage'!$AF33&gt;0,'Weekly Summary'!AK$135))),'Equipment List &amp; Usage'!$C$115*(('Weekly Summary'!AK$134*'Equipment List &amp; Usage'!$AE33)+('Weekly Summary'!AK$135*'Equipment List &amp; Usage'!$AF33)))),0)</f>
        <v>0</v>
      </c>
      <c r="AR31" s="1378">
        <f ca="1">MAX(IF($F31="Yes",(
IF($F31="yes",MMULT(--('Equipment List &amp; Usage'!$J33:$N33&gt;0),--('Weekly Summary'!AL$112:AL$116))*'Equipment List &amp; Usage'!$C$114,MMULT(--('Equipment List &amp; Usage'!$J33:$N33),--('Weekly Summary'!AL$112:AL$116))*'Equipment List &amp; Usage'!$C$115)+IF('Equipment List &amp; Usage'!$F32="yes",'Equipment List &amp; Usage'!$C$114,'Equipment List &amp; Usage'!$C$115)*(('Weekly Summary'!AL$66*'Equipment List &amp; Usage'!$Q33)+('Weekly Summary'!AL$64*'Equipment List &amp; Usage'!$O33)+('Weekly Summary'!AL$65*'Equipment List &amp; Usage'!$P33)))+(IF('Equipment List &amp; Usage'!$F33="Yes",'Equipment List &amp; Usage'!$C$114*((('Weekly Summary'!AL$131*SelfQuarantine_Mild)+('Weekly Summary'!AL$100*SelfQuarantine_Mild)+('Weekly Summary'!AL$101*SelfQuarantine_Moderate))),'Equipment List &amp; Usage'!$C$115)*((('Weekly Summary'!AL$131*SelfQuarantine_Mild*'Equipment List &amp; Usage'!$W33)+('Weekly Summary'!AL$100*SelfQuarantine_Mild*'Equipment List &amp; Usage'!$X33)+('Weekly Summary'!AL$101*SelfQuarantine_Moderate*'Equipment List &amp; Usage'!$X33)))+IF('Equipment List &amp; Usage'!$F33="Yes",'Equipment List &amp; Usage'!$C$114*(IF('Equipment List &amp; Usage'!$AA33&gt;0,'Weekly Summary'!AL$128,0)+IF('Equipment List &amp; Usage'!$AB33&gt;0,'Weekly Summary'!AL$100+'Weekly Summary'!AL$101,0)),'Equipment List &amp; Usage'!$C$115*(('Weekly Summary'!AL$128*'Equipment List &amp; Usage'!$AA33)+('Weekly Summary'!AL$100*'Equipment List &amp; Usage'!$AB33*SelfQuarantine_Mild)+('Weekly Summary'!AL$101*'Equipment List &amp; Usage'!$AB33*SelfQuarantine_Moderate)))+IF('Equipment List &amp; Usage'!$F33="Yes",('Equipment List &amp; Usage'!$C$114*(IF('Equipment List &amp; Usage'!$AE33&gt;0,'Weekly Summary'!AL$134,0)+IF('Equipment List &amp; Usage'!$AF33&gt;0,'Weekly Summary'!AL$135))),'Equipment List &amp; Usage'!$C$115*(('Weekly Summary'!AL$134*'Equipment List &amp; Usage'!$AE33)+('Weekly Summary'!AL$135*'Equipment List &amp; Usage'!$AF33))))-SUM($I31:AQ31),
IF($F31="yes",MMULT(--('Equipment List &amp; Usage'!$J33:$N33&gt;0),--('Weekly Summary'!AL$112:AL$116))*'Equipment List &amp; Usage'!$C$114,MMULT(--('Equipment List &amp; Usage'!$J33:$N33),--('Weekly Summary'!AL$112:AL$116))*'Equipment List &amp; Usage'!$C$115)+IF('Equipment List &amp; Usage'!$F32="yes",'Equipment List &amp; Usage'!$C$114,'Equipment List &amp; Usage'!$C$115)*(('Weekly Summary'!AL$66*'Equipment List &amp; Usage'!$Q33)+('Weekly Summary'!AL$64*'Equipment List &amp; Usage'!$O33)+('Weekly Summary'!AL$65*'Equipment List &amp; Usage'!$P33))+(IF('Equipment List &amp; Usage'!$F33="Yes",'Equipment List &amp; Usage'!$C$114*((('Weekly Summary'!AL$131*SelfQuarantine_Mild)+('Weekly Summary'!AL$100*SelfQuarantine_Mild)+('Weekly Summary'!AL$101*SelfQuarantine_Moderate))),'Equipment List &amp; Usage'!$C$115)*((('Weekly Summary'!AL$131*SelfQuarantine_Mild*'Equipment List &amp; Usage'!$W33)+('Weekly Summary'!AL$100*SelfQuarantine_Mild*'Equipment List &amp; Usage'!$X33)+('Weekly Summary'!AL$101*SelfQuarantine_Moderate*'Equipment List &amp; Usage'!$X33))))+IF('Equipment List &amp; Usage'!$F33="Yes",'Equipment List &amp; Usage'!$C$114*(IF('Equipment List &amp; Usage'!$AA33&gt;0,'Weekly Summary'!AL$128,0)+IF('Equipment List &amp; Usage'!$AB33&gt;0,'Weekly Summary'!AL$100+'Weekly Summary'!AL$101,0)),'Equipment List &amp; Usage'!$C$115*(('Weekly Summary'!AL$128*'Equipment List &amp; Usage'!$AA33)+('Weekly Summary'!AL$100*'Equipment List &amp; Usage'!$AB33*SelfQuarantine_Mild)+('Weekly Summary'!AL$101*'Equipment List &amp; Usage'!$AB33*SelfQuarantine_Moderate)))+IF('Equipment List &amp; Usage'!$F33="Yes",('Equipment List &amp; Usage'!$C$114*(IF('Equipment List &amp; Usage'!$AE33&gt;0,'Weekly Summary'!AL$134,0)+IF('Equipment List &amp; Usage'!$AF33&gt;0,'Weekly Summary'!AL$135))),'Equipment List &amp; Usage'!$C$115*(('Weekly Summary'!AL$134*'Equipment List &amp; Usage'!$AE33)+('Weekly Summary'!AL$135*'Equipment List &amp; Usage'!$AF33)))),0)</f>
        <v>0</v>
      </c>
      <c r="AS31" s="1378">
        <f ca="1">MAX(IF($F31="Yes",(
IF($F31="yes",MMULT(--('Equipment List &amp; Usage'!$J33:$N33&gt;0),--('Weekly Summary'!AM$112:AM$116))*'Equipment List &amp; Usage'!$C$114,MMULT(--('Equipment List &amp; Usage'!$J33:$N33),--('Weekly Summary'!AM$112:AM$116))*'Equipment List &amp; Usage'!$C$115)+IF('Equipment List &amp; Usage'!$F32="yes",'Equipment List &amp; Usage'!$C$114,'Equipment List &amp; Usage'!$C$115)*(('Weekly Summary'!AM$66*'Equipment List &amp; Usage'!$Q33)+('Weekly Summary'!AM$64*'Equipment List &amp; Usage'!$O33)+('Weekly Summary'!AM$65*'Equipment List &amp; Usage'!$P33)))+(IF('Equipment List &amp; Usage'!$F33="Yes",'Equipment List &amp; Usage'!$C$114*((('Weekly Summary'!AM$131*SelfQuarantine_Mild)+('Weekly Summary'!AM$100*SelfQuarantine_Mild)+('Weekly Summary'!AM$101*SelfQuarantine_Moderate))),'Equipment List &amp; Usage'!$C$115)*((('Weekly Summary'!AM$131*SelfQuarantine_Mild*'Equipment List &amp; Usage'!$W33)+('Weekly Summary'!AM$100*SelfQuarantine_Mild*'Equipment List &amp; Usage'!$X33)+('Weekly Summary'!AM$101*SelfQuarantine_Moderate*'Equipment List &amp; Usage'!$X33)))+IF('Equipment List &amp; Usage'!$F33="Yes",'Equipment List &amp; Usage'!$C$114*(IF('Equipment List &amp; Usage'!$AA33&gt;0,'Weekly Summary'!AM$128,0)+IF('Equipment List &amp; Usage'!$AB33&gt;0,'Weekly Summary'!AM$100+'Weekly Summary'!AM$101,0)),'Equipment List &amp; Usage'!$C$115*(('Weekly Summary'!AM$128*'Equipment List &amp; Usage'!$AA33)+('Weekly Summary'!AM$100*'Equipment List &amp; Usage'!$AB33*SelfQuarantine_Mild)+('Weekly Summary'!AM$101*'Equipment List &amp; Usage'!$AB33*SelfQuarantine_Moderate)))+IF('Equipment List &amp; Usage'!$F33="Yes",('Equipment List &amp; Usage'!$C$114*(IF('Equipment List &amp; Usage'!$AE33&gt;0,'Weekly Summary'!AM$134,0)+IF('Equipment List &amp; Usage'!$AF33&gt;0,'Weekly Summary'!AM$135))),'Equipment List &amp; Usage'!$C$115*(('Weekly Summary'!AM$134*'Equipment List &amp; Usage'!$AE33)+('Weekly Summary'!AM$135*'Equipment List &amp; Usage'!$AF33))))-SUM($I31:AR31),
IF($F31="yes",MMULT(--('Equipment List &amp; Usage'!$J33:$N33&gt;0),--('Weekly Summary'!AM$112:AM$116))*'Equipment List &amp; Usage'!$C$114,MMULT(--('Equipment List &amp; Usage'!$J33:$N33),--('Weekly Summary'!AM$112:AM$116))*'Equipment List &amp; Usage'!$C$115)+IF('Equipment List &amp; Usage'!$F32="yes",'Equipment List &amp; Usage'!$C$114,'Equipment List &amp; Usage'!$C$115)*(('Weekly Summary'!AM$66*'Equipment List &amp; Usage'!$Q33)+('Weekly Summary'!AM$64*'Equipment List &amp; Usage'!$O33)+('Weekly Summary'!AM$65*'Equipment List &amp; Usage'!$P33))+(IF('Equipment List &amp; Usage'!$F33="Yes",'Equipment List &amp; Usage'!$C$114*((('Weekly Summary'!AM$131*SelfQuarantine_Mild)+('Weekly Summary'!AM$100*SelfQuarantine_Mild)+('Weekly Summary'!AM$101*SelfQuarantine_Moderate))),'Equipment List &amp; Usage'!$C$115)*((('Weekly Summary'!AM$131*SelfQuarantine_Mild*'Equipment List &amp; Usage'!$W33)+('Weekly Summary'!AM$100*SelfQuarantine_Mild*'Equipment List &amp; Usage'!$X33)+('Weekly Summary'!AM$101*SelfQuarantine_Moderate*'Equipment List &amp; Usage'!$X33))))+IF('Equipment List &amp; Usage'!$F33="Yes",'Equipment List &amp; Usage'!$C$114*(IF('Equipment List &amp; Usage'!$AA33&gt;0,'Weekly Summary'!AM$128,0)+IF('Equipment List &amp; Usage'!$AB33&gt;0,'Weekly Summary'!AM$100+'Weekly Summary'!AM$101,0)),'Equipment List &amp; Usage'!$C$115*(('Weekly Summary'!AM$128*'Equipment List &amp; Usage'!$AA33)+('Weekly Summary'!AM$100*'Equipment List &amp; Usage'!$AB33*SelfQuarantine_Mild)+('Weekly Summary'!AM$101*'Equipment List &amp; Usage'!$AB33*SelfQuarantine_Moderate)))+IF('Equipment List &amp; Usage'!$F33="Yes",('Equipment List &amp; Usage'!$C$114*(IF('Equipment List &amp; Usage'!$AE33&gt;0,'Weekly Summary'!AM$134,0)+IF('Equipment List &amp; Usage'!$AF33&gt;0,'Weekly Summary'!AM$135))),'Equipment List &amp; Usage'!$C$115*(('Weekly Summary'!AM$134*'Equipment List &amp; Usage'!$AE33)+('Weekly Summary'!AM$135*'Equipment List &amp; Usage'!$AF33)))),0)</f>
        <v>0</v>
      </c>
      <c r="AT31" s="1378">
        <f ca="1">MAX(IF($F31="Yes",(
IF($F31="yes",MMULT(--('Equipment List &amp; Usage'!$J33:$N33&gt;0),--('Weekly Summary'!AN$112:AN$116))*'Equipment List &amp; Usage'!$C$114,MMULT(--('Equipment List &amp; Usage'!$J33:$N33),--('Weekly Summary'!AN$112:AN$116))*'Equipment List &amp; Usage'!$C$115)+IF('Equipment List &amp; Usage'!$F32="yes",'Equipment List &amp; Usage'!$C$114,'Equipment List &amp; Usage'!$C$115)*(('Weekly Summary'!AN$66*'Equipment List &amp; Usage'!$Q33)+('Weekly Summary'!AN$64*'Equipment List &amp; Usage'!$O33)+('Weekly Summary'!AN$65*'Equipment List &amp; Usage'!$P33)))+(IF('Equipment List &amp; Usage'!$F33="Yes",'Equipment List &amp; Usage'!$C$114*((('Weekly Summary'!AN$131*SelfQuarantine_Mild)+('Weekly Summary'!AN$100*SelfQuarantine_Mild)+('Weekly Summary'!AN$101*SelfQuarantine_Moderate))),'Equipment List &amp; Usage'!$C$115)*((('Weekly Summary'!AN$131*SelfQuarantine_Mild*'Equipment List &amp; Usage'!$W33)+('Weekly Summary'!AN$100*SelfQuarantine_Mild*'Equipment List &amp; Usage'!$X33)+('Weekly Summary'!AN$101*SelfQuarantine_Moderate*'Equipment List &amp; Usage'!$X33)))+IF('Equipment List &amp; Usage'!$F33="Yes",'Equipment List &amp; Usage'!$C$114*(IF('Equipment List &amp; Usage'!$AA33&gt;0,'Weekly Summary'!AN$128,0)+IF('Equipment List &amp; Usage'!$AB33&gt;0,'Weekly Summary'!AN$100+'Weekly Summary'!AN$101,0)),'Equipment List &amp; Usage'!$C$115*(('Weekly Summary'!AN$128*'Equipment List &amp; Usage'!$AA33)+('Weekly Summary'!AN$100*'Equipment List &amp; Usage'!$AB33*SelfQuarantine_Mild)+('Weekly Summary'!AN$101*'Equipment List &amp; Usage'!$AB33*SelfQuarantine_Moderate)))+IF('Equipment List &amp; Usage'!$F33="Yes",('Equipment List &amp; Usage'!$C$114*(IF('Equipment List &amp; Usage'!$AE33&gt;0,'Weekly Summary'!AN$134,0)+IF('Equipment List &amp; Usage'!$AF33&gt;0,'Weekly Summary'!AN$135))),'Equipment List &amp; Usage'!$C$115*(('Weekly Summary'!AN$134*'Equipment List &amp; Usage'!$AE33)+('Weekly Summary'!AN$135*'Equipment List &amp; Usage'!$AF33))))-SUM($I31:AS31),
IF($F31="yes",MMULT(--('Equipment List &amp; Usage'!$J33:$N33&gt;0),--('Weekly Summary'!AN$112:AN$116))*'Equipment List &amp; Usage'!$C$114,MMULT(--('Equipment List &amp; Usage'!$J33:$N33),--('Weekly Summary'!AN$112:AN$116))*'Equipment List &amp; Usage'!$C$115)+IF('Equipment List &amp; Usage'!$F32="yes",'Equipment List &amp; Usage'!$C$114,'Equipment List &amp; Usage'!$C$115)*(('Weekly Summary'!AN$66*'Equipment List &amp; Usage'!$Q33)+('Weekly Summary'!AN$64*'Equipment List &amp; Usage'!$O33)+('Weekly Summary'!AN$65*'Equipment List &amp; Usage'!$P33))+(IF('Equipment List &amp; Usage'!$F33="Yes",'Equipment List &amp; Usage'!$C$114*((('Weekly Summary'!AN$131*SelfQuarantine_Mild)+('Weekly Summary'!AN$100*SelfQuarantine_Mild)+('Weekly Summary'!AN$101*SelfQuarantine_Moderate))),'Equipment List &amp; Usage'!$C$115)*((('Weekly Summary'!AN$131*SelfQuarantine_Mild*'Equipment List &amp; Usage'!$W33)+('Weekly Summary'!AN$100*SelfQuarantine_Mild*'Equipment List &amp; Usage'!$X33)+('Weekly Summary'!AN$101*SelfQuarantine_Moderate*'Equipment List &amp; Usage'!$X33))))+IF('Equipment List &amp; Usage'!$F33="Yes",'Equipment List &amp; Usage'!$C$114*(IF('Equipment List &amp; Usage'!$AA33&gt;0,'Weekly Summary'!AN$128,0)+IF('Equipment List &amp; Usage'!$AB33&gt;0,'Weekly Summary'!AN$100+'Weekly Summary'!AN$101,0)),'Equipment List &amp; Usage'!$C$115*(('Weekly Summary'!AN$128*'Equipment List &amp; Usage'!$AA33)+('Weekly Summary'!AN$100*'Equipment List &amp; Usage'!$AB33*SelfQuarantine_Mild)+('Weekly Summary'!AN$101*'Equipment List &amp; Usage'!$AB33*SelfQuarantine_Moderate)))+IF('Equipment List &amp; Usage'!$F33="Yes",('Equipment List &amp; Usage'!$C$114*(IF('Equipment List &amp; Usage'!$AE33&gt;0,'Weekly Summary'!AN$134,0)+IF('Equipment List &amp; Usage'!$AF33&gt;0,'Weekly Summary'!AN$135))),'Equipment List &amp; Usage'!$C$115*(('Weekly Summary'!AN$134*'Equipment List &amp; Usage'!$AE33)+('Weekly Summary'!AN$135*'Equipment List &amp; Usage'!$AF33)))),0)</f>
        <v>0</v>
      </c>
      <c r="AU31" s="1378">
        <f ca="1">MAX(IF($F31="Yes",(
IF($F31="yes",MMULT(--('Equipment List &amp; Usage'!$J33:$N33&gt;0),--('Weekly Summary'!AO$112:AO$116))*'Equipment List &amp; Usage'!$C$114,MMULT(--('Equipment List &amp; Usage'!$J33:$N33),--('Weekly Summary'!AO$112:AO$116))*'Equipment List &amp; Usage'!$C$115)+IF('Equipment List &amp; Usage'!$F32="yes",'Equipment List &amp; Usage'!$C$114,'Equipment List &amp; Usage'!$C$115)*(('Weekly Summary'!AO$66*'Equipment List &amp; Usage'!$Q33)+('Weekly Summary'!AO$64*'Equipment List &amp; Usage'!$O33)+('Weekly Summary'!AO$65*'Equipment List &amp; Usage'!$P33)))+(IF('Equipment List &amp; Usage'!$F33="Yes",'Equipment List &amp; Usage'!$C$114*((('Weekly Summary'!AO$131*SelfQuarantine_Mild)+('Weekly Summary'!AO$100*SelfQuarantine_Mild)+('Weekly Summary'!AO$101*SelfQuarantine_Moderate))),'Equipment List &amp; Usage'!$C$115)*((('Weekly Summary'!AO$131*SelfQuarantine_Mild*'Equipment List &amp; Usage'!$W33)+('Weekly Summary'!AO$100*SelfQuarantine_Mild*'Equipment List &amp; Usage'!$X33)+('Weekly Summary'!AO$101*SelfQuarantine_Moderate*'Equipment List &amp; Usage'!$X33)))+IF('Equipment List &amp; Usage'!$F33="Yes",'Equipment List &amp; Usage'!$C$114*(IF('Equipment List &amp; Usage'!$AA33&gt;0,'Weekly Summary'!AO$128,0)+IF('Equipment List &amp; Usage'!$AB33&gt;0,'Weekly Summary'!AO$100+'Weekly Summary'!AO$101,0)),'Equipment List &amp; Usage'!$C$115*(('Weekly Summary'!AO$128*'Equipment List &amp; Usage'!$AA33)+('Weekly Summary'!AO$100*'Equipment List &amp; Usage'!$AB33*SelfQuarantine_Mild)+('Weekly Summary'!AO$101*'Equipment List &amp; Usage'!$AB33*SelfQuarantine_Moderate)))+IF('Equipment List &amp; Usage'!$F33="Yes",('Equipment List &amp; Usage'!$C$114*(IF('Equipment List &amp; Usage'!$AE33&gt;0,'Weekly Summary'!AO$134,0)+IF('Equipment List &amp; Usage'!$AF33&gt;0,'Weekly Summary'!AO$135))),'Equipment List &amp; Usage'!$C$115*(('Weekly Summary'!AO$134*'Equipment List &amp; Usage'!$AE33)+('Weekly Summary'!AO$135*'Equipment List &amp; Usage'!$AF33))))-SUM($I31:AT31),
IF($F31="yes",MMULT(--('Equipment List &amp; Usage'!$J33:$N33&gt;0),--('Weekly Summary'!AO$112:AO$116))*'Equipment List &amp; Usage'!$C$114,MMULT(--('Equipment List &amp; Usage'!$J33:$N33),--('Weekly Summary'!AO$112:AO$116))*'Equipment List &amp; Usage'!$C$115)+IF('Equipment List &amp; Usage'!$F32="yes",'Equipment List &amp; Usage'!$C$114,'Equipment List &amp; Usage'!$C$115)*(('Weekly Summary'!AO$66*'Equipment List &amp; Usage'!$Q33)+('Weekly Summary'!AO$64*'Equipment List &amp; Usage'!$O33)+('Weekly Summary'!AO$65*'Equipment List &amp; Usage'!$P33))+(IF('Equipment List &amp; Usage'!$F33="Yes",'Equipment List &amp; Usage'!$C$114*((('Weekly Summary'!AO$131*SelfQuarantine_Mild)+('Weekly Summary'!AO$100*SelfQuarantine_Mild)+('Weekly Summary'!AO$101*SelfQuarantine_Moderate))),'Equipment List &amp; Usage'!$C$115)*((('Weekly Summary'!AO$131*SelfQuarantine_Mild*'Equipment List &amp; Usage'!$W33)+('Weekly Summary'!AO$100*SelfQuarantine_Mild*'Equipment List &amp; Usage'!$X33)+('Weekly Summary'!AO$101*SelfQuarantine_Moderate*'Equipment List &amp; Usage'!$X33))))+IF('Equipment List &amp; Usage'!$F33="Yes",'Equipment List &amp; Usage'!$C$114*(IF('Equipment List &amp; Usage'!$AA33&gt;0,'Weekly Summary'!AO$128,0)+IF('Equipment List &amp; Usage'!$AB33&gt;0,'Weekly Summary'!AO$100+'Weekly Summary'!AO$101,0)),'Equipment List &amp; Usage'!$C$115*(('Weekly Summary'!AO$128*'Equipment List &amp; Usage'!$AA33)+('Weekly Summary'!AO$100*'Equipment List &amp; Usage'!$AB33*SelfQuarantine_Mild)+('Weekly Summary'!AO$101*'Equipment List &amp; Usage'!$AB33*SelfQuarantine_Moderate)))+IF('Equipment List &amp; Usage'!$F33="Yes",('Equipment List &amp; Usage'!$C$114*(IF('Equipment List &amp; Usage'!$AE33&gt;0,'Weekly Summary'!AO$134,0)+IF('Equipment List &amp; Usage'!$AF33&gt;0,'Weekly Summary'!AO$135))),'Equipment List &amp; Usage'!$C$115*(('Weekly Summary'!AO$134*'Equipment List &amp; Usage'!$AE33)+('Weekly Summary'!AO$135*'Equipment List &amp; Usage'!$AF33)))),0)</f>
        <v>0</v>
      </c>
      <c r="AV31" s="1378">
        <f ca="1">MAX(IF($F31="Yes",(
IF($F31="yes",MMULT(--('Equipment List &amp; Usage'!$J33:$N33&gt;0),--('Weekly Summary'!AP$112:AP$116))*'Equipment List &amp; Usage'!$C$114,MMULT(--('Equipment List &amp; Usage'!$J33:$N33),--('Weekly Summary'!AP$112:AP$116))*'Equipment List &amp; Usage'!$C$115)+IF('Equipment List &amp; Usage'!$F32="yes",'Equipment List &amp; Usage'!$C$114,'Equipment List &amp; Usage'!$C$115)*(('Weekly Summary'!AP$66*'Equipment List &amp; Usage'!$Q33)+('Weekly Summary'!AP$64*'Equipment List &amp; Usage'!$O33)+('Weekly Summary'!AP$65*'Equipment List &amp; Usage'!$P33)))+(IF('Equipment List &amp; Usage'!$F33="Yes",'Equipment List &amp; Usage'!$C$114*((('Weekly Summary'!AP$131*SelfQuarantine_Mild)+('Weekly Summary'!AP$100*SelfQuarantine_Mild)+('Weekly Summary'!AP$101*SelfQuarantine_Moderate))),'Equipment List &amp; Usage'!$C$115)*((('Weekly Summary'!AP$131*SelfQuarantine_Mild*'Equipment List &amp; Usage'!$W33)+('Weekly Summary'!AP$100*SelfQuarantine_Mild*'Equipment List &amp; Usage'!$X33)+('Weekly Summary'!AP$101*SelfQuarantine_Moderate*'Equipment List &amp; Usage'!$X33)))+IF('Equipment List &amp; Usage'!$F33="Yes",'Equipment List &amp; Usage'!$C$114*(IF('Equipment List &amp; Usage'!$AA33&gt;0,'Weekly Summary'!AP$128,0)+IF('Equipment List &amp; Usage'!$AB33&gt;0,'Weekly Summary'!AP$100+'Weekly Summary'!AP$101,0)),'Equipment List &amp; Usage'!$C$115*(('Weekly Summary'!AP$128*'Equipment List &amp; Usage'!$AA33)+('Weekly Summary'!AP$100*'Equipment List &amp; Usage'!$AB33*SelfQuarantine_Mild)+('Weekly Summary'!AP$101*'Equipment List &amp; Usage'!$AB33*SelfQuarantine_Moderate)))+IF('Equipment List &amp; Usage'!$F33="Yes",('Equipment List &amp; Usage'!$C$114*(IF('Equipment List &amp; Usage'!$AE33&gt;0,'Weekly Summary'!AP$134,0)+IF('Equipment List &amp; Usage'!$AF33&gt;0,'Weekly Summary'!AP$135))),'Equipment List &amp; Usage'!$C$115*(('Weekly Summary'!AP$134*'Equipment List &amp; Usage'!$AE33)+('Weekly Summary'!AP$135*'Equipment List &amp; Usage'!$AF33))))-SUM($I31:AU31),
IF($F31="yes",MMULT(--('Equipment List &amp; Usage'!$J33:$N33&gt;0),--('Weekly Summary'!AP$112:AP$116))*'Equipment List &amp; Usage'!$C$114,MMULT(--('Equipment List &amp; Usage'!$J33:$N33),--('Weekly Summary'!AP$112:AP$116))*'Equipment List &amp; Usage'!$C$115)+IF('Equipment List &amp; Usage'!$F32="yes",'Equipment List &amp; Usage'!$C$114,'Equipment List &amp; Usage'!$C$115)*(('Weekly Summary'!AP$66*'Equipment List &amp; Usage'!$Q33)+('Weekly Summary'!AP$64*'Equipment List &amp; Usage'!$O33)+('Weekly Summary'!AP$65*'Equipment List &amp; Usage'!$P33))+(IF('Equipment List &amp; Usage'!$F33="Yes",'Equipment List &amp; Usage'!$C$114*((('Weekly Summary'!AP$131*SelfQuarantine_Mild)+('Weekly Summary'!AP$100*SelfQuarantine_Mild)+('Weekly Summary'!AP$101*SelfQuarantine_Moderate))),'Equipment List &amp; Usage'!$C$115)*((('Weekly Summary'!AP$131*SelfQuarantine_Mild*'Equipment List &amp; Usage'!$W33)+('Weekly Summary'!AP$100*SelfQuarantine_Mild*'Equipment List &amp; Usage'!$X33)+('Weekly Summary'!AP$101*SelfQuarantine_Moderate*'Equipment List &amp; Usage'!$X33))))+IF('Equipment List &amp; Usage'!$F33="Yes",'Equipment List &amp; Usage'!$C$114*(IF('Equipment List &amp; Usage'!$AA33&gt;0,'Weekly Summary'!AP$128,0)+IF('Equipment List &amp; Usage'!$AB33&gt;0,'Weekly Summary'!AP$100+'Weekly Summary'!AP$101,0)),'Equipment List &amp; Usage'!$C$115*(('Weekly Summary'!AP$128*'Equipment List &amp; Usage'!$AA33)+('Weekly Summary'!AP$100*'Equipment List &amp; Usage'!$AB33*SelfQuarantine_Mild)+('Weekly Summary'!AP$101*'Equipment List &amp; Usage'!$AB33*SelfQuarantine_Moderate)))+IF('Equipment List &amp; Usage'!$F33="Yes",('Equipment List &amp; Usage'!$C$114*(IF('Equipment List &amp; Usage'!$AE33&gt;0,'Weekly Summary'!AP$134,0)+IF('Equipment List &amp; Usage'!$AF33&gt;0,'Weekly Summary'!AP$135))),'Equipment List &amp; Usage'!$C$115*(('Weekly Summary'!AP$134*'Equipment List &amp; Usage'!$AE33)+('Weekly Summary'!AP$135*'Equipment List &amp; Usage'!$AF33)))),0)</f>
        <v>0</v>
      </c>
      <c r="AW31" s="1378">
        <f ca="1">MAX(IF($F31="Yes",(
IF($F31="yes",MMULT(--('Equipment List &amp; Usage'!$J33:$N33&gt;0),--('Weekly Summary'!AQ$112:AQ$116))*'Equipment List &amp; Usage'!$C$114,MMULT(--('Equipment List &amp; Usage'!$J33:$N33),--('Weekly Summary'!AQ$112:AQ$116))*'Equipment List &amp; Usage'!$C$115)+IF('Equipment List &amp; Usage'!$F32="yes",'Equipment List &amp; Usage'!$C$114,'Equipment List &amp; Usage'!$C$115)*(('Weekly Summary'!AQ$66*'Equipment List &amp; Usage'!$Q33)+('Weekly Summary'!AQ$64*'Equipment List &amp; Usage'!$O33)+('Weekly Summary'!AQ$65*'Equipment List &amp; Usage'!$P33)))+(IF('Equipment List &amp; Usage'!$F33="Yes",'Equipment List &amp; Usage'!$C$114*((('Weekly Summary'!AQ$131*SelfQuarantine_Mild)+('Weekly Summary'!AQ$100*SelfQuarantine_Mild)+('Weekly Summary'!AQ$101*SelfQuarantine_Moderate))),'Equipment List &amp; Usage'!$C$115)*((('Weekly Summary'!AQ$131*SelfQuarantine_Mild*'Equipment List &amp; Usage'!$W33)+('Weekly Summary'!AQ$100*SelfQuarantine_Mild*'Equipment List &amp; Usage'!$X33)+('Weekly Summary'!AQ$101*SelfQuarantine_Moderate*'Equipment List &amp; Usage'!$X33)))+IF('Equipment List &amp; Usage'!$F33="Yes",'Equipment List &amp; Usage'!$C$114*(IF('Equipment List &amp; Usage'!$AA33&gt;0,'Weekly Summary'!AQ$128,0)+IF('Equipment List &amp; Usage'!$AB33&gt;0,'Weekly Summary'!AQ$100+'Weekly Summary'!AQ$101,0)),'Equipment List &amp; Usage'!$C$115*(('Weekly Summary'!AQ$128*'Equipment List &amp; Usage'!$AA33)+('Weekly Summary'!AQ$100*'Equipment List &amp; Usage'!$AB33*SelfQuarantine_Mild)+('Weekly Summary'!AQ$101*'Equipment List &amp; Usage'!$AB33*SelfQuarantine_Moderate)))+IF('Equipment List &amp; Usage'!$F33="Yes",('Equipment List &amp; Usage'!$C$114*(IF('Equipment List &amp; Usage'!$AE33&gt;0,'Weekly Summary'!AQ$134,0)+IF('Equipment List &amp; Usage'!$AF33&gt;0,'Weekly Summary'!AQ$135))),'Equipment List &amp; Usage'!$C$115*(('Weekly Summary'!AQ$134*'Equipment List &amp; Usage'!$AE33)+('Weekly Summary'!AQ$135*'Equipment List &amp; Usage'!$AF33))))-SUM($I31:AV31),
IF($F31="yes",MMULT(--('Equipment List &amp; Usage'!$J33:$N33&gt;0),--('Weekly Summary'!AQ$112:AQ$116))*'Equipment List &amp; Usage'!$C$114,MMULT(--('Equipment List &amp; Usage'!$J33:$N33),--('Weekly Summary'!AQ$112:AQ$116))*'Equipment List &amp; Usage'!$C$115)+IF('Equipment List &amp; Usage'!$F32="yes",'Equipment List &amp; Usage'!$C$114,'Equipment List &amp; Usage'!$C$115)*(('Weekly Summary'!AQ$66*'Equipment List &amp; Usage'!$Q33)+('Weekly Summary'!AQ$64*'Equipment List &amp; Usage'!$O33)+('Weekly Summary'!AQ$65*'Equipment List &amp; Usage'!$P33))+(IF('Equipment List &amp; Usage'!$F33="Yes",'Equipment List &amp; Usage'!$C$114*((('Weekly Summary'!AQ$131*SelfQuarantine_Mild)+('Weekly Summary'!AQ$100*SelfQuarantine_Mild)+('Weekly Summary'!AQ$101*SelfQuarantine_Moderate))),'Equipment List &amp; Usage'!$C$115)*((('Weekly Summary'!AQ$131*SelfQuarantine_Mild*'Equipment List &amp; Usage'!$W33)+('Weekly Summary'!AQ$100*SelfQuarantine_Mild*'Equipment List &amp; Usage'!$X33)+('Weekly Summary'!AQ$101*SelfQuarantine_Moderate*'Equipment List &amp; Usage'!$X33))))+IF('Equipment List &amp; Usage'!$F33="Yes",'Equipment List &amp; Usage'!$C$114*(IF('Equipment List &amp; Usage'!$AA33&gt;0,'Weekly Summary'!AQ$128,0)+IF('Equipment List &amp; Usage'!$AB33&gt;0,'Weekly Summary'!AQ$100+'Weekly Summary'!AQ$101,0)),'Equipment List &amp; Usage'!$C$115*(('Weekly Summary'!AQ$128*'Equipment List &amp; Usage'!$AA33)+('Weekly Summary'!AQ$100*'Equipment List &amp; Usage'!$AB33*SelfQuarantine_Mild)+('Weekly Summary'!AQ$101*'Equipment List &amp; Usage'!$AB33*SelfQuarantine_Moderate)))+IF('Equipment List &amp; Usage'!$F33="Yes",('Equipment List &amp; Usage'!$C$114*(IF('Equipment List &amp; Usage'!$AE33&gt;0,'Weekly Summary'!AQ$134,0)+IF('Equipment List &amp; Usage'!$AF33&gt;0,'Weekly Summary'!AQ$135))),'Equipment List &amp; Usage'!$C$115*(('Weekly Summary'!AQ$134*'Equipment List &amp; Usage'!$AE33)+('Weekly Summary'!AQ$135*'Equipment List &amp; Usage'!$AF33)))),0)</f>
        <v>0</v>
      </c>
      <c r="AX31" s="1378">
        <f ca="1">MAX(IF($F31="Yes",(
IF($F31="yes",MMULT(--('Equipment List &amp; Usage'!$J33:$N33&gt;0),--('Weekly Summary'!AR$112:AR$116))*'Equipment List &amp; Usage'!$C$114,MMULT(--('Equipment List &amp; Usage'!$J33:$N33),--('Weekly Summary'!AR$112:AR$116))*'Equipment List &amp; Usage'!$C$115)+IF('Equipment List &amp; Usage'!$F32="yes",'Equipment List &amp; Usage'!$C$114,'Equipment List &amp; Usage'!$C$115)*(('Weekly Summary'!AR$66*'Equipment List &amp; Usage'!$Q33)+('Weekly Summary'!AR$64*'Equipment List &amp; Usage'!$O33)+('Weekly Summary'!AR$65*'Equipment List &amp; Usage'!$P33)))+(IF('Equipment List &amp; Usage'!$F33="Yes",'Equipment List &amp; Usage'!$C$114*((('Weekly Summary'!AR$131*SelfQuarantine_Mild)+('Weekly Summary'!AR$100*SelfQuarantine_Mild)+('Weekly Summary'!AR$101*SelfQuarantine_Moderate))),'Equipment List &amp; Usage'!$C$115)*((('Weekly Summary'!AR$131*SelfQuarantine_Mild*'Equipment List &amp; Usage'!$W33)+('Weekly Summary'!AR$100*SelfQuarantine_Mild*'Equipment List &amp; Usage'!$X33)+('Weekly Summary'!AR$101*SelfQuarantine_Moderate*'Equipment List &amp; Usage'!$X33)))+IF('Equipment List &amp; Usage'!$F33="Yes",'Equipment List &amp; Usage'!$C$114*(IF('Equipment List &amp; Usage'!$AA33&gt;0,'Weekly Summary'!AR$128,0)+IF('Equipment List &amp; Usage'!$AB33&gt;0,'Weekly Summary'!AR$100+'Weekly Summary'!AR$101,0)),'Equipment List &amp; Usage'!$C$115*(('Weekly Summary'!AR$128*'Equipment List &amp; Usage'!$AA33)+('Weekly Summary'!AR$100*'Equipment List &amp; Usage'!$AB33*SelfQuarantine_Mild)+('Weekly Summary'!AR$101*'Equipment List &amp; Usage'!$AB33*SelfQuarantine_Moderate)))+IF('Equipment List &amp; Usage'!$F33="Yes",('Equipment List &amp; Usage'!$C$114*(IF('Equipment List &amp; Usage'!$AE33&gt;0,'Weekly Summary'!AR$134,0)+IF('Equipment List &amp; Usage'!$AF33&gt;0,'Weekly Summary'!AR$135))),'Equipment List &amp; Usage'!$C$115*(('Weekly Summary'!AR$134*'Equipment List &amp; Usage'!$AE33)+('Weekly Summary'!AR$135*'Equipment List &amp; Usage'!$AF33))))-SUM($I31:AW31),
IF($F31="yes",MMULT(--('Equipment List &amp; Usage'!$J33:$N33&gt;0),--('Weekly Summary'!AR$112:AR$116))*'Equipment List &amp; Usage'!$C$114,MMULT(--('Equipment List &amp; Usage'!$J33:$N33),--('Weekly Summary'!AR$112:AR$116))*'Equipment List &amp; Usage'!$C$115)+IF('Equipment List &amp; Usage'!$F32="yes",'Equipment List &amp; Usage'!$C$114,'Equipment List &amp; Usage'!$C$115)*(('Weekly Summary'!AR$66*'Equipment List &amp; Usage'!$Q33)+('Weekly Summary'!AR$64*'Equipment List &amp; Usage'!$O33)+('Weekly Summary'!AR$65*'Equipment List &amp; Usage'!$P33))+(IF('Equipment List &amp; Usage'!$F33="Yes",'Equipment List &amp; Usage'!$C$114*((('Weekly Summary'!AR$131*SelfQuarantine_Mild)+('Weekly Summary'!AR$100*SelfQuarantine_Mild)+('Weekly Summary'!AR$101*SelfQuarantine_Moderate))),'Equipment List &amp; Usage'!$C$115)*((('Weekly Summary'!AR$131*SelfQuarantine_Mild*'Equipment List &amp; Usage'!$W33)+('Weekly Summary'!AR$100*SelfQuarantine_Mild*'Equipment List &amp; Usage'!$X33)+('Weekly Summary'!AR$101*SelfQuarantine_Moderate*'Equipment List &amp; Usage'!$X33))))+IF('Equipment List &amp; Usage'!$F33="Yes",'Equipment List &amp; Usage'!$C$114*(IF('Equipment List &amp; Usage'!$AA33&gt;0,'Weekly Summary'!AR$128,0)+IF('Equipment List &amp; Usage'!$AB33&gt;0,'Weekly Summary'!AR$100+'Weekly Summary'!AR$101,0)),'Equipment List &amp; Usage'!$C$115*(('Weekly Summary'!AR$128*'Equipment List &amp; Usage'!$AA33)+('Weekly Summary'!AR$100*'Equipment List &amp; Usage'!$AB33*SelfQuarantine_Mild)+('Weekly Summary'!AR$101*'Equipment List &amp; Usage'!$AB33*SelfQuarantine_Moderate)))+IF('Equipment List &amp; Usage'!$F33="Yes",('Equipment List &amp; Usage'!$C$114*(IF('Equipment List &amp; Usage'!$AE33&gt;0,'Weekly Summary'!AR$134,0)+IF('Equipment List &amp; Usage'!$AF33&gt;0,'Weekly Summary'!AR$135))),'Equipment List &amp; Usage'!$C$115*(('Weekly Summary'!AR$134*'Equipment List &amp; Usage'!$AE33)+('Weekly Summary'!AR$135*'Equipment List &amp; Usage'!$AF33)))),0)</f>
        <v>0</v>
      </c>
      <c r="AY31" s="1378">
        <f ca="1">MAX(IF($F31="Yes",(
IF($F31="yes",MMULT(--('Equipment List &amp; Usage'!$J33:$N33&gt;0),--('Weekly Summary'!AS$112:AS$116))*'Equipment List &amp; Usage'!$C$114,MMULT(--('Equipment List &amp; Usage'!$J33:$N33),--('Weekly Summary'!AS$112:AS$116))*'Equipment List &amp; Usage'!$C$115)+IF('Equipment List &amp; Usage'!$F32="yes",'Equipment List &amp; Usage'!$C$114,'Equipment List &amp; Usage'!$C$115)*(('Weekly Summary'!AS$66*'Equipment List &amp; Usage'!$Q33)+('Weekly Summary'!AS$64*'Equipment List &amp; Usage'!$O33)+('Weekly Summary'!AS$65*'Equipment List &amp; Usage'!$P33)))+(IF('Equipment List &amp; Usage'!$F33="Yes",'Equipment List &amp; Usage'!$C$114*((('Weekly Summary'!AS$131*SelfQuarantine_Mild)+('Weekly Summary'!AS$100*SelfQuarantine_Mild)+('Weekly Summary'!AS$101*SelfQuarantine_Moderate))),'Equipment List &amp; Usage'!$C$115)*((('Weekly Summary'!AS$131*SelfQuarantine_Mild*'Equipment List &amp; Usage'!$W33)+('Weekly Summary'!AS$100*SelfQuarantine_Mild*'Equipment List &amp; Usage'!$X33)+('Weekly Summary'!AS$101*SelfQuarantine_Moderate*'Equipment List &amp; Usage'!$X33)))+IF('Equipment List &amp; Usage'!$F33="Yes",'Equipment List &amp; Usage'!$C$114*(IF('Equipment List &amp; Usage'!$AA33&gt;0,'Weekly Summary'!AS$128,0)+IF('Equipment List &amp; Usage'!$AB33&gt;0,'Weekly Summary'!AS$100+'Weekly Summary'!AS$101,0)),'Equipment List &amp; Usage'!$C$115*(('Weekly Summary'!AS$128*'Equipment List &amp; Usage'!$AA33)+('Weekly Summary'!AS$100*'Equipment List &amp; Usage'!$AB33*SelfQuarantine_Mild)+('Weekly Summary'!AS$101*'Equipment List &amp; Usage'!$AB33*SelfQuarantine_Moderate)))+IF('Equipment List &amp; Usage'!$F33="Yes",('Equipment List &amp; Usage'!$C$114*(IF('Equipment List &amp; Usage'!$AE33&gt;0,'Weekly Summary'!AS$134,0)+IF('Equipment List &amp; Usage'!$AF33&gt;0,'Weekly Summary'!AS$135))),'Equipment List &amp; Usage'!$C$115*(('Weekly Summary'!AS$134*'Equipment List &amp; Usage'!$AE33)+('Weekly Summary'!AS$135*'Equipment List &amp; Usage'!$AF33))))-SUM($I31:AX31),
IF($F31="yes",MMULT(--('Equipment List &amp; Usage'!$J33:$N33&gt;0),--('Weekly Summary'!AS$112:AS$116))*'Equipment List &amp; Usage'!$C$114,MMULT(--('Equipment List &amp; Usage'!$J33:$N33),--('Weekly Summary'!AS$112:AS$116))*'Equipment List &amp; Usage'!$C$115)+IF('Equipment List &amp; Usage'!$F32="yes",'Equipment List &amp; Usage'!$C$114,'Equipment List &amp; Usage'!$C$115)*(('Weekly Summary'!AS$66*'Equipment List &amp; Usage'!$Q33)+('Weekly Summary'!AS$64*'Equipment List &amp; Usage'!$O33)+('Weekly Summary'!AS$65*'Equipment List &amp; Usage'!$P33))+(IF('Equipment List &amp; Usage'!$F33="Yes",'Equipment List &amp; Usage'!$C$114*((('Weekly Summary'!AS$131*SelfQuarantine_Mild)+('Weekly Summary'!AS$100*SelfQuarantine_Mild)+('Weekly Summary'!AS$101*SelfQuarantine_Moderate))),'Equipment List &amp; Usage'!$C$115)*((('Weekly Summary'!AS$131*SelfQuarantine_Mild*'Equipment List &amp; Usage'!$W33)+('Weekly Summary'!AS$100*SelfQuarantine_Mild*'Equipment List &amp; Usage'!$X33)+('Weekly Summary'!AS$101*SelfQuarantine_Moderate*'Equipment List &amp; Usage'!$X33))))+IF('Equipment List &amp; Usage'!$F33="Yes",'Equipment List &amp; Usage'!$C$114*(IF('Equipment List &amp; Usage'!$AA33&gt;0,'Weekly Summary'!AS$128,0)+IF('Equipment List &amp; Usage'!$AB33&gt;0,'Weekly Summary'!AS$100+'Weekly Summary'!AS$101,0)),'Equipment List &amp; Usage'!$C$115*(('Weekly Summary'!AS$128*'Equipment List &amp; Usage'!$AA33)+('Weekly Summary'!AS$100*'Equipment List &amp; Usage'!$AB33*SelfQuarantine_Mild)+('Weekly Summary'!AS$101*'Equipment List &amp; Usage'!$AB33*SelfQuarantine_Moderate)))+IF('Equipment List &amp; Usage'!$F33="Yes",('Equipment List &amp; Usage'!$C$114*(IF('Equipment List &amp; Usage'!$AE33&gt;0,'Weekly Summary'!AS$134,0)+IF('Equipment List &amp; Usage'!$AF33&gt;0,'Weekly Summary'!AS$135))),'Equipment List &amp; Usage'!$C$115*(('Weekly Summary'!AS$134*'Equipment List &amp; Usage'!$AE33)+('Weekly Summary'!AS$135*'Equipment List &amp; Usage'!$AF33)))),0)</f>
        <v>0</v>
      </c>
      <c r="AZ31" s="1378">
        <f ca="1">MAX(IF($F31="Yes",(
IF($F31="yes",MMULT(--('Equipment List &amp; Usage'!$J33:$N33&gt;0),--('Weekly Summary'!AT$112:AT$116))*'Equipment List &amp; Usage'!$C$114,MMULT(--('Equipment List &amp; Usage'!$J33:$N33),--('Weekly Summary'!AT$112:AT$116))*'Equipment List &amp; Usage'!$C$115)+IF('Equipment List &amp; Usage'!$F32="yes",'Equipment List &amp; Usage'!$C$114,'Equipment List &amp; Usage'!$C$115)*(('Weekly Summary'!AT$66*'Equipment List &amp; Usage'!$Q33)+('Weekly Summary'!AT$64*'Equipment List &amp; Usage'!$O33)+('Weekly Summary'!AT$65*'Equipment List &amp; Usage'!$P33)))+(IF('Equipment List &amp; Usage'!$F33="Yes",'Equipment List &amp; Usage'!$C$114*((('Weekly Summary'!AT$131*SelfQuarantine_Mild)+('Weekly Summary'!AT$100*SelfQuarantine_Mild)+('Weekly Summary'!AT$101*SelfQuarantine_Moderate))),'Equipment List &amp; Usage'!$C$115)*((('Weekly Summary'!AT$131*SelfQuarantine_Mild*'Equipment List &amp; Usage'!$W33)+('Weekly Summary'!AT$100*SelfQuarantine_Mild*'Equipment List &amp; Usage'!$X33)+('Weekly Summary'!AT$101*SelfQuarantine_Moderate*'Equipment List &amp; Usage'!$X33)))+IF('Equipment List &amp; Usage'!$F33="Yes",'Equipment List &amp; Usage'!$C$114*(IF('Equipment List &amp; Usage'!$AA33&gt;0,'Weekly Summary'!AT$128,0)+IF('Equipment List &amp; Usage'!$AB33&gt;0,'Weekly Summary'!AT$100+'Weekly Summary'!AT$101,0)),'Equipment List &amp; Usage'!$C$115*(('Weekly Summary'!AT$128*'Equipment List &amp; Usage'!$AA33)+('Weekly Summary'!AT$100*'Equipment List &amp; Usage'!$AB33*SelfQuarantine_Mild)+('Weekly Summary'!AT$101*'Equipment List &amp; Usage'!$AB33*SelfQuarantine_Moderate)))+IF('Equipment List &amp; Usage'!$F33="Yes",('Equipment List &amp; Usage'!$C$114*(IF('Equipment List &amp; Usage'!$AE33&gt;0,'Weekly Summary'!AT$134,0)+IF('Equipment List &amp; Usage'!$AF33&gt;0,'Weekly Summary'!AT$135))),'Equipment List &amp; Usage'!$C$115*(('Weekly Summary'!AT$134*'Equipment List &amp; Usage'!$AE33)+('Weekly Summary'!AT$135*'Equipment List &amp; Usage'!$AF33))))-SUM($I31:AY31),
IF($F31="yes",MMULT(--('Equipment List &amp; Usage'!$J33:$N33&gt;0),--('Weekly Summary'!AT$112:AT$116))*'Equipment List &amp; Usage'!$C$114,MMULT(--('Equipment List &amp; Usage'!$J33:$N33),--('Weekly Summary'!AT$112:AT$116))*'Equipment List &amp; Usage'!$C$115)+IF('Equipment List &amp; Usage'!$F32="yes",'Equipment List &amp; Usage'!$C$114,'Equipment List &amp; Usage'!$C$115)*(('Weekly Summary'!AT$66*'Equipment List &amp; Usage'!$Q33)+('Weekly Summary'!AT$64*'Equipment List &amp; Usage'!$O33)+('Weekly Summary'!AT$65*'Equipment List &amp; Usage'!$P33))+(IF('Equipment List &amp; Usage'!$F33="Yes",'Equipment List &amp; Usage'!$C$114*((('Weekly Summary'!AT$131*SelfQuarantine_Mild)+('Weekly Summary'!AT$100*SelfQuarantine_Mild)+('Weekly Summary'!AT$101*SelfQuarantine_Moderate))),'Equipment List &amp; Usage'!$C$115)*((('Weekly Summary'!AT$131*SelfQuarantine_Mild*'Equipment List &amp; Usage'!$W33)+('Weekly Summary'!AT$100*SelfQuarantine_Mild*'Equipment List &amp; Usage'!$X33)+('Weekly Summary'!AT$101*SelfQuarantine_Moderate*'Equipment List &amp; Usage'!$X33))))+IF('Equipment List &amp; Usage'!$F33="Yes",'Equipment List &amp; Usage'!$C$114*(IF('Equipment List &amp; Usage'!$AA33&gt;0,'Weekly Summary'!AT$128,0)+IF('Equipment List &amp; Usage'!$AB33&gt;0,'Weekly Summary'!AT$100+'Weekly Summary'!AT$101,0)),'Equipment List &amp; Usage'!$C$115*(('Weekly Summary'!AT$128*'Equipment List &amp; Usage'!$AA33)+('Weekly Summary'!AT$100*'Equipment List &amp; Usage'!$AB33*SelfQuarantine_Mild)+('Weekly Summary'!AT$101*'Equipment List &amp; Usage'!$AB33*SelfQuarantine_Moderate)))+IF('Equipment List &amp; Usage'!$F33="Yes",('Equipment List &amp; Usage'!$C$114*(IF('Equipment List &amp; Usage'!$AE33&gt;0,'Weekly Summary'!AT$134,0)+IF('Equipment List &amp; Usage'!$AF33&gt;0,'Weekly Summary'!AT$135))),'Equipment List &amp; Usage'!$C$115*(('Weekly Summary'!AT$134*'Equipment List &amp; Usage'!$AE33)+('Weekly Summary'!AT$135*'Equipment List &amp; Usage'!$AF33)))),0)</f>
        <v>0</v>
      </c>
      <c r="BA31" s="1378">
        <f ca="1">MAX(IF($F31="Yes",(
IF($F31="yes",MMULT(--('Equipment List &amp; Usage'!$J33:$N33&gt;0),--('Weekly Summary'!AU$112:AU$116))*'Equipment List &amp; Usage'!$C$114,MMULT(--('Equipment List &amp; Usage'!$J33:$N33),--('Weekly Summary'!AU$112:AU$116))*'Equipment List &amp; Usage'!$C$115)+IF('Equipment List &amp; Usage'!$F32="yes",'Equipment List &amp; Usage'!$C$114,'Equipment List &amp; Usage'!$C$115)*(('Weekly Summary'!AU$66*'Equipment List &amp; Usage'!$Q33)+('Weekly Summary'!AU$64*'Equipment List &amp; Usage'!$O33)+('Weekly Summary'!AU$65*'Equipment List &amp; Usage'!$P33)))+(IF('Equipment List &amp; Usage'!$F33="Yes",'Equipment List &amp; Usage'!$C$114*((('Weekly Summary'!AU$131*SelfQuarantine_Mild)+('Weekly Summary'!AU$100*SelfQuarantine_Mild)+('Weekly Summary'!AU$101*SelfQuarantine_Moderate))),'Equipment List &amp; Usage'!$C$115)*((('Weekly Summary'!AU$131*SelfQuarantine_Mild*'Equipment List &amp; Usage'!$W33)+('Weekly Summary'!AU$100*SelfQuarantine_Mild*'Equipment List &amp; Usage'!$X33)+('Weekly Summary'!AU$101*SelfQuarantine_Moderate*'Equipment List &amp; Usage'!$X33)))+IF('Equipment List &amp; Usage'!$F33="Yes",'Equipment List &amp; Usage'!$C$114*(IF('Equipment List &amp; Usage'!$AA33&gt;0,'Weekly Summary'!AU$128,0)+IF('Equipment List &amp; Usage'!$AB33&gt;0,'Weekly Summary'!AU$100+'Weekly Summary'!AU$101,0)),'Equipment List &amp; Usage'!$C$115*(('Weekly Summary'!AU$128*'Equipment List &amp; Usage'!$AA33)+('Weekly Summary'!AU$100*'Equipment List &amp; Usage'!$AB33*SelfQuarantine_Mild)+('Weekly Summary'!AU$101*'Equipment List &amp; Usage'!$AB33*SelfQuarantine_Moderate)))+IF('Equipment List &amp; Usage'!$F33="Yes",('Equipment List &amp; Usage'!$C$114*(IF('Equipment List &amp; Usage'!$AE33&gt;0,'Weekly Summary'!AU$134,0)+IF('Equipment List &amp; Usage'!$AF33&gt;0,'Weekly Summary'!AU$135))),'Equipment List &amp; Usage'!$C$115*(('Weekly Summary'!AU$134*'Equipment List &amp; Usage'!$AE33)+('Weekly Summary'!AU$135*'Equipment List &amp; Usage'!$AF33))))-SUM($I31:AZ31),
IF($F31="yes",MMULT(--('Equipment List &amp; Usage'!$J33:$N33&gt;0),--('Weekly Summary'!AU$112:AU$116))*'Equipment List &amp; Usage'!$C$114,MMULT(--('Equipment List &amp; Usage'!$J33:$N33),--('Weekly Summary'!AU$112:AU$116))*'Equipment List &amp; Usage'!$C$115)+IF('Equipment List &amp; Usage'!$F32="yes",'Equipment List &amp; Usage'!$C$114,'Equipment List &amp; Usage'!$C$115)*(('Weekly Summary'!AU$66*'Equipment List &amp; Usage'!$Q33)+('Weekly Summary'!AU$64*'Equipment List &amp; Usage'!$O33)+('Weekly Summary'!AU$65*'Equipment List &amp; Usage'!$P33))+(IF('Equipment List &amp; Usage'!$F33="Yes",'Equipment List &amp; Usage'!$C$114*((('Weekly Summary'!AU$131*SelfQuarantine_Mild)+('Weekly Summary'!AU$100*SelfQuarantine_Mild)+('Weekly Summary'!AU$101*SelfQuarantine_Moderate))),'Equipment List &amp; Usage'!$C$115)*((('Weekly Summary'!AU$131*SelfQuarantine_Mild*'Equipment List &amp; Usage'!$W33)+('Weekly Summary'!AU$100*SelfQuarantine_Mild*'Equipment List &amp; Usage'!$X33)+('Weekly Summary'!AU$101*SelfQuarantine_Moderate*'Equipment List &amp; Usage'!$X33))))+IF('Equipment List &amp; Usage'!$F33="Yes",'Equipment List &amp; Usage'!$C$114*(IF('Equipment List &amp; Usage'!$AA33&gt;0,'Weekly Summary'!AU$128,0)+IF('Equipment List &amp; Usage'!$AB33&gt;0,'Weekly Summary'!AU$100+'Weekly Summary'!AU$101,0)),'Equipment List &amp; Usage'!$C$115*(('Weekly Summary'!AU$128*'Equipment List &amp; Usage'!$AA33)+('Weekly Summary'!AU$100*'Equipment List &amp; Usage'!$AB33*SelfQuarantine_Mild)+('Weekly Summary'!AU$101*'Equipment List &amp; Usage'!$AB33*SelfQuarantine_Moderate)))+IF('Equipment List &amp; Usage'!$F33="Yes",('Equipment List &amp; Usage'!$C$114*(IF('Equipment List &amp; Usage'!$AE33&gt;0,'Weekly Summary'!AU$134,0)+IF('Equipment List &amp; Usage'!$AF33&gt;0,'Weekly Summary'!AU$135))),'Equipment List &amp; Usage'!$C$115*(('Weekly Summary'!AU$134*'Equipment List &amp; Usage'!$AE33)+('Weekly Summary'!AU$135*'Equipment List &amp; Usage'!$AF33)))),0)</f>
        <v>0</v>
      </c>
      <c r="BB31" s="1378">
        <f ca="1">MAX(IF($F31="Yes",(
IF($F31="yes",MMULT(--('Equipment List &amp; Usage'!$J33:$N33&gt;0),--('Weekly Summary'!AV$112:AV$116))*'Equipment List &amp; Usage'!$C$114,MMULT(--('Equipment List &amp; Usage'!$J33:$N33),--('Weekly Summary'!AV$112:AV$116))*'Equipment List &amp; Usage'!$C$115)+IF('Equipment List &amp; Usage'!$F32="yes",'Equipment List &amp; Usage'!$C$114,'Equipment List &amp; Usage'!$C$115)*(('Weekly Summary'!AV$66*'Equipment List &amp; Usage'!$Q33)+('Weekly Summary'!AV$64*'Equipment List &amp; Usage'!$O33)+('Weekly Summary'!AV$65*'Equipment List &amp; Usage'!$P33)))+(IF('Equipment List &amp; Usage'!$F33="Yes",'Equipment List &amp; Usage'!$C$114*((('Weekly Summary'!AV$131*SelfQuarantine_Mild)+('Weekly Summary'!AV$100*SelfQuarantine_Mild)+('Weekly Summary'!AV$101*SelfQuarantine_Moderate))),'Equipment List &amp; Usage'!$C$115)*((('Weekly Summary'!AV$131*SelfQuarantine_Mild*'Equipment List &amp; Usage'!$W33)+('Weekly Summary'!AV$100*SelfQuarantine_Mild*'Equipment List &amp; Usage'!$X33)+('Weekly Summary'!AV$101*SelfQuarantine_Moderate*'Equipment List &amp; Usage'!$X33)))+IF('Equipment List &amp; Usage'!$F33="Yes",'Equipment List &amp; Usage'!$C$114*(IF('Equipment List &amp; Usage'!$AA33&gt;0,'Weekly Summary'!AV$128,0)+IF('Equipment List &amp; Usage'!$AB33&gt;0,'Weekly Summary'!AV$100+'Weekly Summary'!AV$101,0)),'Equipment List &amp; Usage'!$C$115*(('Weekly Summary'!AV$128*'Equipment List &amp; Usage'!$AA33)+('Weekly Summary'!AV$100*'Equipment List &amp; Usage'!$AB33*SelfQuarantine_Mild)+('Weekly Summary'!AV$101*'Equipment List &amp; Usage'!$AB33*SelfQuarantine_Moderate)))+IF('Equipment List &amp; Usage'!$F33="Yes",('Equipment List &amp; Usage'!$C$114*(IF('Equipment List &amp; Usage'!$AE33&gt;0,'Weekly Summary'!AV$134,0)+IF('Equipment List &amp; Usage'!$AF33&gt;0,'Weekly Summary'!AV$135))),'Equipment List &amp; Usage'!$C$115*(('Weekly Summary'!AV$134*'Equipment List &amp; Usage'!$AE33)+('Weekly Summary'!AV$135*'Equipment List &amp; Usage'!$AF33))))-SUM($I31:BA31),
IF($F31="yes",MMULT(--('Equipment List &amp; Usage'!$J33:$N33&gt;0),--('Weekly Summary'!AV$112:AV$116))*'Equipment List &amp; Usage'!$C$114,MMULT(--('Equipment List &amp; Usage'!$J33:$N33),--('Weekly Summary'!AV$112:AV$116))*'Equipment List &amp; Usage'!$C$115)+IF('Equipment List &amp; Usage'!$F32="yes",'Equipment List &amp; Usage'!$C$114,'Equipment List &amp; Usage'!$C$115)*(('Weekly Summary'!AV$66*'Equipment List &amp; Usage'!$Q33)+('Weekly Summary'!AV$64*'Equipment List &amp; Usage'!$O33)+('Weekly Summary'!AV$65*'Equipment List &amp; Usage'!$P33))+(IF('Equipment List &amp; Usage'!$F33="Yes",'Equipment List &amp; Usage'!$C$114*((('Weekly Summary'!AV$131*SelfQuarantine_Mild)+('Weekly Summary'!AV$100*SelfQuarantine_Mild)+('Weekly Summary'!AV$101*SelfQuarantine_Moderate))),'Equipment List &amp; Usage'!$C$115)*((('Weekly Summary'!AV$131*SelfQuarantine_Mild*'Equipment List &amp; Usage'!$W33)+('Weekly Summary'!AV$100*SelfQuarantine_Mild*'Equipment List &amp; Usage'!$X33)+('Weekly Summary'!AV$101*SelfQuarantine_Moderate*'Equipment List &amp; Usage'!$X33))))+IF('Equipment List &amp; Usage'!$F33="Yes",'Equipment List &amp; Usage'!$C$114*(IF('Equipment List &amp; Usage'!$AA33&gt;0,'Weekly Summary'!AV$128,0)+IF('Equipment List &amp; Usage'!$AB33&gt;0,'Weekly Summary'!AV$100+'Weekly Summary'!AV$101,0)),'Equipment List &amp; Usage'!$C$115*(('Weekly Summary'!AV$128*'Equipment List &amp; Usage'!$AA33)+('Weekly Summary'!AV$100*'Equipment List &amp; Usage'!$AB33*SelfQuarantine_Mild)+('Weekly Summary'!AV$101*'Equipment List &amp; Usage'!$AB33*SelfQuarantine_Moderate)))+IF('Equipment List &amp; Usage'!$F33="Yes",('Equipment List &amp; Usage'!$C$114*(IF('Equipment List &amp; Usage'!$AE33&gt;0,'Weekly Summary'!AV$134,0)+IF('Equipment List &amp; Usage'!$AF33&gt;0,'Weekly Summary'!AV$135))),'Equipment List &amp; Usage'!$C$115*(('Weekly Summary'!AV$134*'Equipment List &amp; Usage'!$AE33)+('Weekly Summary'!AV$135*'Equipment List &amp; Usage'!$AF33)))),0)</f>
        <v>0</v>
      </c>
      <c r="BC31" s="1378">
        <f ca="1">MAX(IF($F31="Yes",(
IF($F31="yes",MMULT(--('Equipment List &amp; Usage'!$J33:$N33&gt;0),--('Weekly Summary'!AW$112:AW$116))*'Equipment List &amp; Usage'!$C$114,MMULT(--('Equipment List &amp; Usage'!$J33:$N33),--('Weekly Summary'!AW$112:AW$116))*'Equipment List &amp; Usage'!$C$115)+IF('Equipment List &amp; Usage'!$F32="yes",'Equipment List &amp; Usage'!$C$114,'Equipment List &amp; Usage'!$C$115)*(('Weekly Summary'!AW$66*'Equipment List &amp; Usage'!$Q33)+('Weekly Summary'!AW$64*'Equipment List &amp; Usage'!$O33)+('Weekly Summary'!AW$65*'Equipment List &amp; Usage'!$P33)))+(IF('Equipment List &amp; Usage'!$F33="Yes",'Equipment List &amp; Usage'!$C$114*((('Weekly Summary'!AW$131*SelfQuarantine_Mild)+('Weekly Summary'!AW$100*SelfQuarantine_Mild)+('Weekly Summary'!AW$101*SelfQuarantine_Moderate))),'Equipment List &amp; Usage'!$C$115)*((('Weekly Summary'!AW$131*SelfQuarantine_Mild*'Equipment List &amp; Usage'!$W33)+('Weekly Summary'!AW$100*SelfQuarantine_Mild*'Equipment List &amp; Usage'!$X33)+('Weekly Summary'!AW$101*SelfQuarantine_Moderate*'Equipment List &amp; Usage'!$X33)))+IF('Equipment List &amp; Usage'!$F33="Yes",'Equipment List &amp; Usage'!$C$114*(IF('Equipment List &amp; Usage'!$AA33&gt;0,'Weekly Summary'!AW$128,0)+IF('Equipment List &amp; Usage'!$AB33&gt;0,'Weekly Summary'!AW$100+'Weekly Summary'!AW$101,0)),'Equipment List &amp; Usage'!$C$115*(('Weekly Summary'!AW$128*'Equipment List &amp; Usage'!$AA33)+('Weekly Summary'!AW$100*'Equipment List &amp; Usage'!$AB33*SelfQuarantine_Mild)+('Weekly Summary'!AW$101*'Equipment List &amp; Usage'!$AB33*SelfQuarantine_Moderate)))+IF('Equipment List &amp; Usage'!$F33="Yes",('Equipment List &amp; Usage'!$C$114*(IF('Equipment List &amp; Usage'!$AE33&gt;0,'Weekly Summary'!AW$134,0)+IF('Equipment List &amp; Usage'!$AF33&gt;0,'Weekly Summary'!AW$135))),'Equipment List &amp; Usage'!$C$115*(('Weekly Summary'!AW$134*'Equipment List &amp; Usage'!$AE33)+('Weekly Summary'!AW$135*'Equipment List &amp; Usage'!$AF33))))-SUM($I31:BB31),
IF($F31="yes",MMULT(--('Equipment List &amp; Usage'!$J33:$N33&gt;0),--('Weekly Summary'!AW$112:AW$116))*'Equipment List &amp; Usage'!$C$114,MMULT(--('Equipment List &amp; Usage'!$J33:$N33),--('Weekly Summary'!AW$112:AW$116))*'Equipment List &amp; Usage'!$C$115)+IF('Equipment List &amp; Usage'!$F32="yes",'Equipment List &amp; Usage'!$C$114,'Equipment List &amp; Usage'!$C$115)*(('Weekly Summary'!AW$66*'Equipment List &amp; Usage'!$Q33)+('Weekly Summary'!AW$64*'Equipment List &amp; Usage'!$O33)+('Weekly Summary'!AW$65*'Equipment List &amp; Usage'!$P33))+(IF('Equipment List &amp; Usage'!$F33="Yes",'Equipment List &amp; Usage'!$C$114*((('Weekly Summary'!AW$131*SelfQuarantine_Mild)+('Weekly Summary'!AW$100*SelfQuarantine_Mild)+('Weekly Summary'!AW$101*SelfQuarantine_Moderate))),'Equipment List &amp; Usage'!$C$115)*((('Weekly Summary'!AW$131*SelfQuarantine_Mild*'Equipment List &amp; Usage'!$W33)+('Weekly Summary'!AW$100*SelfQuarantine_Mild*'Equipment List &amp; Usage'!$X33)+('Weekly Summary'!AW$101*SelfQuarantine_Moderate*'Equipment List &amp; Usage'!$X33))))+IF('Equipment List &amp; Usage'!$F33="Yes",'Equipment List &amp; Usage'!$C$114*(IF('Equipment List &amp; Usage'!$AA33&gt;0,'Weekly Summary'!AW$128,0)+IF('Equipment List &amp; Usage'!$AB33&gt;0,'Weekly Summary'!AW$100+'Weekly Summary'!AW$101,0)),'Equipment List &amp; Usage'!$C$115*(('Weekly Summary'!AW$128*'Equipment List &amp; Usage'!$AA33)+('Weekly Summary'!AW$100*'Equipment List &amp; Usage'!$AB33*SelfQuarantine_Mild)+('Weekly Summary'!AW$101*'Equipment List &amp; Usage'!$AB33*SelfQuarantine_Moderate)))+IF('Equipment List &amp; Usage'!$F33="Yes",('Equipment List &amp; Usage'!$C$114*(IF('Equipment List &amp; Usage'!$AE33&gt;0,'Weekly Summary'!AW$134,0)+IF('Equipment List &amp; Usage'!$AF33&gt;0,'Weekly Summary'!AW$135))),'Equipment List &amp; Usage'!$C$115*(('Weekly Summary'!AW$134*'Equipment List &amp; Usage'!$AE33)+('Weekly Summary'!AW$135*'Equipment List &amp; Usage'!$AF33)))),0)</f>
        <v>0</v>
      </c>
      <c r="BD31" s="1378">
        <f ca="1">MAX(IF($F31="Yes",(
IF($F31="yes",MMULT(--('Equipment List &amp; Usage'!$J33:$N33&gt;0),--('Weekly Summary'!AX$112:AX$116))*'Equipment List &amp; Usage'!$C$114,MMULT(--('Equipment List &amp; Usage'!$J33:$N33),--('Weekly Summary'!AX$112:AX$116))*'Equipment List &amp; Usage'!$C$115)+IF('Equipment List &amp; Usage'!$F32="yes",'Equipment List &amp; Usage'!$C$114,'Equipment List &amp; Usage'!$C$115)*(('Weekly Summary'!AX$66*'Equipment List &amp; Usage'!$Q33)+('Weekly Summary'!AX$64*'Equipment List &amp; Usage'!$O33)+('Weekly Summary'!AX$65*'Equipment List &amp; Usage'!$P33)))+(IF('Equipment List &amp; Usage'!$F33="Yes",'Equipment List &amp; Usage'!$C$114*((('Weekly Summary'!AX$131*SelfQuarantine_Mild)+('Weekly Summary'!AX$100*SelfQuarantine_Mild)+('Weekly Summary'!AX$101*SelfQuarantine_Moderate))),'Equipment List &amp; Usage'!$C$115)*((('Weekly Summary'!AX$131*SelfQuarantine_Mild*'Equipment List &amp; Usage'!$W33)+('Weekly Summary'!AX$100*SelfQuarantine_Mild*'Equipment List &amp; Usage'!$X33)+('Weekly Summary'!AX$101*SelfQuarantine_Moderate*'Equipment List &amp; Usage'!$X33)))+IF('Equipment List &amp; Usage'!$F33="Yes",'Equipment List &amp; Usage'!$C$114*(IF('Equipment List &amp; Usage'!$AA33&gt;0,'Weekly Summary'!AX$128,0)+IF('Equipment List &amp; Usage'!$AB33&gt;0,'Weekly Summary'!AX$100+'Weekly Summary'!AX$101,0)),'Equipment List &amp; Usage'!$C$115*(('Weekly Summary'!AX$128*'Equipment List &amp; Usage'!$AA33)+('Weekly Summary'!AX$100*'Equipment List &amp; Usage'!$AB33*SelfQuarantine_Mild)+('Weekly Summary'!AX$101*'Equipment List &amp; Usage'!$AB33*SelfQuarantine_Moderate)))+IF('Equipment List &amp; Usage'!$F33="Yes",('Equipment List &amp; Usage'!$C$114*(IF('Equipment List &amp; Usage'!$AE33&gt;0,'Weekly Summary'!AX$134,0)+IF('Equipment List &amp; Usage'!$AF33&gt;0,'Weekly Summary'!AX$135))),'Equipment List &amp; Usage'!$C$115*(('Weekly Summary'!AX$134*'Equipment List &amp; Usage'!$AE33)+('Weekly Summary'!AX$135*'Equipment List &amp; Usage'!$AF33))))-SUM($I31:BC31),
IF($F31="yes",MMULT(--('Equipment List &amp; Usage'!$J33:$N33&gt;0),--('Weekly Summary'!AX$112:AX$116))*'Equipment List &amp; Usage'!$C$114,MMULT(--('Equipment List &amp; Usage'!$J33:$N33),--('Weekly Summary'!AX$112:AX$116))*'Equipment List &amp; Usage'!$C$115)+IF('Equipment List &amp; Usage'!$F32="yes",'Equipment List &amp; Usage'!$C$114,'Equipment List &amp; Usage'!$C$115)*(('Weekly Summary'!AX$66*'Equipment List &amp; Usage'!$Q33)+('Weekly Summary'!AX$64*'Equipment List &amp; Usage'!$O33)+('Weekly Summary'!AX$65*'Equipment List &amp; Usage'!$P33))+(IF('Equipment List &amp; Usage'!$F33="Yes",'Equipment List &amp; Usage'!$C$114*((('Weekly Summary'!AX$131*SelfQuarantine_Mild)+('Weekly Summary'!AX$100*SelfQuarantine_Mild)+('Weekly Summary'!AX$101*SelfQuarantine_Moderate))),'Equipment List &amp; Usage'!$C$115)*((('Weekly Summary'!AX$131*SelfQuarantine_Mild*'Equipment List &amp; Usage'!$W33)+('Weekly Summary'!AX$100*SelfQuarantine_Mild*'Equipment List &amp; Usage'!$X33)+('Weekly Summary'!AX$101*SelfQuarantine_Moderate*'Equipment List &amp; Usage'!$X33))))+IF('Equipment List &amp; Usage'!$F33="Yes",'Equipment List &amp; Usage'!$C$114*(IF('Equipment List &amp; Usage'!$AA33&gt;0,'Weekly Summary'!AX$128,0)+IF('Equipment List &amp; Usage'!$AB33&gt;0,'Weekly Summary'!AX$100+'Weekly Summary'!AX$101,0)),'Equipment List &amp; Usage'!$C$115*(('Weekly Summary'!AX$128*'Equipment List &amp; Usage'!$AA33)+('Weekly Summary'!AX$100*'Equipment List &amp; Usage'!$AB33*SelfQuarantine_Mild)+('Weekly Summary'!AX$101*'Equipment List &amp; Usage'!$AB33*SelfQuarantine_Moderate)))+IF('Equipment List &amp; Usage'!$F33="Yes",('Equipment List &amp; Usage'!$C$114*(IF('Equipment List &amp; Usage'!$AE33&gt;0,'Weekly Summary'!AX$134,0)+IF('Equipment List &amp; Usage'!$AF33&gt;0,'Weekly Summary'!AX$135))),'Equipment List &amp; Usage'!$C$115*(('Weekly Summary'!AX$134*'Equipment List &amp; Usage'!$AE33)+('Weekly Summary'!AX$135*'Equipment List &amp; Usage'!$AF33)))),0)</f>
        <v>0</v>
      </c>
      <c r="BE31" s="1378">
        <f ca="1">MAX(IF($F31="Yes",(
IF($F31="yes",MMULT(--('Equipment List &amp; Usage'!$J33:$N33&gt;0),--('Weekly Summary'!AY$112:AY$116))*'Equipment List &amp; Usage'!$C$114,MMULT(--('Equipment List &amp; Usage'!$J33:$N33),--('Weekly Summary'!AY$112:AY$116))*'Equipment List &amp; Usage'!$C$115)+IF('Equipment List &amp; Usage'!$F32="yes",'Equipment List &amp; Usage'!$C$114,'Equipment List &amp; Usage'!$C$115)*(('Weekly Summary'!AY$66*'Equipment List &amp; Usage'!$Q33)+('Weekly Summary'!AY$64*'Equipment List &amp; Usage'!$O33)+('Weekly Summary'!AY$65*'Equipment List &amp; Usage'!$P33)))+(IF('Equipment List &amp; Usage'!$F33="Yes",'Equipment List &amp; Usage'!$C$114*((('Weekly Summary'!AY$131*SelfQuarantine_Mild)+('Weekly Summary'!AY$100*SelfQuarantine_Mild)+('Weekly Summary'!AY$101*SelfQuarantine_Moderate))),'Equipment List &amp; Usage'!$C$115)*((('Weekly Summary'!AY$131*SelfQuarantine_Mild*'Equipment List &amp; Usage'!$W33)+('Weekly Summary'!AY$100*SelfQuarantine_Mild*'Equipment List &amp; Usage'!$X33)+('Weekly Summary'!AY$101*SelfQuarantine_Moderate*'Equipment List &amp; Usage'!$X33)))+IF('Equipment List &amp; Usage'!$F33="Yes",'Equipment List &amp; Usage'!$C$114*(IF('Equipment List &amp; Usage'!$AA33&gt;0,'Weekly Summary'!AY$128,0)+IF('Equipment List &amp; Usage'!$AB33&gt;0,'Weekly Summary'!AY$100+'Weekly Summary'!AY$101,0)),'Equipment List &amp; Usage'!$C$115*(('Weekly Summary'!AY$128*'Equipment List &amp; Usage'!$AA33)+('Weekly Summary'!AY$100*'Equipment List &amp; Usage'!$AB33*SelfQuarantine_Mild)+('Weekly Summary'!AY$101*'Equipment List &amp; Usage'!$AB33*SelfQuarantine_Moderate)))+IF('Equipment List &amp; Usage'!$F33="Yes",('Equipment List &amp; Usage'!$C$114*(IF('Equipment List &amp; Usage'!$AE33&gt;0,'Weekly Summary'!AY$134,0)+IF('Equipment List &amp; Usage'!$AF33&gt;0,'Weekly Summary'!AY$135))),'Equipment List &amp; Usage'!$C$115*(('Weekly Summary'!AY$134*'Equipment List &amp; Usage'!$AE33)+('Weekly Summary'!AY$135*'Equipment List &amp; Usage'!$AF33))))-SUM($I31:BD31),
IF($F31="yes",MMULT(--('Equipment List &amp; Usage'!$J33:$N33&gt;0),--('Weekly Summary'!AY$112:AY$116))*'Equipment List &amp; Usage'!$C$114,MMULT(--('Equipment List &amp; Usage'!$J33:$N33),--('Weekly Summary'!AY$112:AY$116))*'Equipment List &amp; Usage'!$C$115)+IF('Equipment List &amp; Usage'!$F32="yes",'Equipment List &amp; Usage'!$C$114,'Equipment List &amp; Usage'!$C$115)*(('Weekly Summary'!AY$66*'Equipment List &amp; Usage'!$Q33)+('Weekly Summary'!AY$64*'Equipment List &amp; Usage'!$O33)+('Weekly Summary'!AY$65*'Equipment List &amp; Usage'!$P33))+(IF('Equipment List &amp; Usage'!$F33="Yes",'Equipment List &amp; Usage'!$C$114*((('Weekly Summary'!AY$131*SelfQuarantine_Mild)+('Weekly Summary'!AY$100*SelfQuarantine_Mild)+('Weekly Summary'!AY$101*SelfQuarantine_Moderate))),'Equipment List &amp; Usage'!$C$115)*((('Weekly Summary'!AY$131*SelfQuarantine_Mild*'Equipment List &amp; Usage'!$W33)+('Weekly Summary'!AY$100*SelfQuarantine_Mild*'Equipment List &amp; Usage'!$X33)+('Weekly Summary'!AY$101*SelfQuarantine_Moderate*'Equipment List &amp; Usage'!$X33))))+IF('Equipment List &amp; Usage'!$F33="Yes",'Equipment List &amp; Usage'!$C$114*(IF('Equipment List &amp; Usage'!$AA33&gt;0,'Weekly Summary'!AY$128,0)+IF('Equipment List &amp; Usage'!$AB33&gt;0,'Weekly Summary'!AY$100+'Weekly Summary'!AY$101,0)),'Equipment List &amp; Usage'!$C$115*(('Weekly Summary'!AY$128*'Equipment List &amp; Usage'!$AA33)+('Weekly Summary'!AY$100*'Equipment List &amp; Usage'!$AB33*SelfQuarantine_Mild)+('Weekly Summary'!AY$101*'Equipment List &amp; Usage'!$AB33*SelfQuarantine_Moderate)))+IF('Equipment List &amp; Usage'!$F33="Yes",('Equipment List &amp; Usage'!$C$114*(IF('Equipment List &amp; Usage'!$AE33&gt;0,'Weekly Summary'!AY$134,0)+IF('Equipment List &amp; Usage'!$AF33&gt;0,'Weekly Summary'!AY$135))),'Equipment List &amp; Usage'!$C$115*(('Weekly Summary'!AY$134*'Equipment List &amp; Usage'!$AE33)+('Weekly Summary'!AY$135*'Equipment List &amp; Usage'!$AF33)))),0)</f>
        <v>0</v>
      </c>
      <c r="BF31" s="1378">
        <f ca="1">MAX(IF($F31="Yes",(
IF($F31="yes",MMULT(--('Equipment List &amp; Usage'!$J33:$N33&gt;0),--('Weekly Summary'!AZ$112:AZ$116))*'Equipment List &amp; Usage'!$C$114,MMULT(--('Equipment List &amp; Usage'!$J33:$N33),--('Weekly Summary'!AZ$112:AZ$116))*'Equipment List &amp; Usage'!$C$115)+IF('Equipment List &amp; Usage'!$F32="yes",'Equipment List &amp; Usage'!$C$114,'Equipment List &amp; Usage'!$C$115)*(('Weekly Summary'!AZ$66*'Equipment List &amp; Usage'!$Q33)+('Weekly Summary'!AZ$64*'Equipment List &amp; Usage'!$O33)+('Weekly Summary'!AZ$65*'Equipment List &amp; Usage'!$P33)))+(IF('Equipment List &amp; Usage'!$F33="Yes",'Equipment List &amp; Usage'!$C$114*((('Weekly Summary'!AZ$131*SelfQuarantine_Mild)+('Weekly Summary'!AZ$100*SelfQuarantine_Mild)+('Weekly Summary'!AZ$101*SelfQuarantine_Moderate))),'Equipment List &amp; Usage'!$C$115)*((('Weekly Summary'!AZ$131*SelfQuarantine_Mild*'Equipment List &amp; Usage'!$W33)+('Weekly Summary'!AZ$100*SelfQuarantine_Mild*'Equipment List &amp; Usage'!$X33)+('Weekly Summary'!AZ$101*SelfQuarantine_Moderate*'Equipment List &amp; Usage'!$X33)))+IF('Equipment List &amp; Usage'!$F33="Yes",'Equipment List &amp; Usage'!$C$114*(IF('Equipment List &amp; Usage'!$AA33&gt;0,'Weekly Summary'!AZ$128,0)+IF('Equipment List &amp; Usage'!$AB33&gt;0,'Weekly Summary'!AZ$100+'Weekly Summary'!AZ$101,0)),'Equipment List &amp; Usage'!$C$115*(('Weekly Summary'!AZ$128*'Equipment List &amp; Usage'!$AA33)+('Weekly Summary'!AZ$100*'Equipment List &amp; Usage'!$AB33*SelfQuarantine_Mild)+('Weekly Summary'!AZ$101*'Equipment List &amp; Usage'!$AB33*SelfQuarantine_Moderate)))+IF('Equipment List &amp; Usage'!$F33="Yes",('Equipment List &amp; Usage'!$C$114*(IF('Equipment List &amp; Usage'!$AE33&gt;0,'Weekly Summary'!AZ$134,0)+IF('Equipment List &amp; Usage'!$AF33&gt;0,'Weekly Summary'!AZ$135))),'Equipment List &amp; Usage'!$C$115*(('Weekly Summary'!AZ$134*'Equipment List &amp; Usage'!$AE33)+('Weekly Summary'!AZ$135*'Equipment List &amp; Usage'!$AF33))))-SUM($I31:BE31),
IF($F31="yes",MMULT(--('Equipment List &amp; Usage'!$J33:$N33&gt;0),--('Weekly Summary'!AZ$112:AZ$116))*'Equipment List &amp; Usage'!$C$114,MMULT(--('Equipment List &amp; Usage'!$J33:$N33),--('Weekly Summary'!AZ$112:AZ$116))*'Equipment List &amp; Usage'!$C$115)+IF('Equipment List &amp; Usage'!$F32="yes",'Equipment List &amp; Usage'!$C$114,'Equipment List &amp; Usage'!$C$115)*(('Weekly Summary'!AZ$66*'Equipment List &amp; Usage'!$Q33)+('Weekly Summary'!AZ$64*'Equipment List &amp; Usage'!$O33)+('Weekly Summary'!AZ$65*'Equipment List &amp; Usage'!$P33))+(IF('Equipment List &amp; Usage'!$F33="Yes",'Equipment List &amp; Usage'!$C$114*((('Weekly Summary'!AZ$131*SelfQuarantine_Mild)+('Weekly Summary'!AZ$100*SelfQuarantine_Mild)+('Weekly Summary'!AZ$101*SelfQuarantine_Moderate))),'Equipment List &amp; Usage'!$C$115)*((('Weekly Summary'!AZ$131*SelfQuarantine_Mild*'Equipment List &amp; Usage'!$W33)+('Weekly Summary'!AZ$100*SelfQuarantine_Mild*'Equipment List &amp; Usage'!$X33)+('Weekly Summary'!AZ$101*SelfQuarantine_Moderate*'Equipment List &amp; Usage'!$X33))))+IF('Equipment List &amp; Usage'!$F33="Yes",'Equipment List &amp; Usage'!$C$114*(IF('Equipment List &amp; Usage'!$AA33&gt;0,'Weekly Summary'!AZ$128,0)+IF('Equipment List &amp; Usage'!$AB33&gt;0,'Weekly Summary'!AZ$100+'Weekly Summary'!AZ$101,0)),'Equipment List &amp; Usage'!$C$115*(('Weekly Summary'!AZ$128*'Equipment List &amp; Usage'!$AA33)+('Weekly Summary'!AZ$100*'Equipment List &amp; Usage'!$AB33*SelfQuarantine_Mild)+('Weekly Summary'!AZ$101*'Equipment List &amp; Usage'!$AB33*SelfQuarantine_Moderate)))+IF('Equipment List &amp; Usage'!$F33="Yes",('Equipment List &amp; Usage'!$C$114*(IF('Equipment List &amp; Usage'!$AE33&gt;0,'Weekly Summary'!AZ$134,0)+IF('Equipment List &amp; Usage'!$AF33&gt;0,'Weekly Summary'!AZ$135))),'Equipment List &amp; Usage'!$C$115*(('Weekly Summary'!AZ$134*'Equipment List &amp; Usage'!$AE33)+('Weekly Summary'!AZ$135*'Equipment List &amp; Usage'!$AF33)))),0)</f>
        <v>0</v>
      </c>
      <c r="BG31" s="1378">
        <f ca="1">MAX(IF($F31="Yes",(
IF($F31="yes",MMULT(--('Equipment List &amp; Usage'!$J33:$N33&gt;0),--('Weekly Summary'!BA$112:BA$116))*'Equipment List &amp; Usage'!$C$114,MMULT(--('Equipment List &amp; Usage'!$J33:$N33),--('Weekly Summary'!BA$112:BA$116))*'Equipment List &amp; Usage'!$C$115)+IF('Equipment List &amp; Usage'!$F32="yes",'Equipment List &amp; Usage'!$C$114,'Equipment List &amp; Usage'!$C$115)*(('Weekly Summary'!BA$66*'Equipment List &amp; Usage'!$Q33)+('Weekly Summary'!BA$64*'Equipment List &amp; Usage'!$O33)+('Weekly Summary'!BA$65*'Equipment List &amp; Usage'!$P33)))+(IF('Equipment List &amp; Usage'!$F33="Yes",'Equipment List &amp; Usage'!$C$114*((('Weekly Summary'!BA$131*SelfQuarantine_Mild)+('Weekly Summary'!BA$100*SelfQuarantine_Mild)+('Weekly Summary'!BA$101*SelfQuarantine_Moderate))),'Equipment List &amp; Usage'!$C$115)*((('Weekly Summary'!BA$131*SelfQuarantine_Mild*'Equipment List &amp; Usage'!$W33)+('Weekly Summary'!BA$100*SelfQuarantine_Mild*'Equipment List &amp; Usage'!$X33)+('Weekly Summary'!BA$101*SelfQuarantine_Moderate*'Equipment List &amp; Usage'!$X33)))+IF('Equipment List &amp; Usage'!$F33="Yes",'Equipment List &amp; Usage'!$C$114*(IF('Equipment List &amp; Usage'!$AA33&gt;0,'Weekly Summary'!BA$128,0)+IF('Equipment List &amp; Usage'!$AB33&gt;0,'Weekly Summary'!BA$100+'Weekly Summary'!BA$101,0)),'Equipment List &amp; Usage'!$C$115*(('Weekly Summary'!BA$128*'Equipment List &amp; Usage'!$AA33)+('Weekly Summary'!BA$100*'Equipment List &amp; Usage'!$AB33*SelfQuarantine_Mild)+('Weekly Summary'!BA$101*'Equipment List &amp; Usage'!$AB33*SelfQuarantine_Moderate)))+IF('Equipment List &amp; Usage'!$F33="Yes",('Equipment List &amp; Usage'!$C$114*(IF('Equipment List &amp; Usage'!$AE33&gt;0,'Weekly Summary'!BA$134,0)+IF('Equipment List &amp; Usage'!$AF33&gt;0,'Weekly Summary'!BA$135))),'Equipment List &amp; Usage'!$C$115*(('Weekly Summary'!BA$134*'Equipment List &amp; Usage'!$AE33)+('Weekly Summary'!BA$135*'Equipment List &amp; Usage'!$AF33))))-SUM($I31:BF31),
IF($F31="yes",MMULT(--('Equipment List &amp; Usage'!$J33:$N33&gt;0),--('Weekly Summary'!BA$112:BA$116))*'Equipment List &amp; Usage'!$C$114,MMULT(--('Equipment List &amp; Usage'!$J33:$N33),--('Weekly Summary'!BA$112:BA$116))*'Equipment List &amp; Usage'!$C$115)+IF('Equipment List &amp; Usage'!$F32="yes",'Equipment List &amp; Usage'!$C$114,'Equipment List &amp; Usage'!$C$115)*(('Weekly Summary'!BA$66*'Equipment List &amp; Usage'!$Q33)+('Weekly Summary'!BA$64*'Equipment List &amp; Usage'!$O33)+('Weekly Summary'!BA$65*'Equipment List &amp; Usage'!$P33))+(IF('Equipment List &amp; Usage'!$F33="Yes",'Equipment List &amp; Usage'!$C$114*((('Weekly Summary'!BA$131*SelfQuarantine_Mild)+('Weekly Summary'!BA$100*SelfQuarantine_Mild)+('Weekly Summary'!BA$101*SelfQuarantine_Moderate))),'Equipment List &amp; Usage'!$C$115)*((('Weekly Summary'!BA$131*SelfQuarantine_Mild*'Equipment List &amp; Usage'!$W33)+('Weekly Summary'!BA$100*SelfQuarantine_Mild*'Equipment List &amp; Usage'!$X33)+('Weekly Summary'!BA$101*SelfQuarantine_Moderate*'Equipment List &amp; Usage'!$X33))))+IF('Equipment List &amp; Usage'!$F33="Yes",'Equipment List &amp; Usage'!$C$114*(IF('Equipment List &amp; Usage'!$AA33&gt;0,'Weekly Summary'!BA$128,0)+IF('Equipment List &amp; Usage'!$AB33&gt;0,'Weekly Summary'!BA$100+'Weekly Summary'!BA$101,0)),'Equipment List &amp; Usage'!$C$115*(('Weekly Summary'!BA$128*'Equipment List &amp; Usage'!$AA33)+('Weekly Summary'!BA$100*'Equipment List &amp; Usage'!$AB33*SelfQuarantine_Mild)+('Weekly Summary'!BA$101*'Equipment List &amp; Usage'!$AB33*SelfQuarantine_Moderate)))+IF('Equipment List &amp; Usage'!$F33="Yes",('Equipment List &amp; Usage'!$C$114*(IF('Equipment List &amp; Usage'!$AE33&gt;0,'Weekly Summary'!BA$134,0)+IF('Equipment List &amp; Usage'!$AF33&gt;0,'Weekly Summary'!BA$135))),'Equipment List &amp; Usage'!$C$115*(('Weekly Summary'!BA$134*'Equipment List &amp; Usage'!$AE33)+('Weekly Summary'!BA$135*'Equipment List &amp; Usage'!$AF33)))),0)</f>
        <v>0</v>
      </c>
      <c r="BH31" s="1378">
        <f ca="1">MAX(IF($F31="Yes",(
IF($F31="yes",MMULT(--('Equipment List &amp; Usage'!$J33:$N33&gt;0),--('Weekly Summary'!BB$112:BB$116))*'Equipment List &amp; Usage'!$C$114,MMULT(--('Equipment List &amp; Usage'!$J33:$N33),--('Weekly Summary'!BB$112:BB$116))*'Equipment List &amp; Usage'!$C$115)+IF('Equipment List &amp; Usage'!$F32="yes",'Equipment List &amp; Usage'!$C$114,'Equipment List &amp; Usage'!$C$115)*(('Weekly Summary'!BB$66*'Equipment List &amp; Usage'!$Q33)+('Weekly Summary'!BB$64*'Equipment List &amp; Usage'!$O33)+('Weekly Summary'!BB$65*'Equipment List &amp; Usage'!$P33)))+(IF('Equipment List &amp; Usage'!$F33="Yes",'Equipment List &amp; Usage'!$C$114*((('Weekly Summary'!BB$131*SelfQuarantine_Mild)+('Weekly Summary'!BB$100*SelfQuarantine_Mild)+('Weekly Summary'!BB$101*SelfQuarantine_Moderate))),'Equipment List &amp; Usage'!$C$115)*((('Weekly Summary'!BB$131*SelfQuarantine_Mild*'Equipment List &amp; Usage'!$W33)+('Weekly Summary'!BB$100*SelfQuarantine_Mild*'Equipment List &amp; Usage'!$X33)+('Weekly Summary'!BB$101*SelfQuarantine_Moderate*'Equipment List &amp; Usage'!$X33)))+IF('Equipment List &amp; Usage'!$F33="Yes",'Equipment List &amp; Usage'!$C$114*(IF('Equipment List &amp; Usage'!$AA33&gt;0,'Weekly Summary'!BB$128,0)+IF('Equipment List &amp; Usage'!$AB33&gt;0,'Weekly Summary'!BB$100+'Weekly Summary'!BB$101,0)),'Equipment List &amp; Usage'!$C$115*(('Weekly Summary'!BB$128*'Equipment List &amp; Usage'!$AA33)+('Weekly Summary'!BB$100*'Equipment List &amp; Usage'!$AB33*SelfQuarantine_Mild)+('Weekly Summary'!BB$101*'Equipment List &amp; Usage'!$AB33*SelfQuarantine_Moderate)))+IF('Equipment List &amp; Usage'!$F33="Yes",('Equipment List &amp; Usage'!$C$114*(IF('Equipment List &amp; Usage'!$AE33&gt;0,'Weekly Summary'!BB$134,0)+IF('Equipment List &amp; Usage'!$AF33&gt;0,'Weekly Summary'!BB$135))),'Equipment List &amp; Usage'!$C$115*(('Weekly Summary'!BB$134*'Equipment List &amp; Usage'!$AE33)+('Weekly Summary'!BB$135*'Equipment List &amp; Usage'!$AF33))))-SUM($I31:BG31),
IF($F31="yes",MMULT(--('Equipment List &amp; Usage'!$J33:$N33&gt;0),--('Weekly Summary'!BB$112:BB$116))*'Equipment List &amp; Usage'!$C$114,MMULT(--('Equipment List &amp; Usage'!$J33:$N33),--('Weekly Summary'!BB$112:BB$116))*'Equipment List &amp; Usage'!$C$115)+IF('Equipment List &amp; Usage'!$F32="yes",'Equipment List &amp; Usage'!$C$114,'Equipment List &amp; Usage'!$C$115)*(('Weekly Summary'!BB$66*'Equipment List &amp; Usage'!$Q33)+('Weekly Summary'!BB$64*'Equipment List &amp; Usage'!$O33)+('Weekly Summary'!BB$65*'Equipment List &amp; Usage'!$P33))+(IF('Equipment List &amp; Usage'!$F33="Yes",'Equipment List &amp; Usage'!$C$114*((('Weekly Summary'!BB$131*SelfQuarantine_Mild)+('Weekly Summary'!BB$100*SelfQuarantine_Mild)+('Weekly Summary'!BB$101*SelfQuarantine_Moderate))),'Equipment List &amp; Usage'!$C$115)*((('Weekly Summary'!BB$131*SelfQuarantine_Mild*'Equipment List &amp; Usage'!$W33)+('Weekly Summary'!BB$100*SelfQuarantine_Mild*'Equipment List &amp; Usage'!$X33)+('Weekly Summary'!BB$101*SelfQuarantine_Moderate*'Equipment List &amp; Usage'!$X33))))+IF('Equipment List &amp; Usage'!$F33="Yes",'Equipment List &amp; Usage'!$C$114*(IF('Equipment List &amp; Usage'!$AA33&gt;0,'Weekly Summary'!BB$128,0)+IF('Equipment List &amp; Usage'!$AB33&gt;0,'Weekly Summary'!BB$100+'Weekly Summary'!BB$101,0)),'Equipment List &amp; Usage'!$C$115*(('Weekly Summary'!BB$128*'Equipment List &amp; Usage'!$AA33)+('Weekly Summary'!BB$100*'Equipment List &amp; Usage'!$AB33*SelfQuarantine_Mild)+('Weekly Summary'!BB$101*'Equipment List &amp; Usage'!$AB33*SelfQuarantine_Moderate)))+IF('Equipment List &amp; Usage'!$F33="Yes",('Equipment List &amp; Usage'!$C$114*(IF('Equipment List &amp; Usage'!$AE33&gt;0,'Weekly Summary'!BB$134,0)+IF('Equipment List &amp; Usage'!$AF33&gt;0,'Weekly Summary'!BB$135))),'Equipment List &amp; Usage'!$C$115*(('Weekly Summary'!BB$134*'Equipment List &amp; Usage'!$AE33)+('Weekly Summary'!BB$135*'Equipment List &amp; Usage'!$AF33)))),0)</f>
        <v>0</v>
      </c>
      <c r="BI31" s="1378">
        <f ca="1">MAX(IF($F31="Yes",(
IF($F31="yes",MMULT(--('Equipment List &amp; Usage'!$J33:$N33&gt;0),--('Weekly Summary'!BC$112:BC$116))*'Equipment List &amp; Usage'!$C$114,MMULT(--('Equipment List &amp; Usage'!$J33:$N33),--('Weekly Summary'!BC$112:BC$116))*'Equipment List &amp; Usage'!$C$115)+IF('Equipment List &amp; Usage'!$F32="yes",'Equipment List &amp; Usage'!$C$114,'Equipment List &amp; Usage'!$C$115)*(('Weekly Summary'!BC$66*'Equipment List &amp; Usage'!$Q33)+('Weekly Summary'!BC$64*'Equipment List &amp; Usage'!$O33)+('Weekly Summary'!BC$65*'Equipment List &amp; Usage'!$P33)))+(IF('Equipment List &amp; Usage'!$F33="Yes",'Equipment List &amp; Usage'!$C$114*((('Weekly Summary'!BC$131*SelfQuarantine_Mild)+('Weekly Summary'!BC$100*SelfQuarantine_Mild)+('Weekly Summary'!BC$101*SelfQuarantine_Moderate))),'Equipment List &amp; Usage'!$C$115)*((('Weekly Summary'!BC$131*SelfQuarantine_Mild*'Equipment List &amp; Usage'!$W33)+('Weekly Summary'!BC$100*SelfQuarantine_Mild*'Equipment List &amp; Usage'!$X33)+('Weekly Summary'!BC$101*SelfQuarantine_Moderate*'Equipment List &amp; Usage'!$X33)))+IF('Equipment List &amp; Usage'!$F33="Yes",'Equipment List &amp; Usage'!$C$114*(IF('Equipment List &amp; Usage'!$AA33&gt;0,'Weekly Summary'!BC$128,0)+IF('Equipment List &amp; Usage'!$AB33&gt;0,'Weekly Summary'!BC$100+'Weekly Summary'!BC$101,0)),'Equipment List &amp; Usage'!$C$115*(('Weekly Summary'!BC$128*'Equipment List &amp; Usage'!$AA33)+('Weekly Summary'!BC$100*'Equipment List &amp; Usage'!$AB33*SelfQuarantine_Mild)+('Weekly Summary'!BC$101*'Equipment List &amp; Usage'!$AB33*SelfQuarantine_Moderate)))+IF('Equipment List &amp; Usage'!$F33="Yes",('Equipment List &amp; Usage'!$C$114*(IF('Equipment List &amp; Usage'!$AE33&gt;0,'Weekly Summary'!BC$134,0)+IF('Equipment List &amp; Usage'!$AF33&gt;0,'Weekly Summary'!BC$135))),'Equipment List &amp; Usage'!$C$115*(('Weekly Summary'!BC$134*'Equipment List &amp; Usage'!$AE33)+('Weekly Summary'!BC$135*'Equipment List &amp; Usage'!$AF33))))-SUM($I31:BH31),
IF($F31="yes",MMULT(--('Equipment List &amp; Usage'!$J33:$N33&gt;0),--('Weekly Summary'!BC$112:BC$116))*'Equipment List &amp; Usage'!$C$114,MMULT(--('Equipment List &amp; Usage'!$J33:$N33),--('Weekly Summary'!BC$112:BC$116))*'Equipment List &amp; Usage'!$C$115)+IF('Equipment List &amp; Usage'!$F32="yes",'Equipment List &amp; Usage'!$C$114,'Equipment List &amp; Usage'!$C$115)*(('Weekly Summary'!BC$66*'Equipment List &amp; Usage'!$Q33)+('Weekly Summary'!BC$64*'Equipment List &amp; Usage'!$O33)+('Weekly Summary'!BC$65*'Equipment List &amp; Usage'!$P33))+(IF('Equipment List &amp; Usage'!$F33="Yes",'Equipment List &amp; Usage'!$C$114*((('Weekly Summary'!BC$131*SelfQuarantine_Mild)+('Weekly Summary'!BC$100*SelfQuarantine_Mild)+('Weekly Summary'!BC$101*SelfQuarantine_Moderate))),'Equipment List &amp; Usage'!$C$115)*((('Weekly Summary'!BC$131*SelfQuarantine_Mild*'Equipment List &amp; Usage'!$W33)+('Weekly Summary'!BC$100*SelfQuarantine_Mild*'Equipment List &amp; Usage'!$X33)+('Weekly Summary'!BC$101*SelfQuarantine_Moderate*'Equipment List &amp; Usage'!$X33))))+IF('Equipment List &amp; Usage'!$F33="Yes",'Equipment List &amp; Usage'!$C$114*(IF('Equipment List &amp; Usage'!$AA33&gt;0,'Weekly Summary'!BC$128,0)+IF('Equipment List &amp; Usage'!$AB33&gt;0,'Weekly Summary'!BC$100+'Weekly Summary'!BC$101,0)),'Equipment List &amp; Usage'!$C$115*(('Weekly Summary'!BC$128*'Equipment List &amp; Usage'!$AA33)+('Weekly Summary'!BC$100*'Equipment List &amp; Usage'!$AB33*SelfQuarantine_Mild)+('Weekly Summary'!BC$101*'Equipment List &amp; Usage'!$AB33*SelfQuarantine_Moderate)))+IF('Equipment List &amp; Usage'!$F33="Yes",('Equipment List &amp; Usage'!$C$114*(IF('Equipment List &amp; Usage'!$AE33&gt;0,'Weekly Summary'!BC$134,0)+IF('Equipment List &amp; Usage'!$AF33&gt;0,'Weekly Summary'!BC$135))),'Equipment List &amp; Usage'!$C$115*(('Weekly Summary'!BC$134*'Equipment List &amp; Usage'!$AE33)+('Weekly Summary'!BC$135*'Equipment List &amp; Usage'!$AF33)))),0)</f>
        <v>0</v>
      </c>
      <c r="BJ31" s="1379">
        <f ca="1">MAX(IF($F31="Yes",(
IF($F31="yes",MMULT(--('Equipment List &amp; Usage'!$J33:$N33&gt;0),--('Weekly Summary'!BD$112:BD$116))*'Equipment List &amp; Usage'!$C$114,MMULT(--('Equipment List &amp; Usage'!$J33:$N33),--('Weekly Summary'!BD$112:BD$116))*'Equipment List &amp; Usage'!$C$115)+IF('Equipment List &amp; Usage'!$F32="yes",'Equipment List &amp; Usage'!$C$114,'Equipment List &amp; Usage'!$C$115)*(('Weekly Summary'!BD$66*'Equipment List &amp; Usage'!$Q33)+('Weekly Summary'!BD$64*'Equipment List &amp; Usage'!$O33)+('Weekly Summary'!BD$65*'Equipment List &amp; Usage'!$P33)))+(IF('Equipment List &amp; Usage'!$F33="Yes",'Equipment List &amp; Usage'!$C$114*((('Weekly Summary'!BD$131*SelfQuarantine_Mild)+('Weekly Summary'!BD$100*SelfQuarantine_Mild)+('Weekly Summary'!BD$101*SelfQuarantine_Moderate))),'Equipment List &amp; Usage'!$C$115)*((('Weekly Summary'!BD$131*SelfQuarantine_Mild*'Equipment List &amp; Usage'!$W33)+('Weekly Summary'!BD$100*SelfQuarantine_Mild*'Equipment List &amp; Usage'!$X33)+('Weekly Summary'!BD$101*SelfQuarantine_Moderate*'Equipment List &amp; Usage'!$X33)))+IF('Equipment List &amp; Usage'!$F33="Yes",'Equipment List &amp; Usage'!$C$114*(IF('Equipment List &amp; Usage'!$AA33&gt;0,'Weekly Summary'!BD$128,0)+IF('Equipment List &amp; Usage'!$AB33&gt;0,'Weekly Summary'!BD$100+'Weekly Summary'!BD$101,0)),'Equipment List &amp; Usage'!$C$115*(('Weekly Summary'!BD$128*'Equipment List &amp; Usage'!$AA33)+('Weekly Summary'!BD$100*'Equipment List &amp; Usage'!$AB33*SelfQuarantine_Mild)+('Weekly Summary'!BD$101*'Equipment List &amp; Usage'!$AB33*SelfQuarantine_Moderate)))+IF('Equipment List &amp; Usage'!$F33="Yes",('Equipment List &amp; Usage'!$C$114*(IF('Equipment List &amp; Usage'!$AE33&gt;0,'Weekly Summary'!BD$134,0)+IF('Equipment List &amp; Usage'!$AF33&gt;0,'Weekly Summary'!BD$135))),'Equipment List &amp; Usage'!$C$115*(('Weekly Summary'!BD$134*'Equipment List &amp; Usage'!$AE33)+('Weekly Summary'!BD$135*'Equipment List &amp; Usage'!$AF33))))-SUM($I31:BI31),
IF($F31="yes",MMULT(--('Equipment List &amp; Usage'!$J33:$N33&gt;0),--('Weekly Summary'!BD$112:BD$116))*'Equipment List &amp; Usage'!$C$114,MMULT(--('Equipment List &amp; Usage'!$J33:$N33),--('Weekly Summary'!BD$112:BD$116))*'Equipment List &amp; Usage'!$C$115)+IF('Equipment List &amp; Usage'!$F32="yes",'Equipment List &amp; Usage'!$C$114,'Equipment List &amp; Usage'!$C$115)*(('Weekly Summary'!BD$66*'Equipment List &amp; Usage'!$Q33)+('Weekly Summary'!BD$64*'Equipment List &amp; Usage'!$O33)+('Weekly Summary'!BD$65*'Equipment List &amp; Usage'!$P33))+(IF('Equipment List &amp; Usage'!$F33="Yes",'Equipment List &amp; Usage'!$C$114*((('Weekly Summary'!BD$131*SelfQuarantine_Mild)+('Weekly Summary'!BD$100*SelfQuarantine_Mild)+('Weekly Summary'!BD$101*SelfQuarantine_Moderate))),'Equipment List &amp; Usage'!$C$115)*((('Weekly Summary'!BD$131*SelfQuarantine_Mild*'Equipment List &amp; Usage'!$W33)+('Weekly Summary'!BD$100*SelfQuarantine_Mild*'Equipment List &amp; Usage'!$X33)+('Weekly Summary'!BD$101*SelfQuarantine_Moderate*'Equipment List &amp; Usage'!$X33))))+IF('Equipment List &amp; Usage'!$F33="Yes",'Equipment List &amp; Usage'!$C$114*(IF('Equipment List &amp; Usage'!$AA33&gt;0,'Weekly Summary'!BD$128,0)+IF('Equipment List &amp; Usage'!$AB33&gt;0,'Weekly Summary'!BD$100+'Weekly Summary'!BD$101,0)),'Equipment List &amp; Usage'!$C$115*(('Weekly Summary'!BD$128*'Equipment List &amp; Usage'!$AA33)+('Weekly Summary'!BD$100*'Equipment List &amp; Usage'!$AB33*SelfQuarantine_Mild)+('Weekly Summary'!BD$101*'Equipment List &amp; Usage'!$AB33*SelfQuarantine_Moderate)))+IF('Equipment List &amp; Usage'!$F33="Yes",('Equipment List &amp; Usage'!$C$114*(IF('Equipment List &amp; Usage'!$AE33&gt;0,'Weekly Summary'!BD$134,0)+IF('Equipment List &amp; Usage'!$AF33&gt;0,'Weekly Summary'!BD$135))),'Equipment List &amp; Usage'!$C$115*(('Weekly Summary'!BD$134*'Equipment List &amp; Usage'!$AE33)+('Weekly Summary'!BD$135*'Equipment List &amp; Usage'!$AF33)))),0)</f>
        <v>0</v>
      </c>
    </row>
    <row r="32" spans="2:62" ht="15" thickBot="1" x14ac:dyDescent="0.4">
      <c r="H32" s="67"/>
      <c r="K32" s="1326"/>
      <c r="L32" s="1326"/>
      <c r="M32" s="1326"/>
      <c r="N32" s="1326"/>
      <c r="O32" s="1326"/>
      <c r="P32" s="1326"/>
      <c r="Q32" s="1326"/>
      <c r="R32" s="1326"/>
      <c r="S32" s="1326"/>
      <c r="T32" s="1326"/>
      <c r="U32" s="1326"/>
      <c r="V32" s="1326"/>
      <c r="W32" s="1326"/>
      <c r="X32" s="1326"/>
      <c r="Y32" s="1326"/>
      <c r="Z32" s="1326"/>
      <c r="AA32" s="1326"/>
      <c r="AB32" s="1326"/>
      <c r="AC32" s="1326"/>
      <c r="AD32" s="1326"/>
      <c r="AE32" s="1326"/>
      <c r="AF32" s="1326"/>
      <c r="AG32" s="1326"/>
      <c r="AH32" s="1326"/>
      <c r="AI32" s="1326"/>
      <c r="AJ32" s="1326"/>
      <c r="AK32" s="1326"/>
      <c r="AL32" s="1326"/>
      <c r="AM32" s="1326"/>
      <c r="AN32" s="1326"/>
      <c r="AO32" s="1326"/>
      <c r="AP32" s="1326"/>
      <c r="AQ32" s="1326"/>
      <c r="AR32" s="1326"/>
      <c r="AS32" s="1326"/>
      <c r="AT32" s="1326"/>
      <c r="AU32" s="1326"/>
      <c r="AV32" s="1326"/>
      <c r="AW32" s="1326"/>
      <c r="AX32" s="1326"/>
      <c r="AY32" s="1326"/>
      <c r="AZ32" s="1326"/>
      <c r="BA32" s="1326"/>
      <c r="BB32" s="1326"/>
      <c r="BC32" s="1326"/>
      <c r="BD32" s="1326"/>
      <c r="BE32" s="1326"/>
      <c r="BF32" s="1326"/>
      <c r="BG32" s="1326"/>
      <c r="BH32" s="1326"/>
      <c r="BI32" s="1326"/>
      <c r="BJ32" s="1326"/>
    </row>
    <row r="33" spans="2:62" x14ac:dyDescent="0.35">
      <c r="B33" s="734" t="str">
        <f>'Equipment List &amp; Usage'!B35</f>
        <v>Testing</v>
      </c>
      <c r="C33" s="1324" t="str">
        <f>'Equipment List &amp; Usage'!C35</f>
        <v>Diagnostics</v>
      </c>
      <c r="D33" s="1324" t="str">
        <f>'Equipment List &amp; Usage'!D35</f>
        <v>Triple packaging boxes</v>
      </c>
      <c r="E33" s="1324" t="str">
        <f>'Equipment List &amp; Usage'!E35</f>
        <v>Unit</v>
      </c>
      <c r="F33" s="1324" t="str">
        <f>'Equipment List &amp; Usage'!F35</f>
        <v>Yes</v>
      </c>
      <c r="G33" s="1324" t="str">
        <f>'Equipment List &amp; Usage'!G35</f>
        <v>N/A</v>
      </c>
      <c r="H33" s="1368">
        <f t="shared" ca="1" si="2"/>
        <v>32</v>
      </c>
      <c r="J33" s="1349"/>
      <c r="K33" s="1380">
        <f ca="1">IF('User Dashboard'!H13=1,0,Inputs!$I$172*'Weekly Summary'!D67)</f>
        <v>4</v>
      </c>
      <c r="L33" s="1380">
        <f ca="1">MAX((Inputs!$I$172*'Weekly Summary'!F67)-SUM($I$33:K33),0)</f>
        <v>0</v>
      </c>
      <c r="M33" s="1380">
        <f ca="1">MAX((Inputs!$I$172*'Weekly Summary'!G67)-SUM($I$33:L33),0)</f>
        <v>0</v>
      </c>
      <c r="N33" s="1380">
        <f ca="1">MAX((Inputs!$I$172*'Weekly Summary'!H67)-SUM($I$33:M33),0)</f>
        <v>0</v>
      </c>
      <c r="O33" s="1380">
        <f ca="1">MAX((Inputs!$I$172*'Weekly Summary'!I67)-SUM($I$33:N33),0)</f>
        <v>8</v>
      </c>
      <c r="P33" s="1380">
        <f ca="1">MAX((Inputs!$I$172*'Weekly Summary'!J67)-SUM($I$33:O33),0)</f>
        <v>20</v>
      </c>
      <c r="Q33" s="1380">
        <f ca="1">MAX((Inputs!$I$172*'Weekly Summary'!K67)-SUM($I$33:P33),0)</f>
        <v>0</v>
      </c>
      <c r="R33" s="1380">
        <f ca="1">MAX((Inputs!$I$172*'Weekly Summary'!L67)-SUM($I$33:Q33),0)</f>
        <v>0</v>
      </c>
      <c r="S33" s="1380">
        <f ca="1">MAX((Inputs!$I$172*'Weekly Summary'!M67)-SUM($I$33:R33),0)</f>
        <v>0</v>
      </c>
      <c r="T33" s="1380">
        <f ca="1">MAX((Inputs!$I$172*'Weekly Summary'!N67)-SUM($I$33:S33),0)</f>
        <v>0</v>
      </c>
      <c r="U33" s="1380">
        <f ca="1">MAX((Inputs!$I$172*'Weekly Summary'!O67)-SUM($I$33:T33),0)</f>
        <v>0</v>
      </c>
      <c r="V33" s="1380">
        <f ca="1">MAX((Inputs!$I$172*'Weekly Summary'!P67)-SUM($I$33:U33),0)</f>
        <v>0</v>
      </c>
      <c r="W33" s="1380">
        <f ca="1">MAX((Inputs!$I$172*'Weekly Summary'!Q67)-SUM($I$33:V33),0)</f>
        <v>0</v>
      </c>
      <c r="X33" s="1380">
        <f ca="1">MAX((Inputs!$I$172*'Weekly Summary'!R67)-SUM($I$33:W33),0)</f>
        <v>0</v>
      </c>
      <c r="Y33" s="1380">
        <f ca="1">MAX((Inputs!$I$172*'Weekly Summary'!S67)-SUM($I$33:X33),0)</f>
        <v>0</v>
      </c>
      <c r="Z33" s="1380">
        <f ca="1">MAX((Inputs!$I$172*'Weekly Summary'!T67)-SUM($I$33:Y33),0)</f>
        <v>0</v>
      </c>
      <c r="AA33" s="1380">
        <f ca="1">MAX((Inputs!$I$172*'Weekly Summary'!U67)-SUM($I$33:Z33),0)</f>
        <v>0</v>
      </c>
      <c r="AB33" s="1380">
        <f ca="1">MAX((Inputs!$I$172*'Weekly Summary'!V67)-SUM($I$33:AA33),0)</f>
        <v>0</v>
      </c>
      <c r="AC33" s="1380">
        <f ca="1">MAX((Inputs!$I$172*'Weekly Summary'!W67)-SUM($I$33:AB33),0)</f>
        <v>0</v>
      </c>
      <c r="AD33" s="1380">
        <f ca="1">MAX((Inputs!$I$172*'Weekly Summary'!X67)-SUM($I$33:AC33),0)</f>
        <v>0</v>
      </c>
      <c r="AE33" s="1380">
        <f ca="1">MAX((Inputs!$I$172*'Weekly Summary'!Y67)-SUM($I$33:AD33),0)</f>
        <v>0</v>
      </c>
      <c r="AF33" s="1380">
        <f ca="1">MAX((Inputs!$I$172*'Weekly Summary'!Z67)-SUM($I$33:AE33),0)</f>
        <v>0</v>
      </c>
      <c r="AG33" s="1380">
        <f ca="1">MAX((Inputs!$I$172*'Weekly Summary'!AA67)-SUM($I$33:AF33),0)</f>
        <v>0</v>
      </c>
      <c r="AH33" s="1380">
        <f ca="1">MAX((Inputs!$I$172*'Weekly Summary'!AB67)-SUM($I$33:AG33),0)</f>
        <v>0</v>
      </c>
      <c r="AI33" s="1380">
        <f ca="1">MAX((Inputs!$I$172*'Weekly Summary'!AC67)-SUM($I$33:AH33),0)</f>
        <v>0</v>
      </c>
      <c r="AJ33" s="1380">
        <f ca="1">MAX((Inputs!$I$172*'Weekly Summary'!AD67)-SUM($I$33:AI33),0)</f>
        <v>0</v>
      </c>
      <c r="AK33" s="1380">
        <f ca="1">MAX((Inputs!$I$172*'Weekly Summary'!AE67)-SUM($I$33:AJ33),0)</f>
        <v>0</v>
      </c>
      <c r="AL33" s="1380">
        <f ca="1">MAX((Inputs!$I$172*'Weekly Summary'!AF67)-SUM($I$33:AK33),0)</f>
        <v>0</v>
      </c>
      <c r="AM33" s="1380">
        <f ca="1">MAX((Inputs!$I$172*'Weekly Summary'!AG67)-SUM($I$33:AL33),0)</f>
        <v>0</v>
      </c>
      <c r="AN33" s="1380">
        <f ca="1">MAX((Inputs!$I$172*'Weekly Summary'!AH67)-SUM($I$33:AM33),0)</f>
        <v>0</v>
      </c>
      <c r="AO33" s="1380">
        <f ca="1">MAX((Inputs!$I$172*'Weekly Summary'!AI67)-SUM($I$33:AN33),0)</f>
        <v>0</v>
      </c>
      <c r="AP33" s="1380">
        <f ca="1">MAX((Inputs!$I$172*'Weekly Summary'!AJ67)-SUM($I$33:AO33),0)</f>
        <v>0</v>
      </c>
      <c r="AQ33" s="1380">
        <f ca="1">MAX((Inputs!$I$172*'Weekly Summary'!AK67)-SUM($I$33:AP33),0)</f>
        <v>0</v>
      </c>
      <c r="AR33" s="1380">
        <f ca="1">MAX((Inputs!$I$172*'Weekly Summary'!AL67)-SUM($I$33:AQ33),0)</f>
        <v>0</v>
      </c>
      <c r="AS33" s="1380">
        <f ca="1">MAX((Inputs!$I$172*'Weekly Summary'!AM67)-SUM($I$33:AR33),0)</f>
        <v>0</v>
      </c>
      <c r="AT33" s="1380">
        <f ca="1">MAX((Inputs!$I$172*'Weekly Summary'!AN67)-SUM($I$33:AS33),0)</f>
        <v>0</v>
      </c>
      <c r="AU33" s="1380">
        <f ca="1">MAX((Inputs!$I$172*'Weekly Summary'!AO67)-SUM($I$33:AT33),0)</f>
        <v>0</v>
      </c>
      <c r="AV33" s="1380">
        <f ca="1">MAX((Inputs!$I$172*'Weekly Summary'!AP67)-SUM($I$33:AU33),0)</f>
        <v>0</v>
      </c>
      <c r="AW33" s="1380">
        <f ca="1">MAX((Inputs!$I$172*'Weekly Summary'!AQ67)-SUM($I$33:AV33),0)</f>
        <v>0</v>
      </c>
      <c r="AX33" s="1380">
        <f ca="1">MAX((Inputs!$I$172*'Weekly Summary'!AR67)-SUM($I$33:AW33),0)</f>
        <v>0</v>
      </c>
      <c r="AY33" s="1380">
        <f ca="1">MAX((Inputs!$I$172*'Weekly Summary'!AS67)-SUM($I$33:AX33),0)</f>
        <v>0</v>
      </c>
      <c r="AZ33" s="1380">
        <f ca="1">MAX((Inputs!$I$172*'Weekly Summary'!AT67)-SUM($I$33:AY33),0)</f>
        <v>0</v>
      </c>
      <c r="BA33" s="1380">
        <f ca="1">MAX((Inputs!$I$172*'Weekly Summary'!AU67)-SUM($I$33:AZ33),0)</f>
        <v>0</v>
      </c>
      <c r="BB33" s="1380">
        <f ca="1">MAX((Inputs!$I$172*'Weekly Summary'!AV67)-SUM($I$33:BA33),0)</f>
        <v>0</v>
      </c>
      <c r="BC33" s="1380">
        <f ca="1">MAX((Inputs!$I$172*'Weekly Summary'!AW67)-SUM($I$33:BB33),0)</f>
        <v>0</v>
      </c>
      <c r="BD33" s="1380">
        <f ca="1">MAX((Inputs!$I$172*'Weekly Summary'!AX67)-SUM($I$33:BC33),0)</f>
        <v>0</v>
      </c>
      <c r="BE33" s="1380">
        <f ca="1">MAX((Inputs!$I$172*'Weekly Summary'!AY67)-SUM($I$33:BD33),0)</f>
        <v>0</v>
      </c>
      <c r="BF33" s="1380">
        <f ca="1">MAX((Inputs!$I$172*'Weekly Summary'!AZ67)-SUM($I$33:BE33),0)</f>
        <v>0</v>
      </c>
      <c r="BG33" s="1380">
        <f ca="1">MAX((Inputs!$I$172*'Weekly Summary'!BA67)-SUM($I$33:BF33),0)</f>
        <v>0</v>
      </c>
      <c r="BH33" s="1380">
        <f ca="1">MAX((Inputs!$I$172*'Weekly Summary'!BB67)-SUM($I$33:BG33),0)</f>
        <v>0</v>
      </c>
      <c r="BI33" s="1380">
        <f ca="1">MAX((Inputs!$I$172*'Weekly Summary'!BC67)-SUM($I$33:BH33),0)</f>
        <v>0</v>
      </c>
      <c r="BJ33" s="1380">
        <f ca="1">MAX((Inputs!$I$172*'Weekly Summary'!BD67)-SUM($I$33:BI33),0)</f>
        <v>0</v>
      </c>
    </row>
    <row r="34" spans="2:62" ht="15" customHeight="1" x14ac:dyDescent="0.35">
      <c r="B34" s="735" t="str">
        <f>'Equipment List &amp; Usage'!B36</f>
        <v>Testing</v>
      </c>
      <c r="C34" s="526" t="str">
        <f>'Equipment List &amp; Usage'!C36</f>
        <v>Diagnostics</v>
      </c>
      <c r="D34" s="526" t="str">
        <f>'Equipment List &amp; Usage'!D36</f>
        <v>Swab and Viral transport medium</v>
      </c>
      <c r="E34" s="526" t="str">
        <f>'Equipment List &amp; Usage'!E36</f>
        <v>Unit</v>
      </c>
      <c r="F34" s="526" t="str">
        <f>'Equipment List &amp; Usage'!F36</f>
        <v>No</v>
      </c>
      <c r="G34" s="526" t="str">
        <f>'Equipment List &amp; Usage'!G36</f>
        <v>N/A</v>
      </c>
      <c r="H34" s="1369">
        <f t="shared" ca="1" si="2"/>
        <v>2887.5941249875659</v>
      </c>
      <c r="I34" s="29"/>
      <c r="J34" s="1344"/>
      <c r="K34" s="1381">
        <f ca="1">IF('User Dashboard'!H13=1,0,'Weekly Summary'!E105)</f>
        <v>3.9447959253514897</v>
      </c>
      <c r="L34" s="1381">
        <f ca="1">'Weekly Summary'!F105</f>
        <v>13.522073185836895</v>
      </c>
      <c r="M34" s="1381">
        <f ca="1">'Weekly Summary'!G105</f>
        <v>46.456875679129723</v>
      </c>
      <c r="N34" s="1381">
        <f ca="1">'Weekly Summary'!H105</f>
        <v>159.64274388660294</v>
      </c>
      <c r="O34" s="1381">
        <f ca="1">'Weekly Summary'!I105</f>
        <v>548.52932316278793</v>
      </c>
      <c r="P34" s="1381">
        <f ca="1">'Weekly Summary'!J105</f>
        <v>1884.0126783943278</v>
      </c>
      <c r="Q34" s="1381">
        <f ca="1">'Weekly Summary'!K105</f>
        <v>195.80193268669456</v>
      </c>
      <c r="R34" s="1381">
        <f ca="1">'Weekly Summary'!L105</f>
        <v>35.683702066834272</v>
      </c>
      <c r="S34" s="1381">
        <f ca="1">'Weekly Summary'!M105</f>
        <v>0</v>
      </c>
      <c r="T34" s="1381">
        <f ca="1">'Weekly Summary'!N105</f>
        <v>0</v>
      </c>
      <c r="U34" s="1381">
        <f ca="1">'Weekly Summary'!O105</f>
        <v>0</v>
      </c>
      <c r="V34" s="1381">
        <f ca="1">'Weekly Summary'!P105</f>
        <v>0</v>
      </c>
      <c r="W34" s="1381">
        <f ca="1">'Weekly Summary'!Q105</f>
        <v>0</v>
      </c>
      <c r="X34" s="1381">
        <f ca="1">'Weekly Summary'!R105</f>
        <v>0</v>
      </c>
      <c r="Y34" s="1381">
        <f ca="1">'Weekly Summary'!S105</f>
        <v>0</v>
      </c>
      <c r="Z34" s="1381">
        <f ca="1">'Weekly Summary'!T105</f>
        <v>0</v>
      </c>
      <c r="AA34" s="1381">
        <f ca="1">'Weekly Summary'!U105</f>
        <v>0</v>
      </c>
      <c r="AB34" s="1381">
        <f ca="1">'Weekly Summary'!V105</f>
        <v>0</v>
      </c>
      <c r="AC34" s="1381">
        <f ca="1">'Weekly Summary'!W105</f>
        <v>0</v>
      </c>
      <c r="AD34" s="1381">
        <f ca="1">'Weekly Summary'!X105</f>
        <v>0</v>
      </c>
      <c r="AE34" s="1381">
        <f ca="1">'Weekly Summary'!Y105</f>
        <v>0</v>
      </c>
      <c r="AF34" s="1381">
        <f ca="1">'Weekly Summary'!Z105</f>
        <v>0</v>
      </c>
      <c r="AG34" s="1381">
        <f ca="1">'Weekly Summary'!AA105</f>
        <v>0</v>
      </c>
      <c r="AH34" s="1381">
        <f ca="1">'Weekly Summary'!AB105</f>
        <v>0</v>
      </c>
      <c r="AI34" s="1381">
        <f ca="1">'Weekly Summary'!AC105</f>
        <v>0</v>
      </c>
      <c r="AJ34" s="1381">
        <f ca="1">'Weekly Summary'!AD105</f>
        <v>0</v>
      </c>
      <c r="AK34" s="1381">
        <f ca="1">'Weekly Summary'!AE105</f>
        <v>0</v>
      </c>
      <c r="AL34" s="1381">
        <f ca="1">'Weekly Summary'!AF105</f>
        <v>0</v>
      </c>
      <c r="AM34" s="1381">
        <f ca="1">'Weekly Summary'!AG105</f>
        <v>0</v>
      </c>
      <c r="AN34" s="1381">
        <f ca="1">'Weekly Summary'!AH105</f>
        <v>0</v>
      </c>
      <c r="AO34" s="1381">
        <f ca="1">'Weekly Summary'!AI105</f>
        <v>0</v>
      </c>
      <c r="AP34" s="1381">
        <f ca="1">'Weekly Summary'!AJ105</f>
        <v>0</v>
      </c>
      <c r="AQ34" s="1381">
        <f ca="1">'Weekly Summary'!AK105</f>
        <v>0</v>
      </c>
      <c r="AR34" s="1381">
        <f ca="1">'Weekly Summary'!AL105</f>
        <v>0</v>
      </c>
      <c r="AS34" s="1381">
        <f ca="1">'Weekly Summary'!AM105</f>
        <v>0</v>
      </c>
      <c r="AT34" s="1381">
        <f ca="1">'Weekly Summary'!AN105</f>
        <v>0</v>
      </c>
      <c r="AU34" s="1381">
        <f ca="1">'Weekly Summary'!AO105</f>
        <v>0</v>
      </c>
      <c r="AV34" s="1381">
        <f ca="1">'Weekly Summary'!AP105</f>
        <v>0</v>
      </c>
      <c r="AW34" s="1381">
        <f ca="1">'Weekly Summary'!AQ105</f>
        <v>0</v>
      </c>
      <c r="AX34" s="1381">
        <f ca="1">'Weekly Summary'!AR105</f>
        <v>0</v>
      </c>
      <c r="AY34" s="1381">
        <f ca="1">'Weekly Summary'!AS105</f>
        <v>0</v>
      </c>
      <c r="AZ34" s="1381">
        <f ca="1">'Weekly Summary'!AT105</f>
        <v>0</v>
      </c>
      <c r="BA34" s="1381">
        <f ca="1">'Weekly Summary'!AU105</f>
        <v>0</v>
      </c>
      <c r="BB34" s="1381">
        <f ca="1">'Weekly Summary'!AV105</f>
        <v>0</v>
      </c>
      <c r="BC34" s="1381">
        <f ca="1">'Weekly Summary'!AW105</f>
        <v>0</v>
      </c>
      <c r="BD34" s="1381">
        <f ca="1">'Weekly Summary'!AX105</f>
        <v>0</v>
      </c>
      <c r="BE34" s="1381">
        <f ca="1">'Weekly Summary'!AY105</f>
        <v>0</v>
      </c>
      <c r="BF34" s="1381">
        <f ca="1">'Weekly Summary'!AZ105</f>
        <v>0</v>
      </c>
      <c r="BG34" s="1381">
        <f ca="1">'Weekly Summary'!BA105</f>
        <v>0</v>
      </c>
      <c r="BH34" s="1381">
        <f ca="1">'Weekly Summary'!BB105</f>
        <v>0</v>
      </c>
      <c r="BI34" s="1381">
        <f ca="1">'Weekly Summary'!BC105</f>
        <v>0</v>
      </c>
      <c r="BJ34" s="1382">
        <f ca="1">'Weekly Summary'!BD105</f>
        <v>0</v>
      </c>
    </row>
    <row r="35" spans="2:62" x14ac:dyDescent="0.35">
      <c r="B35" s="735" t="str">
        <f>'Equipment List &amp; Usage'!B37</f>
        <v>Testing</v>
      </c>
      <c r="C35" s="526" t="str">
        <f>'Equipment List &amp; Usage'!C37</f>
        <v>Diagnostics</v>
      </c>
      <c r="D35" s="526" t="str">
        <f>'Equipment List &amp; Usage'!D37</f>
        <v>Safety box</v>
      </c>
      <c r="E35" s="526" t="str">
        <f>'Equipment List &amp; Usage'!E37</f>
        <v>Each</v>
      </c>
      <c r="F35" s="526" t="str">
        <f>'Equipment List &amp; Usage'!F37</f>
        <v>Yes</v>
      </c>
      <c r="G35" s="526" t="str">
        <f>'Equipment List &amp; Usage'!G37</f>
        <v>N/A</v>
      </c>
      <c r="H35" s="1369">
        <f t="shared" ca="1" si="2"/>
        <v>120</v>
      </c>
      <c r="I35" s="29"/>
      <c r="J35" s="1344"/>
      <c r="K35" s="1381">
        <f ca="1">IF('User Dashboard'!H13=1,0,'Weekly Summary'!E$67*Inputs!$I$171)</f>
        <v>8</v>
      </c>
      <c r="L35" s="1381">
        <f ca="1">'Weekly Summary'!F$67*Inputs!$I$171</f>
        <v>8</v>
      </c>
      <c r="M35" s="1381">
        <f ca="1">'Weekly Summary'!G$67*Inputs!$I$171</f>
        <v>8</v>
      </c>
      <c r="N35" s="1381">
        <f ca="1">'Weekly Summary'!H$67*Inputs!$I$171</f>
        <v>8</v>
      </c>
      <c r="O35" s="1381">
        <f ca="1">'Weekly Summary'!I$67*Inputs!$I$171</f>
        <v>24</v>
      </c>
      <c r="P35" s="1381">
        <f ca="1">'Weekly Summary'!J$67*Inputs!$I$171</f>
        <v>64</v>
      </c>
      <c r="Q35" s="1381">
        <f>'Weekly Summary'!K$67*Inputs!$I$171</f>
        <v>0</v>
      </c>
      <c r="R35" s="1381">
        <f>'Weekly Summary'!L$67*Inputs!$I$171</f>
        <v>0</v>
      </c>
      <c r="S35" s="1381">
        <f>'Weekly Summary'!M$67*Inputs!$I$171</f>
        <v>0</v>
      </c>
      <c r="T35" s="1381">
        <f>'Weekly Summary'!N$67*Inputs!$I$171</f>
        <v>0</v>
      </c>
      <c r="U35" s="1381">
        <f>'Weekly Summary'!O$67*Inputs!$I$171</f>
        <v>0</v>
      </c>
      <c r="V35" s="1381">
        <f>'Weekly Summary'!P$67*Inputs!$I$171</f>
        <v>0</v>
      </c>
      <c r="W35" s="1381">
        <f>'Weekly Summary'!Q$67*Inputs!$I$171</f>
        <v>0</v>
      </c>
      <c r="X35" s="1381">
        <f>'Weekly Summary'!R$67*Inputs!$I$171</f>
        <v>0</v>
      </c>
      <c r="Y35" s="1381">
        <f>'Weekly Summary'!S$67*Inputs!$I$171</f>
        <v>0</v>
      </c>
      <c r="Z35" s="1381">
        <f>'Weekly Summary'!T$67*Inputs!$I$171</f>
        <v>0</v>
      </c>
      <c r="AA35" s="1381">
        <f>'Weekly Summary'!U$67*Inputs!$I$171</f>
        <v>0</v>
      </c>
      <c r="AB35" s="1381">
        <f>'Weekly Summary'!V$67*Inputs!$I$171</f>
        <v>0</v>
      </c>
      <c r="AC35" s="1381">
        <f>'Weekly Summary'!W$67*Inputs!$I$171</f>
        <v>0</v>
      </c>
      <c r="AD35" s="1381">
        <f>'Weekly Summary'!X$67*Inputs!$I$171</f>
        <v>0</v>
      </c>
      <c r="AE35" s="1381">
        <f>'Weekly Summary'!Y$67*Inputs!$I$171</f>
        <v>0</v>
      </c>
      <c r="AF35" s="1381">
        <f>'Weekly Summary'!Z$67*Inputs!$I$171</f>
        <v>0</v>
      </c>
      <c r="AG35" s="1381">
        <f>'Weekly Summary'!AA$67*Inputs!$I$171</f>
        <v>0</v>
      </c>
      <c r="AH35" s="1381">
        <f>'Weekly Summary'!AB$67*Inputs!$I$171</f>
        <v>0</v>
      </c>
      <c r="AI35" s="1381">
        <f>'Weekly Summary'!AC$67*Inputs!$I$171</f>
        <v>0</v>
      </c>
      <c r="AJ35" s="1381">
        <f>'Weekly Summary'!AD$67*Inputs!$I$171</f>
        <v>0</v>
      </c>
      <c r="AK35" s="1381">
        <f>'Weekly Summary'!AE$67*Inputs!$I$171</f>
        <v>0</v>
      </c>
      <c r="AL35" s="1381">
        <f>'Weekly Summary'!AF$67*Inputs!$I$171</f>
        <v>0</v>
      </c>
      <c r="AM35" s="1381">
        <f>'Weekly Summary'!AG$67*Inputs!$I$171</f>
        <v>0</v>
      </c>
      <c r="AN35" s="1381">
        <f>'Weekly Summary'!AH$67*Inputs!$I$171</f>
        <v>0</v>
      </c>
      <c r="AO35" s="1381">
        <f>'Weekly Summary'!AI$67*Inputs!$I$171</f>
        <v>0</v>
      </c>
      <c r="AP35" s="1381">
        <f>'Weekly Summary'!AJ$67*Inputs!$I$171</f>
        <v>0</v>
      </c>
      <c r="AQ35" s="1381">
        <f>'Weekly Summary'!AK$67*Inputs!$I$171</f>
        <v>0</v>
      </c>
      <c r="AR35" s="1381">
        <f>'Weekly Summary'!AL$67*Inputs!$I$171</f>
        <v>0</v>
      </c>
      <c r="AS35" s="1381">
        <f>'Weekly Summary'!AM$67*Inputs!$I$171</f>
        <v>0</v>
      </c>
      <c r="AT35" s="1381">
        <f>'Weekly Summary'!AN$67*Inputs!$I$171</f>
        <v>0</v>
      </c>
      <c r="AU35" s="1381">
        <f>'Weekly Summary'!AO$67*Inputs!$I$171</f>
        <v>0</v>
      </c>
      <c r="AV35" s="1381">
        <f>'Weekly Summary'!AP$67*Inputs!$I$171</f>
        <v>0</v>
      </c>
      <c r="AW35" s="1381">
        <f>'Weekly Summary'!AQ$67*Inputs!$I$171</f>
        <v>0</v>
      </c>
      <c r="AX35" s="1381">
        <f>'Weekly Summary'!AR$67*Inputs!$I$171</f>
        <v>0</v>
      </c>
      <c r="AY35" s="1381">
        <f>'Weekly Summary'!AS$67*Inputs!$I$171</f>
        <v>0</v>
      </c>
      <c r="AZ35" s="1381">
        <f>'Weekly Summary'!AT$67*Inputs!$I$171</f>
        <v>0</v>
      </c>
      <c r="BA35" s="1381">
        <f>'Weekly Summary'!AU$67*Inputs!$I$171</f>
        <v>0</v>
      </c>
      <c r="BB35" s="1381">
        <f>'Weekly Summary'!AV$67*Inputs!$I$171</f>
        <v>0</v>
      </c>
      <c r="BC35" s="1381">
        <f>'Weekly Summary'!AW$67*Inputs!$I$171</f>
        <v>0</v>
      </c>
      <c r="BD35" s="1381">
        <f>'Weekly Summary'!AX$67*Inputs!$I$171</f>
        <v>0</v>
      </c>
      <c r="BE35" s="1381">
        <f>'Weekly Summary'!AY$67*Inputs!$I$171</f>
        <v>0</v>
      </c>
      <c r="BF35" s="1381">
        <f>'Weekly Summary'!AZ$67*Inputs!$I$171</f>
        <v>0</v>
      </c>
      <c r="BG35" s="1381">
        <f>'Weekly Summary'!BA$67*Inputs!$I$171</f>
        <v>0</v>
      </c>
      <c r="BH35" s="1381">
        <f>'Weekly Summary'!BB$67*Inputs!$I$171</f>
        <v>0</v>
      </c>
      <c r="BI35" s="1381">
        <f>'Weekly Summary'!BC$67*Inputs!$I$171</f>
        <v>0</v>
      </c>
      <c r="BJ35" s="1382">
        <f>'Weekly Summary'!BD$67*Inputs!$I$171</f>
        <v>0</v>
      </c>
    </row>
    <row r="36" spans="2:62" x14ac:dyDescent="0.35">
      <c r="B36" s="735" t="str">
        <f>'Equipment List &amp; Usage'!B38</f>
        <v>Testing</v>
      </c>
      <c r="C36" s="526" t="str">
        <f>'Equipment List &amp; Usage'!C38</f>
        <v>Diagnostics</v>
      </c>
      <c r="D36" s="526" t="str">
        <f>'Equipment List &amp; Usage'!D38</f>
        <v>Extraction kit</v>
      </c>
      <c r="E36" s="526" t="str">
        <f>'Equipment List &amp; Usage'!E38</f>
        <v>Unit</v>
      </c>
      <c r="F36" s="526" t="str">
        <f>'Equipment List &amp; Usage'!F38</f>
        <v>No</v>
      </c>
      <c r="G36" s="526" t="str">
        <f>'Equipment List &amp; Usage'!G38</f>
        <v>N/A</v>
      </c>
      <c r="H36" s="1369">
        <f t="shared" ca="1" si="2"/>
        <v>0.49852253403524083</v>
      </c>
      <c r="I36" s="29"/>
      <c r="J36" s="1344"/>
      <c r="K36" s="1381">
        <f ca="1">IF('User Dashboard'!H13=1,0,(K37*90)/'Back Calculations'!$C$50)</f>
        <v>6.8104088588509146E-4</v>
      </c>
      <c r="L36" s="1381">
        <f ca="1">(L37*90)/'Back Calculations'!$C$50</f>
        <v>2.3344895086467245E-3</v>
      </c>
      <c r="M36" s="1381">
        <f ca="1">(M37*90)/'Back Calculations'!$C$50</f>
        <v>8.020448298640178E-3</v>
      </c>
      <c r="N36" s="1381">
        <f ca="1">(N37*90)/'Back Calculations'!$C$50</f>
        <v>2.756118130799665E-2</v>
      </c>
      <c r="O36" s="1381">
        <f ca="1">(O37*90)/'Back Calculations'!$C$50</f>
        <v>9.4699676041530262E-2</v>
      </c>
      <c r="P36" s="1381">
        <f ca="1">(P37*90)/'Back Calculations'!$C$50</f>
        <v>0.32526135389325395</v>
      </c>
      <c r="Q36" s="1381">
        <f ca="1">(Q37*90)/'Back Calculations'!$C$50</f>
        <v>3.3803807400525493E-2</v>
      </c>
      <c r="R36" s="1381">
        <f ca="1">(R37*90)/'Back Calculations'!$C$50</f>
        <v>6.1605366987624631E-3</v>
      </c>
      <c r="S36" s="1381">
        <f ca="1">(S37*90)/'Back Calculations'!$C$50</f>
        <v>0</v>
      </c>
      <c r="T36" s="1381">
        <f ca="1">(T37*90)/'Back Calculations'!$C$50</f>
        <v>0</v>
      </c>
      <c r="U36" s="1381">
        <f ca="1">(U37*90)/'Back Calculations'!$C$50</f>
        <v>0</v>
      </c>
      <c r="V36" s="1381">
        <f ca="1">(V37*90)/'Back Calculations'!$C$50</f>
        <v>0</v>
      </c>
      <c r="W36" s="1381">
        <f ca="1">(W37*90)/'Back Calculations'!$C$50</f>
        <v>0</v>
      </c>
      <c r="X36" s="1381">
        <f ca="1">(X37*90)/'Back Calculations'!$C$50</f>
        <v>0</v>
      </c>
      <c r="Y36" s="1381">
        <f ca="1">(Y37*90)/'Back Calculations'!$C$50</f>
        <v>0</v>
      </c>
      <c r="Z36" s="1381">
        <f ca="1">(Z37*90)/'Back Calculations'!$C$50</f>
        <v>0</v>
      </c>
      <c r="AA36" s="1381">
        <f ca="1">(AA37*90)/'Back Calculations'!$C$50</f>
        <v>0</v>
      </c>
      <c r="AB36" s="1381">
        <f ca="1">(AB37*90)/'Back Calculations'!$C$50</f>
        <v>0</v>
      </c>
      <c r="AC36" s="1381">
        <f ca="1">(AC37*90)/'Back Calculations'!$C$50</f>
        <v>0</v>
      </c>
      <c r="AD36" s="1381">
        <f ca="1">(AD37*90)/'Back Calculations'!$C$50</f>
        <v>0</v>
      </c>
      <c r="AE36" s="1381">
        <f ca="1">(AE37*90)/'Back Calculations'!$C$50</f>
        <v>0</v>
      </c>
      <c r="AF36" s="1381">
        <f ca="1">(AF37*90)/'Back Calculations'!$C$50</f>
        <v>0</v>
      </c>
      <c r="AG36" s="1381">
        <f ca="1">(AG37*90)/'Back Calculations'!$C$50</f>
        <v>0</v>
      </c>
      <c r="AH36" s="1381">
        <f ca="1">(AH37*90)/'Back Calculations'!$C$50</f>
        <v>0</v>
      </c>
      <c r="AI36" s="1381">
        <f ca="1">(AI37*90)/'Back Calculations'!$C$50</f>
        <v>0</v>
      </c>
      <c r="AJ36" s="1381">
        <f ca="1">(AJ37*90)/'Back Calculations'!$C$50</f>
        <v>0</v>
      </c>
      <c r="AK36" s="1381">
        <f ca="1">(AK37*90)/'Back Calculations'!$C$50</f>
        <v>0</v>
      </c>
      <c r="AL36" s="1381">
        <f ca="1">(AL37*90)/'Back Calculations'!$C$50</f>
        <v>0</v>
      </c>
      <c r="AM36" s="1381">
        <f ca="1">(AM37*90)/'Back Calculations'!$C$50</f>
        <v>0</v>
      </c>
      <c r="AN36" s="1381">
        <f ca="1">(AN37*90)/'Back Calculations'!$C$50</f>
        <v>0</v>
      </c>
      <c r="AO36" s="1381">
        <f ca="1">(AO37*90)/'Back Calculations'!$C$50</f>
        <v>0</v>
      </c>
      <c r="AP36" s="1381">
        <f ca="1">(AP37*90)/'Back Calculations'!$C$50</f>
        <v>0</v>
      </c>
      <c r="AQ36" s="1381">
        <f ca="1">(AQ37*90)/'Back Calculations'!$C$50</f>
        <v>0</v>
      </c>
      <c r="AR36" s="1381">
        <f ca="1">(AR37*90)/'Back Calculations'!$C$50</f>
        <v>0</v>
      </c>
      <c r="AS36" s="1381">
        <f ca="1">(AS37*90)/'Back Calculations'!$C$50</f>
        <v>0</v>
      </c>
      <c r="AT36" s="1381">
        <f ca="1">(AT37*90)/'Back Calculations'!$C$50</f>
        <v>0</v>
      </c>
      <c r="AU36" s="1381">
        <f ca="1">(AU37*90)/'Back Calculations'!$C$50</f>
        <v>0</v>
      </c>
      <c r="AV36" s="1381">
        <f ca="1">(AV37*90)/'Back Calculations'!$C$50</f>
        <v>0</v>
      </c>
      <c r="AW36" s="1381">
        <f ca="1">(AW37*90)/'Back Calculations'!$C$50</f>
        <v>0</v>
      </c>
      <c r="AX36" s="1381">
        <f ca="1">(AX37*90)/'Back Calculations'!$C$50</f>
        <v>0</v>
      </c>
      <c r="AY36" s="1381">
        <f ca="1">(AY37*90)/'Back Calculations'!$C$50</f>
        <v>0</v>
      </c>
      <c r="AZ36" s="1381">
        <f ca="1">(AZ37*90)/'Back Calculations'!$C$50</f>
        <v>0</v>
      </c>
      <c r="BA36" s="1381">
        <f ca="1">(BA37*90)/'Back Calculations'!$C$50</f>
        <v>0</v>
      </c>
      <c r="BB36" s="1381">
        <f ca="1">(BB37*90)/'Back Calculations'!$C$50</f>
        <v>0</v>
      </c>
      <c r="BC36" s="1381">
        <f ca="1">(BC37*90)/'Back Calculations'!$C$50</f>
        <v>0</v>
      </c>
      <c r="BD36" s="1381">
        <f ca="1">(BD37*90)/'Back Calculations'!$C$50</f>
        <v>0</v>
      </c>
      <c r="BE36" s="1381">
        <f ca="1">(BE37*90)/'Back Calculations'!$C$50</f>
        <v>0</v>
      </c>
      <c r="BF36" s="1381">
        <f ca="1">(BF37*90)/'Back Calculations'!$C$50</f>
        <v>0</v>
      </c>
      <c r="BG36" s="1381">
        <f ca="1">(BG37*90)/'Back Calculations'!$C$50</f>
        <v>0</v>
      </c>
      <c r="BH36" s="1381">
        <f ca="1">(BH37*90)/'Back Calculations'!$C$50</f>
        <v>0</v>
      </c>
      <c r="BI36" s="1381">
        <f ca="1">(BI37*90)/'Back Calculations'!$C$50</f>
        <v>0</v>
      </c>
      <c r="BJ36" s="1382">
        <f ca="1">(BJ37*90)/'Back Calculations'!$C$50</f>
        <v>0</v>
      </c>
    </row>
    <row r="37" spans="2:62" x14ac:dyDescent="0.35">
      <c r="B37" s="735" t="str">
        <f>'Equipment List &amp; Usage'!B39</f>
        <v>Testing</v>
      </c>
      <c r="C37" s="526" t="str">
        <f>'Equipment List &amp; Usage'!C39</f>
        <v>Diagnostics</v>
      </c>
      <c r="D37" s="526" t="str">
        <f>'Equipment List &amp; Usage'!D39</f>
        <v>RT-PCR reaction kit (manual)</v>
      </c>
      <c r="E37" s="526" t="str">
        <f>'Equipment List &amp; Usage'!E39</f>
        <v>100T/kit</v>
      </c>
      <c r="F37" s="526" t="str">
        <f>'Equipment List &amp; Usage'!F39</f>
        <v>No</v>
      </c>
      <c r="G37" s="526" t="str">
        <f>'Equipment List &amp; Usage'!G39</f>
        <v>N/A</v>
      </c>
      <c r="H37" s="1369">
        <f t="shared" ca="1" si="2"/>
        <v>1.2463063350881021</v>
      </c>
      <c r="I37" s="29"/>
      <c r="J37" s="1344"/>
      <c r="K37" s="1381">
        <f ca="1">IF('User Dashboard'!H13=1,0,'Weekly Summary'!E$105*'Diagnostics Module'!$I$7/'Back Calculations'!$C$53)</f>
        <v>1.7026022147127288E-3</v>
      </c>
      <c r="L37" s="1381">
        <f ca="1">'Weekly Summary'!F$105*'Diagnostics Module'!$I$7/'Back Calculations'!$C$53</f>
        <v>5.836223771616811E-3</v>
      </c>
      <c r="M37" s="1381">
        <f ca="1">'Weekly Summary'!G$105*'Diagnostics Module'!$I$7/'Back Calculations'!$C$53</f>
        <v>2.0051120746600447E-2</v>
      </c>
      <c r="N37" s="1381">
        <f ca="1">'Weekly Summary'!H$105*'Diagnostics Module'!$I$7/'Back Calculations'!$C$53</f>
        <v>6.8902953269991629E-2</v>
      </c>
      <c r="O37" s="1381">
        <f ca="1">'Weekly Summary'!I$105*'Diagnostics Module'!$I$7/'Back Calculations'!$C$53</f>
        <v>0.23674919010382567</v>
      </c>
      <c r="P37" s="1381">
        <f ca="1">'Weekly Summary'!J$105*'Diagnostics Module'!$I$7/'Back Calculations'!$C$53</f>
        <v>0.81315338473313481</v>
      </c>
      <c r="Q37" s="1381">
        <f ca="1">'Weekly Summary'!K$105*'Diagnostics Module'!$I$7/'Back Calculations'!$C$53</f>
        <v>8.4509518501313732E-2</v>
      </c>
      <c r="R37" s="1381">
        <f ca="1">'Weekly Summary'!L$105*'Diagnostics Module'!$I$7/'Back Calculations'!$C$53</f>
        <v>1.5401341746906157E-2</v>
      </c>
      <c r="S37" s="1381">
        <f ca="1">'Weekly Summary'!M$105*'Diagnostics Module'!$I$7/'Back Calculations'!$C$53</f>
        <v>0</v>
      </c>
      <c r="T37" s="1381">
        <f ca="1">'Weekly Summary'!N$105*'Diagnostics Module'!$I$7/'Back Calculations'!$C$53</f>
        <v>0</v>
      </c>
      <c r="U37" s="1381">
        <f ca="1">'Weekly Summary'!O$105*'Diagnostics Module'!$I$7/'Back Calculations'!$C$53</f>
        <v>0</v>
      </c>
      <c r="V37" s="1381">
        <f ca="1">'Weekly Summary'!P$105*'Diagnostics Module'!$I$7/'Back Calculations'!$C$53</f>
        <v>0</v>
      </c>
      <c r="W37" s="1381">
        <f ca="1">'Weekly Summary'!Q$105*'Diagnostics Module'!$I$7/'Back Calculations'!$C$53</f>
        <v>0</v>
      </c>
      <c r="X37" s="1381">
        <f ca="1">'Weekly Summary'!R$105*'Diagnostics Module'!$I$7/'Back Calculations'!$C$53</f>
        <v>0</v>
      </c>
      <c r="Y37" s="1381">
        <f ca="1">'Weekly Summary'!S$105*'Diagnostics Module'!$I$7/'Back Calculations'!$C$53</f>
        <v>0</v>
      </c>
      <c r="Z37" s="1381">
        <f ca="1">'Weekly Summary'!T$105*'Diagnostics Module'!$I$7/'Back Calculations'!$C$53</f>
        <v>0</v>
      </c>
      <c r="AA37" s="1381">
        <f ca="1">'Weekly Summary'!U$105*'Diagnostics Module'!$I$7/'Back Calculations'!$C$53</f>
        <v>0</v>
      </c>
      <c r="AB37" s="1381">
        <f ca="1">'Weekly Summary'!V$105*'Diagnostics Module'!$I$7/'Back Calculations'!$C$53</f>
        <v>0</v>
      </c>
      <c r="AC37" s="1381">
        <f ca="1">'Weekly Summary'!W$105*'Diagnostics Module'!$I$7/'Back Calculations'!$C$53</f>
        <v>0</v>
      </c>
      <c r="AD37" s="1381">
        <f ca="1">'Weekly Summary'!X$105*'Diagnostics Module'!$I$7/'Back Calculations'!$C$53</f>
        <v>0</v>
      </c>
      <c r="AE37" s="1381">
        <f ca="1">'Weekly Summary'!Y$105*'Diagnostics Module'!$I$7/'Back Calculations'!$C$53</f>
        <v>0</v>
      </c>
      <c r="AF37" s="1381">
        <f ca="1">'Weekly Summary'!Z$105*'Diagnostics Module'!$I$7/'Back Calculations'!$C$53</f>
        <v>0</v>
      </c>
      <c r="AG37" s="1381">
        <f ca="1">'Weekly Summary'!AA$105*'Diagnostics Module'!$I$7/'Back Calculations'!$C$53</f>
        <v>0</v>
      </c>
      <c r="AH37" s="1381">
        <f ca="1">'Weekly Summary'!AB$105*'Diagnostics Module'!$I$7/'Back Calculations'!$C$53</f>
        <v>0</v>
      </c>
      <c r="AI37" s="1381">
        <f ca="1">'Weekly Summary'!AC$105*'Diagnostics Module'!$I$7/'Back Calculations'!$C$53</f>
        <v>0</v>
      </c>
      <c r="AJ37" s="1381">
        <f ca="1">'Weekly Summary'!AD$105*'Diagnostics Module'!$I$7/'Back Calculations'!$C$53</f>
        <v>0</v>
      </c>
      <c r="AK37" s="1381">
        <f ca="1">'Weekly Summary'!AE$105*'Diagnostics Module'!$I$7/'Back Calculations'!$C$53</f>
        <v>0</v>
      </c>
      <c r="AL37" s="1381">
        <f ca="1">'Weekly Summary'!AF$105*'Diagnostics Module'!$I$7/'Back Calculations'!$C$53</f>
        <v>0</v>
      </c>
      <c r="AM37" s="1381">
        <f ca="1">'Weekly Summary'!AG$105*'Diagnostics Module'!$I$7/'Back Calculations'!$C$53</f>
        <v>0</v>
      </c>
      <c r="AN37" s="1381">
        <f ca="1">'Weekly Summary'!AH$105*'Diagnostics Module'!$I$7/'Back Calculations'!$C$53</f>
        <v>0</v>
      </c>
      <c r="AO37" s="1381">
        <f ca="1">'Weekly Summary'!AI$105*'Diagnostics Module'!$I$7/'Back Calculations'!$C$53</f>
        <v>0</v>
      </c>
      <c r="AP37" s="1381">
        <f ca="1">'Weekly Summary'!AJ$105*'Diagnostics Module'!$I$7/'Back Calculations'!$C$53</f>
        <v>0</v>
      </c>
      <c r="AQ37" s="1381">
        <f ca="1">'Weekly Summary'!AK$105*'Diagnostics Module'!$I$7/'Back Calculations'!$C$53</f>
        <v>0</v>
      </c>
      <c r="AR37" s="1381">
        <f ca="1">'Weekly Summary'!AL$105*'Diagnostics Module'!$I$7/'Back Calculations'!$C$53</f>
        <v>0</v>
      </c>
      <c r="AS37" s="1381">
        <f ca="1">'Weekly Summary'!AM$105*'Diagnostics Module'!$I$7/'Back Calculations'!$C$53</f>
        <v>0</v>
      </c>
      <c r="AT37" s="1381">
        <f ca="1">'Weekly Summary'!AN$105*'Diagnostics Module'!$I$7/'Back Calculations'!$C$53</f>
        <v>0</v>
      </c>
      <c r="AU37" s="1381">
        <f ca="1">'Weekly Summary'!AO$105*'Diagnostics Module'!$I$7/'Back Calculations'!$C$53</f>
        <v>0</v>
      </c>
      <c r="AV37" s="1381">
        <f ca="1">'Weekly Summary'!AP$105*'Diagnostics Module'!$I$7/'Back Calculations'!$C$53</f>
        <v>0</v>
      </c>
      <c r="AW37" s="1381">
        <f ca="1">'Weekly Summary'!AQ$105*'Diagnostics Module'!$I$7/'Back Calculations'!$C$53</f>
        <v>0</v>
      </c>
      <c r="AX37" s="1381">
        <f ca="1">'Weekly Summary'!AR$105*'Diagnostics Module'!$I$7/'Back Calculations'!$C$53</f>
        <v>0</v>
      </c>
      <c r="AY37" s="1381">
        <f ca="1">'Weekly Summary'!AS$105*'Diagnostics Module'!$I$7/'Back Calculations'!$C$53</f>
        <v>0</v>
      </c>
      <c r="AZ37" s="1381">
        <f ca="1">'Weekly Summary'!AT$105*'Diagnostics Module'!$I$7/'Back Calculations'!$C$53</f>
        <v>0</v>
      </c>
      <c r="BA37" s="1381">
        <f ca="1">'Weekly Summary'!AU$105*'Diagnostics Module'!$I$7/'Back Calculations'!$C$53</f>
        <v>0</v>
      </c>
      <c r="BB37" s="1381">
        <f ca="1">'Weekly Summary'!AV$105*'Diagnostics Module'!$I$7/'Back Calculations'!$C$53</f>
        <v>0</v>
      </c>
      <c r="BC37" s="1381">
        <f ca="1">'Weekly Summary'!AW$105*'Diagnostics Module'!$I$7/'Back Calculations'!$C$53</f>
        <v>0</v>
      </c>
      <c r="BD37" s="1381">
        <f ca="1">'Weekly Summary'!AX$105*'Diagnostics Module'!$I$7/'Back Calculations'!$C$53</f>
        <v>0</v>
      </c>
      <c r="BE37" s="1381">
        <f ca="1">'Weekly Summary'!AY$105*'Diagnostics Module'!$I$7/'Back Calculations'!$C$53</f>
        <v>0</v>
      </c>
      <c r="BF37" s="1381">
        <f ca="1">'Weekly Summary'!AZ$105*'Diagnostics Module'!$I$7/'Back Calculations'!$C$53</f>
        <v>0</v>
      </c>
      <c r="BG37" s="1381">
        <f ca="1">'Weekly Summary'!BA$105*'Diagnostics Module'!$I$7/'Back Calculations'!$C$53</f>
        <v>0</v>
      </c>
      <c r="BH37" s="1381">
        <f ca="1">'Weekly Summary'!BB$105*'Diagnostics Module'!$I$7/'Back Calculations'!$C$53</f>
        <v>0</v>
      </c>
      <c r="BI37" s="1381">
        <f ca="1">'Weekly Summary'!BC$105*'Diagnostics Module'!$I$7/'Back Calculations'!$C$53</f>
        <v>0</v>
      </c>
      <c r="BJ37" s="1382">
        <f ca="1">'Weekly Summary'!BD$105*'Diagnostics Module'!$I$7/'Back Calculations'!$C$53</f>
        <v>0</v>
      </c>
    </row>
    <row r="38" spans="2:62" x14ac:dyDescent="0.35">
      <c r="B38" s="735" t="str">
        <f>'Equipment List &amp; Usage'!B40</f>
        <v>Testing</v>
      </c>
      <c r="C38" s="526" t="str">
        <f>'Equipment List &amp; Usage'!C40</f>
        <v>Diagnostics</v>
      </c>
      <c r="D38" s="526" t="str">
        <f>'Equipment List &amp; Usage'!D40</f>
        <v>Test kits - high-throughput PCR</v>
      </c>
      <c r="E38" s="526" t="str">
        <f>'Equipment List &amp; Usage'!E40</f>
        <v>1T/kit</v>
      </c>
      <c r="F38" s="526" t="str">
        <f>'Equipment List &amp; Usage'!F40</f>
        <v>No</v>
      </c>
      <c r="G38" s="526" t="str">
        <f>'Equipment List &amp; Usage'!G40</f>
        <v>N/A</v>
      </c>
      <c r="H38" s="1369">
        <f t="shared" ca="1" si="2"/>
        <v>2476.5366443113703</v>
      </c>
      <c r="I38" s="29"/>
      <c r="J38" s="1344"/>
      <c r="K38" s="1381">
        <f ca="1">IF('User Dashboard'!H13=1,0,'Weekly Summary'!E$105*'Diagnostics Module'!$I$5)</f>
        <v>3.3832426721346147</v>
      </c>
      <c r="L38" s="1381">
        <f ca="1">'Weekly Summary'!F$105*'Diagnostics Module'!$I$5</f>
        <v>11.597166465328458</v>
      </c>
      <c r="M38" s="1381">
        <f ca="1">'Weekly Summary'!G$105*'Diagnostics Module'!$I$5</f>
        <v>39.843603366549267</v>
      </c>
      <c r="N38" s="1381">
        <f ca="1">'Weekly Summary'!H$105*'Diagnostics Module'!$I$5</f>
        <v>136.91713174381448</v>
      </c>
      <c r="O38" s="1381">
        <f ca="1">'Weekly Summary'!I$105*'Diagnostics Module'!$I$5</f>
        <v>470.44456751615252</v>
      </c>
      <c r="P38" s="1381">
        <f ca="1">'Weekly Summary'!J$105*'Diagnostics Module'!$I$5</f>
        <v>1615.8179558600043</v>
      </c>
      <c r="Q38" s="1381">
        <f ca="1">'Weekly Summary'!K$105*'Diagnostics Module'!$I$5</f>
        <v>167.9289541177036</v>
      </c>
      <c r="R38" s="1381">
        <f ca="1">'Weekly Summary'!L$105*'Diagnostics Module'!$I$5</f>
        <v>30.604022569683337</v>
      </c>
      <c r="S38" s="1381">
        <f ca="1">'Weekly Summary'!M$105*'Diagnostics Module'!$I$5</f>
        <v>0</v>
      </c>
      <c r="T38" s="1381">
        <f ca="1">'Weekly Summary'!N$105*'Diagnostics Module'!$I$5</f>
        <v>0</v>
      </c>
      <c r="U38" s="1381">
        <f ca="1">'Weekly Summary'!O$105*'Diagnostics Module'!$I$5</f>
        <v>0</v>
      </c>
      <c r="V38" s="1381">
        <f ca="1">'Weekly Summary'!P$105*'Diagnostics Module'!$I$5</f>
        <v>0</v>
      </c>
      <c r="W38" s="1381">
        <f ca="1">'Weekly Summary'!Q$105*'Diagnostics Module'!$I$5</f>
        <v>0</v>
      </c>
      <c r="X38" s="1381">
        <f ca="1">'Weekly Summary'!R$105*'Diagnostics Module'!$I$5</f>
        <v>0</v>
      </c>
      <c r="Y38" s="1381">
        <f ca="1">'Weekly Summary'!S$105*'Diagnostics Module'!$I$5</f>
        <v>0</v>
      </c>
      <c r="Z38" s="1381">
        <f ca="1">'Weekly Summary'!T$105*'Diagnostics Module'!$I$5</f>
        <v>0</v>
      </c>
      <c r="AA38" s="1381">
        <f ca="1">'Weekly Summary'!U$105*'Diagnostics Module'!$I$5</f>
        <v>0</v>
      </c>
      <c r="AB38" s="1381">
        <f ca="1">'Weekly Summary'!V$105*'Diagnostics Module'!$I$5</f>
        <v>0</v>
      </c>
      <c r="AC38" s="1381">
        <f ca="1">'Weekly Summary'!W$105*'Diagnostics Module'!$I$5</f>
        <v>0</v>
      </c>
      <c r="AD38" s="1381">
        <f ca="1">'Weekly Summary'!X$105*'Diagnostics Module'!$I$5</f>
        <v>0</v>
      </c>
      <c r="AE38" s="1381">
        <f ca="1">'Weekly Summary'!Y$105*'Diagnostics Module'!$I$5</f>
        <v>0</v>
      </c>
      <c r="AF38" s="1381">
        <f ca="1">'Weekly Summary'!Z$105*'Diagnostics Module'!$I$5</f>
        <v>0</v>
      </c>
      <c r="AG38" s="1381">
        <f ca="1">'Weekly Summary'!AA$105*'Diagnostics Module'!$I$5</f>
        <v>0</v>
      </c>
      <c r="AH38" s="1381">
        <f ca="1">'Weekly Summary'!AB$105*'Diagnostics Module'!$I$5</f>
        <v>0</v>
      </c>
      <c r="AI38" s="1381">
        <f ca="1">'Weekly Summary'!AC$105*'Diagnostics Module'!$I$5</f>
        <v>0</v>
      </c>
      <c r="AJ38" s="1381">
        <f ca="1">'Weekly Summary'!AD$105*'Diagnostics Module'!$I$5</f>
        <v>0</v>
      </c>
      <c r="AK38" s="1381">
        <f ca="1">'Weekly Summary'!AE$105*'Diagnostics Module'!$I$5</f>
        <v>0</v>
      </c>
      <c r="AL38" s="1381">
        <f ca="1">'Weekly Summary'!AF$105*'Diagnostics Module'!$I$5</f>
        <v>0</v>
      </c>
      <c r="AM38" s="1381">
        <f ca="1">'Weekly Summary'!AG$105*'Diagnostics Module'!$I$5</f>
        <v>0</v>
      </c>
      <c r="AN38" s="1381">
        <f ca="1">'Weekly Summary'!AH$105*'Diagnostics Module'!$I$5</f>
        <v>0</v>
      </c>
      <c r="AO38" s="1381">
        <f ca="1">'Weekly Summary'!AI$105*'Diagnostics Module'!$I$5</f>
        <v>0</v>
      </c>
      <c r="AP38" s="1381">
        <f ca="1">'Weekly Summary'!AJ$105*'Diagnostics Module'!$I$5</f>
        <v>0</v>
      </c>
      <c r="AQ38" s="1381">
        <f ca="1">'Weekly Summary'!AK$105*'Diagnostics Module'!$I$5</f>
        <v>0</v>
      </c>
      <c r="AR38" s="1381">
        <f ca="1">'Weekly Summary'!AL$105*'Diagnostics Module'!$I$5</f>
        <v>0</v>
      </c>
      <c r="AS38" s="1381">
        <f ca="1">'Weekly Summary'!AM$105*'Diagnostics Module'!$I$5</f>
        <v>0</v>
      </c>
      <c r="AT38" s="1381">
        <f ca="1">'Weekly Summary'!AN$105*'Diagnostics Module'!$I$5</f>
        <v>0</v>
      </c>
      <c r="AU38" s="1381">
        <f ca="1">'Weekly Summary'!AO$105*'Diagnostics Module'!$I$5</f>
        <v>0</v>
      </c>
      <c r="AV38" s="1381">
        <f ca="1">'Weekly Summary'!AP$105*'Diagnostics Module'!$I$5</f>
        <v>0</v>
      </c>
      <c r="AW38" s="1381">
        <f ca="1">'Weekly Summary'!AQ$105*'Diagnostics Module'!$I$5</f>
        <v>0</v>
      </c>
      <c r="AX38" s="1381">
        <f ca="1">'Weekly Summary'!AR$105*'Diagnostics Module'!$I$5</f>
        <v>0</v>
      </c>
      <c r="AY38" s="1381">
        <f ca="1">'Weekly Summary'!AS$105*'Diagnostics Module'!$I$5</f>
        <v>0</v>
      </c>
      <c r="AZ38" s="1381">
        <f ca="1">'Weekly Summary'!AT$105*'Diagnostics Module'!$I$5</f>
        <v>0</v>
      </c>
      <c r="BA38" s="1381">
        <f ca="1">'Weekly Summary'!AU$105*'Diagnostics Module'!$I$5</f>
        <v>0</v>
      </c>
      <c r="BB38" s="1381">
        <f ca="1">'Weekly Summary'!AV$105*'Diagnostics Module'!$I$5</f>
        <v>0</v>
      </c>
      <c r="BC38" s="1381">
        <f ca="1">'Weekly Summary'!AW$105*'Diagnostics Module'!$I$5</f>
        <v>0</v>
      </c>
      <c r="BD38" s="1381">
        <f ca="1">'Weekly Summary'!AX$105*'Diagnostics Module'!$I$5</f>
        <v>0</v>
      </c>
      <c r="BE38" s="1381">
        <f ca="1">'Weekly Summary'!AY$105*'Diagnostics Module'!$I$5</f>
        <v>0</v>
      </c>
      <c r="BF38" s="1381">
        <f ca="1">'Weekly Summary'!AZ$105*'Diagnostics Module'!$I$5</f>
        <v>0</v>
      </c>
      <c r="BG38" s="1381">
        <f ca="1">'Weekly Summary'!BA$105*'Diagnostics Module'!$I$5</f>
        <v>0</v>
      </c>
      <c r="BH38" s="1381">
        <f ca="1">'Weekly Summary'!BB$105*'Diagnostics Module'!$I$5</f>
        <v>0</v>
      </c>
      <c r="BI38" s="1381">
        <f ca="1">'Weekly Summary'!BC$105*'Diagnostics Module'!$I$5</f>
        <v>0</v>
      </c>
      <c r="BJ38" s="1382">
        <f ca="1">'Weekly Summary'!BD$105*'Diagnostics Module'!$I$5</f>
        <v>0</v>
      </c>
    </row>
    <row r="39" spans="2:62" x14ac:dyDescent="0.35">
      <c r="B39" s="735" t="str">
        <f>'Equipment List &amp; Usage'!B41</f>
        <v>Testing</v>
      </c>
      <c r="C39" s="526" t="str">
        <f>'Equipment List &amp; Usage'!C41</f>
        <v>Diagnostics</v>
      </c>
      <c r="D39" s="526" t="str">
        <f>'Equipment List &amp; Usage'!D41</f>
        <v>For near patient PCR machine - RT-PCR cartridge</v>
      </c>
      <c r="E39" s="526" t="str">
        <f>'Equipment List &amp; Usage'!E41</f>
        <v>1T/kit</v>
      </c>
      <c r="F39" s="526" t="str">
        <f>'Equipment List &amp; Usage'!F41</f>
        <v>No</v>
      </c>
      <c r="G39" s="526" t="str">
        <f>'Equipment List &amp; Usage'!G41</f>
        <v>N/A</v>
      </c>
      <c r="H39" s="1369">
        <f t="shared" ca="1" si="2"/>
        <v>298.88991051826554</v>
      </c>
      <c r="I39" s="29"/>
      <c r="J39" s="1344"/>
      <c r="K39" s="1381">
        <f ca="1">IF('User Dashboard'!H13=1,0,'Weekly Summary'!E$105*'Diagnostics Module'!$I$6)</f>
        <v>0.40831905389272899</v>
      </c>
      <c r="L39" s="1381">
        <f ca="1">'Weekly Summary'!F$105*'Diagnostics Module'!$I$6</f>
        <v>1.3996465810629226</v>
      </c>
      <c r="M39" s="1381">
        <f ca="1">'Weekly Summary'!G$105*'Diagnostics Module'!$I$6</f>
        <v>4.8086714453864126</v>
      </c>
      <c r="N39" s="1381">
        <f ca="1">'Weekly Summary'!H$105*'Diagnostics Module'!$I$6</f>
        <v>16.524346348489196</v>
      </c>
      <c r="O39" s="1381">
        <f ca="1">'Weekly Summary'!I$105*'Diagnostics Module'!$I$6</f>
        <v>56.777328537291041</v>
      </c>
      <c r="P39" s="1381">
        <f ca="1">'Weekly Summary'!J$105*'Diagnostics Module'!$I$6</f>
        <v>195.01091790834118</v>
      </c>
      <c r="Q39" s="1381">
        <f ca="1">'Weekly Summary'!K$105*'Diagnostics Module'!$I$6</f>
        <v>20.267121903872692</v>
      </c>
      <c r="R39" s="1381">
        <f ca="1">'Weekly Summary'!L$105*'Diagnostics Module'!$I$6</f>
        <v>3.6935587399293763</v>
      </c>
      <c r="S39" s="1381">
        <f ca="1">'Weekly Summary'!M$105*'Diagnostics Module'!$I$6</f>
        <v>0</v>
      </c>
      <c r="T39" s="1381">
        <f ca="1">'Weekly Summary'!N$105*'Diagnostics Module'!$I$6</f>
        <v>0</v>
      </c>
      <c r="U39" s="1381">
        <f ca="1">'Weekly Summary'!O$105*'Diagnostics Module'!$I$6</f>
        <v>0</v>
      </c>
      <c r="V39" s="1381">
        <f ca="1">'Weekly Summary'!P$105*'Diagnostics Module'!$I$6</f>
        <v>0</v>
      </c>
      <c r="W39" s="1381">
        <f ca="1">'Weekly Summary'!Q$105*'Diagnostics Module'!$I$6</f>
        <v>0</v>
      </c>
      <c r="X39" s="1381">
        <f ca="1">'Weekly Summary'!R$105*'Diagnostics Module'!$I$6</f>
        <v>0</v>
      </c>
      <c r="Y39" s="1381">
        <f ca="1">'Weekly Summary'!S$105*'Diagnostics Module'!$I$6</f>
        <v>0</v>
      </c>
      <c r="Z39" s="1381">
        <f ca="1">'Weekly Summary'!T$105*'Diagnostics Module'!$I$6</f>
        <v>0</v>
      </c>
      <c r="AA39" s="1381">
        <f ca="1">'Weekly Summary'!U$105*'Diagnostics Module'!$I$6</f>
        <v>0</v>
      </c>
      <c r="AB39" s="1381">
        <f ca="1">'Weekly Summary'!V$105*'Diagnostics Module'!$I$6</f>
        <v>0</v>
      </c>
      <c r="AC39" s="1381">
        <f ca="1">'Weekly Summary'!W$105*'Diagnostics Module'!$I$6</f>
        <v>0</v>
      </c>
      <c r="AD39" s="1381">
        <f ca="1">'Weekly Summary'!X$105*'Diagnostics Module'!$I$6</f>
        <v>0</v>
      </c>
      <c r="AE39" s="1381">
        <f ca="1">'Weekly Summary'!Y$105*'Diagnostics Module'!$I$6</f>
        <v>0</v>
      </c>
      <c r="AF39" s="1381">
        <f ca="1">'Weekly Summary'!Z$105*'Diagnostics Module'!$I$6</f>
        <v>0</v>
      </c>
      <c r="AG39" s="1381">
        <f ca="1">'Weekly Summary'!AA$105*'Diagnostics Module'!$I$6</f>
        <v>0</v>
      </c>
      <c r="AH39" s="1381">
        <f ca="1">'Weekly Summary'!AB$105*'Diagnostics Module'!$I$6</f>
        <v>0</v>
      </c>
      <c r="AI39" s="1381">
        <f ca="1">'Weekly Summary'!AC$105*'Diagnostics Module'!$I$6</f>
        <v>0</v>
      </c>
      <c r="AJ39" s="1381">
        <f ca="1">'Weekly Summary'!AD$105*'Diagnostics Module'!$I$6</f>
        <v>0</v>
      </c>
      <c r="AK39" s="1381">
        <f ca="1">'Weekly Summary'!AE$105*'Diagnostics Module'!$I$6</f>
        <v>0</v>
      </c>
      <c r="AL39" s="1381">
        <f ca="1">'Weekly Summary'!AF$105*'Diagnostics Module'!$I$6</f>
        <v>0</v>
      </c>
      <c r="AM39" s="1381">
        <f ca="1">'Weekly Summary'!AG$105*'Diagnostics Module'!$I$6</f>
        <v>0</v>
      </c>
      <c r="AN39" s="1381">
        <f ca="1">'Weekly Summary'!AH$105*'Diagnostics Module'!$I$6</f>
        <v>0</v>
      </c>
      <c r="AO39" s="1381">
        <f ca="1">'Weekly Summary'!AI$105*'Diagnostics Module'!$I$6</f>
        <v>0</v>
      </c>
      <c r="AP39" s="1381">
        <f ca="1">'Weekly Summary'!AJ$105*'Diagnostics Module'!$I$6</f>
        <v>0</v>
      </c>
      <c r="AQ39" s="1381">
        <f ca="1">'Weekly Summary'!AK$105*'Diagnostics Module'!$I$6</f>
        <v>0</v>
      </c>
      <c r="AR39" s="1381">
        <f ca="1">'Weekly Summary'!AL$105*'Diagnostics Module'!$I$6</f>
        <v>0</v>
      </c>
      <c r="AS39" s="1381">
        <f ca="1">'Weekly Summary'!AM$105*'Diagnostics Module'!$I$6</f>
        <v>0</v>
      </c>
      <c r="AT39" s="1381">
        <f ca="1">'Weekly Summary'!AN$105*'Diagnostics Module'!$I$6</f>
        <v>0</v>
      </c>
      <c r="AU39" s="1381">
        <f ca="1">'Weekly Summary'!AO$105*'Diagnostics Module'!$I$6</f>
        <v>0</v>
      </c>
      <c r="AV39" s="1381">
        <f ca="1">'Weekly Summary'!AP$105*'Diagnostics Module'!$I$6</f>
        <v>0</v>
      </c>
      <c r="AW39" s="1381">
        <f ca="1">'Weekly Summary'!AQ$105*'Diagnostics Module'!$I$6</f>
        <v>0</v>
      </c>
      <c r="AX39" s="1381">
        <f ca="1">'Weekly Summary'!AR$105*'Diagnostics Module'!$I$6</f>
        <v>0</v>
      </c>
      <c r="AY39" s="1381">
        <f ca="1">'Weekly Summary'!AS$105*'Diagnostics Module'!$I$6</f>
        <v>0</v>
      </c>
      <c r="AZ39" s="1381">
        <f ca="1">'Weekly Summary'!AT$105*'Diagnostics Module'!$I$6</f>
        <v>0</v>
      </c>
      <c r="BA39" s="1381">
        <f ca="1">'Weekly Summary'!AU$105*'Diagnostics Module'!$I$6</f>
        <v>0</v>
      </c>
      <c r="BB39" s="1381">
        <f ca="1">'Weekly Summary'!AV$105*'Diagnostics Module'!$I$6</f>
        <v>0</v>
      </c>
      <c r="BC39" s="1381">
        <f ca="1">'Weekly Summary'!AW$105*'Diagnostics Module'!$I$6</f>
        <v>0</v>
      </c>
      <c r="BD39" s="1381">
        <f ca="1">'Weekly Summary'!AX$105*'Diagnostics Module'!$I$6</f>
        <v>0</v>
      </c>
      <c r="BE39" s="1381">
        <f ca="1">'Weekly Summary'!AY$105*'Diagnostics Module'!$I$6</f>
        <v>0</v>
      </c>
      <c r="BF39" s="1381">
        <f ca="1">'Weekly Summary'!AZ$105*'Diagnostics Module'!$I$6</f>
        <v>0</v>
      </c>
      <c r="BG39" s="1381">
        <f ca="1">'Weekly Summary'!BA$105*'Diagnostics Module'!$I$6</f>
        <v>0</v>
      </c>
      <c r="BH39" s="1381">
        <f ca="1">'Weekly Summary'!BB$105*'Diagnostics Module'!$I$6</f>
        <v>0</v>
      </c>
      <c r="BI39" s="1381">
        <f ca="1">'Weekly Summary'!BC$105*'Diagnostics Module'!$I$6</f>
        <v>0</v>
      </c>
      <c r="BJ39" s="1382">
        <f ca="1">'Weekly Summary'!BD$105*'Diagnostics Module'!$I$6</f>
        <v>0</v>
      </c>
    </row>
    <row r="40" spans="2:62" x14ac:dyDescent="0.35">
      <c r="B40" s="735" t="str">
        <f>'Equipment List &amp; Usage'!B42</f>
        <v>Testing</v>
      </c>
      <c r="C40" s="526" t="str">
        <f>'Equipment List &amp; Usage'!C42</f>
        <v>Diagnostics</v>
      </c>
      <c r="D40" s="526" t="str">
        <f>'Equipment List &amp; Usage'!D42</f>
        <v>N/A - no additional platform entered</v>
      </c>
      <c r="E40" s="526" t="str">
        <f>'Equipment List &amp; Usage'!E42</f>
        <v>Each</v>
      </c>
      <c r="F40" s="526" t="str">
        <f>'Equipment List &amp; Usage'!F42</f>
        <v>Yes</v>
      </c>
      <c r="G40" s="526" t="str">
        <f>'Equipment List &amp; Usage'!G42</f>
        <v>N/A</v>
      </c>
      <c r="H40" s="1370" t="s">
        <v>866</v>
      </c>
      <c r="J40" s="1344"/>
      <c r="K40" s="1381">
        <f ca="1">IF('User Dashboard'!H13=1,0,'Weekly Summary'!E$105*'Diagnostics Module'!$I$8)</f>
        <v>0</v>
      </c>
      <c r="L40" s="1381">
        <f ca="1">'Weekly Summary'!F$105*'Diagnostics Module'!$I$8</f>
        <v>0</v>
      </c>
      <c r="M40" s="1381">
        <f ca="1">'Weekly Summary'!G$105*'Diagnostics Module'!$I$8</f>
        <v>0</v>
      </c>
      <c r="N40" s="1381">
        <f ca="1">'Weekly Summary'!H$105*'Diagnostics Module'!$I$8</f>
        <v>0</v>
      </c>
      <c r="O40" s="1381">
        <f ca="1">'Weekly Summary'!I$105*'Diagnostics Module'!$I$8</f>
        <v>0</v>
      </c>
      <c r="P40" s="1381">
        <f ca="1">'Weekly Summary'!J$105*'Diagnostics Module'!$I$8</f>
        <v>0</v>
      </c>
      <c r="Q40" s="1381">
        <f ca="1">'Weekly Summary'!K$105*'Diagnostics Module'!$I$8</f>
        <v>0</v>
      </c>
      <c r="R40" s="1381">
        <f ca="1">'Weekly Summary'!L$105*'Diagnostics Module'!$I$8</f>
        <v>0</v>
      </c>
      <c r="S40" s="1381">
        <f ca="1">'Weekly Summary'!M$105*'Diagnostics Module'!$I$8</f>
        <v>0</v>
      </c>
      <c r="T40" s="1381">
        <f ca="1">'Weekly Summary'!N$105*'Diagnostics Module'!$I$8</f>
        <v>0</v>
      </c>
      <c r="U40" s="1381">
        <f ca="1">'Weekly Summary'!O$105*'Diagnostics Module'!$I$8</f>
        <v>0</v>
      </c>
      <c r="V40" s="1381">
        <f ca="1">'Weekly Summary'!P$105*'Diagnostics Module'!$I$8</f>
        <v>0</v>
      </c>
      <c r="W40" s="1381">
        <f ca="1">'Weekly Summary'!Q$105*'Diagnostics Module'!$I$8</f>
        <v>0</v>
      </c>
      <c r="X40" s="1381">
        <f ca="1">'Weekly Summary'!R$105*'Diagnostics Module'!$I$8</f>
        <v>0</v>
      </c>
      <c r="Y40" s="1381">
        <f ca="1">'Weekly Summary'!S$105*'Diagnostics Module'!$I$8</f>
        <v>0</v>
      </c>
      <c r="Z40" s="1381">
        <f ca="1">'Weekly Summary'!T$105*'Diagnostics Module'!$I$8</f>
        <v>0</v>
      </c>
      <c r="AA40" s="1381">
        <f ca="1">'Weekly Summary'!U$105*'Diagnostics Module'!$I$8</f>
        <v>0</v>
      </c>
      <c r="AB40" s="1381">
        <f ca="1">'Weekly Summary'!V$105*'Diagnostics Module'!$I$8</f>
        <v>0</v>
      </c>
      <c r="AC40" s="1381">
        <f ca="1">'Weekly Summary'!W$105*'Diagnostics Module'!$I$8</f>
        <v>0</v>
      </c>
      <c r="AD40" s="1381">
        <f ca="1">'Weekly Summary'!X$105*'Diagnostics Module'!$I$8</f>
        <v>0</v>
      </c>
      <c r="AE40" s="1381">
        <f ca="1">'Weekly Summary'!Y$105*'Diagnostics Module'!$I$8</f>
        <v>0</v>
      </c>
      <c r="AF40" s="1381">
        <f ca="1">'Weekly Summary'!Z$105*'Diagnostics Module'!$I$8</f>
        <v>0</v>
      </c>
      <c r="AG40" s="1381">
        <f ca="1">'Weekly Summary'!AA$105*'Diagnostics Module'!$I$8</f>
        <v>0</v>
      </c>
      <c r="AH40" s="1381">
        <f ca="1">'Weekly Summary'!AB$105*'Diagnostics Module'!$I$8</f>
        <v>0</v>
      </c>
      <c r="AI40" s="1381">
        <f ca="1">'Weekly Summary'!AC$105*'Diagnostics Module'!$I$8</f>
        <v>0</v>
      </c>
      <c r="AJ40" s="1381">
        <f ca="1">'Weekly Summary'!AD$105*'Diagnostics Module'!$I$8</f>
        <v>0</v>
      </c>
      <c r="AK40" s="1381">
        <f ca="1">'Weekly Summary'!AE$105*'Diagnostics Module'!$I$8</f>
        <v>0</v>
      </c>
      <c r="AL40" s="1381">
        <f ca="1">'Weekly Summary'!AF$105*'Diagnostics Module'!$I$8</f>
        <v>0</v>
      </c>
      <c r="AM40" s="1381">
        <f ca="1">'Weekly Summary'!AG$105*'Diagnostics Module'!$I$8</f>
        <v>0</v>
      </c>
      <c r="AN40" s="1381">
        <f ca="1">'Weekly Summary'!AH$105*'Diagnostics Module'!$I$8</f>
        <v>0</v>
      </c>
      <c r="AO40" s="1381">
        <f ca="1">'Weekly Summary'!AI$105*'Diagnostics Module'!$I$8</f>
        <v>0</v>
      </c>
      <c r="AP40" s="1381">
        <f ca="1">'Weekly Summary'!AJ$105*'Diagnostics Module'!$I$8</f>
        <v>0</v>
      </c>
      <c r="AQ40" s="1381">
        <f ca="1">'Weekly Summary'!AK$105*'Diagnostics Module'!$I$8</f>
        <v>0</v>
      </c>
      <c r="AR40" s="1381">
        <f ca="1">'Weekly Summary'!AL$105*'Diagnostics Module'!$I$8</f>
        <v>0</v>
      </c>
      <c r="AS40" s="1381">
        <f ca="1">'Weekly Summary'!AM$105*'Diagnostics Module'!$I$8</f>
        <v>0</v>
      </c>
      <c r="AT40" s="1381">
        <f ca="1">'Weekly Summary'!AN$105*'Diagnostics Module'!$I$8</f>
        <v>0</v>
      </c>
      <c r="AU40" s="1381">
        <f ca="1">'Weekly Summary'!AO$105*'Diagnostics Module'!$I$8</f>
        <v>0</v>
      </c>
      <c r="AV40" s="1381">
        <f ca="1">'Weekly Summary'!AP$105*'Diagnostics Module'!$I$8</f>
        <v>0</v>
      </c>
      <c r="AW40" s="1381">
        <f ca="1">'Weekly Summary'!AQ$105*'Diagnostics Module'!$I$8</f>
        <v>0</v>
      </c>
      <c r="AX40" s="1381">
        <f ca="1">'Weekly Summary'!AR$105*'Diagnostics Module'!$I$8</f>
        <v>0</v>
      </c>
      <c r="AY40" s="1381">
        <f ca="1">'Weekly Summary'!AS$105*'Diagnostics Module'!$I$8</f>
        <v>0</v>
      </c>
      <c r="AZ40" s="1381">
        <f ca="1">'Weekly Summary'!AT$105*'Diagnostics Module'!$I$8</f>
        <v>0</v>
      </c>
      <c r="BA40" s="1381">
        <f ca="1">'Weekly Summary'!AU$105*'Diagnostics Module'!$I$8</f>
        <v>0</v>
      </c>
      <c r="BB40" s="1381">
        <f ca="1">'Weekly Summary'!AV$105*'Diagnostics Module'!$I$8</f>
        <v>0</v>
      </c>
      <c r="BC40" s="1381">
        <f ca="1">'Weekly Summary'!AW$105*'Diagnostics Module'!$I$8</f>
        <v>0</v>
      </c>
      <c r="BD40" s="1381">
        <f ca="1">'Weekly Summary'!AX$105*'Diagnostics Module'!$I$8</f>
        <v>0</v>
      </c>
      <c r="BE40" s="1381">
        <f ca="1">'Weekly Summary'!AY$105*'Diagnostics Module'!$I$8</f>
        <v>0</v>
      </c>
      <c r="BF40" s="1381">
        <f ca="1">'Weekly Summary'!AZ$105*'Diagnostics Module'!$I$8</f>
        <v>0</v>
      </c>
      <c r="BG40" s="1381">
        <f ca="1">'Weekly Summary'!BA$105*'Diagnostics Module'!$I$8</f>
        <v>0</v>
      </c>
      <c r="BH40" s="1381">
        <f ca="1">'Weekly Summary'!BB$105*'Diagnostics Module'!$I$8</f>
        <v>0</v>
      </c>
      <c r="BI40" s="1381">
        <f ca="1">'Weekly Summary'!BC$105*'Diagnostics Module'!$I$8</f>
        <v>0</v>
      </c>
      <c r="BJ40" s="1382">
        <f ca="1">'Weekly Summary'!BD$105*'Diagnostics Module'!$I$8</f>
        <v>0</v>
      </c>
    </row>
    <row r="41" spans="2:62" x14ac:dyDescent="0.35">
      <c r="B41" s="735" t="str">
        <f>'Equipment List &amp; Usage'!B43</f>
        <v>Testing</v>
      </c>
      <c r="C41" s="526" t="str">
        <f>'Equipment List &amp; Usage'!C43</f>
        <v>Diagnostics</v>
      </c>
      <c r="D41" s="526" t="str">
        <f>'Equipment List &amp; Usage'!D43</f>
        <v>Thermocyclers for RT-PCR</v>
      </c>
      <c r="E41" s="526" t="str">
        <f>'Equipment List &amp; Usage'!E43</f>
        <v>Each</v>
      </c>
      <c r="F41" s="526" t="str">
        <f>'Equipment List &amp; Usage'!F43</f>
        <v>Yes</v>
      </c>
      <c r="G41" s="526" t="str">
        <f>'Equipment List &amp; Usage'!G43</f>
        <v>N/A</v>
      </c>
      <c r="H41" s="1370" t="s">
        <v>866</v>
      </c>
      <c r="J41" s="1344"/>
      <c r="K41" s="1381" t="s">
        <v>866</v>
      </c>
      <c r="L41" s="1381" t="s">
        <v>866</v>
      </c>
      <c r="M41" s="1381" t="s">
        <v>866</v>
      </c>
      <c r="N41" s="1381" t="s">
        <v>866</v>
      </c>
      <c r="O41" s="1381" t="s">
        <v>866</v>
      </c>
      <c r="P41" s="1381" t="s">
        <v>866</v>
      </c>
      <c r="Q41" s="1381" t="s">
        <v>866</v>
      </c>
      <c r="R41" s="1381" t="s">
        <v>866</v>
      </c>
      <c r="S41" s="1381" t="s">
        <v>866</v>
      </c>
      <c r="T41" s="1381" t="s">
        <v>866</v>
      </c>
      <c r="U41" s="1381" t="s">
        <v>866</v>
      </c>
      <c r="V41" s="1381" t="s">
        <v>866</v>
      </c>
      <c r="W41" s="1381" t="s">
        <v>866</v>
      </c>
      <c r="X41" s="1381" t="s">
        <v>866</v>
      </c>
      <c r="Y41" s="1381" t="s">
        <v>866</v>
      </c>
      <c r="Z41" s="1381" t="s">
        <v>866</v>
      </c>
      <c r="AA41" s="1381" t="s">
        <v>866</v>
      </c>
      <c r="AB41" s="1381" t="s">
        <v>866</v>
      </c>
      <c r="AC41" s="1381" t="s">
        <v>866</v>
      </c>
      <c r="AD41" s="1381" t="s">
        <v>866</v>
      </c>
      <c r="AE41" s="1381" t="s">
        <v>866</v>
      </c>
      <c r="AF41" s="1381" t="s">
        <v>866</v>
      </c>
      <c r="AG41" s="1381" t="s">
        <v>866</v>
      </c>
      <c r="AH41" s="1381" t="s">
        <v>866</v>
      </c>
      <c r="AI41" s="1381" t="s">
        <v>866</v>
      </c>
      <c r="AJ41" s="1381" t="s">
        <v>866</v>
      </c>
      <c r="AK41" s="1381" t="s">
        <v>866</v>
      </c>
      <c r="AL41" s="1381" t="s">
        <v>866</v>
      </c>
      <c r="AM41" s="1381" t="s">
        <v>866</v>
      </c>
      <c r="AN41" s="1381" t="s">
        <v>866</v>
      </c>
      <c r="AO41" s="1381" t="s">
        <v>866</v>
      </c>
      <c r="AP41" s="1381" t="s">
        <v>866</v>
      </c>
      <c r="AQ41" s="1381" t="s">
        <v>866</v>
      </c>
      <c r="AR41" s="1381" t="s">
        <v>866</v>
      </c>
      <c r="AS41" s="1381" t="s">
        <v>866</v>
      </c>
      <c r="AT41" s="1381" t="s">
        <v>866</v>
      </c>
      <c r="AU41" s="1381" t="s">
        <v>866</v>
      </c>
      <c r="AV41" s="1381" t="s">
        <v>866</v>
      </c>
      <c r="AW41" s="1381" t="s">
        <v>866</v>
      </c>
      <c r="AX41" s="1381" t="s">
        <v>866</v>
      </c>
      <c r="AY41" s="1381" t="s">
        <v>866</v>
      </c>
      <c r="AZ41" s="1381" t="s">
        <v>866</v>
      </c>
      <c r="BA41" s="1381" t="s">
        <v>866</v>
      </c>
      <c r="BB41" s="1381" t="s">
        <v>866</v>
      </c>
      <c r="BC41" s="1381" t="s">
        <v>866</v>
      </c>
      <c r="BD41" s="1381" t="s">
        <v>866</v>
      </c>
      <c r="BE41" s="1381" t="s">
        <v>866</v>
      </c>
      <c r="BF41" s="1381" t="s">
        <v>866</v>
      </c>
      <c r="BG41" s="1381" t="s">
        <v>866</v>
      </c>
      <c r="BH41" s="1381" t="s">
        <v>866</v>
      </c>
      <c r="BI41" s="1381" t="s">
        <v>866</v>
      </c>
      <c r="BJ41" s="1382" t="s">
        <v>866</v>
      </c>
    </row>
    <row r="42" spans="2:62" ht="30" customHeight="1" x14ac:dyDescent="0.35">
      <c r="B42" s="735" t="str">
        <f>'Equipment List &amp; Usage'!B44</f>
        <v>Testing</v>
      </c>
      <c r="C42" s="526" t="str">
        <f>'Equipment List &amp; Usage'!C44</f>
        <v>Diagnostics</v>
      </c>
      <c r="D42" s="526" t="str">
        <f>'Equipment List &amp; Usage'!D44</f>
        <v>Near patient PCR machine, 2 modules instrument</v>
      </c>
      <c r="E42" s="526" t="str">
        <f>'Equipment List &amp; Usage'!E44</f>
        <v>Each</v>
      </c>
      <c r="F42" s="526" t="str">
        <f>'Equipment List &amp; Usage'!F44</f>
        <v>Yes</v>
      </c>
      <c r="G42" s="526" t="str">
        <f>'Equipment List &amp; Usage'!G44</f>
        <v>N/A</v>
      </c>
      <c r="H42" s="1370" t="s">
        <v>866</v>
      </c>
      <c r="J42" s="1344"/>
      <c r="K42" s="1381" t="s">
        <v>866</v>
      </c>
      <c r="L42" s="1381" t="s">
        <v>866</v>
      </c>
      <c r="M42" s="1381" t="s">
        <v>866</v>
      </c>
      <c r="N42" s="1381" t="s">
        <v>866</v>
      </c>
      <c r="O42" s="1381" t="s">
        <v>866</v>
      </c>
      <c r="P42" s="1381" t="s">
        <v>866</v>
      </c>
      <c r="Q42" s="1381" t="s">
        <v>866</v>
      </c>
      <c r="R42" s="1381" t="s">
        <v>866</v>
      </c>
      <c r="S42" s="1381" t="s">
        <v>866</v>
      </c>
      <c r="T42" s="1381" t="s">
        <v>866</v>
      </c>
      <c r="U42" s="1381" t="s">
        <v>866</v>
      </c>
      <c r="V42" s="1381" t="s">
        <v>866</v>
      </c>
      <c r="W42" s="1381" t="s">
        <v>866</v>
      </c>
      <c r="X42" s="1381" t="s">
        <v>866</v>
      </c>
      <c r="Y42" s="1381" t="s">
        <v>866</v>
      </c>
      <c r="Z42" s="1381" t="s">
        <v>866</v>
      </c>
      <c r="AA42" s="1381" t="s">
        <v>866</v>
      </c>
      <c r="AB42" s="1381" t="s">
        <v>866</v>
      </c>
      <c r="AC42" s="1381" t="s">
        <v>866</v>
      </c>
      <c r="AD42" s="1381" t="s">
        <v>866</v>
      </c>
      <c r="AE42" s="1381" t="s">
        <v>866</v>
      </c>
      <c r="AF42" s="1381" t="s">
        <v>866</v>
      </c>
      <c r="AG42" s="1381" t="s">
        <v>866</v>
      </c>
      <c r="AH42" s="1381" t="s">
        <v>866</v>
      </c>
      <c r="AI42" s="1381" t="s">
        <v>866</v>
      </c>
      <c r="AJ42" s="1381" t="s">
        <v>866</v>
      </c>
      <c r="AK42" s="1381" t="s">
        <v>866</v>
      </c>
      <c r="AL42" s="1381" t="s">
        <v>866</v>
      </c>
      <c r="AM42" s="1381" t="s">
        <v>866</v>
      </c>
      <c r="AN42" s="1381" t="s">
        <v>866</v>
      </c>
      <c r="AO42" s="1381" t="s">
        <v>866</v>
      </c>
      <c r="AP42" s="1381" t="s">
        <v>866</v>
      </c>
      <c r="AQ42" s="1381" t="s">
        <v>866</v>
      </c>
      <c r="AR42" s="1381" t="s">
        <v>866</v>
      </c>
      <c r="AS42" s="1381" t="s">
        <v>866</v>
      </c>
      <c r="AT42" s="1381" t="s">
        <v>866</v>
      </c>
      <c r="AU42" s="1381" t="s">
        <v>866</v>
      </c>
      <c r="AV42" s="1381" t="s">
        <v>866</v>
      </c>
      <c r="AW42" s="1381" t="s">
        <v>866</v>
      </c>
      <c r="AX42" s="1381" t="s">
        <v>866</v>
      </c>
      <c r="AY42" s="1381" t="s">
        <v>866</v>
      </c>
      <c r="AZ42" s="1381" t="s">
        <v>866</v>
      </c>
      <c r="BA42" s="1381" t="s">
        <v>866</v>
      </c>
      <c r="BB42" s="1381" t="s">
        <v>866</v>
      </c>
      <c r="BC42" s="1381" t="s">
        <v>866</v>
      </c>
      <c r="BD42" s="1381" t="s">
        <v>866</v>
      </c>
      <c r="BE42" s="1381" t="s">
        <v>866</v>
      </c>
      <c r="BF42" s="1381" t="s">
        <v>866</v>
      </c>
      <c r="BG42" s="1381" t="s">
        <v>866</v>
      </c>
      <c r="BH42" s="1381" t="s">
        <v>866</v>
      </c>
      <c r="BI42" s="1381" t="s">
        <v>866</v>
      </c>
      <c r="BJ42" s="1382" t="s">
        <v>866</v>
      </c>
    </row>
    <row r="43" spans="2:62" ht="31.75" customHeight="1" thickBot="1" x14ac:dyDescent="0.4">
      <c r="B43" s="736" t="str">
        <f>'Equipment List &amp; Usage'!B45</f>
        <v>Testing</v>
      </c>
      <c r="C43" s="737" t="str">
        <f>'Equipment List &amp; Usage'!C45</f>
        <v>Diagnostics</v>
      </c>
      <c r="D43" s="737" t="str">
        <f>'Equipment List &amp; Usage'!D45</f>
        <v>Near patient PCR machine, 4 modules instrument</v>
      </c>
      <c r="E43" s="737" t="str">
        <f>'Equipment List &amp; Usage'!E45</f>
        <v>Each</v>
      </c>
      <c r="F43" s="737" t="str">
        <f>'Equipment List &amp; Usage'!F45</f>
        <v>Yes</v>
      </c>
      <c r="G43" s="737" t="str">
        <f>'Equipment List &amp; Usage'!G45</f>
        <v>N/A</v>
      </c>
      <c r="H43" s="1371" t="s">
        <v>866</v>
      </c>
      <c r="J43" s="1345"/>
      <c r="K43" s="1383" t="s">
        <v>866</v>
      </c>
      <c r="L43" s="1383" t="s">
        <v>866</v>
      </c>
      <c r="M43" s="1383" t="s">
        <v>866</v>
      </c>
      <c r="N43" s="1383" t="s">
        <v>866</v>
      </c>
      <c r="O43" s="1383" t="s">
        <v>866</v>
      </c>
      <c r="P43" s="1383" t="s">
        <v>866</v>
      </c>
      <c r="Q43" s="1383" t="s">
        <v>866</v>
      </c>
      <c r="R43" s="1383" t="s">
        <v>866</v>
      </c>
      <c r="S43" s="1383" t="s">
        <v>866</v>
      </c>
      <c r="T43" s="1383" t="s">
        <v>866</v>
      </c>
      <c r="U43" s="1383" t="s">
        <v>866</v>
      </c>
      <c r="V43" s="1383" t="s">
        <v>866</v>
      </c>
      <c r="W43" s="1383" t="s">
        <v>866</v>
      </c>
      <c r="X43" s="1383" t="s">
        <v>866</v>
      </c>
      <c r="Y43" s="1383" t="s">
        <v>866</v>
      </c>
      <c r="Z43" s="1383" t="s">
        <v>866</v>
      </c>
      <c r="AA43" s="1383" t="s">
        <v>866</v>
      </c>
      <c r="AB43" s="1383" t="s">
        <v>866</v>
      </c>
      <c r="AC43" s="1383" t="s">
        <v>866</v>
      </c>
      <c r="AD43" s="1383" t="s">
        <v>866</v>
      </c>
      <c r="AE43" s="1383" t="s">
        <v>866</v>
      </c>
      <c r="AF43" s="1383" t="s">
        <v>866</v>
      </c>
      <c r="AG43" s="1383" t="s">
        <v>866</v>
      </c>
      <c r="AH43" s="1383" t="s">
        <v>866</v>
      </c>
      <c r="AI43" s="1383" t="s">
        <v>866</v>
      </c>
      <c r="AJ43" s="1383" t="s">
        <v>866</v>
      </c>
      <c r="AK43" s="1383" t="s">
        <v>866</v>
      </c>
      <c r="AL43" s="1383" t="s">
        <v>866</v>
      </c>
      <c r="AM43" s="1383" t="s">
        <v>866</v>
      </c>
      <c r="AN43" s="1383" t="s">
        <v>866</v>
      </c>
      <c r="AO43" s="1383" t="s">
        <v>866</v>
      </c>
      <c r="AP43" s="1383" t="s">
        <v>866</v>
      </c>
      <c r="AQ43" s="1383" t="s">
        <v>866</v>
      </c>
      <c r="AR43" s="1383" t="s">
        <v>866</v>
      </c>
      <c r="AS43" s="1383" t="s">
        <v>866</v>
      </c>
      <c r="AT43" s="1383" t="s">
        <v>866</v>
      </c>
      <c r="AU43" s="1383" t="s">
        <v>866</v>
      </c>
      <c r="AV43" s="1383" t="s">
        <v>866</v>
      </c>
      <c r="AW43" s="1383" t="s">
        <v>866</v>
      </c>
      <c r="AX43" s="1383" t="s">
        <v>866</v>
      </c>
      <c r="AY43" s="1383" t="s">
        <v>866</v>
      </c>
      <c r="AZ43" s="1383" t="s">
        <v>866</v>
      </c>
      <c r="BA43" s="1383" t="s">
        <v>866</v>
      </c>
      <c r="BB43" s="1383" t="s">
        <v>866</v>
      </c>
      <c r="BC43" s="1383" t="s">
        <v>866</v>
      </c>
      <c r="BD43" s="1383" t="s">
        <v>866</v>
      </c>
      <c r="BE43" s="1383" t="s">
        <v>866</v>
      </c>
      <c r="BF43" s="1383" t="s">
        <v>866</v>
      </c>
      <c r="BG43" s="1383" t="s">
        <v>866</v>
      </c>
      <c r="BH43" s="1383" t="s">
        <v>866</v>
      </c>
      <c r="BI43" s="1383" t="s">
        <v>866</v>
      </c>
      <c r="BJ43" s="1384" t="s">
        <v>866</v>
      </c>
    </row>
    <row r="44" spans="2:62" ht="15" thickBot="1" x14ac:dyDescent="0.4">
      <c r="H44" s="67"/>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6"/>
      <c r="AJ44" s="1326"/>
      <c r="AK44" s="1326"/>
      <c r="AL44" s="1326"/>
      <c r="AM44" s="1326"/>
      <c r="AN44" s="1326"/>
      <c r="AO44" s="1326"/>
      <c r="AP44" s="1326"/>
      <c r="AQ44" s="1326"/>
      <c r="AR44" s="1326"/>
      <c r="AS44" s="1326"/>
      <c r="AT44" s="1326"/>
      <c r="AU44" s="1326"/>
      <c r="AV44" s="1326"/>
      <c r="AW44" s="1326"/>
      <c r="AX44" s="1326"/>
      <c r="AY44" s="1326"/>
      <c r="AZ44" s="1326"/>
      <c r="BA44" s="1326"/>
      <c r="BB44" s="1326"/>
      <c r="BC44" s="1326"/>
      <c r="BD44" s="1326"/>
      <c r="BE44" s="1326"/>
      <c r="BF44" s="1326"/>
      <c r="BG44" s="1326"/>
      <c r="BH44" s="1326"/>
      <c r="BI44" s="1326"/>
      <c r="BJ44" s="1326"/>
    </row>
    <row r="45" spans="2:62" s="67" customFormat="1" ht="31.75" customHeight="1" x14ac:dyDescent="0.35">
      <c r="B45" s="734" t="str">
        <f>'Equipment List &amp; Usage'!B47</f>
        <v>Case management</v>
      </c>
      <c r="C45" s="1324" t="str">
        <f>'Equipment List &amp; Usage'!C47</f>
        <v>Drugs and consumables</v>
      </c>
      <c r="D45" s="1324" t="str">
        <f>'Equipment List &amp; Usage'!D47</f>
        <v>Drugs modules 40 patients (severe + critical)</v>
      </c>
      <c r="E45" s="1324" t="str">
        <f>'Equipment List &amp; Usage'!E47</f>
        <v>Each</v>
      </c>
      <c r="F45" s="624"/>
      <c r="G45" s="770" t="s">
        <v>869</v>
      </c>
      <c r="H45" s="1368">
        <f t="shared" ca="1" si="2"/>
        <v>10.061464997517479</v>
      </c>
      <c r="J45" s="1343"/>
      <c r="K45" s="1380">
        <f ca="1">IF('User Dashboard'!$H$13=1,0,('Weekly Summary'!$E$52+'Weekly Summary'!$E$53)/40)</f>
        <v>1.4901937208404256E-2</v>
      </c>
      <c r="L45" s="1380">
        <f ca="1">('Weekly Summary'!F52+'Weekly Summary'!F53)/40</f>
        <v>5.1210628348291223E-2</v>
      </c>
      <c r="M45" s="1380">
        <f ca="1">('Weekly Summary'!G52+'Weekly Summary'!G53)/40</f>
        <v>0.17598403854921524</v>
      </c>
      <c r="N45" s="1380">
        <f ca="1">('Weekly Summary'!H52+'Weekly Summary'!H53)/40</f>
        <v>0.60474463055997218</v>
      </c>
      <c r="O45" s="1380">
        <f ca="1">('Weekly Summary'!I52+'Weekly Summary'!I53)/40</f>
        <v>2.0778833494847411</v>
      </c>
      <c r="P45" s="1380">
        <f ca="1">('Weekly Summary'!J52+'Weekly Summary'!J53)/40</f>
        <v>7.1367404133668542</v>
      </c>
      <c r="Q45" s="1380">
        <f ca="1">('Weekly Summary'!K52+'Weekly Summary'!K53)/40</f>
        <v>0</v>
      </c>
      <c r="R45" s="1380">
        <f ca="1">('Weekly Summary'!L52+'Weekly Summary'!L53)/40</f>
        <v>0</v>
      </c>
      <c r="S45" s="1380">
        <f ca="1">('Weekly Summary'!M52+'Weekly Summary'!M53)/40</f>
        <v>0</v>
      </c>
      <c r="T45" s="1380">
        <f ca="1">('Weekly Summary'!N52+'Weekly Summary'!N53)/40</f>
        <v>0</v>
      </c>
      <c r="U45" s="1380">
        <f ca="1">('Weekly Summary'!O52+'Weekly Summary'!O53)/40</f>
        <v>0</v>
      </c>
      <c r="V45" s="1380">
        <f ca="1">('Weekly Summary'!P52+'Weekly Summary'!P53)/40</f>
        <v>0</v>
      </c>
      <c r="W45" s="1380">
        <f ca="1">('Weekly Summary'!Q52+'Weekly Summary'!Q53)/40</f>
        <v>0</v>
      </c>
      <c r="X45" s="1380">
        <f ca="1">('Weekly Summary'!R52+'Weekly Summary'!R53)/40</f>
        <v>0</v>
      </c>
      <c r="Y45" s="1380">
        <f ca="1">('Weekly Summary'!S52+'Weekly Summary'!S53)/40</f>
        <v>0</v>
      </c>
      <c r="Z45" s="1380">
        <f ca="1">('Weekly Summary'!T52+'Weekly Summary'!T53)/40</f>
        <v>0</v>
      </c>
      <c r="AA45" s="1380">
        <f ca="1">('Weekly Summary'!U52+'Weekly Summary'!U53)/40</f>
        <v>0</v>
      </c>
      <c r="AB45" s="1380">
        <f ca="1">('Weekly Summary'!V52+'Weekly Summary'!V53)/40</f>
        <v>0</v>
      </c>
      <c r="AC45" s="1380">
        <f ca="1">('Weekly Summary'!W52+'Weekly Summary'!W53)/40</f>
        <v>0</v>
      </c>
      <c r="AD45" s="1380">
        <f ca="1">('Weekly Summary'!X52+'Weekly Summary'!X53)/40</f>
        <v>0</v>
      </c>
      <c r="AE45" s="1380">
        <f ca="1">('Weekly Summary'!Y52+'Weekly Summary'!Y53)/40</f>
        <v>0</v>
      </c>
      <c r="AF45" s="1380">
        <f ca="1">('Weekly Summary'!Z52+'Weekly Summary'!Z53)/40</f>
        <v>0</v>
      </c>
      <c r="AG45" s="1380">
        <f ca="1">('Weekly Summary'!AA52+'Weekly Summary'!AA53)/40</f>
        <v>0</v>
      </c>
      <c r="AH45" s="1380">
        <f ca="1">('Weekly Summary'!AB52+'Weekly Summary'!AB53)/40</f>
        <v>0</v>
      </c>
      <c r="AI45" s="1380">
        <f ca="1">('Weekly Summary'!AC52+'Weekly Summary'!AC53)/40</f>
        <v>0</v>
      </c>
      <c r="AJ45" s="1380">
        <f ca="1">('Weekly Summary'!AD52+'Weekly Summary'!AD53)/40</f>
        <v>0</v>
      </c>
      <c r="AK45" s="1380">
        <f ca="1">('Weekly Summary'!AE52+'Weekly Summary'!AE53)/40</f>
        <v>0</v>
      </c>
      <c r="AL45" s="1380">
        <f ca="1">('Weekly Summary'!AF52+'Weekly Summary'!AF53)/40</f>
        <v>0</v>
      </c>
      <c r="AM45" s="1380">
        <f ca="1">('Weekly Summary'!AG52+'Weekly Summary'!AG53)/40</f>
        <v>0</v>
      </c>
      <c r="AN45" s="1380">
        <f ca="1">('Weekly Summary'!AH52+'Weekly Summary'!AH53)/40</f>
        <v>0</v>
      </c>
      <c r="AO45" s="1380">
        <f ca="1">('Weekly Summary'!AI52+'Weekly Summary'!AI53)/40</f>
        <v>0</v>
      </c>
      <c r="AP45" s="1380">
        <f ca="1">('Weekly Summary'!AJ52+'Weekly Summary'!AJ53)/40</f>
        <v>0</v>
      </c>
      <c r="AQ45" s="1380">
        <f ca="1">('Weekly Summary'!AK52+'Weekly Summary'!AK53)/40</f>
        <v>0</v>
      </c>
      <c r="AR45" s="1380">
        <f ca="1">('Weekly Summary'!AL52+'Weekly Summary'!AL53)/40</f>
        <v>0</v>
      </c>
      <c r="AS45" s="1380">
        <f ca="1">('Weekly Summary'!AM52+'Weekly Summary'!AM53)/40</f>
        <v>0</v>
      </c>
      <c r="AT45" s="1380">
        <f ca="1">('Weekly Summary'!AN52+'Weekly Summary'!AN53)/40</f>
        <v>0</v>
      </c>
      <c r="AU45" s="1380">
        <f ca="1">('Weekly Summary'!AO52+'Weekly Summary'!AO53)/40</f>
        <v>0</v>
      </c>
      <c r="AV45" s="1380">
        <f ca="1">('Weekly Summary'!AP52+'Weekly Summary'!AP53)/40</f>
        <v>0</v>
      </c>
      <c r="AW45" s="1380">
        <f ca="1">('Weekly Summary'!AQ52+'Weekly Summary'!AQ53)/40</f>
        <v>0</v>
      </c>
      <c r="AX45" s="1380">
        <f ca="1">('Weekly Summary'!AR52+'Weekly Summary'!AR53)/40</f>
        <v>0</v>
      </c>
      <c r="AY45" s="1380">
        <f ca="1">('Weekly Summary'!AS52+'Weekly Summary'!AS53)/40</f>
        <v>0</v>
      </c>
      <c r="AZ45" s="1380">
        <f ca="1">('Weekly Summary'!AT52+'Weekly Summary'!AT53)/40</f>
        <v>0</v>
      </c>
      <c r="BA45" s="1380">
        <f ca="1">('Weekly Summary'!AU52+'Weekly Summary'!AU53)/40</f>
        <v>0</v>
      </c>
      <c r="BB45" s="1380">
        <f ca="1">('Weekly Summary'!AV52+'Weekly Summary'!AV53)/40</f>
        <v>0</v>
      </c>
      <c r="BC45" s="1380">
        <f ca="1">('Weekly Summary'!AW52+'Weekly Summary'!AW53)/40</f>
        <v>0</v>
      </c>
      <c r="BD45" s="1380">
        <f ca="1">('Weekly Summary'!AX52+'Weekly Summary'!AX53)/40</f>
        <v>0</v>
      </c>
      <c r="BE45" s="1380">
        <f ca="1">('Weekly Summary'!AY52+'Weekly Summary'!AY53)/40</f>
        <v>0</v>
      </c>
      <c r="BF45" s="1380">
        <f ca="1">('Weekly Summary'!AZ52+'Weekly Summary'!AZ53)/40</f>
        <v>0</v>
      </c>
      <c r="BG45" s="1380">
        <f ca="1">('Weekly Summary'!BA52+'Weekly Summary'!BA53)/40</f>
        <v>0</v>
      </c>
      <c r="BH45" s="1380">
        <f ca="1">('Weekly Summary'!BB52+'Weekly Summary'!BB53)/40</f>
        <v>0</v>
      </c>
      <c r="BI45" s="1380">
        <f ca="1">('Weekly Summary'!BC52+'Weekly Summary'!BC53)/40</f>
        <v>0</v>
      </c>
      <c r="BJ45" s="1385">
        <f ca="1">('Weekly Summary'!BD52+'Weekly Summary'!BD53)/40</f>
        <v>0</v>
      </c>
    </row>
    <row r="46" spans="2:62" s="67" customFormat="1" ht="29.5" thickBot="1" x14ac:dyDescent="0.4">
      <c r="B46" s="736" t="str">
        <f>'Equipment List &amp; Usage'!B48</f>
        <v>Case management</v>
      </c>
      <c r="C46" s="737" t="str">
        <f>'Equipment List &amp; Usage'!C48</f>
        <v>Drugs and consumables</v>
      </c>
      <c r="D46" s="737" t="str">
        <f>'Equipment List &amp; Usage'!D48</f>
        <v>Medical supply, consumables, 40 patients (severe + critical)</v>
      </c>
      <c r="E46" s="737" t="str">
        <f>'Equipment List &amp; Usage'!E48</f>
        <v>Each</v>
      </c>
      <c r="F46" s="628"/>
      <c r="G46" s="771" t="s">
        <v>870</v>
      </c>
      <c r="H46" s="1372">
        <f t="shared" ca="1" si="2"/>
        <v>10.061464997517479</v>
      </c>
      <c r="J46" s="1345"/>
      <c r="K46" s="1383">
        <f ca="1">IF('User Dashboard'!$H$13=1,0,('Weekly Summary'!$E$52+'Weekly Summary'!$E$53)/40)</f>
        <v>1.4901937208404256E-2</v>
      </c>
      <c r="L46" s="1383">
        <f ca="1">('Weekly Summary'!F52+'Weekly Summary'!F53)/40</f>
        <v>5.1210628348291223E-2</v>
      </c>
      <c r="M46" s="1383">
        <f ca="1">('Weekly Summary'!G52+'Weekly Summary'!G53)/40</f>
        <v>0.17598403854921524</v>
      </c>
      <c r="N46" s="1383">
        <f ca="1">('Weekly Summary'!H52+'Weekly Summary'!H53)/40</f>
        <v>0.60474463055997218</v>
      </c>
      <c r="O46" s="1383">
        <f ca="1">('Weekly Summary'!I52+'Weekly Summary'!I53)/40</f>
        <v>2.0778833494847411</v>
      </c>
      <c r="P46" s="1383">
        <f ca="1">('Weekly Summary'!J52+'Weekly Summary'!J53)/40</f>
        <v>7.1367404133668542</v>
      </c>
      <c r="Q46" s="1383">
        <f ca="1">('Weekly Summary'!K52+'Weekly Summary'!K53)/40</f>
        <v>0</v>
      </c>
      <c r="R46" s="1383">
        <f ca="1">('Weekly Summary'!L52+'Weekly Summary'!L53)/40</f>
        <v>0</v>
      </c>
      <c r="S46" s="1383">
        <f ca="1">('Weekly Summary'!M52+'Weekly Summary'!M53)/40</f>
        <v>0</v>
      </c>
      <c r="T46" s="1383">
        <f ca="1">('Weekly Summary'!N52+'Weekly Summary'!N53)/40</f>
        <v>0</v>
      </c>
      <c r="U46" s="1383">
        <f ca="1">('Weekly Summary'!O52+'Weekly Summary'!O53)/40</f>
        <v>0</v>
      </c>
      <c r="V46" s="1383">
        <f ca="1">('Weekly Summary'!P52+'Weekly Summary'!P53)/40</f>
        <v>0</v>
      </c>
      <c r="W46" s="1383">
        <f ca="1">('Weekly Summary'!Q52+'Weekly Summary'!Q53)/40</f>
        <v>0</v>
      </c>
      <c r="X46" s="1383">
        <f ca="1">('Weekly Summary'!R52+'Weekly Summary'!R53)/40</f>
        <v>0</v>
      </c>
      <c r="Y46" s="1383">
        <f ca="1">('Weekly Summary'!S52+'Weekly Summary'!S53)/40</f>
        <v>0</v>
      </c>
      <c r="Z46" s="1383">
        <f ca="1">('Weekly Summary'!T52+'Weekly Summary'!T53)/40</f>
        <v>0</v>
      </c>
      <c r="AA46" s="1383">
        <f ca="1">('Weekly Summary'!U52+'Weekly Summary'!U53)/40</f>
        <v>0</v>
      </c>
      <c r="AB46" s="1383">
        <f ca="1">('Weekly Summary'!V52+'Weekly Summary'!V53)/40</f>
        <v>0</v>
      </c>
      <c r="AC46" s="1383">
        <f ca="1">('Weekly Summary'!W52+'Weekly Summary'!W53)/40</f>
        <v>0</v>
      </c>
      <c r="AD46" s="1383">
        <f ca="1">('Weekly Summary'!X52+'Weekly Summary'!X53)/40</f>
        <v>0</v>
      </c>
      <c r="AE46" s="1383">
        <f ca="1">('Weekly Summary'!Y52+'Weekly Summary'!Y53)/40</f>
        <v>0</v>
      </c>
      <c r="AF46" s="1383">
        <f ca="1">('Weekly Summary'!Z52+'Weekly Summary'!Z53)/40</f>
        <v>0</v>
      </c>
      <c r="AG46" s="1383">
        <f ca="1">('Weekly Summary'!AA52+'Weekly Summary'!AA53)/40</f>
        <v>0</v>
      </c>
      <c r="AH46" s="1383">
        <f ca="1">('Weekly Summary'!AB52+'Weekly Summary'!AB53)/40</f>
        <v>0</v>
      </c>
      <c r="AI46" s="1383">
        <f ca="1">('Weekly Summary'!AC52+'Weekly Summary'!AC53)/40</f>
        <v>0</v>
      </c>
      <c r="AJ46" s="1383">
        <f ca="1">('Weekly Summary'!AD52+'Weekly Summary'!AD53)/40</f>
        <v>0</v>
      </c>
      <c r="AK46" s="1383">
        <f ca="1">('Weekly Summary'!AE52+'Weekly Summary'!AE53)/40</f>
        <v>0</v>
      </c>
      <c r="AL46" s="1383">
        <f ca="1">('Weekly Summary'!AF52+'Weekly Summary'!AF53)/40</f>
        <v>0</v>
      </c>
      <c r="AM46" s="1383">
        <f ca="1">('Weekly Summary'!AG52+'Weekly Summary'!AG53)/40</f>
        <v>0</v>
      </c>
      <c r="AN46" s="1383">
        <f ca="1">('Weekly Summary'!AH52+'Weekly Summary'!AH53)/40</f>
        <v>0</v>
      </c>
      <c r="AO46" s="1383">
        <f ca="1">('Weekly Summary'!AI52+'Weekly Summary'!AI53)/40</f>
        <v>0</v>
      </c>
      <c r="AP46" s="1383">
        <f ca="1">('Weekly Summary'!AJ52+'Weekly Summary'!AJ53)/40</f>
        <v>0</v>
      </c>
      <c r="AQ46" s="1383">
        <f ca="1">('Weekly Summary'!AK52+'Weekly Summary'!AK53)/40</f>
        <v>0</v>
      </c>
      <c r="AR46" s="1383">
        <f ca="1">('Weekly Summary'!AL52+'Weekly Summary'!AL53)/40</f>
        <v>0</v>
      </c>
      <c r="AS46" s="1383">
        <f ca="1">('Weekly Summary'!AM52+'Weekly Summary'!AM53)/40</f>
        <v>0</v>
      </c>
      <c r="AT46" s="1383">
        <f ca="1">('Weekly Summary'!AN52+'Weekly Summary'!AN53)/40</f>
        <v>0</v>
      </c>
      <c r="AU46" s="1383">
        <f ca="1">('Weekly Summary'!AO52+'Weekly Summary'!AO53)/40</f>
        <v>0</v>
      </c>
      <c r="AV46" s="1383">
        <f ca="1">('Weekly Summary'!AP52+'Weekly Summary'!AP53)/40</f>
        <v>0</v>
      </c>
      <c r="AW46" s="1383">
        <f ca="1">('Weekly Summary'!AQ52+'Weekly Summary'!AQ53)/40</f>
        <v>0</v>
      </c>
      <c r="AX46" s="1383">
        <f ca="1">('Weekly Summary'!AR52+'Weekly Summary'!AR53)/40</f>
        <v>0</v>
      </c>
      <c r="AY46" s="1383">
        <f ca="1">('Weekly Summary'!AS52+'Weekly Summary'!AS53)/40</f>
        <v>0</v>
      </c>
      <c r="AZ46" s="1383">
        <f ca="1">('Weekly Summary'!AT52+'Weekly Summary'!AT53)/40</f>
        <v>0</v>
      </c>
      <c r="BA46" s="1383">
        <f ca="1">('Weekly Summary'!AU52+'Weekly Summary'!AU53)/40</f>
        <v>0</v>
      </c>
      <c r="BB46" s="1383">
        <f ca="1">('Weekly Summary'!AV52+'Weekly Summary'!AV53)/40</f>
        <v>0</v>
      </c>
      <c r="BC46" s="1383">
        <f ca="1">('Weekly Summary'!AW52+'Weekly Summary'!AW53)/40</f>
        <v>0</v>
      </c>
      <c r="BD46" s="1383">
        <f ca="1">('Weekly Summary'!AX52+'Weekly Summary'!AX53)/40</f>
        <v>0</v>
      </c>
      <c r="BE46" s="1383">
        <f ca="1">('Weekly Summary'!AY52+'Weekly Summary'!AY53)/40</f>
        <v>0</v>
      </c>
      <c r="BF46" s="1383">
        <f ca="1">('Weekly Summary'!AZ52+'Weekly Summary'!AZ53)/40</f>
        <v>0</v>
      </c>
      <c r="BG46" s="1383">
        <f ca="1">('Weekly Summary'!BA52+'Weekly Summary'!BA53)/40</f>
        <v>0</v>
      </c>
      <c r="BH46" s="1383">
        <f ca="1">('Weekly Summary'!BB52+'Weekly Summary'!BB53)/40</f>
        <v>0</v>
      </c>
      <c r="BI46" s="1383">
        <f ca="1">('Weekly Summary'!BC52+'Weekly Summary'!BC53)/40</f>
        <v>0</v>
      </c>
      <c r="BJ46" s="1384">
        <f ca="1">('Weekly Summary'!BD52+'Weekly Summary'!BD53)/40</f>
        <v>0</v>
      </c>
    </row>
    <row r="47" spans="2:62" x14ac:dyDescent="0.35">
      <c r="H47" s="67"/>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1326"/>
      <c r="AV47" s="1326"/>
      <c r="AW47" s="1326"/>
      <c r="AX47" s="1326"/>
      <c r="AY47" s="1326"/>
      <c r="AZ47" s="1326"/>
      <c r="BA47" s="1326"/>
      <c r="BB47" s="1326"/>
      <c r="BC47" s="1326"/>
      <c r="BD47" s="1326"/>
      <c r="BE47" s="1326"/>
      <c r="BF47" s="1326"/>
      <c r="BG47" s="1326"/>
      <c r="BH47" s="1326"/>
      <c r="BI47" s="1326"/>
      <c r="BJ47" s="1326"/>
    </row>
    <row r="48" spans="2:62" ht="52.75" customHeight="1" thickBot="1" x14ac:dyDescent="0.4">
      <c r="B48" s="1584" t="s">
        <v>1705</v>
      </c>
      <c r="C48" s="1584"/>
      <c r="D48" s="1584"/>
      <c r="E48" s="1584"/>
      <c r="F48" s="1584"/>
      <c r="G48" s="1584"/>
      <c r="H48" s="67"/>
      <c r="I48" s="362"/>
      <c r="K48" s="1326"/>
      <c r="L48" s="1326"/>
      <c r="M48" s="1326"/>
      <c r="N48" s="1326"/>
      <c r="O48" s="1326"/>
      <c r="P48" s="1326"/>
      <c r="Q48" s="1326"/>
      <c r="R48" s="1326"/>
      <c r="S48" s="1326"/>
      <c r="T48" s="1327"/>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1326"/>
      <c r="AV48" s="1326"/>
      <c r="AW48" s="1326"/>
      <c r="AX48" s="1326"/>
      <c r="AY48" s="1326"/>
      <c r="AZ48" s="1326"/>
      <c r="BA48" s="1326"/>
      <c r="BB48" s="1326"/>
      <c r="BC48" s="1326"/>
      <c r="BD48" s="1326"/>
      <c r="BE48" s="1326"/>
      <c r="BF48" s="1326"/>
      <c r="BG48" s="1326"/>
      <c r="BH48" s="1326"/>
      <c r="BI48" s="1326"/>
      <c r="BJ48" s="1326"/>
    </row>
    <row r="49" spans="2:62" ht="29" x14ac:dyDescent="0.35">
      <c r="B49" s="734" t="str">
        <f>'Equipment List &amp; Usage'!B51</f>
        <v>Case management - biomedical equipment</v>
      </c>
      <c r="C49" s="1324" t="str">
        <f>'Equipment List &amp; Usage'!C51</f>
        <v>Monitoring</v>
      </c>
      <c r="D49" s="1324" t="str">
        <f>'Equipment List &amp; Usage'!D51</f>
        <v>Infrared thermometer</v>
      </c>
      <c r="E49" s="1324" t="str">
        <f>'Equipment List &amp; Usage'!E51</f>
        <v>Each</v>
      </c>
      <c r="F49" s="1324" t="str">
        <f>'Equipment List &amp; Usage'!F51</f>
        <v>Yes</v>
      </c>
      <c r="G49" s="1324" t="str">
        <f>'Equipment List &amp; Usage'!G51</f>
        <v>N/A</v>
      </c>
      <c r="H49" s="1368">
        <f t="shared" ref="H49:H84" ca="1" si="3">SUM(K49:BJ49)</f>
        <v>15.312422501476078</v>
      </c>
      <c r="I49" s="29"/>
      <c r="J49" s="1343"/>
      <c r="K49" s="1380">
        <f ca="1">IF('User Dashboard'!$H$13=1,0,MAX(IF($F49="No",('Equipment List &amp; Usage'!$O51*'Weekly Summary'!E$52)+('Equipment List &amp; Usage'!$P51*'Weekly Summary'!E$53)+('Equipment List &amp; Usage'!$Q51*('Weekly Summary'!E$52+'Weekly Summary'!E$53))+('Equipment List &amp; Usage'!$R51*'Weekly Summary'!E$64)+('Equipment List &amp; Usage'!$S51*'Weekly Summary'!E$65)+('Equipment List &amp; Usage'!$T51*('Weekly Summary'!E$64+'Weekly Summary'!E$65)),
IF(K$10=0,('Equipment List &amp; Usage'!$O51*'Weekly Summary'!E$52)+('Equipment List &amp; Usage'!$P51*'Weekly Summary'!E$53)+('Equipment List &amp; Usage'!$Q51*('Weekly Summary'!E$52+'Weekly Summary'!E$53))+('Equipment List &amp; Usage'!$R51*'Weekly Summary'!E$64)+('Equipment List &amp; Usage'!$S51*'Weekly Summary'!E$65)+('Equipment List &amp; Usage'!$T51*('Weekly Summary'!E$64+'Weekly Summary'!E$65)),
('Equipment List &amp; Usage'!$O51*'Weekly Summary'!E$52)+('Equipment List &amp; Usage'!$P51*'Weekly Summary'!E$53)+('Equipment List &amp; Usage'!$Q51*('Weekly Summary'!E$52+'Weekly Summary'!E$53))+('Equipment List &amp; Usage'!$R51*'Weekly Summary'!E$64)+('Equipment List &amp; Usage'!$S51*'Weekly Summary'!E$65)+('Equipment List &amp; Usage'!$T51*('Weekly Summary'!E$64+'Weekly Summary'!E$65))-SUM($I49:I49))),0))</f>
        <v>3.2303874416808508E-2</v>
      </c>
      <c r="L49" s="1380">
        <f ca="1">MAX(IF($F49="No",('Equipment List &amp; Usage'!$O51*'Weekly Summary'!F$52)+('Equipment List &amp; Usage'!$P51*'Weekly Summary'!F$53)+('Equipment List &amp; Usage'!$Q51*('Weekly Summary'!F$52+'Weekly Summary'!F$53))+('Equipment List &amp; Usage'!$R51*'Weekly Summary'!F$64)+('Equipment List &amp; Usage'!$S51*'Weekly Summary'!F$65)+('Equipment List &amp; Usage'!$T51*('Weekly Summary'!F$64+'Weekly Summary'!F$65)),
IF(L$10=0,('Equipment List &amp; Usage'!$O51*'Weekly Summary'!F$52)+('Equipment List &amp; Usage'!$P51*'Weekly Summary'!F$53)+('Equipment List &amp; Usage'!$Q51*('Weekly Summary'!F$52+'Weekly Summary'!F$53))+('Equipment List &amp; Usage'!$R51*'Weekly Summary'!F$64)+('Equipment List &amp; Usage'!$S51*'Weekly Summary'!F$65)+('Equipment List &amp; Usage'!$T51*('Weekly Summary'!F$64+'Weekly Summary'!F$65)),
('Equipment List &amp; Usage'!$O51*'Weekly Summary'!F$52)+('Equipment List &amp; Usage'!$P51*'Weekly Summary'!F$53)+('Equipment List &amp; Usage'!$Q51*('Weekly Summary'!F$52+'Weekly Summary'!F$53))+('Equipment List &amp; Usage'!$R51*'Weekly Summary'!F$64)+('Equipment List &amp; Usage'!$S51*'Weekly Summary'!F$65)+('Equipment List &amp; Usage'!$T51*('Weekly Summary'!F$64+'Weekly Summary'!F$65))-SUM($I49:K49))),0)</f>
        <v>7.7568350883976067E-2</v>
      </c>
      <c r="M49" s="1380">
        <f ca="1">MAX(IF($F49="No",('Equipment List &amp; Usage'!$O51*'Weekly Summary'!G$52)+('Equipment List &amp; Usage'!$P51*'Weekly Summary'!G$53)+('Equipment List &amp; Usage'!$Q51*('Weekly Summary'!G$52+'Weekly Summary'!G$53))+('Equipment List &amp; Usage'!$R51*'Weekly Summary'!G$64)+('Equipment List &amp; Usage'!$S51*'Weekly Summary'!G$65)+('Equipment List &amp; Usage'!$T51*('Weekly Summary'!G$64+'Weekly Summary'!G$65)),
IF(M$10=0,('Equipment List &amp; Usage'!$O51*'Weekly Summary'!G$52)+('Equipment List &amp; Usage'!$P51*'Weekly Summary'!G$53)+('Equipment List &amp; Usage'!$Q51*('Weekly Summary'!G$52+'Weekly Summary'!G$53))+('Equipment List &amp; Usage'!$R51*'Weekly Summary'!G$64)+('Equipment List &amp; Usage'!$S51*'Weekly Summary'!G$65)+('Equipment List &amp; Usage'!$T51*('Weekly Summary'!G$64+'Weekly Summary'!G$65)),
('Equipment List &amp; Usage'!$O51*'Weekly Summary'!G$52)+('Equipment List &amp; Usage'!$P51*'Weekly Summary'!G$53)+('Equipment List &amp; Usage'!$Q51*('Weekly Summary'!G$52+'Weekly Summary'!G$53))+('Equipment List &amp; Usage'!$R51*'Weekly Summary'!G$64)+('Equipment List &amp; Usage'!$S51*'Weekly Summary'!G$65)+('Equipment List &amp; Usage'!$T51*('Weekly Summary'!G$64+'Weekly Summary'!G$65))-SUM($I49:L49))),0)</f>
        <v>0.2677011659717915</v>
      </c>
      <c r="N49" s="1380">
        <f ca="1">MAX(IF($F49="No",('Equipment List &amp; Usage'!$O51*'Weekly Summary'!H$52)+('Equipment List &amp; Usage'!$P51*'Weekly Summary'!H$53)+('Equipment List &amp; Usage'!$Q51*('Weekly Summary'!H$52+'Weekly Summary'!H$53))+('Equipment List &amp; Usage'!$R51*'Weekly Summary'!H$64)+('Equipment List &amp; Usage'!$S51*'Weekly Summary'!H$65)+('Equipment List &amp; Usage'!$T51*('Weekly Summary'!H$64+'Weekly Summary'!H$65)),
IF(N$10=0,('Equipment List &amp; Usage'!$O51*'Weekly Summary'!H$52)+('Equipment List &amp; Usage'!$P51*'Weekly Summary'!H$53)+('Equipment List &amp; Usage'!$Q51*('Weekly Summary'!H$52+'Weekly Summary'!H$53))+('Equipment List &amp; Usage'!$R51*'Weekly Summary'!H$64)+('Equipment List &amp; Usage'!$S51*'Weekly Summary'!H$65)+('Equipment List &amp; Usage'!$T51*('Weekly Summary'!H$64+'Weekly Summary'!H$65)),
('Equipment List &amp; Usage'!$O51*'Weekly Summary'!H$52)+('Equipment List &amp; Usage'!$P51*'Weekly Summary'!H$53)+('Equipment List &amp; Usage'!$Q51*('Weekly Summary'!H$52+'Weekly Summary'!H$53))+('Equipment List &amp; Usage'!$R51*'Weekly Summary'!H$64)+('Equipment List &amp; Usage'!$S51*'Weekly Summary'!H$65)+('Equipment List &amp; Usage'!$T51*('Weekly Summary'!H$64+'Weekly Summary'!H$65))-SUM($I49:M49))),0)</f>
        <v>0.91990788912197607</v>
      </c>
      <c r="O49" s="1380">
        <f ca="1">MAX(IF($F49="No",('Equipment List &amp; Usage'!$O51*'Weekly Summary'!I$52)+('Equipment List &amp; Usage'!$P51*'Weekly Summary'!I$53)+('Equipment List &amp; Usage'!$Q51*('Weekly Summary'!I$52+'Weekly Summary'!I$53))+('Equipment List &amp; Usage'!$R51*'Weekly Summary'!I$64)+('Equipment List &amp; Usage'!$S51*'Weekly Summary'!I$65)+('Equipment List &amp; Usage'!$T51*('Weekly Summary'!I$64+'Weekly Summary'!I$65)),
IF(O$10=0,('Equipment List &amp; Usage'!$O51*'Weekly Summary'!I$52)+('Equipment List &amp; Usage'!$P51*'Weekly Summary'!I$53)+('Equipment List &amp; Usage'!$Q51*('Weekly Summary'!I$52+'Weekly Summary'!I$53))+('Equipment List &amp; Usage'!$R51*'Weekly Summary'!I$64)+('Equipment List &amp; Usage'!$S51*'Weekly Summary'!I$65)+('Equipment List &amp; Usage'!$T51*('Weekly Summary'!I$64+'Weekly Summary'!I$65)),
('Equipment List &amp; Usage'!$O51*'Weekly Summary'!I$52)+('Equipment List &amp; Usage'!$P51*'Weekly Summary'!I$53)+('Equipment List &amp; Usage'!$Q51*('Weekly Summary'!I$52+'Weekly Summary'!I$53))+('Equipment List &amp; Usage'!$R51*'Weekly Summary'!I$64)+('Equipment List &amp; Usage'!$S51*'Weekly Summary'!I$65)+('Equipment List &amp; Usage'!$T51*('Weekly Summary'!I$64+'Weekly Summary'!I$65))-SUM($I49:N49))),0)</f>
        <v>3.160657733854916</v>
      </c>
      <c r="P49" s="1380">
        <f ca="1">MAX(IF($F49="No",('Equipment List &amp; Usage'!$O51*'Weekly Summary'!J$52)+('Equipment List &amp; Usage'!$P51*'Weekly Summary'!J$53)+('Equipment List &amp; Usage'!$Q51*('Weekly Summary'!J$52+'Weekly Summary'!J$53))+('Equipment List &amp; Usage'!$R51*'Weekly Summary'!J$64)+('Equipment List &amp; Usage'!$S51*'Weekly Summary'!J$65)+('Equipment List &amp; Usage'!$T51*('Weekly Summary'!J$64+'Weekly Summary'!J$65)),
IF(P$10=0,('Equipment List &amp; Usage'!$O51*'Weekly Summary'!J$52)+('Equipment List &amp; Usage'!$P51*'Weekly Summary'!J$53)+('Equipment List &amp; Usage'!$Q51*('Weekly Summary'!J$52+'Weekly Summary'!J$53))+('Equipment List &amp; Usage'!$R51*'Weekly Summary'!J$64)+('Equipment List &amp; Usage'!$S51*'Weekly Summary'!J$65)+('Equipment List &amp; Usage'!$T51*('Weekly Summary'!J$64+'Weekly Summary'!J$65)),
('Equipment List &amp; Usage'!$O51*'Weekly Summary'!J$52)+('Equipment List &amp; Usage'!$P51*'Weekly Summary'!J$53)+('Equipment List &amp; Usage'!$Q51*('Weekly Summary'!J$52+'Weekly Summary'!J$53))+('Equipment List &amp; Usage'!$R51*'Weekly Summary'!J$64)+('Equipment List &amp; Usage'!$S51*'Weekly Summary'!J$65)+('Equipment List &amp; Usage'!$T51*('Weekly Summary'!J$64+'Weekly Summary'!J$65))-SUM($I49:O49))),0)</f>
        <v>10.85428348722661</v>
      </c>
      <c r="Q49" s="1380">
        <f ca="1">MAX(IF($F49="No",('Equipment List &amp; Usage'!$O51*'Weekly Summary'!K$52)+('Equipment List &amp; Usage'!$P51*'Weekly Summary'!K$53)+('Equipment List &amp; Usage'!$Q51*('Weekly Summary'!K$52+'Weekly Summary'!K$53))+('Equipment List &amp; Usage'!$R51*'Weekly Summary'!K$64)+('Equipment List &amp; Usage'!$S51*'Weekly Summary'!K$65)+('Equipment List &amp; Usage'!$T51*('Weekly Summary'!K$64+'Weekly Summary'!K$65)),
IF(Q$10=0,('Equipment List &amp; Usage'!$O51*'Weekly Summary'!K$52)+('Equipment List &amp; Usage'!$P51*'Weekly Summary'!K$53)+('Equipment List &amp; Usage'!$Q51*('Weekly Summary'!K$52+'Weekly Summary'!K$53))+('Equipment List &amp; Usage'!$R51*'Weekly Summary'!K$64)+('Equipment List &amp; Usage'!$S51*'Weekly Summary'!K$65)+('Equipment List &amp; Usage'!$T51*('Weekly Summary'!K$64+'Weekly Summary'!K$65)),
('Equipment List &amp; Usage'!$O51*'Weekly Summary'!K$52)+('Equipment List &amp; Usage'!$P51*'Weekly Summary'!K$53)+('Equipment List &amp; Usage'!$Q51*('Weekly Summary'!K$52+'Weekly Summary'!K$53))+('Equipment List &amp; Usage'!$R51*'Weekly Summary'!K$64)+('Equipment List &amp; Usage'!$S51*'Weekly Summary'!K$65)+('Equipment List &amp; Usage'!$T51*('Weekly Summary'!K$64+'Weekly Summary'!K$65))-SUM($I49:P49))),0)</f>
        <v>0</v>
      </c>
      <c r="R49" s="1380">
        <f ca="1">MAX(IF($F49="No",('Equipment List &amp; Usage'!$O51*'Weekly Summary'!L$52)+('Equipment List &amp; Usage'!$P51*'Weekly Summary'!L$53)+('Equipment List &amp; Usage'!$Q51*('Weekly Summary'!L$52+'Weekly Summary'!L$53))+('Equipment List &amp; Usage'!$R51*'Weekly Summary'!L$64)+('Equipment List &amp; Usage'!$S51*'Weekly Summary'!L$65)+('Equipment List &amp; Usage'!$T51*('Weekly Summary'!L$64+'Weekly Summary'!L$65)),
IF(R$10=0,('Equipment List &amp; Usage'!$O51*'Weekly Summary'!L$52)+('Equipment List &amp; Usage'!$P51*'Weekly Summary'!L$53)+('Equipment List &amp; Usage'!$Q51*('Weekly Summary'!L$52+'Weekly Summary'!L$53))+('Equipment List &amp; Usage'!$R51*'Weekly Summary'!L$64)+('Equipment List &amp; Usage'!$S51*'Weekly Summary'!L$65)+('Equipment List &amp; Usage'!$T51*('Weekly Summary'!L$64+'Weekly Summary'!L$65)),
('Equipment List &amp; Usage'!$O51*'Weekly Summary'!L$52)+('Equipment List &amp; Usage'!$P51*'Weekly Summary'!L$53)+('Equipment List &amp; Usage'!$Q51*('Weekly Summary'!L$52+'Weekly Summary'!L$53))+('Equipment List &amp; Usage'!$R51*'Weekly Summary'!L$64)+('Equipment List &amp; Usage'!$S51*'Weekly Summary'!L$65)+('Equipment List &amp; Usage'!$T51*('Weekly Summary'!L$64+'Weekly Summary'!L$65))-SUM($I49:Q49))),0)</f>
        <v>0</v>
      </c>
      <c r="S49" s="1380">
        <f ca="1">MAX(IF($F49="No",('Equipment List &amp; Usage'!$O51*'Weekly Summary'!M$52)+('Equipment List &amp; Usage'!$P51*'Weekly Summary'!M$53)+('Equipment List &amp; Usage'!$Q51*('Weekly Summary'!M$52+'Weekly Summary'!M$53))+('Equipment List &amp; Usage'!$R51*'Weekly Summary'!M$64)+('Equipment List &amp; Usage'!$S51*'Weekly Summary'!M$65)+('Equipment List &amp; Usage'!$T51*('Weekly Summary'!M$64+'Weekly Summary'!M$65)),
IF(S$10=0,('Equipment List &amp; Usage'!$O51*'Weekly Summary'!M$52)+('Equipment List &amp; Usage'!$P51*'Weekly Summary'!M$53)+('Equipment List &amp; Usage'!$Q51*('Weekly Summary'!M$52+'Weekly Summary'!M$53))+('Equipment List &amp; Usage'!$R51*'Weekly Summary'!M$64)+('Equipment List &amp; Usage'!$S51*'Weekly Summary'!M$65)+('Equipment List &amp; Usage'!$T51*('Weekly Summary'!M$64+'Weekly Summary'!M$65)),
('Equipment List &amp; Usage'!$O51*'Weekly Summary'!M$52)+('Equipment List &amp; Usage'!$P51*'Weekly Summary'!M$53)+('Equipment List &amp; Usage'!$Q51*('Weekly Summary'!M$52+'Weekly Summary'!M$53))+('Equipment List &amp; Usage'!$R51*'Weekly Summary'!M$64)+('Equipment List &amp; Usage'!$S51*'Weekly Summary'!M$65)+('Equipment List &amp; Usage'!$T51*('Weekly Summary'!M$64+'Weekly Summary'!M$65))-SUM($I49:R49))),0)</f>
        <v>0</v>
      </c>
      <c r="T49" s="1380">
        <f ca="1">MAX(IF($F49="No",('Equipment List &amp; Usage'!$O51*'Weekly Summary'!N$52)+('Equipment List &amp; Usage'!$P51*'Weekly Summary'!N$53)+('Equipment List &amp; Usage'!$Q51*('Weekly Summary'!N$52+'Weekly Summary'!N$53))+('Equipment List &amp; Usage'!$R51*'Weekly Summary'!N$64)+('Equipment List &amp; Usage'!$S51*'Weekly Summary'!N$65)+('Equipment List &amp; Usage'!$T51*('Weekly Summary'!N$64+'Weekly Summary'!N$65)),
IF(T$10=0,('Equipment List &amp; Usage'!$O51*'Weekly Summary'!N$52)+('Equipment List &amp; Usage'!$P51*'Weekly Summary'!N$53)+('Equipment List &amp; Usage'!$Q51*('Weekly Summary'!N$52+'Weekly Summary'!N$53))+('Equipment List &amp; Usage'!$R51*'Weekly Summary'!N$64)+('Equipment List &amp; Usage'!$S51*'Weekly Summary'!N$65)+('Equipment List &amp; Usage'!$T51*('Weekly Summary'!N$64+'Weekly Summary'!N$65)),
('Equipment List &amp; Usage'!$O51*'Weekly Summary'!N$52)+('Equipment List &amp; Usage'!$P51*'Weekly Summary'!N$53)+('Equipment List &amp; Usage'!$Q51*('Weekly Summary'!N$52+'Weekly Summary'!N$53))+('Equipment List &amp; Usage'!$R51*'Weekly Summary'!N$64)+('Equipment List &amp; Usage'!$S51*'Weekly Summary'!N$65)+('Equipment List &amp; Usage'!$T51*('Weekly Summary'!N$64+'Weekly Summary'!N$65))-SUM($I49:S49))),0)</f>
        <v>0</v>
      </c>
      <c r="U49" s="1380">
        <f ca="1">MAX(IF($F49="No",('Equipment List &amp; Usage'!$O51*'Weekly Summary'!O$52)+('Equipment List &amp; Usage'!$P51*'Weekly Summary'!O$53)+('Equipment List &amp; Usage'!$Q51*('Weekly Summary'!O$52+'Weekly Summary'!O$53))+('Equipment List &amp; Usage'!$R51*'Weekly Summary'!O$64)+('Equipment List &amp; Usage'!$S51*'Weekly Summary'!O$65)+('Equipment List &amp; Usage'!$T51*('Weekly Summary'!O$64+'Weekly Summary'!O$65)),
IF(U$10=0,('Equipment List &amp; Usage'!$O51*'Weekly Summary'!O$52)+('Equipment List &amp; Usage'!$P51*'Weekly Summary'!O$53)+('Equipment List &amp; Usage'!$Q51*('Weekly Summary'!O$52+'Weekly Summary'!O$53))+('Equipment List &amp; Usage'!$R51*'Weekly Summary'!O$64)+('Equipment List &amp; Usage'!$S51*'Weekly Summary'!O$65)+('Equipment List &amp; Usage'!$T51*('Weekly Summary'!O$64+'Weekly Summary'!O$65)),
('Equipment List &amp; Usage'!$O51*'Weekly Summary'!O$52)+('Equipment List &amp; Usage'!$P51*'Weekly Summary'!O$53)+('Equipment List &amp; Usage'!$Q51*('Weekly Summary'!O$52+'Weekly Summary'!O$53))+('Equipment List &amp; Usage'!$R51*'Weekly Summary'!O$64)+('Equipment List &amp; Usage'!$S51*'Weekly Summary'!O$65)+('Equipment List &amp; Usage'!$T51*('Weekly Summary'!O$64+'Weekly Summary'!O$65))-SUM($I49:T49))),0)</f>
        <v>0</v>
      </c>
      <c r="V49" s="1380">
        <f ca="1">MAX(IF($F49="No",('Equipment List &amp; Usage'!$O51*'Weekly Summary'!P$52)+('Equipment List &amp; Usage'!$P51*'Weekly Summary'!P$53)+('Equipment List &amp; Usage'!$Q51*('Weekly Summary'!P$52+'Weekly Summary'!P$53))+('Equipment List &amp; Usage'!$R51*'Weekly Summary'!P$64)+('Equipment List &amp; Usage'!$S51*'Weekly Summary'!P$65)+('Equipment List &amp; Usage'!$T51*('Weekly Summary'!P$64+'Weekly Summary'!P$65)),
IF(V$10=0,('Equipment List &amp; Usage'!$O51*'Weekly Summary'!P$52)+('Equipment List &amp; Usage'!$P51*'Weekly Summary'!P$53)+('Equipment List &amp; Usage'!$Q51*('Weekly Summary'!P$52+'Weekly Summary'!P$53))+('Equipment List &amp; Usage'!$R51*'Weekly Summary'!P$64)+('Equipment List &amp; Usage'!$S51*'Weekly Summary'!P$65)+('Equipment List &amp; Usage'!$T51*('Weekly Summary'!P$64+'Weekly Summary'!P$65)),
('Equipment List &amp; Usage'!$O51*'Weekly Summary'!P$52)+('Equipment List &amp; Usage'!$P51*'Weekly Summary'!P$53)+('Equipment List &amp; Usage'!$Q51*('Weekly Summary'!P$52+'Weekly Summary'!P$53))+('Equipment List &amp; Usage'!$R51*'Weekly Summary'!P$64)+('Equipment List &amp; Usage'!$S51*'Weekly Summary'!P$65)+('Equipment List &amp; Usage'!$T51*('Weekly Summary'!P$64+'Weekly Summary'!P$65))-SUM($I49:U49))),0)</f>
        <v>0</v>
      </c>
      <c r="W49" s="1380">
        <f ca="1">MAX(IF($F49="No",('Equipment List &amp; Usage'!$O51*'Weekly Summary'!Q$52)+('Equipment List &amp; Usage'!$P51*'Weekly Summary'!Q$53)+('Equipment List &amp; Usage'!$Q51*('Weekly Summary'!Q$52+'Weekly Summary'!Q$53))+('Equipment List &amp; Usage'!$R51*'Weekly Summary'!Q$64)+('Equipment List &amp; Usage'!$S51*'Weekly Summary'!Q$65)+('Equipment List &amp; Usage'!$T51*('Weekly Summary'!Q$64+'Weekly Summary'!Q$65)),
IF(W$10=0,('Equipment List &amp; Usage'!$O51*'Weekly Summary'!Q$52)+('Equipment List &amp; Usage'!$P51*'Weekly Summary'!Q$53)+('Equipment List &amp; Usage'!$Q51*('Weekly Summary'!Q$52+'Weekly Summary'!Q$53))+('Equipment List &amp; Usage'!$R51*'Weekly Summary'!Q$64)+('Equipment List &amp; Usage'!$S51*'Weekly Summary'!Q$65)+('Equipment List &amp; Usage'!$T51*('Weekly Summary'!Q$64+'Weekly Summary'!Q$65)),
('Equipment List &amp; Usage'!$O51*'Weekly Summary'!Q$52)+('Equipment List &amp; Usage'!$P51*'Weekly Summary'!Q$53)+('Equipment List &amp; Usage'!$Q51*('Weekly Summary'!Q$52+'Weekly Summary'!Q$53))+('Equipment List &amp; Usage'!$R51*'Weekly Summary'!Q$64)+('Equipment List &amp; Usage'!$S51*'Weekly Summary'!Q$65)+('Equipment List &amp; Usage'!$T51*('Weekly Summary'!Q$64+'Weekly Summary'!Q$65))-SUM($I49:V49))),0)</f>
        <v>0</v>
      </c>
      <c r="X49" s="1380">
        <f ca="1">MAX(IF($F49="No",('Equipment List &amp; Usage'!$O51*'Weekly Summary'!R$52)+('Equipment List &amp; Usage'!$P51*'Weekly Summary'!R$53)+('Equipment List &amp; Usage'!$Q51*('Weekly Summary'!R$52+'Weekly Summary'!R$53))+('Equipment List &amp; Usage'!$R51*'Weekly Summary'!R$64)+('Equipment List &amp; Usage'!$S51*'Weekly Summary'!R$65)+('Equipment List &amp; Usage'!$T51*('Weekly Summary'!R$64+'Weekly Summary'!R$65)),
IF(X$10=0,('Equipment List &amp; Usage'!$O51*'Weekly Summary'!R$52)+('Equipment List &amp; Usage'!$P51*'Weekly Summary'!R$53)+('Equipment List &amp; Usage'!$Q51*('Weekly Summary'!R$52+'Weekly Summary'!R$53))+('Equipment List &amp; Usage'!$R51*'Weekly Summary'!R$64)+('Equipment List &amp; Usage'!$S51*'Weekly Summary'!R$65)+('Equipment List &amp; Usage'!$T51*('Weekly Summary'!R$64+'Weekly Summary'!R$65)),
('Equipment List &amp; Usage'!$O51*'Weekly Summary'!R$52)+('Equipment List &amp; Usage'!$P51*'Weekly Summary'!R$53)+('Equipment List &amp; Usage'!$Q51*('Weekly Summary'!R$52+'Weekly Summary'!R$53))+('Equipment List &amp; Usage'!$R51*'Weekly Summary'!R$64)+('Equipment List &amp; Usage'!$S51*'Weekly Summary'!R$65)+('Equipment List &amp; Usage'!$T51*('Weekly Summary'!R$64+'Weekly Summary'!R$65))-SUM($I49:W49))),0)</f>
        <v>0</v>
      </c>
      <c r="Y49" s="1380">
        <f ca="1">MAX(IF($F49="No",('Equipment List &amp; Usage'!$O51*'Weekly Summary'!S$52)+('Equipment List &amp; Usage'!$P51*'Weekly Summary'!S$53)+('Equipment List &amp; Usage'!$Q51*('Weekly Summary'!S$52+'Weekly Summary'!S$53))+('Equipment List &amp; Usage'!$R51*'Weekly Summary'!S$64)+('Equipment List &amp; Usage'!$S51*'Weekly Summary'!S$65)+('Equipment List &amp; Usage'!$T51*('Weekly Summary'!S$64+'Weekly Summary'!S$65)),
IF(Y$10=0,('Equipment List &amp; Usage'!$O51*'Weekly Summary'!S$52)+('Equipment List &amp; Usage'!$P51*'Weekly Summary'!S$53)+('Equipment List &amp; Usage'!$Q51*('Weekly Summary'!S$52+'Weekly Summary'!S$53))+('Equipment List &amp; Usage'!$R51*'Weekly Summary'!S$64)+('Equipment List &amp; Usage'!$S51*'Weekly Summary'!S$65)+('Equipment List &amp; Usage'!$T51*('Weekly Summary'!S$64+'Weekly Summary'!S$65)),
('Equipment List &amp; Usage'!$O51*'Weekly Summary'!S$52)+('Equipment List &amp; Usage'!$P51*'Weekly Summary'!S$53)+('Equipment List &amp; Usage'!$Q51*('Weekly Summary'!S$52+'Weekly Summary'!S$53))+('Equipment List &amp; Usage'!$R51*'Weekly Summary'!S$64)+('Equipment List &amp; Usage'!$S51*'Weekly Summary'!S$65)+('Equipment List &amp; Usage'!$T51*('Weekly Summary'!S$64+'Weekly Summary'!S$65))-SUM($I49:X49))),0)</f>
        <v>0</v>
      </c>
      <c r="Z49" s="1380">
        <f ca="1">MAX(IF($F49="No",('Equipment List &amp; Usage'!$O51*'Weekly Summary'!T$52)+('Equipment List &amp; Usage'!$P51*'Weekly Summary'!T$53)+('Equipment List &amp; Usage'!$Q51*('Weekly Summary'!T$52+'Weekly Summary'!T$53))+('Equipment List &amp; Usage'!$R51*'Weekly Summary'!T$64)+('Equipment List &amp; Usage'!$S51*'Weekly Summary'!T$65)+('Equipment List &amp; Usage'!$T51*('Weekly Summary'!T$64+'Weekly Summary'!T$65)),
IF(Z$10=0,('Equipment List &amp; Usage'!$O51*'Weekly Summary'!T$52)+('Equipment List &amp; Usage'!$P51*'Weekly Summary'!T$53)+('Equipment List &amp; Usage'!$Q51*('Weekly Summary'!T$52+'Weekly Summary'!T$53))+('Equipment List &amp; Usage'!$R51*'Weekly Summary'!T$64)+('Equipment List &amp; Usage'!$S51*'Weekly Summary'!T$65)+('Equipment List &amp; Usage'!$T51*('Weekly Summary'!T$64+'Weekly Summary'!T$65)),
('Equipment List &amp; Usage'!$O51*'Weekly Summary'!T$52)+('Equipment List &amp; Usage'!$P51*'Weekly Summary'!T$53)+('Equipment List &amp; Usage'!$Q51*('Weekly Summary'!T$52+'Weekly Summary'!T$53))+('Equipment List &amp; Usage'!$R51*'Weekly Summary'!T$64)+('Equipment List &amp; Usage'!$S51*'Weekly Summary'!T$65)+('Equipment List &amp; Usage'!$T51*('Weekly Summary'!T$64+'Weekly Summary'!T$65))-SUM($I49:Y49))),0)</f>
        <v>0</v>
      </c>
      <c r="AA49" s="1380">
        <f ca="1">MAX(IF($F49="No",('Equipment List &amp; Usage'!$O51*'Weekly Summary'!U$52)+('Equipment List &amp; Usage'!$P51*'Weekly Summary'!U$53)+('Equipment List &amp; Usage'!$Q51*('Weekly Summary'!U$52+'Weekly Summary'!U$53))+('Equipment List &amp; Usage'!$R51*'Weekly Summary'!U$64)+('Equipment List &amp; Usage'!$S51*'Weekly Summary'!U$65)+('Equipment List &amp; Usage'!$T51*('Weekly Summary'!U$64+'Weekly Summary'!U$65)),
IF(AA$10=0,('Equipment List &amp; Usage'!$O51*'Weekly Summary'!U$52)+('Equipment List &amp; Usage'!$P51*'Weekly Summary'!U$53)+('Equipment List &amp; Usage'!$Q51*('Weekly Summary'!U$52+'Weekly Summary'!U$53))+('Equipment List &amp; Usage'!$R51*'Weekly Summary'!U$64)+('Equipment List &amp; Usage'!$S51*'Weekly Summary'!U$65)+('Equipment List &amp; Usage'!$T51*('Weekly Summary'!U$64+'Weekly Summary'!U$65)),
('Equipment List &amp; Usage'!$O51*'Weekly Summary'!U$52)+('Equipment List &amp; Usage'!$P51*'Weekly Summary'!U$53)+('Equipment List &amp; Usage'!$Q51*('Weekly Summary'!U$52+'Weekly Summary'!U$53))+('Equipment List &amp; Usage'!$R51*'Weekly Summary'!U$64)+('Equipment List &amp; Usage'!$S51*'Weekly Summary'!U$65)+('Equipment List &amp; Usage'!$T51*('Weekly Summary'!U$64+'Weekly Summary'!U$65))-SUM($I49:Z49))),0)</f>
        <v>0</v>
      </c>
      <c r="AB49" s="1380">
        <f ca="1">MAX(IF($F49="No",('Equipment List &amp; Usage'!$O51*'Weekly Summary'!V$52)+('Equipment List &amp; Usage'!$P51*'Weekly Summary'!V$53)+('Equipment List &amp; Usage'!$Q51*('Weekly Summary'!V$52+'Weekly Summary'!V$53))+('Equipment List &amp; Usage'!$R51*'Weekly Summary'!V$64)+('Equipment List &amp; Usage'!$S51*'Weekly Summary'!V$65)+('Equipment List &amp; Usage'!$T51*('Weekly Summary'!V$64+'Weekly Summary'!V$65)),
IF(AB$10=0,('Equipment List &amp; Usage'!$O51*'Weekly Summary'!V$52)+('Equipment List &amp; Usage'!$P51*'Weekly Summary'!V$53)+('Equipment List &amp; Usage'!$Q51*('Weekly Summary'!V$52+'Weekly Summary'!V$53))+('Equipment List &amp; Usage'!$R51*'Weekly Summary'!V$64)+('Equipment List &amp; Usage'!$S51*'Weekly Summary'!V$65)+('Equipment List &amp; Usage'!$T51*('Weekly Summary'!V$64+'Weekly Summary'!V$65)),
('Equipment List &amp; Usage'!$O51*'Weekly Summary'!V$52)+('Equipment List &amp; Usage'!$P51*'Weekly Summary'!V$53)+('Equipment List &amp; Usage'!$Q51*('Weekly Summary'!V$52+'Weekly Summary'!V$53))+('Equipment List &amp; Usage'!$R51*'Weekly Summary'!V$64)+('Equipment List &amp; Usage'!$S51*'Weekly Summary'!V$65)+('Equipment List &amp; Usage'!$T51*('Weekly Summary'!V$64+'Weekly Summary'!V$65))-SUM($I49:AA49))),0)</f>
        <v>0</v>
      </c>
      <c r="AC49" s="1380">
        <f ca="1">MAX(IF($F49="No",('Equipment List &amp; Usage'!$O51*'Weekly Summary'!W$52)+('Equipment List &amp; Usage'!$P51*'Weekly Summary'!W$53)+('Equipment List &amp; Usage'!$Q51*('Weekly Summary'!W$52+'Weekly Summary'!W$53))+('Equipment List &amp; Usage'!$R51*'Weekly Summary'!W$64)+('Equipment List &amp; Usage'!$S51*'Weekly Summary'!W$65)+('Equipment List &amp; Usage'!$T51*('Weekly Summary'!W$64+'Weekly Summary'!W$65)),
IF(AC$10=0,('Equipment List &amp; Usage'!$O51*'Weekly Summary'!W$52)+('Equipment List &amp; Usage'!$P51*'Weekly Summary'!W$53)+('Equipment List &amp; Usage'!$Q51*('Weekly Summary'!W$52+'Weekly Summary'!W$53))+('Equipment List &amp; Usage'!$R51*'Weekly Summary'!W$64)+('Equipment List &amp; Usage'!$S51*'Weekly Summary'!W$65)+('Equipment List &amp; Usage'!$T51*('Weekly Summary'!W$64+'Weekly Summary'!W$65)),
('Equipment List &amp; Usage'!$O51*'Weekly Summary'!W$52)+('Equipment List &amp; Usage'!$P51*'Weekly Summary'!W$53)+('Equipment List &amp; Usage'!$Q51*('Weekly Summary'!W$52+'Weekly Summary'!W$53))+('Equipment List &amp; Usage'!$R51*'Weekly Summary'!W$64)+('Equipment List &amp; Usage'!$S51*'Weekly Summary'!W$65)+('Equipment List &amp; Usage'!$T51*('Weekly Summary'!W$64+'Weekly Summary'!W$65))-SUM($I49:AB49))),0)</f>
        <v>0</v>
      </c>
      <c r="AD49" s="1380">
        <f ca="1">MAX(IF($F49="No",('Equipment List &amp; Usage'!$O51*'Weekly Summary'!X$52)+('Equipment List &amp; Usage'!$P51*'Weekly Summary'!X$53)+('Equipment List &amp; Usage'!$Q51*('Weekly Summary'!X$52+'Weekly Summary'!X$53))+('Equipment List &amp; Usage'!$R51*'Weekly Summary'!X$64)+('Equipment List &amp; Usage'!$S51*'Weekly Summary'!X$65)+('Equipment List &amp; Usage'!$T51*('Weekly Summary'!X$64+'Weekly Summary'!X$65)),
IF(AD$10=0,('Equipment List &amp; Usage'!$O51*'Weekly Summary'!X$52)+('Equipment List &amp; Usage'!$P51*'Weekly Summary'!X$53)+('Equipment List &amp; Usage'!$Q51*('Weekly Summary'!X$52+'Weekly Summary'!X$53))+('Equipment List &amp; Usage'!$R51*'Weekly Summary'!X$64)+('Equipment List &amp; Usage'!$S51*'Weekly Summary'!X$65)+('Equipment List &amp; Usage'!$T51*('Weekly Summary'!X$64+'Weekly Summary'!X$65)),
('Equipment List &amp; Usage'!$O51*'Weekly Summary'!X$52)+('Equipment List &amp; Usage'!$P51*'Weekly Summary'!X$53)+('Equipment List &amp; Usage'!$Q51*('Weekly Summary'!X$52+'Weekly Summary'!X$53))+('Equipment List &amp; Usage'!$R51*'Weekly Summary'!X$64)+('Equipment List &amp; Usage'!$S51*'Weekly Summary'!X$65)+('Equipment List &amp; Usage'!$T51*('Weekly Summary'!X$64+'Weekly Summary'!X$65))-SUM($I49:AC49))),0)</f>
        <v>0</v>
      </c>
      <c r="AE49" s="1380">
        <f ca="1">MAX(IF($F49="No",('Equipment List &amp; Usage'!$O51*'Weekly Summary'!Y$52)+('Equipment List &amp; Usage'!$P51*'Weekly Summary'!Y$53)+('Equipment List &amp; Usage'!$Q51*('Weekly Summary'!Y$52+'Weekly Summary'!Y$53))+('Equipment List &amp; Usage'!$R51*'Weekly Summary'!Y$64)+('Equipment List &amp; Usage'!$S51*'Weekly Summary'!Y$65)+('Equipment List &amp; Usage'!$T51*('Weekly Summary'!Y$64+'Weekly Summary'!Y$65)),
IF(AE$10=0,('Equipment List &amp; Usage'!$O51*'Weekly Summary'!Y$52)+('Equipment List &amp; Usage'!$P51*'Weekly Summary'!Y$53)+('Equipment List &amp; Usage'!$Q51*('Weekly Summary'!Y$52+'Weekly Summary'!Y$53))+('Equipment List &amp; Usage'!$R51*'Weekly Summary'!Y$64)+('Equipment List &amp; Usage'!$S51*'Weekly Summary'!Y$65)+('Equipment List &amp; Usage'!$T51*('Weekly Summary'!Y$64+'Weekly Summary'!Y$65)),
('Equipment List &amp; Usage'!$O51*'Weekly Summary'!Y$52)+('Equipment List &amp; Usage'!$P51*'Weekly Summary'!Y$53)+('Equipment List &amp; Usage'!$Q51*('Weekly Summary'!Y$52+'Weekly Summary'!Y$53))+('Equipment List &amp; Usage'!$R51*'Weekly Summary'!Y$64)+('Equipment List &amp; Usage'!$S51*'Weekly Summary'!Y$65)+('Equipment List &amp; Usage'!$T51*('Weekly Summary'!Y$64+'Weekly Summary'!Y$65))-SUM($I49:AD49))),0)</f>
        <v>0</v>
      </c>
      <c r="AF49" s="1380">
        <f ca="1">MAX(IF($F49="No",('Equipment List &amp; Usage'!$O51*'Weekly Summary'!Z$52)+('Equipment List &amp; Usage'!$P51*'Weekly Summary'!Z$53)+('Equipment List &amp; Usage'!$Q51*('Weekly Summary'!Z$52+'Weekly Summary'!Z$53))+('Equipment List &amp; Usage'!$R51*'Weekly Summary'!Z$64)+('Equipment List &amp; Usage'!$S51*'Weekly Summary'!Z$65)+('Equipment List &amp; Usage'!$T51*('Weekly Summary'!Z$64+'Weekly Summary'!Z$65)),
IF(AF$10=0,('Equipment List &amp; Usage'!$O51*'Weekly Summary'!Z$52)+('Equipment List &amp; Usage'!$P51*'Weekly Summary'!Z$53)+('Equipment List &amp; Usage'!$Q51*('Weekly Summary'!Z$52+'Weekly Summary'!Z$53))+('Equipment List &amp; Usage'!$R51*'Weekly Summary'!Z$64)+('Equipment List &amp; Usage'!$S51*'Weekly Summary'!Z$65)+('Equipment List &amp; Usage'!$T51*('Weekly Summary'!Z$64+'Weekly Summary'!Z$65)),
('Equipment List &amp; Usage'!$O51*'Weekly Summary'!Z$52)+('Equipment List &amp; Usage'!$P51*'Weekly Summary'!Z$53)+('Equipment List &amp; Usage'!$Q51*('Weekly Summary'!Z$52+'Weekly Summary'!Z$53))+('Equipment List &amp; Usage'!$R51*'Weekly Summary'!Z$64)+('Equipment List &amp; Usage'!$S51*'Weekly Summary'!Z$65)+('Equipment List &amp; Usage'!$T51*('Weekly Summary'!Z$64+'Weekly Summary'!Z$65))-SUM($I49:AE49))),0)</f>
        <v>0</v>
      </c>
      <c r="AG49" s="1380">
        <f ca="1">MAX(IF($F49="No",('Equipment List &amp; Usage'!$O51*'Weekly Summary'!AA$52)+('Equipment List &amp; Usage'!$P51*'Weekly Summary'!AA$53)+('Equipment List &amp; Usage'!$Q51*('Weekly Summary'!AA$52+'Weekly Summary'!AA$53))+('Equipment List &amp; Usage'!$R51*'Weekly Summary'!AA$64)+('Equipment List &amp; Usage'!$S51*'Weekly Summary'!AA$65)+('Equipment List &amp; Usage'!$T51*('Weekly Summary'!AA$64+'Weekly Summary'!AA$65)),
IF(AG$10=0,('Equipment List &amp; Usage'!$O51*'Weekly Summary'!AA$52)+('Equipment List &amp; Usage'!$P51*'Weekly Summary'!AA$53)+('Equipment List &amp; Usage'!$Q51*('Weekly Summary'!AA$52+'Weekly Summary'!AA$53))+('Equipment List &amp; Usage'!$R51*'Weekly Summary'!AA$64)+('Equipment List &amp; Usage'!$S51*'Weekly Summary'!AA$65)+('Equipment List &amp; Usage'!$T51*('Weekly Summary'!AA$64+'Weekly Summary'!AA$65)),
('Equipment List &amp; Usage'!$O51*'Weekly Summary'!AA$52)+('Equipment List &amp; Usage'!$P51*'Weekly Summary'!AA$53)+('Equipment List &amp; Usage'!$Q51*('Weekly Summary'!AA$52+'Weekly Summary'!AA$53))+('Equipment List &amp; Usage'!$R51*'Weekly Summary'!AA$64)+('Equipment List &amp; Usage'!$S51*'Weekly Summary'!AA$65)+('Equipment List &amp; Usage'!$T51*('Weekly Summary'!AA$64+'Weekly Summary'!AA$65))-SUM($I49:AF49))),0)</f>
        <v>0</v>
      </c>
      <c r="AH49" s="1380">
        <f ca="1">MAX(IF($F49="No",('Equipment List &amp; Usage'!$O51*'Weekly Summary'!AB$52)+('Equipment List &amp; Usage'!$P51*'Weekly Summary'!AB$53)+('Equipment List &amp; Usage'!$Q51*('Weekly Summary'!AB$52+'Weekly Summary'!AB$53))+('Equipment List &amp; Usage'!$R51*'Weekly Summary'!AB$64)+('Equipment List &amp; Usage'!$S51*'Weekly Summary'!AB$65)+('Equipment List &amp; Usage'!$T51*('Weekly Summary'!AB$64+'Weekly Summary'!AB$65)),
IF(AH$10=0,('Equipment List &amp; Usage'!$O51*'Weekly Summary'!AB$52)+('Equipment List &amp; Usage'!$P51*'Weekly Summary'!AB$53)+('Equipment List &amp; Usage'!$Q51*('Weekly Summary'!AB$52+'Weekly Summary'!AB$53))+('Equipment List &amp; Usage'!$R51*'Weekly Summary'!AB$64)+('Equipment List &amp; Usage'!$S51*'Weekly Summary'!AB$65)+('Equipment List &amp; Usage'!$T51*('Weekly Summary'!AB$64+'Weekly Summary'!AB$65)),
('Equipment List &amp; Usage'!$O51*'Weekly Summary'!AB$52)+('Equipment List &amp; Usage'!$P51*'Weekly Summary'!AB$53)+('Equipment List &amp; Usage'!$Q51*('Weekly Summary'!AB$52+'Weekly Summary'!AB$53))+('Equipment List &amp; Usage'!$R51*'Weekly Summary'!AB$64)+('Equipment List &amp; Usage'!$S51*'Weekly Summary'!AB$65)+('Equipment List &amp; Usage'!$T51*('Weekly Summary'!AB$64+'Weekly Summary'!AB$65))-SUM($I49:AG49))),0)</f>
        <v>0</v>
      </c>
      <c r="AI49" s="1380">
        <f ca="1">MAX(IF($F49="No",('Equipment List &amp; Usage'!$O51*'Weekly Summary'!AC$52)+('Equipment List &amp; Usage'!$P51*'Weekly Summary'!AC$53)+('Equipment List &amp; Usage'!$Q51*('Weekly Summary'!AC$52+'Weekly Summary'!AC$53))+('Equipment List &amp; Usage'!$R51*'Weekly Summary'!AC$64)+('Equipment List &amp; Usage'!$S51*'Weekly Summary'!AC$65)+('Equipment List &amp; Usage'!$T51*('Weekly Summary'!AC$64+'Weekly Summary'!AC$65)),
IF(AI$10=0,('Equipment List &amp; Usage'!$O51*'Weekly Summary'!AC$52)+('Equipment List &amp; Usage'!$P51*'Weekly Summary'!AC$53)+('Equipment List &amp; Usage'!$Q51*('Weekly Summary'!AC$52+'Weekly Summary'!AC$53))+('Equipment List &amp; Usage'!$R51*'Weekly Summary'!AC$64)+('Equipment List &amp; Usage'!$S51*'Weekly Summary'!AC$65)+('Equipment List &amp; Usage'!$T51*('Weekly Summary'!AC$64+'Weekly Summary'!AC$65)),
('Equipment List &amp; Usage'!$O51*'Weekly Summary'!AC$52)+('Equipment List &amp; Usage'!$P51*'Weekly Summary'!AC$53)+('Equipment List &amp; Usage'!$Q51*('Weekly Summary'!AC$52+'Weekly Summary'!AC$53))+('Equipment List &amp; Usage'!$R51*'Weekly Summary'!AC$64)+('Equipment List &amp; Usage'!$S51*'Weekly Summary'!AC$65)+('Equipment List &amp; Usage'!$T51*('Weekly Summary'!AC$64+'Weekly Summary'!AC$65))-SUM($I49:AH49))),0)</f>
        <v>0</v>
      </c>
      <c r="AJ49" s="1380">
        <f ca="1">MAX(IF($F49="No",('Equipment List &amp; Usage'!$O51*'Weekly Summary'!AD$52)+('Equipment List &amp; Usage'!$P51*'Weekly Summary'!AD$53)+('Equipment List &amp; Usage'!$Q51*('Weekly Summary'!AD$52+'Weekly Summary'!AD$53))+('Equipment List &amp; Usage'!$R51*'Weekly Summary'!AD$64)+('Equipment List &amp; Usage'!$S51*'Weekly Summary'!AD$65)+('Equipment List &amp; Usage'!$T51*('Weekly Summary'!AD$64+'Weekly Summary'!AD$65)),
IF(AJ$10=0,('Equipment List &amp; Usage'!$O51*'Weekly Summary'!AD$52)+('Equipment List &amp; Usage'!$P51*'Weekly Summary'!AD$53)+('Equipment List &amp; Usage'!$Q51*('Weekly Summary'!AD$52+'Weekly Summary'!AD$53))+('Equipment List &amp; Usage'!$R51*'Weekly Summary'!AD$64)+('Equipment List &amp; Usage'!$S51*'Weekly Summary'!AD$65)+('Equipment List &amp; Usage'!$T51*('Weekly Summary'!AD$64+'Weekly Summary'!AD$65)),
('Equipment List &amp; Usage'!$O51*'Weekly Summary'!AD$52)+('Equipment List &amp; Usage'!$P51*'Weekly Summary'!AD$53)+('Equipment List &amp; Usage'!$Q51*('Weekly Summary'!AD$52+'Weekly Summary'!AD$53))+('Equipment List &amp; Usage'!$R51*'Weekly Summary'!AD$64)+('Equipment List &amp; Usage'!$S51*'Weekly Summary'!AD$65)+('Equipment List &amp; Usage'!$T51*('Weekly Summary'!AD$64+'Weekly Summary'!AD$65))-SUM($I49:AI49))),0)</f>
        <v>0</v>
      </c>
      <c r="AK49" s="1380">
        <f ca="1">MAX(IF($F49="No",('Equipment List &amp; Usage'!$O51*'Weekly Summary'!AE$52)+('Equipment List &amp; Usage'!$P51*'Weekly Summary'!AE$53)+('Equipment List &amp; Usage'!$Q51*('Weekly Summary'!AE$52+'Weekly Summary'!AE$53))+('Equipment List &amp; Usage'!$R51*'Weekly Summary'!AE$64)+('Equipment List &amp; Usage'!$S51*'Weekly Summary'!AE$65)+('Equipment List &amp; Usage'!$T51*('Weekly Summary'!AE$64+'Weekly Summary'!AE$65)),
IF(AK$10=0,('Equipment List &amp; Usage'!$O51*'Weekly Summary'!AE$52)+('Equipment List &amp; Usage'!$P51*'Weekly Summary'!AE$53)+('Equipment List &amp; Usage'!$Q51*('Weekly Summary'!AE$52+'Weekly Summary'!AE$53))+('Equipment List &amp; Usage'!$R51*'Weekly Summary'!AE$64)+('Equipment List &amp; Usage'!$S51*'Weekly Summary'!AE$65)+('Equipment List &amp; Usage'!$T51*('Weekly Summary'!AE$64+'Weekly Summary'!AE$65)),
('Equipment List &amp; Usage'!$O51*'Weekly Summary'!AE$52)+('Equipment List &amp; Usage'!$P51*'Weekly Summary'!AE$53)+('Equipment List &amp; Usage'!$Q51*('Weekly Summary'!AE$52+'Weekly Summary'!AE$53))+('Equipment List &amp; Usage'!$R51*'Weekly Summary'!AE$64)+('Equipment List &amp; Usage'!$S51*'Weekly Summary'!AE$65)+('Equipment List &amp; Usage'!$T51*('Weekly Summary'!AE$64+'Weekly Summary'!AE$65))-SUM($I49:AJ49))),0)</f>
        <v>0</v>
      </c>
      <c r="AL49" s="1380">
        <f ca="1">MAX(IF($F49="No",('Equipment List &amp; Usage'!$O51*'Weekly Summary'!AF$52)+('Equipment List &amp; Usage'!$P51*'Weekly Summary'!AF$53)+('Equipment List &amp; Usage'!$Q51*('Weekly Summary'!AF$52+'Weekly Summary'!AF$53))+('Equipment List &amp; Usage'!$R51*'Weekly Summary'!AF$64)+('Equipment List &amp; Usage'!$S51*'Weekly Summary'!AF$65)+('Equipment List &amp; Usage'!$T51*('Weekly Summary'!AF$64+'Weekly Summary'!AF$65)),
IF(AL$10=0,('Equipment List &amp; Usage'!$O51*'Weekly Summary'!AF$52)+('Equipment List &amp; Usage'!$P51*'Weekly Summary'!AF$53)+('Equipment List &amp; Usage'!$Q51*('Weekly Summary'!AF$52+'Weekly Summary'!AF$53))+('Equipment List &amp; Usage'!$R51*'Weekly Summary'!AF$64)+('Equipment List &amp; Usage'!$S51*'Weekly Summary'!AF$65)+('Equipment List &amp; Usage'!$T51*('Weekly Summary'!AF$64+'Weekly Summary'!AF$65)),
('Equipment List &amp; Usage'!$O51*'Weekly Summary'!AF$52)+('Equipment List &amp; Usage'!$P51*'Weekly Summary'!AF$53)+('Equipment List &amp; Usage'!$Q51*('Weekly Summary'!AF$52+'Weekly Summary'!AF$53))+('Equipment List &amp; Usage'!$R51*'Weekly Summary'!AF$64)+('Equipment List &amp; Usage'!$S51*'Weekly Summary'!AF$65)+('Equipment List &amp; Usage'!$T51*('Weekly Summary'!AF$64+'Weekly Summary'!AF$65))-SUM($I49:AK49))),0)</f>
        <v>0</v>
      </c>
      <c r="AM49" s="1380">
        <f ca="1">MAX(IF($F49="No",('Equipment List &amp; Usage'!$O51*'Weekly Summary'!AG$52)+('Equipment List &amp; Usage'!$P51*'Weekly Summary'!AG$53)+('Equipment List &amp; Usage'!$Q51*('Weekly Summary'!AG$52+'Weekly Summary'!AG$53))+('Equipment List &amp; Usage'!$R51*'Weekly Summary'!AG$64)+('Equipment List &amp; Usage'!$S51*'Weekly Summary'!AG$65)+('Equipment List &amp; Usage'!$T51*('Weekly Summary'!AG$64+'Weekly Summary'!AG$65)),
IF(AM$10=0,('Equipment List &amp; Usage'!$O51*'Weekly Summary'!AG$52)+('Equipment List &amp; Usage'!$P51*'Weekly Summary'!AG$53)+('Equipment List &amp; Usage'!$Q51*('Weekly Summary'!AG$52+'Weekly Summary'!AG$53))+('Equipment List &amp; Usage'!$R51*'Weekly Summary'!AG$64)+('Equipment List &amp; Usage'!$S51*'Weekly Summary'!AG$65)+('Equipment List &amp; Usage'!$T51*('Weekly Summary'!AG$64+'Weekly Summary'!AG$65)),
('Equipment List &amp; Usage'!$O51*'Weekly Summary'!AG$52)+('Equipment List &amp; Usage'!$P51*'Weekly Summary'!AG$53)+('Equipment List &amp; Usage'!$Q51*('Weekly Summary'!AG$52+'Weekly Summary'!AG$53))+('Equipment List &amp; Usage'!$R51*'Weekly Summary'!AG$64)+('Equipment List &amp; Usage'!$S51*'Weekly Summary'!AG$65)+('Equipment List &amp; Usage'!$T51*('Weekly Summary'!AG$64+'Weekly Summary'!AG$65))-SUM($I49:AL49))),0)</f>
        <v>0</v>
      </c>
      <c r="AN49" s="1380">
        <f ca="1">MAX(IF($F49="No",('Equipment List &amp; Usage'!$O51*'Weekly Summary'!AH$52)+('Equipment List &amp; Usage'!$P51*'Weekly Summary'!AH$53)+('Equipment List &amp; Usage'!$Q51*('Weekly Summary'!AH$52+'Weekly Summary'!AH$53))+('Equipment List &amp; Usage'!$R51*'Weekly Summary'!AH$64)+('Equipment List &amp; Usage'!$S51*'Weekly Summary'!AH$65)+('Equipment List &amp; Usage'!$T51*('Weekly Summary'!AH$64+'Weekly Summary'!AH$65)),
IF(AN$10=0,('Equipment List &amp; Usage'!$O51*'Weekly Summary'!AH$52)+('Equipment List &amp; Usage'!$P51*'Weekly Summary'!AH$53)+('Equipment List &amp; Usage'!$Q51*('Weekly Summary'!AH$52+'Weekly Summary'!AH$53))+('Equipment List &amp; Usage'!$R51*'Weekly Summary'!AH$64)+('Equipment List &amp; Usage'!$S51*'Weekly Summary'!AH$65)+('Equipment List &amp; Usage'!$T51*('Weekly Summary'!AH$64+'Weekly Summary'!AH$65)),
('Equipment List &amp; Usage'!$O51*'Weekly Summary'!AH$52)+('Equipment List &amp; Usage'!$P51*'Weekly Summary'!AH$53)+('Equipment List &amp; Usage'!$Q51*('Weekly Summary'!AH$52+'Weekly Summary'!AH$53))+('Equipment List &amp; Usage'!$R51*'Weekly Summary'!AH$64)+('Equipment List &amp; Usage'!$S51*'Weekly Summary'!AH$65)+('Equipment List &amp; Usage'!$T51*('Weekly Summary'!AH$64+'Weekly Summary'!AH$65))-SUM($I49:AM49))),0)</f>
        <v>0</v>
      </c>
      <c r="AO49" s="1380">
        <f ca="1">MAX(IF($F49="No",('Equipment List &amp; Usage'!$O51*'Weekly Summary'!AI$52)+('Equipment List &amp; Usage'!$P51*'Weekly Summary'!AI$53)+('Equipment List &amp; Usage'!$Q51*('Weekly Summary'!AI$52+'Weekly Summary'!AI$53))+('Equipment List &amp; Usage'!$R51*'Weekly Summary'!AI$64)+('Equipment List &amp; Usage'!$S51*'Weekly Summary'!AI$65)+('Equipment List &amp; Usage'!$T51*('Weekly Summary'!AI$64+'Weekly Summary'!AI$65)),
IF(AO$10=0,('Equipment List &amp; Usage'!$O51*'Weekly Summary'!AI$52)+('Equipment List &amp; Usage'!$P51*'Weekly Summary'!AI$53)+('Equipment List &amp; Usage'!$Q51*('Weekly Summary'!AI$52+'Weekly Summary'!AI$53))+('Equipment List &amp; Usage'!$R51*'Weekly Summary'!AI$64)+('Equipment List &amp; Usage'!$S51*'Weekly Summary'!AI$65)+('Equipment List &amp; Usage'!$T51*('Weekly Summary'!AI$64+'Weekly Summary'!AI$65)),
('Equipment List &amp; Usage'!$O51*'Weekly Summary'!AI$52)+('Equipment List &amp; Usage'!$P51*'Weekly Summary'!AI$53)+('Equipment List &amp; Usage'!$Q51*('Weekly Summary'!AI$52+'Weekly Summary'!AI$53))+('Equipment List &amp; Usage'!$R51*'Weekly Summary'!AI$64)+('Equipment List &amp; Usage'!$S51*'Weekly Summary'!AI$65)+('Equipment List &amp; Usage'!$T51*('Weekly Summary'!AI$64+'Weekly Summary'!AI$65))-SUM($I49:AN49))),0)</f>
        <v>0</v>
      </c>
      <c r="AP49" s="1380">
        <f ca="1">MAX(IF($F49="No",('Equipment List &amp; Usage'!$O51*'Weekly Summary'!AJ$52)+('Equipment List &amp; Usage'!$P51*'Weekly Summary'!AJ$53)+('Equipment List &amp; Usage'!$Q51*('Weekly Summary'!AJ$52+'Weekly Summary'!AJ$53))+('Equipment List &amp; Usage'!$R51*'Weekly Summary'!AJ$64)+('Equipment List &amp; Usage'!$S51*'Weekly Summary'!AJ$65)+('Equipment List &amp; Usage'!$T51*('Weekly Summary'!AJ$64+'Weekly Summary'!AJ$65)),
IF(AP$10=0,('Equipment List &amp; Usage'!$O51*'Weekly Summary'!AJ$52)+('Equipment List &amp; Usage'!$P51*'Weekly Summary'!AJ$53)+('Equipment List &amp; Usage'!$Q51*('Weekly Summary'!AJ$52+'Weekly Summary'!AJ$53))+('Equipment List &amp; Usage'!$R51*'Weekly Summary'!AJ$64)+('Equipment List &amp; Usage'!$S51*'Weekly Summary'!AJ$65)+('Equipment List &amp; Usage'!$T51*('Weekly Summary'!AJ$64+'Weekly Summary'!AJ$65)),
('Equipment List &amp; Usage'!$O51*'Weekly Summary'!AJ$52)+('Equipment List &amp; Usage'!$P51*'Weekly Summary'!AJ$53)+('Equipment List &amp; Usage'!$Q51*('Weekly Summary'!AJ$52+'Weekly Summary'!AJ$53))+('Equipment List &amp; Usage'!$R51*'Weekly Summary'!AJ$64)+('Equipment List &amp; Usage'!$S51*'Weekly Summary'!AJ$65)+('Equipment List &amp; Usage'!$T51*('Weekly Summary'!AJ$64+'Weekly Summary'!AJ$65))-SUM($I49:AO49))),0)</f>
        <v>0</v>
      </c>
      <c r="AQ49" s="1380">
        <f ca="1">MAX(IF($F49="No",('Equipment List &amp; Usage'!$O51*'Weekly Summary'!AK$52)+('Equipment List &amp; Usage'!$P51*'Weekly Summary'!AK$53)+('Equipment List &amp; Usage'!$Q51*('Weekly Summary'!AK$52+'Weekly Summary'!AK$53))+('Equipment List &amp; Usage'!$R51*'Weekly Summary'!AK$64)+('Equipment List &amp; Usage'!$S51*'Weekly Summary'!AK$65)+('Equipment List &amp; Usage'!$T51*('Weekly Summary'!AK$64+'Weekly Summary'!AK$65)),
IF(AQ$10=0,('Equipment List &amp; Usage'!$O51*'Weekly Summary'!AK$52)+('Equipment List &amp; Usage'!$P51*'Weekly Summary'!AK$53)+('Equipment List &amp; Usage'!$Q51*('Weekly Summary'!AK$52+'Weekly Summary'!AK$53))+('Equipment List &amp; Usage'!$R51*'Weekly Summary'!AK$64)+('Equipment List &amp; Usage'!$S51*'Weekly Summary'!AK$65)+('Equipment List &amp; Usage'!$T51*('Weekly Summary'!AK$64+'Weekly Summary'!AK$65)),
('Equipment List &amp; Usage'!$O51*'Weekly Summary'!AK$52)+('Equipment List &amp; Usage'!$P51*'Weekly Summary'!AK$53)+('Equipment List &amp; Usage'!$Q51*('Weekly Summary'!AK$52+'Weekly Summary'!AK$53))+('Equipment List &amp; Usage'!$R51*'Weekly Summary'!AK$64)+('Equipment List &amp; Usage'!$S51*'Weekly Summary'!AK$65)+('Equipment List &amp; Usage'!$T51*('Weekly Summary'!AK$64+'Weekly Summary'!AK$65))-SUM($I49:AP49))),0)</f>
        <v>0</v>
      </c>
      <c r="AR49" s="1380">
        <f ca="1">MAX(IF($F49="No",('Equipment List &amp; Usage'!$O51*'Weekly Summary'!AL$52)+('Equipment List &amp; Usage'!$P51*'Weekly Summary'!AL$53)+('Equipment List &amp; Usage'!$Q51*('Weekly Summary'!AL$52+'Weekly Summary'!AL$53))+('Equipment List &amp; Usage'!$R51*'Weekly Summary'!AL$64)+('Equipment List &amp; Usage'!$S51*'Weekly Summary'!AL$65)+('Equipment List &amp; Usage'!$T51*('Weekly Summary'!AL$64+'Weekly Summary'!AL$65)),
IF(AR$10=0,('Equipment List &amp; Usage'!$O51*'Weekly Summary'!AL$52)+('Equipment List &amp; Usage'!$P51*'Weekly Summary'!AL$53)+('Equipment List &amp; Usage'!$Q51*('Weekly Summary'!AL$52+'Weekly Summary'!AL$53))+('Equipment List &amp; Usage'!$R51*'Weekly Summary'!AL$64)+('Equipment List &amp; Usage'!$S51*'Weekly Summary'!AL$65)+('Equipment List &amp; Usage'!$T51*('Weekly Summary'!AL$64+'Weekly Summary'!AL$65)),
('Equipment List &amp; Usage'!$O51*'Weekly Summary'!AL$52)+('Equipment List &amp; Usage'!$P51*'Weekly Summary'!AL$53)+('Equipment List &amp; Usage'!$Q51*('Weekly Summary'!AL$52+'Weekly Summary'!AL$53))+('Equipment List &amp; Usage'!$R51*'Weekly Summary'!AL$64)+('Equipment List &amp; Usage'!$S51*'Weekly Summary'!AL$65)+('Equipment List &amp; Usage'!$T51*('Weekly Summary'!AL$64+'Weekly Summary'!AL$65))-SUM($I49:AQ49))),0)</f>
        <v>0</v>
      </c>
      <c r="AS49" s="1380">
        <f ca="1">MAX(IF($F49="No",('Equipment List &amp; Usage'!$O51*'Weekly Summary'!AM$52)+('Equipment List &amp; Usage'!$P51*'Weekly Summary'!AM$53)+('Equipment List &amp; Usage'!$Q51*('Weekly Summary'!AM$52+'Weekly Summary'!AM$53))+('Equipment List &amp; Usage'!$R51*'Weekly Summary'!AM$64)+('Equipment List &amp; Usage'!$S51*'Weekly Summary'!AM$65)+('Equipment List &amp; Usage'!$T51*('Weekly Summary'!AM$64+'Weekly Summary'!AM$65)),
IF(AS$10=0,('Equipment List &amp; Usage'!$O51*'Weekly Summary'!AM$52)+('Equipment List &amp; Usage'!$P51*'Weekly Summary'!AM$53)+('Equipment List &amp; Usage'!$Q51*('Weekly Summary'!AM$52+'Weekly Summary'!AM$53))+('Equipment List &amp; Usage'!$R51*'Weekly Summary'!AM$64)+('Equipment List &amp; Usage'!$S51*'Weekly Summary'!AM$65)+('Equipment List &amp; Usage'!$T51*('Weekly Summary'!AM$64+'Weekly Summary'!AM$65)),
('Equipment List &amp; Usage'!$O51*'Weekly Summary'!AM$52)+('Equipment List &amp; Usage'!$P51*'Weekly Summary'!AM$53)+('Equipment List &amp; Usage'!$Q51*('Weekly Summary'!AM$52+'Weekly Summary'!AM$53))+('Equipment List &amp; Usage'!$R51*'Weekly Summary'!AM$64)+('Equipment List &amp; Usage'!$S51*'Weekly Summary'!AM$65)+('Equipment List &amp; Usage'!$T51*('Weekly Summary'!AM$64+'Weekly Summary'!AM$65))-SUM($I49:AR49))),0)</f>
        <v>0</v>
      </c>
      <c r="AT49" s="1380">
        <f ca="1">MAX(IF($F49="No",('Equipment List &amp; Usage'!$O51*'Weekly Summary'!AN$52)+('Equipment List &amp; Usage'!$P51*'Weekly Summary'!AN$53)+('Equipment List &amp; Usage'!$Q51*('Weekly Summary'!AN$52+'Weekly Summary'!AN$53))+('Equipment List &amp; Usage'!$R51*'Weekly Summary'!AN$64)+('Equipment List &amp; Usage'!$S51*'Weekly Summary'!AN$65)+('Equipment List &amp; Usage'!$T51*('Weekly Summary'!AN$64+'Weekly Summary'!AN$65)),
IF(AT$10=0,('Equipment List &amp; Usage'!$O51*'Weekly Summary'!AN$52)+('Equipment List &amp; Usage'!$P51*'Weekly Summary'!AN$53)+('Equipment List &amp; Usage'!$Q51*('Weekly Summary'!AN$52+'Weekly Summary'!AN$53))+('Equipment List &amp; Usage'!$R51*'Weekly Summary'!AN$64)+('Equipment List &amp; Usage'!$S51*'Weekly Summary'!AN$65)+('Equipment List &amp; Usage'!$T51*('Weekly Summary'!AN$64+'Weekly Summary'!AN$65)),
('Equipment List &amp; Usage'!$O51*'Weekly Summary'!AN$52)+('Equipment List &amp; Usage'!$P51*'Weekly Summary'!AN$53)+('Equipment List &amp; Usage'!$Q51*('Weekly Summary'!AN$52+'Weekly Summary'!AN$53))+('Equipment List &amp; Usage'!$R51*'Weekly Summary'!AN$64)+('Equipment List &amp; Usage'!$S51*'Weekly Summary'!AN$65)+('Equipment List &amp; Usage'!$T51*('Weekly Summary'!AN$64+'Weekly Summary'!AN$65))-SUM($I49:AS49))),0)</f>
        <v>0</v>
      </c>
      <c r="AU49" s="1380">
        <f ca="1">MAX(IF($F49="No",('Equipment List &amp; Usage'!$O51*'Weekly Summary'!AO$52)+('Equipment List &amp; Usage'!$P51*'Weekly Summary'!AO$53)+('Equipment List &amp; Usage'!$Q51*('Weekly Summary'!AO$52+'Weekly Summary'!AO$53))+('Equipment List &amp; Usage'!$R51*'Weekly Summary'!AO$64)+('Equipment List &amp; Usage'!$S51*'Weekly Summary'!AO$65)+('Equipment List &amp; Usage'!$T51*('Weekly Summary'!AO$64+'Weekly Summary'!AO$65)),
IF(AU$10=0,('Equipment List &amp; Usage'!$O51*'Weekly Summary'!AO$52)+('Equipment List &amp; Usage'!$P51*'Weekly Summary'!AO$53)+('Equipment List &amp; Usage'!$Q51*('Weekly Summary'!AO$52+'Weekly Summary'!AO$53))+('Equipment List &amp; Usage'!$R51*'Weekly Summary'!AO$64)+('Equipment List &amp; Usage'!$S51*'Weekly Summary'!AO$65)+('Equipment List &amp; Usage'!$T51*('Weekly Summary'!AO$64+'Weekly Summary'!AO$65)),
('Equipment List &amp; Usage'!$O51*'Weekly Summary'!AO$52)+('Equipment List &amp; Usage'!$P51*'Weekly Summary'!AO$53)+('Equipment List &amp; Usage'!$Q51*('Weekly Summary'!AO$52+'Weekly Summary'!AO$53))+('Equipment List &amp; Usage'!$R51*'Weekly Summary'!AO$64)+('Equipment List &amp; Usage'!$S51*'Weekly Summary'!AO$65)+('Equipment List &amp; Usage'!$T51*('Weekly Summary'!AO$64+'Weekly Summary'!AO$65))-SUM($I49:AT49))),0)</f>
        <v>0</v>
      </c>
      <c r="AV49" s="1380">
        <f ca="1">MAX(IF($F49="No",('Equipment List &amp; Usage'!$O51*'Weekly Summary'!AP$52)+('Equipment List &amp; Usage'!$P51*'Weekly Summary'!AP$53)+('Equipment List &amp; Usage'!$Q51*('Weekly Summary'!AP$52+'Weekly Summary'!AP$53))+('Equipment List &amp; Usage'!$R51*'Weekly Summary'!AP$64)+('Equipment List &amp; Usage'!$S51*'Weekly Summary'!AP$65)+('Equipment List &amp; Usage'!$T51*('Weekly Summary'!AP$64+'Weekly Summary'!AP$65)),
IF(AV$10=0,('Equipment List &amp; Usage'!$O51*'Weekly Summary'!AP$52)+('Equipment List &amp; Usage'!$P51*'Weekly Summary'!AP$53)+('Equipment List &amp; Usage'!$Q51*('Weekly Summary'!AP$52+'Weekly Summary'!AP$53))+('Equipment List &amp; Usage'!$R51*'Weekly Summary'!AP$64)+('Equipment List &amp; Usage'!$S51*'Weekly Summary'!AP$65)+('Equipment List &amp; Usage'!$T51*('Weekly Summary'!AP$64+'Weekly Summary'!AP$65)),
('Equipment List &amp; Usage'!$O51*'Weekly Summary'!AP$52)+('Equipment List &amp; Usage'!$P51*'Weekly Summary'!AP$53)+('Equipment List &amp; Usage'!$Q51*('Weekly Summary'!AP$52+'Weekly Summary'!AP$53))+('Equipment List &amp; Usage'!$R51*'Weekly Summary'!AP$64)+('Equipment List &amp; Usage'!$S51*'Weekly Summary'!AP$65)+('Equipment List &amp; Usage'!$T51*('Weekly Summary'!AP$64+'Weekly Summary'!AP$65))-SUM($I49:AU49))),0)</f>
        <v>0</v>
      </c>
      <c r="AW49" s="1380">
        <f ca="1">MAX(IF($F49="No",('Equipment List &amp; Usage'!$O51*'Weekly Summary'!AQ$52)+('Equipment List &amp; Usage'!$P51*'Weekly Summary'!AQ$53)+('Equipment List &amp; Usage'!$Q51*('Weekly Summary'!AQ$52+'Weekly Summary'!AQ$53))+('Equipment List &amp; Usage'!$R51*'Weekly Summary'!AQ$64)+('Equipment List &amp; Usage'!$S51*'Weekly Summary'!AQ$65)+('Equipment List &amp; Usage'!$T51*('Weekly Summary'!AQ$64+'Weekly Summary'!AQ$65)),
IF(AW$10=0,('Equipment List &amp; Usage'!$O51*'Weekly Summary'!AQ$52)+('Equipment List &amp; Usage'!$P51*'Weekly Summary'!AQ$53)+('Equipment List &amp; Usage'!$Q51*('Weekly Summary'!AQ$52+'Weekly Summary'!AQ$53))+('Equipment List &amp; Usage'!$R51*'Weekly Summary'!AQ$64)+('Equipment List &amp; Usage'!$S51*'Weekly Summary'!AQ$65)+('Equipment List &amp; Usage'!$T51*('Weekly Summary'!AQ$64+'Weekly Summary'!AQ$65)),
('Equipment List &amp; Usage'!$O51*'Weekly Summary'!AQ$52)+('Equipment List &amp; Usage'!$P51*'Weekly Summary'!AQ$53)+('Equipment List &amp; Usage'!$Q51*('Weekly Summary'!AQ$52+'Weekly Summary'!AQ$53))+('Equipment List &amp; Usage'!$R51*'Weekly Summary'!AQ$64)+('Equipment List &amp; Usage'!$S51*'Weekly Summary'!AQ$65)+('Equipment List &amp; Usage'!$T51*('Weekly Summary'!AQ$64+'Weekly Summary'!AQ$65))-SUM($I49:AV49))),0)</f>
        <v>0</v>
      </c>
      <c r="AX49" s="1380">
        <f ca="1">MAX(IF($F49="No",('Equipment List &amp; Usage'!$O51*'Weekly Summary'!AR$52)+('Equipment List &amp; Usage'!$P51*'Weekly Summary'!AR$53)+('Equipment List &amp; Usage'!$Q51*('Weekly Summary'!AR$52+'Weekly Summary'!AR$53))+('Equipment List &amp; Usage'!$R51*'Weekly Summary'!AR$64)+('Equipment List &amp; Usage'!$S51*'Weekly Summary'!AR$65)+('Equipment List &amp; Usage'!$T51*('Weekly Summary'!AR$64+'Weekly Summary'!AR$65)),
IF(AX$10=0,('Equipment List &amp; Usage'!$O51*'Weekly Summary'!AR$52)+('Equipment List &amp; Usage'!$P51*'Weekly Summary'!AR$53)+('Equipment List &amp; Usage'!$Q51*('Weekly Summary'!AR$52+'Weekly Summary'!AR$53))+('Equipment List &amp; Usage'!$R51*'Weekly Summary'!AR$64)+('Equipment List &amp; Usage'!$S51*'Weekly Summary'!AR$65)+('Equipment List &amp; Usage'!$T51*('Weekly Summary'!AR$64+'Weekly Summary'!AR$65)),
('Equipment List &amp; Usage'!$O51*'Weekly Summary'!AR$52)+('Equipment List &amp; Usage'!$P51*'Weekly Summary'!AR$53)+('Equipment List &amp; Usage'!$Q51*('Weekly Summary'!AR$52+'Weekly Summary'!AR$53))+('Equipment List &amp; Usage'!$R51*'Weekly Summary'!AR$64)+('Equipment List &amp; Usage'!$S51*'Weekly Summary'!AR$65)+('Equipment List &amp; Usage'!$T51*('Weekly Summary'!AR$64+'Weekly Summary'!AR$65))-SUM($I49:AW49))),0)</f>
        <v>0</v>
      </c>
      <c r="AY49" s="1380">
        <f ca="1">MAX(IF($F49="No",('Equipment List &amp; Usage'!$O51*'Weekly Summary'!AS$52)+('Equipment List &amp; Usage'!$P51*'Weekly Summary'!AS$53)+('Equipment List &amp; Usage'!$Q51*('Weekly Summary'!AS$52+'Weekly Summary'!AS$53))+('Equipment List &amp; Usage'!$R51*'Weekly Summary'!AS$64)+('Equipment List &amp; Usage'!$S51*'Weekly Summary'!AS$65)+('Equipment List &amp; Usage'!$T51*('Weekly Summary'!AS$64+'Weekly Summary'!AS$65)),
IF(AY$10=0,('Equipment List &amp; Usage'!$O51*'Weekly Summary'!AS$52)+('Equipment List &amp; Usage'!$P51*'Weekly Summary'!AS$53)+('Equipment List &amp; Usage'!$Q51*('Weekly Summary'!AS$52+'Weekly Summary'!AS$53))+('Equipment List &amp; Usage'!$R51*'Weekly Summary'!AS$64)+('Equipment List &amp; Usage'!$S51*'Weekly Summary'!AS$65)+('Equipment List &amp; Usage'!$T51*('Weekly Summary'!AS$64+'Weekly Summary'!AS$65)),
('Equipment List &amp; Usage'!$O51*'Weekly Summary'!AS$52)+('Equipment List &amp; Usage'!$P51*'Weekly Summary'!AS$53)+('Equipment List &amp; Usage'!$Q51*('Weekly Summary'!AS$52+'Weekly Summary'!AS$53))+('Equipment List &amp; Usage'!$R51*'Weekly Summary'!AS$64)+('Equipment List &amp; Usage'!$S51*'Weekly Summary'!AS$65)+('Equipment List &amp; Usage'!$T51*('Weekly Summary'!AS$64+'Weekly Summary'!AS$65))-SUM($I49:AX49))),0)</f>
        <v>0</v>
      </c>
      <c r="AZ49" s="1380">
        <f ca="1">MAX(IF($F49="No",('Equipment List &amp; Usage'!$O51*'Weekly Summary'!AT$52)+('Equipment List &amp; Usage'!$P51*'Weekly Summary'!AT$53)+('Equipment List &amp; Usage'!$Q51*('Weekly Summary'!AT$52+'Weekly Summary'!AT$53))+('Equipment List &amp; Usage'!$R51*'Weekly Summary'!AT$64)+('Equipment List &amp; Usage'!$S51*'Weekly Summary'!AT$65)+('Equipment List &amp; Usage'!$T51*('Weekly Summary'!AT$64+'Weekly Summary'!AT$65)),
IF(AZ$10=0,('Equipment List &amp; Usage'!$O51*'Weekly Summary'!AT$52)+('Equipment List &amp; Usage'!$P51*'Weekly Summary'!AT$53)+('Equipment List &amp; Usage'!$Q51*('Weekly Summary'!AT$52+'Weekly Summary'!AT$53))+('Equipment List &amp; Usage'!$R51*'Weekly Summary'!AT$64)+('Equipment List &amp; Usage'!$S51*'Weekly Summary'!AT$65)+('Equipment List &amp; Usage'!$T51*('Weekly Summary'!AT$64+'Weekly Summary'!AT$65)),
('Equipment List &amp; Usage'!$O51*'Weekly Summary'!AT$52)+('Equipment List &amp; Usage'!$P51*'Weekly Summary'!AT$53)+('Equipment List &amp; Usage'!$Q51*('Weekly Summary'!AT$52+'Weekly Summary'!AT$53))+('Equipment List &amp; Usage'!$R51*'Weekly Summary'!AT$64)+('Equipment List &amp; Usage'!$S51*'Weekly Summary'!AT$65)+('Equipment List &amp; Usage'!$T51*('Weekly Summary'!AT$64+'Weekly Summary'!AT$65))-SUM($I49:AY49))),0)</f>
        <v>0</v>
      </c>
      <c r="BA49" s="1380">
        <f ca="1">MAX(IF($F49="No",('Equipment List &amp; Usage'!$O51*'Weekly Summary'!AU$52)+('Equipment List &amp; Usage'!$P51*'Weekly Summary'!AU$53)+('Equipment List &amp; Usage'!$Q51*('Weekly Summary'!AU$52+'Weekly Summary'!AU$53))+('Equipment List &amp; Usage'!$R51*'Weekly Summary'!AU$64)+('Equipment List &amp; Usage'!$S51*'Weekly Summary'!AU$65)+('Equipment List &amp; Usage'!$T51*('Weekly Summary'!AU$64+'Weekly Summary'!AU$65)),
IF(BA$10=0,('Equipment List &amp; Usage'!$O51*'Weekly Summary'!AU$52)+('Equipment List &amp; Usage'!$P51*'Weekly Summary'!AU$53)+('Equipment List &amp; Usage'!$Q51*('Weekly Summary'!AU$52+'Weekly Summary'!AU$53))+('Equipment List &amp; Usage'!$R51*'Weekly Summary'!AU$64)+('Equipment List &amp; Usage'!$S51*'Weekly Summary'!AU$65)+('Equipment List &amp; Usage'!$T51*('Weekly Summary'!AU$64+'Weekly Summary'!AU$65)),
('Equipment List &amp; Usage'!$O51*'Weekly Summary'!AU$52)+('Equipment List &amp; Usage'!$P51*'Weekly Summary'!AU$53)+('Equipment List &amp; Usage'!$Q51*('Weekly Summary'!AU$52+'Weekly Summary'!AU$53))+('Equipment List &amp; Usage'!$R51*'Weekly Summary'!AU$64)+('Equipment List &amp; Usage'!$S51*'Weekly Summary'!AU$65)+('Equipment List &amp; Usage'!$T51*('Weekly Summary'!AU$64+'Weekly Summary'!AU$65))-SUM($I49:AZ49))),0)</f>
        <v>0</v>
      </c>
      <c r="BB49" s="1380">
        <f ca="1">MAX(IF($F49="No",('Equipment List &amp; Usage'!$O51*'Weekly Summary'!AV$52)+('Equipment List &amp; Usage'!$P51*'Weekly Summary'!AV$53)+('Equipment List &amp; Usage'!$Q51*('Weekly Summary'!AV$52+'Weekly Summary'!AV$53))+('Equipment List &amp; Usage'!$R51*'Weekly Summary'!AV$64)+('Equipment List &amp; Usage'!$S51*'Weekly Summary'!AV$65)+('Equipment List &amp; Usage'!$T51*('Weekly Summary'!AV$64+'Weekly Summary'!AV$65)),
IF(BB$10=0,('Equipment List &amp; Usage'!$O51*'Weekly Summary'!AV$52)+('Equipment List &amp; Usage'!$P51*'Weekly Summary'!AV$53)+('Equipment List &amp; Usage'!$Q51*('Weekly Summary'!AV$52+'Weekly Summary'!AV$53))+('Equipment List &amp; Usage'!$R51*'Weekly Summary'!AV$64)+('Equipment List &amp; Usage'!$S51*'Weekly Summary'!AV$65)+('Equipment List &amp; Usage'!$T51*('Weekly Summary'!AV$64+'Weekly Summary'!AV$65)),
('Equipment List &amp; Usage'!$O51*'Weekly Summary'!AV$52)+('Equipment List &amp; Usage'!$P51*'Weekly Summary'!AV$53)+('Equipment List &amp; Usage'!$Q51*('Weekly Summary'!AV$52+'Weekly Summary'!AV$53))+('Equipment List &amp; Usage'!$R51*'Weekly Summary'!AV$64)+('Equipment List &amp; Usage'!$S51*'Weekly Summary'!AV$65)+('Equipment List &amp; Usage'!$T51*('Weekly Summary'!AV$64+'Weekly Summary'!AV$65))-SUM($I49:BA49))),0)</f>
        <v>0</v>
      </c>
      <c r="BC49" s="1380">
        <f ca="1">MAX(IF($F49="No",('Equipment List &amp; Usage'!$O51*'Weekly Summary'!AW$52)+('Equipment List &amp; Usage'!$P51*'Weekly Summary'!AW$53)+('Equipment List &amp; Usage'!$Q51*('Weekly Summary'!AW$52+'Weekly Summary'!AW$53))+('Equipment List &amp; Usage'!$R51*'Weekly Summary'!AW$64)+('Equipment List &amp; Usage'!$S51*'Weekly Summary'!AW$65)+('Equipment List &amp; Usage'!$T51*('Weekly Summary'!AW$64+'Weekly Summary'!AW$65)),
IF(BC$10=0,('Equipment List &amp; Usage'!$O51*'Weekly Summary'!AW$52)+('Equipment List &amp; Usage'!$P51*'Weekly Summary'!AW$53)+('Equipment List &amp; Usage'!$Q51*('Weekly Summary'!AW$52+'Weekly Summary'!AW$53))+('Equipment List &amp; Usage'!$R51*'Weekly Summary'!AW$64)+('Equipment List &amp; Usage'!$S51*'Weekly Summary'!AW$65)+('Equipment List &amp; Usage'!$T51*('Weekly Summary'!AW$64+'Weekly Summary'!AW$65)),
('Equipment List &amp; Usage'!$O51*'Weekly Summary'!AW$52)+('Equipment List &amp; Usage'!$P51*'Weekly Summary'!AW$53)+('Equipment List &amp; Usage'!$Q51*('Weekly Summary'!AW$52+'Weekly Summary'!AW$53))+('Equipment List &amp; Usage'!$R51*'Weekly Summary'!AW$64)+('Equipment List &amp; Usage'!$S51*'Weekly Summary'!AW$65)+('Equipment List &amp; Usage'!$T51*('Weekly Summary'!AW$64+'Weekly Summary'!AW$65))-SUM($I49:BB49))),0)</f>
        <v>0</v>
      </c>
      <c r="BD49" s="1380">
        <f ca="1">MAX(IF($F49="No",('Equipment List &amp; Usage'!$O51*'Weekly Summary'!AX$52)+('Equipment List &amp; Usage'!$P51*'Weekly Summary'!AX$53)+('Equipment List &amp; Usage'!$Q51*('Weekly Summary'!AX$52+'Weekly Summary'!AX$53))+('Equipment List &amp; Usage'!$R51*'Weekly Summary'!AX$64)+('Equipment List &amp; Usage'!$S51*'Weekly Summary'!AX$65)+('Equipment List &amp; Usage'!$T51*('Weekly Summary'!AX$64+'Weekly Summary'!AX$65)),
IF(BD$10=0,('Equipment List &amp; Usage'!$O51*'Weekly Summary'!AX$52)+('Equipment List &amp; Usage'!$P51*'Weekly Summary'!AX$53)+('Equipment List &amp; Usage'!$Q51*('Weekly Summary'!AX$52+'Weekly Summary'!AX$53))+('Equipment List &amp; Usage'!$R51*'Weekly Summary'!AX$64)+('Equipment List &amp; Usage'!$S51*'Weekly Summary'!AX$65)+('Equipment List &amp; Usage'!$T51*('Weekly Summary'!AX$64+'Weekly Summary'!AX$65)),
('Equipment List &amp; Usage'!$O51*'Weekly Summary'!AX$52)+('Equipment List &amp; Usage'!$P51*'Weekly Summary'!AX$53)+('Equipment List &amp; Usage'!$Q51*('Weekly Summary'!AX$52+'Weekly Summary'!AX$53))+('Equipment List &amp; Usage'!$R51*'Weekly Summary'!AX$64)+('Equipment List &amp; Usage'!$S51*'Weekly Summary'!AX$65)+('Equipment List &amp; Usage'!$T51*('Weekly Summary'!AX$64+'Weekly Summary'!AX$65))-SUM($I49:BC49))),0)</f>
        <v>0</v>
      </c>
      <c r="BE49" s="1380">
        <f ca="1">MAX(IF($F49="No",('Equipment List &amp; Usage'!$O51*'Weekly Summary'!AY$52)+('Equipment List &amp; Usage'!$P51*'Weekly Summary'!AY$53)+('Equipment List &amp; Usage'!$Q51*('Weekly Summary'!AY$52+'Weekly Summary'!AY$53))+('Equipment List &amp; Usage'!$R51*'Weekly Summary'!AY$64)+('Equipment List &amp; Usage'!$S51*'Weekly Summary'!AY$65)+('Equipment List &amp; Usage'!$T51*('Weekly Summary'!AY$64+'Weekly Summary'!AY$65)),
IF(BE$10=0,('Equipment List &amp; Usage'!$O51*'Weekly Summary'!AY$52)+('Equipment List &amp; Usage'!$P51*'Weekly Summary'!AY$53)+('Equipment List &amp; Usage'!$Q51*('Weekly Summary'!AY$52+'Weekly Summary'!AY$53))+('Equipment List &amp; Usage'!$R51*'Weekly Summary'!AY$64)+('Equipment List &amp; Usage'!$S51*'Weekly Summary'!AY$65)+('Equipment List &amp; Usage'!$T51*('Weekly Summary'!AY$64+'Weekly Summary'!AY$65)),
('Equipment List &amp; Usage'!$O51*'Weekly Summary'!AY$52)+('Equipment List &amp; Usage'!$P51*'Weekly Summary'!AY$53)+('Equipment List &amp; Usage'!$Q51*('Weekly Summary'!AY$52+'Weekly Summary'!AY$53))+('Equipment List &amp; Usage'!$R51*'Weekly Summary'!AY$64)+('Equipment List &amp; Usage'!$S51*'Weekly Summary'!AY$65)+('Equipment List &amp; Usage'!$T51*('Weekly Summary'!AY$64+'Weekly Summary'!AY$65))-SUM($I49:BD49))),0)</f>
        <v>0</v>
      </c>
      <c r="BF49" s="1380">
        <f ca="1">MAX(IF($F49="No",('Equipment List &amp; Usage'!$O51*'Weekly Summary'!AZ$52)+('Equipment List &amp; Usage'!$P51*'Weekly Summary'!AZ$53)+('Equipment List &amp; Usage'!$Q51*('Weekly Summary'!AZ$52+'Weekly Summary'!AZ$53))+('Equipment List &amp; Usage'!$R51*'Weekly Summary'!AZ$64)+('Equipment List &amp; Usage'!$S51*'Weekly Summary'!AZ$65)+('Equipment List &amp; Usage'!$T51*('Weekly Summary'!AZ$64+'Weekly Summary'!AZ$65)),
IF(BF$10=0,('Equipment List &amp; Usage'!$O51*'Weekly Summary'!AZ$52)+('Equipment List &amp; Usage'!$P51*'Weekly Summary'!AZ$53)+('Equipment List &amp; Usage'!$Q51*('Weekly Summary'!AZ$52+'Weekly Summary'!AZ$53))+('Equipment List &amp; Usage'!$R51*'Weekly Summary'!AZ$64)+('Equipment List &amp; Usage'!$S51*'Weekly Summary'!AZ$65)+('Equipment List &amp; Usage'!$T51*('Weekly Summary'!AZ$64+'Weekly Summary'!AZ$65)),
('Equipment List &amp; Usage'!$O51*'Weekly Summary'!AZ$52)+('Equipment List &amp; Usage'!$P51*'Weekly Summary'!AZ$53)+('Equipment List &amp; Usage'!$Q51*('Weekly Summary'!AZ$52+'Weekly Summary'!AZ$53))+('Equipment List &amp; Usage'!$R51*'Weekly Summary'!AZ$64)+('Equipment List &amp; Usage'!$S51*'Weekly Summary'!AZ$65)+('Equipment List &amp; Usage'!$T51*('Weekly Summary'!AZ$64+'Weekly Summary'!AZ$65))-SUM($I49:BE49))),0)</f>
        <v>0</v>
      </c>
      <c r="BG49" s="1380">
        <f ca="1">MAX(IF($F49="No",('Equipment List &amp; Usage'!$O51*'Weekly Summary'!BA$52)+('Equipment List &amp; Usage'!$P51*'Weekly Summary'!BA$53)+('Equipment List &amp; Usage'!$Q51*('Weekly Summary'!BA$52+'Weekly Summary'!BA$53))+('Equipment List &amp; Usage'!$R51*'Weekly Summary'!BA$64)+('Equipment List &amp; Usage'!$S51*'Weekly Summary'!BA$65)+('Equipment List &amp; Usage'!$T51*('Weekly Summary'!BA$64+'Weekly Summary'!BA$65)),
IF(BG$10=0,('Equipment List &amp; Usage'!$O51*'Weekly Summary'!BA$52)+('Equipment List &amp; Usage'!$P51*'Weekly Summary'!BA$53)+('Equipment List &amp; Usage'!$Q51*('Weekly Summary'!BA$52+'Weekly Summary'!BA$53))+('Equipment List &amp; Usage'!$R51*'Weekly Summary'!BA$64)+('Equipment List &amp; Usage'!$S51*'Weekly Summary'!BA$65)+('Equipment List &amp; Usage'!$T51*('Weekly Summary'!BA$64+'Weekly Summary'!BA$65)),
('Equipment List &amp; Usage'!$O51*'Weekly Summary'!BA$52)+('Equipment List &amp; Usage'!$P51*'Weekly Summary'!BA$53)+('Equipment List &amp; Usage'!$Q51*('Weekly Summary'!BA$52+'Weekly Summary'!BA$53))+('Equipment List &amp; Usage'!$R51*'Weekly Summary'!BA$64)+('Equipment List &amp; Usage'!$S51*'Weekly Summary'!BA$65)+('Equipment List &amp; Usage'!$T51*('Weekly Summary'!BA$64+'Weekly Summary'!BA$65))-SUM($I49:BF49))),0)</f>
        <v>0</v>
      </c>
      <c r="BH49" s="1380">
        <f ca="1">MAX(IF($F49="No",('Equipment List &amp; Usage'!$O51*'Weekly Summary'!BB$52)+('Equipment List &amp; Usage'!$P51*'Weekly Summary'!BB$53)+('Equipment List &amp; Usage'!$Q51*('Weekly Summary'!BB$52+'Weekly Summary'!BB$53))+('Equipment List &amp; Usage'!$R51*'Weekly Summary'!BB$64)+('Equipment List &amp; Usage'!$S51*'Weekly Summary'!BB$65)+('Equipment List &amp; Usage'!$T51*('Weekly Summary'!BB$64+'Weekly Summary'!BB$65)),
IF(BH$10=0,('Equipment List &amp; Usage'!$O51*'Weekly Summary'!BB$52)+('Equipment List &amp; Usage'!$P51*'Weekly Summary'!BB$53)+('Equipment List &amp; Usage'!$Q51*('Weekly Summary'!BB$52+'Weekly Summary'!BB$53))+('Equipment List &amp; Usage'!$R51*'Weekly Summary'!BB$64)+('Equipment List &amp; Usage'!$S51*'Weekly Summary'!BB$65)+('Equipment List &amp; Usage'!$T51*('Weekly Summary'!BB$64+'Weekly Summary'!BB$65)),
('Equipment List &amp; Usage'!$O51*'Weekly Summary'!BB$52)+('Equipment List &amp; Usage'!$P51*'Weekly Summary'!BB$53)+('Equipment List &amp; Usage'!$Q51*('Weekly Summary'!BB$52+'Weekly Summary'!BB$53))+('Equipment List &amp; Usage'!$R51*'Weekly Summary'!BB$64)+('Equipment List &amp; Usage'!$S51*'Weekly Summary'!BB$65)+('Equipment List &amp; Usage'!$T51*('Weekly Summary'!BB$64+'Weekly Summary'!BB$65))-SUM($I49:BG49))),0)</f>
        <v>0</v>
      </c>
      <c r="BI49" s="1380">
        <f ca="1">MAX(IF($F49="No",('Equipment List &amp; Usage'!$O51*'Weekly Summary'!BC$52)+('Equipment List &amp; Usage'!$P51*'Weekly Summary'!BC$53)+('Equipment List &amp; Usage'!$Q51*('Weekly Summary'!BC$52+'Weekly Summary'!BC$53))+('Equipment List &amp; Usage'!$R51*'Weekly Summary'!BC$64)+('Equipment List &amp; Usage'!$S51*'Weekly Summary'!BC$65)+('Equipment List &amp; Usage'!$T51*('Weekly Summary'!BC$64+'Weekly Summary'!BC$65)),
IF(BI$10=0,('Equipment List &amp; Usage'!$O51*'Weekly Summary'!BC$52)+('Equipment List &amp; Usage'!$P51*'Weekly Summary'!BC$53)+('Equipment List &amp; Usage'!$Q51*('Weekly Summary'!BC$52+'Weekly Summary'!BC$53))+('Equipment List &amp; Usage'!$R51*'Weekly Summary'!BC$64)+('Equipment List &amp; Usage'!$S51*'Weekly Summary'!BC$65)+('Equipment List &amp; Usage'!$T51*('Weekly Summary'!BC$64+'Weekly Summary'!BC$65)),
('Equipment List &amp; Usage'!$O51*'Weekly Summary'!BC$52)+('Equipment List &amp; Usage'!$P51*'Weekly Summary'!BC$53)+('Equipment List &amp; Usage'!$Q51*('Weekly Summary'!BC$52+'Weekly Summary'!BC$53))+('Equipment List &amp; Usage'!$R51*'Weekly Summary'!BC$64)+('Equipment List &amp; Usage'!$S51*'Weekly Summary'!BC$65)+('Equipment List &amp; Usage'!$T51*('Weekly Summary'!BC$64+'Weekly Summary'!BC$65))-SUM($I49:BH49))),0)</f>
        <v>0</v>
      </c>
      <c r="BJ49" s="1385">
        <f ca="1">MAX(IF($F49="No",('Equipment List &amp; Usage'!$O51*'Weekly Summary'!BD$52)+('Equipment List &amp; Usage'!$P51*'Weekly Summary'!BD$53)+('Equipment List &amp; Usage'!$Q51*('Weekly Summary'!BD$52+'Weekly Summary'!BD$53))+('Equipment List &amp; Usage'!$R51*'Weekly Summary'!BD$64)+('Equipment List &amp; Usage'!$S51*'Weekly Summary'!BD$65)+('Equipment List &amp; Usage'!$T51*('Weekly Summary'!BD$64+'Weekly Summary'!BD$65)),
IF(BJ$10=0,('Equipment List &amp; Usage'!$O51*'Weekly Summary'!BD$52)+('Equipment List &amp; Usage'!$P51*'Weekly Summary'!BD$53)+('Equipment List &amp; Usage'!$Q51*('Weekly Summary'!BD$52+'Weekly Summary'!BD$53))+('Equipment List &amp; Usage'!$R51*'Weekly Summary'!BD$64)+('Equipment List &amp; Usage'!$S51*'Weekly Summary'!BD$65)+('Equipment List &amp; Usage'!$T51*('Weekly Summary'!BD$64+'Weekly Summary'!BD$65)),
('Equipment List &amp; Usage'!$O51*'Weekly Summary'!BD$52)+('Equipment List &amp; Usage'!$P51*'Weekly Summary'!BD$53)+('Equipment List &amp; Usage'!$Q51*('Weekly Summary'!BD$52+'Weekly Summary'!BD$53))+('Equipment List &amp; Usage'!$R51*'Weekly Summary'!BD$64)+('Equipment List &amp; Usage'!$S51*'Weekly Summary'!BD$65)+('Equipment List &amp; Usage'!$T51*('Weekly Summary'!BD$64+'Weekly Summary'!BD$65))-SUM($I49:BI49))),0)</f>
        <v>0</v>
      </c>
    </row>
    <row r="50" spans="2:62" ht="29" x14ac:dyDescent="0.35">
      <c r="B50" s="735" t="str">
        <f>'Equipment List &amp; Usage'!B52</f>
        <v>Case management - biomedical equipment</v>
      </c>
      <c r="C50" s="526" t="str">
        <f>'Equipment List &amp; Usage'!C52</f>
        <v>Monitoring</v>
      </c>
      <c r="D50" s="526" t="str">
        <f>'Equipment List &amp; Usage'!D52</f>
        <v>Pulse oximeter (adult + paediatric probes)</v>
      </c>
      <c r="E50" s="526" t="str">
        <f>'Equipment List &amp; Usage'!E52</f>
        <v>Each</v>
      </c>
      <c r="F50" s="526" t="str">
        <f>'Equipment List &amp; Usage'!F52</f>
        <v>Yes</v>
      </c>
      <c r="G50" s="526" t="str">
        <f>'Equipment List &amp; Usage'!G52</f>
        <v>N/A</v>
      </c>
      <c r="H50" s="1369">
        <f t="shared" ca="1" si="3"/>
        <v>306.24845002952156</v>
      </c>
      <c r="J50" s="1344"/>
      <c r="K50" s="1381">
        <f ca="1">IF('User Dashboard'!$H$13=1,0,MAX(IF($F50="No",('Equipment List &amp; Usage'!$O52*'Weekly Summary'!E$52)+('Equipment List &amp; Usage'!$P52*'Weekly Summary'!E$53)+('Equipment List &amp; Usage'!$Q52*('Weekly Summary'!E$52+'Weekly Summary'!E$53))+('Equipment List &amp; Usage'!$R52*'Weekly Summary'!E$64)+('Equipment List &amp; Usage'!$S52*'Weekly Summary'!E$65)+('Equipment List &amp; Usage'!$T52*('Weekly Summary'!E$64+'Weekly Summary'!E$65)),
IF(K$10=0,('Equipment List &amp; Usage'!$O52*'Weekly Summary'!E$52)+('Equipment List &amp; Usage'!$P52*'Weekly Summary'!E$53)+('Equipment List &amp; Usage'!$Q52*('Weekly Summary'!E$52+'Weekly Summary'!E$53))+('Equipment List &amp; Usage'!$R52*'Weekly Summary'!E$64)+('Equipment List &amp; Usage'!$S52*'Weekly Summary'!E$65)+('Equipment List &amp; Usage'!$T52*('Weekly Summary'!E$64+'Weekly Summary'!E$65)),
('Equipment List &amp; Usage'!$O52*'Weekly Summary'!E$52)+('Equipment List &amp; Usage'!$P52*'Weekly Summary'!E$53)+('Equipment List &amp; Usage'!$Q52*('Weekly Summary'!E$52+'Weekly Summary'!E$53))+('Equipment List &amp; Usage'!$R52*'Weekly Summary'!E$64)+('Equipment List &amp; Usage'!$S52*'Weekly Summary'!E$65)+('Equipment List &amp; Usage'!$T52*('Weekly Summary'!E$64+'Weekly Summary'!E$65))-SUM($I50:I50))),0))</f>
        <v>0.64607748833617018</v>
      </c>
      <c r="L50" s="1381">
        <f ca="1">MAX(IF($F50="No",('Equipment List &amp; Usage'!$O52*'Weekly Summary'!F$52)+('Equipment List &amp; Usage'!$P52*'Weekly Summary'!F$53)+('Equipment List &amp; Usage'!$Q52*('Weekly Summary'!F$52+'Weekly Summary'!F$53))+('Equipment List &amp; Usage'!$R52*'Weekly Summary'!F$64)+('Equipment List &amp; Usage'!$S52*'Weekly Summary'!F$65)+('Equipment List &amp; Usage'!$T52*('Weekly Summary'!F$64+'Weekly Summary'!F$65)),
IF(L$10=0,('Equipment List &amp; Usage'!$O52*'Weekly Summary'!F$52)+('Equipment List &amp; Usage'!$P52*'Weekly Summary'!F$53)+('Equipment List &amp; Usage'!$Q52*('Weekly Summary'!F$52+'Weekly Summary'!F$53))+('Equipment List &amp; Usage'!$R52*'Weekly Summary'!F$64)+('Equipment List &amp; Usage'!$S52*'Weekly Summary'!F$65)+('Equipment List &amp; Usage'!$T52*('Weekly Summary'!F$64+'Weekly Summary'!F$65)),
('Equipment List &amp; Usage'!$O52*'Weekly Summary'!F$52)+('Equipment List &amp; Usage'!$P52*'Weekly Summary'!F$53)+('Equipment List &amp; Usage'!$Q52*('Weekly Summary'!F$52+'Weekly Summary'!F$53))+('Equipment List &amp; Usage'!$R52*'Weekly Summary'!F$64)+('Equipment List &amp; Usage'!$S52*'Weekly Summary'!F$65)+('Equipment List &amp; Usage'!$T52*('Weekly Summary'!F$64+'Weekly Summary'!F$65))-SUM($I50:K50))),0)</f>
        <v>1.5513670176795213</v>
      </c>
      <c r="M50" s="1381">
        <f ca="1">MAX(IF($F50="No",('Equipment List &amp; Usage'!$O52*'Weekly Summary'!G$52)+('Equipment List &amp; Usage'!$P52*'Weekly Summary'!G$53)+('Equipment List &amp; Usage'!$Q52*('Weekly Summary'!G$52+'Weekly Summary'!G$53))+('Equipment List &amp; Usage'!$R52*'Weekly Summary'!G$64)+('Equipment List &amp; Usage'!$S52*'Weekly Summary'!G$65)+('Equipment List &amp; Usage'!$T52*('Weekly Summary'!G$64+'Weekly Summary'!G$65)),
IF(M$10=0,('Equipment List &amp; Usage'!$O52*'Weekly Summary'!G$52)+('Equipment List &amp; Usage'!$P52*'Weekly Summary'!G$53)+('Equipment List &amp; Usage'!$Q52*('Weekly Summary'!G$52+'Weekly Summary'!G$53))+('Equipment List &amp; Usage'!$R52*'Weekly Summary'!G$64)+('Equipment List &amp; Usage'!$S52*'Weekly Summary'!G$65)+('Equipment List &amp; Usage'!$T52*('Weekly Summary'!G$64+'Weekly Summary'!G$65)),
('Equipment List &amp; Usage'!$O52*'Weekly Summary'!G$52)+('Equipment List &amp; Usage'!$P52*'Weekly Summary'!G$53)+('Equipment List &amp; Usage'!$Q52*('Weekly Summary'!G$52+'Weekly Summary'!G$53))+('Equipment List &amp; Usage'!$R52*'Weekly Summary'!G$64)+('Equipment List &amp; Usage'!$S52*'Weekly Summary'!G$65)+('Equipment List &amp; Usage'!$T52*('Weekly Summary'!G$64+'Weekly Summary'!G$65))-SUM($I50:L50))),0)</f>
        <v>5.3540233194358295</v>
      </c>
      <c r="N50" s="1381">
        <f ca="1">MAX(IF($F50="No",('Equipment List &amp; Usage'!$O52*'Weekly Summary'!H$52)+('Equipment List &amp; Usage'!$P52*'Weekly Summary'!H$53)+('Equipment List &amp; Usage'!$Q52*('Weekly Summary'!H$52+'Weekly Summary'!H$53))+('Equipment List &amp; Usage'!$R52*'Weekly Summary'!H$64)+('Equipment List &amp; Usage'!$S52*'Weekly Summary'!H$65)+('Equipment List &amp; Usage'!$T52*('Weekly Summary'!H$64+'Weekly Summary'!H$65)),
IF(N$10=0,('Equipment List &amp; Usage'!$O52*'Weekly Summary'!H$52)+('Equipment List &amp; Usage'!$P52*'Weekly Summary'!H$53)+('Equipment List &amp; Usage'!$Q52*('Weekly Summary'!H$52+'Weekly Summary'!H$53))+('Equipment List &amp; Usage'!$R52*'Weekly Summary'!H$64)+('Equipment List &amp; Usage'!$S52*'Weekly Summary'!H$65)+('Equipment List &amp; Usage'!$T52*('Weekly Summary'!H$64+'Weekly Summary'!H$65)),
('Equipment List &amp; Usage'!$O52*'Weekly Summary'!H$52)+('Equipment List &amp; Usage'!$P52*'Weekly Summary'!H$53)+('Equipment List &amp; Usage'!$Q52*('Weekly Summary'!H$52+'Weekly Summary'!H$53))+('Equipment List &amp; Usage'!$R52*'Weekly Summary'!H$64)+('Equipment List &amp; Usage'!$S52*'Weekly Summary'!H$65)+('Equipment List &amp; Usage'!$T52*('Weekly Summary'!H$64+'Weekly Summary'!H$65))-SUM($I50:M50))),0)</f>
        <v>18.398157782439519</v>
      </c>
      <c r="O50" s="1381">
        <f ca="1">MAX(IF($F50="No",('Equipment List &amp; Usage'!$O52*'Weekly Summary'!I$52)+('Equipment List &amp; Usage'!$P52*'Weekly Summary'!I$53)+('Equipment List &amp; Usage'!$Q52*('Weekly Summary'!I$52+'Weekly Summary'!I$53))+('Equipment List &amp; Usage'!$R52*'Weekly Summary'!I$64)+('Equipment List &amp; Usage'!$S52*'Weekly Summary'!I$65)+('Equipment List &amp; Usage'!$T52*('Weekly Summary'!I$64+'Weekly Summary'!I$65)),
IF(O$10=0,('Equipment List &amp; Usage'!$O52*'Weekly Summary'!I$52)+('Equipment List &amp; Usage'!$P52*'Weekly Summary'!I$53)+('Equipment List &amp; Usage'!$Q52*('Weekly Summary'!I$52+'Weekly Summary'!I$53))+('Equipment List &amp; Usage'!$R52*'Weekly Summary'!I$64)+('Equipment List &amp; Usage'!$S52*'Weekly Summary'!I$65)+('Equipment List &amp; Usage'!$T52*('Weekly Summary'!I$64+'Weekly Summary'!I$65)),
('Equipment List &amp; Usage'!$O52*'Weekly Summary'!I$52)+('Equipment List &amp; Usage'!$P52*'Weekly Summary'!I$53)+('Equipment List &amp; Usage'!$Q52*('Weekly Summary'!I$52+'Weekly Summary'!I$53))+('Equipment List &amp; Usage'!$R52*'Weekly Summary'!I$64)+('Equipment List &amp; Usage'!$S52*'Weekly Summary'!I$65)+('Equipment List &amp; Usage'!$T52*('Weekly Summary'!I$64+'Weekly Summary'!I$65))-SUM($I50:N50))),0)</f>
        <v>63.213154677098331</v>
      </c>
      <c r="P50" s="1381">
        <f ca="1">MAX(IF($F50="No",('Equipment List &amp; Usage'!$O52*'Weekly Summary'!J$52)+('Equipment List &amp; Usage'!$P52*'Weekly Summary'!J$53)+('Equipment List &amp; Usage'!$Q52*('Weekly Summary'!J$52+'Weekly Summary'!J$53))+('Equipment List &amp; Usage'!$R52*'Weekly Summary'!J$64)+('Equipment List &amp; Usage'!$S52*'Weekly Summary'!J$65)+('Equipment List &amp; Usage'!$T52*('Weekly Summary'!J$64+'Weekly Summary'!J$65)),
IF(P$10=0,('Equipment List &amp; Usage'!$O52*'Weekly Summary'!J$52)+('Equipment List &amp; Usage'!$P52*'Weekly Summary'!J$53)+('Equipment List &amp; Usage'!$Q52*('Weekly Summary'!J$52+'Weekly Summary'!J$53))+('Equipment List &amp; Usage'!$R52*'Weekly Summary'!J$64)+('Equipment List &amp; Usage'!$S52*'Weekly Summary'!J$65)+('Equipment List &amp; Usage'!$T52*('Weekly Summary'!J$64+'Weekly Summary'!J$65)),
('Equipment List &amp; Usage'!$O52*'Weekly Summary'!J$52)+('Equipment List &amp; Usage'!$P52*'Weekly Summary'!J$53)+('Equipment List &amp; Usage'!$Q52*('Weekly Summary'!J$52+'Weekly Summary'!J$53))+('Equipment List &amp; Usage'!$R52*'Weekly Summary'!J$64)+('Equipment List &amp; Usage'!$S52*'Weekly Summary'!J$65)+('Equipment List &amp; Usage'!$T52*('Weekly Summary'!J$64+'Weekly Summary'!J$65))-SUM($I50:O50))),0)</f>
        <v>217.0856697445322</v>
      </c>
      <c r="Q50" s="1381">
        <f ca="1">MAX(IF($F50="No",('Equipment List &amp; Usage'!$O52*'Weekly Summary'!K$52)+('Equipment List &amp; Usage'!$P52*'Weekly Summary'!K$53)+('Equipment List &amp; Usage'!$Q52*('Weekly Summary'!K$52+'Weekly Summary'!K$53))+('Equipment List &amp; Usage'!$R52*'Weekly Summary'!K$64)+('Equipment List &amp; Usage'!$S52*'Weekly Summary'!K$65)+('Equipment List &amp; Usage'!$T52*('Weekly Summary'!K$64+'Weekly Summary'!K$65)),
IF(Q$10=0,('Equipment List &amp; Usage'!$O52*'Weekly Summary'!K$52)+('Equipment List &amp; Usage'!$P52*'Weekly Summary'!K$53)+('Equipment List &amp; Usage'!$Q52*('Weekly Summary'!K$52+'Weekly Summary'!K$53))+('Equipment List &amp; Usage'!$R52*'Weekly Summary'!K$64)+('Equipment List &amp; Usage'!$S52*'Weekly Summary'!K$65)+('Equipment List &amp; Usage'!$T52*('Weekly Summary'!K$64+'Weekly Summary'!K$65)),
('Equipment List &amp; Usage'!$O52*'Weekly Summary'!K$52)+('Equipment List &amp; Usage'!$P52*'Weekly Summary'!K$53)+('Equipment List &amp; Usage'!$Q52*('Weekly Summary'!K$52+'Weekly Summary'!K$53))+('Equipment List &amp; Usage'!$R52*'Weekly Summary'!K$64)+('Equipment List &amp; Usage'!$S52*'Weekly Summary'!K$65)+('Equipment List &amp; Usage'!$T52*('Weekly Summary'!K$64+'Weekly Summary'!K$65))-SUM($I50:P50))),0)</f>
        <v>0</v>
      </c>
      <c r="R50" s="1381">
        <f ca="1">MAX(IF($F50="No",('Equipment List &amp; Usage'!$O52*'Weekly Summary'!L$52)+('Equipment List &amp; Usage'!$P52*'Weekly Summary'!L$53)+('Equipment List &amp; Usage'!$Q52*('Weekly Summary'!L$52+'Weekly Summary'!L$53))+('Equipment List &amp; Usage'!$R52*'Weekly Summary'!L$64)+('Equipment List &amp; Usage'!$S52*'Weekly Summary'!L$65)+('Equipment List &amp; Usage'!$T52*('Weekly Summary'!L$64+'Weekly Summary'!L$65)),
IF(R$10=0,('Equipment List &amp; Usage'!$O52*'Weekly Summary'!L$52)+('Equipment List &amp; Usage'!$P52*'Weekly Summary'!L$53)+('Equipment List &amp; Usage'!$Q52*('Weekly Summary'!L$52+'Weekly Summary'!L$53))+('Equipment List &amp; Usage'!$R52*'Weekly Summary'!L$64)+('Equipment List &amp; Usage'!$S52*'Weekly Summary'!L$65)+('Equipment List &amp; Usage'!$T52*('Weekly Summary'!L$64+'Weekly Summary'!L$65)),
('Equipment List &amp; Usage'!$O52*'Weekly Summary'!L$52)+('Equipment List &amp; Usage'!$P52*'Weekly Summary'!L$53)+('Equipment List &amp; Usage'!$Q52*('Weekly Summary'!L$52+'Weekly Summary'!L$53))+('Equipment List &amp; Usage'!$R52*'Weekly Summary'!L$64)+('Equipment List &amp; Usage'!$S52*'Weekly Summary'!L$65)+('Equipment List &amp; Usage'!$T52*('Weekly Summary'!L$64+'Weekly Summary'!L$65))-SUM($I50:Q50))),0)</f>
        <v>0</v>
      </c>
      <c r="S50" s="1381">
        <f ca="1">MAX(IF($F50="No",('Equipment List &amp; Usage'!$O52*'Weekly Summary'!M$52)+('Equipment List &amp; Usage'!$P52*'Weekly Summary'!M$53)+('Equipment List &amp; Usage'!$Q52*('Weekly Summary'!M$52+'Weekly Summary'!M$53))+('Equipment List &amp; Usage'!$R52*'Weekly Summary'!M$64)+('Equipment List &amp; Usage'!$S52*'Weekly Summary'!M$65)+('Equipment List &amp; Usage'!$T52*('Weekly Summary'!M$64+'Weekly Summary'!M$65)),
IF(S$10=0,('Equipment List &amp; Usage'!$O52*'Weekly Summary'!M$52)+('Equipment List &amp; Usage'!$P52*'Weekly Summary'!M$53)+('Equipment List &amp; Usage'!$Q52*('Weekly Summary'!M$52+'Weekly Summary'!M$53))+('Equipment List &amp; Usage'!$R52*'Weekly Summary'!M$64)+('Equipment List &amp; Usage'!$S52*'Weekly Summary'!M$65)+('Equipment List &amp; Usage'!$T52*('Weekly Summary'!M$64+'Weekly Summary'!M$65)),
('Equipment List &amp; Usage'!$O52*'Weekly Summary'!M$52)+('Equipment List &amp; Usage'!$P52*'Weekly Summary'!M$53)+('Equipment List &amp; Usage'!$Q52*('Weekly Summary'!M$52+'Weekly Summary'!M$53))+('Equipment List &amp; Usage'!$R52*'Weekly Summary'!M$64)+('Equipment List &amp; Usage'!$S52*'Weekly Summary'!M$65)+('Equipment List &amp; Usage'!$T52*('Weekly Summary'!M$64+'Weekly Summary'!M$65))-SUM($I50:R50))),0)</f>
        <v>0</v>
      </c>
      <c r="T50" s="1381">
        <f ca="1">MAX(IF($F50="No",('Equipment List &amp; Usage'!$O52*'Weekly Summary'!N$52)+('Equipment List &amp; Usage'!$P52*'Weekly Summary'!N$53)+('Equipment List &amp; Usage'!$Q52*('Weekly Summary'!N$52+'Weekly Summary'!N$53))+('Equipment List &amp; Usage'!$R52*'Weekly Summary'!N$64)+('Equipment List &amp; Usage'!$S52*'Weekly Summary'!N$65)+('Equipment List &amp; Usage'!$T52*('Weekly Summary'!N$64+'Weekly Summary'!N$65)),
IF(T$10=0,('Equipment List &amp; Usage'!$O52*'Weekly Summary'!N$52)+('Equipment List &amp; Usage'!$P52*'Weekly Summary'!N$53)+('Equipment List &amp; Usage'!$Q52*('Weekly Summary'!N$52+'Weekly Summary'!N$53))+('Equipment List &amp; Usage'!$R52*'Weekly Summary'!N$64)+('Equipment List &amp; Usage'!$S52*'Weekly Summary'!N$65)+('Equipment List &amp; Usage'!$T52*('Weekly Summary'!N$64+'Weekly Summary'!N$65)),
('Equipment List &amp; Usage'!$O52*'Weekly Summary'!N$52)+('Equipment List &amp; Usage'!$P52*'Weekly Summary'!N$53)+('Equipment List &amp; Usage'!$Q52*('Weekly Summary'!N$52+'Weekly Summary'!N$53))+('Equipment List &amp; Usage'!$R52*'Weekly Summary'!N$64)+('Equipment List &amp; Usage'!$S52*'Weekly Summary'!N$65)+('Equipment List &amp; Usage'!$T52*('Weekly Summary'!N$64+'Weekly Summary'!N$65))-SUM($I50:S50))),0)</f>
        <v>0</v>
      </c>
      <c r="U50" s="1381">
        <f ca="1">MAX(IF($F50="No",('Equipment List &amp; Usage'!$O52*'Weekly Summary'!O$52)+('Equipment List &amp; Usage'!$P52*'Weekly Summary'!O$53)+('Equipment List &amp; Usage'!$Q52*('Weekly Summary'!O$52+'Weekly Summary'!O$53))+('Equipment List &amp; Usage'!$R52*'Weekly Summary'!O$64)+('Equipment List &amp; Usage'!$S52*'Weekly Summary'!O$65)+('Equipment List &amp; Usage'!$T52*('Weekly Summary'!O$64+'Weekly Summary'!O$65)),
IF(U$10=0,('Equipment List &amp; Usage'!$O52*'Weekly Summary'!O$52)+('Equipment List &amp; Usage'!$P52*'Weekly Summary'!O$53)+('Equipment List &amp; Usage'!$Q52*('Weekly Summary'!O$52+'Weekly Summary'!O$53))+('Equipment List &amp; Usage'!$R52*'Weekly Summary'!O$64)+('Equipment List &amp; Usage'!$S52*'Weekly Summary'!O$65)+('Equipment List &amp; Usage'!$T52*('Weekly Summary'!O$64+'Weekly Summary'!O$65)),
('Equipment List &amp; Usage'!$O52*'Weekly Summary'!O$52)+('Equipment List &amp; Usage'!$P52*'Weekly Summary'!O$53)+('Equipment List &amp; Usage'!$Q52*('Weekly Summary'!O$52+'Weekly Summary'!O$53))+('Equipment List &amp; Usage'!$R52*'Weekly Summary'!O$64)+('Equipment List &amp; Usage'!$S52*'Weekly Summary'!O$65)+('Equipment List &amp; Usage'!$T52*('Weekly Summary'!O$64+'Weekly Summary'!O$65))-SUM($I50:T50))),0)</f>
        <v>0</v>
      </c>
      <c r="V50" s="1381">
        <f ca="1">MAX(IF($F50="No",('Equipment List &amp; Usage'!$O52*'Weekly Summary'!P$52)+('Equipment List &amp; Usage'!$P52*'Weekly Summary'!P$53)+('Equipment List &amp; Usage'!$Q52*('Weekly Summary'!P$52+'Weekly Summary'!P$53))+('Equipment List &amp; Usage'!$R52*'Weekly Summary'!P$64)+('Equipment List &amp; Usage'!$S52*'Weekly Summary'!P$65)+('Equipment List &amp; Usage'!$T52*('Weekly Summary'!P$64+'Weekly Summary'!P$65)),
IF(V$10=0,('Equipment List &amp; Usage'!$O52*'Weekly Summary'!P$52)+('Equipment List &amp; Usage'!$P52*'Weekly Summary'!P$53)+('Equipment List &amp; Usage'!$Q52*('Weekly Summary'!P$52+'Weekly Summary'!P$53))+('Equipment List &amp; Usage'!$R52*'Weekly Summary'!P$64)+('Equipment List &amp; Usage'!$S52*'Weekly Summary'!P$65)+('Equipment List &amp; Usage'!$T52*('Weekly Summary'!P$64+'Weekly Summary'!P$65)),
('Equipment List &amp; Usage'!$O52*'Weekly Summary'!P$52)+('Equipment List &amp; Usage'!$P52*'Weekly Summary'!P$53)+('Equipment List &amp; Usage'!$Q52*('Weekly Summary'!P$52+'Weekly Summary'!P$53))+('Equipment List &amp; Usage'!$R52*'Weekly Summary'!P$64)+('Equipment List &amp; Usage'!$S52*'Weekly Summary'!P$65)+('Equipment List &amp; Usage'!$T52*('Weekly Summary'!P$64+'Weekly Summary'!P$65))-SUM($I50:U50))),0)</f>
        <v>0</v>
      </c>
      <c r="W50" s="1381">
        <f ca="1">MAX(IF($F50="No",('Equipment List &amp; Usage'!$O52*'Weekly Summary'!Q$52)+('Equipment List &amp; Usage'!$P52*'Weekly Summary'!Q$53)+('Equipment List &amp; Usage'!$Q52*('Weekly Summary'!Q$52+'Weekly Summary'!Q$53))+('Equipment List &amp; Usage'!$R52*'Weekly Summary'!Q$64)+('Equipment List &amp; Usage'!$S52*'Weekly Summary'!Q$65)+('Equipment List &amp; Usage'!$T52*('Weekly Summary'!Q$64+'Weekly Summary'!Q$65)),
IF(W$10=0,('Equipment List &amp; Usage'!$O52*'Weekly Summary'!Q$52)+('Equipment List &amp; Usage'!$P52*'Weekly Summary'!Q$53)+('Equipment List &amp; Usage'!$Q52*('Weekly Summary'!Q$52+'Weekly Summary'!Q$53))+('Equipment List &amp; Usage'!$R52*'Weekly Summary'!Q$64)+('Equipment List &amp; Usage'!$S52*'Weekly Summary'!Q$65)+('Equipment List &amp; Usage'!$T52*('Weekly Summary'!Q$64+'Weekly Summary'!Q$65)),
('Equipment List &amp; Usage'!$O52*'Weekly Summary'!Q$52)+('Equipment List &amp; Usage'!$P52*'Weekly Summary'!Q$53)+('Equipment List &amp; Usage'!$Q52*('Weekly Summary'!Q$52+'Weekly Summary'!Q$53))+('Equipment List &amp; Usage'!$R52*'Weekly Summary'!Q$64)+('Equipment List &amp; Usage'!$S52*'Weekly Summary'!Q$65)+('Equipment List &amp; Usage'!$T52*('Weekly Summary'!Q$64+'Weekly Summary'!Q$65))-SUM($I50:V50))),0)</f>
        <v>0</v>
      </c>
      <c r="X50" s="1381">
        <f ca="1">MAX(IF($F50="No",('Equipment List &amp; Usage'!$O52*'Weekly Summary'!R$52)+('Equipment List &amp; Usage'!$P52*'Weekly Summary'!R$53)+('Equipment List &amp; Usage'!$Q52*('Weekly Summary'!R$52+'Weekly Summary'!R$53))+('Equipment List &amp; Usage'!$R52*'Weekly Summary'!R$64)+('Equipment List &amp; Usage'!$S52*'Weekly Summary'!R$65)+('Equipment List &amp; Usage'!$T52*('Weekly Summary'!R$64+'Weekly Summary'!R$65)),
IF(X$10=0,('Equipment List &amp; Usage'!$O52*'Weekly Summary'!R$52)+('Equipment List &amp; Usage'!$P52*'Weekly Summary'!R$53)+('Equipment List &amp; Usage'!$Q52*('Weekly Summary'!R$52+'Weekly Summary'!R$53))+('Equipment List &amp; Usage'!$R52*'Weekly Summary'!R$64)+('Equipment List &amp; Usage'!$S52*'Weekly Summary'!R$65)+('Equipment List &amp; Usage'!$T52*('Weekly Summary'!R$64+'Weekly Summary'!R$65)),
('Equipment List &amp; Usage'!$O52*'Weekly Summary'!R$52)+('Equipment List &amp; Usage'!$P52*'Weekly Summary'!R$53)+('Equipment List &amp; Usage'!$Q52*('Weekly Summary'!R$52+'Weekly Summary'!R$53))+('Equipment List &amp; Usage'!$R52*'Weekly Summary'!R$64)+('Equipment List &amp; Usage'!$S52*'Weekly Summary'!R$65)+('Equipment List &amp; Usage'!$T52*('Weekly Summary'!R$64+'Weekly Summary'!R$65))-SUM($I50:W50))),0)</f>
        <v>0</v>
      </c>
      <c r="Y50" s="1381">
        <f ca="1">MAX(IF($F50="No",('Equipment List &amp; Usage'!$O52*'Weekly Summary'!S$52)+('Equipment List &amp; Usage'!$P52*'Weekly Summary'!S$53)+('Equipment List &amp; Usage'!$Q52*('Weekly Summary'!S$52+'Weekly Summary'!S$53))+('Equipment List &amp; Usage'!$R52*'Weekly Summary'!S$64)+('Equipment List &amp; Usage'!$S52*'Weekly Summary'!S$65)+('Equipment List &amp; Usage'!$T52*('Weekly Summary'!S$64+'Weekly Summary'!S$65)),
IF(Y$10=0,('Equipment List &amp; Usage'!$O52*'Weekly Summary'!S$52)+('Equipment List &amp; Usage'!$P52*'Weekly Summary'!S$53)+('Equipment List &amp; Usage'!$Q52*('Weekly Summary'!S$52+'Weekly Summary'!S$53))+('Equipment List &amp; Usage'!$R52*'Weekly Summary'!S$64)+('Equipment List &amp; Usage'!$S52*'Weekly Summary'!S$65)+('Equipment List &amp; Usage'!$T52*('Weekly Summary'!S$64+'Weekly Summary'!S$65)),
('Equipment List &amp; Usage'!$O52*'Weekly Summary'!S$52)+('Equipment List &amp; Usage'!$P52*'Weekly Summary'!S$53)+('Equipment List &amp; Usage'!$Q52*('Weekly Summary'!S$52+'Weekly Summary'!S$53))+('Equipment List &amp; Usage'!$R52*'Weekly Summary'!S$64)+('Equipment List &amp; Usage'!$S52*'Weekly Summary'!S$65)+('Equipment List &amp; Usage'!$T52*('Weekly Summary'!S$64+'Weekly Summary'!S$65))-SUM($I50:X50))),0)</f>
        <v>0</v>
      </c>
      <c r="Z50" s="1381">
        <f ca="1">MAX(IF($F50="No",('Equipment List &amp; Usage'!$O52*'Weekly Summary'!T$52)+('Equipment List &amp; Usage'!$P52*'Weekly Summary'!T$53)+('Equipment List &amp; Usage'!$Q52*('Weekly Summary'!T$52+'Weekly Summary'!T$53))+('Equipment List &amp; Usage'!$R52*'Weekly Summary'!T$64)+('Equipment List &amp; Usage'!$S52*'Weekly Summary'!T$65)+('Equipment List &amp; Usage'!$T52*('Weekly Summary'!T$64+'Weekly Summary'!T$65)),
IF(Z$10=0,('Equipment List &amp; Usage'!$O52*'Weekly Summary'!T$52)+('Equipment List &amp; Usage'!$P52*'Weekly Summary'!T$53)+('Equipment List &amp; Usage'!$Q52*('Weekly Summary'!T$52+'Weekly Summary'!T$53))+('Equipment List &amp; Usage'!$R52*'Weekly Summary'!T$64)+('Equipment List &amp; Usage'!$S52*'Weekly Summary'!T$65)+('Equipment List &amp; Usage'!$T52*('Weekly Summary'!T$64+'Weekly Summary'!T$65)),
('Equipment List &amp; Usage'!$O52*'Weekly Summary'!T$52)+('Equipment List &amp; Usage'!$P52*'Weekly Summary'!T$53)+('Equipment List &amp; Usage'!$Q52*('Weekly Summary'!T$52+'Weekly Summary'!T$53))+('Equipment List &amp; Usage'!$R52*'Weekly Summary'!T$64)+('Equipment List &amp; Usage'!$S52*'Weekly Summary'!T$65)+('Equipment List &amp; Usage'!$T52*('Weekly Summary'!T$64+'Weekly Summary'!T$65))-SUM($I50:Y50))),0)</f>
        <v>0</v>
      </c>
      <c r="AA50" s="1381">
        <f ca="1">MAX(IF($F50="No",('Equipment List &amp; Usage'!$O52*'Weekly Summary'!U$52)+('Equipment List &amp; Usage'!$P52*'Weekly Summary'!U$53)+('Equipment List &amp; Usage'!$Q52*('Weekly Summary'!U$52+'Weekly Summary'!U$53))+('Equipment List &amp; Usage'!$R52*'Weekly Summary'!U$64)+('Equipment List &amp; Usage'!$S52*'Weekly Summary'!U$65)+('Equipment List &amp; Usage'!$T52*('Weekly Summary'!U$64+'Weekly Summary'!U$65)),
IF(AA$10=0,('Equipment List &amp; Usage'!$O52*'Weekly Summary'!U$52)+('Equipment List &amp; Usage'!$P52*'Weekly Summary'!U$53)+('Equipment List &amp; Usage'!$Q52*('Weekly Summary'!U$52+'Weekly Summary'!U$53))+('Equipment List &amp; Usage'!$R52*'Weekly Summary'!U$64)+('Equipment List &amp; Usage'!$S52*'Weekly Summary'!U$65)+('Equipment List &amp; Usage'!$T52*('Weekly Summary'!U$64+'Weekly Summary'!U$65)),
('Equipment List &amp; Usage'!$O52*'Weekly Summary'!U$52)+('Equipment List &amp; Usage'!$P52*'Weekly Summary'!U$53)+('Equipment List &amp; Usage'!$Q52*('Weekly Summary'!U$52+'Weekly Summary'!U$53))+('Equipment List &amp; Usage'!$R52*'Weekly Summary'!U$64)+('Equipment List &amp; Usage'!$S52*'Weekly Summary'!U$65)+('Equipment List &amp; Usage'!$T52*('Weekly Summary'!U$64+'Weekly Summary'!U$65))-SUM($I50:Z50))),0)</f>
        <v>0</v>
      </c>
      <c r="AB50" s="1381">
        <f ca="1">MAX(IF($F50="No",('Equipment List &amp; Usage'!$O52*'Weekly Summary'!V$52)+('Equipment List &amp; Usage'!$P52*'Weekly Summary'!V$53)+('Equipment List &amp; Usage'!$Q52*('Weekly Summary'!V$52+'Weekly Summary'!V$53))+('Equipment List &amp; Usage'!$R52*'Weekly Summary'!V$64)+('Equipment List &amp; Usage'!$S52*'Weekly Summary'!V$65)+('Equipment List &amp; Usage'!$T52*('Weekly Summary'!V$64+'Weekly Summary'!V$65)),
IF(AB$10=0,('Equipment List &amp; Usage'!$O52*'Weekly Summary'!V$52)+('Equipment List &amp; Usage'!$P52*'Weekly Summary'!V$53)+('Equipment List &amp; Usage'!$Q52*('Weekly Summary'!V$52+'Weekly Summary'!V$53))+('Equipment List &amp; Usage'!$R52*'Weekly Summary'!V$64)+('Equipment List &amp; Usage'!$S52*'Weekly Summary'!V$65)+('Equipment List &amp; Usage'!$T52*('Weekly Summary'!V$64+'Weekly Summary'!V$65)),
('Equipment List &amp; Usage'!$O52*'Weekly Summary'!V$52)+('Equipment List &amp; Usage'!$P52*'Weekly Summary'!V$53)+('Equipment List &amp; Usage'!$Q52*('Weekly Summary'!V$52+'Weekly Summary'!V$53))+('Equipment List &amp; Usage'!$R52*'Weekly Summary'!V$64)+('Equipment List &amp; Usage'!$S52*'Weekly Summary'!V$65)+('Equipment List &amp; Usage'!$T52*('Weekly Summary'!V$64+'Weekly Summary'!V$65))-SUM($I50:AA50))),0)</f>
        <v>0</v>
      </c>
      <c r="AC50" s="1381">
        <f ca="1">MAX(IF($F50="No",('Equipment List &amp; Usage'!$O52*'Weekly Summary'!W$52)+('Equipment List &amp; Usage'!$P52*'Weekly Summary'!W$53)+('Equipment List &amp; Usage'!$Q52*('Weekly Summary'!W$52+'Weekly Summary'!W$53))+('Equipment List &amp; Usage'!$R52*'Weekly Summary'!W$64)+('Equipment List &amp; Usage'!$S52*'Weekly Summary'!W$65)+('Equipment List &amp; Usage'!$T52*('Weekly Summary'!W$64+'Weekly Summary'!W$65)),
IF(AC$10=0,('Equipment List &amp; Usage'!$O52*'Weekly Summary'!W$52)+('Equipment List &amp; Usage'!$P52*'Weekly Summary'!W$53)+('Equipment List &amp; Usage'!$Q52*('Weekly Summary'!W$52+'Weekly Summary'!W$53))+('Equipment List &amp; Usage'!$R52*'Weekly Summary'!W$64)+('Equipment List &amp; Usage'!$S52*'Weekly Summary'!W$65)+('Equipment List &amp; Usage'!$T52*('Weekly Summary'!W$64+'Weekly Summary'!W$65)),
('Equipment List &amp; Usage'!$O52*'Weekly Summary'!W$52)+('Equipment List &amp; Usage'!$P52*'Weekly Summary'!W$53)+('Equipment List &amp; Usage'!$Q52*('Weekly Summary'!W$52+'Weekly Summary'!W$53))+('Equipment List &amp; Usage'!$R52*'Weekly Summary'!W$64)+('Equipment List &amp; Usage'!$S52*'Weekly Summary'!W$65)+('Equipment List &amp; Usage'!$T52*('Weekly Summary'!W$64+'Weekly Summary'!W$65))-SUM($I50:AB50))),0)</f>
        <v>0</v>
      </c>
      <c r="AD50" s="1381">
        <f ca="1">MAX(IF($F50="No",('Equipment List &amp; Usage'!$O52*'Weekly Summary'!X$52)+('Equipment List &amp; Usage'!$P52*'Weekly Summary'!X$53)+('Equipment List &amp; Usage'!$Q52*('Weekly Summary'!X$52+'Weekly Summary'!X$53))+('Equipment List &amp; Usage'!$R52*'Weekly Summary'!X$64)+('Equipment List &amp; Usage'!$S52*'Weekly Summary'!X$65)+('Equipment List &amp; Usage'!$T52*('Weekly Summary'!X$64+'Weekly Summary'!X$65)),
IF(AD$10=0,('Equipment List &amp; Usage'!$O52*'Weekly Summary'!X$52)+('Equipment List &amp; Usage'!$P52*'Weekly Summary'!X$53)+('Equipment List &amp; Usage'!$Q52*('Weekly Summary'!X$52+'Weekly Summary'!X$53))+('Equipment List &amp; Usage'!$R52*'Weekly Summary'!X$64)+('Equipment List &amp; Usage'!$S52*'Weekly Summary'!X$65)+('Equipment List &amp; Usage'!$T52*('Weekly Summary'!X$64+'Weekly Summary'!X$65)),
('Equipment List &amp; Usage'!$O52*'Weekly Summary'!X$52)+('Equipment List &amp; Usage'!$P52*'Weekly Summary'!X$53)+('Equipment List &amp; Usage'!$Q52*('Weekly Summary'!X$52+'Weekly Summary'!X$53))+('Equipment List &amp; Usage'!$R52*'Weekly Summary'!X$64)+('Equipment List &amp; Usage'!$S52*'Weekly Summary'!X$65)+('Equipment List &amp; Usage'!$T52*('Weekly Summary'!X$64+'Weekly Summary'!X$65))-SUM($I50:AC50))),0)</f>
        <v>0</v>
      </c>
      <c r="AE50" s="1381">
        <f ca="1">MAX(IF($F50="No",('Equipment List &amp; Usage'!$O52*'Weekly Summary'!Y$52)+('Equipment List &amp; Usage'!$P52*'Weekly Summary'!Y$53)+('Equipment List &amp; Usage'!$Q52*('Weekly Summary'!Y$52+'Weekly Summary'!Y$53))+('Equipment List &amp; Usage'!$R52*'Weekly Summary'!Y$64)+('Equipment List &amp; Usage'!$S52*'Weekly Summary'!Y$65)+('Equipment List &amp; Usage'!$T52*('Weekly Summary'!Y$64+'Weekly Summary'!Y$65)),
IF(AE$10=0,('Equipment List &amp; Usage'!$O52*'Weekly Summary'!Y$52)+('Equipment List &amp; Usage'!$P52*'Weekly Summary'!Y$53)+('Equipment List &amp; Usage'!$Q52*('Weekly Summary'!Y$52+'Weekly Summary'!Y$53))+('Equipment List &amp; Usage'!$R52*'Weekly Summary'!Y$64)+('Equipment List &amp; Usage'!$S52*'Weekly Summary'!Y$65)+('Equipment List &amp; Usage'!$T52*('Weekly Summary'!Y$64+'Weekly Summary'!Y$65)),
('Equipment List &amp; Usage'!$O52*'Weekly Summary'!Y$52)+('Equipment List &amp; Usage'!$P52*'Weekly Summary'!Y$53)+('Equipment List &amp; Usage'!$Q52*('Weekly Summary'!Y$52+'Weekly Summary'!Y$53))+('Equipment List &amp; Usage'!$R52*'Weekly Summary'!Y$64)+('Equipment List &amp; Usage'!$S52*'Weekly Summary'!Y$65)+('Equipment List &amp; Usage'!$T52*('Weekly Summary'!Y$64+'Weekly Summary'!Y$65))-SUM($I50:AD50))),0)</f>
        <v>0</v>
      </c>
      <c r="AF50" s="1381">
        <f ca="1">MAX(IF($F50="No",('Equipment List &amp; Usage'!$O52*'Weekly Summary'!Z$52)+('Equipment List &amp; Usage'!$P52*'Weekly Summary'!Z$53)+('Equipment List &amp; Usage'!$Q52*('Weekly Summary'!Z$52+'Weekly Summary'!Z$53))+('Equipment List &amp; Usage'!$R52*'Weekly Summary'!Z$64)+('Equipment List &amp; Usage'!$S52*'Weekly Summary'!Z$65)+('Equipment List &amp; Usage'!$T52*('Weekly Summary'!Z$64+'Weekly Summary'!Z$65)),
IF(AF$10=0,('Equipment List &amp; Usage'!$O52*'Weekly Summary'!Z$52)+('Equipment List &amp; Usage'!$P52*'Weekly Summary'!Z$53)+('Equipment List &amp; Usage'!$Q52*('Weekly Summary'!Z$52+'Weekly Summary'!Z$53))+('Equipment List &amp; Usage'!$R52*'Weekly Summary'!Z$64)+('Equipment List &amp; Usage'!$S52*'Weekly Summary'!Z$65)+('Equipment List &amp; Usage'!$T52*('Weekly Summary'!Z$64+'Weekly Summary'!Z$65)),
('Equipment List &amp; Usage'!$O52*'Weekly Summary'!Z$52)+('Equipment List &amp; Usage'!$P52*'Weekly Summary'!Z$53)+('Equipment List &amp; Usage'!$Q52*('Weekly Summary'!Z$52+'Weekly Summary'!Z$53))+('Equipment List &amp; Usage'!$R52*'Weekly Summary'!Z$64)+('Equipment List &amp; Usage'!$S52*'Weekly Summary'!Z$65)+('Equipment List &amp; Usage'!$T52*('Weekly Summary'!Z$64+'Weekly Summary'!Z$65))-SUM($I50:AE50))),0)</f>
        <v>0</v>
      </c>
      <c r="AG50" s="1381">
        <f ca="1">MAX(IF($F50="No",('Equipment List &amp; Usage'!$O52*'Weekly Summary'!AA$52)+('Equipment List &amp; Usage'!$P52*'Weekly Summary'!AA$53)+('Equipment List &amp; Usage'!$Q52*('Weekly Summary'!AA$52+'Weekly Summary'!AA$53))+('Equipment List &amp; Usage'!$R52*'Weekly Summary'!AA$64)+('Equipment List &amp; Usage'!$S52*'Weekly Summary'!AA$65)+('Equipment List &amp; Usage'!$T52*('Weekly Summary'!AA$64+'Weekly Summary'!AA$65)),
IF(AG$10=0,('Equipment List &amp; Usage'!$O52*'Weekly Summary'!AA$52)+('Equipment List &amp; Usage'!$P52*'Weekly Summary'!AA$53)+('Equipment List &amp; Usage'!$Q52*('Weekly Summary'!AA$52+'Weekly Summary'!AA$53))+('Equipment List &amp; Usage'!$R52*'Weekly Summary'!AA$64)+('Equipment List &amp; Usage'!$S52*'Weekly Summary'!AA$65)+('Equipment List &amp; Usage'!$T52*('Weekly Summary'!AA$64+'Weekly Summary'!AA$65)),
('Equipment List &amp; Usage'!$O52*'Weekly Summary'!AA$52)+('Equipment List &amp; Usage'!$P52*'Weekly Summary'!AA$53)+('Equipment List &amp; Usage'!$Q52*('Weekly Summary'!AA$52+'Weekly Summary'!AA$53))+('Equipment List &amp; Usage'!$R52*'Weekly Summary'!AA$64)+('Equipment List &amp; Usage'!$S52*'Weekly Summary'!AA$65)+('Equipment List &amp; Usage'!$T52*('Weekly Summary'!AA$64+'Weekly Summary'!AA$65))-SUM($I50:AF50))),0)</f>
        <v>0</v>
      </c>
      <c r="AH50" s="1381">
        <f ca="1">MAX(IF($F50="No",('Equipment List &amp; Usage'!$O52*'Weekly Summary'!AB$52)+('Equipment List &amp; Usage'!$P52*'Weekly Summary'!AB$53)+('Equipment List &amp; Usage'!$Q52*('Weekly Summary'!AB$52+'Weekly Summary'!AB$53))+('Equipment List &amp; Usage'!$R52*'Weekly Summary'!AB$64)+('Equipment List &amp; Usage'!$S52*'Weekly Summary'!AB$65)+('Equipment List &amp; Usage'!$T52*('Weekly Summary'!AB$64+'Weekly Summary'!AB$65)),
IF(AH$10=0,('Equipment List &amp; Usage'!$O52*'Weekly Summary'!AB$52)+('Equipment List &amp; Usage'!$P52*'Weekly Summary'!AB$53)+('Equipment List &amp; Usage'!$Q52*('Weekly Summary'!AB$52+'Weekly Summary'!AB$53))+('Equipment List &amp; Usage'!$R52*'Weekly Summary'!AB$64)+('Equipment List &amp; Usage'!$S52*'Weekly Summary'!AB$65)+('Equipment List &amp; Usage'!$T52*('Weekly Summary'!AB$64+'Weekly Summary'!AB$65)),
('Equipment List &amp; Usage'!$O52*'Weekly Summary'!AB$52)+('Equipment List &amp; Usage'!$P52*'Weekly Summary'!AB$53)+('Equipment List &amp; Usage'!$Q52*('Weekly Summary'!AB$52+'Weekly Summary'!AB$53))+('Equipment List &amp; Usage'!$R52*'Weekly Summary'!AB$64)+('Equipment List &amp; Usage'!$S52*'Weekly Summary'!AB$65)+('Equipment List &amp; Usage'!$T52*('Weekly Summary'!AB$64+'Weekly Summary'!AB$65))-SUM($I50:AG50))),0)</f>
        <v>0</v>
      </c>
      <c r="AI50" s="1381">
        <f ca="1">MAX(IF($F50="No",('Equipment List &amp; Usage'!$O52*'Weekly Summary'!AC$52)+('Equipment List &amp; Usage'!$P52*'Weekly Summary'!AC$53)+('Equipment List &amp; Usage'!$Q52*('Weekly Summary'!AC$52+'Weekly Summary'!AC$53))+('Equipment List &amp; Usage'!$R52*'Weekly Summary'!AC$64)+('Equipment List &amp; Usage'!$S52*'Weekly Summary'!AC$65)+('Equipment List &amp; Usage'!$T52*('Weekly Summary'!AC$64+'Weekly Summary'!AC$65)),
IF(AI$10=0,('Equipment List &amp; Usage'!$O52*'Weekly Summary'!AC$52)+('Equipment List &amp; Usage'!$P52*'Weekly Summary'!AC$53)+('Equipment List &amp; Usage'!$Q52*('Weekly Summary'!AC$52+'Weekly Summary'!AC$53))+('Equipment List &amp; Usage'!$R52*'Weekly Summary'!AC$64)+('Equipment List &amp; Usage'!$S52*'Weekly Summary'!AC$65)+('Equipment List &amp; Usage'!$T52*('Weekly Summary'!AC$64+'Weekly Summary'!AC$65)),
('Equipment List &amp; Usage'!$O52*'Weekly Summary'!AC$52)+('Equipment List &amp; Usage'!$P52*'Weekly Summary'!AC$53)+('Equipment List &amp; Usage'!$Q52*('Weekly Summary'!AC$52+'Weekly Summary'!AC$53))+('Equipment List &amp; Usage'!$R52*'Weekly Summary'!AC$64)+('Equipment List &amp; Usage'!$S52*'Weekly Summary'!AC$65)+('Equipment List &amp; Usage'!$T52*('Weekly Summary'!AC$64+'Weekly Summary'!AC$65))-SUM($I50:AH50))),0)</f>
        <v>0</v>
      </c>
      <c r="AJ50" s="1381">
        <f ca="1">MAX(IF($F50="No",('Equipment List &amp; Usage'!$O52*'Weekly Summary'!AD$52)+('Equipment List &amp; Usage'!$P52*'Weekly Summary'!AD$53)+('Equipment List &amp; Usage'!$Q52*('Weekly Summary'!AD$52+'Weekly Summary'!AD$53))+('Equipment List &amp; Usage'!$R52*'Weekly Summary'!AD$64)+('Equipment List &amp; Usage'!$S52*'Weekly Summary'!AD$65)+('Equipment List &amp; Usage'!$T52*('Weekly Summary'!AD$64+'Weekly Summary'!AD$65)),
IF(AJ$10=0,('Equipment List &amp; Usage'!$O52*'Weekly Summary'!AD$52)+('Equipment List &amp; Usage'!$P52*'Weekly Summary'!AD$53)+('Equipment List &amp; Usage'!$Q52*('Weekly Summary'!AD$52+'Weekly Summary'!AD$53))+('Equipment List &amp; Usage'!$R52*'Weekly Summary'!AD$64)+('Equipment List &amp; Usage'!$S52*'Weekly Summary'!AD$65)+('Equipment List &amp; Usage'!$T52*('Weekly Summary'!AD$64+'Weekly Summary'!AD$65)),
('Equipment List &amp; Usage'!$O52*'Weekly Summary'!AD$52)+('Equipment List &amp; Usage'!$P52*'Weekly Summary'!AD$53)+('Equipment List &amp; Usage'!$Q52*('Weekly Summary'!AD$52+'Weekly Summary'!AD$53))+('Equipment List &amp; Usage'!$R52*'Weekly Summary'!AD$64)+('Equipment List &amp; Usage'!$S52*'Weekly Summary'!AD$65)+('Equipment List &amp; Usage'!$T52*('Weekly Summary'!AD$64+'Weekly Summary'!AD$65))-SUM($I50:AI50))),0)</f>
        <v>0</v>
      </c>
      <c r="AK50" s="1381">
        <f ca="1">MAX(IF($F50="No",('Equipment List &amp; Usage'!$O52*'Weekly Summary'!AE$52)+('Equipment List &amp; Usage'!$P52*'Weekly Summary'!AE$53)+('Equipment List &amp; Usage'!$Q52*('Weekly Summary'!AE$52+'Weekly Summary'!AE$53))+('Equipment List &amp; Usage'!$R52*'Weekly Summary'!AE$64)+('Equipment List &amp; Usage'!$S52*'Weekly Summary'!AE$65)+('Equipment List &amp; Usage'!$T52*('Weekly Summary'!AE$64+'Weekly Summary'!AE$65)),
IF(AK$10=0,('Equipment List &amp; Usage'!$O52*'Weekly Summary'!AE$52)+('Equipment List &amp; Usage'!$P52*'Weekly Summary'!AE$53)+('Equipment List &amp; Usage'!$Q52*('Weekly Summary'!AE$52+'Weekly Summary'!AE$53))+('Equipment List &amp; Usage'!$R52*'Weekly Summary'!AE$64)+('Equipment List &amp; Usage'!$S52*'Weekly Summary'!AE$65)+('Equipment List &amp; Usage'!$T52*('Weekly Summary'!AE$64+'Weekly Summary'!AE$65)),
('Equipment List &amp; Usage'!$O52*'Weekly Summary'!AE$52)+('Equipment List &amp; Usage'!$P52*'Weekly Summary'!AE$53)+('Equipment List &amp; Usage'!$Q52*('Weekly Summary'!AE$52+'Weekly Summary'!AE$53))+('Equipment List &amp; Usage'!$R52*'Weekly Summary'!AE$64)+('Equipment List &amp; Usage'!$S52*'Weekly Summary'!AE$65)+('Equipment List &amp; Usage'!$T52*('Weekly Summary'!AE$64+'Weekly Summary'!AE$65))-SUM($I50:AJ50))),0)</f>
        <v>0</v>
      </c>
      <c r="AL50" s="1381">
        <f ca="1">MAX(IF($F50="No",('Equipment List &amp; Usage'!$O52*'Weekly Summary'!AF$52)+('Equipment List &amp; Usage'!$P52*'Weekly Summary'!AF$53)+('Equipment List &amp; Usage'!$Q52*('Weekly Summary'!AF$52+'Weekly Summary'!AF$53))+('Equipment List &amp; Usage'!$R52*'Weekly Summary'!AF$64)+('Equipment List &amp; Usage'!$S52*'Weekly Summary'!AF$65)+('Equipment List &amp; Usage'!$T52*('Weekly Summary'!AF$64+'Weekly Summary'!AF$65)),
IF(AL$10=0,('Equipment List &amp; Usage'!$O52*'Weekly Summary'!AF$52)+('Equipment List &amp; Usage'!$P52*'Weekly Summary'!AF$53)+('Equipment List &amp; Usage'!$Q52*('Weekly Summary'!AF$52+'Weekly Summary'!AF$53))+('Equipment List &amp; Usage'!$R52*'Weekly Summary'!AF$64)+('Equipment List &amp; Usage'!$S52*'Weekly Summary'!AF$65)+('Equipment List &amp; Usage'!$T52*('Weekly Summary'!AF$64+'Weekly Summary'!AF$65)),
('Equipment List &amp; Usage'!$O52*'Weekly Summary'!AF$52)+('Equipment List &amp; Usage'!$P52*'Weekly Summary'!AF$53)+('Equipment List &amp; Usage'!$Q52*('Weekly Summary'!AF$52+'Weekly Summary'!AF$53))+('Equipment List &amp; Usage'!$R52*'Weekly Summary'!AF$64)+('Equipment List &amp; Usage'!$S52*'Weekly Summary'!AF$65)+('Equipment List &amp; Usage'!$T52*('Weekly Summary'!AF$64+'Weekly Summary'!AF$65))-SUM($I50:AK50))),0)</f>
        <v>0</v>
      </c>
      <c r="AM50" s="1381">
        <f ca="1">MAX(IF($F50="No",('Equipment List &amp; Usage'!$O52*'Weekly Summary'!AG$52)+('Equipment List &amp; Usage'!$P52*'Weekly Summary'!AG$53)+('Equipment List &amp; Usage'!$Q52*('Weekly Summary'!AG$52+'Weekly Summary'!AG$53))+('Equipment List &amp; Usage'!$R52*'Weekly Summary'!AG$64)+('Equipment List &amp; Usage'!$S52*'Weekly Summary'!AG$65)+('Equipment List &amp; Usage'!$T52*('Weekly Summary'!AG$64+'Weekly Summary'!AG$65)),
IF(AM$10=0,('Equipment List &amp; Usage'!$O52*'Weekly Summary'!AG$52)+('Equipment List &amp; Usage'!$P52*'Weekly Summary'!AG$53)+('Equipment List &amp; Usage'!$Q52*('Weekly Summary'!AG$52+'Weekly Summary'!AG$53))+('Equipment List &amp; Usage'!$R52*'Weekly Summary'!AG$64)+('Equipment List &amp; Usage'!$S52*'Weekly Summary'!AG$65)+('Equipment List &amp; Usage'!$T52*('Weekly Summary'!AG$64+'Weekly Summary'!AG$65)),
('Equipment List &amp; Usage'!$O52*'Weekly Summary'!AG$52)+('Equipment List &amp; Usage'!$P52*'Weekly Summary'!AG$53)+('Equipment List &amp; Usage'!$Q52*('Weekly Summary'!AG$52+'Weekly Summary'!AG$53))+('Equipment List &amp; Usage'!$R52*'Weekly Summary'!AG$64)+('Equipment List &amp; Usage'!$S52*'Weekly Summary'!AG$65)+('Equipment List &amp; Usage'!$T52*('Weekly Summary'!AG$64+'Weekly Summary'!AG$65))-SUM($I50:AL50))),0)</f>
        <v>0</v>
      </c>
      <c r="AN50" s="1381">
        <f ca="1">MAX(IF($F50="No",('Equipment List &amp; Usage'!$O52*'Weekly Summary'!AH$52)+('Equipment List &amp; Usage'!$P52*'Weekly Summary'!AH$53)+('Equipment List &amp; Usage'!$Q52*('Weekly Summary'!AH$52+'Weekly Summary'!AH$53))+('Equipment List &amp; Usage'!$R52*'Weekly Summary'!AH$64)+('Equipment List &amp; Usage'!$S52*'Weekly Summary'!AH$65)+('Equipment List &amp; Usage'!$T52*('Weekly Summary'!AH$64+'Weekly Summary'!AH$65)),
IF(AN$10=0,('Equipment List &amp; Usage'!$O52*'Weekly Summary'!AH$52)+('Equipment List &amp; Usage'!$P52*'Weekly Summary'!AH$53)+('Equipment List &amp; Usage'!$Q52*('Weekly Summary'!AH$52+'Weekly Summary'!AH$53))+('Equipment List &amp; Usage'!$R52*'Weekly Summary'!AH$64)+('Equipment List &amp; Usage'!$S52*'Weekly Summary'!AH$65)+('Equipment List &amp; Usage'!$T52*('Weekly Summary'!AH$64+'Weekly Summary'!AH$65)),
('Equipment List &amp; Usage'!$O52*'Weekly Summary'!AH$52)+('Equipment List &amp; Usage'!$P52*'Weekly Summary'!AH$53)+('Equipment List &amp; Usage'!$Q52*('Weekly Summary'!AH$52+'Weekly Summary'!AH$53))+('Equipment List &amp; Usage'!$R52*'Weekly Summary'!AH$64)+('Equipment List &amp; Usage'!$S52*'Weekly Summary'!AH$65)+('Equipment List &amp; Usage'!$T52*('Weekly Summary'!AH$64+'Weekly Summary'!AH$65))-SUM($I50:AM50))),0)</f>
        <v>0</v>
      </c>
      <c r="AO50" s="1381">
        <f ca="1">MAX(IF($F50="No",('Equipment List &amp; Usage'!$O52*'Weekly Summary'!AI$52)+('Equipment List &amp; Usage'!$P52*'Weekly Summary'!AI$53)+('Equipment List &amp; Usage'!$Q52*('Weekly Summary'!AI$52+'Weekly Summary'!AI$53))+('Equipment List &amp; Usage'!$R52*'Weekly Summary'!AI$64)+('Equipment List &amp; Usage'!$S52*'Weekly Summary'!AI$65)+('Equipment List &amp; Usage'!$T52*('Weekly Summary'!AI$64+'Weekly Summary'!AI$65)),
IF(AO$10=0,('Equipment List &amp; Usage'!$O52*'Weekly Summary'!AI$52)+('Equipment List &amp; Usage'!$P52*'Weekly Summary'!AI$53)+('Equipment List &amp; Usage'!$Q52*('Weekly Summary'!AI$52+'Weekly Summary'!AI$53))+('Equipment List &amp; Usage'!$R52*'Weekly Summary'!AI$64)+('Equipment List &amp; Usage'!$S52*'Weekly Summary'!AI$65)+('Equipment List &amp; Usage'!$T52*('Weekly Summary'!AI$64+'Weekly Summary'!AI$65)),
('Equipment List &amp; Usage'!$O52*'Weekly Summary'!AI$52)+('Equipment List &amp; Usage'!$P52*'Weekly Summary'!AI$53)+('Equipment List &amp; Usage'!$Q52*('Weekly Summary'!AI$52+'Weekly Summary'!AI$53))+('Equipment List &amp; Usage'!$R52*'Weekly Summary'!AI$64)+('Equipment List &amp; Usage'!$S52*'Weekly Summary'!AI$65)+('Equipment List &amp; Usage'!$T52*('Weekly Summary'!AI$64+'Weekly Summary'!AI$65))-SUM($I50:AN50))),0)</f>
        <v>0</v>
      </c>
      <c r="AP50" s="1381">
        <f ca="1">MAX(IF($F50="No",('Equipment List &amp; Usage'!$O52*'Weekly Summary'!AJ$52)+('Equipment List &amp; Usage'!$P52*'Weekly Summary'!AJ$53)+('Equipment List &amp; Usage'!$Q52*('Weekly Summary'!AJ$52+'Weekly Summary'!AJ$53))+('Equipment List &amp; Usage'!$R52*'Weekly Summary'!AJ$64)+('Equipment List &amp; Usage'!$S52*'Weekly Summary'!AJ$65)+('Equipment List &amp; Usage'!$T52*('Weekly Summary'!AJ$64+'Weekly Summary'!AJ$65)),
IF(AP$10=0,('Equipment List &amp; Usage'!$O52*'Weekly Summary'!AJ$52)+('Equipment List &amp; Usage'!$P52*'Weekly Summary'!AJ$53)+('Equipment List &amp; Usage'!$Q52*('Weekly Summary'!AJ$52+'Weekly Summary'!AJ$53))+('Equipment List &amp; Usage'!$R52*'Weekly Summary'!AJ$64)+('Equipment List &amp; Usage'!$S52*'Weekly Summary'!AJ$65)+('Equipment List &amp; Usage'!$T52*('Weekly Summary'!AJ$64+'Weekly Summary'!AJ$65)),
('Equipment List &amp; Usage'!$O52*'Weekly Summary'!AJ$52)+('Equipment List &amp; Usage'!$P52*'Weekly Summary'!AJ$53)+('Equipment List &amp; Usage'!$Q52*('Weekly Summary'!AJ$52+'Weekly Summary'!AJ$53))+('Equipment List &amp; Usage'!$R52*'Weekly Summary'!AJ$64)+('Equipment List &amp; Usage'!$S52*'Weekly Summary'!AJ$65)+('Equipment List &amp; Usage'!$T52*('Weekly Summary'!AJ$64+'Weekly Summary'!AJ$65))-SUM($I50:AO50))),0)</f>
        <v>0</v>
      </c>
      <c r="AQ50" s="1381">
        <f ca="1">MAX(IF($F50="No",('Equipment List &amp; Usage'!$O52*'Weekly Summary'!AK$52)+('Equipment List &amp; Usage'!$P52*'Weekly Summary'!AK$53)+('Equipment List &amp; Usage'!$Q52*('Weekly Summary'!AK$52+'Weekly Summary'!AK$53))+('Equipment List &amp; Usage'!$R52*'Weekly Summary'!AK$64)+('Equipment List &amp; Usage'!$S52*'Weekly Summary'!AK$65)+('Equipment List &amp; Usage'!$T52*('Weekly Summary'!AK$64+'Weekly Summary'!AK$65)),
IF(AQ$10=0,('Equipment List &amp; Usage'!$O52*'Weekly Summary'!AK$52)+('Equipment List &amp; Usage'!$P52*'Weekly Summary'!AK$53)+('Equipment List &amp; Usage'!$Q52*('Weekly Summary'!AK$52+'Weekly Summary'!AK$53))+('Equipment List &amp; Usage'!$R52*'Weekly Summary'!AK$64)+('Equipment List &amp; Usage'!$S52*'Weekly Summary'!AK$65)+('Equipment List &amp; Usage'!$T52*('Weekly Summary'!AK$64+'Weekly Summary'!AK$65)),
('Equipment List &amp; Usage'!$O52*'Weekly Summary'!AK$52)+('Equipment List &amp; Usage'!$P52*'Weekly Summary'!AK$53)+('Equipment List &amp; Usage'!$Q52*('Weekly Summary'!AK$52+'Weekly Summary'!AK$53))+('Equipment List &amp; Usage'!$R52*'Weekly Summary'!AK$64)+('Equipment List &amp; Usage'!$S52*'Weekly Summary'!AK$65)+('Equipment List &amp; Usage'!$T52*('Weekly Summary'!AK$64+'Weekly Summary'!AK$65))-SUM($I50:AP50))),0)</f>
        <v>0</v>
      </c>
      <c r="AR50" s="1381">
        <f ca="1">MAX(IF($F50="No",('Equipment List &amp; Usage'!$O52*'Weekly Summary'!AL$52)+('Equipment List &amp; Usage'!$P52*'Weekly Summary'!AL$53)+('Equipment List &amp; Usage'!$Q52*('Weekly Summary'!AL$52+'Weekly Summary'!AL$53))+('Equipment List &amp; Usage'!$R52*'Weekly Summary'!AL$64)+('Equipment List &amp; Usage'!$S52*'Weekly Summary'!AL$65)+('Equipment List &amp; Usage'!$T52*('Weekly Summary'!AL$64+'Weekly Summary'!AL$65)),
IF(AR$10=0,('Equipment List &amp; Usage'!$O52*'Weekly Summary'!AL$52)+('Equipment List &amp; Usage'!$P52*'Weekly Summary'!AL$53)+('Equipment List &amp; Usage'!$Q52*('Weekly Summary'!AL$52+'Weekly Summary'!AL$53))+('Equipment List &amp; Usage'!$R52*'Weekly Summary'!AL$64)+('Equipment List &amp; Usage'!$S52*'Weekly Summary'!AL$65)+('Equipment List &amp; Usage'!$T52*('Weekly Summary'!AL$64+'Weekly Summary'!AL$65)),
('Equipment List &amp; Usage'!$O52*'Weekly Summary'!AL$52)+('Equipment List &amp; Usage'!$P52*'Weekly Summary'!AL$53)+('Equipment List &amp; Usage'!$Q52*('Weekly Summary'!AL$52+'Weekly Summary'!AL$53))+('Equipment List &amp; Usage'!$R52*'Weekly Summary'!AL$64)+('Equipment List &amp; Usage'!$S52*'Weekly Summary'!AL$65)+('Equipment List &amp; Usage'!$T52*('Weekly Summary'!AL$64+'Weekly Summary'!AL$65))-SUM($I50:AQ50))),0)</f>
        <v>0</v>
      </c>
      <c r="AS50" s="1381">
        <f ca="1">MAX(IF($F50="No",('Equipment List &amp; Usage'!$O52*'Weekly Summary'!AM$52)+('Equipment List &amp; Usage'!$P52*'Weekly Summary'!AM$53)+('Equipment List &amp; Usage'!$Q52*('Weekly Summary'!AM$52+'Weekly Summary'!AM$53))+('Equipment List &amp; Usage'!$R52*'Weekly Summary'!AM$64)+('Equipment List &amp; Usage'!$S52*'Weekly Summary'!AM$65)+('Equipment List &amp; Usage'!$T52*('Weekly Summary'!AM$64+'Weekly Summary'!AM$65)),
IF(AS$10=0,('Equipment List &amp; Usage'!$O52*'Weekly Summary'!AM$52)+('Equipment List &amp; Usage'!$P52*'Weekly Summary'!AM$53)+('Equipment List &amp; Usage'!$Q52*('Weekly Summary'!AM$52+'Weekly Summary'!AM$53))+('Equipment List &amp; Usage'!$R52*'Weekly Summary'!AM$64)+('Equipment List &amp; Usage'!$S52*'Weekly Summary'!AM$65)+('Equipment List &amp; Usage'!$T52*('Weekly Summary'!AM$64+'Weekly Summary'!AM$65)),
('Equipment List &amp; Usage'!$O52*'Weekly Summary'!AM$52)+('Equipment List &amp; Usage'!$P52*'Weekly Summary'!AM$53)+('Equipment List &amp; Usage'!$Q52*('Weekly Summary'!AM$52+'Weekly Summary'!AM$53))+('Equipment List &amp; Usage'!$R52*'Weekly Summary'!AM$64)+('Equipment List &amp; Usage'!$S52*'Weekly Summary'!AM$65)+('Equipment List &amp; Usage'!$T52*('Weekly Summary'!AM$64+'Weekly Summary'!AM$65))-SUM($I50:AR50))),0)</f>
        <v>0</v>
      </c>
      <c r="AT50" s="1381">
        <f ca="1">MAX(IF($F50="No",('Equipment List &amp; Usage'!$O52*'Weekly Summary'!AN$52)+('Equipment List &amp; Usage'!$P52*'Weekly Summary'!AN$53)+('Equipment List &amp; Usage'!$Q52*('Weekly Summary'!AN$52+'Weekly Summary'!AN$53))+('Equipment List &amp; Usage'!$R52*'Weekly Summary'!AN$64)+('Equipment List &amp; Usage'!$S52*'Weekly Summary'!AN$65)+('Equipment List &amp; Usage'!$T52*('Weekly Summary'!AN$64+'Weekly Summary'!AN$65)),
IF(AT$10=0,('Equipment List &amp; Usage'!$O52*'Weekly Summary'!AN$52)+('Equipment List &amp; Usage'!$P52*'Weekly Summary'!AN$53)+('Equipment List &amp; Usage'!$Q52*('Weekly Summary'!AN$52+'Weekly Summary'!AN$53))+('Equipment List &amp; Usage'!$R52*'Weekly Summary'!AN$64)+('Equipment List &amp; Usage'!$S52*'Weekly Summary'!AN$65)+('Equipment List &amp; Usage'!$T52*('Weekly Summary'!AN$64+'Weekly Summary'!AN$65)),
('Equipment List &amp; Usage'!$O52*'Weekly Summary'!AN$52)+('Equipment List &amp; Usage'!$P52*'Weekly Summary'!AN$53)+('Equipment List &amp; Usage'!$Q52*('Weekly Summary'!AN$52+'Weekly Summary'!AN$53))+('Equipment List &amp; Usage'!$R52*'Weekly Summary'!AN$64)+('Equipment List &amp; Usage'!$S52*'Weekly Summary'!AN$65)+('Equipment List &amp; Usage'!$T52*('Weekly Summary'!AN$64+'Weekly Summary'!AN$65))-SUM($I50:AS50))),0)</f>
        <v>0</v>
      </c>
      <c r="AU50" s="1381">
        <f ca="1">MAX(IF($F50="No",('Equipment List &amp; Usage'!$O52*'Weekly Summary'!AO$52)+('Equipment List &amp; Usage'!$P52*'Weekly Summary'!AO$53)+('Equipment List &amp; Usage'!$Q52*('Weekly Summary'!AO$52+'Weekly Summary'!AO$53))+('Equipment List &amp; Usage'!$R52*'Weekly Summary'!AO$64)+('Equipment List &amp; Usage'!$S52*'Weekly Summary'!AO$65)+('Equipment List &amp; Usage'!$T52*('Weekly Summary'!AO$64+'Weekly Summary'!AO$65)),
IF(AU$10=0,('Equipment List &amp; Usage'!$O52*'Weekly Summary'!AO$52)+('Equipment List &amp; Usage'!$P52*'Weekly Summary'!AO$53)+('Equipment List &amp; Usage'!$Q52*('Weekly Summary'!AO$52+'Weekly Summary'!AO$53))+('Equipment List &amp; Usage'!$R52*'Weekly Summary'!AO$64)+('Equipment List &amp; Usage'!$S52*'Weekly Summary'!AO$65)+('Equipment List &amp; Usage'!$T52*('Weekly Summary'!AO$64+'Weekly Summary'!AO$65)),
('Equipment List &amp; Usage'!$O52*'Weekly Summary'!AO$52)+('Equipment List &amp; Usage'!$P52*'Weekly Summary'!AO$53)+('Equipment List &amp; Usage'!$Q52*('Weekly Summary'!AO$52+'Weekly Summary'!AO$53))+('Equipment List &amp; Usage'!$R52*'Weekly Summary'!AO$64)+('Equipment List &amp; Usage'!$S52*'Weekly Summary'!AO$65)+('Equipment List &amp; Usage'!$T52*('Weekly Summary'!AO$64+'Weekly Summary'!AO$65))-SUM($I50:AT50))),0)</f>
        <v>0</v>
      </c>
      <c r="AV50" s="1381">
        <f ca="1">MAX(IF($F50="No",('Equipment List &amp; Usage'!$O52*'Weekly Summary'!AP$52)+('Equipment List &amp; Usage'!$P52*'Weekly Summary'!AP$53)+('Equipment List &amp; Usage'!$Q52*('Weekly Summary'!AP$52+'Weekly Summary'!AP$53))+('Equipment List &amp; Usage'!$R52*'Weekly Summary'!AP$64)+('Equipment List &amp; Usage'!$S52*'Weekly Summary'!AP$65)+('Equipment List &amp; Usage'!$T52*('Weekly Summary'!AP$64+'Weekly Summary'!AP$65)),
IF(AV$10=0,('Equipment List &amp; Usage'!$O52*'Weekly Summary'!AP$52)+('Equipment List &amp; Usage'!$P52*'Weekly Summary'!AP$53)+('Equipment List &amp; Usage'!$Q52*('Weekly Summary'!AP$52+'Weekly Summary'!AP$53))+('Equipment List &amp; Usage'!$R52*'Weekly Summary'!AP$64)+('Equipment List &amp; Usage'!$S52*'Weekly Summary'!AP$65)+('Equipment List &amp; Usage'!$T52*('Weekly Summary'!AP$64+'Weekly Summary'!AP$65)),
('Equipment List &amp; Usage'!$O52*'Weekly Summary'!AP$52)+('Equipment List &amp; Usage'!$P52*'Weekly Summary'!AP$53)+('Equipment List &amp; Usage'!$Q52*('Weekly Summary'!AP$52+'Weekly Summary'!AP$53))+('Equipment List &amp; Usage'!$R52*'Weekly Summary'!AP$64)+('Equipment List &amp; Usage'!$S52*'Weekly Summary'!AP$65)+('Equipment List &amp; Usage'!$T52*('Weekly Summary'!AP$64+'Weekly Summary'!AP$65))-SUM($I50:AU50))),0)</f>
        <v>0</v>
      </c>
      <c r="AW50" s="1381">
        <f ca="1">MAX(IF($F50="No",('Equipment List &amp; Usage'!$O52*'Weekly Summary'!AQ$52)+('Equipment List &amp; Usage'!$P52*'Weekly Summary'!AQ$53)+('Equipment List &amp; Usage'!$Q52*('Weekly Summary'!AQ$52+'Weekly Summary'!AQ$53))+('Equipment List &amp; Usage'!$R52*'Weekly Summary'!AQ$64)+('Equipment List &amp; Usage'!$S52*'Weekly Summary'!AQ$65)+('Equipment List &amp; Usage'!$T52*('Weekly Summary'!AQ$64+'Weekly Summary'!AQ$65)),
IF(AW$10=0,('Equipment List &amp; Usage'!$O52*'Weekly Summary'!AQ$52)+('Equipment List &amp; Usage'!$P52*'Weekly Summary'!AQ$53)+('Equipment List &amp; Usage'!$Q52*('Weekly Summary'!AQ$52+'Weekly Summary'!AQ$53))+('Equipment List &amp; Usage'!$R52*'Weekly Summary'!AQ$64)+('Equipment List &amp; Usage'!$S52*'Weekly Summary'!AQ$65)+('Equipment List &amp; Usage'!$T52*('Weekly Summary'!AQ$64+'Weekly Summary'!AQ$65)),
('Equipment List &amp; Usage'!$O52*'Weekly Summary'!AQ$52)+('Equipment List &amp; Usage'!$P52*'Weekly Summary'!AQ$53)+('Equipment List &amp; Usage'!$Q52*('Weekly Summary'!AQ$52+'Weekly Summary'!AQ$53))+('Equipment List &amp; Usage'!$R52*'Weekly Summary'!AQ$64)+('Equipment List &amp; Usage'!$S52*'Weekly Summary'!AQ$65)+('Equipment List &amp; Usage'!$T52*('Weekly Summary'!AQ$64+'Weekly Summary'!AQ$65))-SUM($I50:AV50))),0)</f>
        <v>0</v>
      </c>
      <c r="AX50" s="1381">
        <f ca="1">MAX(IF($F50="No",('Equipment List &amp; Usage'!$O52*'Weekly Summary'!AR$52)+('Equipment List &amp; Usage'!$P52*'Weekly Summary'!AR$53)+('Equipment List &amp; Usage'!$Q52*('Weekly Summary'!AR$52+'Weekly Summary'!AR$53))+('Equipment List &amp; Usage'!$R52*'Weekly Summary'!AR$64)+('Equipment List &amp; Usage'!$S52*'Weekly Summary'!AR$65)+('Equipment List &amp; Usage'!$T52*('Weekly Summary'!AR$64+'Weekly Summary'!AR$65)),
IF(AX$10=0,('Equipment List &amp; Usage'!$O52*'Weekly Summary'!AR$52)+('Equipment List &amp; Usage'!$P52*'Weekly Summary'!AR$53)+('Equipment List &amp; Usage'!$Q52*('Weekly Summary'!AR$52+'Weekly Summary'!AR$53))+('Equipment List &amp; Usage'!$R52*'Weekly Summary'!AR$64)+('Equipment List &amp; Usage'!$S52*'Weekly Summary'!AR$65)+('Equipment List &amp; Usage'!$T52*('Weekly Summary'!AR$64+'Weekly Summary'!AR$65)),
('Equipment List &amp; Usage'!$O52*'Weekly Summary'!AR$52)+('Equipment List &amp; Usage'!$P52*'Weekly Summary'!AR$53)+('Equipment List &amp; Usage'!$Q52*('Weekly Summary'!AR$52+'Weekly Summary'!AR$53))+('Equipment List &amp; Usage'!$R52*'Weekly Summary'!AR$64)+('Equipment List &amp; Usage'!$S52*'Weekly Summary'!AR$65)+('Equipment List &amp; Usage'!$T52*('Weekly Summary'!AR$64+'Weekly Summary'!AR$65))-SUM($I50:AW50))),0)</f>
        <v>0</v>
      </c>
      <c r="AY50" s="1381">
        <f ca="1">MAX(IF($F50="No",('Equipment List &amp; Usage'!$O52*'Weekly Summary'!AS$52)+('Equipment List &amp; Usage'!$P52*'Weekly Summary'!AS$53)+('Equipment List &amp; Usage'!$Q52*('Weekly Summary'!AS$52+'Weekly Summary'!AS$53))+('Equipment List &amp; Usage'!$R52*'Weekly Summary'!AS$64)+('Equipment List &amp; Usage'!$S52*'Weekly Summary'!AS$65)+('Equipment List &amp; Usage'!$T52*('Weekly Summary'!AS$64+'Weekly Summary'!AS$65)),
IF(AY$10=0,('Equipment List &amp; Usage'!$O52*'Weekly Summary'!AS$52)+('Equipment List &amp; Usage'!$P52*'Weekly Summary'!AS$53)+('Equipment List &amp; Usage'!$Q52*('Weekly Summary'!AS$52+'Weekly Summary'!AS$53))+('Equipment List &amp; Usage'!$R52*'Weekly Summary'!AS$64)+('Equipment List &amp; Usage'!$S52*'Weekly Summary'!AS$65)+('Equipment List &amp; Usage'!$T52*('Weekly Summary'!AS$64+'Weekly Summary'!AS$65)),
('Equipment List &amp; Usage'!$O52*'Weekly Summary'!AS$52)+('Equipment List &amp; Usage'!$P52*'Weekly Summary'!AS$53)+('Equipment List &amp; Usage'!$Q52*('Weekly Summary'!AS$52+'Weekly Summary'!AS$53))+('Equipment List &amp; Usage'!$R52*'Weekly Summary'!AS$64)+('Equipment List &amp; Usage'!$S52*'Weekly Summary'!AS$65)+('Equipment List &amp; Usage'!$T52*('Weekly Summary'!AS$64+'Weekly Summary'!AS$65))-SUM($I50:AX50))),0)</f>
        <v>0</v>
      </c>
      <c r="AZ50" s="1381">
        <f ca="1">MAX(IF($F50="No",('Equipment List &amp; Usage'!$O52*'Weekly Summary'!AT$52)+('Equipment List &amp; Usage'!$P52*'Weekly Summary'!AT$53)+('Equipment List &amp; Usage'!$Q52*('Weekly Summary'!AT$52+'Weekly Summary'!AT$53))+('Equipment List &amp; Usage'!$R52*'Weekly Summary'!AT$64)+('Equipment List &amp; Usage'!$S52*'Weekly Summary'!AT$65)+('Equipment List &amp; Usage'!$T52*('Weekly Summary'!AT$64+'Weekly Summary'!AT$65)),
IF(AZ$10=0,('Equipment List &amp; Usage'!$O52*'Weekly Summary'!AT$52)+('Equipment List &amp; Usage'!$P52*'Weekly Summary'!AT$53)+('Equipment List &amp; Usage'!$Q52*('Weekly Summary'!AT$52+'Weekly Summary'!AT$53))+('Equipment List &amp; Usage'!$R52*'Weekly Summary'!AT$64)+('Equipment List &amp; Usage'!$S52*'Weekly Summary'!AT$65)+('Equipment List &amp; Usage'!$T52*('Weekly Summary'!AT$64+'Weekly Summary'!AT$65)),
('Equipment List &amp; Usage'!$O52*'Weekly Summary'!AT$52)+('Equipment List &amp; Usage'!$P52*'Weekly Summary'!AT$53)+('Equipment List &amp; Usage'!$Q52*('Weekly Summary'!AT$52+'Weekly Summary'!AT$53))+('Equipment List &amp; Usage'!$R52*'Weekly Summary'!AT$64)+('Equipment List &amp; Usage'!$S52*'Weekly Summary'!AT$65)+('Equipment List &amp; Usage'!$T52*('Weekly Summary'!AT$64+'Weekly Summary'!AT$65))-SUM($I50:AY50))),0)</f>
        <v>0</v>
      </c>
      <c r="BA50" s="1381">
        <f ca="1">MAX(IF($F50="No",('Equipment List &amp; Usage'!$O52*'Weekly Summary'!AU$52)+('Equipment List &amp; Usage'!$P52*'Weekly Summary'!AU$53)+('Equipment List &amp; Usage'!$Q52*('Weekly Summary'!AU$52+'Weekly Summary'!AU$53))+('Equipment List &amp; Usage'!$R52*'Weekly Summary'!AU$64)+('Equipment List &amp; Usage'!$S52*'Weekly Summary'!AU$65)+('Equipment List &amp; Usage'!$T52*('Weekly Summary'!AU$64+'Weekly Summary'!AU$65)),
IF(BA$10=0,('Equipment List &amp; Usage'!$O52*'Weekly Summary'!AU$52)+('Equipment List &amp; Usage'!$P52*'Weekly Summary'!AU$53)+('Equipment List &amp; Usage'!$Q52*('Weekly Summary'!AU$52+'Weekly Summary'!AU$53))+('Equipment List &amp; Usage'!$R52*'Weekly Summary'!AU$64)+('Equipment List &amp; Usage'!$S52*'Weekly Summary'!AU$65)+('Equipment List &amp; Usage'!$T52*('Weekly Summary'!AU$64+'Weekly Summary'!AU$65)),
('Equipment List &amp; Usage'!$O52*'Weekly Summary'!AU$52)+('Equipment List &amp; Usage'!$P52*'Weekly Summary'!AU$53)+('Equipment List &amp; Usage'!$Q52*('Weekly Summary'!AU$52+'Weekly Summary'!AU$53))+('Equipment List &amp; Usage'!$R52*'Weekly Summary'!AU$64)+('Equipment List &amp; Usage'!$S52*'Weekly Summary'!AU$65)+('Equipment List &amp; Usage'!$T52*('Weekly Summary'!AU$64+'Weekly Summary'!AU$65))-SUM($I50:AZ50))),0)</f>
        <v>0</v>
      </c>
      <c r="BB50" s="1381">
        <f ca="1">MAX(IF($F50="No",('Equipment List &amp; Usage'!$O52*'Weekly Summary'!AV$52)+('Equipment List &amp; Usage'!$P52*'Weekly Summary'!AV$53)+('Equipment List &amp; Usage'!$Q52*('Weekly Summary'!AV$52+'Weekly Summary'!AV$53))+('Equipment List &amp; Usage'!$R52*'Weekly Summary'!AV$64)+('Equipment List &amp; Usage'!$S52*'Weekly Summary'!AV$65)+('Equipment List &amp; Usage'!$T52*('Weekly Summary'!AV$64+'Weekly Summary'!AV$65)),
IF(BB$10=0,('Equipment List &amp; Usage'!$O52*'Weekly Summary'!AV$52)+('Equipment List &amp; Usage'!$P52*'Weekly Summary'!AV$53)+('Equipment List &amp; Usage'!$Q52*('Weekly Summary'!AV$52+'Weekly Summary'!AV$53))+('Equipment List &amp; Usage'!$R52*'Weekly Summary'!AV$64)+('Equipment List &amp; Usage'!$S52*'Weekly Summary'!AV$65)+('Equipment List &amp; Usage'!$T52*('Weekly Summary'!AV$64+'Weekly Summary'!AV$65)),
('Equipment List &amp; Usage'!$O52*'Weekly Summary'!AV$52)+('Equipment List &amp; Usage'!$P52*'Weekly Summary'!AV$53)+('Equipment List &amp; Usage'!$Q52*('Weekly Summary'!AV$52+'Weekly Summary'!AV$53))+('Equipment List &amp; Usage'!$R52*'Weekly Summary'!AV$64)+('Equipment List &amp; Usage'!$S52*'Weekly Summary'!AV$65)+('Equipment List &amp; Usage'!$T52*('Weekly Summary'!AV$64+'Weekly Summary'!AV$65))-SUM($I50:BA50))),0)</f>
        <v>0</v>
      </c>
      <c r="BC50" s="1381">
        <f ca="1">MAX(IF($F50="No",('Equipment List &amp; Usage'!$O52*'Weekly Summary'!AW$52)+('Equipment List &amp; Usage'!$P52*'Weekly Summary'!AW$53)+('Equipment List &amp; Usage'!$Q52*('Weekly Summary'!AW$52+'Weekly Summary'!AW$53))+('Equipment List &amp; Usage'!$R52*'Weekly Summary'!AW$64)+('Equipment List &amp; Usage'!$S52*'Weekly Summary'!AW$65)+('Equipment List &amp; Usage'!$T52*('Weekly Summary'!AW$64+'Weekly Summary'!AW$65)),
IF(BC$10=0,('Equipment List &amp; Usage'!$O52*'Weekly Summary'!AW$52)+('Equipment List &amp; Usage'!$P52*'Weekly Summary'!AW$53)+('Equipment List &amp; Usage'!$Q52*('Weekly Summary'!AW$52+'Weekly Summary'!AW$53))+('Equipment List &amp; Usage'!$R52*'Weekly Summary'!AW$64)+('Equipment List &amp; Usage'!$S52*'Weekly Summary'!AW$65)+('Equipment List &amp; Usage'!$T52*('Weekly Summary'!AW$64+'Weekly Summary'!AW$65)),
('Equipment List &amp; Usage'!$O52*'Weekly Summary'!AW$52)+('Equipment List &amp; Usage'!$P52*'Weekly Summary'!AW$53)+('Equipment List &amp; Usage'!$Q52*('Weekly Summary'!AW$52+'Weekly Summary'!AW$53))+('Equipment List &amp; Usage'!$R52*'Weekly Summary'!AW$64)+('Equipment List &amp; Usage'!$S52*'Weekly Summary'!AW$65)+('Equipment List &amp; Usage'!$T52*('Weekly Summary'!AW$64+'Weekly Summary'!AW$65))-SUM($I50:BB50))),0)</f>
        <v>0</v>
      </c>
      <c r="BD50" s="1381">
        <f ca="1">MAX(IF($F50="No",('Equipment List &amp; Usage'!$O52*'Weekly Summary'!AX$52)+('Equipment List &amp; Usage'!$P52*'Weekly Summary'!AX$53)+('Equipment List &amp; Usage'!$Q52*('Weekly Summary'!AX$52+'Weekly Summary'!AX$53))+('Equipment List &amp; Usage'!$R52*'Weekly Summary'!AX$64)+('Equipment List &amp; Usage'!$S52*'Weekly Summary'!AX$65)+('Equipment List &amp; Usage'!$T52*('Weekly Summary'!AX$64+'Weekly Summary'!AX$65)),
IF(BD$10=0,('Equipment List &amp; Usage'!$O52*'Weekly Summary'!AX$52)+('Equipment List &amp; Usage'!$P52*'Weekly Summary'!AX$53)+('Equipment List &amp; Usage'!$Q52*('Weekly Summary'!AX$52+'Weekly Summary'!AX$53))+('Equipment List &amp; Usage'!$R52*'Weekly Summary'!AX$64)+('Equipment List &amp; Usage'!$S52*'Weekly Summary'!AX$65)+('Equipment List &amp; Usage'!$T52*('Weekly Summary'!AX$64+'Weekly Summary'!AX$65)),
('Equipment List &amp; Usage'!$O52*'Weekly Summary'!AX$52)+('Equipment List &amp; Usage'!$P52*'Weekly Summary'!AX$53)+('Equipment List &amp; Usage'!$Q52*('Weekly Summary'!AX$52+'Weekly Summary'!AX$53))+('Equipment List &amp; Usage'!$R52*'Weekly Summary'!AX$64)+('Equipment List &amp; Usage'!$S52*'Weekly Summary'!AX$65)+('Equipment List &amp; Usage'!$T52*('Weekly Summary'!AX$64+'Weekly Summary'!AX$65))-SUM($I50:BC50))),0)</f>
        <v>0</v>
      </c>
      <c r="BE50" s="1381">
        <f ca="1">MAX(IF($F50="No",('Equipment List &amp; Usage'!$O52*'Weekly Summary'!AY$52)+('Equipment List &amp; Usage'!$P52*'Weekly Summary'!AY$53)+('Equipment List &amp; Usage'!$Q52*('Weekly Summary'!AY$52+'Weekly Summary'!AY$53))+('Equipment List &amp; Usage'!$R52*'Weekly Summary'!AY$64)+('Equipment List &amp; Usage'!$S52*'Weekly Summary'!AY$65)+('Equipment List &amp; Usage'!$T52*('Weekly Summary'!AY$64+'Weekly Summary'!AY$65)),
IF(BE$10=0,('Equipment List &amp; Usage'!$O52*'Weekly Summary'!AY$52)+('Equipment List &amp; Usage'!$P52*'Weekly Summary'!AY$53)+('Equipment List &amp; Usage'!$Q52*('Weekly Summary'!AY$52+'Weekly Summary'!AY$53))+('Equipment List &amp; Usage'!$R52*'Weekly Summary'!AY$64)+('Equipment List &amp; Usage'!$S52*'Weekly Summary'!AY$65)+('Equipment List &amp; Usage'!$T52*('Weekly Summary'!AY$64+'Weekly Summary'!AY$65)),
('Equipment List &amp; Usage'!$O52*'Weekly Summary'!AY$52)+('Equipment List &amp; Usage'!$P52*'Weekly Summary'!AY$53)+('Equipment List &amp; Usage'!$Q52*('Weekly Summary'!AY$52+'Weekly Summary'!AY$53))+('Equipment List &amp; Usage'!$R52*'Weekly Summary'!AY$64)+('Equipment List &amp; Usage'!$S52*'Weekly Summary'!AY$65)+('Equipment List &amp; Usage'!$T52*('Weekly Summary'!AY$64+'Weekly Summary'!AY$65))-SUM($I50:BD50))),0)</f>
        <v>0</v>
      </c>
      <c r="BF50" s="1381">
        <f ca="1">MAX(IF($F50="No",('Equipment List &amp; Usage'!$O52*'Weekly Summary'!AZ$52)+('Equipment List &amp; Usage'!$P52*'Weekly Summary'!AZ$53)+('Equipment List &amp; Usage'!$Q52*('Weekly Summary'!AZ$52+'Weekly Summary'!AZ$53))+('Equipment List &amp; Usage'!$R52*'Weekly Summary'!AZ$64)+('Equipment List &amp; Usage'!$S52*'Weekly Summary'!AZ$65)+('Equipment List &amp; Usage'!$T52*('Weekly Summary'!AZ$64+'Weekly Summary'!AZ$65)),
IF(BF$10=0,('Equipment List &amp; Usage'!$O52*'Weekly Summary'!AZ$52)+('Equipment List &amp; Usage'!$P52*'Weekly Summary'!AZ$53)+('Equipment List &amp; Usage'!$Q52*('Weekly Summary'!AZ$52+'Weekly Summary'!AZ$53))+('Equipment List &amp; Usage'!$R52*'Weekly Summary'!AZ$64)+('Equipment List &amp; Usage'!$S52*'Weekly Summary'!AZ$65)+('Equipment List &amp; Usage'!$T52*('Weekly Summary'!AZ$64+'Weekly Summary'!AZ$65)),
('Equipment List &amp; Usage'!$O52*'Weekly Summary'!AZ$52)+('Equipment List &amp; Usage'!$P52*'Weekly Summary'!AZ$53)+('Equipment List &amp; Usage'!$Q52*('Weekly Summary'!AZ$52+'Weekly Summary'!AZ$53))+('Equipment List &amp; Usage'!$R52*'Weekly Summary'!AZ$64)+('Equipment List &amp; Usage'!$S52*'Weekly Summary'!AZ$65)+('Equipment List &amp; Usage'!$T52*('Weekly Summary'!AZ$64+'Weekly Summary'!AZ$65))-SUM($I50:BE50))),0)</f>
        <v>0</v>
      </c>
      <c r="BG50" s="1381">
        <f ca="1">MAX(IF($F50="No",('Equipment List &amp; Usage'!$O52*'Weekly Summary'!BA$52)+('Equipment List &amp; Usage'!$P52*'Weekly Summary'!BA$53)+('Equipment List &amp; Usage'!$Q52*('Weekly Summary'!BA$52+'Weekly Summary'!BA$53))+('Equipment List &amp; Usage'!$R52*'Weekly Summary'!BA$64)+('Equipment List &amp; Usage'!$S52*'Weekly Summary'!BA$65)+('Equipment List &amp; Usage'!$T52*('Weekly Summary'!BA$64+'Weekly Summary'!BA$65)),
IF(BG$10=0,('Equipment List &amp; Usage'!$O52*'Weekly Summary'!BA$52)+('Equipment List &amp; Usage'!$P52*'Weekly Summary'!BA$53)+('Equipment List &amp; Usage'!$Q52*('Weekly Summary'!BA$52+'Weekly Summary'!BA$53))+('Equipment List &amp; Usage'!$R52*'Weekly Summary'!BA$64)+('Equipment List &amp; Usage'!$S52*'Weekly Summary'!BA$65)+('Equipment List &amp; Usage'!$T52*('Weekly Summary'!BA$64+'Weekly Summary'!BA$65)),
('Equipment List &amp; Usage'!$O52*'Weekly Summary'!BA$52)+('Equipment List &amp; Usage'!$P52*'Weekly Summary'!BA$53)+('Equipment List &amp; Usage'!$Q52*('Weekly Summary'!BA$52+'Weekly Summary'!BA$53))+('Equipment List &amp; Usage'!$R52*'Weekly Summary'!BA$64)+('Equipment List &amp; Usage'!$S52*'Weekly Summary'!BA$65)+('Equipment List &amp; Usage'!$T52*('Weekly Summary'!BA$64+'Weekly Summary'!BA$65))-SUM($I50:BF50))),0)</f>
        <v>0</v>
      </c>
      <c r="BH50" s="1381">
        <f ca="1">MAX(IF($F50="No",('Equipment List &amp; Usage'!$O52*'Weekly Summary'!BB$52)+('Equipment List &amp; Usage'!$P52*'Weekly Summary'!BB$53)+('Equipment List &amp; Usage'!$Q52*('Weekly Summary'!BB$52+'Weekly Summary'!BB$53))+('Equipment List &amp; Usage'!$R52*'Weekly Summary'!BB$64)+('Equipment List &amp; Usage'!$S52*'Weekly Summary'!BB$65)+('Equipment List &amp; Usage'!$T52*('Weekly Summary'!BB$64+'Weekly Summary'!BB$65)),
IF(BH$10=0,('Equipment List &amp; Usage'!$O52*'Weekly Summary'!BB$52)+('Equipment List &amp; Usage'!$P52*'Weekly Summary'!BB$53)+('Equipment List &amp; Usage'!$Q52*('Weekly Summary'!BB$52+'Weekly Summary'!BB$53))+('Equipment List &amp; Usage'!$R52*'Weekly Summary'!BB$64)+('Equipment List &amp; Usage'!$S52*'Weekly Summary'!BB$65)+('Equipment List &amp; Usage'!$T52*('Weekly Summary'!BB$64+'Weekly Summary'!BB$65)),
('Equipment List &amp; Usage'!$O52*'Weekly Summary'!BB$52)+('Equipment List &amp; Usage'!$P52*'Weekly Summary'!BB$53)+('Equipment List &amp; Usage'!$Q52*('Weekly Summary'!BB$52+'Weekly Summary'!BB$53))+('Equipment List &amp; Usage'!$R52*'Weekly Summary'!BB$64)+('Equipment List &amp; Usage'!$S52*'Weekly Summary'!BB$65)+('Equipment List &amp; Usage'!$T52*('Weekly Summary'!BB$64+'Weekly Summary'!BB$65))-SUM($I50:BG50))),0)</f>
        <v>0</v>
      </c>
      <c r="BI50" s="1381">
        <f ca="1">MAX(IF($F50="No",('Equipment List &amp; Usage'!$O52*'Weekly Summary'!BC$52)+('Equipment List &amp; Usage'!$P52*'Weekly Summary'!BC$53)+('Equipment List &amp; Usage'!$Q52*('Weekly Summary'!BC$52+'Weekly Summary'!BC$53))+('Equipment List &amp; Usage'!$R52*'Weekly Summary'!BC$64)+('Equipment List &amp; Usage'!$S52*'Weekly Summary'!BC$65)+('Equipment List &amp; Usage'!$T52*('Weekly Summary'!BC$64+'Weekly Summary'!BC$65)),
IF(BI$10=0,('Equipment List &amp; Usage'!$O52*'Weekly Summary'!BC$52)+('Equipment List &amp; Usage'!$P52*'Weekly Summary'!BC$53)+('Equipment List &amp; Usage'!$Q52*('Weekly Summary'!BC$52+'Weekly Summary'!BC$53))+('Equipment List &amp; Usage'!$R52*'Weekly Summary'!BC$64)+('Equipment List &amp; Usage'!$S52*'Weekly Summary'!BC$65)+('Equipment List &amp; Usage'!$T52*('Weekly Summary'!BC$64+'Weekly Summary'!BC$65)),
('Equipment List &amp; Usage'!$O52*'Weekly Summary'!BC$52)+('Equipment List &amp; Usage'!$P52*'Weekly Summary'!BC$53)+('Equipment List &amp; Usage'!$Q52*('Weekly Summary'!BC$52+'Weekly Summary'!BC$53))+('Equipment List &amp; Usage'!$R52*'Weekly Summary'!BC$64)+('Equipment List &amp; Usage'!$S52*'Weekly Summary'!BC$65)+('Equipment List &amp; Usage'!$T52*('Weekly Summary'!BC$64+'Weekly Summary'!BC$65))-SUM($I50:BH50))),0)</f>
        <v>0</v>
      </c>
      <c r="BJ50" s="1382">
        <f ca="1">MAX(IF($F50="No",('Equipment List &amp; Usage'!$O52*'Weekly Summary'!BD$52)+('Equipment List &amp; Usage'!$P52*'Weekly Summary'!BD$53)+('Equipment List &amp; Usage'!$Q52*('Weekly Summary'!BD$52+'Weekly Summary'!BD$53))+('Equipment List &amp; Usage'!$R52*'Weekly Summary'!BD$64)+('Equipment List &amp; Usage'!$S52*'Weekly Summary'!BD$65)+('Equipment List &amp; Usage'!$T52*('Weekly Summary'!BD$64+'Weekly Summary'!BD$65)),
IF(BJ$10=0,('Equipment List &amp; Usage'!$O52*'Weekly Summary'!BD$52)+('Equipment List &amp; Usage'!$P52*'Weekly Summary'!BD$53)+('Equipment List &amp; Usage'!$Q52*('Weekly Summary'!BD$52+'Weekly Summary'!BD$53))+('Equipment List &amp; Usage'!$R52*'Weekly Summary'!BD$64)+('Equipment List &amp; Usage'!$S52*'Weekly Summary'!BD$65)+('Equipment List &amp; Usage'!$T52*('Weekly Summary'!BD$64+'Weekly Summary'!BD$65)),
('Equipment List &amp; Usage'!$O52*'Weekly Summary'!BD$52)+('Equipment List &amp; Usage'!$P52*'Weekly Summary'!BD$53)+('Equipment List &amp; Usage'!$Q52*('Weekly Summary'!BD$52+'Weekly Summary'!BD$53))+('Equipment List &amp; Usage'!$R52*'Weekly Summary'!BD$64)+('Equipment List &amp; Usage'!$S52*'Weekly Summary'!BD$65)+('Equipment List &amp; Usage'!$T52*('Weekly Summary'!BD$64+'Weekly Summary'!BD$65))-SUM($I50:BI50))),0)</f>
        <v>0</v>
      </c>
    </row>
    <row r="51" spans="2:62" ht="92.5" customHeight="1" x14ac:dyDescent="0.35">
      <c r="B51" s="735" t="str">
        <f>'Equipment List &amp; Usage'!B53</f>
        <v>Case management - biomedical equipment</v>
      </c>
      <c r="C51" s="526" t="str">
        <f>'Equipment List &amp; Usage'!C53</f>
        <v>Monitoring</v>
      </c>
      <c r="D51" s="526" t="str">
        <f>'Equipment List &amp; Usage'!D53</f>
        <v>Patient monitor, multiparametric with ECG, with accessories</v>
      </c>
      <c r="E51" s="526" t="str">
        <f>'Equipment List &amp; Usage'!E53</f>
        <v>Each</v>
      </c>
      <c r="F51" s="526" t="str">
        <f>'Equipment List &amp; Usage'!F53</f>
        <v>Yes</v>
      </c>
      <c r="G51" s="526" t="str">
        <f>'Equipment List &amp; Usage'!G53</f>
        <v>Supplied with one of:
- CUFF ADULT M, 23-33cm
- CUFF ADULT L, 31-40cm
- CUFF CHILD, 12-19cm
- TUBING NIBP adult/child
- SENSOR SPO2, adult</v>
      </c>
      <c r="H51" s="1369">
        <f t="shared" ca="1" si="3"/>
        <v>92.146237628515948</v>
      </c>
      <c r="J51" s="1344"/>
      <c r="K51" s="1381">
        <f ca="1">IF('User Dashboard'!$H$13=1,0,MAX(IF($F51="No",('Equipment List &amp; Usage'!$O53*'Weekly Summary'!E$52)+('Equipment List &amp; Usage'!$P53*'Weekly Summary'!E$53)+('Equipment List &amp; Usage'!$Q53*('Weekly Summary'!E$52+'Weekly Summary'!E$53))+('Equipment List &amp; Usage'!$R53*'Weekly Summary'!E$64)+('Equipment List &amp; Usage'!$S53*'Weekly Summary'!E$65)+('Equipment List &amp; Usage'!$T53*('Weekly Summary'!E$64+'Weekly Summary'!E$65)),
IF(K$10=0,('Equipment List &amp; Usage'!$O53*'Weekly Summary'!E$52)+('Equipment List &amp; Usage'!$P53*'Weekly Summary'!E$53)+('Equipment List &amp; Usage'!$Q53*('Weekly Summary'!E$52+'Weekly Summary'!E$53))+('Equipment List &amp; Usage'!$R53*'Weekly Summary'!E$64)+('Equipment List &amp; Usage'!$S53*'Weekly Summary'!E$65)+('Equipment List &amp; Usage'!$T53*('Weekly Summary'!E$64+'Weekly Summary'!E$65)),
('Equipment List &amp; Usage'!$O53*'Weekly Summary'!E$52)+('Equipment List &amp; Usage'!$P53*'Weekly Summary'!E$53)+('Equipment List &amp; Usage'!$Q53*('Weekly Summary'!E$52+'Weekly Summary'!E$53))+('Equipment List &amp; Usage'!$R53*'Weekly Summary'!E$64)+('Equipment List &amp; Usage'!$S53*'Weekly Summary'!E$65)+('Equipment List &amp; Usage'!$T53*('Weekly Summary'!E$64+'Weekly Summary'!E$65))-SUM($I51:I51))),0))</f>
        <v>0.19901937208404258</v>
      </c>
      <c r="L51" s="1381">
        <f ca="1">MAX(IF($F51="No",('Equipment List &amp; Usage'!$O53*'Weekly Summary'!F$52)+('Equipment List &amp; Usage'!$P53*'Weekly Summary'!F$53)+('Equipment List &amp; Usage'!$Q53*('Weekly Summary'!F$52+'Weekly Summary'!F$53))+('Equipment List &amp; Usage'!$R53*'Weekly Summary'!F$64)+('Equipment List &amp; Usage'!$S53*'Weekly Summary'!F$65)+('Equipment List &amp; Usage'!$T53*('Weekly Summary'!F$64+'Weekly Summary'!F$65)),
IF(L$10=0,('Equipment List &amp; Usage'!$O53*'Weekly Summary'!F$52)+('Equipment List &amp; Usage'!$P53*'Weekly Summary'!F$53)+('Equipment List &amp; Usage'!$Q53*('Weekly Summary'!F$52+'Weekly Summary'!F$53))+('Equipment List &amp; Usage'!$R53*'Weekly Summary'!F$64)+('Equipment List &amp; Usage'!$S53*'Weekly Summary'!F$65)+('Equipment List &amp; Usage'!$T53*('Weekly Summary'!F$64+'Weekly Summary'!F$65)),
('Equipment List &amp; Usage'!$O53*'Weekly Summary'!F$52)+('Equipment List &amp; Usage'!$P53*'Weekly Summary'!F$53)+('Equipment List &amp; Usage'!$Q53*('Weekly Summary'!F$52+'Weekly Summary'!F$53))+('Equipment List &amp; Usage'!$R53*'Weekly Summary'!F$64)+('Equipment List &amp; Usage'!$S53*'Weekly Summary'!F$65)+('Equipment List &amp; Usage'!$T53*('Weekly Summary'!F$64+'Weekly Summary'!F$65))-SUM($I51:K51))),0)</f>
        <v>0.46210628348291222</v>
      </c>
      <c r="M51" s="1381">
        <f ca="1">MAX(IF($F51="No",('Equipment List &amp; Usage'!$O53*'Weekly Summary'!G$52)+('Equipment List &amp; Usage'!$P53*'Weekly Summary'!G$53)+('Equipment List &amp; Usage'!$Q53*('Weekly Summary'!G$52+'Weekly Summary'!G$53))+('Equipment List &amp; Usage'!$R53*'Weekly Summary'!G$64)+('Equipment List &amp; Usage'!$S53*'Weekly Summary'!G$65)+('Equipment List &amp; Usage'!$T53*('Weekly Summary'!G$64+'Weekly Summary'!G$65)),
IF(M$10=0,('Equipment List &amp; Usage'!$O53*'Weekly Summary'!G$52)+('Equipment List &amp; Usage'!$P53*'Weekly Summary'!G$53)+('Equipment List &amp; Usage'!$Q53*('Weekly Summary'!G$52+'Weekly Summary'!G$53))+('Equipment List &amp; Usage'!$R53*'Weekly Summary'!G$64)+('Equipment List &amp; Usage'!$S53*'Weekly Summary'!G$65)+('Equipment List &amp; Usage'!$T53*('Weekly Summary'!G$64+'Weekly Summary'!G$65)),
('Equipment List &amp; Usage'!$O53*'Weekly Summary'!G$52)+('Equipment List &amp; Usage'!$P53*'Weekly Summary'!G$53)+('Equipment List &amp; Usage'!$Q53*('Weekly Summary'!G$52+'Weekly Summary'!G$53))+('Equipment List &amp; Usage'!$R53*'Weekly Summary'!G$64)+('Equipment List &amp; Usage'!$S53*'Weekly Summary'!G$65)+('Equipment List &amp; Usage'!$T53*('Weekly Summary'!G$64+'Weekly Summary'!G$65))-SUM($I51:L51))),0)</f>
        <v>1.6108210134081098</v>
      </c>
      <c r="N51" s="1381">
        <f ca="1">MAX(IF($F51="No",('Equipment List &amp; Usage'!$O53*'Weekly Summary'!H$52)+('Equipment List &amp; Usage'!$P53*'Weekly Summary'!H$53)+('Equipment List &amp; Usage'!$Q53*('Weekly Summary'!H$52+'Weekly Summary'!H$53))+('Equipment List &amp; Usage'!$R53*'Weekly Summary'!H$64)+('Equipment List &amp; Usage'!$S53*'Weekly Summary'!H$65)+('Equipment List &amp; Usage'!$T53*('Weekly Summary'!H$64+'Weekly Summary'!H$65)),
IF(N$10=0,('Equipment List &amp; Usage'!$O53*'Weekly Summary'!H$52)+('Equipment List &amp; Usage'!$P53*'Weekly Summary'!H$53)+('Equipment List &amp; Usage'!$Q53*('Weekly Summary'!H$52+'Weekly Summary'!H$53))+('Equipment List &amp; Usage'!$R53*'Weekly Summary'!H$64)+('Equipment List &amp; Usage'!$S53*'Weekly Summary'!H$65)+('Equipment List &amp; Usage'!$T53*('Weekly Summary'!H$64+'Weekly Summary'!H$65)),
('Equipment List &amp; Usage'!$O53*'Weekly Summary'!H$52)+('Equipment List &amp; Usage'!$P53*'Weekly Summary'!H$53)+('Equipment List &amp; Usage'!$Q53*('Weekly Summary'!H$52+'Weekly Summary'!H$53))+('Equipment List &amp; Usage'!$R53*'Weekly Summary'!H$64)+('Equipment List &amp; Usage'!$S53*'Weekly Summary'!H$65)+('Equipment List &amp; Usage'!$T53*('Weekly Summary'!H$64+'Weekly Summary'!H$65))-SUM($I51:M51))),0)</f>
        <v>5.5353400221168103</v>
      </c>
      <c r="O51" s="1381">
        <f ca="1">MAX(IF($F51="No",('Equipment List &amp; Usage'!$O53*'Weekly Summary'!I$52)+('Equipment List &amp; Usage'!$P53*'Weekly Summary'!I$53)+('Equipment List &amp; Usage'!$Q53*('Weekly Summary'!I$52+'Weekly Summary'!I$53))+('Equipment List &amp; Usage'!$R53*'Weekly Summary'!I$64)+('Equipment List &amp; Usage'!$S53*'Weekly Summary'!I$65)+('Equipment List &amp; Usage'!$T53*('Weekly Summary'!I$64+'Weekly Summary'!I$65)),
IF(O$10=0,('Equipment List &amp; Usage'!$O53*'Weekly Summary'!I$52)+('Equipment List &amp; Usage'!$P53*'Weekly Summary'!I$53)+('Equipment List &amp; Usage'!$Q53*('Weekly Summary'!I$52+'Weekly Summary'!I$53))+('Equipment List &amp; Usage'!$R53*'Weekly Summary'!I$64)+('Equipment List &amp; Usage'!$S53*'Weekly Summary'!I$65)+('Equipment List &amp; Usage'!$T53*('Weekly Summary'!I$64+'Weekly Summary'!I$65)),
('Equipment List &amp; Usage'!$O53*'Weekly Summary'!I$52)+('Equipment List &amp; Usage'!$P53*'Weekly Summary'!I$53)+('Equipment List &amp; Usage'!$Q53*('Weekly Summary'!I$52+'Weekly Summary'!I$53))+('Equipment List &amp; Usage'!$R53*'Weekly Summary'!I$64)+('Equipment List &amp; Usage'!$S53*'Weekly Summary'!I$65)+('Equipment List &amp; Usage'!$T53*('Weekly Summary'!I$64+'Weekly Summary'!I$65))-SUM($I51:N51))),0)</f>
        <v>19.018993109355261</v>
      </c>
      <c r="P51" s="1381">
        <f ca="1">MAX(IF($F51="No",('Equipment List &amp; Usage'!$O53*'Weekly Summary'!J$52)+('Equipment List &amp; Usage'!$P53*'Weekly Summary'!J$53)+('Equipment List &amp; Usage'!$Q53*('Weekly Summary'!J$52+'Weekly Summary'!J$53))+('Equipment List &amp; Usage'!$R53*'Weekly Summary'!J$64)+('Equipment List &amp; Usage'!$S53*'Weekly Summary'!J$65)+('Equipment List &amp; Usage'!$T53*('Weekly Summary'!J$64+'Weekly Summary'!J$65)),
IF(P$10=0,('Equipment List &amp; Usage'!$O53*'Weekly Summary'!J$52)+('Equipment List &amp; Usage'!$P53*'Weekly Summary'!J$53)+('Equipment List &amp; Usage'!$Q53*('Weekly Summary'!J$52+'Weekly Summary'!J$53))+('Equipment List &amp; Usage'!$R53*'Weekly Summary'!J$64)+('Equipment List &amp; Usage'!$S53*'Weekly Summary'!J$65)+('Equipment List &amp; Usage'!$T53*('Weekly Summary'!J$64+'Weekly Summary'!J$65)),
('Equipment List &amp; Usage'!$O53*'Weekly Summary'!J$52)+('Equipment List &amp; Usage'!$P53*'Weekly Summary'!J$53)+('Equipment List &amp; Usage'!$Q53*('Weekly Summary'!J$52+'Weekly Summary'!J$53))+('Equipment List &amp; Usage'!$R53*'Weekly Summary'!J$64)+('Equipment List &amp; Usage'!$S53*'Weekly Summary'!J$65)+('Equipment List &amp; Usage'!$T53*('Weekly Summary'!J$64+'Weekly Summary'!J$65))-SUM($I51:O51))),0)</f>
        <v>65.319957828068809</v>
      </c>
      <c r="Q51" s="1381">
        <f ca="1">MAX(IF($F51="No",('Equipment List &amp; Usage'!$O53*'Weekly Summary'!K$52)+('Equipment List &amp; Usage'!$P53*'Weekly Summary'!K$53)+('Equipment List &amp; Usage'!$Q53*('Weekly Summary'!K$52+'Weekly Summary'!K$53))+('Equipment List &amp; Usage'!$R53*'Weekly Summary'!K$64)+('Equipment List &amp; Usage'!$S53*'Weekly Summary'!K$65)+('Equipment List &amp; Usage'!$T53*('Weekly Summary'!K$64+'Weekly Summary'!K$65)),
IF(Q$10=0,('Equipment List &amp; Usage'!$O53*'Weekly Summary'!K$52)+('Equipment List &amp; Usage'!$P53*'Weekly Summary'!K$53)+('Equipment List &amp; Usage'!$Q53*('Weekly Summary'!K$52+'Weekly Summary'!K$53))+('Equipment List &amp; Usage'!$R53*'Weekly Summary'!K$64)+('Equipment List &amp; Usage'!$S53*'Weekly Summary'!K$65)+('Equipment List &amp; Usage'!$T53*('Weekly Summary'!K$64+'Weekly Summary'!K$65)),
('Equipment List &amp; Usage'!$O53*'Weekly Summary'!K$52)+('Equipment List &amp; Usage'!$P53*'Weekly Summary'!K$53)+('Equipment List &amp; Usage'!$Q53*('Weekly Summary'!K$52+'Weekly Summary'!K$53))+('Equipment List &amp; Usage'!$R53*'Weekly Summary'!K$64)+('Equipment List &amp; Usage'!$S53*'Weekly Summary'!K$65)+('Equipment List &amp; Usage'!$T53*('Weekly Summary'!K$64+'Weekly Summary'!K$65))-SUM($I51:P51))),0)</f>
        <v>0</v>
      </c>
      <c r="R51" s="1381">
        <f ca="1">MAX(IF($F51="No",('Equipment List &amp; Usage'!$O53*'Weekly Summary'!L$52)+('Equipment List &amp; Usage'!$P53*'Weekly Summary'!L$53)+('Equipment List &amp; Usage'!$Q53*('Weekly Summary'!L$52+'Weekly Summary'!L$53))+('Equipment List &amp; Usage'!$R53*'Weekly Summary'!L$64)+('Equipment List &amp; Usage'!$S53*'Weekly Summary'!L$65)+('Equipment List &amp; Usage'!$T53*('Weekly Summary'!L$64+'Weekly Summary'!L$65)),
IF(R$10=0,('Equipment List &amp; Usage'!$O53*'Weekly Summary'!L$52)+('Equipment List &amp; Usage'!$P53*'Weekly Summary'!L$53)+('Equipment List &amp; Usage'!$Q53*('Weekly Summary'!L$52+'Weekly Summary'!L$53))+('Equipment List &amp; Usage'!$R53*'Weekly Summary'!L$64)+('Equipment List &amp; Usage'!$S53*'Weekly Summary'!L$65)+('Equipment List &amp; Usage'!$T53*('Weekly Summary'!L$64+'Weekly Summary'!L$65)),
('Equipment List &amp; Usage'!$O53*'Weekly Summary'!L$52)+('Equipment List &amp; Usage'!$P53*'Weekly Summary'!L$53)+('Equipment List &amp; Usage'!$Q53*('Weekly Summary'!L$52+'Weekly Summary'!L$53))+('Equipment List &amp; Usage'!$R53*'Weekly Summary'!L$64)+('Equipment List &amp; Usage'!$S53*'Weekly Summary'!L$65)+('Equipment List &amp; Usage'!$T53*('Weekly Summary'!L$64+'Weekly Summary'!L$65))-SUM($I51:Q51))),0)</f>
        <v>0</v>
      </c>
      <c r="S51" s="1381">
        <f ca="1">MAX(IF($F51="No",('Equipment List &amp; Usage'!$O53*'Weekly Summary'!M$52)+('Equipment List &amp; Usage'!$P53*'Weekly Summary'!M$53)+('Equipment List &amp; Usage'!$Q53*('Weekly Summary'!M$52+'Weekly Summary'!M$53))+('Equipment List &amp; Usage'!$R53*'Weekly Summary'!M$64)+('Equipment List &amp; Usage'!$S53*'Weekly Summary'!M$65)+('Equipment List &amp; Usage'!$T53*('Weekly Summary'!M$64+'Weekly Summary'!M$65)),
IF(S$10=0,('Equipment List &amp; Usage'!$O53*'Weekly Summary'!M$52)+('Equipment List &amp; Usage'!$P53*'Weekly Summary'!M$53)+('Equipment List &amp; Usage'!$Q53*('Weekly Summary'!M$52+'Weekly Summary'!M$53))+('Equipment List &amp; Usage'!$R53*'Weekly Summary'!M$64)+('Equipment List &amp; Usage'!$S53*'Weekly Summary'!M$65)+('Equipment List &amp; Usage'!$T53*('Weekly Summary'!M$64+'Weekly Summary'!M$65)),
('Equipment List &amp; Usage'!$O53*'Weekly Summary'!M$52)+('Equipment List &amp; Usage'!$P53*'Weekly Summary'!M$53)+('Equipment List &amp; Usage'!$Q53*('Weekly Summary'!M$52+'Weekly Summary'!M$53))+('Equipment List &amp; Usage'!$R53*'Weekly Summary'!M$64)+('Equipment List &amp; Usage'!$S53*'Weekly Summary'!M$65)+('Equipment List &amp; Usage'!$T53*('Weekly Summary'!M$64+'Weekly Summary'!M$65))-SUM($I51:R51))),0)</f>
        <v>0</v>
      </c>
      <c r="T51" s="1381">
        <f ca="1">MAX(IF($F51="No",('Equipment List &amp; Usage'!$O53*'Weekly Summary'!N$52)+('Equipment List &amp; Usage'!$P53*'Weekly Summary'!N$53)+('Equipment List &amp; Usage'!$Q53*('Weekly Summary'!N$52+'Weekly Summary'!N$53))+('Equipment List &amp; Usage'!$R53*'Weekly Summary'!N$64)+('Equipment List &amp; Usage'!$S53*'Weekly Summary'!N$65)+('Equipment List &amp; Usage'!$T53*('Weekly Summary'!N$64+'Weekly Summary'!N$65)),
IF(T$10=0,('Equipment List &amp; Usage'!$O53*'Weekly Summary'!N$52)+('Equipment List &amp; Usage'!$P53*'Weekly Summary'!N$53)+('Equipment List &amp; Usage'!$Q53*('Weekly Summary'!N$52+'Weekly Summary'!N$53))+('Equipment List &amp; Usage'!$R53*'Weekly Summary'!N$64)+('Equipment List &amp; Usage'!$S53*'Weekly Summary'!N$65)+('Equipment List &amp; Usage'!$T53*('Weekly Summary'!N$64+'Weekly Summary'!N$65)),
('Equipment List &amp; Usage'!$O53*'Weekly Summary'!N$52)+('Equipment List &amp; Usage'!$P53*'Weekly Summary'!N$53)+('Equipment List &amp; Usage'!$Q53*('Weekly Summary'!N$52+'Weekly Summary'!N$53))+('Equipment List &amp; Usage'!$R53*'Weekly Summary'!N$64)+('Equipment List &amp; Usage'!$S53*'Weekly Summary'!N$65)+('Equipment List &amp; Usage'!$T53*('Weekly Summary'!N$64+'Weekly Summary'!N$65))-SUM($I51:S51))),0)</f>
        <v>0</v>
      </c>
      <c r="U51" s="1381">
        <f ca="1">MAX(IF($F51="No",('Equipment List &amp; Usage'!$O53*'Weekly Summary'!O$52)+('Equipment List &amp; Usage'!$P53*'Weekly Summary'!O$53)+('Equipment List &amp; Usage'!$Q53*('Weekly Summary'!O$52+'Weekly Summary'!O$53))+('Equipment List &amp; Usage'!$R53*'Weekly Summary'!O$64)+('Equipment List &amp; Usage'!$S53*'Weekly Summary'!O$65)+('Equipment List &amp; Usage'!$T53*('Weekly Summary'!O$64+'Weekly Summary'!O$65)),
IF(U$10=0,('Equipment List &amp; Usage'!$O53*'Weekly Summary'!O$52)+('Equipment List &amp; Usage'!$P53*'Weekly Summary'!O$53)+('Equipment List &amp; Usage'!$Q53*('Weekly Summary'!O$52+'Weekly Summary'!O$53))+('Equipment List &amp; Usage'!$R53*'Weekly Summary'!O$64)+('Equipment List &amp; Usage'!$S53*'Weekly Summary'!O$65)+('Equipment List &amp; Usage'!$T53*('Weekly Summary'!O$64+'Weekly Summary'!O$65)),
('Equipment List &amp; Usage'!$O53*'Weekly Summary'!O$52)+('Equipment List &amp; Usage'!$P53*'Weekly Summary'!O$53)+('Equipment List &amp; Usage'!$Q53*('Weekly Summary'!O$52+'Weekly Summary'!O$53))+('Equipment List &amp; Usage'!$R53*'Weekly Summary'!O$64)+('Equipment List &amp; Usage'!$S53*'Weekly Summary'!O$65)+('Equipment List &amp; Usage'!$T53*('Weekly Summary'!O$64+'Weekly Summary'!O$65))-SUM($I51:T51))),0)</f>
        <v>0</v>
      </c>
      <c r="V51" s="1381">
        <f ca="1">MAX(IF($F51="No",('Equipment List &amp; Usage'!$O53*'Weekly Summary'!P$52)+('Equipment List &amp; Usage'!$P53*'Weekly Summary'!P$53)+('Equipment List &amp; Usage'!$Q53*('Weekly Summary'!P$52+'Weekly Summary'!P$53))+('Equipment List &amp; Usage'!$R53*'Weekly Summary'!P$64)+('Equipment List &amp; Usage'!$S53*'Weekly Summary'!P$65)+('Equipment List &amp; Usage'!$T53*('Weekly Summary'!P$64+'Weekly Summary'!P$65)),
IF(V$10=0,('Equipment List &amp; Usage'!$O53*'Weekly Summary'!P$52)+('Equipment List &amp; Usage'!$P53*'Weekly Summary'!P$53)+('Equipment List &amp; Usage'!$Q53*('Weekly Summary'!P$52+'Weekly Summary'!P$53))+('Equipment List &amp; Usage'!$R53*'Weekly Summary'!P$64)+('Equipment List &amp; Usage'!$S53*'Weekly Summary'!P$65)+('Equipment List &amp; Usage'!$T53*('Weekly Summary'!P$64+'Weekly Summary'!P$65)),
('Equipment List &amp; Usage'!$O53*'Weekly Summary'!P$52)+('Equipment List &amp; Usage'!$P53*'Weekly Summary'!P$53)+('Equipment List &amp; Usage'!$Q53*('Weekly Summary'!P$52+'Weekly Summary'!P$53))+('Equipment List &amp; Usage'!$R53*'Weekly Summary'!P$64)+('Equipment List &amp; Usage'!$S53*'Weekly Summary'!P$65)+('Equipment List &amp; Usage'!$T53*('Weekly Summary'!P$64+'Weekly Summary'!P$65))-SUM($I51:U51))),0)</f>
        <v>0</v>
      </c>
      <c r="W51" s="1381">
        <f ca="1">MAX(IF($F51="No",('Equipment List &amp; Usage'!$O53*'Weekly Summary'!Q$52)+('Equipment List &amp; Usage'!$P53*'Weekly Summary'!Q$53)+('Equipment List &amp; Usage'!$Q53*('Weekly Summary'!Q$52+'Weekly Summary'!Q$53))+('Equipment List &amp; Usage'!$R53*'Weekly Summary'!Q$64)+('Equipment List &amp; Usage'!$S53*'Weekly Summary'!Q$65)+('Equipment List &amp; Usage'!$T53*('Weekly Summary'!Q$64+'Weekly Summary'!Q$65)),
IF(W$10=0,('Equipment List &amp; Usage'!$O53*'Weekly Summary'!Q$52)+('Equipment List &amp; Usage'!$P53*'Weekly Summary'!Q$53)+('Equipment List &amp; Usage'!$Q53*('Weekly Summary'!Q$52+'Weekly Summary'!Q$53))+('Equipment List &amp; Usage'!$R53*'Weekly Summary'!Q$64)+('Equipment List &amp; Usage'!$S53*'Weekly Summary'!Q$65)+('Equipment List &amp; Usage'!$T53*('Weekly Summary'!Q$64+'Weekly Summary'!Q$65)),
('Equipment List &amp; Usage'!$O53*'Weekly Summary'!Q$52)+('Equipment List &amp; Usage'!$P53*'Weekly Summary'!Q$53)+('Equipment List &amp; Usage'!$Q53*('Weekly Summary'!Q$52+'Weekly Summary'!Q$53))+('Equipment List &amp; Usage'!$R53*'Weekly Summary'!Q$64)+('Equipment List &amp; Usage'!$S53*'Weekly Summary'!Q$65)+('Equipment List &amp; Usage'!$T53*('Weekly Summary'!Q$64+'Weekly Summary'!Q$65))-SUM($I51:V51))),0)</f>
        <v>0</v>
      </c>
      <c r="X51" s="1381">
        <f ca="1">MAX(IF($F51="No",('Equipment List &amp; Usage'!$O53*'Weekly Summary'!R$52)+('Equipment List &amp; Usage'!$P53*'Weekly Summary'!R$53)+('Equipment List &amp; Usage'!$Q53*('Weekly Summary'!R$52+'Weekly Summary'!R$53))+('Equipment List &amp; Usage'!$R53*'Weekly Summary'!R$64)+('Equipment List &amp; Usage'!$S53*'Weekly Summary'!R$65)+('Equipment List &amp; Usage'!$T53*('Weekly Summary'!R$64+'Weekly Summary'!R$65)),
IF(X$10=0,('Equipment List &amp; Usage'!$O53*'Weekly Summary'!R$52)+('Equipment List &amp; Usage'!$P53*'Weekly Summary'!R$53)+('Equipment List &amp; Usage'!$Q53*('Weekly Summary'!R$52+'Weekly Summary'!R$53))+('Equipment List &amp; Usage'!$R53*'Weekly Summary'!R$64)+('Equipment List &amp; Usage'!$S53*'Weekly Summary'!R$65)+('Equipment List &amp; Usage'!$T53*('Weekly Summary'!R$64+'Weekly Summary'!R$65)),
('Equipment List &amp; Usage'!$O53*'Weekly Summary'!R$52)+('Equipment List &amp; Usage'!$P53*'Weekly Summary'!R$53)+('Equipment List &amp; Usage'!$Q53*('Weekly Summary'!R$52+'Weekly Summary'!R$53))+('Equipment List &amp; Usage'!$R53*'Weekly Summary'!R$64)+('Equipment List &amp; Usage'!$S53*'Weekly Summary'!R$65)+('Equipment List &amp; Usage'!$T53*('Weekly Summary'!R$64+'Weekly Summary'!R$65))-SUM($I51:W51))),0)</f>
        <v>0</v>
      </c>
      <c r="Y51" s="1381">
        <f ca="1">MAX(IF($F51="No",('Equipment List &amp; Usage'!$O53*'Weekly Summary'!S$52)+('Equipment List &amp; Usage'!$P53*'Weekly Summary'!S$53)+('Equipment List &amp; Usage'!$Q53*('Weekly Summary'!S$52+'Weekly Summary'!S$53))+('Equipment List &amp; Usage'!$R53*'Weekly Summary'!S$64)+('Equipment List &amp; Usage'!$S53*'Weekly Summary'!S$65)+('Equipment List &amp; Usage'!$T53*('Weekly Summary'!S$64+'Weekly Summary'!S$65)),
IF(Y$10=0,('Equipment List &amp; Usage'!$O53*'Weekly Summary'!S$52)+('Equipment List &amp; Usage'!$P53*'Weekly Summary'!S$53)+('Equipment List &amp; Usage'!$Q53*('Weekly Summary'!S$52+'Weekly Summary'!S$53))+('Equipment List &amp; Usage'!$R53*'Weekly Summary'!S$64)+('Equipment List &amp; Usage'!$S53*'Weekly Summary'!S$65)+('Equipment List &amp; Usage'!$T53*('Weekly Summary'!S$64+'Weekly Summary'!S$65)),
('Equipment List &amp; Usage'!$O53*'Weekly Summary'!S$52)+('Equipment List &amp; Usage'!$P53*'Weekly Summary'!S$53)+('Equipment List &amp; Usage'!$Q53*('Weekly Summary'!S$52+'Weekly Summary'!S$53))+('Equipment List &amp; Usage'!$R53*'Weekly Summary'!S$64)+('Equipment List &amp; Usage'!$S53*'Weekly Summary'!S$65)+('Equipment List &amp; Usage'!$T53*('Weekly Summary'!S$64+'Weekly Summary'!S$65))-SUM($I51:X51))),0)</f>
        <v>0</v>
      </c>
      <c r="Z51" s="1381">
        <f ca="1">MAX(IF($F51="No",('Equipment List &amp; Usage'!$O53*'Weekly Summary'!T$52)+('Equipment List &amp; Usage'!$P53*'Weekly Summary'!T$53)+('Equipment List &amp; Usage'!$Q53*('Weekly Summary'!T$52+'Weekly Summary'!T$53))+('Equipment List &amp; Usage'!$R53*'Weekly Summary'!T$64)+('Equipment List &amp; Usage'!$S53*'Weekly Summary'!T$65)+('Equipment List &amp; Usage'!$T53*('Weekly Summary'!T$64+'Weekly Summary'!T$65)),
IF(Z$10=0,('Equipment List &amp; Usage'!$O53*'Weekly Summary'!T$52)+('Equipment List &amp; Usage'!$P53*'Weekly Summary'!T$53)+('Equipment List &amp; Usage'!$Q53*('Weekly Summary'!T$52+'Weekly Summary'!T$53))+('Equipment List &amp; Usage'!$R53*'Weekly Summary'!T$64)+('Equipment List &amp; Usage'!$S53*'Weekly Summary'!T$65)+('Equipment List &amp; Usage'!$T53*('Weekly Summary'!T$64+'Weekly Summary'!T$65)),
('Equipment List &amp; Usage'!$O53*'Weekly Summary'!T$52)+('Equipment List &amp; Usage'!$P53*'Weekly Summary'!T$53)+('Equipment List &amp; Usage'!$Q53*('Weekly Summary'!T$52+'Weekly Summary'!T$53))+('Equipment List &amp; Usage'!$R53*'Weekly Summary'!T$64)+('Equipment List &amp; Usage'!$S53*'Weekly Summary'!T$65)+('Equipment List &amp; Usage'!$T53*('Weekly Summary'!T$64+'Weekly Summary'!T$65))-SUM($I51:Y51))),0)</f>
        <v>0</v>
      </c>
      <c r="AA51" s="1381">
        <f ca="1">MAX(IF($F51="No",('Equipment List &amp; Usage'!$O53*'Weekly Summary'!U$52)+('Equipment List &amp; Usage'!$P53*'Weekly Summary'!U$53)+('Equipment List &amp; Usage'!$Q53*('Weekly Summary'!U$52+'Weekly Summary'!U$53))+('Equipment List &amp; Usage'!$R53*'Weekly Summary'!U$64)+('Equipment List &amp; Usage'!$S53*'Weekly Summary'!U$65)+('Equipment List &amp; Usage'!$T53*('Weekly Summary'!U$64+'Weekly Summary'!U$65)),
IF(AA$10=0,('Equipment List &amp; Usage'!$O53*'Weekly Summary'!U$52)+('Equipment List &amp; Usage'!$P53*'Weekly Summary'!U$53)+('Equipment List &amp; Usage'!$Q53*('Weekly Summary'!U$52+'Weekly Summary'!U$53))+('Equipment List &amp; Usage'!$R53*'Weekly Summary'!U$64)+('Equipment List &amp; Usage'!$S53*'Weekly Summary'!U$65)+('Equipment List &amp; Usage'!$T53*('Weekly Summary'!U$64+'Weekly Summary'!U$65)),
('Equipment List &amp; Usage'!$O53*'Weekly Summary'!U$52)+('Equipment List &amp; Usage'!$P53*'Weekly Summary'!U$53)+('Equipment List &amp; Usage'!$Q53*('Weekly Summary'!U$52+'Weekly Summary'!U$53))+('Equipment List &amp; Usage'!$R53*'Weekly Summary'!U$64)+('Equipment List &amp; Usage'!$S53*'Weekly Summary'!U$65)+('Equipment List &amp; Usage'!$T53*('Weekly Summary'!U$64+'Weekly Summary'!U$65))-SUM($I51:Z51))),0)</f>
        <v>0</v>
      </c>
      <c r="AB51" s="1381">
        <f ca="1">MAX(IF($F51="No",('Equipment List &amp; Usage'!$O53*'Weekly Summary'!V$52)+('Equipment List &amp; Usage'!$P53*'Weekly Summary'!V$53)+('Equipment List &amp; Usage'!$Q53*('Weekly Summary'!V$52+'Weekly Summary'!V$53))+('Equipment List &amp; Usage'!$R53*'Weekly Summary'!V$64)+('Equipment List &amp; Usage'!$S53*'Weekly Summary'!V$65)+('Equipment List &amp; Usage'!$T53*('Weekly Summary'!V$64+'Weekly Summary'!V$65)),
IF(AB$10=0,('Equipment List &amp; Usage'!$O53*'Weekly Summary'!V$52)+('Equipment List &amp; Usage'!$P53*'Weekly Summary'!V$53)+('Equipment List &amp; Usage'!$Q53*('Weekly Summary'!V$52+'Weekly Summary'!V$53))+('Equipment List &amp; Usage'!$R53*'Weekly Summary'!V$64)+('Equipment List &amp; Usage'!$S53*'Weekly Summary'!V$65)+('Equipment List &amp; Usage'!$T53*('Weekly Summary'!V$64+'Weekly Summary'!V$65)),
('Equipment List &amp; Usage'!$O53*'Weekly Summary'!V$52)+('Equipment List &amp; Usage'!$P53*'Weekly Summary'!V$53)+('Equipment List &amp; Usage'!$Q53*('Weekly Summary'!V$52+'Weekly Summary'!V$53))+('Equipment List &amp; Usage'!$R53*'Weekly Summary'!V$64)+('Equipment List &amp; Usage'!$S53*'Weekly Summary'!V$65)+('Equipment List &amp; Usage'!$T53*('Weekly Summary'!V$64+'Weekly Summary'!V$65))-SUM($I51:AA51))),0)</f>
        <v>0</v>
      </c>
      <c r="AC51" s="1381">
        <f ca="1">MAX(IF($F51="No",('Equipment List &amp; Usage'!$O53*'Weekly Summary'!W$52)+('Equipment List &amp; Usage'!$P53*'Weekly Summary'!W$53)+('Equipment List &amp; Usage'!$Q53*('Weekly Summary'!W$52+'Weekly Summary'!W$53))+('Equipment List &amp; Usage'!$R53*'Weekly Summary'!W$64)+('Equipment List &amp; Usage'!$S53*'Weekly Summary'!W$65)+('Equipment List &amp; Usage'!$T53*('Weekly Summary'!W$64+'Weekly Summary'!W$65)),
IF(AC$10=0,('Equipment List &amp; Usage'!$O53*'Weekly Summary'!W$52)+('Equipment List &amp; Usage'!$P53*'Weekly Summary'!W$53)+('Equipment List &amp; Usage'!$Q53*('Weekly Summary'!W$52+'Weekly Summary'!W$53))+('Equipment List &amp; Usage'!$R53*'Weekly Summary'!W$64)+('Equipment List &amp; Usage'!$S53*'Weekly Summary'!W$65)+('Equipment List &amp; Usage'!$T53*('Weekly Summary'!W$64+'Weekly Summary'!W$65)),
('Equipment List &amp; Usage'!$O53*'Weekly Summary'!W$52)+('Equipment List &amp; Usage'!$P53*'Weekly Summary'!W$53)+('Equipment List &amp; Usage'!$Q53*('Weekly Summary'!W$52+'Weekly Summary'!W$53))+('Equipment List &amp; Usage'!$R53*'Weekly Summary'!W$64)+('Equipment List &amp; Usage'!$S53*'Weekly Summary'!W$65)+('Equipment List &amp; Usage'!$T53*('Weekly Summary'!W$64+'Weekly Summary'!W$65))-SUM($I51:AB51))),0)</f>
        <v>0</v>
      </c>
      <c r="AD51" s="1381">
        <f ca="1">MAX(IF($F51="No",('Equipment List &amp; Usage'!$O53*'Weekly Summary'!X$52)+('Equipment List &amp; Usage'!$P53*'Weekly Summary'!X$53)+('Equipment List &amp; Usage'!$Q53*('Weekly Summary'!X$52+'Weekly Summary'!X$53))+('Equipment List &amp; Usage'!$R53*'Weekly Summary'!X$64)+('Equipment List &amp; Usage'!$S53*'Weekly Summary'!X$65)+('Equipment List &amp; Usage'!$T53*('Weekly Summary'!X$64+'Weekly Summary'!X$65)),
IF(AD$10=0,('Equipment List &amp; Usage'!$O53*'Weekly Summary'!X$52)+('Equipment List &amp; Usage'!$P53*'Weekly Summary'!X$53)+('Equipment List &amp; Usage'!$Q53*('Weekly Summary'!X$52+'Weekly Summary'!X$53))+('Equipment List &amp; Usage'!$R53*'Weekly Summary'!X$64)+('Equipment List &amp; Usage'!$S53*'Weekly Summary'!X$65)+('Equipment List &amp; Usage'!$T53*('Weekly Summary'!X$64+'Weekly Summary'!X$65)),
('Equipment List &amp; Usage'!$O53*'Weekly Summary'!X$52)+('Equipment List &amp; Usage'!$P53*'Weekly Summary'!X$53)+('Equipment List &amp; Usage'!$Q53*('Weekly Summary'!X$52+'Weekly Summary'!X$53))+('Equipment List &amp; Usage'!$R53*'Weekly Summary'!X$64)+('Equipment List &amp; Usage'!$S53*'Weekly Summary'!X$65)+('Equipment List &amp; Usage'!$T53*('Weekly Summary'!X$64+'Weekly Summary'!X$65))-SUM($I51:AC51))),0)</f>
        <v>0</v>
      </c>
      <c r="AE51" s="1381">
        <f ca="1">MAX(IF($F51="No",('Equipment List &amp; Usage'!$O53*'Weekly Summary'!Y$52)+('Equipment List &amp; Usage'!$P53*'Weekly Summary'!Y$53)+('Equipment List &amp; Usage'!$Q53*('Weekly Summary'!Y$52+'Weekly Summary'!Y$53))+('Equipment List &amp; Usage'!$R53*'Weekly Summary'!Y$64)+('Equipment List &amp; Usage'!$S53*'Weekly Summary'!Y$65)+('Equipment List &amp; Usage'!$T53*('Weekly Summary'!Y$64+'Weekly Summary'!Y$65)),
IF(AE$10=0,('Equipment List &amp; Usage'!$O53*'Weekly Summary'!Y$52)+('Equipment List &amp; Usage'!$P53*'Weekly Summary'!Y$53)+('Equipment List &amp; Usage'!$Q53*('Weekly Summary'!Y$52+'Weekly Summary'!Y$53))+('Equipment List &amp; Usage'!$R53*'Weekly Summary'!Y$64)+('Equipment List &amp; Usage'!$S53*'Weekly Summary'!Y$65)+('Equipment List &amp; Usage'!$T53*('Weekly Summary'!Y$64+'Weekly Summary'!Y$65)),
('Equipment List &amp; Usage'!$O53*'Weekly Summary'!Y$52)+('Equipment List &amp; Usage'!$P53*'Weekly Summary'!Y$53)+('Equipment List &amp; Usage'!$Q53*('Weekly Summary'!Y$52+'Weekly Summary'!Y$53))+('Equipment List &amp; Usage'!$R53*'Weekly Summary'!Y$64)+('Equipment List &amp; Usage'!$S53*'Weekly Summary'!Y$65)+('Equipment List &amp; Usage'!$T53*('Weekly Summary'!Y$64+'Weekly Summary'!Y$65))-SUM($I51:AD51))),0)</f>
        <v>0</v>
      </c>
      <c r="AF51" s="1381">
        <f ca="1">MAX(IF($F51="No",('Equipment List &amp; Usage'!$O53*'Weekly Summary'!Z$52)+('Equipment List &amp; Usage'!$P53*'Weekly Summary'!Z$53)+('Equipment List &amp; Usage'!$Q53*('Weekly Summary'!Z$52+'Weekly Summary'!Z$53))+('Equipment List &amp; Usage'!$R53*'Weekly Summary'!Z$64)+('Equipment List &amp; Usage'!$S53*'Weekly Summary'!Z$65)+('Equipment List &amp; Usage'!$T53*('Weekly Summary'!Z$64+'Weekly Summary'!Z$65)),
IF(AF$10=0,('Equipment List &amp; Usage'!$O53*'Weekly Summary'!Z$52)+('Equipment List &amp; Usage'!$P53*'Weekly Summary'!Z$53)+('Equipment List &amp; Usage'!$Q53*('Weekly Summary'!Z$52+'Weekly Summary'!Z$53))+('Equipment List &amp; Usage'!$R53*'Weekly Summary'!Z$64)+('Equipment List &amp; Usage'!$S53*'Weekly Summary'!Z$65)+('Equipment List &amp; Usage'!$T53*('Weekly Summary'!Z$64+'Weekly Summary'!Z$65)),
('Equipment List &amp; Usage'!$O53*'Weekly Summary'!Z$52)+('Equipment List &amp; Usage'!$P53*'Weekly Summary'!Z$53)+('Equipment List &amp; Usage'!$Q53*('Weekly Summary'!Z$52+'Weekly Summary'!Z$53))+('Equipment List &amp; Usage'!$R53*'Weekly Summary'!Z$64)+('Equipment List &amp; Usage'!$S53*'Weekly Summary'!Z$65)+('Equipment List &amp; Usage'!$T53*('Weekly Summary'!Z$64+'Weekly Summary'!Z$65))-SUM($I51:AE51))),0)</f>
        <v>0</v>
      </c>
      <c r="AG51" s="1381">
        <f ca="1">MAX(IF($F51="No",('Equipment List &amp; Usage'!$O53*'Weekly Summary'!AA$52)+('Equipment List &amp; Usage'!$P53*'Weekly Summary'!AA$53)+('Equipment List &amp; Usage'!$Q53*('Weekly Summary'!AA$52+'Weekly Summary'!AA$53))+('Equipment List &amp; Usage'!$R53*'Weekly Summary'!AA$64)+('Equipment List &amp; Usage'!$S53*'Weekly Summary'!AA$65)+('Equipment List &amp; Usage'!$T53*('Weekly Summary'!AA$64+'Weekly Summary'!AA$65)),
IF(AG$10=0,('Equipment List &amp; Usage'!$O53*'Weekly Summary'!AA$52)+('Equipment List &amp; Usage'!$P53*'Weekly Summary'!AA$53)+('Equipment List &amp; Usage'!$Q53*('Weekly Summary'!AA$52+'Weekly Summary'!AA$53))+('Equipment List &amp; Usage'!$R53*'Weekly Summary'!AA$64)+('Equipment List &amp; Usage'!$S53*'Weekly Summary'!AA$65)+('Equipment List &amp; Usage'!$T53*('Weekly Summary'!AA$64+'Weekly Summary'!AA$65)),
('Equipment List &amp; Usage'!$O53*'Weekly Summary'!AA$52)+('Equipment List &amp; Usage'!$P53*'Weekly Summary'!AA$53)+('Equipment List &amp; Usage'!$Q53*('Weekly Summary'!AA$52+'Weekly Summary'!AA$53))+('Equipment List &amp; Usage'!$R53*'Weekly Summary'!AA$64)+('Equipment List &amp; Usage'!$S53*'Weekly Summary'!AA$65)+('Equipment List &amp; Usage'!$T53*('Weekly Summary'!AA$64+'Weekly Summary'!AA$65))-SUM($I51:AF51))),0)</f>
        <v>0</v>
      </c>
      <c r="AH51" s="1381">
        <f ca="1">MAX(IF($F51="No",('Equipment List &amp; Usage'!$O53*'Weekly Summary'!AB$52)+('Equipment List &amp; Usage'!$P53*'Weekly Summary'!AB$53)+('Equipment List &amp; Usage'!$Q53*('Weekly Summary'!AB$52+'Weekly Summary'!AB$53))+('Equipment List &amp; Usage'!$R53*'Weekly Summary'!AB$64)+('Equipment List &amp; Usage'!$S53*'Weekly Summary'!AB$65)+('Equipment List &amp; Usage'!$T53*('Weekly Summary'!AB$64+'Weekly Summary'!AB$65)),
IF(AH$10=0,('Equipment List &amp; Usage'!$O53*'Weekly Summary'!AB$52)+('Equipment List &amp; Usage'!$P53*'Weekly Summary'!AB$53)+('Equipment List &amp; Usage'!$Q53*('Weekly Summary'!AB$52+'Weekly Summary'!AB$53))+('Equipment List &amp; Usage'!$R53*'Weekly Summary'!AB$64)+('Equipment List &amp; Usage'!$S53*'Weekly Summary'!AB$65)+('Equipment List &amp; Usage'!$T53*('Weekly Summary'!AB$64+'Weekly Summary'!AB$65)),
('Equipment List &amp; Usage'!$O53*'Weekly Summary'!AB$52)+('Equipment List &amp; Usage'!$P53*'Weekly Summary'!AB$53)+('Equipment List &amp; Usage'!$Q53*('Weekly Summary'!AB$52+'Weekly Summary'!AB$53))+('Equipment List &amp; Usage'!$R53*'Weekly Summary'!AB$64)+('Equipment List &amp; Usage'!$S53*'Weekly Summary'!AB$65)+('Equipment List &amp; Usage'!$T53*('Weekly Summary'!AB$64+'Weekly Summary'!AB$65))-SUM($I51:AG51))),0)</f>
        <v>0</v>
      </c>
      <c r="AI51" s="1381">
        <f ca="1">MAX(IF($F51="No",('Equipment List &amp; Usage'!$O53*'Weekly Summary'!AC$52)+('Equipment List &amp; Usage'!$P53*'Weekly Summary'!AC$53)+('Equipment List &amp; Usage'!$Q53*('Weekly Summary'!AC$52+'Weekly Summary'!AC$53))+('Equipment List &amp; Usage'!$R53*'Weekly Summary'!AC$64)+('Equipment List &amp; Usage'!$S53*'Weekly Summary'!AC$65)+('Equipment List &amp; Usage'!$T53*('Weekly Summary'!AC$64+'Weekly Summary'!AC$65)),
IF(AI$10=0,('Equipment List &amp; Usage'!$O53*'Weekly Summary'!AC$52)+('Equipment List &amp; Usage'!$P53*'Weekly Summary'!AC$53)+('Equipment List &amp; Usage'!$Q53*('Weekly Summary'!AC$52+'Weekly Summary'!AC$53))+('Equipment List &amp; Usage'!$R53*'Weekly Summary'!AC$64)+('Equipment List &amp; Usage'!$S53*'Weekly Summary'!AC$65)+('Equipment List &amp; Usage'!$T53*('Weekly Summary'!AC$64+'Weekly Summary'!AC$65)),
('Equipment List &amp; Usage'!$O53*'Weekly Summary'!AC$52)+('Equipment List &amp; Usage'!$P53*'Weekly Summary'!AC$53)+('Equipment List &amp; Usage'!$Q53*('Weekly Summary'!AC$52+'Weekly Summary'!AC$53))+('Equipment List &amp; Usage'!$R53*'Weekly Summary'!AC$64)+('Equipment List &amp; Usage'!$S53*'Weekly Summary'!AC$65)+('Equipment List &amp; Usage'!$T53*('Weekly Summary'!AC$64+'Weekly Summary'!AC$65))-SUM($I51:AH51))),0)</f>
        <v>0</v>
      </c>
      <c r="AJ51" s="1381">
        <f ca="1">MAX(IF($F51="No",('Equipment List &amp; Usage'!$O53*'Weekly Summary'!AD$52)+('Equipment List &amp; Usage'!$P53*'Weekly Summary'!AD$53)+('Equipment List &amp; Usage'!$Q53*('Weekly Summary'!AD$52+'Weekly Summary'!AD$53))+('Equipment List &amp; Usage'!$R53*'Weekly Summary'!AD$64)+('Equipment List &amp; Usage'!$S53*'Weekly Summary'!AD$65)+('Equipment List &amp; Usage'!$T53*('Weekly Summary'!AD$64+'Weekly Summary'!AD$65)),
IF(AJ$10=0,('Equipment List &amp; Usage'!$O53*'Weekly Summary'!AD$52)+('Equipment List &amp; Usage'!$P53*'Weekly Summary'!AD$53)+('Equipment List &amp; Usage'!$Q53*('Weekly Summary'!AD$52+'Weekly Summary'!AD$53))+('Equipment List &amp; Usage'!$R53*'Weekly Summary'!AD$64)+('Equipment List &amp; Usage'!$S53*'Weekly Summary'!AD$65)+('Equipment List &amp; Usage'!$T53*('Weekly Summary'!AD$64+'Weekly Summary'!AD$65)),
('Equipment List &amp; Usage'!$O53*'Weekly Summary'!AD$52)+('Equipment List &amp; Usage'!$P53*'Weekly Summary'!AD$53)+('Equipment List &amp; Usage'!$Q53*('Weekly Summary'!AD$52+'Weekly Summary'!AD$53))+('Equipment List &amp; Usage'!$R53*'Weekly Summary'!AD$64)+('Equipment List &amp; Usage'!$S53*'Weekly Summary'!AD$65)+('Equipment List &amp; Usage'!$T53*('Weekly Summary'!AD$64+'Weekly Summary'!AD$65))-SUM($I51:AI51))),0)</f>
        <v>0</v>
      </c>
      <c r="AK51" s="1381">
        <f ca="1">MAX(IF($F51="No",('Equipment List &amp; Usage'!$O53*'Weekly Summary'!AE$52)+('Equipment List &amp; Usage'!$P53*'Weekly Summary'!AE$53)+('Equipment List &amp; Usage'!$Q53*('Weekly Summary'!AE$52+'Weekly Summary'!AE$53))+('Equipment List &amp; Usage'!$R53*'Weekly Summary'!AE$64)+('Equipment List &amp; Usage'!$S53*'Weekly Summary'!AE$65)+('Equipment List &amp; Usage'!$T53*('Weekly Summary'!AE$64+'Weekly Summary'!AE$65)),
IF(AK$10=0,('Equipment List &amp; Usage'!$O53*'Weekly Summary'!AE$52)+('Equipment List &amp; Usage'!$P53*'Weekly Summary'!AE$53)+('Equipment List &amp; Usage'!$Q53*('Weekly Summary'!AE$52+'Weekly Summary'!AE$53))+('Equipment List &amp; Usage'!$R53*'Weekly Summary'!AE$64)+('Equipment List &amp; Usage'!$S53*'Weekly Summary'!AE$65)+('Equipment List &amp; Usage'!$T53*('Weekly Summary'!AE$64+'Weekly Summary'!AE$65)),
('Equipment List &amp; Usage'!$O53*'Weekly Summary'!AE$52)+('Equipment List &amp; Usage'!$P53*'Weekly Summary'!AE$53)+('Equipment List &amp; Usage'!$Q53*('Weekly Summary'!AE$52+'Weekly Summary'!AE$53))+('Equipment List &amp; Usage'!$R53*'Weekly Summary'!AE$64)+('Equipment List &amp; Usage'!$S53*'Weekly Summary'!AE$65)+('Equipment List &amp; Usage'!$T53*('Weekly Summary'!AE$64+'Weekly Summary'!AE$65))-SUM($I51:AJ51))),0)</f>
        <v>0</v>
      </c>
      <c r="AL51" s="1381">
        <f ca="1">MAX(IF($F51="No",('Equipment List &amp; Usage'!$O53*'Weekly Summary'!AF$52)+('Equipment List &amp; Usage'!$P53*'Weekly Summary'!AF$53)+('Equipment List &amp; Usage'!$Q53*('Weekly Summary'!AF$52+'Weekly Summary'!AF$53))+('Equipment List &amp; Usage'!$R53*'Weekly Summary'!AF$64)+('Equipment List &amp; Usage'!$S53*'Weekly Summary'!AF$65)+('Equipment List &amp; Usage'!$T53*('Weekly Summary'!AF$64+'Weekly Summary'!AF$65)),
IF(AL$10=0,('Equipment List &amp; Usage'!$O53*'Weekly Summary'!AF$52)+('Equipment List &amp; Usage'!$P53*'Weekly Summary'!AF$53)+('Equipment List &amp; Usage'!$Q53*('Weekly Summary'!AF$52+'Weekly Summary'!AF$53))+('Equipment List &amp; Usage'!$R53*'Weekly Summary'!AF$64)+('Equipment List &amp; Usage'!$S53*'Weekly Summary'!AF$65)+('Equipment List &amp; Usage'!$T53*('Weekly Summary'!AF$64+'Weekly Summary'!AF$65)),
('Equipment List &amp; Usage'!$O53*'Weekly Summary'!AF$52)+('Equipment List &amp; Usage'!$P53*'Weekly Summary'!AF$53)+('Equipment List &amp; Usage'!$Q53*('Weekly Summary'!AF$52+'Weekly Summary'!AF$53))+('Equipment List &amp; Usage'!$R53*'Weekly Summary'!AF$64)+('Equipment List &amp; Usage'!$S53*'Weekly Summary'!AF$65)+('Equipment List &amp; Usage'!$T53*('Weekly Summary'!AF$64+'Weekly Summary'!AF$65))-SUM($I51:AK51))),0)</f>
        <v>0</v>
      </c>
      <c r="AM51" s="1381">
        <f ca="1">MAX(IF($F51="No",('Equipment List &amp; Usage'!$O53*'Weekly Summary'!AG$52)+('Equipment List &amp; Usage'!$P53*'Weekly Summary'!AG$53)+('Equipment List &amp; Usage'!$Q53*('Weekly Summary'!AG$52+'Weekly Summary'!AG$53))+('Equipment List &amp; Usage'!$R53*'Weekly Summary'!AG$64)+('Equipment List &amp; Usage'!$S53*'Weekly Summary'!AG$65)+('Equipment List &amp; Usage'!$T53*('Weekly Summary'!AG$64+'Weekly Summary'!AG$65)),
IF(AM$10=0,('Equipment List &amp; Usage'!$O53*'Weekly Summary'!AG$52)+('Equipment List &amp; Usage'!$P53*'Weekly Summary'!AG$53)+('Equipment List &amp; Usage'!$Q53*('Weekly Summary'!AG$52+'Weekly Summary'!AG$53))+('Equipment List &amp; Usage'!$R53*'Weekly Summary'!AG$64)+('Equipment List &amp; Usage'!$S53*'Weekly Summary'!AG$65)+('Equipment List &amp; Usage'!$T53*('Weekly Summary'!AG$64+'Weekly Summary'!AG$65)),
('Equipment List &amp; Usage'!$O53*'Weekly Summary'!AG$52)+('Equipment List &amp; Usage'!$P53*'Weekly Summary'!AG$53)+('Equipment List &amp; Usage'!$Q53*('Weekly Summary'!AG$52+'Weekly Summary'!AG$53))+('Equipment List &amp; Usage'!$R53*'Weekly Summary'!AG$64)+('Equipment List &amp; Usage'!$S53*'Weekly Summary'!AG$65)+('Equipment List &amp; Usage'!$T53*('Weekly Summary'!AG$64+'Weekly Summary'!AG$65))-SUM($I51:AL51))),0)</f>
        <v>0</v>
      </c>
      <c r="AN51" s="1381">
        <f ca="1">MAX(IF($F51="No",('Equipment List &amp; Usage'!$O53*'Weekly Summary'!AH$52)+('Equipment List &amp; Usage'!$P53*'Weekly Summary'!AH$53)+('Equipment List &amp; Usage'!$Q53*('Weekly Summary'!AH$52+'Weekly Summary'!AH$53))+('Equipment List &amp; Usage'!$R53*'Weekly Summary'!AH$64)+('Equipment List &amp; Usage'!$S53*'Weekly Summary'!AH$65)+('Equipment List &amp; Usage'!$T53*('Weekly Summary'!AH$64+'Weekly Summary'!AH$65)),
IF(AN$10=0,('Equipment List &amp; Usage'!$O53*'Weekly Summary'!AH$52)+('Equipment List &amp; Usage'!$P53*'Weekly Summary'!AH$53)+('Equipment List &amp; Usage'!$Q53*('Weekly Summary'!AH$52+'Weekly Summary'!AH$53))+('Equipment List &amp; Usage'!$R53*'Weekly Summary'!AH$64)+('Equipment List &amp; Usage'!$S53*'Weekly Summary'!AH$65)+('Equipment List &amp; Usage'!$T53*('Weekly Summary'!AH$64+'Weekly Summary'!AH$65)),
('Equipment List &amp; Usage'!$O53*'Weekly Summary'!AH$52)+('Equipment List &amp; Usage'!$P53*'Weekly Summary'!AH$53)+('Equipment List &amp; Usage'!$Q53*('Weekly Summary'!AH$52+'Weekly Summary'!AH$53))+('Equipment List &amp; Usage'!$R53*'Weekly Summary'!AH$64)+('Equipment List &amp; Usage'!$S53*'Weekly Summary'!AH$65)+('Equipment List &amp; Usage'!$T53*('Weekly Summary'!AH$64+'Weekly Summary'!AH$65))-SUM($I51:AM51))),0)</f>
        <v>0</v>
      </c>
      <c r="AO51" s="1381">
        <f ca="1">MAX(IF($F51="No",('Equipment List &amp; Usage'!$O53*'Weekly Summary'!AI$52)+('Equipment List &amp; Usage'!$P53*'Weekly Summary'!AI$53)+('Equipment List &amp; Usage'!$Q53*('Weekly Summary'!AI$52+'Weekly Summary'!AI$53))+('Equipment List &amp; Usage'!$R53*'Weekly Summary'!AI$64)+('Equipment List &amp; Usage'!$S53*'Weekly Summary'!AI$65)+('Equipment List &amp; Usage'!$T53*('Weekly Summary'!AI$64+'Weekly Summary'!AI$65)),
IF(AO$10=0,('Equipment List &amp; Usage'!$O53*'Weekly Summary'!AI$52)+('Equipment List &amp; Usage'!$P53*'Weekly Summary'!AI$53)+('Equipment List &amp; Usage'!$Q53*('Weekly Summary'!AI$52+'Weekly Summary'!AI$53))+('Equipment List &amp; Usage'!$R53*'Weekly Summary'!AI$64)+('Equipment List &amp; Usage'!$S53*'Weekly Summary'!AI$65)+('Equipment List &amp; Usage'!$T53*('Weekly Summary'!AI$64+'Weekly Summary'!AI$65)),
('Equipment List &amp; Usage'!$O53*'Weekly Summary'!AI$52)+('Equipment List &amp; Usage'!$P53*'Weekly Summary'!AI$53)+('Equipment List &amp; Usage'!$Q53*('Weekly Summary'!AI$52+'Weekly Summary'!AI$53))+('Equipment List &amp; Usage'!$R53*'Weekly Summary'!AI$64)+('Equipment List &amp; Usage'!$S53*'Weekly Summary'!AI$65)+('Equipment List &amp; Usage'!$T53*('Weekly Summary'!AI$64+'Weekly Summary'!AI$65))-SUM($I51:AN51))),0)</f>
        <v>0</v>
      </c>
      <c r="AP51" s="1381">
        <f ca="1">MAX(IF($F51="No",('Equipment List &amp; Usage'!$O53*'Weekly Summary'!AJ$52)+('Equipment List &amp; Usage'!$P53*'Weekly Summary'!AJ$53)+('Equipment List &amp; Usage'!$Q53*('Weekly Summary'!AJ$52+'Weekly Summary'!AJ$53))+('Equipment List &amp; Usage'!$R53*'Weekly Summary'!AJ$64)+('Equipment List &amp; Usage'!$S53*'Weekly Summary'!AJ$65)+('Equipment List &amp; Usage'!$T53*('Weekly Summary'!AJ$64+'Weekly Summary'!AJ$65)),
IF(AP$10=0,('Equipment List &amp; Usage'!$O53*'Weekly Summary'!AJ$52)+('Equipment List &amp; Usage'!$P53*'Weekly Summary'!AJ$53)+('Equipment List &amp; Usage'!$Q53*('Weekly Summary'!AJ$52+'Weekly Summary'!AJ$53))+('Equipment List &amp; Usage'!$R53*'Weekly Summary'!AJ$64)+('Equipment List &amp; Usage'!$S53*'Weekly Summary'!AJ$65)+('Equipment List &amp; Usage'!$T53*('Weekly Summary'!AJ$64+'Weekly Summary'!AJ$65)),
('Equipment List &amp; Usage'!$O53*'Weekly Summary'!AJ$52)+('Equipment List &amp; Usage'!$P53*'Weekly Summary'!AJ$53)+('Equipment List &amp; Usage'!$Q53*('Weekly Summary'!AJ$52+'Weekly Summary'!AJ$53))+('Equipment List &amp; Usage'!$R53*'Weekly Summary'!AJ$64)+('Equipment List &amp; Usage'!$S53*'Weekly Summary'!AJ$65)+('Equipment List &amp; Usage'!$T53*('Weekly Summary'!AJ$64+'Weekly Summary'!AJ$65))-SUM($I51:AO51))),0)</f>
        <v>0</v>
      </c>
      <c r="AQ51" s="1381">
        <f ca="1">MAX(IF($F51="No",('Equipment List &amp; Usage'!$O53*'Weekly Summary'!AK$52)+('Equipment List &amp; Usage'!$P53*'Weekly Summary'!AK$53)+('Equipment List &amp; Usage'!$Q53*('Weekly Summary'!AK$52+'Weekly Summary'!AK$53))+('Equipment List &amp; Usage'!$R53*'Weekly Summary'!AK$64)+('Equipment List &amp; Usage'!$S53*'Weekly Summary'!AK$65)+('Equipment List &amp; Usage'!$T53*('Weekly Summary'!AK$64+'Weekly Summary'!AK$65)),
IF(AQ$10=0,('Equipment List &amp; Usage'!$O53*'Weekly Summary'!AK$52)+('Equipment List &amp; Usage'!$P53*'Weekly Summary'!AK$53)+('Equipment List &amp; Usage'!$Q53*('Weekly Summary'!AK$52+'Weekly Summary'!AK$53))+('Equipment List &amp; Usage'!$R53*'Weekly Summary'!AK$64)+('Equipment List &amp; Usage'!$S53*'Weekly Summary'!AK$65)+('Equipment List &amp; Usage'!$T53*('Weekly Summary'!AK$64+'Weekly Summary'!AK$65)),
('Equipment List &amp; Usage'!$O53*'Weekly Summary'!AK$52)+('Equipment List &amp; Usage'!$P53*'Weekly Summary'!AK$53)+('Equipment List &amp; Usage'!$Q53*('Weekly Summary'!AK$52+'Weekly Summary'!AK$53))+('Equipment List &amp; Usage'!$R53*'Weekly Summary'!AK$64)+('Equipment List &amp; Usage'!$S53*'Weekly Summary'!AK$65)+('Equipment List &amp; Usage'!$T53*('Weekly Summary'!AK$64+'Weekly Summary'!AK$65))-SUM($I51:AP51))),0)</f>
        <v>0</v>
      </c>
      <c r="AR51" s="1381">
        <f ca="1">MAX(IF($F51="No",('Equipment List &amp; Usage'!$O53*'Weekly Summary'!AL$52)+('Equipment List &amp; Usage'!$P53*'Weekly Summary'!AL$53)+('Equipment List &amp; Usage'!$Q53*('Weekly Summary'!AL$52+'Weekly Summary'!AL$53))+('Equipment List &amp; Usage'!$R53*'Weekly Summary'!AL$64)+('Equipment List &amp; Usage'!$S53*'Weekly Summary'!AL$65)+('Equipment List &amp; Usage'!$T53*('Weekly Summary'!AL$64+'Weekly Summary'!AL$65)),
IF(AR$10=0,('Equipment List &amp; Usage'!$O53*'Weekly Summary'!AL$52)+('Equipment List &amp; Usage'!$P53*'Weekly Summary'!AL$53)+('Equipment List &amp; Usage'!$Q53*('Weekly Summary'!AL$52+'Weekly Summary'!AL$53))+('Equipment List &amp; Usage'!$R53*'Weekly Summary'!AL$64)+('Equipment List &amp; Usage'!$S53*'Weekly Summary'!AL$65)+('Equipment List &amp; Usage'!$T53*('Weekly Summary'!AL$64+'Weekly Summary'!AL$65)),
('Equipment List &amp; Usage'!$O53*'Weekly Summary'!AL$52)+('Equipment List &amp; Usage'!$P53*'Weekly Summary'!AL$53)+('Equipment List &amp; Usage'!$Q53*('Weekly Summary'!AL$52+'Weekly Summary'!AL$53))+('Equipment List &amp; Usage'!$R53*'Weekly Summary'!AL$64)+('Equipment List &amp; Usage'!$S53*'Weekly Summary'!AL$65)+('Equipment List &amp; Usage'!$T53*('Weekly Summary'!AL$64+'Weekly Summary'!AL$65))-SUM($I51:AQ51))),0)</f>
        <v>0</v>
      </c>
      <c r="AS51" s="1381">
        <f ca="1">MAX(IF($F51="No",('Equipment List &amp; Usage'!$O53*'Weekly Summary'!AM$52)+('Equipment List &amp; Usage'!$P53*'Weekly Summary'!AM$53)+('Equipment List &amp; Usage'!$Q53*('Weekly Summary'!AM$52+'Weekly Summary'!AM$53))+('Equipment List &amp; Usage'!$R53*'Weekly Summary'!AM$64)+('Equipment List &amp; Usage'!$S53*'Weekly Summary'!AM$65)+('Equipment List &amp; Usage'!$T53*('Weekly Summary'!AM$64+'Weekly Summary'!AM$65)),
IF(AS$10=0,('Equipment List &amp; Usage'!$O53*'Weekly Summary'!AM$52)+('Equipment List &amp; Usage'!$P53*'Weekly Summary'!AM$53)+('Equipment List &amp; Usage'!$Q53*('Weekly Summary'!AM$52+'Weekly Summary'!AM$53))+('Equipment List &amp; Usage'!$R53*'Weekly Summary'!AM$64)+('Equipment List &amp; Usage'!$S53*'Weekly Summary'!AM$65)+('Equipment List &amp; Usage'!$T53*('Weekly Summary'!AM$64+'Weekly Summary'!AM$65)),
('Equipment List &amp; Usage'!$O53*'Weekly Summary'!AM$52)+('Equipment List &amp; Usage'!$P53*'Weekly Summary'!AM$53)+('Equipment List &amp; Usage'!$Q53*('Weekly Summary'!AM$52+'Weekly Summary'!AM$53))+('Equipment List &amp; Usage'!$R53*'Weekly Summary'!AM$64)+('Equipment List &amp; Usage'!$S53*'Weekly Summary'!AM$65)+('Equipment List &amp; Usage'!$T53*('Weekly Summary'!AM$64+'Weekly Summary'!AM$65))-SUM($I51:AR51))),0)</f>
        <v>0</v>
      </c>
      <c r="AT51" s="1381">
        <f ca="1">MAX(IF($F51="No",('Equipment List &amp; Usage'!$O53*'Weekly Summary'!AN$52)+('Equipment List &amp; Usage'!$P53*'Weekly Summary'!AN$53)+('Equipment List &amp; Usage'!$Q53*('Weekly Summary'!AN$52+'Weekly Summary'!AN$53))+('Equipment List &amp; Usage'!$R53*'Weekly Summary'!AN$64)+('Equipment List &amp; Usage'!$S53*'Weekly Summary'!AN$65)+('Equipment List &amp; Usage'!$T53*('Weekly Summary'!AN$64+'Weekly Summary'!AN$65)),
IF(AT$10=0,('Equipment List &amp; Usage'!$O53*'Weekly Summary'!AN$52)+('Equipment List &amp; Usage'!$P53*'Weekly Summary'!AN$53)+('Equipment List &amp; Usage'!$Q53*('Weekly Summary'!AN$52+'Weekly Summary'!AN$53))+('Equipment List &amp; Usage'!$R53*'Weekly Summary'!AN$64)+('Equipment List &amp; Usage'!$S53*'Weekly Summary'!AN$65)+('Equipment List &amp; Usage'!$T53*('Weekly Summary'!AN$64+'Weekly Summary'!AN$65)),
('Equipment List &amp; Usage'!$O53*'Weekly Summary'!AN$52)+('Equipment List &amp; Usage'!$P53*'Weekly Summary'!AN$53)+('Equipment List &amp; Usage'!$Q53*('Weekly Summary'!AN$52+'Weekly Summary'!AN$53))+('Equipment List &amp; Usage'!$R53*'Weekly Summary'!AN$64)+('Equipment List &amp; Usage'!$S53*'Weekly Summary'!AN$65)+('Equipment List &amp; Usage'!$T53*('Weekly Summary'!AN$64+'Weekly Summary'!AN$65))-SUM($I51:AS51))),0)</f>
        <v>0</v>
      </c>
      <c r="AU51" s="1381">
        <f ca="1">MAX(IF($F51="No",('Equipment List &amp; Usage'!$O53*'Weekly Summary'!AO$52)+('Equipment List &amp; Usage'!$P53*'Weekly Summary'!AO$53)+('Equipment List &amp; Usage'!$Q53*('Weekly Summary'!AO$52+'Weekly Summary'!AO$53))+('Equipment List &amp; Usage'!$R53*'Weekly Summary'!AO$64)+('Equipment List &amp; Usage'!$S53*'Weekly Summary'!AO$65)+('Equipment List &amp; Usage'!$T53*('Weekly Summary'!AO$64+'Weekly Summary'!AO$65)),
IF(AU$10=0,('Equipment List &amp; Usage'!$O53*'Weekly Summary'!AO$52)+('Equipment List &amp; Usage'!$P53*'Weekly Summary'!AO$53)+('Equipment List &amp; Usage'!$Q53*('Weekly Summary'!AO$52+'Weekly Summary'!AO$53))+('Equipment List &amp; Usage'!$R53*'Weekly Summary'!AO$64)+('Equipment List &amp; Usage'!$S53*'Weekly Summary'!AO$65)+('Equipment List &amp; Usage'!$T53*('Weekly Summary'!AO$64+'Weekly Summary'!AO$65)),
('Equipment List &amp; Usage'!$O53*'Weekly Summary'!AO$52)+('Equipment List &amp; Usage'!$P53*'Weekly Summary'!AO$53)+('Equipment List &amp; Usage'!$Q53*('Weekly Summary'!AO$52+'Weekly Summary'!AO$53))+('Equipment List &amp; Usage'!$R53*'Weekly Summary'!AO$64)+('Equipment List &amp; Usage'!$S53*'Weekly Summary'!AO$65)+('Equipment List &amp; Usage'!$T53*('Weekly Summary'!AO$64+'Weekly Summary'!AO$65))-SUM($I51:AT51))),0)</f>
        <v>0</v>
      </c>
      <c r="AV51" s="1381">
        <f ca="1">MAX(IF($F51="No",('Equipment List &amp; Usage'!$O53*'Weekly Summary'!AP$52)+('Equipment List &amp; Usage'!$P53*'Weekly Summary'!AP$53)+('Equipment List &amp; Usage'!$Q53*('Weekly Summary'!AP$52+'Weekly Summary'!AP$53))+('Equipment List &amp; Usage'!$R53*'Weekly Summary'!AP$64)+('Equipment List &amp; Usage'!$S53*'Weekly Summary'!AP$65)+('Equipment List &amp; Usage'!$T53*('Weekly Summary'!AP$64+'Weekly Summary'!AP$65)),
IF(AV$10=0,('Equipment List &amp; Usage'!$O53*'Weekly Summary'!AP$52)+('Equipment List &amp; Usage'!$P53*'Weekly Summary'!AP$53)+('Equipment List &amp; Usage'!$Q53*('Weekly Summary'!AP$52+'Weekly Summary'!AP$53))+('Equipment List &amp; Usage'!$R53*'Weekly Summary'!AP$64)+('Equipment List &amp; Usage'!$S53*'Weekly Summary'!AP$65)+('Equipment List &amp; Usage'!$T53*('Weekly Summary'!AP$64+'Weekly Summary'!AP$65)),
('Equipment List &amp; Usage'!$O53*'Weekly Summary'!AP$52)+('Equipment List &amp; Usage'!$P53*'Weekly Summary'!AP$53)+('Equipment List &amp; Usage'!$Q53*('Weekly Summary'!AP$52+'Weekly Summary'!AP$53))+('Equipment List &amp; Usage'!$R53*'Weekly Summary'!AP$64)+('Equipment List &amp; Usage'!$S53*'Weekly Summary'!AP$65)+('Equipment List &amp; Usage'!$T53*('Weekly Summary'!AP$64+'Weekly Summary'!AP$65))-SUM($I51:AU51))),0)</f>
        <v>0</v>
      </c>
      <c r="AW51" s="1381">
        <f ca="1">MAX(IF($F51="No",('Equipment List &amp; Usage'!$O53*'Weekly Summary'!AQ$52)+('Equipment List &amp; Usage'!$P53*'Weekly Summary'!AQ$53)+('Equipment List &amp; Usage'!$Q53*('Weekly Summary'!AQ$52+'Weekly Summary'!AQ$53))+('Equipment List &amp; Usage'!$R53*'Weekly Summary'!AQ$64)+('Equipment List &amp; Usage'!$S53*'Weekly Summary'!AQ$65)+('Equipment List &amp; Usage'!$T53*('Weekly Summary'!AQ$64+'Weekly Summary'!AQ$65)),
IF(AW$10=0,('Equipment List &amp; Usage'!$O53*'Weekly Summary'!AQ$52)+('Equipment List &amp; Usage'!$P53*'Weekly Summary'!AQ$53)+('Equipment List &amp; Usage'!$Q53*('Weekly Summary'!AQ$52+'Weekly Summary'!AQ$53))+('Equipment List &amp; Usage'!$R53*'Weekly Summary'!AQ$64)+('Equipment List &amp; Usage'!$S53*'Weekly Summary'!AQ$65)+('Equipment List &amp; Usage'!$T53*('Weekly Summary'!AQ$64+'Weekly Summary'!AQ$65)),
('Equipment List &amp; Usage'!$O53*'Weekly Summary'!AQ$52)+('Equipment List &amp; Usage'!$P53*'Weekly Summary'!AQ$53)+('Equipment List &amp; Usage'!$Q53*('Weekly Summary'!AQ$52+'Weekly Summary'!AQ$53))+('Equipment List &amp; Usage'!$R53*'Weekly Summary'!AQ$64)+('Equipment List &amp; Usage'!$S53*'Weekly Summary'!AQ$65)+('Equipment List &amp; Usage'!$T53*('Weekly Summary'!AQ$64+'Weekly Summary'!AQ$65))-SUM($I51:AV51))),0)</f>
        <v>0</v>
      </c>
      <c r="AX51" s="1381">
        <f ca="1">MAX(IF($F51="No",('Equipment List &amp; Usage'!$O53*'Weekly Summary'!AR$52)+('Equipment List &amp; Usage'!$P53*'Weekly Summary'!AR$53)+('Equipment List &amp; Usage'!$Q53*('Weekly Summary'!AR$52+'Weekly Summary'!AR$53))+('Equipment List &amp; Usage'!$R53*'Weekly Summary'!AR$64)+('Equipment List &amp; Usage'!$S53*'Weekly Summary'!AR$65)+('Equipment List &amp; Usage'!$T53*('Weekly Summary'!AR$64+'Weekly Summary'!AR$65)),
IF(AX$10=0,('Equipment List &amp; Usage'!$O53*'Weekly Summary'!AR$52)+('Equipment List &amp; Usage'!$P53*'Weekly Summary'!AR$53)+('Equipment List &amp; Usage'!$Q53*('Weekly Summary'!AR$52+'Weekly Summary'!AR$53))+('Equipment List &amp; Usage'!$R53*'Weekly Summary'!AR$64)+('Equipment List &amp; Usage'!$S53*'Weekly Summary'!AR$65)+('Equipment List &amp; Usage'!$T53*('Weekly Summary'!AR$64+'Weekly Summary'!AR$65)),
('Equipment List &amp; Usage'!$O53*'Weekly Summary'!AR$52)+('Equipment List &amp; Usage'!$P53*'Weekly Summary'!AR$53)+('Equipment List &amp; Usage'!$Q53*('Weekly Summary'!AR$52+'Weekly Summary'!AR$53))+('Equipment List &amp; Usage'!$R53*'Weekly Summary'!AR$64)+('Equipment List &amp; Usage'!$S53*'Weekly Summary'!AR$65)+('Equipment List &amp; Usage'!$T53*('Weekly Summary'!AR$64+'Weekly Summary'!AR$65))-SUM($I51:AW51))),0)</f>
        <v>0</v>
      </c>
      <c r="AY51" s="1381">
        <f ca="1">MAX(IF($F51="No",('Equipment List &amp; Usage'!$O53*'Weekly Summary'!AS$52)+('Equipment List &amp; Usage'!$P53*'Weekly Summary'!AS$53)+('Equipment List &amp; Usage'!$Q53*('Weekly Summary'!AS$52+'Weekly Summary'!AS$53))+('Equipment List &amp; Usage'!$R53*'Weekly Summary'!AS$64)+('Equipment List &amp; Usage'!$S53*'Weekly Summary'!AS$65)+('Equipment List &amp; Usage'!$T53*('Weekly Summary'!AS$64+'Weekly Summary'!AS$65)),
IF(AY$10=0,('Equipment List &amp; Usage'!$O53*'Weekly Summary'!AS$52)+('Equipment List &amp; Usage'!$P53*'Weekly Summary'!AS$53)+('Equipment List &amp; Usage'!$Q53*('Weekly Summary'!AS$52+'Weekly Summary'!AS$53))+('Equipment List &amp; Usage'!$R53*'Weekly Summary'!AS$64)+('Equipment List &amp; Usage'!$S53*'Weekly Summary'!AS$65)+('Equipment List &amp; Usage'!$T53*('Weekly Summary'!AS$64+'Weekly Summary'!AS$65)),
('Equipment List &amp; Usage'!$O53*'Weekly Summary'!AS$52)+('Equipment List &amp; Usage'!$P53*'Weekly Summary'!AS$53)+('Equipment List &amp; Usage'!$Q53*('Weekly Summary'!AS$52+'Weekly Summary'!AS$53))+('Equipment List &amp; Usage'!$R53*'Weekly Summary'!AS$64)+('Equipment List &amp; Usage'!$S53*'Weekly Summary'!AS$65)+('Equipment List &amp; Usage'!$T53*('Weekly Summary'!AS$64+'Weekly Summary'!AS$65))-SUM($I51:AX51))),0)</f>
        <v>0</v>
      </c>
      <c r="AZ51" s="1381">
        <f ca="1">MAX(IF($F51="No",('Equipment List &amp; Usage'!$O53*'Weekly Summary'!AT$52)+('Equipment List &amp; Usage'!$P53*'Weekly Summary'!AT$53)+('Equipment List &amp; Usage'!$Q53*('Weekly Summary'!AT$52+'Weekly Summary'!AT$53))+('Equipment List &amp; Usage'!$R53*'Weekly Summary'!AT$64)+('Equipment List &amp; Usage'!$S53*'Weekly Summary'!AT$65)+('Equipment List &amp; Usage'!$T53*('Weekly Summary'!AT$64+'Weekly Summary'!AT$65)),
IF(AZ$10=0,('Equipment List &amp; Usage'!$O53*'Weekly Summary'!AT$52)+('Equipment List &amp; Usage'!$P53*'Weekly Summary'!AT$53)+('Equipment List &amp; Usage'!$Q53*('Weekly Summary'!AT$52+'Weekly Summary'!AT$53))+('Equipment List &amp; Usage'!$R53*'Weekly Summary'!AT$64)+('Equipment List &amp; Usage'!$S53*'Weekly Summary'!AT$65)+('Equipment List &amp; Usage'!$T53*('Weekly Summary'!AT$64+'Weekly Summary'!AT$65)),
('Equipment List &amp; Usage'!$O53*'Weekly Summary'!AT$52)+('Equipment List &amp; Usage'!$P53*'Weekly Summary'!AT$53)+('Equipment List &amp; Usage'!$Q53*('Weekly Summary'!AT$52+'Weekly Summary'!AT$53))+('Equipment List &amp; Usage'!$R53*'Weekly Summary'!AT$64)+('Equipment List &amp; Usage'!$S53*'Weekly Summary'!AT$65)+('Equipment List &amp; Usage'!$T53*('Weekly Summary'!AT$64+'Weekly Summary'!AT$65))-SUM($I51:AY51))),0)</f>
        <v>0</v>
      </c>
      <c r="BA51" s="1381">
        <f ca="1">MAX(IF($F51="No",('Equipment List &amp; Usage'!$O53*'Weekly Summary'!AU$52)+('Equipment List &amp; Usage'!$P53*'Weekly Summary'!AU$53)+('Equipment List &amp; Usage'!$Q53*('Weekly Summary'!AU$52+'Weekly Summary'!AU$53))+('Equipment List &amp; Usage'!$R53*'Weekly Summary'!AU$64)+('Equipment List &amp; Usage'!$S53*'Weekly Summary'!AU$65)+('Equipment List &amp; Usage'!$T53*('Weekly Summary'!AU$64+'Weekly Summary'!AU$65)),
IF(BA$10=0,('Equipment List &amp; Usage'!$O53*'Weekly Summary'!AU$52)+('Equipment List &amp; Usage'!$P53*'Weekly Summary'!AU$53)+('Equipment List &amp; Usage'!$Q53*('Weekly Summary'!AU$52+'Weekly Summary'!AU$53))+('Equipment List &amp; Usage'!$R53*'Weekly Summary'!AU$64)+('Equipment List &amp; Usage'!$S53*'Weekly Summary'!AU$65)+('Equipment List &amp; Usage'!$T53*('Weekly Summary'!AU$64+'Weekly Summary'!AU$65)),
('Equipment List &amp; Usage'!$O53*'Weekly Summary'!AU$52)+('Equipment List &amp; Usage'!$P53*'Weekly Summary'!AU$53)+('Equipment List &amp; Usage'!$Q53*('Weekly Summary'!AU$52+'Weekly Summary'!AU$53))+('Equipment List &amp; Usage'!$R53*'Weekly Summary'!AU$64)+('Equipment List &amp; Usage'!$S53*'Weekly Summary'!AU$65)+('Equipment List &amp; Usage'!$T53*('Weekly Summary'!AU$64+'Weekly Summary'!AU$65))-SUM($I51:AZ51))),0)</f>
        <v>0</v>
      </c>
      <c r="BB51" s="1381">
        <f ca="1">MAX(IF($F51="No",('Equipment List &amp; Usage'!$O53*'Weekly Summary'!AV$52)+('Equipment List &amp; Usage'!$P53*'Weekly Summary'!AV$53)+('Equipment List &amp; Usage'!$Q53*('Weekly Summary'!AV$52+'Weekly Summary'!AV$53))+('Equipment List &amp; Usage'!$R53*'Weekly Summary'!AV$64)+('Equipment List &amp; Usage'!$S53*'Weekly Summary'!AV$65)+('Equipment List &amp; Usage'!$T53*('Weekly Summary'!AV$64+'Weekly Summary'!AV$65)),
IF(BB$10=0,('Equipment List &amp; Usage'!$O53*'Weekly Summary'!AV$52)+('Equipment List &amp; Usage'!$P53*'Weekly Summary'!AV$53)+('Equipment List &amp; Usage'!$Q53*('Weekly Summary'!AV$52+'Weekly Summary'!AV$53))+('Equipment List &amp; Usage'!$R53*'Weekly Summary'!AV$64)+('Equipment List &amp; Usage'!$S53*'Weekly Summary'!AV$65)+('Equipment List &amp; Usage'!$T53*('Weekly Summary'!AV$64+'Weekly Summary'!AV$65)),
('Equipment List &amp; Usage'!$O53*'Weekly Summary'!AV$52)+('Equipment List &amp; Usage'!$P53*'Weekly Summary'!AV$53)+('Equipment List &amp; Usage'!$Q53*('Weekly Summary'!AV$52+'Weekly Summary'!AV$53))+('Equipment List &amp; Usage'!$R53*'Weekly Summary'!AV$64)+('Equipment List &amp; Usage'!$S53*'Weekly Summary'!AV$65)+('Equipment List &amp; Usage'!$T53*('Weekly Summary'!AV$64+'Weekly Summary'!AV$65))-SUM($I51:BA51))),0)</f>
        <v>0</v>
      </c>
      <c r="BC51" s="1381">
        <f ca="1">MAX(IF($F51="No",('Equipment List &amp; Usage'!$O53*'Weekly Summary'!AW$52)+('Equipment List &amp; Usage'!$P53*'Weekly Summary'!AW$53)+('Equipment List &amp; Usage'!$Q53*('Weekly Summary'!AW$52+'Weekly Summary'!AW$53))+('Equipment List &amp; Usage'!$R53*'Weekly Summary'!AW$64)+('Equipment List &amp; Usage'!$S53*'Weekly Summary'!AW$65)+('Equipment List &amp; Usage'!$T53*('Weekly Summary'!AW$64+'Weekly Summary'!AW$65)),
IF(BC$10=0,('Equipment List &amp; Usage'!$O53*'Weekly Summary'!AW$52)+('Equipment List &amp; Usage'!$P53*'Weekly Summary'!AW$53)+('Equipment List &amp; Usage'!$Q53*('Weekly Summary'!AW$52+'Weekly Summary'!AW$53))+('Equipment List &amp; Usage'!$R53*'Weekly Summary'!AW$64)+('Equipment List &amp; Usage'!$S53*'Weekly Summary'!AW$65)+('Equipment List &amp; Usage'!$T53*('Weekly Summary'!AW$64+'Weekly Summary'!AW$65)),
('Equipment List &amp; Usage'!$O53*'Weekly Summary'!AW$52)+('Equipment List &amp; Usage'!$P53*'Weekly Summary'!AW$53)+('Equipment List &amp; Usage'!$Q53*('Weekly Summary'!AW$52+'Weekly Summary'!AW$53))+('Equipment List &amp; Usage'!$R53*'Weekly Summary'!AW$64)+('Equipment List &amp; Usage'!$S53*'Weekly Summary'!AW$65)+('Equipment List &amp; Usage'!$T53*('Weekly Summary'!AW$64+'Weekly Summary'!AW$65))-SUM($I51:BB51))),0)</f>
        <v>0</v>
      </c>
      <c r="BD51" s="1381">
        <f ca="1">MAX(IF($F51="No",('Equipment List &amp; Usage'!$O53*'Weekly Summary'!AX$52)+('Equipment List &amp; Usage'!$P53*'Weekly Summary'!AX$53)+('Equipment List &amp; Usage'!$Q53*('Weekly Summary'!AX$52+'Weekly Summary'!AX$53))+('Equipment List &amp; Usage'!$R53*'Weekly Summary'!AX$64)+('Equipment List &amp; Usage'!$S53*'Weekly Summary'!AX$65)+('Equipment List &amp; Usage'!$T53*('Weekly Summary'!AX$64+'Weekly Summary'!AX$65)),
IF(BD$10=0,('Equipment List &amp; Usage'!$O53*'Weekly Summary'!AX$52)+('Equipment List &amp; Usage'!$P53*'Weekly Summary'!AX$53)+('Equipment List &amp; Usage'!$Q53*('Weekly Summary'!AX$52+'Weekly Summary'!AX$53))+('Equipment List &amp; Usage'!$R53*'Weekly Summary'!AX$64)+('Equipment List &amp; Usage'!$S53*'Weekly Summary'!AX$65)+('Equipment List &amp; Usage'!$T53*('Weekly Summary'!AX$64+'Weekly Summary'!AX$65)),
('Equipment List &amp; Usage'!$O53*'Weekly Summary'!AX$52)+('Equipment List &amp; Usage'!$P53*'Weekly Summary'!AX$53)+('Equipment List &amp; Usage'!$Q53*('Weekly Summary'!AX$52+'Weekly Summary'!AX$53))+('Equipment List &amp; Usage'!$R53*'Weekly Summary'!AX$64)+('Equipment List &amp; Usage'!$S53*'Weekly Summary'!AX$65)+('Equipment List &amp; Usage'!$T53*('Weekly Summary'!AX$64+'Weekly Summary'!AX$65))-SUM($I51:BC51))),0)</f>
        <v>0</v>
      </c>
      <c r="BE51" s="1381">
        <f ca="1">MAX(IF($F51="No",('Equipment List &amp; Usage'!$O53*'Weekly Summary'!AY$52)+('Equipment List &amp; Usage'!$P53*'Weekly Summary'!AY$53)+('Equipment List &amp; Usage'!$Q53*('Weekly Summary'!AY$52+'Weekly Summary'!AY$53))+('Equipment List &amp; Usage'!$R53*'Weekly Summary'!AY$64)+('Equipment List &amp; Usage'!$S53*'Weekly Summary'!AY$65)+('Equipment List &amp; Usage'!$T53*('Weekly Summary'!AY$64+'Weekly Summary'!AY$65)),
IF(BE$10=0,('Equipment List &amp; Usage'!$O53*'Weekly Summary'!AY$52)+('Equipment List &amp; Usage'!$P53*'Weekly Summary'!AY$53)+('Equipment List &amp; Usage'!$Q53*('Weekly Summary'!AY$52+'Weekly Summary'!AY$53))+('Equipment List &amp; Usage'!$R53*'Weekly Summary'!AY$64)+('Equipment List &amp; Usage'!$S53*'Weekly Summary'!AY$65)+('Equipment List &amp; Usage'!$T53*('Weekly Summary'!AY$64+'Weekly Summary'!AY$65)),
('Equipment List &amp; Usage'!$O53*'Weekly Summary'!AY$52)+('Equipment List &amp; Usage'!$P53*'Weekly Summary'!AY$53)+('Equipment List &amp; Usage'!$Q53*('Weekly Summary'!AY$52+'Weekly Summary'!AY$53))+('Equipment List &amp; Usage'!$R53*'Weekly Summary'!AY$64)+('Equipment List &amp; Usage'!$S53*'Weekly Summary'!AY$65)+('Equipment List &amp; Usage'!$T53*('Weekly Summary'!AY$64+'Weekly Summary'!AY$65))-SUM($I51:BD51))),0)</f>
        <v>0</v>
      </c>
      <c r="BF51" s="1381">
        <f ca="1">MAX(IF($F51="No",('Equipment List &amp; Usage'!$O53*'Weekly Summary'!AZ$52)+('Equipment List &amp; Usage'!$P53*'Weekly Summary'!AZ$53)+('Equipment List &amp; Usage'!$Q53*('Weekly Summary'!AZ$52+'Weekly Summary'!AZ$53))+('Equipment List &amp; Usage'!$R53*'Weekly Summary'!AZ$64)+('Equipment List &amp; Usage'!$S53*'Weekly Summary'!AZ$65)+('Equipment List &amp; Usage'!$T53*('Weekly Summary'!AZ$64+'Weekly Summary'!AZ$65)),
IF(BF$10=0,('Equipment List &amp; Usage'!$O53*'Weekly Summary'!AZ$52)+('Equipment List &amp; Usage'!$P53*'Weekly Summary'!AZ$53)+('Equipment List &amp; Usage'!$Q53*('Weekly Summary'!AZ$52+'Weekly Summary'!AZ$53))+('Equipment List &amp; Usage'!$R53*'Weekly Summary'!AZ$64)+('Equipment List &amp; Usage'!$S53*'Weekly Summary'!AZ$65)+('Equipment List &amp; Usage'!$T53*('Weekly Summary'!AZ$64+'Weekly Summary'!AZ$65)),
('Equipment List &amp; Usage'!$O53*'Weekly Summary'!AZ$52)+('Equipment List &amp; Usage'!$P53*'Weekly Summary'!AZ$53)+('Equipment List &amp; Usage'!$Q53*('Weekly Summary'!AZ$52+'Weekly Summary'!AZ$53))+('Equipment List &amp; Usage'!$R53*'Weekly Summary'!AZ$64)+('Equipment List &amp; Usage'!$S53*'Weekly Summary'!AZ$65)+('Equipment List &amp; Usage'!$T53*('Weekly Summary'!AZ$64+'Weekly Summary'!AZ$65))-SUM($I51:BE51))),0)</f>
        <v>0</v>
      </c>
      <c r="BG51" s="1381">
        <f ca="1">MAX(IF($F51="No",('Equipment List &amp; Usage'!$O53*'Weekly Summary'!BA$52)+('Equipment List &amp; Usage'!$P53*'Weekly Summary'!BA$53)+('Equipment List &amp; Usage'!$Q53*('Weekly Summary'!BA$52+'Weekly Summary'!BA$53))+('Equipment List &amp; Usage'!$R53*'Weekly Summary'!BA$64)+('Equipment List &amp; Usage'!$S53*'Weekly Summary'!BA$65)+('Equipment List &amp; Usage'!$T53*('Weekly Summary'!BA$64+'Weekly Summary'!BA$65)),
IF(BG$10=0,('Equipment List &amp; Usage'!$O53*'Weekly Summary'!BA$52)+('Equipment List &amp; Usage'!$P53*'Weekly Summary'!BA$53)+('Equipment List &amp; Usage'!$Q53*('Weekly Summary'!BA$52+'Weekly Summary'!BA$53))+('Equipment List &amp; Usage'!$R53*'Weekly Summary'!BA$64)+('Equipment List &amp; Usage'!$S53*'Weekly Summary'!BA$65)+('Equipment List &amp; Usage'!$T53*('Weekly Summary'!BA$64+'Weekly Summary'!BA$65)),
('Equipment List &amp; Usage'!$O53*'Weekly Summary'!BA$52)+('Equipment List &amp; Usage'!$P53*'Weekly Summary'!BA$53)+('Equipment List &amp; Usage'!$Q53*('Weekly Summary'!BA$52+'Weekly Summary'!BA$53))+('Equipment List &amp; Usage'!$R53*'Weekly Summary'!BA$64)+('Equipment List &amp; Usage'!$S53*'Weekly Summary'!BA$65)+('Equipment List &amp; Usage'!$T53*('Weekly Summary'!BA$64+'Weekly Summary'!BA$65))-SUM($I51:BF51))),0)</f>
        <v>0</v>
      </c>
      <c r="BH51" s="1381">
        <f ca="1">MAX(IF($F51="No",('Equipment List &amp; Usage'!$O53*'Weekly Summary'!BB$52)+('Equipment List &amp; Usage'!$P53*'Weekly Summary'!BB$53)+('Equipment List &amp; Usage'!$Q53*('Weekly Summary'!BB$52+'Weekly Summary'!BB$53))+('Equipment List &amp; Usage'!$R53*'Weekly Summary'!BB$64)+('Equipment List &amp; Usage'!$S53*'Weekly Summary'!BB$65)+('Equipment List &amp; Usage'!$T53*('Weekly Summary'!BB$64+'Weekly Summary'!BB$65)),
IF(BH$10=0,('Equipment List &amp; Usage'!$O53*'Weekly Summary'!BB$52)+('Equipment List &amp; Usage'!$P53*'Weekly Summary'!BB$53)+('Equipment List &amp; Usage'!$Q53*('Weekly Summary'!BB$52+'Weekly Summary'!BB$53))+('Equipment List &amp; Usage'!$R53*'Weekly Summary'!BB$64)+('Equipment List &amp; Usage'!$S53*'Weekly Summary'!BB$65)+('Equipment List &amp; Usage'!$T53*('Weekly Summary'!BB$64+'Weekly Summary'!BB$65)),
('Equipment List &amp; Usage'!$O53*'Weekly Summary'!BB$52)+('Equipment List &amp; Usage'!$P53*'Weekly Summary'!BB$53)+('Equipment List &amp; Usage'!$Q53*('Weekly Summary'!BB$52+'Weekly Summary'!BB$53))+('Equipment List &amp; Usage'!$R53*'Weekly Summary'!BB$64)+('Equipment List &amp; Usage'!$S53*'Weekly Summary'!BB$65)+('Equipment List &amp; Usage'!$T53*('Weekly Summary'!BB$64+'Weekly Summary'!BB$65))-SUM($I51:BG51))),0)</f>
        <v>0</v>
      </c>
      <c r="BI51" s="1381">
        <f ca="1">MAX(IF($F51="No",('Equipment List &amp; Usage'!$O53*'Weekly Summary'!BC$52)+('Equipment List &amp; Usage'!$P53*'Weekly Summary'!BC$53)+('Equipment List &amp; Usage'!$Q53*('Weekly Summary'!BC$52+'Weekly Summary'!BC$53))+('Equipment List &amp; Usage'!$R53*'Weekly Summary'!BC$64)+('Equipment List &amp; Usage'!$S53*'Weekly Summary'!BC$65)+('Equipment List &amp; Usage'!$T53*('Weekly Summary'!BC$64+'Weekly Summary'!BC$65)),
IF(BI$10=0,('Equipment List &amp; Usage'!$O53*'Weekly Summary'!BC$52)+('Equipment List &amp; Usage'!$P53*'Weekly Summary'!BC$53)+('Equipment List &amp; Usage'!$Q53*('Weekly Summary'!BC$52+'Weekly Summary'!BC$53))+('Equipment List &amp; Usage'!$R53*'Weekly Summary'!BC$64)+('Equipment List &amp; Usage'!$S53*'Weekly Summary'!BC$65)+('Equipment List &amp; Usage'!$T53*('Weekly Summary'!BC$64+'Weekly Summary'!BC$65)),
('Equipment List &amp; Usage'!$O53*'Weekly Summary'!BC$52)+('Equipment List &amp; Usage'!$P53*'Weekly Summary'!BC$53)+('Equipment List &amp; Usage'!$Q53*('Weekly Summary'!BC$52+'Weekly Summary'!BC$53))+('Equipment List &amp; Usage'!$R53*'Weekly Summary'!BC$64)+('Equipment List &amp; Usage'!$S53*'Weekly Summary'!BC$65)+('Equipment List &amp; Usage'!$T53*('Weekly Summary'!BC$64+'Weekly Summary'!BC$65))-SUM($I51:BH51))),0)</f>
        <v>0</v>
      </c>
      <c r="BJ51" s="1382">
        <f ca="1">MAX(IF($F51="No",('Equipment List &amp; Usage'!$O53*'Weekly Summary'!BD$52)+('Equipment List &amp; Usage'!$P53*'Weekly Summary'!BD$53)+('Equipment List &amp; Usage'!$Q53*('Weekly Summary'!BD$52+'Weekly Summary'!BD$53))+('Equipment List &amp; Usage'!$R53*'Weekly Summary'!BD$64)+('Equipment List &amp; Usage'!$S53*'Weekly Summary'!BD$65)+('Equipment List &amp; Usage'!$T53*('Weekly Summary'!BD$64+'Weekly Summary'!BD$65)),
IF(BJ$10=0,('Equipment List &amp; Usage'!$O53*'Weekly Summary'!BD$52)+('Equipment List &amp; Usage'!$P53*'Weekly Summary'!BD$53)+('Equipment List &amp; Usage'!$Q53*('Weekly Summary'!BD$52+'Weekly Summary'!BD$53))+('Equipment List &amp; Usage'!$R53*'Weekly Summary'!BD$64)+('Equipment List &amp; Usage'!$S53*'Weekly Summary'!BD$65)+('Equipment List &amp; Usage'!$T53*('Weekly Summary'!BD$64+'Weekly Summary'!BD$65)),
('Equipment List &amp; Usage'!$O53*'Weekly Summary'!BD$52)+('Equipment List &amp; Usage'!$P53*'Weekly Summary'!BD$53)+('Equipment List &amp; Usage'!$Q53*('Weekly Summary'!BD$52+'Weekly Summary'!BD$53))+('Equipment List &amp; Usage'!$R53*'Weekly Summary'!BD$64)+('Equipment List &amp; Usage'!$S53*'Weekly Summary'!BD$65)+('Equipment List &amp; Usage'!$T53*('Weekly Summary'!BD$64+'Weekly Summary'!BD$65))-SUM($I51:BI51))),0)</f>
        <v>0</v>
      </c>
    </row>
    <row r="52" spans="2:62" ht="54" customHeight="1" x14ac:dyDescent="0.35">
      <c r="B52" s="735" t="str">
        <f>'Equipment List &amp; Usage'!B54</f>
        <v>Case management - biomedical equipment</v>
      </c>
      <c r="C52" s="526" t="str">
        <f>'Equipment List &amp; Usage'!C54</f>
        <v>Monitoring</v>
      </c>
      <c r="D52" s="526" t="str">
        <f>'Equipment List &amp; Usage'!D54</f>
        <v>Patient monitor, multiparametric without ECG, with accessories</v>
      </c>
      <c r="E52" s="526" t="str">
        <f>'Equipment List &amp; Usage'!E54</f>
        <v>Each</v>
      </c>
      <c r="F52" s="526" t="str">
        <f>'Equipment List &amp; Usage'!F54</f>
        <v>Yes</v>
      </c>
      <c r="G52" s="526" t="str">
        <f>'Equipment List &amp; Usage'!G54</f>
        <v>N/A</v>
      </c>
      <c r="H52" s="1369">
        <f t="shared" ca="1" si="3"/>
        <v>53.5255531002514</v>
      </c>
      <c r="J52" s="1344"/>
      <c r="K52" s="1381">
        <f ca="1">IF('User Dashboard'!$H$13=1,0,MAX(IF($F52="No",('Equipment List &amp; Usage'!$O54*'Weekly Summary'!E$52)+('Equipment List &amp; Usage'!$P54*'Weekly Summary'!E$53)+('Equipment List &amp; Usage'!$Q54*('Weekly Summary'!E$52+'Weekly Summary'!E$53))+('Equipment List &amp; Usage'!$R54*'Weekly Summary'!E$64)+('Equipment List &amp; Usage'!$S54*'Weekly Summary'!E$65)+('Equipment List &amp; Usage'!$T54*('Weekly Summary'!E$64+'Weekly Summary'!E$65)),
IF(K$10=0,('Equipment List &amp; Usage'!$O54*'Weekly Summary'!E$52)+('Equipment List &amp; Usage'!$P54*'Weekly Summary'!E$53)+('Equipment List &amp; Usage'!$Q54*('Weekly Summary'!E$52+'Weekly Summary'!E$53))+('Equipment List &amp; Usage'!$R54*'Weekly Summary'!E$64)+('Equipment List &amp; Usage'!$S54*'Weekly Summary'!E$65)+('Equipment List &amp; Usage'!$T54*('Weekly Summary'!E$64+'Weekly Summary'!E$65)),
('Equipment List &amp; Usage'!$O54*'Weekly Summary'!E$52)+('Equipment List &amp; Usage'!$P54*'Weekly Summary'!E$53)+('Equipment List &amp; Usage'!$Q54*('Weekly Summary'!E$52+'Weekly Summary'!E$53))+('Equipment List &amp; Usage'!$R54*'Weekly Summary'!E$64)+('Equipment List &amp; Usage'!$S54*'Weekly Summary'!E$65)+('Equipment List &amp; Usage'!$T54*('Weekly Summary'!E$64+'Weekly Summary'!E$65))-SUM($I52:I52))),0))</f>
        <v>0.11176452906303191</v>
      </c>
      <c r="L52" s="1381">
        <f ca="1">MAX(IF($F52="No",('Equipment List &amp; Usage'!$O54*'Weekly Summary'!F$52)+('Equipment List &amp; Usage'!$P54*'Weekly Summary'!F$53)+('Equipment List &amp; Usage'!$Q54*('Weekly Summary'!F$52+'Weekly Summary'!F$53))+('Equipment List &amp; Usage'!$R54*'Weekly Summary'!F$64)+('Equipment List &amp; Usage'!$S54*'Weekly Summary'!F$65)+('Equipment List &amp; Usage'!$T54*('Weekly Summary'!F$64+'Weekly Summary'!F$65)),
IF(L$10=0,('Equipment List &amp; Usage'!$O54*'Weekly Summary'!F$52)+('Equipment List &amp; Usage'!$P54*'Weekly Summary'!F$53)+('Equipment List &amp; Usage'!$Q54*('Weekly Summary'!F$52+'Weekly Summary'!F$53))+('Equipment List &amp; Usage'!$R54*'Weekly Summary'!F$64)+('Equipment List &amp; Usage'!$S54*'Weekly Summary'!F$65)+('Equipment List &amp; Usage'!$T54*('Weekly Summary'!F$64+'Weekly Summary'!F$65)),
('Equipment List &amp; Usage'!$O54*'Weekly Summary'!F$52)+('Equipment List &amp; Usage'!$P54*'Weekly Summary'!F$53)+('Equipment List &amp; Usage'!$Q54*('Weekly Summary'!F$52+'Weekly Summary'!F$53))+('Equipment List &amp; Usage'!$R54*'Weekly Summary'!F$64)+('Equipment List &amp; Usage'!$S54*'Weekly Summary'!F$65)+('Equipment List &amp; Usage'!$T54*('Weekly Summary'!F$64+'Weekly Summary'!F$65))-SUM($I52:K52))),0)</f>
        <v>0.2723151835491523</v>
      </c>
      <c r="M52" s="1381">
        <f ca="1">MAX(IF($F52="No",('Equipment List &amp; Usage'!$O54*'Weekly Summary'!G$52)+('Equipment List &amp; Usage'!$P54*'Weekly Summary'!G$53)+('Equipment List &amp; Usage'!$Q54*('Weekly Summary'!G$52+'Weekly Summary'!G$53))+('Equipment List &amp; Usage'!$R54*'Weekly Summary'!G$64)+('Equipment List &amp; Usage'!$S54*'Weekly Summary'!G$65)+('Equipment List &amp; Usage'!$T54*('Weekly Summary'!G$64+'Weekly Summary'!G$65)),
IF(M$10=0,('Equipment List &amp; Usage'!$O54*'Weekly Summary'!G$52)+('Equipment List &amp; Usage'!$P54*'Weekly Summary'!G$53)+('Equipment List &amp; Usage'!$Q54*('Weekly Summary'!G$52+'Weekly Summary'!G$53))+('Equipment List &amp; Usage'!$R54*'Weekly Summary'!G$64)+('Equipment List &amp; Usage'!$S54*'Weekly Summary'!G$65)+('Equipment List &amp; Usage'!$T54*('Weekly Summary'!G$64+'Weekly Summary'!G$65)),
('Equipment List &amp; Usage'!$O54*'Weekly Summary'!G$52)+('Equipment List &amp; Usage'!$P54*'Weekly Summary'!G$53)+('Equipment List &amp; Usage'!$Q54*('Weekly Summary'!G$52+'Weekly Summary'!G$53))+('Equipment List &amp; Usage'!$R54*'Weekly Summary'!G$64)+('Equipment List &amp; Usage'!$S54*'Weekly Summary'!G$65)+('Equipment List &amp; Usage'!$T54*('Weekly Summary'!G$64+'Weekly Summary'!G$65))-SUM($I52:L52))),0)</f>
        <v>0.93580057650692994</v>
      </c>
      <c r="N52" s="1381">
        <f ca="1">MAX(IF($F52="No",('Equipment List &amp; Usage'!$O54*'Weekly Summary'!H$52)+('Equipment List &amp; Usage'!$P54*'Weekly Summary'!H$53)+('Equipment List &amp; Usage'!$Q54*('Weekly Summary'!H$52+'Weekly Summary'!H$53))+('Equipment List &amp; Usage'!$R54*'Weekly Summary'!H$64)+('Equipment List &amp; Usage'!$S54*'Weekly Summary'!H$65)+('Equipment List &amp; Usage'!$T54*('Weekly Summary'!H$64+'Weekly Summary'!H$65)),
IF(N$10=0,('Equipment List &amp; Usage'!$O54*'Weekly Summary'!H$52)+('Equipment List &amp; Usage'!$P54*'Weekly Summary'!H$53)+('Equipment List &amp; Usage'!$Q54*('Weekly Summary'!H$52+'Weekly Summary'!H$53))+('Equipment List &amp; Usage'!$R54*'Weekly Summary'!H$64)+('Equipment List &amp; Usage'!$S54*'Weekly Summary'!H$65)+('Equipment List &amp; Usage'!$T54*('Weekly Summary'!H$64+'Weekly Summary'!H$65)),
('Equipment List &amp; Usage'!$O54*'Weekly Summary'!H$52)+('Equipment List &amp; Usage'!$P54*'Weekly Summary'!H$53)+('Equipment List &amp; Usage'!$Q54*('Weekly Summary'!H$52+'Weekly Summary'!H$53))+('Equipment List &amp; Usage'!$R54*'Weekly Summary'!H$64)+('Equipment List &amp; Usage'!$S54*'Weekly Summary'!H$65)+('Equipment List &amp; Usage'!$T54*('Weekly Summary'!H$64+'Weekly Summary'!H$65))-SUM($I52:M52))),0)</f>
        <v>3.2157044400806774</v>
      </c>
      <c r="O52" s="1381">
        <f ca="1">MAX(IF($F52="No",('Equipment List &amp; Usage'!$O54*'Weekly Summary'!I$52)+('Equipment List &amp; Usage'!$P54*'Weekly Summary'!I$53)+('Equipment List &amp; Usage'!$Q54*('Weekly Summary'!I$52+'Weekly Summary'!I$53))+('Equipment List &amp; Usage'!$R54*'Weekly Summary'!I$64)+('Equipment List &amp; Usage'!$S54*'Weekly Summary'!I$65)+('Equipment List &amp; Usage'!$T54*('Weekly Summary'!I$64+'Weekly Summary'!I$65)),
IF(O$10=0,('Equipment List &amp; Usage'!$O54*'Weekly Summary'!I$52)+('Equipment List &amp; Usage'!$P54*'Weekly Summary'!I$53)+('Equipment List &amp; Usage'!$Q54*('Weekly Summary'!I$52+'Weekly Summary'!I$53))+('Equipment List &amp; Usage'!$R54*'Weekly Summary'!I$64)+('Equipment List &amp; Usage'!$S54*'Weekly Summary'!I$65)+('Equipment List &amp; Usage'!$T54*('Weekly Summary'!I$64+'Weekly Summary'!I$65)),
('Equipment List &amp; Usage'!$O54*'Weekly Summary'!I$52)+('Equipment List &amp; Usage'!$P54*'Weekly Summary'!I$53)+('Equipment List &amp; Usage'!$Q54*('Weekly Summary'!I$52+'Weekly Summary'!I$53))+('Equipment List &amp; Usage'!$R54*'Weekly Summary'!I$64)+('Equipment List &amp; Usage'!$S54*'Weekly Summary'!I$65)+('Equipment List &amp; Usage'!$T54*('Weekly Summary'!I$64+'Weekly Summary'!I$65))-SUM($I52:N52))),0)</f>
        <v>11.048540391935767</v>
      </c>
      <c r="P52" s="1381">
        <f ca="1">MAX(IF($F52="No",('Equipment List &amp; Usage'!$O54*'Weekly Summary'!J$52)+('Equipment List &amp; Usage'!$P54*'Weekly Summary'!J$53)+('Equipment List &amp; Usage'!$Q54*('Weekly Summary'!J$52+'Weekly Summary'!J$53))+('Equipment List &amp; Usage'!$R54*'Weekly Summary'!J$64)+('Equipment List &amp; Usage'!$S54*'Weekly Summary'!J$65)+('Equipment List &amp; Usage'!$T54*('Weekly Summary'!J$64+'Weekly Summary'!J$65)),
IF(P$10=0,('Equipment List &amp; Usage'!$O54*'Weekly Summary'!J$52)+('Equipment List &amp; Usage'!$P54*'Weekly Summary'!J$53)+('Equipment List &amp; Usage'!$Q54*('Weekly Summary'!J$52+'Weekly Summary'!J$53))+('Equipment List &amp; Usage'!$R54*'Weekly Summary'!J$64)+('Equipment List &amp; Usage'!$S54*'Weekly Summary'!J$65)+('Equipment List &amp; Usage'!$T54*('Weekly Summary'!J$64+'Weekly Summary'!J$65)),
('Equipment List &amp; Usage'!$O54*'Weekly Summary'!J$52)+('Equipment List &amp; Usage'!$P54*'Weekly Summary'!J$53)+('Equipment List &amp; Usage'!$Q54*('Weekly Summary'!J$52+'Weekly Summary'!J$53))+('Equipment List &amp; Usage'!$R54*'Weekly Summary'!J$64)+('Equipment List &amp; Usage'!$S54*'Weekly Summary'!J$65)+('Equipment List &amp; Usage'!$T54*('Weekly Summary'!J$64+'Weekly Summary'!J$65))-SUM($I52:O52))),0)</f>
        <v>37.941427979115844</v>
      </c>
      <c r="Q52" s="1381">
        <f ca="1">MAX(IF($F52="No",('Equipment List &amp; Usage'!$O54*'Weekly Summary'!K$52)+('Equipment List &amp; Usage'!$P54*'Weekly Summary'!K$53)+('Equipment List &amp; Usage'!$Q54*('Weekly Summary'!K$52+'Weekly Summary'!K$53))+('Equipment List &amp; Usage'!$R54*'Weekly Summary'!K$64)+('Equipment List &amp; Usage'!$S54*'Weekly Summary'!K$65)+('Equipment List &amp; Usage'!$T54*('Weekly Summary'!K$64+'Weekly Summary'!K$65)),
IF(Q$10=0,('Equipment List &amp; Usage'!$O54*'Weekly Summary'!K$52)+('Equipment List &amp; Usage'!$P54*'Weekly Summary'!K$53)+('Equipment List &amp; Usage'!$Q54*('Weekly Summary'!K$52+'Weekly Summary'!K$53))+('Equipment List &amp; Usage'!$R54*'Weekly Summary'!K$64)+('Equipment List &amp; Usage'!$S54*'Weekly Summary'!K$65)+('Equipment List &amp; Usage'!$T54*('Weekly Summary'!K$64+'Weekly Summary'!K$65)),
('Equipment List &amp; Usage'!$O54*'Weekly Summary'!K$52)+('Equipment List &amp; Usage'!$P54*'Weekly Summary'!K$53)+('Equipment List &amp; Usage'!$Q54*('Weekly Summary'!K$52+'Weekly Summary'!K$53))+('Equipment List &amp; Usage'!$R54*'Weekly Summary'!K$64)+('Equipment List &amp; Usage'!$S54*'Weekly Summary'!K$65)+('Equipment List &amp; Usage'!$T54*('Weekly Summary'!K$64+'Weekly Summary'!K$65))-SUM($I52:P52))),0)</f>
        <v>0</v>
      </c>
      <c r="R52" s="1381">
        <f ca="1">MAX(IF($F52="No",('Equipment List &amp; Usage'!$O54*'Weekly Summary'!L$52)+('Equipment List &amp; Usage'!$P54*'Weekly Summary'!L$53)+('Equipment List &amp; Usage'!$Q54*('Weekly Summary'!L$52+'Weekly Summary'!L$53))+('Equipment List &amp; Usage'!$R54*'Weekly Summary'!L$64)+('Equipment List &amp; Usage'!$S54*'Weekly Summary'!L$65)+('Equipment List &amp; Usage'!$T54*('Weekly Summary'!L$64+'Weekly Summary'!L$65)),
IF(R$10=0,('Equipment List &amp; Usage'!$O54*'Weekly Summary'!L$52)+('Equipment List &amp; Usage'!$P54*'Weekly Summary'!L$53)+('Equipment List &amp; Usage'!$Q54*('Weekly Summary'!L$52+'Weekly Summary'!L$53))+('Equipment List &amp; Usage'!$R54*'Weekly Summary'!L$64)+('Equipment List &amp; Usage'!$S54*'Weekly Summary'!L$65)+('Equipment List &amp; Usage'!$T54*('Weekly Summary'!L$64+'Weekly Summary'!L$65)),
('Equipment List &amp; Usage'!$O54*'Weekly Summary'!L$52)+('Equipment List &amp; Usage'!$P54*'Weekly Summary'!L$53)+('Equipment List &amp; Usage'!$Q54*('Weekly Summary'!L$52+'Weekly Summary'!L$53))+('Equipment List &amp; Usage'!$R54*'Weekly Summary'!L$64)+('Equipment List &amp; Usage'!$S54*'Weekly Summary'!L$65)+('Equipment List &amp; Usage'!$T54*('Weekly Summary'!L$64+'Weekly Summary'!L$65))-SUM($I52:Q52))),0)</f>
        <v>0</v>
      </c>
      <c r="S52" s="1381">
        <f ca="1">MAX(IF($F52="No",('Equipment List &amp; Usage'!$O54*'Weekly Summary'!M$52)+('Equipment List &amp; Usage'!$P54*'Weekly Summary'!M$53)+('Equipment List &amp; Usage'!$Q54*('Weekly Summary'!M$52+'Weekly Summary'!M$53))+('Equipment List &amp; Usage'!$R54*'Weekly Summary'!M$64)+('Equipment List &amp; Usage'!$S54*'Weekly Summary'!M$65)+('Equipment List &amp; Usage'!$T54*('Weekly Summary'!M$64+'Weekly Summary'!M$65)),
IF(S$10=0,('Equipment List &amp; Usage'!$O54*'Weekly Summary'!M$52)+('Equipment List &amp; Usage'!$P54*'Weekly Summary'!M$53)+('Equipment List &amp; Usage'!$Q54*('Weekly Summary'!M$52+'Weekly Summary'!M$53))+('Equipment List &amp; Usage'!$R54*'Weekly Summary'!M$64)+('Equipment List &amp; Usage'!$S54*'Weekly Summary'!M$65)+('Equipment List &amp; Usage'!$T54*('Weekly Summary'!M$64+'Weekly Summary'!M$65)),
('Equipment List &amp; Usage'!$O54*'Weekly Summary'!M$52)+('Equipment List &amp; Usage'!$P54*'Weekly Summary'!M$53)+('Equipment List &amp; Usage'!$Q54*('Weekly Summary'!M$52+'Weekly Summary'!M$53))+('Equipment List &amp; Usage'!$R54*'Weekly Summary'!M$64)+('Equipment List &amp; Usage'!$S54*'Weekly Summary'!M$65)+('Equipment List &amp; Usage'!$T54*('Weekly Summary'!M$64+'Weekly Summary'!M$65))-SUM($I52:R52))),0)</f>
        <v>0</v>
      </c>
      <c r="T52" s="1381">
        <f ca="1">MAX(IF($F52="No",('Equipment List &amp; Usage'!$O54*'Weekly Summary'!N$52)+('Equipment List &amp; Usage'!$P54*'Weekly Summary'!N$53)+('Equipment List &amp; Usage'!$Q54*('Weekly Summary'!N$52+'Weekly Summary'!N$53))+('Equipment List &amp; Usage'!$R54*'Weekly Summary'!N$64)+('Equipment List &amp; Usage'!$S54*'Weekly Summary'!N$65)+('Equipment List &amp; Usage'!$T54*('Weekly Summary'!N$64+'Weekly Summary'!N$65)),
IF(T$10=0,('Equipment List &amp; Usage'!$O54*'Weekly Summary'!N$52)+('Equipment List &amp; Usage'!$P54*'Weekly Summary'!N$53)+('Equipment List &amp; Usage'!$Q54*('Weekly Summary'!N$52+'Weekly Summary'!N$53))+('Equipment List &amp; Usage'!$R54*'Weekly Summary'!N$64)+('Equipment List &amp; Usage'!$S54*'Weekly Summary'!N$65)+('Equipment List &amp; Usage'!$T54*('Weekly Summary'!N$64+'Weekly Summary'!N$65)),
('Equipment List &amp; Usage'!$O54*'Weekly Summary'!N$52)+('Equipment List &amp; Usage'!$P54*'Weekly Summary'!N$53)+('Equipment List &amp; Usage'!$Q54*('Weekly Summary'!N$52+'Weekly Summary'!N$53))+('Equipment List &amp; Usage'!$R54*'Weekly Summary'!N$64)+('Equipment List &amp; Usage'!$S54*'Weekly Summary'!N$65)+('Equipment List &amp; Usage'!$T54*('Weekly Summary'!N$64+'Weekly Summary'!N$65))-SUM($I52:S52))),0)</f>
        <v>0</v>
      </c>
      <c r="U52" s="1381">
        <f ca="1">MAX(IF($F52="No",('Equipment List &amp; Usage'!$O54*'Weekly Summary'!O$52)+('Equipment List &amp; Usage'!$P54*'Weekly Summary'!O$53)+('Equipment List &amp; Usage'!$Q54*('Weekly Summary'!O$52+'Weekly Summary'!O$53))+('Equipment List &amp; Usage'!$R54*'Weekly Summary'!O$64)+('Equipment List &amp; Usage'!$S54*'Weekly Summary'!O$65)+('Equipment List &amp; Usage'!$T54*('Weekly Summary'!O$64+'Weekly Summary'!O$65)),
IF(U$10=0,('Equipment List &amp; Usage'!$O54*'Weekly Summary'!O$52)+('Equipment List &amp; Usage'!$P54*'Weekly Summary'!O$53)+('Equipment List &amp; Usage'!$Q54*('Weekly Summary'!O$52+'Weekly Summary'!O$53))+('Equipment List &amp; Usage'!$R54*'Weekly Summary'!O$64)+('Equipment List &amp; Usage'!$S54*'Weekly Summary'!O$65)+('Equipment List &amp; Usage'!$T54*('Weekly Summary'!O$64+'Weekly Summary'!O$65)),
('Equipment List &amp; Usage'!$O54*'Weekly Summary'!O$52)+('Equipment List &amp; Usage'!$P54*'Weekly Summary'!O$53)+('Equipment List &amp; Usage'!$Q54*('Weekly Summary'!O$52+'Weekly Summary'!O$53))+('Equipment List &amp; Usage'!$R54*'Weekly Summary'!O$64)+('Equipment List &amp; Usage'!$S54*'Weekly Summary'!O$65)+('Equipment List &amp; Usage'!$T54*('Weekly Summary'!O$64+'Weekly Summary'!O$65))-SUM($I52:T52))),0)</f>
        <v>0</v>
      </c>
      <c r="V52" s="1381">
        <f ca="1">MAX(IF($F52="No",('Equipment List &amp; Usage'!$O54*'Weekly Summary'!P$52)+('Equipment List &amp; Usage'!$P54*'Weekly Summary'!P$53)+('Equipment List &amp; Usage'!$Q54*('Weekly Summary'!P$52+'Weekly Summary'!P$53))+('Equipment List &amp; Usage'!$R54*'Weekly Summary'!P$64)+('Equipment List &amp; Usage'!$S54*'Weekly Summary'!P$65)+('Equipment List &amp; Usage'!$T54*('Weekly Summary'!P$64+'Weekly Summary'!P$65)),
IF(V$10=0,('Equipment List &amp; Usage'!$O54*'Weekly Summary'!P$52)+('Equipment List &amp; Usage'!$P54*'Weekly Summary'!P$53)+('Equipment List &amp; Usage'!$Q54*('Weekly Summary'!P$52+'Weekly Summary'!P$53))+('Equipment List &amp; Usage'!$R54*'Weekly Summary'!P$64)+('Equipment List &amp; Usage'!$S54*'Weekly Summary'!P$65)+('Equipment List &amp; Usage'!$T54*('Weekly Summary'!P$64+'Weekly Summary'!P$65)),
('Equipment List &amp; Usage'!$O54*'Weekly Summary'!P$52)+('Equipment List &amp; Usage'!$P54*'Weekly Summary'!P$53)+('Equipment List &amp; Usage'!$Q54*('Weekly Summary'!P$52+'Weekly Summary'!P$53))+('Equipment List &amp; Usage'!$R54*'Weekly Summary'!P$64)+('Equipment List &amp; Usage'!$S54*'Weekly Summary'!P$65)+('Equipment List &amp; Usage'!$T54*('Weekly Summary'!P$64+'Weekly Summary'!P$65))-SUM($I52:U52))),0)</f>
        <v>0</v>
      </c>
      <c r="W52" s="1381">
        <f ca="1">MAX(IF($F52="No",('Equipment List &amp; Usage'!$O54*'Weekly Summary'!Q$52)+('Equipment List &amp; Usage'!$P54*'Weekly Summary'!Q$53)+('Equipment List &amp; Usage'!$Q54*('Weekly Summary'!Q$52+'Weekly Summary'!Q$53))+('Equipment List &amp; Usage'!$R54*'Weekly Summary'!Q$64)+('Equipment List &amp; Usage'!$S54*'Weekly Summary'!Q$65)+('Equipment List &amp; Usage'!$T54*('Weekly Summary'!Q$64+'Weekly Summary'!Q$65)),
IF(W$10=0,('Equipment List &amp; Usage'!$O54*'Weekly Summary'!Q$52)+('Equipment List &amp; Usage'!$P54*'Weekly Summary'!Q$53)+('Equipment List &amp; Usage'!$Q54*('Weekly Summary'!Q$52+'Weekly Summary'!Q$53))+('Equipment List &amp; Usage'!$R54*'Weekly Summary'!Q$64)+('Equipment List &amp; Usage'!$S54*'Weekly Summary'!Q$65)+('Equipment List &amp; Usage'!$T54*('Weekly Summary'!Q$64+'Weekly Summary'!Q$65)),
('Equipment List &amp; Usage'!$O54*'Weekly Summary'!Q$52)+('Equipment List &amp; Usage'!$P54*'Weekly Summary'!Q$53)+('Equipment List &amp; Usage'!$Q54*('Weekly Summary'!Q$52+'Weekly Summary'!Q$53))+('Equipment List &amp; Usage'!$R54*'Weekly Summary'!Q$64)+('Equipment List &amp; Usage'!$S54*'Weekly Summary'!Q$65)+('Equipment List &amp; Usage'!$T54*('Weekly Summary'!Q$64+'Weekly Summary'!Q$65))-SUM($I52:V52))),0)</f>
        <v>0</v>
      </c>
      <c r="X52" s="1381">
        <f ca="1">MAX(IF($F52="No",('Equipment List &amp; Usage'!$O54*'Weekly Summary'!R$52)+('Equipment List &amp; Usage'!$P54*'Weekly Summary'!R$53)+('Equipment List &amp; Usage'!$Q54*('Weekly Summary'!R$52+'Weekly Summary'!R$53))+('Equipment List &amp; Usage'!$R54*'Weekly Summary'!R$64)+('Equipment List &amp; Usage'!$S54*'Weekly Summary'!R$65)+('Equipment List &amp; Usage'!$T54*('Weekly Summary'!R$64+'Weekly Summary'!R$65)),
IF(X$10=0,('Equipment List &amp; Usage'!$O54*'Weekly Summary'!R$52)+('Equipment List &amp; Usage'!$P54*'Weekly Summary'!R$53)+('Equipment List &amp; Usage'!$Q54*('Weekly Summary'!R$52+'Weekly Summary'!R$53))+('Equipment List &amp; Usage'!$R54*'Weekly Summary'!R$64)+('Equipment List &amp; Usage'!$S54*'Weekly Summary'!R$65)+('Equipment List &amp; Usage'!$T54*('Weekly Summary'!R$64+'Weekly Summary'!R$65)),
('Equipment List &amp; Usage'!$O54*'Weekly Summary'!R$52)+('Equipment List &amp; Usage'!$P54*'Weekly Summary'!R$53)+('Equipment List &amp; Usage'!$Q54*('Weekly Summary'!R$52+'Weekly Summary'!R$53))+('Equipment List &amp; Usage'!$R54*'Weekly Summary'!R$64)+('Equipment List &amp; Usage'!$S54*'Weekly Summary'!R$65)+('Equipment List &amp; Usage'!$T54*('Weekly Summary'!R$64+'Weekly Summary'!R$65))-SUM($I52:W52))),0)</f>
        <v>0</v>
      </c>
      <c r="Y52" s="1381">
        <f ca="1">MAX(IF($F52="No",('Equipment List &amp; Usage'!$O54*'Weekly Summary'!S$52)+('Equipment List &amp; Usage'!$P54*'Weekly Summary'!S$53)+('Equipment List &amp; Usage'!$Q54*('Weekly Summary'!S$52+'Weekly Summary'!S$53))+('Equipment List &amp; Usage'!$R54*'Weekly Summary'!S$64)+('Equipment List &amp; Usage'!$S54*'Weekly Summary'!S$65)+('Equipment List &amp; Usage'!$T54*('Weekly Summary'!S$64+'Weekly Summary'!S$65)),
IF(Y$10=0,('Equipment List &amp; Usage'!$O54*'Weekly Summary'!S$52)+('Equipment List &amp; Usage'!$P54*'Weekly Summary'!S$53)+('Equipment List &amp; Usage'!$Q54*('Weekly Summary'!S$52+'Weekly Summary'!S$53))+('Equipment List &amp; Usage'!$R54*'Weekly Summary'!S$64)+('Equipment List &amp; Usage'!$S54*'Weekly Summary'!S$65)+('Equipment List &amp; Usage'!$T54*('Weekly Summary'!S$64+'Weekly Summary'!S$65)),
('Equipment List &amp; Usage'!$O54*'Weekly Summary'!S$52)+('Equipment List &amp; Usage'!$P54*'Weekly Summary'!S$53)+('Equipment List &amp; Usage'!$Q54*('Weekly Summary'!S$52+'Weekly Summary'!S$53))+('Equipment List &amp; Usage'!$R54*'Weekly Summary'!S$64)+('Equipment List &amp; Usage'!$S54*'Weekly Summary'!S$65)+('Equipment List &amp; Usage'!$T54*('Weekly Summary'!S$64+'Weekly Summary'!S$65))-SUM($I52:X52))),0)</f>
        <v>0</v>
      </c>
      <c r="Z52" s="1381">
        <f ca="1">MAX(IF($F52="No",('Equipment List &amp; Usage'!$O54*'Weekly Summary'!T$52)+('Equipment List &amp; Usage'!$P54*'Weekly Summary'!T$53)+('Equipment List &amp; Usage'!$Q54*('Weekly Summary'!T$52+'Weekly Summary'!T$53))+('Equipment List &amp; Usage'!$R54*'Weekly Summary'!T$64)+('Equipment List &amp; Usage'!$S54*'Weekly Summary'!T$65)+('Equipment List &amp; Usage'!$T54*('Weekly Summary'!T$64+'Weekly Summary'!T$65)),
IF(Z$10=0,('Equipment List &amp; Usage'!$O54*'Weekly Summary'!T$52)+('Equipment List &amp; Usage'!$P54*'Weekly Summary'!T$53)+('Equipment List &amp; Usage'!$Q54*('Weekly Summary'!T$52+'Weekly Summary'!T$53))+('Equipment List &amp; Usage'!$R54*'Weekly Summary'!T$64)+('Equipment List &amp; Usage'!$S54*'Weekly Summary'!T$65)+('Equipment List &amp; Usage'!$T54*('Weekly Summary'!T$64+'Weekly Summary'!T$65)),
('Equipment List &amp; Usage'!$O54*'Weekly Summary'!T$52)+('Equipment List &amp; Usage'!$P54*'Weekly Summary'!T$53)+('Equipment List &amp; Usage'!$Q54*('Weekly Summary'!T$52+'Weekly Summary'!T$53))+('Equipment List &amp; Usage'!$R54*'Weekly Summary'!T$64)+('Equipment List &amp; Usage'!$S54*'Weekly Summary'!T$65)+('Equipment List &amp; Usage'!$T54*('Weekly Summary'!T$64+'Weekly Summary'!T$65))-SUM($I52:Y52))),0)</f>
        <v>0</v>
      </c>
      <c r="AA52" s="1381">
        <f ca="1">MAX(IF($F52="No",('Equipment List &amp; Usage'!$O54*'Weekly Summary'!U$52)+('Equipment List &amp; Usage'!$P54*'Weekly Summary'!U$53)+('Equipment List &amp; Usage'!$Q54*('Weekly Summary'!U$52+'Weekly Summary'!U$53))+('Equipment List &amp; Usage'!$R54*'Weekly Summary'!U$64)+('Equipment List &amp; Usage'!$S54*'Weekly Summary'!U$65)+('Equipment List &amp; Usage'!$T54*('Weekly Summary'!U$64+'Weekly Summary'!U$65)),
IF(AA$10=0,('Equipment List &amp; Usage'!$O54*'Weekly Summary'!U$52)+('Equipment List &amp; Usage'!$P54*'Weekly Summary'!U$53)+('Equipment List &amp; Usage'!$Q54*('Weekly Summary'!U$52+'Weekly Summary'!U$53))+('Equipment List &amp; Usage'!$R54*'Weekly Summary'!U$64)+('Equipment List &amp; Usage'!$S54*'Weekly Summary'!U$65)+('Equipment List &amp; Usage'!$T54*('Weekly Summary'!U$64+'Weekly Summary'!U$65)),
('Equipment List &amp; Usage'!$O54*'Weekly Summary'!U$52)+('Equipment List &amp; Usage'!$P54*'Weekly Summary'!U$53)+('Equipment List &amp; Usage'!$Q54*('Weekly Summary'!U$52+'Weekly Summary'!U$53))+('Equipment List &amp; Usage'!$R54*'Weekly Summary'!U$64)+('Equipment List &amp; Usage'!$S54*'Weekly Summary'!U$65)+('Equipment List &amp; Usage'!$T54*('Weekly Summary'!U$64+'Weekly Summary'!U$65))-SUM($I52:Z52))),0)</f>
        <v>0</v>
      </c>
      <c r="AB52" s="1381">
        <f ca="1">MAX(IF($F52="No",('Equipment List &amp; Usage'!$O54*'Weekly Summary'!V$52)+('Equipment List &amp; Usage'!$P54*'Weekly Summary'!V$53)+('Equipment List &amp; Usage'!$Q54*('Weekly Summary'!V$52+'Weekly Summary'!V$53))+('Equipment List &amp; Usage'!$R54*'Weekly Summary'!V$64)+('Equipment List &amp; Usage'!$S54*'Weekly Summary'!V$65)+('Equipment List &amp; Usage'!$T54*('Weekly Summary'!V$64+'Weekly Summary'!V$65)),
IF(AB$10=0,('Equipment List &amp; Usage'!$O54*'Weekly Summary'!V$52)+('Equipment List &amp; Usage'!$P54*'Weekly Summary'!V$53)+('Equipment List &amp; Usage'!$Q54*('Weekly Summary'!V$52+'Weekly Summary'!V$53))+('Equipment List &amp; Usage'!$R54*'Weekly Summary'!V$64)+('Equipment List &amp; Usage'!$S54*'Weekly Summary'!V$65)+('Equipment List &amp; Usage'!$T54*('Weekly Summary'!V$64+'Weekly Summary'!V$65)),
('Equipment List &amp; Usage'!$O54*'Weekly Summary'!V$52)+('Equipment List &amp; Usage'!$P54*'Weekly Summary'!V$53)+('Equipment List &amp; Usage'!$Q54*('Weekly Summary'!V$52+'Weekly Summary'!V$53))+('Equipment List &amp; Usage'!$R54*'Weekly Summary'!V$64)+('Equipment List &amp; Usage'!$S54*'Weekly Summary'!V$65)+('Equipment List &amp; Usage'!$T54*('Weekly Summary'!V$64+'Weekly Summary'!V$65))-SUM($I52:AA52))),0)</f>
        <v>0</v>
      </c>
      <c r="AC52" s="1381">
        <f ca="1">MAX(IF($F52="No",('Equipment List &amp; Usage'!$O54*'Weekly Summary'!W$52)+('Equipment List &amp; Usage'!$P54*'Weekly Summary'!W$53)+('Equipment List &amp; Usage'!$Q54*('Weekly Summary'!W$52+'Weekly Summary'!W$53))+('Equipment List &amp; Usage'!$R54*'Weekly Summary'!W$64)+('Equipment List &amp; Usage'!$S54*'Weekly Summary'!W$65)+('Equipment List &amp; Usage'!$T54*('Weekly Summary'!W$64+'Weekly Summary'!W$65)),
IF(AC$10=0,('Equipment List &amp; Usage'!$O54*'Weekly Summary'!W$52)+('Equipment List &amp; Usage'!$P54*'Weekly Summary'!W$53)+('Equipment List &amp; Usage'!$Q54*('Weekly Summary'!W$52+'Weekly Summary'!W$53))+('Equipment List &amp; Usage'!$R54*'Weekly Summary'!W$64)+('Equipment List &amp; Usage'!$S54*'Weekly Summary'!W$65)+('Equipment List &amp; Usage'!$T54*('Weekly Summary'!W$64+'Weekly Summary'!W$65)),
('Equipment List &amp; Usage'!$O54*'Weekly Summary'!W$52)+('Equipment List &amp; Usage'!$P54*'Weekly Summary'!W$53)+('Equipment List &amp; Usage'!$Q54*('Weekly Summary'!W$52+'Weekly Summary'!W$53))+('Equipment List &amp; Usage'!$R54*'Weekly Summary'!W$64)+('Equipment List &amp; Usage'!$S54*'Weekly Summary'!W$65)+('Equipment List &amp; Usage'!$T54*('Weekly Summary'!W$64+'Weekly Summary'!W$65))-SUM($I52:AB52))),0)</f>
        <v>0</v>
      </c>
      <c r="AD52" s="1381">
        <f ca="1">MAX(IF($F52="No",('Equipment List &amp; Usage'!$O54*'Weekly Summary'!X$52)+('Equipment List &amp; Usage'!$P54*'Weekly Summary'!X$53)+('Equipment List &amp; Usage'!$Q54*('Weekly Summary'!X$52+'Weekly Summary'!X$53))+('Equipment List &amp; Usage'!$R54*'Weekly Summary'!X$64)+('Equipment List &amp; Usage'!$S54*'Weekly Summary'!X$65)+('Equipment List &amp; Usage'!$T54*('Weekly Summary'!X$64+'Weekly Summary'!X$65)),
IF(AD$10=0,('Equipment List &amp; Usage'!$O54*'Weekly Summary'!X$52)+('Equipment List &amp; Usage'!$P54*'Weekly Summary'!X$53)+('Equipment List &amp; Usage'!$Q54*('Weekly Summary'!X$52+'Weekly Summary'!X$53))+('Equipment List &amp; Usage'!$R54*'Weekly Summary'!X$64)+('Equipment List &amp; Usage'!$S54*'Weekly Summary'!X$65)+('Equipment List &amp; Usage'!$T54*('Weekly Summary'!X$64+'Weekly Summary'!X$65)),
('Equipment List &amp; Usage'!$O54*'Weekly Summary'!X$52)+('Equipment List &amp; Usage'!$P54*'Weekly Summary'!X$53)+('Equipment List &amp; Usage'!$Q54*('Weekly Summary'!X$52+'Weekly Summary'!X$53))+('Equipment List &amp; Usage'!$R54*'Weekly Summary'!X$64)+('Equipment List &amp; Usage'!$S54*'Weekly Summary'!X$65)+('Equipment List &amp; Usage'!$T54*('Weekly Summary'!X$64+'Weekly Summary'!X$65))-SUM($I52:AC52))),0)</f>
        <v>0</v>
      </c>
      <c r="AE52" s="1381">
        <f ca="1">MAX(IF($F52="No",('Equipment List &amp; Usage'!$O54*'Weekly Summary'!Y$52)+('Equipment List &amp; Usage'!$P54*'Weekly Summary'!Y$53)+('Equipment List &amp; Usage'!$Q54*('Weekly Summary'!Y$52+'Weekly Summary'!Y$53))+('Equipment List &amp; Usage'!$R54*'Weekly Summary'!Y$64)+('Equipment List &amp; Usage'!$S54*'Weekly Summary'!Y$65)+('Equipment List &amp; Usage'!$T54*('Weekly Summary'!Y$64+'Weekly Summary'!Y$65)),
IF(AE$10=0,('Equipment List &amp; Usage'!$O54*'Weekly Summary'!Y$52)+('Equipment List &amp; Usage'!$P54*'Weekly Summary'!Y$53)+('Equipment List &amp; Usage'!$Q54*('Weekly Summary'!Y$52+'Weekly Summary'!Y$53))+('Equipment List &amp; Usage'!$R54*'Weekly Summary'!Y$64)+('Equipment List &amp; Usage'!$S54*'Weekly Summary'!Y$65)+('Equipment List &amp; Usage'!$T54*('Weekly Summary'!Y$64+'Weekly Summary'!Y$65)),
('Equipment List &amp; Usage'!$O54*'Weekly Summary'!Y$52)+('Equipment List &amp; Usage'!$P54*'Weekly Summary'!Y$53)+('Equipment List &amp; Usage'!$Q54*('Weekly Summary'!Y$52+'Weekly Summary'!Y$53))+('Equipment List &amp; Usage'!$R54*'Weekly Summary'!Y$64)+('Equipment List &amp; Usage'!$S54*'Weekly Summary'!Y$65)+('Equipment List &amp; Usage'!$T54*('Weekly Summary'!Y$64+'Weekly Summary'!Y$65))-SUM($I52:AD52))),0)</f>
        <v>0</v>
      </c>
      <c r="AF52" s="1381">
        <f ca="1">MAX(IF($F52="No",('Equipment List &amp; Usage'!$O54*'Weekly Summary'!Z$52)+('Equipment List &amp; Usage'!$P54*'Weekly Summary'!Z$53)+('Equipment List &amp; Usage'!$Q54*('Weekly Summary'!Z$52+'Weekly Summary'!Z$53))+('Equipment List &amp; Usage'!$R54*'Weekly Summary'!Z$64)+('Equipment List &amp; Usage'!$S54*'Weekly Summary'!Z$65)+('Equipment List &amp; Usage'!$T54*('Weekly Summary'!Z$64+'Weekly Summary'!Z$65)),
IF(AF$10=0,('Equipment List &amp; Usage'!$O54*'Weekly Summary'!Z$52)+('Equipment List &amp; Usage'!$P54*'Weekly Summary'!Z$53)+('Equipment List &amp; Usage'!$Q54*('Weekly Summary'!Z$52+'Weekly Summary'!Z$53))+('Equipment List &amp; Usage'!$R54*'Weekly Summary'!Z$64)+('Equipment List &amp; Usage'!$S54*'Weekly Summary'!Z$65)+('Equipment List &amp; Usage'!$T54*('Weekly Summary'!Z$64+'Weekly Summary'!Z$65)),
('Equipment List &amp; Usage'!$O54*'Weekly Summary'!Z$52)+('Equipment List &amp; Usage'!$P54*'Weekly Summary'!Z$53)+('Equipment List &amp; Usage'!$Q54*('Weekly Summary'!Z$52+'Weekly Summary'!Z$53))+('Equipment List &amp; Usage'!$R54*'Weekly Summary'!Z$64)+('Equipment List &amp; Usage'!$S54*'Weekly Summary'!Z$65)+('Equipment List &amp; Usage'!$T54*('Weekly Summary'!Z$64+'Weekly Summary'!Z$65))-SUM($I52:AE52))),0)</f>
        <v>0</v>
      </c>
      <c r="AG52" s="1381">
        <f ca="1">MAX(IF($F52="No",('Equipment List &amp; Usage'!$O54*'Weekly Summary'!AA$52)+('Equipment List &amp; Usage'!$P54*'Weekly Summary'!AA$53)+('Equipment List &amp; Usage'!$Q54*('Weekly Summary'!AA$52+'Weekly Summary'!AA$53))+('Equipment List &amp; Usage'!$R54*'Weekly Summary'!AA$64)+('Equipment List &amp; Usage'!$S54*'Weekly Summary'!AA$65)+('Equipment List &amp; Usage'!$T54*('Weekly Summary'!AA$64+'Weekly Summary'!AA$65)),
IF(AG$10=0,('Equipment List &amp; Usage'!$O54*'Weekly Summary'!AA$52)+('Equipment List &amp; Usage'!$P54*'Weekly Summary'!AA$53)+('Equipment List &amp; Usage'!$Q54*('Weekly Summary'!AA$52+'Weekly Summary'!AA$53))+('Equipment List &amp; Usage'!$R54*'Weekly Summary'!AA$64)+('Equipment List &amp; Usage'!$S54*'Weekly Summary'!AA$65)+('Equipment List &amp; Usage'!$T54*('Weekly Summary'!AA$64+'Weekly Summary'!AA$65)),
('Equipment List &amp; Usage'!$O54*'Weekly Summary'!AA$52)+('Equipment List &amp; Usage'!$P54*'Weekly Summary'!AA$53)+('Equipment List &amp; Usage'!$Q54*('Weekly Summary'!AA$52+'Weekly Summary'!AA$53))+('Equipment List &amp; Usage'!$R54*'Weekly Summary'!AA$64)+('Equipment List &amp; Usage'!$S54*'Weekly Summary'!AA$65)+('Equipment List &amp; Usage'!$T54*('Weekly Summary'!AA$64+'Weekly Summary'!AA$65))-SUM($I52:AF52))),0)</f>
        <v>0</v>
      </c>
      <c r="AH52" s="1381">
        <f ca="1">MAX(IF($F52="No",('Equipment List &amp; Usage'!$O54*'Weekly Summary'!AB$52)+('Equipment List &amp; Usage'!$P54*'Weekly Summary'!AB$53)+('Equipment List &amp; Usage'!$Q54*('Weekly Summary'!AB$52+'Weekly Summary'!AB$53))+('Equipment List &amp; Usage'!$R54*'Weekly Summary'!AB$64)+('Equipment List &amp; Usage'!$S54*'Weekly Summary'!AB$65)+('Equipment List &amp; Usage'!$T54*('Weekly Summary'!AB$64+'Weekly Summary'!AB$65)),
IF(AH$10=0,('Equipment List &amp; Usage'!$O54*'Weekly Summary'!AB$52)+('Equipment List &amp; Usage'!$P54*'Weekly Summary'!AB$53)+('Equipment List &amp; Usage'!$Q54*('Weekly Summary'!AB$52+'Weekly Summary'!AB$53))+('Equipment List &amp; Usage'!$R54*'Weekly Summary'!AB$64)+('Equipment List &amp; Usage'!$S54*'Weekly Summary'!AB$65)+('Equipment List &amp; Usage'!$T54*('Weekly Summary'!AB$64+'Weekly Summary'!AB$65)),
('Equipment List &amp; Usage'!$O54*'Weekly Summary'!AB$52)+('Equipment List &amp; Usage'!$P54*'Weekly Summary'!AB$53)+('Equipment List &amp; Usage'!$Q54*('Weekly Summary'!AB$52+'Weekly Summary'!AB$53))+('Equipment List &amp; Usage'!$R54*'Weekly Summary'!AB$64)+('Equipment List &amp; Usage'!$S54*'Weekly Summary'!AB$65)+('Equipment List &amp; Usage'!$T54*('Weekly Summary'!AB$64+'Weekly Summary'!AB$65))-SUM($I52:AG52))),0)</f>
        <v>0</v>
      </c>
      <c r="AI52" s="1381">
        <f ca="1">MAX(IF($F52="No",('Equipment List &amp; Usage'!$O54*'Weekly Summary'!AC$52)+('Equipment List &amp; Usage'!$P54*'Weekly Summary'!AC$53)+('Equipment List &amp; Usage'!$Q54*('Weekly Summary'!AC$52+'Weekly Summary'!AC$53))+('Equipment List &amp; Usage'!$R54*'Weekly Summary'!AC$64)+('Equipment List &amp; Usage'!$S54*'Weekly Summary'!AC$65)+('Equipment List &amp; Usage'!$T54*('Weekly Summary'!AC$64+'Weekly Summary'!AC$65)),
IF(AI$10=0,('Equipment List &amp; Usage'!$O54*'Weekly Summary'!AC$52)+('Equipment List &amp; Usage'!$P54*'Weekly Summary'!AC$53)+('Equipment List &amp; Usage'!$Q54*('Weekly Summary'!AC$52+'Weekly Summary'!AC$53))+('Equipment List &amp; Usage'!$R54*'Weekly Summary'!AC$64)+('Equipment List &amp; Usage'!$S54*'Weekly Summary'!AC$65)+('Equipment List &amp; Usage'!$T54*('Weekly Summary'!AC$64+'Weekly Summary'!AC$65)),
('Equipment List &amp; Usage'!$O54*'Weekly Summary'!AC$52)+('Equipment List &amp; Usage'!$P54*'Weekly Summary'!AC$53)+('Equipment List &amp; Usage'!$Q54*('Weekly Summary'!AC$52+'Weekly Summary'!AC$53))+('Equipment List &amp; Usage'!$R54*'Weekly Summary'!AC$64)+('Equipment List &amp; Usage'!$S54*'Weekly Summary'!AC$65)+('Equipment List &amp; Usage'!$T54*('Weekly Summary'!AC$64+'Weekly Summary'!AC$65))-SUM($I52:AH52))),0)</f>
        <v>0</v>
      </c>
      <c r="AJ52" s="1381">
        <f ca="1">MAX(IF($F52="No",('Equipment List &amp; Usage'!$O54*'Weekly Summary'!AD$52)+('Equipment List &amp; Usage'!$P54*'Weekly Summary'!AD$53)+('Equipment List &amp; Usage'!$Q54*('Weekly Summary'!AD$52+'Weekly Summary'!AD$53))+('Equipment List &amp; Usage'!$R54*'Weekly Summary'!AD$64)+('Equipment List &amp; Usage'!$S54*'Weekly Summary'!AD$65)+('Equipment List &amp; Usage'!$T54*('Weekly Summary'!AD$64+'Weekly Summary'!AD$65)),
IF(AJ$10=0,('Equipment List &amp; Usage'!$O54*'Weekly Summary'!AD$52)+('Equipment List &amp; Usage'!$P54*'Weekly Summary'!AD$53)+('Equipment List &amp; Usage'!$Q54*('Weekly Summary'!AD$52+'Weekly Summary'!AD$53))+('Equipment List &amp; Usage'!$R54*'Weekly Summary'!AD$64)+('Equipment List &amp; Usage'!$S54*'Weekly Summary'!AD$65)+('Equipment List &amp; Usage'!$T54*('Weekly Summary'!AD$64+'Weekly Summary'!AD$65)),
('Equipment List &amp; Usage'!$O54*'Weekly Summary'!AD$52)+('Equipment List &amp; Usage'!$P54*'Weekly Summary'!AD$53)+('Equipment List &amp; Usage'!$Q54*('Weekly Summary'!AD$52+'Weekly Summary'!AD$53))+('Equipment List &amp; Usage'!$R54*'Weekly Summary'!AD$64)+('Equipment List &amp; Usage'!$S54*'Weekly Summary'!AD$65)+('Equipment List &amp; Usage'!$T54*('Weekly Summary'!AD$64+'Weekly Summary'!AD$65))-SUM($I52:AI52))),0)</f>
        <v>0</v>
      </c>
      <c r="AK52" s="1381">
        <f ca="1">MAX(IF($F52="No",('Equipment List &amp; Usage'!$O54*'Weekly Summary'!AE$52)+('Equipment List &amp; Usage'!$P54*'Weekly Summary'!AE$53)+('Equipment List &amp; Usage'!$Q54*('Weekly Summary'!AE$52+'Weekly Summary'!AE$53))+('Equipment List &amp; Usage'!$R54*'Weekly Summary'!AE$64)+('Equipment List &amp; Usage'!$S54*'Weekly Summary'!AE$65)+('Equipment List &amp; Usage'!$T54*('Weekly Summary'!AE$64+'Weekly Summary'!AE$65)),
IF(AK$10=0,('Equipment List &amp; Usage'!$O54*'Weekly Summary'!AE$52)+('Equipment List &amp; Usage'!$P54*'Weekly Summary'!AE$53)+('Equipment List &amp; Usage'!$Q54*('Weekly Summary'!AE$52+'Weekly Summary'!AE$53))+('Equipment List &amp; Usage'!$R54*'Weekly Summary'!AE$64)+('Equipment List &amp; Usage'!$S54*'Weekly Summary'!AE$65)+('Equipment List &amp; Usage'!$T54*('Weekly Summary'!AE$64+'Weekly Summary'!AE$65)),
('Equipment List &amp; Usage'!$O54*'Weekly Summary'!AE$52)+('Equipment List &amp; Usage'!$P54*'Weekly Summary'!AE$53)+('Equipment List &amp; Usage'!$Q54*('Weekly Summary'!AE$52+'Weekly Summary'!AE$53))+('Equipment List &amp; Usage'!$R54*'Weekly Summary'!AE$64)+('Equipment List &amp; Usage'!$S54*'Weekly Summary'!AE$65)+('Equipment List &amp; Usage'!$T54*('Weekly Summary'!AE$64+'Weekly Summary'!AE$65))-SUM($I52:AJ52))),0)</f>
        <v>0</v>
      </c>
      <c r="AL52" s="1381">
        <f ca="1">MAX(IF($F52="No",('Equipment List &amp; Usage'!$O54*'Weekly Summary'!AF$52)+('Equipment List &amp; Usage'!$P54*'Weekly Summary'!AF$53)+('Equipment List &amp; Usage'!$Q54*('Weekly Summary'!AF$52+'Weekly Summary'!AF$53))+('Equipment List &amp; Usage'!$R54*'Weekly Summary'!AF$64)+('Equipment List &amp; Usage'!$S54*'Weekly Summary'!AF$65)+('Equipment List &amp; Usage'!$T54*('Weekly Summary'!AF$64+'Weekly Summary'!AF$65)),
IF(AL$10=0,('Equipment List &amp; Usage'!$O54*'Weekly Summary'!AF$52)+('Equipment List &amp; Usage'!$P54*'Weekly Summary'!AF$53)+('Equipment List &amp; Usage'!$Q54*('Weekly Summary'!AF$52+'Weekly Summary'!AF$53))+('Equipment List &amp; Usage'!$R54*'Weekly Summary'!AF$64)+('Equipment List &amp; Usage'!$S54*'Weekly Summary'!AF$65)+('Equipment List &amp; Usage'!$T54*('Weekly Summary'!AF$64+'Weekly Summary'!AF$65)),
('Equipment List &amp; Usage'!$O54*'Weekly Summary'!AF$52)+('Equipment List &amp; Usage'!$P54*'Weekly Summary'!AF$53)+('Equipment List &amp; Usage'!$Q54*('Weekly Summary'!AF$52+'Weekly Summary'!AF$53))+('Equipment List &amp; Usage'!$R54*'Weekly Summary'!AF$64)+('Equipment List &amp; Usage'!$S54*'Weekly Summary'!AF$65)+('Equipment List &amp; Usage'!$T54*('Weekly Summary'!AF$64+'Weekly Summary'!AF$65))-SUM($I52:AK52))),0)</f>
        <v>0</v>
      </c>
      <c r="AM52" s="1381">
        <f ca="1">MAX(IF($F52="No",('Equipment List &amp; Usage'!$O54*'Weekly Summary'!AG$52)+('Equipment List &amp; Usage'!$P54*'Weekly Summary'!AG$53)+('Equipment List &amp; Usage'!$Q54*('Weekly Summary'!AG$52+'Weekly Summary'!AG$53))+('Equipment List &amp; Usage'!$R54*'Weekly Summary'!AG$64)+('Equipment List &amp; Usage'!$S54*'Weekly Summary'!AG$65)+('Equipment List &amp; Usage'!$T54*('Weekly Summary'!AG$64+'Weekly Summary'!AG$65)),
IF(AM$10=0,('Equipment List &amp; Usage'!$O54*'Weekly Summary'!AG$52)+('Equipment List &amp; Usage'!$P54*'Weekly Summary'!AG$53)+('Equipment List &amp; Usage'!$Q54*('Weekly Summary'!AG$52+'Weekly Summary'!AG$53))+('Equipment List &amp; Usage'!$R54*'Weekly Summary'!AG$64)+('Equipment List &amp; Usage'!$S54*'Weekly Summary'!AG$65)+('Equipment List &amp; Usage'!$T54*('Weekly Summary'!AG$64+'Weekly Summary'!AG$65)),
('Equipment List &amp; Usage'!$O54*'Weekly Summary'!AG$52)+('Equipment List &amp; Usage'!$P54*'Weekly Summary'!AG$53)+('Equipment List &amp; Usage'!$Q54*('Weekly Summary'!AG$52+'Weekly Summary'!AG$53))+('Equipment List &amp; Usage'!$R54*'Weekly Summary'!AG$64)+('Equipment List &amp; Usage'!$S54*'Weekly Summary'!AG$65)+('Equipment List &amp; Usage'!$T54*('Weekly Summary'!AG$64+'Weekly Summary'!AG$65))-SUM($I52:AL52))),0)</f>
        <v>0</v>
      </c>
      <c r="AN52" s="1381">
        <f ca="1">MAX(IF($F52="No",('Equipment List &amp; Usage'!$O54*'Weekly Summary'!AH$52)+('Equipment List &amp; Usage'!$P54*'Weekly Summary'!AH$53)+('Equipment List &amp; Usage'!$Q54*('Weekly Summary'!AH$52+'Weekly Summary'!AH$53))+('Equipment List &amp; Usage'!$R54*'Weekly Summary'!AH$64)+('Equipment List &amp; Usage'!$S54*'Weekly Summary'!AH$65)+('Equipment List &amp; Usage'!$T54*('Weekly Summary'!AH$64+'Weekly Summary'!AH$65)),
IF(AN$10=0,('Equipment List &amp; Usage'!$O54*'Weekly Summary'!AH$52)+('Equipment List &amp; Usage'!$P54*'Weekly Summary'!AH$53)+('Equipment List &amp; Usage'!$Q54*('Weekly Summary'!AH$52+'Weekly Summary'!AH$53))+('Equipment List &amp; Usage'!$R54*'Weekly Summary'!AH$64)+('Equipment List &amp; Usage'!$S54*'Weekly Summary'!AH$65)+('Equipment List &amp; Usage'!$T54*('Weekly Summary'!AH$64+'Weekly Summary'!AH$65)),
('Equipment List &amp; Usage'!$O54*'Weekly Summary'!AH$52)+('Equipment List &amp; Usage'!$P54*'Weekly Summary'!AH$53)+('Equipment List &amp; Usage'!$Q54*('Weekly Summary'!AH$52+'Weekly Summary'!AH$53))+('Equipment List &amp; Usage'!$R54*'Weekly Summary'!AH$64)+('Equipment List &amp; Usage'!$S54*'Weekly Summary'!AH$65)+('Equipment List &amp; Usage'!$T54*('Weekly Summary'!AH$64+'Weekly Summary'!AH$65))-SUM($I52:AM52))),0)</f>
        <v>0</v>
      </c>
      <c r="AO52" s="1381">
        <f ca="1">MAX(IF($F52="No",('Equipment List &amp; Usage'!$O54*'Weekly Summary'!AI$52)+('Equipment List &amp; Usage'!$P54*'Weekly Summary'!AI$53)+('Equipment List &amp; Usage'!$Q54*('Weekly Summary'!AI$52+'Weekly Summary'!AI$53))+('Equipment List &amp; Usage'!$R54*'Weekly Summary'!AI$64)+('Equipment List &amp; Usage'!$S54*'Weekly Summary'!AI$65)+('Equipment List &amp; Usage'!$T54*('Weekly Summary'!AI$64+'Weekly Summary'!AI$65)),
IF(AO$10=0,('Equipment List &amp; Usage'!$O54*'Weekly Summary'!AI$52)+('Equipment List &amp; Usage'!$P54*'Weekly Summary'!AI$53)+('Equipment List &amp; Usage'!$Q54*('Weekly Summary'!AI$52+'Weekly Summary'!AI$53))+('Equipment List &amp; Usage'!$R54*'Weekly Summary'!AI$64)+('Equipment List &amp; Usage'!$S54*'Weekly Summary'!AI$65)+('Equipment List &amp; Usage'!$T54*('Weekly Summary'!AI$64+'Weekly Summary'!AI$65)),
('Equipment List &amp; Usage'!$O54*'Weekly Summary'!AI$52)+('Equipment List &amp; Usage'!$P54*'Weekly Summary'!AI$53)+('Equipment List &amp; Usage'!$Q54*('Weekly Summary'!AI$52+'Weekly Summary'!AI$53))+('Equipment List &amp; Usage'!$R54*'Weekly Summary'!AI$64)+('Equipment List &amp; Usage'!$S54*'Weekly Summary'!AI$65)+('Equipment List &amp; Usage'!$T54*('Weekly Summary'!AI$64+'Weekly Summary'!AI$65))-SUM($I52:AN52))),0)</f>
        <v>0</v>
      </c>
      <c r="AP52" s="1381">
        <f ca="1">MAX(IF($F52="No",('Equipment List &amp; Usage'!$O54*'Weekly Summary'!AJ$52)+('Equipment List &amp; Usage'!$P54*'Weekly Summary'!AJ$53)+('Equipment List &amp; Usage'!$Q54*('Weekly Summary'!AJ$52+'Weekly Summary'!AJ$53))+('Equipment List &amp; Usage'!$R54*'Weekly Summary'!AJ$64)+('Equipment List &amp; Usage'!$S54*'Weekly Summary'!AJ$65)+('Equipment List &amp; Usage'!$T54*('Weekly Summary'!AJ$64+'Weekly Summary'!AJ$65)),
IF(AP$10=0,('Equipment List &amp; Usage'!$O54*'Weekly Summary'!AJ$52)+('Equipment List &amp; Usage'!$P54*'Weekly Summary'!AJ$53)+('Equipment List &amp; Usage'!$Q54*('Weekly Summary'!AJ$52+'Weekly Summary'!AJ$53))+('Equipment List &amp; Usage'!$R54*'Weekly Summary'!AJ$64)+('Equipment List &amp; Usage'!$S54*'Weekly Summary'!AJ$65)+('Equipment List &amp; Usage'!$T54*('Weekly Summary'!AJ$64+'Weekly Summary'!AJ$65)),
('Equipment List &amp; Usage'!$O54*'Weekly Summary'!AJ$52)+('Equipment List &amp; Usage'!$P54*'Weekly Summary'!AJ$53)+('Equipment List &amp; Usage'!$Q54*('Weekly Summary'!AJ$52+'Weekly Summary'!AJ$53))+('Equipment List &amp; Usage'!$R54*'Weekly Summary'!AJ$64)+('Equipment List &amp; Usage'!$S54*'Weekly Summary'!AJ$65)+('Equipment List &amp; Usage'!$T54*('Weekly Summary'!AJ$64+'Weekly Summary'!AJ$65))-SUM($I52:AO52))),0)</f>
        <v>0</v>
      </c>
      <c r="AQ52" s="1381">
        <f ca="1">MAX(IF($F52="No",('Equipment List &amp; Usage'!$O54*'Weekly Summary'!AK$52)+('Equipment List &amp; Usage'!$P54*'Weekly Summary'!AK$53)+('Equipment List &amp; Usage'!$Q54*('Weekly Summary'!AK$52+'Weekly Summary'!AK$53))+('Equipment List &amp; Usage'!$R54*'Weekly Summary'!AK$64)+('Equipment List &amp; Usage'!$S54*'Weekly Summary'!AK$65)+('Equipment List &amp; Usage'!$T54*('Weekly Summary'!AK$64+'Weekly Summary'!AK$65)),
IF(AQ$10=0,('Equipment List &amp; Usage'!$O54*'Weekly Summary'!AK$52)+('Equipment List &amp; Usage'!$P54*'Weekly Summary'!AK$53)+('Equipment List &amp; Usage'!$Q54*('Weekly Summary'!AK$52+'Weekly Summary'!AK$53))+('Equipment List &amp; Usage'!$R54*'Weekly Summary'!AK$64)+('Equipment List &amp; Usage'!$S54*'Weekly Summary'!AK$65)+('Equipment List &amp; Usage'!$T54*('Weekly Summary'!AK$64+'Weekly Summary'!AK$65)),
('Equipment List &amp; Usage'!$O54*'Weekly Summary'!AK$52)+('Equipment List &amp; Usage'!$P54*'Weekly Summary'!AK$53)+('Equipment List &amp; Usage'!$Q54*('Weekly Summary'!AK$52+'Weekly Summary'!AK$53))+('Equipment List &amp; Usage'!$R54*'Weekly Summary'!AK$64)+('Equipment List &amp; Usage'!$S54*'Weekly Summary'!AK$65)+('Equipment List &amp; Usage'!$T54*('Weekly Summary'!AK$64+'Weekly Summary'!AK$65))-SUM($I52:AP52))),0)</f>
        <v>0</v>
      </c>
      <c r="AR52" s="1381">
        <f ca="1">MAX(IF($F52="No",('Equipment List &amp; Usage'!$O54*'Weekly Summary'!AL$52)+('Equipment List &amp; Usage'!$P54*'Weekly Summary'!AL$53)+('Equipment List &amp; Usage'!$Q54*('Weekly Summary'!AL$52+'Weekly Summary'!AL$53))+('Equipment List &amp; Usage'!$R54*'Weekly Summary'!AL$64)+('Equipment List &amp; Usage'!$S54*'Weekly Summary'!AL$65)+('Equipment List &amp; Usage'!$T54*('Weekly Summary'!AL$64+'Weekly Summary'!AL$65)),
IF(AR$10=0,('Equipment List &amp; Usage'!$O54*'Weekly Summary'!AL$52)+('Equipment List &amp; Usage'!$P54*'Weekly Summary'!AL$53)+('Equipment List &amp; Usage'!$Q54*('Weekly Summary'!AL$52+'Weekly Summary'!AL$53))+('Equipment List &amp; Usage'!$R54*'Weekly Summary'!AL$64)+('Equipment List &amp; Usage'!$S54*'Weekly Summary'!AL$65)+('Equipment List &amp; Usage'!$T54*('Weekly Summary'!AL$64+'Weekly Summary'!AL$65)),
('Equipment List &amp; Usage'!$O54*'Weekly Summary'!AL$52)+('Equipment List &amp; Usage'!$P54*'Weekly Summary'!AL$53)+('Equipment List &amp; Usage'!$Q54*('Weekly Summary'!AL$52+'Weekly Summary'!AL$53))+('Equipment List &amp; Usage'!$R54*'Weekly Summary'!AL$64)+('Equipment List &amp; Usage'!$S54*'Weekly Summary'!AL$65)+('Equipment List &amp; Usage'!$T54*('Weekly Summary'!AL$64+'Weekly Summary'!AL$65))-SUM($I52:AQ52))),0)</f>
        <v>0</v>
      </c>
      <c r="AS52" s="1381">
        <f ca="1">MAX(IF($F52="No",('Equipment List &amp; Usage'!$O54*'Weekly Summary'!AM$52)+('Equipment List &amp; Usage'!$P54*'Weekly Summary'!AM$53)+('Equipment List &amp; Usage'!$Q54*('Weekly Summary'!AM$52+'Weekly Summary'!AM$53))+('Equipment List &amp; Usage'!$R54*'Weekly Summary'!AM$64)+('Equipment List &amp; Usage'!$S54*'Weekly Summary'!AM$65)+('Equipment List &amp; Usage'!$T54*('Weekly Summary'!AM$64+'Weekly Summary'!AM$65)),
IF(AS$10=0,('Equipment List &amp; Usage'!$O54*'Weekly Summary'!AM$52)+('Equipment List &amp; Usage'!$P54*'Weekly Summary'!AM$53)+('Equipment List &amp; Usage'!$Q54*('Weekly Summary'!AM$52+'Weekly Summary'!AM$53))+('Equipment List &amp; Usage'!$R54*'Weekly Summary'!AM$64)+('Equipment List &amp; Usage'!$S54*'Weekly Summary'!AM$65)+('Equipment List &amp; Usage'!$T54*('Weekly Summary'!AM$64+'Weekly Summary'!AM$65)),
('Equipment List &amp; Usage'!$O54*'Weekly Summary'!AM$52)+('Equipment List &amp; Usage'!$P54*'Weekly Summary'!AM$53)+('Equipment List &amp; Usage'!$Q54*('Weekly Summary'!AM$52+'Weekly Summary'!AM$53))+('Equipment List &amp; Usage'!$R54*'Weekly Summary'!AM$64)+('Equipment List &amp; Usage'!$S54*'Weekly Summary'!AM$65)+('Equipment List &amp; Usage'!$T54*('Weekly Summary'!AM$64+'Weekly Summary'!AM$65))-SUM($I52:AR52))),0)</f>
        <v>0</v>
      </c>
      <c r="AT52" s="1381">
        <f ca="1">MAX(IF($F52="No",('Equipment List &amp; Usage'!$O54*'Weekly Summary'!AN$52)+('Equipment List &amp; Usage'!$P54*'Weekly Summary'!AN$53)+('Equipment List &amp; Usage'!$Q54*('Weekly Summary'!AN$52+'Weekly Summary'!AN$53))+('Equipment List &amp; Usage'!$R54*'Weekly Summary'!AN$64)+('Equipment List &amp; Usage'!$S54*'Weekly Summary'!AN$65)+('Equipment List &amp; Usage'!$T54*('Weekly Summary'!AN$64+'Weekly Summary'!AN$65)),
IF(AT$10=0,('Equipment List &amp; Usage'!$O54*'Weekly Summary'!AN$52)+('Equipment List &amp; Usage'!$P54*'Weekly Summary'!AN$53)+('Equipment List &amp; Usage'!$Q54*('Weekly Summary'!AN$52+'Weekly Summary'!AN$53))+('Equipment List &amp; Usage'!$R54*'Weekly Summary'!AN$64)+('Equipment List &amp; Usage'!$S54*'Weekly Summary'!AN$65)+('Equipment List &amp; Usage'!$T54*('Weekly Summary'!AN$64+'Weekly Summary'!AN$65)),
('Equipment List &amp; Usage'!$O54*'Weekly Summary'!AN$52)+('Equipment List &amp; Usage'!$P54*'Weekly Summary'!AN$53)+('Equipment List &amp; Usage'!$Q54*('Weekly Summary'!AN$52+'Weekly Summary'!AN$53))+('Equipment List &amp; Usage'!$R54*'Weekly Summary'!AN$64)+('Equipment List &amp; Usage'!$S54*'Weekly Summary'!AN$65)+('Equipment List &amp; Usage'!$T54*('Weekly Summary'!AN$64+'Weekly Summary'!AN$65))-SUM($I52:AS52))),0)</f>
        <v>0</v>
      </c>
      <c r="AU52" s="1381">
        <f ca="1">MAX(IF($F52="No",('Equipment List &amp; Usage'!$O54*'Weekly Summary'!AO$52)+('Equipment List &amp; Usage'!$P54*'Weekly Summary'!AO$53)+('Equipment List &amp; Usage'!$Q54*('Weekly Summary'!AO$52+'Weekly Summary'!AO$53))+('Equipment List &amp; Usage'!$R54*'Weekly Summary'!AO$64)+('Equipment List &amp; Usage'!$S54*'Weekly Summary'!AO$65)+('Equipment List &amp; Usage'!$T54*('Weekly Summary'!AO$64+'Weekly Summary'!AO$65)),
IF(AU$10=0,('Equipment List &amp; Usage'!$O54*'Weekly Summary'!AO$52)+('Equipment List &amp; Usage'!$P54*'Weekly Summary'!AO$53)+('Equipment List &amp; Usage'!$Q54*('Weekly Summary'!AO$52+'Weekly Summary'!AO$53))+('Equipment List &amp; Usage'!$R54*'Weekly Summary'!AO$64)+('Equipment List &amp; Usage'!$S54*'Weekly Summary'!AO$65)+('Equipment List &amp; Usage'!$T54*('Weekly Summary'!AO$64+'Weekly Summary'!AO$65)),
('Equipment List &amp; Usage'!$O54*'Weekly Summary'!AO$52)+('Equipment List &amp; Usage'!$P54*'Weekly Summary'!AO$53)+('Equipment List &amp; Usage'!$Q54*('Weekly Summary'!AO$52+'Weekly Summary'!AO$53))+('Equipment List &amp; Usage'!$R54*'Weekly Summary'!AO$64)+('Equipment List &amp; Usage'!$S54*'Weekly Summary'!AO$65)+('Equipment List &amp; Usage'!$T54*('Weekly Summary'!AO$64+'Weekly Summary'!AO$65))-SUM($I52:AT52))),0)</f>
        <v>0</v>
      </c>
      <c r="AV52" s="1381">
        <f ca="1">MAX(IF($F52="No",('Equipment List &amp; Usage'!$O54*'Weekly Summary'!AP$52)+('Equipment List &amp; Usage'!$P54*'Weekly Summary'!AP$53)+('Equipment List &amp; Usage'!$Q54*('Weekly Summary'!AP$52+'Weekly Summary'!AP$53))+('Equipment List &amp; Usage'!$R54*'Weekly Summary'!AP$64)+('Equipment List &amp; Usage'!$S54*'Weekly Summary'!AP$65)+('Equipment List &amp; Usage'!$T54*('Weekly Summary'!AP$64+'Weekly Summary'!AP$65)),
IF(AV$10=0,('Equipment List &amp; Usage'!$O54*'Weekly Summary'!AP$52)+('Equipment List &amp; Usage'!$P54*'Weekly Summary'!AP$53)+('Equipment List &amp; Usage'!$Q54*('Weekly Summary'!AP$52+'Weekly Summary'!AP$53))+('Equipment List &amp; Usage'!$R54*'Weekly Summary'!AP$64)+('Equipment List &amp; Usage'!$S54*'Weekly Summary'!AP$65)+('Equipment List &amp; Usage'!$T54*('Weekly Summary'!AP$64+'Weekly Summary'!AP$65)),
('Equipment List &amp; Usage'!$O54*'Weekly Summary'!AP$52)+('Equipment List &amp; Usage'!$P54*'Weekly Summary'!AP$53)+('Equipment List &amp; Usage'!$Q54*('Weekly Summary'!AP$52+'Weekly Summary'!AP$53))+('Equipment List &amp; Usage'!$R54*'Weekly Summary'!AP$64)+('Equipment List &amp; Usage'!$S54*'Weekly Summary'!AP$65)+('Equipment List &amp; Usage'!$T54*('Weekly Summary'!AP$64+'Weekly Summary'!AP$65))-SUM($I52:AU52))),0)</f>
        <v>0</v>
      </c>
      <c r="AW52" s="1381">
        <f ca="1">MAX(IF($F52="No",('Equipment List &amp; Usage'!$O54*'Weekly Summary'!AQ$52)+('Equipment List &amp; Usage'!$P54*'Weekly Summary'!AQ$53)+('Equipment List &amp; Usage'!$Q54*('Weekly Summary'!AQ$52+'Weekly Summary'!AQ$53))+('Equipment List &amp; Usage'!$R54*'Weekly Summary'!AQ$64)+('Equipment List &amp; Usage'!$S54*'Weekly Summary'!AQ$65)+('Equipment List &amp; Usage'!$T54*('Weekly Summary'!AQ$64+'Weekly Summary'!AQ$65)),
IF(AW$10=0,('Equipment List &amp; Usage'!$O54*'Weekly Summary'!AQ$52)+('Equipment List &amp; Usage'!$P54*'Weekly Summary'!AQ$53)+('Equipment List &amp; Usage'!$Q54*('Weekly Summary'!AQ$52+'Weekly Summary'!AQ$53))+('Equipment List &amp; Usage'!$R54*'Weekly Summary'!AQ$64)+('Equipment List &amp; Usage'!$S54*'Weekly Summary'!AQ$65)+('Equipment List &amp; Usage'!$T54*('Weekly Summary'!AQ$64+'Weekly Summary'!AQ$65)),
('Equipment List &amp; Usage'!$O54*'Weekly Summary'!AQ$52)+('Equipment List &amp; Usage'!$P54*'Weekly Summary'!AQ$53)+('Equipment List &amp; Usage'!$Q54*('Weekly Summary'!AQ$52+'Weekly Summary'!AQ$53))+('Equipment List &amp; Usage'!$R54*'Weekly Summary'!AQ$64)+('Equipment List &amp; Usage'!$S54*'Weekly Summary'!AQ$65)+('Equipment List &amp; Usage'!$T54*('Weekly Summary'!AQ$64+'Weekly Summary'!AQ$65))-SUM($I52:AV52))),0)</f>
        <v>0</v>
      </c>
      <c r="AX52" s="1381">
        <f ca="1">MAX(IF($F52="No",('Equipment List &amp; Usage'!$O54*'Weekly Summary'!AR$52)+('Equipment List &amp; Usage'!$P54*'Weekly Summary'!AR$53)+('Equipment List &amp; Usage'!$Q54*('Weekly Summary'!AR$52+'Weekly Summary'!AR$53))+('Equipment List &amp; Usage'!$R54*'Weekly Summary'!AR$64)+('Equipment List &amp; Usage'!$S54*'Weekly Summary'!AR$65)+('Equipment List &amp; Usage'!$T54*('Weekly Summary'!AR$64+'Weekly Summary'!AR$65)),
IF(AX$10=0,('Equipment List &amp; Usage'!$O54*'Weekly Summary'!AR$52)+('Equipment List &amp; Usage'!$P54*'Weekly Summary'!AR$53)+('Equipment List &amp; Usage'!$Q54*('Weekly Summary'!AR$52+'Weekly Summary'!AR$53))+('Equipment List &amp; Usage'!$R54*'Weekly Summary'!AR$64)+('Equipment List &amp; Usage'!$S54*'Weekly Summary'!AR$65)+('Equipment List &amp; Usage'!$T54*('Weekly Summary'!AR$64+'Weekly Summary'!AR$65)),
('Equipment List &amp; Usage'!$O54*'Weekly Summary'!AR$52)+('Equipment List &amp; Usage'!$P54*'Weekly Summary'!AR$53)+('Equipment List &amp; Usage'!$Q54*('Weekly Summary'!AR$52+'Weekly Summary'!AR$53))+('Equipment List &amp; Usage'!$R54*'Weekly Summary'!AR$64)+('Equipment List &amp; Usage'!$S54*'Weekly Summary'!AR$65)+('Equipment List &amp; Usage'!$T54*('Weekly Summary'!AR$64+'Weekly Summary'!AR$65))-SUM($I52:AW52))),0)</f>
        <v>0</v>
      </c>
      <c r="AY52" s="1381">
        <f ca="1">MAX(IF($F52="No",('Equipment List &amp; Usage'!$O54*'Weekly Summary'!AS$52)+('Equipment List &amp; Usage'!$P54*'Weekly Summary'!AS$53)+('Equipment List &amp; Usage'!$Q54*('Weekly Summary'!AS$52+'Weekly Summary'!AS$53))+('Equipment List &amp; Usage'!$R54*'Weekly Summary'!AS$64)+('Equipment List &amp; Usage'!$S54*'Weekly Summary'!AS$65)+('Equipment List &amp; Usage'!$T54*('Weekly Summary'!AS$64+'Weekly Summary'!AS$65)),
IF(AY$10=0,('Equipment List &amp; Usage'!$O54*'Weekly Summary'!AS$52)+('Equipment List &amp; Usage'!$P54*'Weekly Summary'!AS$53)+('Equipment List &amp; Usage'!$Q54*('Weekly Summary'!AS$52+'Weekly Summary'!AS$53))+('Equipment List &amp; Usage'!$R54*'Weekly Summary'!AS$64)+('Equipment List &amp; Usage'!$S54*'Weekly Summary'!AS$65)+('Equipment List &amp; Usage'!$T54*('Weekly Summary'!AS$64+'Weekly Summary'!AS$65)),
('Equipment List &amp; Usage'!$O54*'Weekly Summary'!AS$52)+('Equipment List &amp; Usage'!$P54*'Weekly Summary'!AS$53)+('Equipment List &amp; Usage'!$Q54*('Weekly Summary'!AS$52+'Weekly Summary'!AS$53))+('Equipment List &amp; Usage'!$R54*'Weekly Summary'!AS$64)+('Equipment List &amp; Usage'!$S54*'Weekly Summary'!AS$65)+('Equipment List &amp; Usage'!$T54*('Weekly Summary'!AS$64+'Weekly Summary'!AS$65))-SUM($I52:AX52))),0)</f>
        <v>0</v>
      </c>
      <c r="AZ52" s="1381">
        <f ca="1">MAX(IF($F52="No",('Equipment List &amp; Usage'!$O54*'Weekly Summary'!AT$52)+('Equipment List &amp; Usage'!$P54*'Weekly Summary'!AT$53)+('Equipment List &amp; Usage'!$Q54*('Weekly Summary'!AT$52+'Weekly Summary'!AT$53))+('Equipment List &amp; Usage'!$R54*'Weekly Summary'!AT$64)+('Equipment List &amp; Usage'!$S54*'Weekly Summary'!AT$65)+('Equipment List &amp; Usage'!$T54*('Weekly Summary'!AT$64+'Weekly Summary'!AT$65)),
IF(AZ$10=0,('Equipment List &amp; Usage'!$O54*'Weekly Summary'!AT$52)+('Equipment List &amp; Usage'!$P54*'Weekly Summary'!AT$53)+('Equipment List &amp; Usage'!$Q54*('Weekly Summary'!AT$52+'Weekly Summary'!AT$53))+('Equipment List &amp; Usage'!$R54*'Weekly Summary'!AT$64)+('Equipment List &amp; Usage'!$S54*'Weekly Summary'!AT$65)+('Equipment List &amp; Usage'!$T54*('Weekly Summary'!AT$64+'Weekly Summary'!AT$65)),
('Equipment List &amp; Usage'!$O54*'Weekly Summary'!AT$52)+('Equipment List &amp; Usage'!$P54*'Weekly Summary'!AT$53)+('Equipment List &amp; Usage'!$Q54*('Weekly Summary'!AT$52+'Weekly Summary'!AT$53))+('Equipment List &amp; Usage'!$R54*'Weekly Summary'!AT$64)+('Equipment List &amp; Usage'!$S54*'Weekly Summary'!AT$65)+('Equipment List &amp; Usage'!$T54*('Weekly Summary'!AT$64+'Weekly Summary'!AT$65))-SUM($I52:AY52))),0)</f>
        <v>0</v>
      </c>
      <c r="BA52" s="1381">
        <f ca="1">MAX(IF($F52="No",('Equipment List &amp; Usage'!$O54*'Weekly Summary'!AU$52)+('Equipment List &amp; Usage'!$P54*'Weekly Summary'!AU$53)+('Equipment List &amp; Usage'!$Q54*('Weekly Summary'!AU$52+'Weekly Summary'!AU$53))+('Equipment List &amp; Usage'!$R54*'Weekly Summary'!AU$64)+('Equipment List &amp; Usage'!$S54*'Weekly Summary'!AU$65)+('Equipment List &amp; Usage'!$T54*('Weekly Summary'!AU$64+'Weekly Summary'!AU$65)),
IF(BA$10=0,('Equipment List &amp; Usage'!$O54*'Weekly Summary'!AU$52)+('Equipment List &amp; Usage'!$P54*'Weekly Summary'!AU$53)+('Equipment List &amp; Usage'!$Q54*('Weekly Summary'!AU$52+'Weekly Summary'!AU$53))+('Equipment List &amp; Usage'!$R54*'Weekly Summary'!AU$64)+('Equipment List &amp; Usage'!$S54*'Weekly Summary'!AU$65)+('Equipment List &amp; Usage'!$T54*('Weekly Summary'!AU$64+'Weekly Summary'!AU$65)),
('Equipment List &amp; Usage'!$O54*'Weekly Summary'!AU$52)+('Equipment List &amp; Usage'!$P54*'Weekly Summary'!AU$53)+('Equipment List &amp; Usage'!$Q54*('Weekly Summary'!AU$52+'Weekly Summary'!AU$53))+('Equipment List &amp; Usage'!$R54*'Weekly Summary'!AU$64)+('Equipment List &amp; Usage'!$S54*'Weekly Summary'!AU$65)+('Equipment List &amp; Usage'!$T54*('Weekly Summary'!AU$64+'Weekly Summary'!AU$65))-SUM($I52:AZ52))),0)</f>
        <v>0</v>
      </c>
      <c r="BB52" s="1381">
        <f ca="1">MAX(IF($F52="No",('Equipment List &amp; Usage'!$O54*'Weekly Summary'!AV$52)+('Equipment List &amp; Usage'!$P54*'Weekly Summary'!AV$53)+('Equipment List &amp; Usage'!$Q54*('Weekly Summary'!AV$52+'Weekly Summary'!AV$53))+('Equipment List &amp; Usage'!$R54*'Weekly Summary'!AV$64)+('Equipment List &amp; Usage'!$S54*'Weekly Summary'!AV$65)+('Equipment List &amp; Usage'!$T54*('Weekly Summary'!AV$64+'Weekly Summary'!AV$65)),
IF(BB$10=0,('Equipment List &amp; Usage'!$O54*'Weekly Summary'!AV$52)+('Equipment List &amp; Usage'!$P54*'Weekly Summary'!AV$53)+('Equipment List &amp; Usage'!$Q54*('Weekly Summary'!AV$52+'Weekly Summary'!AV$53))+('Equipment List &amp; Usage'!$R54*'Weekly Summary'!AV$64)+('Equipment List &amp; Usage'!$S54*'Weekly Summary'!AV$65)+('Equipment List &amp; Usage'!$T54*('Weekly Summary'!AV$64+'Weekly Summary'!AV$65)),
('Equipment List &amp; Usage'!$O54*'Weekly Summary'!AV$52)+('Equipment List &amp; Usage'!$P54*'Weekly Summary'!AV$53)+('Equipment List &amp; Usage'!$Q54*('Weekly Summary'!AV$52+'Weekly Summary'!AV$53))+('Equipment List &amp; Usage'!$R54*'Weekly Summary'!AV$64)+('Equipment List &amp; Usage'!$S54*'Weekly Summary'!AV$65)+('Equipment List &amp; Usage'!$T54*('Weekly Summary'!AV$64+'Weekly Summary'!AV$65))-SUM($I52:BA52))),0)</f>
        <v>0</v>
      </c>
      <c r="BC52" s="1381">
        <f ca="1">MAX(IF($F52="No",('Equipment List &amp; Usage'!$O54*'Weekly Summary'!AW$52)+('Equipment List &amp; Usage'!$P54*'Weekly Summary'!AW$53)+('Equipment List &amp; Usage'!$Q54*('Weekly Summary'!AW$52+'Weekly Summary'!AW$53))+('Equipment List &amp; Usage'!$R54*'Weekly Summary'!AW$64)+('Equipment List &amp; Usage'!$S54*'Weekly Summary'!AW$65)+('Equipment List &amp; Usage'!$T54*('Weekly Summary'!AW$64+'Weekly Summary'!AW$65)),
IF(BC$10=0,('Equipment List &amp; Usage'!$O54*'Weekly Summary'!AW$52)+('Equipment List &amp; Usage'!$P54*'Weekly Summary'!AW$53)+('Equipment List &amp; Usage'!$Q54*('Weekly Summary'!AW$52+'Weekly Summary'!AW$53))+('Equipment List &amp; Usage'!$R54*'Weekly Summary'!AW$64)+('Equipment List &amp; Usage'!$S54*'Weekly Summary'!AW$65)+('Equipment List &amp; Usage'!$T54*('Weekly Summary'!AW$64+'Weekly Summary'!AW$65)),
('Equipment List &amp; Usage'!$O54*'Weekly Summary'!AW$52)+('Equipment List &amp; Usage'!$P54*'Weekly Summary'!AW$53)+('Equipment List &amp; Usage'!$Q54*('Weekly Summary'!AW$52+'Weekly Summary'!AW$53))+('Equipment List &amp; Usage'!$R54*'Weekly Summary'!AW$64)+('Equipment List &amp; Usage'!$S54*'Weekly Summary'!AW$65)+('Equipment List &amp; Usage'!$T54*('Weekly Summary'!AW$64+'Weekly Summary'!AW$65))-SUM($I52:BB52))),0)</f>
        <v>0</v>
      </c>
      <c r="BD52" s="1381">
        <f ca="1">MAX(IF($F52="No",('Equipment List &amp; Usage'!$O54*'Weekly Summary'!AX$52)+('Equipment List &amp; Usage'!$P54*'Weekly Summary'!AX$53)+('Equipment List &amp; Usage'!$Q54*('Weekly Summary'!AX$52+'Weekly Summary'!AX$53))+('Equipment List &amp; Usage'!$R54*'Weekly Summary'!AX$64)+('Equipment List &amp; Usage'!$S54*'Weekly Summary'!AX$65)+('Equipment List &amp; Usage'!$T54*('Weekly Summary'!AX$64+'Weekly Summary'!AX$65)),
IF(BD$10=0,('Equipment List &amp; Usage'!$O54*'Weekly Summary'!AX$52)+('Equipment List &amp; Usage'!$P54*'Weekly Summary'!AX$53)+('Equipment List &amp; Usage'!$Q54*('Weekly Summary'!AX$52+'Weekly Summary'!AX$53))+('Equipment List &amp; Usage'!$R54*'Weekly Summary'!AX$64)+('Equipment List &amp; Usage'!$S54*'Weekly Summary'!AX$65)+('Equipment List &amp; Usage'!$T54*('Weekly Summary'!AX$64+'Weekly Summary'!AX$65)),
('Equipment List &amp; Usage'!$O54*'Weekly Summary'!AX$52)+('Equipment List &amp; Usage'!$P54*'Weekly Summary'!AX$53)+('Equipment List &amp; Usage'!$Q54*('Weekly Summary'!AX$52+'Weekly Summary'!AX$53))+('Equipment List &amp; Usage'!$R54*'Weekly Summary'!AX$64)+('Equipment List &amp; Usage'!$S54*'Weekly Summary'!AX$65)+('Equipment List &amp; Usage'!$T54*('Weekly Summary'!AX$64+'Weekly Summary'!AX$65))-SUM($I52:BC52))),0)</f>
        <v>0</v>
      </c>
      <c r="BE52" s="1381">
        <f ca="1">MAX(IF($F52="No",('Equipment List &amp; Usage'!$O54*'Weekly Summary'!AY$52)+('Equipment List &amp; Usage'!$P54*'Weekly Summary'!AY$53)+('Equipment List &amp; Usage'!$Q54*('Weekly Summary'!AY$52+'Weekly Summary'!AY$53))+('Equipment List &amp; Usage'!$R54*'Weekly Summary'!AY$64)+('Equipment List &amp; Usage'!$S54*'Weekly Summary'!AY$65)+('Equipment List &amp; Usage'!$T54*('Weekly Summary'!AY$64+'Weekly Summary'!AY$65)),
IF(BE$10=0,('Equipment List &amp; Usage'!$O54*'Weekly Summary'!AY$52)+('Equipment List &amp; Usage'!$P54*'Weekly Summary'!AY$53)+('Equipment List &amp; Usage'!$Q54*('Weekly Summary'!AY$52+'Weekly Summary'!AY$53))+('Equipment List &amp; Usage'!$R54*'Weekly Summary'!AY$64)+('Equipment List &amp; Usage'!$S54*'Weekly Summary'!AY$65)+('Equipment List &amp; Usage'!$T54*('Weekly Summary'!AY$64+'Weekly Summary'!AY$65)),
('Equipment List &amp; Usage'!$O54*'Weekly Summary'!AY$52)+('Equipment List &amp; Usage'!$P54*'Weekly Summary'!AY$53)+('Equipment List &amp; Usage'!$Q54*('Weekly Summary'!AY$52+'Weekly Summary'!AY$53))+('Equipment List &amp; Usage'!$R54*'Weekly Summary'!AY$64)+('Equipment List &amp; Usage'!$S54*'Weekly Summary'!AY$65)+('Equipment List &amp; Usage'!$T54*('Weekly Summary'!AY$64+'Weekly Summary'!AY$65))-SUM($I52:BD52))),0)</f>
        <v>0</v>
      </c>
      <c r="BF52" s="1381">
        <f ca="1">MAX(IF($F52="No",('Equipment List &amp; Usage'!$O54*'Weekly Summary'!AZ$52)+('Equipment List &amp; Usage'!$P54*'Weekly Summary'!AZ$53)+('Equipment List &amp; Usage'!$Q54*('Weekly Summary'!AZ$52+'Weekly Summary'!AZ$53))+('Equipment List &amp; Usage'!$R54*'Weekly Summary'!AZ$64)+('Equipment List &amp; Usage'!$S54*'Weekly Summary'!AZ$65)+('Equipment List &amp; Usage'!$T54*('Weekly Summary'!AZ$64+'Weekly Summary'!AZ$65)),
IF(BF$10=0,('Equipment List &amp; Usage'!$O54*'Weekly Summary'!AZ$52)+('Equipment List &amp; Usage'!$P54*'Weekly Summary'!AZ$53)+('Equipment List &amp; Usage'!$Q54*('Weekly Summary'!AZ$52+'Weekly Summary'!AZ$53))+('Equipment List &amp; Usage'!$R54*'Weekly Summary'!AZ$64)+('Equipment List &amp; Usage'!$S54*'Weekly Summary'!AZ$65)+('Equipment List &amp; Usage'!$T54*('Weekly Summary'!AZ$64+'Weekly Summary'!AZ$65)),
('Equipment List &amp; Usage'!$O54*'Weekly Summary'!AZ$52)+('Equipment List &amp; Usage'!$P54*'Weekly Summary'!AZ$53)+('Equipment List &amp; Usage'!$Q54*('Weekly Summary'!AZ$52+'Weekly Summary'!AZ$53))+('Equipment List &amp; Usage'!$R54*'Weekly Summary'!AZ$64)+('Equipment List &amp; Usage'!$S54*'Weekly Summary'!AZ$65)+('Equipment List &amp; Usage'!$T54*('Weekly Summary'!AZ$64+'Weekly Summary'!AZ$65))-SUM($I52:BE52))),0)</f>
        <v>0</v>
      </c>
      <c r="BG52" s="1381">
        <f ca="1">MAX(IF($F52="No",('Equipment List &amp; Usage'!$O54*'Weekly Summary'!BA$52)+('Equipment List &amp; Usage'!$P54*'Weekly Summary'!BA$53)+('Equipment List &amp; Usage'!$Q54*('Weekly Summary'!BA$52+'Weekly Summary'!BA$53))+('Equipment List &amp; Usage'!$R54*'Weekly Summary'!BA$64)+('Equipment List &amp; Usage'!$S54*'Weekly Summary'!BA$65)+('Equipment List &amp; Usage'!$T54*('Weekly Summary'!BA$64+'Weekly Summary'!BA$65)),
IF(BG$10=0,('Equipment List &amp; Usage'!$O54*'Weekly Summary'!BA$52)+('Equipment List &amp; Usage'!$P54*'Weekly Summary'!BA$53)+('Equipment List &amp; Usage'!$Q54*('Weekly Summary'!BA$52+'Weekly Summary'!BA$53))+('Equipment List &amp; Usage'!$R54*'Weekly Summary'!BA$64)+('Equipment List &amp; Usage'!$S54*'Weekly Summary'!BA$65)+('Equipment List &amp; Usage'!$T54*('Weekly Summary'!BA$64+'Weekly Summary'!BA$65)),
('Equipment List &amp; Usage'!$O54*'Weekly Summary'!BA$52)+('Equipment List &amp; Usage'!$P54*'Weekly Summary'!BA$53)+('Equipment List &amp; Usage'!$Q54*('Weekly Summary'!BA$52+'Weekly Summary'!BA$53))+('Equipment List &amp; Usage'!$R54*'Weekly Summary'!BA$64)+('Equipment List &amp; Usage'!$S54*'Weekly Summary'!BA$65)+('Equipment List &amp; Usage'!$T54*('Weekly Summary'!BA$64+'Weekly Summary'!BA$65))-SUM($I52:BF52))),0)</f>
        <v>0</v>
      </c>
      <c r="BH52" s="1381">
        <f ca="1">MAX(IF($F52="No",('Equipment List &amp; Usage'!$O54*'Weekly Summary'!BB$52)+('Equipment List &amp; Usage'!$P54*'Weekly Summary'!BB$53)+('Equipment List &amp; Usage'!$Q54*('Weekly Summary'!BB$52+'Weekly Summary'!BB$53))+('Equipment List &amp; Usage'!$R54*'Weekly Summary'!BB$64)+('Equipment List &amp; Usage'!$S54*'Weekly Summary'!BB$65)+('Equipment List &amp; Usage'!$T54*('Weekly Summary'!BB$64+'Weekly Summary'!BB$65)),
IF(BH$10=0,('Equipment List &amp; Usage'!$O54*'Weekly Summary'!BB$52)+('Equipment List &amp; Usage'!$P54*'Weekly Summary'!BB$53)+('Equipment List &amp; Usage'!$Q54*('Weekly Summary'!BB$52+'Weekly Summary'!BB$53))+('Equipment List &amp; Usage'!$R54*'Weekly Summary'!BB$64)+('Equipment List &amp; Usage'!$S54*'Weekly Summary'!BB$65)+('Equipment List &amp; Usage'!$T54*('Weekly Summary'!BB$64+'Weekly Summary'!BB$65)),
('Equipment List &amp; Usage'!$O54*'Weekly Summary'!BB$52)+('Equipment List &amp; Usage'!$P54*'Weekly Summary'!BB$53)+('Equipment List &amp; Usage'!$Q54*('Weekly Summary'!BB$52+'Weekly Summary'!BB$53))+('Equipment List &amp; Usage'!$R54*'Weekly Summary'!BB$64)+('Equipment List &amp; Usage'!$S54*'Weekly Summary'!BB$65)+('Equipment List &amp; Usage'!$T54*('Weekly Summary'!BB$64+'Weekly Summary'!BB$65))-SUM($I52:BG52))),0)</f>
        <v>0</v>
      </c>
      <c r="BI52" s="1381">
        <f ca="1">MAX(IF($F52="No",('Equipment List &amp; Usage'!$O54*'Weekly Summary'!BC$52)+('Equipment List &amp; Usage'!$P54*'Weekly Summary'!BC$53)+('Equipment List &amp; Usage'!$Q54*('Weekly Summary'!BC$52+'Weekly Summary'!BC$53))+('Equipment List &amp; Usage'!$R54*'Weekly Summary'!BC$64)+('Equipment List &amp; Usage'!$S54*'Weekly Summary'!BC$65)+('Equipment List &amp; Usage'!$T54*('Weekly Summary'!BC$64+'Weekly Summary'!BC$65)),
IF(BI$10=0,('Equipment List &amp; Usage'!$O54*'Weekly Summary'!BC$52)+('Equipment List &amp; Usage'!$P54*'Weekly Summary'!BC$53)+('Equipment List &amp; Usage'!$Q54*('Weekly Summary'!BC$52+'Weekly Summary'!BC$53))+('Equipment List &amp; Usage'!$R54*'Weekly Summary'!BC$64)+('Equipment List &amp; Usage'!$S54*'Weekly Summary'!BC$65)+('Equipment List &amp; Usage'!$T54*('Weekly Summary'!BC$64+'Weekly Summary'!BC$65)),
('Equipment List &amp; Usage'!$O54*'Weekly Summary'!BC$52)+('Equipment List &amp; Usage'!$P54*'Weekly Summary'!BC$53)+('Equipment List &amp; Usage'!$Q54*('Weekly Summary'!BC$52+'Weekly Summary'!BC$53))+('Equipment List &amp; Usage'!$R54*'Weekly Summary'!BC$64)+('Equipment List &amp; Usage'!$S54*'Weekly Summary'!BC$65)+('Equipment List &amp; Usage'!$T54*('Weekly Summary'!BC$64+'Weekly Summary'!BC$65))-SUM($I52:BH52))),0)</f>
        <v>0</v>
      </c>
      <c r="BJ52" s="1382">
        <f ca="1">MAX(IF($F52="No",('Equipment List &amp; Usage'!$O54*'Weekly Summary'!BD$52)+('Equipment List &amp; Usage'!$P54*'Weekly Summary'!BD$53)+('Equipment List &amp; Usage'!$Q54*('Weekly Summary'!BD$52+'Weekly Summary'!BD$53))+('Equipment List &amp; Usage'!$R54*'Weekly Summary'!BD$64)+('Equipment List &amp; Usage'!$S54*'Weekly Summary'!BD$65)+('Equipment List &amp; Usage'!$T54*('Weekly Summary'!BD$64+'Weekly Summary'!BD$65)),
IF(BJ$10=0,('Equipment List &amp; Usage'!$O54*'Weekly Summary'!BD$52)+('Equipment List &amp; Usage'!$P54*'Weekly Summary'!BD$53)+('Equipment List &amp; Usage'!$Q54*('Weekly Summary'!BD$52+'Weekly Summary'!BD$53))+('Equipment List &amp; Usage'!$R54*'Weekly Summary'!BD$64)+('Equipment List &amp; Usage'!$S54*'Weekly Summary'!BD$65)+('Equipment List &amp; Usage'!$T54*('Weekly Summary'!BD$64+'Weekly Summary'!BD$65)),
('Equipment List &amp; Usage'!$O54*'Weekly Summary'!BD$52)+('Equipment List &amp; Usage'!$P54*'Weekly Summary'!BD$53)+('Equipment List &amp; Usage'!$Q54*('Weekly Summary'!BD$52+'Weekly Summary'!BD$53))+('Equipment List &amp; Usage'!$R54*'Weekly Summary'!BD$64)+('Equipment List &amp; Usage'!$S54*'Weekly Summary'!BD$65)+('Equipment List &amp; Usage'!$T54*('Weekly Summary'!BD$64+'Weekly Summary'!BD$65))-SUM($I52:BI52))),0)</f>
        <v>0</v>
      </c>
    </row>
    <row r="53" spans="2:62" ht="51.65" customHeight="1" x14ac:dyDescent="0.35">
      <c r="B53" s="735" t="str">
        <f>'Equipment List &amp; Usage'!B55</f>
        <v>Case management - biomedical equipment</v>
      </c>
      <c r="C53" s="526" t="str">
        <f>'Equipment List &amp; Usage'!C55</f>
        <v>Oxygen therapy</v>
      </c>
      <c r="D53" s="526" t="str">
        <f>'Equipment List &amp; Usage'!D55</f>
        <v>Oxygen source capable of delivering an average flow rate of 10 L/min (e.g., concentrator, cylinder, pipe supply)</v>
      </c>
      <c r="E53" s="526" t="str">
        <f>'Equipment List &amp; Usage'!E55</f>
        <v>Each</v>
      </c>
      <c r="F53" s="526" t="str">
        <f>'Equipment List &amp; Usage'!F55</f>
        <v>Yes</v>
      </c>
      <c r="G53" s="526" t="str">
        <f>'Equipment List &amp; Usage'!G55</f>
        <v>supplied with one of:
Flow and pressure regulator, as applicable;
Outlet connector</v>
      </c>
      <c r="H53" s="1369">
        <f t="shared" ca="1" si="3"/>
        <v>214.1022124010056</v>
      </c>
      <c r="J53" s="1344"/>
      <c r="K53" s="1381">
        <f ca="1">IF('User Dashboard'!$H$13=1,0,MAX(IF($F53="No",('Equipment List &amp; Usage'!$O55*'Weekly Summary'!E$52)+('Equipment List &amp; Usage'!$P55*'Weekly Summary'!E$53)+('Equipment List &amp; Usage'!$Q55*('Weekly Summary'!E$52+'Weekly Summary'!E$53))+('Equipment List &amp; Usage'!$R55*'Weekly Summary'!E$64)+('Equipment List &amp; Usage'!$S55*'Weekly Summary'!E$65)+('Equipment List &amp; Usage'!$T55*('Weekly Summary'!E$64+'Weekly Summary'!E$65)),
IF(K$10=0,('Equipment List &amp; Usage'!$O55*'Weekly Summary'!E$52)+('Equipment List &amp; Usage'!$P55*'Weekly Summary'!E$53)+('Equipment List &amp; Usage'!$Q55*('Weekly Summary'!E$52+'Weekly Summary'!E$53))+('Equipment List &amp; Usage'!$R55*'Weekly Summary'!E$64)+('Equipment List &amp; Usage'!$S55*'Weekly Summary'!E$65)+('Equipment List &amp; Usage'!$T55*('Weekly Summary'!E$64+'Weekly Summary'!E$65)),
('Equipment List &amp; Usage'!$O55*'Weekly Summary'!E$52)+('Equipment List &amp; Usage'!$P55*'Weekly Summary'!E$53)+('Equipment List &amp; Usage'!$Q55*('Weekly Summary'!E$52+'Weekly Summary'!E$53))+('Equipment List &amp; Usage'!$R55*'Weekly Summary'!E$64)+('Equipment List &amp; Usage'!$S55*'Weekly Summary'!E$65)+('Equipment List &amp; Usage'!$T55*('Weekly Summary'!E$64+'Weekly Summary'!E$65))-SUM($I53:I53))),0))</f>
        <v>0.44705811625212766</v>
      </c>
      <c r="L53" s="1381">
        <f ca="1">MAX(IF($F53="No",('Equipment List &amp; Usage'!$O55*'Weekly Summary'!F$52)+('Equipment List &amp; Usage'!$P55*'Weekly Summary'!F$53)+('Equipment List &amp; Usage'!$Q55*('Weekly Summary'!F$52+'Weekly Summary'!F$53))+('Equipment List &amp; Usage'!$R55*'Weekly Summary'!F$64)+('Equipment List &amp; Usage'!$S55*'Weekly Summary'!F$65)+('Equipment List &amp; Usage'!$T55*('Weekly Summary'!F$64+'Weekly Summary'!F$65)),
IF(L$10=0,('Equipment List &amp; Usage'!$O55*'Weekly Summary'!F$52)+('Equipment List &amp; Usage'!$P55*'Weekly Summary'!F$53)+('Equipment List &amp; Usage'!$Q55*('Weekly Summary'!F$52+'Weekly Summary'!F$53))+('Equipment List &amp; Usage'!$R55*'Weekly Summary'!F$64)+('Equipment List &amp; Usage'!$S55*'Weekly Summary'!F$65)+('Equipment List &amp; Usage'!$T55*('Weekly Summary'!F$64+'Weekly Summary'!F$65)),
('Equipment List &amp; Usage'!$O55*'Weekly Summary'!F$52)+('Equipment List &amp; Usage'!$P55*'Weekly Summary'!F$53)+('Equipment List &amp; Usage'!$Q55*('Weekly Summary'!F$52+'Weekly Summary'!F$53))+('Equipment List &amp; Usage'!$R55*'Weekly Summary'!F$64)+('Equipment List &amp; Usage'!$S55*'Weekly Summary'!F$65)+('Equipment List &amp; Usage'!$T55*('Weekly Summary'!F$64+'Weekly Summary'!F$65))-SUM($I53:K53))),0)</f>
        <v>1.0892607341966092</v>
      </c>
      <c r="M53" s="1381">
        <f ca="1">MAX(IF($F53="No",('Equipment List &amp; Usage'!$O55*'Weekly Summary'!G$52)+('Equipment List &amp; Usage'!$P55*'Weekly Summary'!G$53)+('Equipment List &amp; Usage'!$Q55*('Weekly Summary'!G$52+'Weekly Summary'!G$53))+('Equipment List &amp; Usage'!$R55*'Weekly Summary'!G$64)+('Equipment List &amp; Usage'!$S55*'Weekly Summary'!G$65)+('Equipment List &amp; Usage'!$T55*('Weekly Summary'!G$64+'Weekly Summary'!G$65)),
IF(M$10=0,('Equipment List &amp; Usage'!$O55*'Weekly Summary'!G$52)+('Equipment List &amp; Usage'!$P55*'Weekly Summary'!G$53)+('Equipment List &amp; Usage'!$Q55*('Weekly Summary'!G$52+'Weekly Summary'!G$53))+('Equipment List &amp; Usage'!$R55*'Weekly Summary'!G$64)+('Equipment List &amp; Usage'!$S55*'Weekly Summary'!G$65)+('Equipment List &amp; Usage'!$T55*('Weekly Summary'!G$64+'Weekly Summary'!G$65)),
('Equipment List &amp; Usage'!$O55*'Weekly Summary'!G$52)+('Equipment List &amp; Usage'!$P55*'Weekly Summary'!G$53)+('Equipment List &amp; Usage'!$Q55*('Weekly Summary'!G$52+'Weekly Summary'!G$53))+('Equipment List &amp; Usage'!$R55*'Weekly Summary'!G$64)+('Equipment List &amp; Usage'!$S55*'Weekly Summary'!G$65)+('Equipment List &amp; Usage'!$T55*('Weekly Summary'!G$64+'Weekly Summary'!G$65))-SUM($I53:L53))),0)</f>
        <v>3.7432023060277198</v>
      </c>
      <c r="N53" s="1381">
        <f ca="1">MAX(IF($F53="No",('Equipment List &amp; Usage'!$O55*'Weekly Summary'!H$52)+('Equipment List &amp; Usage'!$P55*'Weekly Summary'!H$53)+('Equipment List &amp; Usage'!$Q55*('Weekly Summary'!H$52+'Weekly Summary'!H$53))+('Equipment List &amp; Usage'!$R55*'Weekly Summary'!H$64)+('Equipment List &amp; Usage'!$S55*'Weekly Summary'!H$65)+('Equipment List &amp; Usage'!$T55*('Weekly Summary'!H$64+'Weekly Summary'!H$65)),
IF(N$10=0,('Equipment List &amp; Usage'!$O55*'Weekly Summary'!H$52)+('Equipment List &amp; Usage'!$P55*'Weekly Summary'!H$53)+('Equipment List &amp; Usage'!$Q55*('Weekly Summary'!H$52+'Weekly Summary'!H$53))+('Equipment List &amp; Usage'!$R55*'Weekly Summary'!H$64)+('Equipment List &amp; Usage'!$S55*'Weekly Summary'!H$65)+('Equipment List &amp; Usage'!$T55*('Weekly Summary'!H$64+'Weekly Summary'!H$65)),
('Equipment List &amp; Usage'!$O55*'Weekly Summary'!H$52)+('Equipment List &amp; Usage'!$P55*'Weekly Summary'!H$53)+('Equipment List &amp; Usage'!$Q55*('Weekly Summary'!H$52+'Weekly Summary'!H$53))+('Equipment List &amp; Usage'!$R55*'Weekly Summary'!H$64)+('Equipment List &amp; Usage'!$S55*'Weekly Summary'!H$65)+('Equipment List &amp; Usage'!$T55*('Weekly Summary'!H$64+'Weekly Summary'!H$65))-SUM($I53:M53))),0)</f>
        <v>12.862817760322709</v>
      </c>
      <c r="O53" s="1381">
        <f ca="1">MAX(IF($F53="No",('Equipment List &amp; Usage'!$O55*'Weekly Summary'!I$52)+('Equipment List &amp; Usage'!$P55*'Weekly Summary'!I$53)+('Equipment List &amp; Usage'!$Q55*('Weekly Summary'!I$52+'Weekly Summary'!I$53))+('Equipment List &amp; Usage'!$R55*'Weekly Summary'!I$64)+('Equipment List &amp; Usage'!$S55*'Weekly Summary'!I$65)+('Equipment List &amp; Usage'!$T55*('Weekly Summary'!I$64+'Weekly Summary'!I$65)),
IF(O$10=0,('Equipment List &amp; Usage'!$O55*'Weekly Summary'!I$52)+('Equipment List &amp; Usage'!$P55*'Weekly Summary'!I$53)+('Equipment List &amp; Usage'!$Q55*('Weekly Summary'!I$52+'Weekly Summary'!I$53))+('Equipment List &amp; Usage'!$R55*'Weekly Summary'!I$64)+('Equipment List &amp; Usage'!$S55*'Weekly Summary'!I$65)+('Equipment List &amp; Usage'!$T55*('Weekly Summary'!I$64+'Weekly Summary'!I$65)),
('Equipment List &amp; Usage'!$O55*'Weekly Summary'!I$52)+('Equipment List &amp; Usage'!$P55*'Weekly Summary'!I$53)+('Equipment List &amp; Usage'!$Q55*('Weekly Summary'!I$52+'Weekly Summary'!I$53))+('Equipment List &amp; Usage'!$R55*'Weekly Summary'!I$64)+('Equipment List &amp; Usage'!$S55*'Weekly Summary'!I$65)+('Equipment List &amp; Usage'!$T55*('Weekly Summary'!I$64+'Weekly Summary'!I$65))-SUM($I53:N53))),0)</f>
        <v>44.194161567743066</v>
      </c>
      <c r="P53" s="1381">
        <f ca="1">MAX(IF($F53="No",('Equipment List &amp; Usage'!$O55*'Weekly Summary'!J$52)+('Equipment List &amp; Usage'!$P55*'Weekly Summary'!J$53)+('Equipment List &amp; Usage'!$Q55*('Weekly Summary'!J$52+'Weekly Summary'!J$53))+('Equipment List &amp; Usage'!$R55*'Weekly Summary'!J$64)+('Equipment List &amp; Usage'!$S55*'Weekly Summary'!J$65)+('Equipment List &amp; Usage'!$T55*('Weekly Summary'!J$64+'Weekly Summary'!J$65)),
IF(P$10=0,('Equipment List &amp; Usage'!$O55*'Weekly Summary'!J$52)+('Equipment List &amp; Usage'!$P55*'Weekly Summary'!J$53)+('Equipment List &amp; Usage'!$Q55*('Weekly Summary'!J$52+'Weekly Summary'!J$53))+('Equipment List &amp; Usage'!$R55*'Weekly Summary'!J$64)+('Equipment List &amp; Usage'!$S55*'Weekly Summary'!J$65)+('Equipment List &amp; Usage'!$T55*('Weekly Summary'!J$64+'Weekly Summary'!J$65)),
('Equipment List &amp; Usage'!$O55*'Weekly Summary'!J$52)+('Equipment List &amp; Usage'!$P55*'Weekly Summary'!J$53)+('Equipment List &amp; Usage'!$Q55*('Weekly Summary'!J$52+'Weekly Summary'!J$53))+('Equipment List &amp; Usage'!$R55*'Weekly Summary'!J$64)+('Equipment List &amp; Usage'!$S55*'Weekly Summary'!J$65)+('Equipment List &amp; Usage'!$T55*('Weekly Summary'!J$64+'Weekly Summary'!J$65))-SUM($I53:O53))),0)</f>
        <v>151.76571191646337</v>
      </c>
      <c r="Q53" s="1381">
        <f ca="1">MAX(IF($F53="No",('Equipment List &amp; Usage'!$O55*'Weekly Summary'!K$52)+('Equipment List &amp; Usage'!$P55*'Weekly Summary'!K$53)+('Equipment List &amp; Usage'!$Q55*('Weekly Summary'!K$52+'Weekly Summary'!K$53))+('Equipment List &amp; Usage'!$R55*'Weekly Summary'!K$64)+('Equipment List &amp; Usage'!$S55*'Weekly Summary'!K$65)+('Equipment List &amp; Usage'!$T55*('Weekly Summary'!K$64+'Weekly Summary'!K$65)),
IF(Q$10=0,('Equipment List &amp; Usage'!$O55*'Weekly Summary'!K$52)+('Equipment List &amp; Usage'!$P55*'Weekly Summary'!K$53)+('Equipment List &amp; Usage'!$Q55*('Weekly Summary'!K$52+'Weekly Summary'!K$53))+('Equipment List &amp; Usage'!$R55*'Weekly Summary'!K$64)+('Equipment List &amp; Usage'!$S55*'Weekly Summary'!K$65)+('Equipment List &amp; Usage'!$T55*('Weekly Summary'!K$64+'Weekly Summary'!K$65)),
('Equipment List &amp; Usage'!$O55*'Weekly Summary'!K$52)+('Equipment List &amp; Usage'!$P55*'Weekly Summary'!K$53)+('Equipment List &amp; Usage'!$Q55*('Weekly Summary'!K$52+'Weekly Summary'!K$53))+('Equipment List &amp; Usage'!$R55*'Weekly Summary'!K$64)+('Equipment List &amp; Usage'!$S55*'Weekly Summary'!K$65)+('Equipment List &amp; Usage'!$T55*('Weekly Summary'!K$64+'Weekly Summary'!K$65))-SUM($I53:P53))),0)</f>
        <v>0</v>
      </c>
      <c r="R53" s="1381">
        <f ca="1">MAX(IF($F53="No",('Equipment List &amp; Usage'!$O55*'Weekly Summary'!L$52)+('Equipment List &amp; Usage'!$P55*'Weekly Summary'!L$53)+('Equipment List &amp; Usage'!$Q55*('Weekly Summary'!L$52+'Weekly Summary'!L$53))+('Equipment List &amp; Usage'!$R55*'Weekly Summary'!L$64)+('Equipment List &amp; Usage'!$S55*'Weekly Summary'!L$65)+('Equipment List &amp; Usage'!$T55*('Weekly Summary'!L$64+'Weekly Summary'!L$65)),
IF(R$10=0,('Equipment List &amp; Usage'!$O55*'Weekly Summary'!L$52)+('Equipment List &amp; Usage'!$P55*'Weekly Summary'!L$53)+('Equipment List &amp; Usage'!$Q55*('Weekly Summary'!L$52+'Weekly Summary'!L$53))+('Equipment List &amp; Usage'!$R55*'Weekly Summary'!L$64)+('Equipment List &amp; Usage'!$S55*'Weekly Summary'!L$65)+('Equipment List &amp; Usage'!$T55*('Weekly Summary'!L$64+'Weekly Summary'!L$65)),
('Equipment List &amp; Usage'!$O55*'Weekly Summary'!L$52)+('Equipment List &amp; Usage'!$P55*'Weekly Summary'!L$53)+('Equipment List &amp; Usage'!$Q55*('Weekly Summary'!L$52+'Weekly Summary'!L$53))+('Equipment List &amp; Usage'!$R55*'Weekly Summary'!L$64)+('Equipment List &amp; Usage'!$S55*'Weekly Summary'!L$65)+('Equipment List &amp; Usage'!$T55*('Weekly Summary'!L$64+'Weekly Summary'!L$65))-SUM($I53:Q53))),0)</f>
        <v>0</v>
      </c>
      <c r="S53" s="1381">
        <f ca="1">MAX(IF($F53="No",('Equipment List &amp; Usage'!$O55*'Weekly Summary'!M$52)+('Equipment List &amp; Usage'!$P55*'Weekly Summary'!M$53)+('Equipment List &amp; Usage'!$Q55*('Weekly Summary'!M$52+'Weekly Summary'!M$53))+('Equipment List &amp; Usage'!$R55*'Weekly Summary'!M$64)+('Equipment List &amp; Usage'!$S55*'Weekly Summary'!M$65)+('Equipment List &amp; Usage'!$T55*('Weekly Summary'!M$64+'Weekly Summary'!M$65)),
IF(S$10=0,('Equipment List &amp; Usage'!$O55*'Weekly Summary'!M$52)+('Equipment List &amp; Usage'!$P55*'Weekly Summary'!M$53)+('Equipment List &amp; Usage'!$Q55*('Weekly Summary'!M$52+'Weekly Summary'!M$53))+('Equipment List &amp; Usage'!$R55*'Weekly Summary'!M$64)+('Equipment List &amp; Usage'!$S55*'Weekly Summary'!M$65)+('Equipment List &amp; Usage'!$T55*('Weekly Summary'!M$64+'Weekly Summary'!M$65)),
('Equipment List &amp; Usage'!$O55*'Weekly Summary'!M$52)+('Equipment List &amp; Usage'!$P55*'Weekly Summary'!M$53)+('Equipment List &amp; Usage'!$Q55*('Weekly Summary'!M$52+'Weekly Summary'!M$53))+('Equipment List &amp; Usage'!$R55*'Weekly Summary'!M$64)+('Equipment List &amp; Usage'!$S55*'Weekly Summary'!M$65)+('Equipment List &amp; Usage'!$T55*('Weekly Summary'!M$64+'Weekly Summary'!M$65))-SUM($I53:R53))),0)</f>
        <v>0</v>
      </c>
      <c r="T53" s="1381">
        <f ca="1">MAX(IF($F53="No",('Equipment List &amp; Usage'!$O55*'Weekly Summary'!N$52)+('Equipment List &amp; Usage'!$P55*'Weekly Summary'!N$53)+('Equipment List &amp; Usage'!$Q55*('Weekly Summary'!N$52+'Weekly Summary'!N$53))+('Equipment List &amp; Usage'!$R55*'Weekly Summary'!N$64)+('Equipment List &amp; Usage'!$S55*'Weekly Summary'!N$65)+('Equipment List &amp; Usage'!$T55*('Weekly Summary'!N$64+'Weekly Summary'!N$65)),
IF(T$10=0,('Equipment List &amp; Usage'!$O55*'Weekly Summary'!N$52)+('Equipment List &amp; Usage'!$P55*'Weekly Summary'!N$53)+('Equipment List &amp; Usage'!$Q55*('Weekly Summary'!N$52+'Weekly Summary'!N$53))+('Equipment List &amp; Usage'!$R55*'Weekly Summary'!N$64)+('Equipment List &amp; Usage'!$S55*'Weekly Summary'!N$65)+('Equipment List &amp; Usage'!$T55*('Weekly Summary'!N$64+'Weekly Summary'!N$65)),
('Equipment List &amp; Usage'!$O55*'Weekly Summary'!N$52)+('Equipment List &amp; Usage'!$P55*'Weekly Summary'!N$53)+('Equipment List &amp; Usage'!$Q55*('Weekly Summary'!N$52+'Weekly Summary'!N$53))+('Equipment List &amp; Usage'!$R55*'Weekly Summary'!N$64)+('Equipment List &amp; Usage'!$S55*'Weekly Summary'!N$65)+('Equipment List &amp; Usage'!$T55*('Weekly Summary'!N$64+'Weekly Summary'!N$65))-SUM($I53:S53))),0)</f>
        <v>0</v>
      </c>
      <c r="U53" s="1381">
        <f ca="1">MAX(IF($F53="No",('Equipment List &amp; Usage'!$O55*'Weekly Summary'!O$52)+('Equipment List &amp; Usage'!$P55*'Weekly Summary'!O$53)+('Equipment List &amp; Usage'!$Q55*('Weekly Summary'!O$52+'Weekly Summary'!O$53))+('Equipment List &amp; Usage'!$R55*'Weekly Summary'!O$64)+('Equipment List &amp; Usage'!$S55*'Weekly Summary'!O$65)+('Equipment List &amp; Usage'!$T55*('Weekly Summary'!O$64+'Weekly Summary'!O$65)),
IF(U$10=0,('Equipment List &amp; Usage'!$O55*'Weekly Summary'!O$52)+('Equipment List &amp; Usage'!$P55*'Weekly Summary'!O$53)+('Equipment List &amp; Usage'!$Q55*('Weekly Summary'!O$52+'Weekly Summary'!O$53))+('Equipment List &amp; Usage'!$R55*'Weekly Summary'!O$64)+('Equipment List &amp; Usage'!$S55*'Weekly Summary'!O$65)+('Equipment List &amp; Usage'!$T55*('Weekly Summary'!O$64+'Weekly Summary'!O$65)),
('Equipment List &amp; Usage'!$O55*'Weekly Summary'!O$52)+('Equipment List &amp; Usage'!$P55*'Weekly Summary'!O$53)+('Equipment List &amp; Usage'!$Q55*('Weekly Summary'!O$52+'Weekly Summary'!O$53))+('Equipment List &amp; Usage'!$R55*'Weekly Summary'!O$64)+('Equipment List &amp; Usage'!$S55*'Weekly Summary'!O$65)+('Equipment List &amp; Usage'!$T55*('Weekly Summary'!O$64+'Weekly Summary'!O$65))-SUM($I53:T53))),0)</f>
        <v>0</v>
      </c>
      <c r="V53" s="1381">
        <f ca="1">MAX(IF($F53="No",('Equipment List &amp; Usage'!$O55*'Weekly Summary'!P$52)+('Equipment List &amp; Usage'!$P55*'Weekly Summary'!P$53)+('Equipment List &amp; Usage'!$Q55*('Weekly Summary'!P$52+'Weekly Summary'!P$53))+('Equipment List &amp; Usage'!$R55*'Weekly Summary'!P$64)+('Equipment List &amp; Usage'!$S55*'Weekly Summary'!P$65)+('Equipment List &amp; Usage'!$T55*('Weekly Summary'!P$64+'Weekly Summary'!P$65)),
IF(V$10=0,('Equipment List &amp; Usage'!$O55*'Weekly Summary'!P$52)+('Equipment List &amp; Usage'!$P55*'Weekly Summary'!P$53)+('Equipment List &amp; Usage'!$Q55*('Weekly Summary'!P$52+'Weekly Summary'!P$53))+('Equipment List &amp; Usage'!$R55*'Weekly Summary'!P$64)+('Equipment List &amp; Usage'!$S55*'Weekly Summary'!P$65)+('Equipment List &amp; Usage'!$T55*('Weekly Summary'!P$64+'Weekly Summary'!P$65)),
('Equipment List &amp; Usage'!$O55*'Weekly Summary'!P$52)+('Equipment List &amp; Usage'!$P55*'Weekly Summary'!P$53)+('Equipment List &amp; Usage'!$Q55*('Weekly Summary'!P$52+'Weekly Summary'!P$53))+('Equipment List &amp; Usage'!$R55*'Weekly Summary'!P$64)+('Equipment List &amp; Usage'!$S55*'Weekly Summary'!P$65)+('Equipment List &amp; Usage'!$T55*('Weekly Summary'!P$64+'Weekly Summary'!P$65))-SUM($I53:U53))),0)</f>
        <v>0</v>
      </c>
      <c r="W53" s="1381">
        <f ca="1">MAX(IF($F53="No",('Equipment List &amp; Usage'!$O55*'Weekly Summary'!Q$52)+('Equipment List &amp; Usage'!$P55*'Weekly Summary'!Q$53)+('Equipment List &amp; Usage'!$Q55*('Weekly Summary'!Q$52+'Weekly Summary'!Q$53))+('Equipment List &amp; Usage'!$R55*'Weekly Summary'!Q$64)+('Equipment List &amp; Usage'!$S55*'Weekly Summary'!Q$65)+('Equipment List &amp; Usage'!$T55*('Weekly Summary'!Q$64+'Weekly Summary'!Q$65)),
IF(W$10=0,('Equipment List &amp; Usage'!$O55*'Weekly Summary'!Q$52)+('Equipment List &amp; Usage'!$P55*'Weekly Summary'!Q$53)+('Equipment List &amp; Usage'!$Q55*('Weekly Summary'!Q$52+'Weekly Summary'!Q$53))+('Equipment List &amp; Usage'!$R55*'Weekly Summary'!Q$64)+('Equipment List &amp; Usage'!$S55*'Weekly Summary'!Q$65)+('Equipment List &amp; Usage'!$T55*('Weekly Summary'!Q$64+'Weekly Summary'!Q$65)),
('Equipment List &amp; Usage'!$O55*'Weekly Summary'!Q$52)+('Equipment List &amp; Usage'!$P55*'Weekly Summary'!Q$53)+('Equipment List &amp; Usage'!$Q55*('Weekly Summary'!Q$52+'Weekly Summary'!Q$53))+('Equipment List &amp; Usage'!$R55*'Weekly Summary'!Q$64)+('Equipment List &amp; Usage'!$S55*'Weekly Summary'!Q$65)+('Equipment List &amp; Usage'!$T55*('Weekly Summary'!Q$64+'Weekly Summary'!Q$65))-SUM($I53:V53))),0)</f>
        <v>0</v>
      </c>
      <c r="X53" s="1381">
        <f ca="1">MAX(IF($F53="No",('Equipment List &amp; Usage'!$O55*'Weekly Summary'!R$52)+('Equipment List &amp; Usage'!$P55*'Weekly Summary'!R$53)+('Equipment List &amp; Usage'!$Q55*('Weekly Summary'!R$52+'Weekly Summary'!R$53))+('Equipment List &amp; Usage'!$R55*'Weekly Summary'!R$64)+('Equipment List &amp; Usage'!$S55*'Weekly Summary'!R$65)+('Equipment List &amp; Usage'!$T55*('Weekly Summary'!R$64+'Weekly Summary'!R$65)),
IF(X$10=0,('Equipment List &amp; Usage'!$O55*'Weekly Summary'!R$52)+('Equipment List &amp; Usage'!$P55*'Weekly Summary'!R$53)+('Equipment List &amp; Usage'!$Q55*('Weekly Summary'!R$52+'Weekly Summary'!R$53))+('Equipment List &amp; Usage'!$R55*'Weekly Summary'!R$64)+('Equipment List &amp; Usage'!$S55*'Weekly Summary'!R$65)+('Equipment List &amp; Usage'!$T55*('Weekly Summary'!R$64+'Weekly Summary'!R$65)),
('Equipment List &amp; Usage'!$O55*'Weekly Summary'!R$52)+('Equipment List &amp; Usage'!$P55*'Weekly Summary'!R$53)+('Equipment List &amp; Usage'!$Q55*('Weekly Summary'!R$52+'Weekly Summary'!R$53))+('Equipment List &amp; Usage'!$R55*'Weekly Summary'!R$64)+('Equipment List &amp; Usage'!$S55*'Weekly Summary'!R$65)+('Equipment List &amp; Usage'!$T55*('Weekly Summary'!R$64+'Weekly Summary'!R$65))-SUM($I53:W53))),0)</f>
        <v>0</v>
      </c>
      <c r="Y53" s="1381">
        <f ca="1">MAX(IF($F53="No",('Equipment List &amp; Usage'!$O55*'Weekly Summary'!S$52)+('Equipment List &amp; Usage'!$P55*'Weekly Summary'!S$53)+('Equipment List &amp; Usage'!$Q55*('Weekly Summary'!S$52+'Weekly Summary'!S$53))+('Equipment List &amp; Usage'!$R55*'Weekly Summary'!S$64)+('Equipment List &amp; Usage'!$S55*'Weekly Summary'!S$65)+('Equipment List &amp; Usage'!$T55*('Weekly Summary'!S$64+'Weekly Summary'!S$65)),
IF(Y$10=0,('Equipment List &amp; Usage'!$O55*'Weekly Summary'!S$52)+('Equipment List &amp; Usage'!$P55*'Weekly Summary'!S$53)+('Equipment List &amp; Usage'!$Q55*('Weekly Summary'!S$52+'Weekly Summary'!S$53))+('Equipment List &amp; Usage'!$R55*'Weekly Summary'!S$64)+('Equipment List &amp; Usage'!$S55*'Weekly Summary'!S$65)+('Equipment List &amp; Usage'!$T55*('Weekly Summary'!S$64+'Weekly Summary'!S$65)),
('Equipment List &amp; Usage'!$O55*'Weekly Summary'!S$52)+('Equipment List &amp; Usage'!$P55*'Weekly Summary'!S$53)+('Equipment List &amp; Usage'!$Q55*('Weekly Summary'!S$52+'Weekly Summary'!S$53))+('Equipment List &amp; Usage'!$R55*'Weekly Summary'!S$64)+('Equipment List &amp; Usage'!$S55*'Weekly Summary'!S$65)+('Equipment List &amp; Usage'!$T55*('Weekly Summary'!S$64+'Weekly Summary'!S$65))-SUM($I53:X53))),0)</f>
        <v>0</v>
      </c>
      <c r="Z53" s="1381">
        <f ca="1">MAX(IF($F53="No",('Equipment List &amp; Usage'!$O55*'Weekly Summary'!T$52)+('Equipment List &amp; Usage'!$P55*'Weekly Summary'!T$53)+('Equipment List &amp; Usage'!$Q55*('Weekly Summary'!T$52+'Weekly Summary'!T$53))+('Equipment List &amp; Usage'!$R55*'Weekly Summary'!T$64)+('Equipment List &amp; Usage'!$S55*'Weekly Summary'!T$65)+('Equipment List &amp; Usage'!$T55*('Weekly Summary'!T$64+'Weekly Summary'!T$65)),
IF(Z$10=0,('Equipment List &amp; Usage'!$O55*'Weekly Summary'!T$52)+('Equipment List &amp; Usage'!$P55*'Weekly Summary'!T$53)+('Equipment List &amp; Usage'!$Q55*('Weekly Summary'!T$52+'Weekly Summary'!T$53))+('Equipment List &amp; Usage'!$R55*'Weekly Summary'!T$64)+('Equipment List &amp; Usage'!$S55*'Weekly Summary'!T$65)+('Equipment List &amp; Usage'!$T55*('Weekly Summary'!T$64+'Weekly Summary'!T$65)),
('Equipment List &amp; Usage'!$O55*'Weekly Summary'!T$52)+('Equipment List &amp; Usage'!$P55*'Weekly Summary'!T$53)+('Equipment List &amp; Usage'!$Q55*('Weekly Summary'!T$52+'Weekly Summary'!T$53))+('Equipment List &amp; Usage'!$R55*'Weekly Summary'!T$64)+('Equipment List &amp; Usage'!$S55*'Weekly Summary'!T$65)+('Equipment List &amp; Usage'!$T55*('Weekly Summary'!T$64+'Weekly Summary'!T$65))-SUM($I53:Y53))),0)</f>
        <v>0</v>
      </c>
      <c r="AA53" s="1381">
        <f ca="1">MAX(IF($F53="No",('Equipment List &amp; Usage'!$O55*'Weekly Summary'!U$52)+('Equipment List &amp; Usage'!$P55*'Weekly Summary'!U$53)+('Equipment List &amp; Usage'!$Q55*('Weekly Summary'!U$52+'Weekly Summary'!U$53))+('Equipment List &amp; Usage'!$R55*'Weekly Summary'!U$64)+('Equipment List &amp; Usage'!$S55*'Weekly Summary'!U$65)+('Equipment List &amp; Usage'!$T55*('Weekly Summary'!U$64+'Weekly Summary'!U$65)),
IF(AA$10=0,('Equipment List &amp; Usage'!$O55*'Weekly Summary'!U$52)+('Equipment List &amp; Usage'!$P55*'Weekly Summary'!U$53)+('Equipment List &amp; Usage'!$Q55*('Weekly Summary'!U$52+'Weekly Summary'!U$53))+('Equipment List &amp; Usage'!$R55*'Weekly Summary'!U$64)+('Equipment List &amp; Usage'!$S55*'Weekly Summary'!U$65)+('Equipment List &amp; Usage'!$T55*('Weekly Summary'!U$64+'Weekly Summary'!U$65)),
('Equipment List &amp; Usage'!$O55*'Weekly Summary'!U$52)+('Equipment List &amp; Usage'!$P55*'Weekly Summary'!U$53)+('Equipment List &amp; Usage'!$Q55*('Weekly Summary'!U$52+'Weekly Summary'!U$53))+('Equipment List &amp; Usage'!$R55*'Weekly Summary'!U$64)+('Equipment List &amp; Usage'!$S55*'Weekly Summary'!U$65)+('Equipment List &amp; Usage'!$T55*('Weekly Summary'!U$64+'Weekly Summary'!U$65))-SUM($I53:Z53))),0)</f>
        <v>0</v>
      </c>
      <c r="AB53" s="1381">
        <f ca="1">MAX(IF($F53="No",('Equipment List &amp; Usage'!$O55*'Weekly Summary'!V$52)+('Equipment List &amp; Usage'!$P55*'Weekly Summary'!V$53)+('Equipment List &amp; Usage'!$Q55*('Weekly Summary'!V$52+'Weekly Summary'!V$53))+('Equipment List &amp; Usage'!$R55*'Weekly Summary'!V$64)+('Equipment List &amp; Usage'!$S55*'Weekly Summary'!V$65)+('Equipment List &amp; Usage'!$T55*('Weekly Summary'!V$64+'Weekly Summary'!V$65)),
IF(AB$10=0,('Equipment List &amp; Usage'!$O55*'Weekly Summary'!V$52)+('Equipment List &amp; Usage'!$P55*'Weekly Summary'!V$53)+('Equipment List &amp; Usage'!$Q55*('Weekly Summary'!V$52+'Weekly Summary'!V$53))+('Equipment List &amp; Usage'!$R55*'Weekly Summary'!V$64)+('Equipment List &amp; Usage'!$S55*'Weekly Summary'!V$65)+('Equipment List &amp; Usage'!$T55*('Weekly Summary'!V$64+'Weekly Summary'!V$65)),
('Equipment List &amp; Usage'!$O55*'Weekly Summary'!V$52)+('Equipment List &amp; Usage'!$P55*'Weekly Summary'!V$53)+('Equipment List &amp; Usage'!$Q55*('Weekly Summary'!V$52+'Weekly Summary'!V$53))+('Equipment List &amp; Usage'!$R55*'Weekly Summary'!V$64)+('Equipment List &amp; Usage'!$S55*'Weekly Summary'!V$65)+('Equipment List &amp; Usage'!$T55*('Weekly Summary'!V$64+'Weekly Summary'!V$65))-SUM($I53:AA53))),0)</f>
        <v>0</v>
      </c>
      <c r="AC53" s="1381">
        <f ca="1">MAX(IF($F53="No",('Equipment List &amp; Usage'!$O55*'Weekly Summary'!W$52)+('Equipment List &amp; Usage'!$P55*'Weekly Summary'!W$53)+('Equipment List &amp; Usage'!$Q55*('Weekly Summary'!W$52+'Weekly Summary'!W$53))+('Equipment List &amp; Usage'!$R55*'Weekly Summary'!W$64)+('Equipment List &amp; Usage'!$S55*'Weekly Summary'!W$65)+('Equipment List &amp; Usage'!$T55*('Weekly Summary'!W$64+'Weekly Summary'!W$65)),
IF(AC$10=0,('Equipment List &amp; Usage'!$O55*'Weekly Summary'!W$52)+('Equipment List &amp; Usage'!$P55*'Weekly Summary'!W$53)+('Equipment List &amp; Usage'!$Q55*('Weekly Summary'!W$52+'Weekly Summary'!W$53))+('Equipment List &amp; Usage'!$R55*'Weekly Summary'!W$64)+('Equipment List &amp; Usage'!$S55*'Weekly Summary'!W$65)+('Equipment List &amp; Usage'!$T55*('Weekly Summary'!W$64+'Weekly Summary'!W$65)),
('Equipment List &amp; Usage'!$O55*'Weekly Summary'!W$52)+('Equipment List &amp; Usage'!$P55*'Weekly Summary'!W$53)+('Equipment List &amp; Usage'!$Q55*('Weekly Summary'!W$52+'Weekly Summary'!W$53))+('Equipment List &amp; Usage'!$R55*'Weekly Summary'!W$64)+('Equipment List &amp; Usage'!$S55*'Weekly Summary'!W$65)+('Equipment List &amp; Usage'!$T55*('Weekly Summary'!W$64+'Weekly Summary'!W$65))-SUM($I53:AB53))),0)</f>
        <v>0</v>
      </c>
      <c r="AD53" s="1381">
        <f ca="1">MAX(IF($F53="No",('Equipment List &amp; Usage'!$O55*'Weekly Summary'!X$52)+('Equipment List &amp; Usage'!$P55*'Weekly Summary'!X$53)+('Equipment List &amp; Usage'!$Q55*('Weekly Summary'!X$52+'Weekly Summary'!X$53))+('Equipment List &amp; Usage'!$R55*'Weekly Summary'!X$64)+('Equipment List &amp; Usage'!$S55*'Weekly Summary'!X$65)+('Equipment List &amp; Usage'!$T55*('Weekly Summary'!X$64+'Weekly Summary'!X$65)),
IF(AD$10=0,('Equipment List &amp; Usage'!$O55*'Weekly Summary'!X$52)+('Equipment List &amp; Usage'!$P55*'Weekly Summary'!X$53)+('Equipment List &amp; Usage'!$Q55*('Weekly Summary'!X$52+'Weekly Summary'!X$53))+('Equipment List &amp; Usage'!$R55*'Weekly Summary'!X$64)+('Equipment List &amp; Usage'!$S55*'Weekly Summary'!X$65)+('Equipment List &amp; Usage'!$T55*('Weekly Summary'!X$64+'Weekly Summary'!X$65)),
('Equipment List &amp; Usage'!$O55*'Weekly Summary'!X$52)+('Equipment List &amp; Usage'!$P55*'Weekly Summary'!X$53)+('Equipment List &amp; Usage'!$Q55*('Weekly Summary'!X$52+'Weekly Summary'!X$53))+('Equipment List &amp; Usage'!$R55*'Weekly Summary'!X$64)+('Equipment List &amp; Usage'!$S55*'Weekly Summary'!X$65)+('Equipment List &amp; Usage'!$T55*('Weekly Summary'!X$64+'Weekly Summary'!X$65))-SUM($I53:AC53))),0)</f>
        <v>0</v>
      </c>
      <c r="AE53" s="1381">
        <f ca="1">MAX(IF($F53="No",('Equipment List &amp; Usage'!$O55*'Weekly Summary'!Y$52)+('Equipment List &amp; Usage'!$P55*'Weekly Summary'!Y$53)+('Equipment List &amp; Usage'!$Q55*('Weekly Summary'!Y$52+'Weekly Summary'!Y$53))+('Equipment List &amp; Usage'!$R55*'Weekly Summary'!Y$64)+('Equipment List &amp; Usage'!$S55*'Weekly Summary'!Y$65)+('Equipment List &amp; Usage'!$T55*('Weekly Summary'!Y$64+'Weekly Summary'!Y$65)),
IF(AE$10=0,('Equipment List &amp; Usage'!$O55*'Weekly Summary'!Y$52)+('Equipment List &amp; Usage'!$P55*'Weekly Summary'!Y$53)+('Equipment List &amp; Usage'!$Q55*('Weekly Summary'!Y$52+'Weekly Summary'!Y$53))+('Equipment List &amp; Usage'!$R55*'Weekly Summary'!Y$64)+('Equipment List &amp; Usage'!$S55*'Weekly Summary'!Y$65)+('Equipment List &amp; Usage'!$T55*('Weekly Summary'!Y$64+'Weekly Summary'!Y$65)),
('Equipment List &amp; Usage'!$O55*'Weekly Summary'!Y$52)+('Equipment List &amp; Usage'!$P55*'Weekly Summary'!Y$53)+('Equipment List &amp; Usage'!$Q55*('Weekly Summary'!Y$52+'Weekly Summary'!Y$53))+('Equipment List &amp; Usage'!$R55*'Weekly Summary'!Y$64)+('Equipment List &amp; Usage'!$S55*'Weekly Summary'!Y$65)+('Equipment List &amp; Usage'!$T55*('Weekly Summary'!Y$64+'Weekly Summary'!Y$65))-SUM($I53:AD53))),0)</f>
        <v>0</v>
      </c>
      <c r="AF53" s="1381">
        <f ca="1">MAX(IF($F53="No",('Equipment List &amp; Usage'!$O55*'Weekly Summary'!Z$52)+('Equipment List &amp; Usage'!$P55*'Weekly Summary'!Z$53)+('Equipment List &amp; Usage'!$Q55*('Weekly Summary'!Z$52+'Weekly Summary'!Z$53))+('Equipment List &amp; Usage'!$R55*'Weekly Summary'!Z$64)+('Equipment List &amp; Usage'!$S55*'Weekly Summary'!Z$65)+('Equipment List &amp; Usage'!$T55*('Weekly Summary'!Z$64+'Weekly Summary'!Z$65)),
IF(AF$10=0,('Equipment List &amp; Usage'!$O55*'Weekly Summary'!Z$52)+('Equipment List &amp; Usage'!$P55*'Weekly Summary'!Z$53)+('Equipment List &amp; Usage'!$Q55*('Weekly Summary'!Z$52+'Weekly Summary'!Z$53))+('Equipment List &amp; Usage'!$R55*'Weekly Summary'!Z$64)+('Equipment List &amp; Usage'!$S55*'Weekly Summary'!Z$65)+('Equipment List &amp; Usage'!$T55*('Weekly Summary'!Z$64+'Weekly Summary'!Z$65)),
('Equipment List &amp; Usage'!$O55*'Weekly Summary'!Z$52)+('Equipment List &amp; Usage'!$P55*'Weekly Summary'!Z$53)+('Equipment List &amp; Usage'!$Q55*('Weekly Summary'!Z$52+'Weekly Summary'!Z$53))+('Equipment List &amp; Usage'!$R55*'Weekly Summary'!Z$64)+('Equipment List &amp; Usage'!$S55*'Weekly Summary'!Z$65)+('Equipment List &amp; Usage'!$T55*('Weekly Summary'!Z$64+'Weekly Summary'!Z$65))-SUM($I53:AE53))),0)</f>
        <v>0</v>
      </c>
      <c r="AG53" s="1381">
        <f ca="1">MAX(IF($F53="No",('Equipment List &amp; Usage'!$O55*'Weekly Summary'!AA$52)+('Equipment List &amp; Usage'!$P55*'Weekly Summary'!AA$53)+('Equipment List &amp; Usage'!$Q55*('Weekly Summary'!AA$52+'Weekly Summary'!AA$53))+('Equipment List &amp; Usage'!$R55*'Weekly Summary'!AA$64)+('Equipment List &amp; Usage'!$S55*'Weekly Summary'!AA$65)+('Equipment List &amp; Usage'!$T55*('Weekly Summary'!AA$64+'Weekly Summary'!AA$65)),
IF(AG$10=0,('Equipment List &amp; Usage'!$O55*'Weekly Summary'!AA$52)+('Equipment List &amp; Usage'!$P55*'Weekly Summary'!AA$53)+('Equipment List &amp; Usage'!$Q55*('Weekly Summary'!AA$52+'Weekly Summary'!AA$53))+('Equipment List &amp; Usage'!$R55*'Weekly Summary'!AA$64)+('Equipment List &amp; Usage'!$S55*'Weekly Summary'!AA$65)+('Equipment List &amp; Usage'!$T55*('Weekly Summary'!AA$64+'Weekly Summary'!AA$65)),
('Equipment List &amp; Usage'!$O55*'Weekly Summary'!AA$52)+('Equipment List &amp; Usage'!$P55*'Weekly Summary'!AA$53)+('Equipment List &amp; Usage'!$Q55*('Weekly Summary'!AA$52+'Weekly Summary'!AA$53))+('Equipment List &amp; Usage'!$R55*'Weekly Summary'!AA$64)+('Equipment List &amp; Usage'!$S55*'Weekly Summary'!AA$65)+('Equipment List &amp; Usage'!$T55*('Weekly Summary'!AA$64+'Weekly Summary'!AA$65))-SUM($I53:AF53))),0)</f>
        <v>0</v>
      </c>
      <c r="AH53" s="1381">
        <f ca="1">MAX(IF($F53="No",('Equipment List &amp; Usage'!$O55*'Weekly Summary'!AB$52)+('Equipment List &amp; Usage'!$P55*'Weekly Summary'!AB$53)+('Equipment List &amp; Usage'!$Q55*('Weekly Summary'!AB$52+'Weekly Summary'!AB$53))+('Equipment List &amp; Usage'!$R55*'Weekly Summary'!AB$64)+('Equipment List &amp; Usage'!$S55*'Weekly Summary'!AB$65)+('Equipment List &amp; Usage'!$T55*('Weekly Summary'!AB$64+'Weekly Summary'!AB$65)),
IF(AH$10=0,('Equipment List &amp; Usage'!$O55*'Weekly Summary'!AB$52)+('Equipment List &amp; Usage'!$P55*'Weekly Summary'!AB$53)+('Equipment List &amp; Usage'!$Q55*('Weekly Summary'!AB$52+'Weekly Summary'!AB$53))+('Equipment List &amp; Usage'!$R55*'Weekly Summary'!AB$64)+('Equipment List &amp; Usage'!$S55*'Weekly Summary'!AB$65)+('Equipment List &amp; Usage'!$T55*('Weekly Summary'!AB$64+'Weekly Summary'!AB$65)),
('Equipment List &amp; Usage'!$O55*'Weekly Summary'!AB$52)+('Equipment List &amp; Usage'!$P55*'Weekly Summary'!AB$53)+('Equipment List &amp; Usage'!$Q55*('Weekly Summary'!AB$52+'Weekly Summary'!AB$53))+('Equipment List &amp; Usage'!$R55*'Weekly Summary'!AB$64)+('Equipment List &amp; Usage'!$S55*'Weekly Summary'!AB$65)+('Equipment List &amp; Usage'!$T55*('Weekly Summary'!AB$64+'Weekly Summary'!AB$65))-SUM($I53:AG53))),0)</f>
        <v>0</v>
      </c>
      <c r="AI53" s="1381">
        <f ca="1">MAX(IF($F53="No",('Equipment List &amp; Usage'!$O55*'Weekly Summary'!AC$52)+('Equipment List &amp; Usage'!$P55*'Weekly Summary'!AC$53)+('Equipment List &amp; Usage'!$Q55*('Weekly Summary'!AC$52+'Weekly Summary'!AC$53))+('Equipment List &amp; Usage'!$R55*'Weekly Summary'!AC$64)+('Equipment List &amp; Usage'!$S55*'Weekly Summary'!AC$65)+('Equipment List &amp; Usage'!$T55*('Weekly Summary'!AC$64+'Weekly Summary'!AC$65)),
IF(AI$10=0,('Equipment List &amp; Usage'!$O55*'Weekly Summary'!AC$52)+('Equipment List &amp; Usage'!$P55*'Weekly Summary'!AC$53)+('Equipment List &amp; Usage'!$Q55*('Weekly Summary'!AC$52+'Weekly Summary'!AC$53))+('Equipment List &amp; Usage'!$R55*'Weekly Summary'!AC$64)+('Equipment List &amp; Usage'!$S55*'Weekly Summary'!AC$65)+('Equipment List &amp; Usage'!$T55*('Weekly Summary'!AC$64+'Weekly Summary'!AC$65)),
('Equipment List &amp; Usage'!$O55*'Weekly Summary'!AC$52)+('Equipment List &amp; Usage'!$P55*'Weekly Summary'!AC$53)+('Equipment List &amp; Usage'!$Q55*('Weekly Summary'!AC$52+'Weekly Summary'!AC$53))+('Equipment List &amp; Usage'!$R55*'Weekly Summary'!AC$64)+('Equipment List &amp; Usage'!$S55*'Weekly Summary'!AC$65)+('Equipment List &amp; Usage'!$T55*('Weekly Summary'!AC$64+'Weekly Summary'!AC$65))-SUM($I53:AH53))),0)</f>
        <v>0</v>
      </c>
      <c r="AJ53" s="1381">
        <f ca="1">MAX(IF($F53="No",('Equipment List &amp; Usage'!$O55*'Weekly Summary'!AD$52)+('Equipment List &amp; Usage'!$P55*'Weekly Summary'!AD$53)+('Equipment List &amp; Usage'!$Q55*('Weekly Summary'!AD$52+'Weekly Summary'!AD$53))+('Equipment List &amp; Usage'!$R55*'Weekly Summary'!AD$64)+('Equipment List &amp; Usage'!$S55*'Weekly Summary'!AD$65)+('Equipment List &amp; Usage'!$T55*('Weekly Summary'!AD$64+'Weekly Summary'!AD$65)),
IF(AJ$10=0,('Equipment List &amp; Usage'!$O55*'Weekly Summary'!AD$52)+('Equipment List &amp; Usage'!$P55*'Weekly Summary'!AD$53)+('Equipment List &amp; Usage'!$Q55*('Weekly Summary'!AD$52+'Weekly Summary'!AD$53))+('Equipment List &amp; Usage'!$R55*'Weekly Summary'!AD$64)+('Equipment List &amp; Usage'!$S55*'Weekly Summary'!AD$65)+('Equipment List &amp; Usage'!$T55*('Weekly Summary'!AD$64+'Weekly Summary'!AD$65)),
('Equipment List &amp; Usage'!$O55*'Weekly Summary'!AD$52)+('Equipment List &amp; Usage'!$P55*'Weekly Summary'!AD$53)+('Equipment List &amp; Usage'!$Q55*('Weekly Summary'!AD$52+'Weekly Summary'!AD$53))+('Equipment List &amp; Usage'!$R55*'Weekly Summary'!AD$64)+('Equipment List &amp; Usage'!$S55*'Weekly Summary'!AD$65)+('Equipment List &amp; Usage'!$T55*('Weekly Summary'!AD$64+'Weekly Summary'!AD$65))-SUM($I53:AI53))),0)</f>
        <v>0</v>
      </c>
      <c r="AK53" s="1381">
        <f ca="1">MAX(IF($F53="No",('Equipment List &amp; Usage'!$O55*'Weekly Summary'!AE$52)+('Equipment List &amp; Usage'!$P55*'Weekly Summary'!AE$53)+('Equipment List &amp; Usage'!$Q55*('Weekly Summary'!AE$52+'Weekly Summary'!AE$53))+('Equipment List &amp; Usage'!$R55*'Weekly Summary'!AE$64)+('Equipment List &amp; Usage'!$S55*'Weekly Summary'!AE$65)+('Equipment List &amp; Usage'!$T55*('Weekly Summary'!AE$64+'Weekly Summary'!AE$65)),
IF(AK$10=0,('Equipment List &amp; Usage'!$O55*'Weekly Summary'!AE$52)+('Equipment List &amp; Usage'!$P55*'Weekly Summary'!AE$53)+('Equipment List &amp; Usage'!$Q55*('Weekly Summary'!AE$52+'Weekly Summary'!AE$53))+('Equipment List &amp; Usage'!$R55*'Weekly Summary'!AE$64)+('Equipment List &amp; Usage'!$S55*'Weekly Summary'!AE$65)+('Equipment List &amp; Usage'!$T55*('Weekly Summary'!AE$64+'Weekly Summary'!AE$65)),
('Equipment List &amp; Usage'!$O55*'Weekly Summary'!AE$52)+('Equipment List &amp; Usage'!$P55*'Weekly Summary'!AE$53)+('Equipment List &amp; Usage'!$Q55*('Weekly Summary'!AE$52+'Weekly Summary'!AE$53))+('Equipment List &amp; Usage'!$R55*'Weekly Summary'!AE$64)+('Equipment List &amp; Usage'!$S55*'Weekly Summary'!AE$65)+('Equipment List &amp; Usage'!$T55*('Weekly Summary'!AE$64+'Weekly Summary'!AE$65))-SUM($I53:AJ53))),0)</f>
        <v>0</v>
      </c>
      <c r="AL53" s="1381">
        <f ca="1">MAX(IF($F53="No",('Equipment List &amp; Usage'!$O55*'Weekly Summary'!AF$52)+('Equipment List &amp; Usage'!$P55*'Weekly Summary'!AF$53)+('Equipment List &amp; Usage'!$Q55*('Weekly Summary'!AF$52+'Weekly Summary'!AF$53))+('Equipment List &amp; Usage'!$R55*'Weekly Summary'!AF$64)+('Equipment List &amp; Usage'!$S55*'Weekly Summary'!AF$65)+('Equipment List &amp; Usage'!$T55*('Weekly Summary'!AF$64+'Weekly Summary'!AF$65)),
IF(AL$10=0,('Equipment List &amp; Usage'!$O55*'Weekly Summary'!AF$52)+('Equipment List &amp; Usage'!$P55*'Weekly Summary'!AF$53)+('Equipment List &amp; Usage'!$Q55*('Weekly Summary'!AF$52+'Weekly Summary'!AF$53))+('Equipment List &amp; Usage'!$R55*'Weekly Summary'!AF$64)+('Equipment List &amp; Usage'!$S55*'Weekly Summary'!AF$65)+('Equipment List &amp; Usage'!$T55*('Weekly Summary'!AF$64+'Weekly Summary'!AF$65)),
('Equipment List &amp; Usage'!$O55*'Weekly Summary'!AF$52)+('Equipment List &amp; Usage'!$P55*'Weekly Summary'!AF$53)+('Equipment List &amp; Usage'!$Q55*('Weekly Summary'!AF$52+'Weekly Summary'!AF$53))+('Equipment List &amp; Usage'!$R55*'Weekly Summary'!AF$64)+('Equipment List &amp; Usage'!$S55*'Weekly Summary'!AF$65)+('Equipment List &amp; Usage'!$T55*('Weekly Summary'!AF$64+'Weekly Summary'!AF$65))-SUM($I53:AK53))),0)</f>
        <v>0</v>
      </c>
      <c r="AM53" s="1381">
        <f ca="1">MAX(IF($F53="No",('Equipment List &amp; Usage'!$O55*'Weekly Summary'!AG$52)+('Equipment List &amp; Usage'!$P55*'Weekly Summary'!AG$53)+('Equipment List &amp; Usage'!$Q55*('Weekly Summary'!AG$52+'Weekly Summary'!AG$53))+('Equipment List &amp; Usage'!$R55*'Weekly Summary'!AG$64)+('Equipment List &amp; Usage'!$S55*'Weekly Summary'!AG$65)+('Equipment List &amp; Usage'!$T55*('Weekly Summary'!AG$64+'Weekly Summary'!AG$65)),
IF(AM$10=0,('Equipment List &amp; Usage'!$O55*'Weekly Summary'!AG$52)+('Equipment List &amp; Usage'!$P55*'Weekly Summary'!AG$53)+('Equipment List &amp; Usage'!$Q55*('Weekly Summary'!AG$52+'Weekly Summary'!AG$53))+('Equipment List &amp; Usage'!$R55*'Weekly Summary'!AG$64)+('Equipment List &amp; Usage'!$S55*'Weekly Summary'!AG$65)+('Equipment List &amp; Usage'!$T55*('Weekly Summary'!AG$64+'Weekly Summary'!AG$65)),
('Equipment List &amp; Usage'!$O55*'Weekly Summary'!AG$52)+('Equipment List &amp; Usage'!$P55*'Weekly Summary'!AG$53)+('Equipment List &amp; Usage'!$Q55*('Weekly Summary'!AG$52+'Weekly Summary'!AG$53))+('Equipment List &amp; Usage'!$R55*'Weekly Summary'!AG$64)+('Equipment List &amp; Usage'!$S55*'Weekly Summary'!AG$65)+('Equipment List &amp; Usage'!$T55*('Weekly Summary'!AG$64+'Weekly Summary'!AG$65))-SUM($I53:AL53))),0)</f>
        <v>0</v>
      </c>
      <c r="AN53" s="1381">
        <f ca="1">MAX(IF($F53="No",('Equipment List &amp; Usage'!$O55*'Weekly Summary'!AH$52)+('Equipment List &amp; Usage'!$P55*'Weekly Summary'!AH$53)+('Equipment List &amp; Usage'!$Q55*('Weekly Summary'!AH$52+'Weekly Summary'!AH$53))+('Equipment List &amp; Usage'!$R55*'Weekly Summary'!AH$64)+('Equipment List &amp; Usage'!$S55*'Weekly Summary'!AH$65)+('Equipment List &amp; Usage'!$T55*('Weekly Summary'!AH$64+'Weekly Summary'!AH$65)),
IF(AN$10=0,('Equipment List &amp; Usage'!$O55*'Weekly Summary'!AH$52)+('Equipment List &amp; Usage'!$P55*'Weekly Summary'!AH$53)+('Equipment List &amp; Usage'!$Q55*('Weekly Summary'!AH$52+'Weekly Summary'!AH$53))+('Equipment List &amp; Usage'!$R55*'Weekly Summary'!AH$64)+('Equipment List &amp; Usage'!$S55*'Weekly Summary'!AH$65)+('Equipment List &amp; Usage'!$T55*('Weekly Summary'!AH$64+'Weekly Summary'!AH$65)),
('Equipment List &amp; Usage'!$O55*'Weekly Summary'!AH$52)+('Equipment List &amp; Usage'!$P55*'Weekly Summary'!AH$53)+('Equipment List &amp; Usage'!$Q55*('Weekly Summary'!AH$52+'Weekly Summary'!AH$53))+('Equipment List &amp; Usage'!$R55*'Weekly Summary'!AH$64)+('Equipment List &amp; Usage'!$S55*'Weekly Summary'!AH$65)+('Equipment List &amp; Usage'!$T55*('Weekly Summary'!AH$64+'Weekly Summary'!AH$65))-SUM($I53:AM53))),0)</f>
        <v>0</v>
      </c>
      <c r="AO53" s="1381">
        <f ca="1">MAX(IF($F53="No",('Equipment List &amp; Usage'!$O55*'Weekly Summary'!AI$52)+('Equipment List &amp; Usage'!$P55*'Weekly Summary'!AI$53)+('Equipment List &amp; Usage'!$Q55*('Weekly Summary'!AI$52+'Weekly Summary'!AI$53))+('Equipment List &amp; Usage'!$R55*'Weekly Summary'!AI$64)+('Equipment List &amp; Usage'!$S55*'Weekly Summary'!AI$65)+('Equipment List &amp; Usage'!$T55*('Weekly Summary'!AI$64+'Weekly Summary'!AI$65)),
IF(AO$10=0,('Equipment List &amp; Usage'!$O55*'Weekly Summary'!AI$52)+('Equipment List &amp; Usage'!$P55*'Weekly Summary'!AI$53)+('Equipment List &amp; Usage'!$Q55*('Weekly Summary'!AI$52+'Weekly Summary'!AI$53))+('Equipment List &amp; Usage'!$R55*'Weekly Summary'!AI$64)+('Equipment List &amp; Usage'!$S55*'Weekly Summary'!AI$65)+('Equipment List &amp; Usage'!$T55*('Weekly Summary'!AI$64+'Weekly Summary'!AI$65)),
('Equipment List &amp; Usage'!$O55*'Weekly Summary'!AI$52)+('Equipment List &amp; Usage'!$P55*'Weekly Summary'!AI$53)+('Equipment List &amp; Usage'!$Q55*('Weekly Summary'!AI$52+'Weekly Summary'!AI$53))+('Equipment List &amp; Usage'!$R55*'Weekly Summary'!AI$64)+('Equipment List &amp; Usage'!$S55*'Weekly Summary'!AI$65)+('Equipment List &amp; Usage'!$T55*('Weekly Summary'!AI$64+'Weekly Summary'!AI$65))-SUM($I53:AN53))),0)</f>
        <v>0</v>
      </c>
      <c r="AP53" s="1381">
        <f ca="1">MAX(IF($F53="No",('Equipment List &amp; Usage'!$O55*'Weekly Summary'!AJ$52)+('Equipment List &amp; Usage'!$P55*'Weekly Summary'!AJ$53)+('Equipment List &amp; Usage'!$Q55*('Weekly Summary'!AJ$52+'Weekly Summary'!AJ$53))+('Equipment List &amp; Usage'!$R55*'Weekly Summary'!AJ$64)+('Equipment List &amp; Usage'!$S55*'Weekly Summary'!AJ$65)+('Equipment List &amp; Usage'!$T55*('Weekly Summary'!AJ$64+'Weekly Summary'!AJ$65)),
IF(AP$10=0,('Equipment List &amp; Usage'!$O55*'Weekly Summary'!AJ$52)+('Equipment List &amp; Usage'!$P55*'Weekly Summary'!AJ$53)+('Equipment List &amp; Usage'!$Q55*('Weekly Summary'!AJ$52+'Weekly Summary'!AJ$53))+('Equipment List &amp; Usage'!$R55*'Weekly Summary'!AJ$64)+('Equipment List &amp; Usage'!$S55*'Weekly Summary'!AJ$65)+('Equipment List &amp; Usage'!$T55*('Weekly Summary'!AJ$64+'Weekly Summary'!AJ$65)),
('Equipment List &amp; Usage'!$O55*'Weekly Summary'!AJ$52)+('Equipment List &amp; Usage'!$P55*'Weekly Summary'!AJ$53)+('Equipment List &amp; Usage'!$Q55*('Weekly Summary'!AJ$52+'Weekly Summary'!AJ$53))+('Equipment List &amp; Usage'!$R55*'Weekly Summary'!AJ$64)+('Equipment List &amp; Usage'!$S55*'Weekly Summary'!AJ$65)+('Equipment List &amp; Usage'!$T55*('Weekly Summary'!AJ$64+'Weekly Summary'!AJ$65))-SUM($I53:AO53))),0)</f>
        <v>0</v>
      </c>
      <c r="AQ53" s="1381">
        <f ca="1">MAX(IF($F53="No",('Equipment List &amp; Usage'!$O55*'Weekly Summary'!AK$52)+('Equipment List &amp; Usage'!$P55*'Weekly Summary'!AK$53)+('Equipment List &amp; Usage'!$Q55*('Weekly Summary'!AK$52+'Weekly Summary'!AK$53))+('Equipment List &amp; Usage'!$R55*'Weekly Summary'!AK$64)+('Equipment List &amp; Usage'!$S55*'Weekly Summary'!AK$65)+('Equipment List &amp; Usage'!$T55*('Weekly Summary'!AK$64+'Weekly Summary'!AK$65)),
IF(AQ$10=0,('Equipment List &amp; Usage'!$O55*'Weekly Summary'!AK$52)+('Equipment List &amp; Usage'!$P55*'Weekly Summary'!AK$53)+('Equipment List &amp; Usage'!$Q55*('Weekly Summary'!AK$52+'Weekly Summary'!AK$53))+('Equipment List &amp; Usage'!$R55*'Weekly Summary'!AK$64)+('Equipment List &amp; Usage'!$S55*'Weekly Summary'!AK$65)+('Equipment List &amp; Usage'!$T55*('Weekly Summary'!AK$64+'Weekly Summary'!AK$65)),
('Equipment List &amp; Usage'!$O55*'Weekly Summary'!AK$52)+('Equipment List &amp; Usage'!$P55*'Weekly Summary'!AK$53)+('Equipment List &amp; Usage'!$Q55*('Weekly Summary'!AK$52+'Weekly Summary'!AK$53))+('Equipment List &amp; Usage'!$R55*'Weekly Summary'!AK$64)+('Equipment List &amp; Usage'!$S55*'Weekly Summary'!AK$65)+('Equipment List &amp; Usage'!$T55*('Weekly Summary'!AK$64+'Weekly Summary'!AK$65))-SUM($I53:AP53))),0)</f>
        <v>0</v>
      </c>
      <c r="AR53" s="1381">
        <f ca="1">MAX(IF($F53="No",('Equipment List &amp; Usage'!$O55*'Weekly Summary'!AL$52)+('Equipment List &amp; Usage'!$P55*'Weekly Summary'!AL$53)+('Equipment List &amp; Usage'!$Q55*('Weekly Summary'!AL$52+'Weekly Summary'!AL$53))+('Equipment List &amp; Usage'!$R55*'Weekly Summary'!AL$64)+('Equipment List &amp; Usage'!$S55*'Weekly Summary'!AL$65)+('Equipment List &amp; Usage'!$T55*('Weekly Summary'!AL$64+'Weekly Summary'!AL$65)),
IF(AR$10=0,('Equipment List &amp; Usage'!$O55*'Weekly Summary'!AL$52)+('Equipment List &amp; Usage'!$P55*'Weekly Summary'!AL$53)+('Equipment List &amp; Usage'!$Q55*('Weekly Summary'!AL$52+'Weekly Summary'!AL$53))+('Equipment List &amp; Usage'!$R55*'Weekly Summary'!AL$64)+('Equipment List &amp; Usage'!$S55*'Weekly Summary'!AL$65)+('Equipment List &amp; Usage'!$T55*('Weekly Summary'!AL$64+'Weekly Summary'!AL$65)),
('Equipment List &amp; Usage'!$O55*'Weekly Summary'!AL$52)+('Equipment List &amp; Usage'!$P55*'Weekly Summary'!AL$53)+('Equipment List &amp; Usage'!$Q55*('Weekly Summary'!AL$52+'Weekly Summary'!AL$53))+('Equipment List &amp; Usage'!$R55*'Weekly Summary'!AL$64)+('Equipment List &amp; Usage'!$S55*'Weekly Summary'!AL$65)+('Equipment List &amp; Usage'!$T55*('Weekly Summary'!AL$64+'Weekly Summary'!AL$65))-SUM($I53:AQ53))),0)</f>
        <v>0</v>
      </c>
      <c r="AS53" s="1381">
        <f ca="1">MAX(IF($F53="No",('Equipment List &amp; Usage'!$O55*'Weekly Summary'!AM$52)+('Equipment List &amp; Usage'!$P55*'Weekly Summary'!AM$53)+('Equipment List &amp; Usage'!$Q55*('Weekly Summary'!AM$52+'Weekly Summary'!AM$53))+('Equipment List &amp; Usage'!$R55*'Weekly Summary'!AM$64)+('Equipment List &amp; Usage'!$S55*'Weekly Summary'!AM$65)+('Equipment List &amp; Usage'!$T55*('Weekly Summary'!AM$64+'Weekly Summary'!AM$65)),
IF(AS$10=0,('Equipment List &amp; Usage'!$O55*'Weekly Summary'!AM$52)+('Equipment List &amp; Usage'!$P55*'Weekly Summary'!AM$53)+('Equipment List &amp; Usage'!$Q55*('Weekly Summary'!AM$52+'Weekly Summary'!AM$53))+('Equipment List &amp; Usage'!$R55*'Weekly Summary'!AM$64)+('Equipment List &amp; Usage'!$S55*'Weekly Summary'!AM$65)+('Equipment List &amp; Usage'!$T55*('Weekly Summary'!AM$64+'Weekly Summary'!AM$65)),
('Equipment List &amp; Usage'!$O55*'Weekly Summary'!AM$52)+('Equipment List &amp; Usage'!$P55*'Weekly Summary'!AM$53)+('Equipment List &amp; Usage'!$Q55*('Weekly Summary'!AM$52+'Weekly Summary'!AM$53))+('Equipment List &amp; Usage'!$R55*'Weekly Summary'!AM$64)+('Equipment List &amp; Usage'!$S55*'Weekly Summary'!AM$65)+('Equipment List &amp; Usage'!$T55*('Weekly Summary'!AM$64+'Weekly Summary'!AM$65))-SUM($I53:AR53))),0)</f>
        <v>0</v>
      </c>
      <c r="AT53" s="1381">
        <f ca="1">MAX(IF($F53="No",('Equipment List &amp; Usage'!$O55*'Weekly Summary'!AN$52)+('Equipment List &amp; Usage'!$P55*'Weekly Summary'!AN$53)+('Equipment List &amp; Usage'!$Q55*('Weekly Summary'!AN$52+'Weekly Summary'!AN$53))+('Equipment List &amp; Usage'!$R55*'Weekly Summary'!AN$64)+('Equipment List &amp; Usage'!$S55*'Weekly Summary'!AN$65)+('Equipment List &amp; Usage'!$T55*('Weekly Summary'!AN$64+'Weekly Summary'!AN$65)),
IF(AT$10=0,('Equipment List &amp; Usage'!$O55*'Weekly Summary'!AN$52)+('Equipment List &amp; Usage'!$P55*'Weekly Summary'!AN$53)+('Equipment List &amp; Usage'!$Q55*('Weekly Summary'!AN$52+'Weekly Summary'!AN$53))+('Equipment List &amp; Usage'!$R55*'Weekly Summary'!AN$64)+('Equipment List &amp; Usage'!$S55*'Weekly Summary'!AN$65)+('Equipment List &amp; Usage'!$T55*('Weekly Summary'!AN$64+'Weekly Summary'!AN$65)),
('Equipment List &amp; Usage'!$O55*'Weekly Summary'!AN$52)+('Equipment List &amp; Usage'!$P55*'Weekly Summary'!AN$53)+('Equipment List &amp; Usage'!$Q55*('Weekly Summary'!AN$52+'Weekly Summary'!AN$53))+('Equipment List &amp; Usage'!$R55*'Weekly Summary'!AN$64)+('Equipment List &amp; Usage'!$S55*'Weekly Summary'!AN$65)+('Equipment List &amp; Usage'!$T55*('Weekly Summary'!AN$64+'Weekly Summary'!AN$65))-SUM($I53:AS53))),0)</f>
        <v>0</v>
      </c>
      <c r="AU53" s="1381">
        <f ca="1">MAX(IF($F53="No",('Equipment List &amp; Usage'!$O55*'Weekly Summary'!AO$52)+('Equipment List &amp; Usage'!$P55*'Weekly Summary'!AO$53)+('Equipment List &amp; Usage'!$Q55*('Weekly Summary'!AO$52+'Weekly Summary'!AO$53))+('Equipment List &amp; Usage'!$R55*'Weekly Summary'!AO$64)+('Equipment List &amp; Usage'!$S55*'Weekly Summary'!AO$65)+('Equipment List &amp; Usage'!$T55*('Weekly Summary'!AO$64+'Weekly Summary'!AO$65)),
IF(AU$10=0,('Equipment List &amp; Usage'!$O55*'Weekly Summary'!AO$52)+('Equipment List &amp; Usage'!$P55*'Weekly Summary'!AO$53)+('Equipment List &amp; Usage'!$Q55*('Weekly Summary'!AO$52+'Weekly Summary'!AO$53))+('Equipment List &amp; Usage'!$R55*'Weekly Summary'!AO$64)+('Equipment List &amp; Usage'!$S55*'Weekly Summary'!AO$65)+('Equipment List &amp; Usage'!$T55*('Weekly Summary'!AO$64+'Weekly Summary'!AO$65)),
('Equipment List &amp; Usage'!$O55*'Weekly Summary'!AO$52)+('Equipment List &amp; Usage'!$P55*'Weekly Summary'!AO$53)+('Equipment List &amp; Usage'!$Q55*('Weekly Summary'!AO$52+'Weekly Summary'!AO$53))+('Equipment List &amp; Usage'!$R55*'Weekly Summary'!AO$64)+('Equipment List &amp; Usage'!$S55*'Weekly Summary'!AO$65)+('Equipment List &amp; Usage'!$T55*('Weekly Summary'!AO$64+'Weekly Summary'!AO$65))-SUM($I53:AT53))),0)</f>
        <v>0</v>
      </c>
      <c r="AV53" s="1381">
        <f ca="1">MAX(IF($F53="No",('Equipment List &amp; Usage'!$O55*'Weekly Summary'!AP$52)+('Equipment List &amp; Usage'!$P55*'Weekly Summary'!AP$53)+('Equipment List &amp; Usage'!$Q55*('Weekly Summary'!AP$52+'Weekly Summary'!AP$53))+('Equipment List &amp; Usage'!$R55*'Weekly Summary'!AP$64)+('Equipment List &amp; Usage'!$S55*'Weekly Summary'!AP$65)+('Equipment List &amp; Usage'!$T55*('Weekly Summary'!AP$64+'Weekly Summary'!AP$65)),
IF(AV$10=0,('Equipment List &amp; Usage'!$O55*'Weekly Summary'!AP$52)+('Equipment List &amp; Usage'!$P55*'Weekly Summary'!AP$53)+('Equipment List &amp; Usage'!$Q55*('Weekly Summary'!AP$52+'Weekly Summary'!AP$53))+('Equipment List &amp; Usage'!$R55*'Weekly Summary'!AP$64)+('Equipment List &amp; Usage'!$S55*'Weekly Summary'!AP$65)+('Equipment List &amp; Usage'!$T55*('Weekly Summary'!AP$64+'Weekly Summary'!AP$65)),
('Equipment List &amp; Usage'!$O55*'Weekly Summary'!AP$52)+('Equipment List &amp; Usage'!$P55*'Weekly Summary'!AP$53)+('Equipment List &amp; Usage'!$Q55*('Weekly Summary'!AP$52+'Weekly Summary'!AP$53))+('Equipment List &amp; Usage'!$R55*'Weekly Summary'!AP$64)+('Equipment List &amp; Usage'!$S55*'Weekly Summary'!AP$65)+('Equipment List &amp; Usage'!$T55*('Weekly Summary'!AP$64+'Weekly Summary'!AP$65))-SUM($I53:AU53))),0)</f>
        <v>0</v>
      </c>
      <c r="AW53" s="1381">
        <f ca="1">MAX(IF($F53="No",('Equipment List &amp; Usage'!$O55*'Weekly Summary'!AQ$52)+('Equipment List &amp; Usage'!$P55*'Weekly Summary'!AQ$53)+('Equipment List &amp; Usage'!$Q55*('Weekly Summary'!AQ$52+'Weekly Summary'!AQ$53))+('Equipment List &amp; Usage'!$R55*'Weekly Summary'!AQ$64)+('Equipment List &amp; Usage'!$S55*'Weekly Summary'!AQ$65)+('Equipment List &amp; Usage'!$T55*('Weekly Summary'!AQ$64+'Weekly Summary'!AQ$65)),
IF(AW$10=0,('Equipment List &amp; Usage'!$O55*'Weekly Summary'!AQ$52)+('Equipment List &amp; Usage'!$P55*'Weekly Summary'!AQ$53)+('Equipment List &amp; Usage'!$Q55*('Weekly Summary'!AQ$52+'Weekly Summary'!AQ$53))+('Equipment List &amp; Usage'!$R55*'Weekly Summary'!AQ$64)+('Equipment List &amp; Usage'!$S55*'Weekly Summary'!AQ$65)+('Equipment List &amp; Usage'!$T55*('Weekly Summary'!AQ$64+'Weekly Summary'!AQ$65)),
('Equipment List &amp; Usage'!$O55*'Weekly Summary'!AQ$52)+('Equipment List &amp; Usage'!$P55*'Weekly Summary'!AQ$53)+('Equipment List &amp; Usage'!$Q55*('Weekly Summary'!AQ$52+'Weekly Summary'!AQ$53))+('Equipment List &amp; Usage'!$R55*'Weekly Summary'!AQ$64)+('Equipment List &amp; Usage'!$S55*'Weekly Summary'!AQ$65)+('Equipment List &amp; Usage'!$T55*('Weekly Summary'!AQ$64+'Weekly Summary'!AQ$65))-SUM($I53:AV53))),0)</f>
        <v>0</v>
      </c>
      <c r="AX53" s="1381">
        <f ca="1">MAX(IF($F53="No",('Equipment List &amp; Usage'!$O55*'Weekly Summary'!AR$52)+('Equipment List &amp; Usage'!$P55*'Weekly Summary'!AR$53)+('Equipment List &amp; Usage'!$Q55*('Weekly Summary'!AR$52+'Weekly Summary'!AR$53))+('Equipment List &amp; Usage'!$R55*'Weekly Summary'!AR$64)+('Equipment List &amp; Usage'!$S55*'Weekly Summary'!AR$65)+('Equipment List &amp; Usage'!$T55*('Weekly Summary'!AR$64+'Weekly Summary'!AR$65)),
IF(AX$10=0,('Equipment List &amp; Usage'!$O55*'Weekly Summary'!AR$52)+('Equipment List &amp; Usage'!$P55*'Weekly Summary'!AR$53)+('Equipment List &amp; Usage'!$Q55*('Weekly Summary'!AR$52+'Weekly Summary'!AR$53))+('Equipment List &amp; Usage'!$R55*'Weekly Summary'!AR$64)+('Equipment List &amp; Usage'!$S55*'Weekly Summary'!AR$65)+('Equipment List &amp; Usage'!$T55*('Weekly Summary'!AR$64+'Weekly Summary'!AR$65)),
('Equipment List &amp; Usage'!$O55*'Weekly Summary'!AR$52)+('Equipment List &amp; Usage'!$P55*'Weekly Summary'!AR$53)+('Equipment List &amp; Usage'!$Q55*('Weekly Summary'!AR$52+'Weekly Summary'!AR$53))+('Equipment List &amp; Usage'!$R55*'Weekly Summary'!AR$64)+('Equipment List &amp; Usage'!$S55*'Weekly Summary'!AR$65)+('Equipment List &amp; Usage'!$T55*('Weekly Summary'!AR$64+'Weekly Summary'!AR$65))-SUM($I53:AW53))),0)</f>
        <v>0</v>
      </c>
      <c r="AY53" s="1381">
        <f ca="1">MAX(IF($F53="No",('Equipment List &amp; Usage'!$O55*'Weekly Summary'!AS$52)+('Equipment List &amp; Usage'!$P55*'Weekly Summary'!AS$53)+('Equipment List &amp; Usage'!$Q55*('Weekly Summary'!AS$52+'Weekly Summary'!AS$53))+('Equipment List &amp; Usage'!$R55*'Weekly Summary'!AS$64)+('Equipment List &amp; Usage'!$S55*'Weekly Summary'!AS$65)+('Equipment List &amp; Usage'!$T55*('Weekly Summary'!AS$64+'Weekly Summary'!AS$65)),
IF(AY$10=0,('Equipment List &amp; Usage'!$O55*'Weekly Summary'!AS$52)+('Equipment List &amp; Usage'!$P55*'Weekly Summary'!AS$53)+('Equipment List &amp; Usage'!$Q55*('Weekly Summary'!AS$52+'Weekly Summary'!AS$53))+('Equipment List &amp; Usage'!$R55*'Weekly Summary'!AS$64)+('Equipment List &amp; Usage'!$S55*'Weekly Summary'!AS$65)+('Equipment List &amp; Usage'!$T55*('Weekly Summary'!AS$64+'Weekly Summary'!AS$65)),
('Equipment List &amp; Usage'!$O55*'Weekly Summary'!AS$52)+('Equipment List &amp; Usage'!$P55*'Weekly Summary'!AS$53)+('Equipment List &amp; Usage'!$Q55*('Weekly Summary'!AS$52+'Weekly Summary'!AS$53))+('Equipment List &amp; Usage'!$R55*'Weekly Summary'!AS$64)+('Equipment List &amp; Usage'!$S55*'Weekly Summary'!AS$65)+('Equipment List &amp; Usage'!$T55*('Weekly Summary'!AS$64+'Weekly Summary'!AS$65))-SUM($I53:AX53))),0)</f>
        <v>0</v>
      </c>
      <c r="AZ53" s="1381">
        <f ca="1">MAX(IF($F53="No",('Equipment List &amp; Usage'!$O55*'Weekly Summary'!AT$52)+('Equipment List &amp; Usage'!$P55*'Weekly Summary'!AT$53)+('Equipment List &amp; Usage'!$Q55*('Weekly Summary'!AT$52+'Weekly Summary'!AT$53))+('Equipment List &amp; Usage'!$R55*'Weekly Summary'!AT$64)+('Equipment List &amp; Usage'!$S55*'Weekly Summary'!AT$65)+('Equipment List &amp; Usage'!$T55*('Weekly Summary'!AT$64+'Weekly Summary'!AT$65)),
IF(AZ$10=0,('Equipment List &amp; Usage'!$O55*'Weekly Summary'!AT$52)+('Equipment List &amp; Usage'!$P55*'Weekly Summary'!AT$53)+('Equipment List &amp; Usage'!$Q55*('Weekly Summary'!AT$52+'Weekly Summary'!AT$53))+('Equipment List &amp; Usage'!$R55*'Weekly Summary'!AT$64)+('Equipment List &amp; Usage'!$S55*'Weekly Summary'!AT$65)+('Equipment List &amp; Usage'!$T55*('Weekly Summary'!AT$64+'Weekly Summary'!AT$65)),
('Equipment List &amp; Usage'!$O55*'Weekly Summary'!AT$52)+('Equipment List &amp; Usage'!$P55*'Weekly Summary'!AT$53)+('Equipment List &amp; Usage'!$Q55*('Weekly Summary'!AT$52+'Weekly Summary'!AT$53))+('Equipment List &amp; Usage'!$R55*'Weekly Summary'!AT$64)+('Equipment List &amp; Usage'!$S55*'Weekly Summary'!AT$65)+('Equipment List &amp; Usage'!$T55*('Weekly Summary'!AT$64+'Weekly Summary'!AT$65))-SUM($I53:AY53))),0)</f>
        <v>0</v>
      </c>
      <c r="BA53" s="1381">
        <f ca="1">MAX(IF($F53="No",('Equipment List &amp; Usage'!$O55*'Weekly Summary'!AU$52)+('Equipment List &amp; Usage'!$P55*'Weekly Summary'!AU$53)+('Equipment List &amp; Usage'!$Q55*('Weekly Summary'!AU$52+'Weekly Summary'!AU$53))+('Equipment List &amp; Usage'!$R55*'Weekly Summary'!AU$64)+('Equipment List &amp; Usage'!$S55*'Weekly Summary'!AU$65)+('Equipment List &amp; Usage'!$T55*('Weekly Summary'!AU$64+'Weekly Summary'!AU$65)),
IF(BA$10=0,('Equipment List &amp; Usage'!$O55*'Weekly Summary'!AU$52)+('Equipment List &amp; Usage'!$P55*'Weekly Summary'!AU$53)+('Equipment List &amp; Usage'!$Q55*('Weekly Summary'!AU$52+'Weekly Summary'!AU$53))+('Equipment List &amp; Usage'!$R55*'Weekly Summary'!AU$64)+('Equipment List &amp; Usage'!$S55*'Weekly Summary'!AU$65)+('Equipment List &amp; Usage'!$T55*('Weekly Summary'!AU$64+'Weekly Summary'!AU$65)),
('Equipment List &amp; Usage'!$O55*'Weekly Summary'!AU$52)+('Equipment List &amp; Usage'!$P55*'Weekly Summary'!AU$53)+('Equipment List &amp; Usage'!$Q55*('Weekly Summary'!AU$52+'Weekly Summary'!AU$53))+('Equipment List &amp; Usage'!$R55*'Weekly Summary'!AU$64)+('Equipment List &amp; Usage'!$S55*'Weekly Summary'!AU$65)+('Equipment List &amp; Usage'!$T55*('Weekly Summary'!AU$64+'Weekly Summary'!AU$65))-SUM($I53:AZ53))),0)</f>
        <v>0</v>
      </c>
      <c r="BB53" s="1381">
        <f ca="1">MAX(IF($F53="No",('Equipment List &amp; Usage'!$O55*'Weekly Summary'!AV$52)+('Equipment List &amp; Usage'!$P55*'Weekly Summary'!AV$53)+('Equipment List &amp; Usage'!$Q55*('Weekly Summary'!AV$52+'Weekly Summary'!AV$53))+('Equipment List &amp; Usage'!$R55*'Weekly Summary'!AV$64)+('Equipment List &amp; Usage'!$S55*'Weekly Summary'!AV$65)+('Equipment List &amp; Usage'!$T55*('Weekly Summary'!AV$64+'Weekly Summary'!AV$65)),
IF(BB$10=0,('Equipment List &amp; Usage'!$O55*'Weekly Summary'!AV$52)+('Equipment List &amp; Usage'!$P55*'Weekly Summary'!AV$53)+('Equipment List &amp; Usage'!$Q55*('Weekly Summary'!AV$52+'Weekly Summary'!AV$53))+('Equipment List &amp; Usage'!$R55*'Weekly Summary'!AV$64)+('Equipment List &amp; Usage'!$S55*'Weekly Summary'!AV$65)+('Equipment List &amp; Usage'!$T55*('Weekly Summary'!AV$64+'Weekly Summary'!AV$65)),
('Equipment List &amp; Usage'!$O55*'Weekly Summary'!AV$52)+('Equipment List &amp; Usage'!$P55*'Weekly Summary'!AV$53)+('Equipment List &amp; Usage'!$Q55*('Weekly Summary'!AV$52+'Weekly Summary'!AV$53))+('Equipment List &amp; Usage'!$R55*'Weekly Summary'!AV$64)+('Equipment List &amp; Usage'!$S55*'Weekly Summary'!AV$65)+('Equipment List &amp; Usage'!$T55*('Weekly Summary'!AV$64+'Weekly Summary'!AV$65))-SUM($I53:BA53))),0)</f>
        <v>0</v>
      </c>
      <c r="BC53" s="1381">
        <f ca="1">MAX(IF($F53="No",('Equipment List &amp; Usage'!$O55*'Weekly Summary'!AW$52)+('Equipment List &amp; Usage'!$P55*'Weekly Summary'!AW$53)+('Equipment List &amp; Usage'!$Q55*('Weekly Summary'!AW$52+'Weekly Summary'!AW$53))+('Equipment List &amp; Usage'!$R55*'Weekly Summary'!AW$64)+('Equipment List &amp; Usage'!$S55*'Weekly Summary'!AW$65)+('Equipment List &amp; Usage'!$T55*('Weekly Summary'!AW$64+'Weekly Summary'!AW$65)),
IF(BC$10=0,('Equipment List &amp; Usage'!$O55*'Weekly Summary'!AW$52)+('Equipment List &amp; Usage'!$P55*'Weekly Summary'!AW$53)+('Equipment List &amp; Usage'!$Q55*('Weekly Summary'!AW$52+'Weekly Summary'!AW$53))+('Equipment List &amp; Usage'!$R55*'Weekly Summary'!AW$64)+('Equipment List &amp; Usage'!$S55*'Weekly Summary'!AW$65)+('Equipment List &amp; Usage'!$T55*('Weekly Summary'!AW$64+'Weekly Summary'!AW$65)),
('Equipment List &amp; Usage'!$O55*'Weekly Summary'!AW$52)+('Equipment List &amp; Usage'!$P55*'Weekly Summary'!AW$53)+('Equipment List &amp; Usage'!$Q55*('Weekly Summary'!AW$52+'Weekly Summary'!AW$53))+('Equipment List &amp; Usage'!$R55*'Weekly Summary'!AW$64)+('Equipment List &amp; Usage'!$S55*'Weekly Summary'!AW$65)+('Equipment List &amp; Usage'!$T55*('Weekly Summary'!AW$64+'Weekly Summary'!AW$65))-SUM($I53:BB53))),0)</f>
        <v>0</v>
      </c>
      <c r="BD53" s="1381">
        <f ca="1">MAX(IF($F53="No",('Equipment List &amp; Usage'!$O55*'Weekly Summary'!AX$52)+('Equipment List &amp; Usage'!$P55*'Weekly Summary'!AX$53)+('Equipment List &amp; Usage'!$Q55*('Weekly Summary'!AX$52+'Weekly Summary'!AX$53))+('Equipment List &amp; Usage'!$R55*'Weekly Summary'!AX$64)+('Equipment List &amp; Usage'!$S55*'Weekly Summary'!AX$65)+('Equipment List &amp; Usage'!$T55*('Weekly Summary'!AX$64+'Weekly Summary'!AX$65)),
IF(BD$10=0,('Equipment List &amp; Usage'!$O55*'Weekly Summary'!AX$52)+('Equipment List &amp; Usage'!$P55*'Weekly Summary'!AX$53)+('Equipment List &amp; Usage'!$Q55*('Weekly Summary'!AX$52+'Weekly Summary'!AX$53))+('Equipment List &amp; Usage'!$R55*'Weekly Summary'!AX$64)+('Equipment List &amp; Usage'!$S55*'Weekly Summary'!AX$65)+('Equipment List &amp; Usage'!$T55*('Weekly Summary'!AX$64+'Weekly Summary'!AX$65)),
('Equipment List &amp; Usage'!$O55*'Weekly Summary'!AX$52)+('Equipment List &amp; Usage'!$P55*'Weekly Summary'!AX$53)+('Equipment List &amp; Usage'!$Q55*('Weekly Summary'!AX$52+'Weekly Summary'!AX$53))+('Equipment List &amp; Usage'!$R55*'Weekly Summary'!AX$64)+('Equipment List &amp; Usage'!$S55*'Weekly Summary'!AX$65)+('Equipment List &amp; Usage'!$T55*('Weekly Summary'!AX$64+'Weekly Summary'!AX$65))-SUM($I53:BC53))),0)</f>
        <v>0</v>
      </c>
      <c r="BE53" s="1381">
        <f ca="1">MAX(IF($F53="No",('Equipment List &amp; Usage'!$O55*'Weekly Summary'!AY$52)+('Equipment List &amp; Usage'!$P55*'Weekly Summary'!AY$53)+('Equipment List &amp; Usage'!$Q55*('Weekly Summary'!AY$52+'Weekly Summary'!AY$53))+('Equipment List &amp; Usage'!$R55*'Weekly Summary'!AY$64)+('Equipment List &amp; Usage'!$S55*'Weekly Summary'!AY$65)+('Equipment List &amp; Usage'!$T55*('Weekly Summary'!AY$64+'Weekly Summary'!AY$65)),
IF(BE$10=0,('Equipment List &amp; Usage'!$O55*'Weekly Summary'!AY$52)+('Equipment List &amp; Usage'!$P55*'Weekly Summary'!AY$53)+('Equipment List &amp; Usage'!$Q55*('Weekly Summary'!AY$52+'Weekly Summary'!AY$53))+('Equipment List &amp; Usage'!$R55*'Weekly Summary'!AY$64)+('Equipment List &amp; Usage'!$S55*'Weekly Summary'!AY$65)+('Equipment List &amp; Usage'!$T55*('Weekly Summary'!AY$64+'Weekly Summary'!AY$65)),
('Equipment List &amp; Usage'!$O55*'Weekly Summary'!AY$52)+('Equipment List &amp; Usage'!$P55*'Weekly Summary'!AY$53)+('Equipment List &amp; Usage'!$Q55*('Weekly Summary'!AY$52+'Weekly Summary'!AY$53))+('Equipment List &amp; Usage'!$R55*'Weekly Summary'!AY$64)+('Equipment List &amp; Usage'!$S55*'Weekly Summary'!AY$65)+('Equipment List &amp; Usage'!$T55*('Weekly Summary'!AY$64+'Weekly Summary'!AY$65))-SUM($I53:BD53))),0)</f>
        <v>0</v>
      </c>
      <c r="BF53" s="1381">
        <f ca="1">MAX(IF($F53="No",('Equipment List &amp; Usage'!$O55*'Weekly Summary'!AZ$52)+('Equipment List &amp; Usage'!$P55*'Weekly Summary'!AZ$53)+('Equipment List &amp; Usage'!$Q55*('Weekly Summary'!AZ$52+'Weekly Summary'!AZ$53))+('Equipment List &amp; Usage'!$R55*'Weekly Summary'!AZ$64)+('Equipment List &amp; Usage'!$S55*'Weekly Summary'!AZ$65)+('Equipment List &amp; Usage'!$T55*('Weekly Summary'!AZ$64+'Weekly Summary'!AZ$65)),
IF(BF$10=0,('Equipment List &amp; Usage'!$O55*'Weekly Summary'!AZ$52)+('Equipment List &amp; Usage'!$P55*'Weekly Summary'!AZ$53)+('Equipment List &amp; Usage'!$Q55*('Weekly Summary'!AZ$52+'Weekly Summary'!AZ$53))+('Equipment List &amp; Usage'!$R55*'Weekly Summary'!AZ$64)+('Equipment List &amp; Usage'!$S55*'Weekly Summary'!AZ$65)+('Equipment List &amp; Usage'!$T55*('Weekly Summary'!AZ$64+'Weekly Summary'!AZ$65)),
('Equipment List &amp; Usage'!$O55*'Weekly Summary'!AZ$52)+('Equipment List &amp; Usage'!$P55*'Weekly Summary'!AZ$53)+('Equipment List &amp; Usage'!$Q55*('Weekly Summary'!AZ$52+'Weekly Summary'!AZ$53))+('Equipment List &amp; Usage'!$R55*'Weekly Summary'!AZ$64)+('Equipment List &amp; Usage'!$S55*'Weekly Summary'!AZ$65)+('Equipment List &amp; Usage'!$T55*('Weekly Summary'!AZ$64+'Weekly Summary'!AZ$65))-SUM($I53:BE53))),0)</f>
        <v>0</v>
      </c>
      <c r="BG53" s="1381">
        <f ca="1">MAX(IF($F53="No",('Equipment List &amp; Usage'!$O55*'Weekly Summary'!BA$52)+('Equipment List &amp; Usage'!$P55*'Weekly Summary'!BA$53)+('Equipment List &amp; Usage'!$Q55*('Weekly Summary'!BA$52+'Weekly Summary'!BA$53))+('Equipment List &amp; Usage'!$R55*'Weekly Summary'!BA$64)+('Equipment List &amp; Usage'!$S55*'Weekly Summary'!BA$65)+('Equipment List &amp; Usage'!$T55*('Weekly Summary'!BA$64+'Weekly Summary'!BA$65)),
IF(BG$10=0,('Equipment List &amp; Usage'!$O55*'Weekly Summary'!BA$52)+('Equipment List &amp; Usage'!$P55*'Weekly Summary'!BA$53)+('Equipment List &amp; Usage'!$Q55*('Weekly Summary'!BA$52+'Weekly Summary'!BA$53))+('Equipment List &amp; Usage'!$R55*'Weekly Summary'!BA$64)+('Equipment List &amp; Usage'!$S55*'Weekly Summary'!BA$65)+('Equipment List &amp; Usage'!$T55*('Weekly Summary'!BA$64+'Weekly Summary'!BA$65)),
('Equipment List &amp; Usage'!$O55*'Weekly Summary'!BA$52)+('Equipment List &amp; Usage'!$P55*'Weekly Summary'!BA$53)+('Equipment List &amp; Usage'!$Q55*('Weekly Summary'!BA$52+'Weekly Summary'!BA$53))+('Equipment List &amp; Usage'!$R55*'Weekly Summary'!BA$64)+('Equipment List &amp; Usage'!$S55*'Weekly Summary'!BA$65)+('Equipment List &amp; Usage'!$T55*('Weekly Summary'!BA$64+'Weekly Summary'!BA$65))-SUM($I53:BF53))),0)</f>
        <v>0</v>
      </c>
      <c r="BH53" s="1381">
        <f ca="1">MAX(IF($F53="No",('Equipment List &amp; Usage'!$O55*'Weekly Summary'!BB$52)+('Equipment List &amp; Usage'!$P55*'Weekly Summary'!BB$53)+('Equipment List &amp; Usage'!$Q55*('Weekly Summary'!BB$52+'Weekly Summary'!BB$53))+('Equipment List &amp; Usage'!$R55*'Weekly Summary'!BB$64)+('Equipment List &amp; Usage'!$S55*'Weekly Summary'!BB$65)+('Equipment List &amp; Usage'!$T55*('Weekly Summary'!BB$64+'Weekly Summary'!BB$65)),
IF(BH$10=0,('Equipment List &amp; Usage'!$O55*'Weekly Summary'!BB$52)+('Equipment List &amp; Usage'!$P55*'Weekly Summary'!BB$53)+('Equipment List &amp; Usage'!$Q55*('Weekly Summary'!BB$52+'Weekly Summary'!BB$53))+('Equipment List &amp; Usage'!$R55*'Weekly Summary'!BB$64)+('Equipment List &amp; Usage'!$S55*'Weekly Summary'!BB$65)+('Equipment List &amp; Usage'!$T55*('Weekly Summary'!BB$64+'Weekly Summary'!BB$65)),
('Equipment List &amp; Usage'!$O55*'Weekly Summary'!BB$52)+('Equipment List &amp; Usage'!$P55*'Weekly Summary'!BB$53)+('Equipment List &amp; Usage'!$Q55*('Weekly Summary'!BB$52+'Weekly Summary'!BB$53))+('Equipment List &amp; Usage'!$R55*'Weekly Summary'!BB$64)+('Equipment List &amp; Usage'!$S55*'Weekly Summary'!BB$65)+('Equipment List &amp; Usage'!$T55*('Weekly Summary'!BB$64+'Weekly Summary'!BB$65))-SUM($I53:BG53))),0)</f>
        <v>0</v>
      </c>
      <c r="BI53" s="1381">
        <f ca="1">MAX(IF($F53="No",('Equipment List &amp; Usage'!$O55*'Weekly Summary'!BC$52)+('Equipment List &amp; Usage'!$P55*'Weekly Summary'!BC$53)+('Equipment List &amp; Usage'!$Q55*('Weekly Summary'!BC$52+'Weekly Summary'!BC$53))+('Equipment List &amp; Usage'!$R55*'Weekly Summary'!BC$64)+('Equipment List &amp; Usage'!$S55*'Weekly Summary'!BC$65)+('Equipment List &amp; Usage'!$T55*('Weekly Summary'!BC$64+'Weekly Summary'!BC$65)),
IF(BI$10=0,('Equipment List &amp; Usage'!$O55*'Weekly Summary'!BC$52)+('Equipment List &amp; Usage'!$P55*'Weekly Summary'!BC$53)+('Equipment List &amp; Usage'!$Q55*('Weekly Summary'!BC$52+'Weekly Summary'!BC$53))+('Equipment List &amp; Usage'!$R55*'Weekly Summary'!BC$64)+('Equipment List &amp; Usage'!$S55*'Weekly Summary'!BC$65)+('Equipment List &amp; Usage'!$T55*('Weekly Summary'!BC$64+'Weekly Summary'!BC$65)),
('Equipment List &amp; Usage'!$O55*'Weekly Summary'!BC$52)+('Equipment List &amp; Usage'!$P55*'Weekly Summary'!BC$53)+('Equipment List &amp; Usage'!$Q55*('Weekly Summary'!BC$52+'Weekly Summary'!BC$53))+('Equipment List &amp; Usage'!$R55*'Weekly Summary'!BC$64)+('Equipment List &amp; Usage'!$S55*'Weekly Summary'!BC$65)+('Equipment List &amp; Usage'!$T55*('Weekly Summary'!BC$64+'Weekly Summary'!BC$65))-SUM($I53:BH53))),0)</f>
        <v>0</v>
      </c>
      <c r="BJ53" s="1382">
        <f ca="1">MAX(IF($F53="No",('Equipment List &amp; Usage'!$O55*'Weekly Summary'!BD$52)+('Equipment List &amp; Usage'!$P55*'Weekly Summary'!BD$53)+('Equipment List &amp; Usage'!$Q55*('Weekly Summary'!BD$52+'Weekly Summary'!BD$53))+('Equipment List &amp; Usage'!$R55*'Weekly Summary'!BD$64)+('Equipment List &amp; Usage'!$S55*'Weekly Summary'!BD$65)+('Equipment List &amp; Usage'!$T55*('Weekly Summary'!BD$64+'Weekly Summary'!BD$65)),
IF(BJ$10=0,('Equipment List &amp; Usage'!$O55*'Weekly Summary'!BD$52)+('Equipment List &amp; Usage'!$P55*'Weekly Summary'!BD$53)+('Equipment List &amp; Usage'!$Q55*('Weekly Summary'!BD$52+'Weekly Summary'!BD$53))+('Equipment List &amp; Usage'!$R55*'Weekly Summary'!BD$64)+('Equipment List &amp; Usage'!$S55*'Weekly Summary'!BD$65)+('Equipment List &amp; Usage'!$T55*('Weekly Summary'!BD$64+'Weekly Summary'!BD$65)),
('Equipment List &amp; Usage'!$O55*'Weekly Summary'!BD$52)+('Equipment List &amp; Usage'!$P55*'Weekly Summary'!BD$53)+('Equipment List &amp; Usage'!$Q55*('Weekly Summary'!BD$52+'Weekly Summary'!BD$53))+('Equipment List &amp; Usage'!$R55*'Weekly Summary'!BD$64)+('Equipment List &amp; Usage'!$S55*'Weekly Summary'!BD$65)+('Equipment List &amp; Usage'!$T55*('Weekly Summary'!BD$64+'Weekly Summary'!BD$65))-SUM($I53:BI53))),0)</f>
        <v>0</v>
      </c>
    </row>
    <row r="54" spans="2:62" ht="55.75" customHeight="1" x14ac:dyDescent="0.35">
      <c r="B54" s="735" t="str">
        <f>'Equipment List &amp; Usage'!B56</f>
        <v>Case management - biomedical equipment</v>
      </c>
      <c r="C54" s="526" t="str">
        <f>'Equipment List &amp; Usage'!C56</f>
        <v>Oxygen therapy</v>
      </c>
      <c r="D54" s="526" t="str">
        <f>'Equipment List &amp; Usage'!D56</f>
        <v>Oxygen source capable of delivering an average flow rate of 30 L/min (e.g., cylinder or pipe supply) for invasively ventilated patients</v>
      </c>
      <c r="E54" s="526" t="str">
        <f>'Equipment List &amp; Usage'!E56</f>
        <v>Each</v>
      </c>
      <c r="F54" s="526" t="str">
        <f>'Equipment List &amp; Usage'!F56</f>
        <v>Yes</v>
      </c>
      <c r="G54" s="526" t="str">
        <f>'Equipment List &amp; Usage'!G56</f>
        <v>supplied with one of:
Flow and pressure regulator, as applicable;
Outlet connector</v>
      </c>
      <c r="H54" s="1369">
        <f t="shared" ca="1" si="3"/>
        <v>61.430825085677299</v>
      </c>
      <c r="J54" s="1344"/>
      <c r="K54" s="1381">
        <f ca="1">IF('User Dashboard'!$H$13=1,0,MAX(IF($F54="No",('Equipment List &amp; Usage'!$O56*'Weekly Summary'!E$52)+('Equipment List &amp; Usage'!$P56*'Weekly Summary'!E$53)+('Equipment List &amp; Usage'!$Q56*('Weekly Summary'!E$52+'Weekly Summary'!E$53))+('Equipment List &amp; Usage'!$R56*'Weekly Summary'!E$64)+('Equipment List &amp; Usage'!$S56*'Weekly Summary'!E$65)+('Equipment List &amp; Usage'!$T56*('Weekly Summary'!E$64+'Weekly Summary'!E$65)),
IF(K$10=0,('Equipment List &amp; Usage'!$O56*'Weekly Summary'!E$52)+('Equipment List &amp; Usage'!$P56*'Weekly Summary'!E$53)+('Equipment List &amp; Usage'!$Q56*('Weekly Summary'!E$52+'Weekly Summary'!E$53))+('Equipment List &amp; Usage'!$R56*'Weekly Summary'!E$64)+('Equipment List &amp; Usage'!$S56*'Weekly Summary'!E$65)+('Equipment List &amp; Usage'!$T56*('Weekly Summary'!E$64+'Weekly Summary'!E$65)),
('Equipment List &amp; Usage'!$O56*'Weekly Summary'!E$52)+('Equipment List &amp; Usage'!$P56*'Weekly Summary'!E$53)+('Equipment List &amp; Usage'!$Q56*('Weekly Summary'!E$52+'Weekly Summary'!E$53))+('Equipment List &amp; Usage'!$R56*'Weekly Summary'!E$64)+('Equipment List &amp; Usage'!$S56*'Weekly Summary'!E$65)+('Equipment List &amp; Usage'!$T56*('Weekly Summary'!E$64+'Weekly Summary'!E$65))-SUM($I54:I54))),0))</f>
        <v>0.1326795813893617</v>
      </c>
      <c r="L54" s="1381">
        <f ca="1">MAX(IF($F54="No",('Equipment List &amp; Usage'!$O56*'Weekly Summary'!F$52)+('Equipment List &amp; Usage'!$P56*'Weekly Summary'!F$53)+('Equipment List &amp; Usage'!$Q56*('Weekly Summary'!F$52+'Weekly Summary'!F$53))+('Equipment List &amp; Usage'!$R56*'Weekly Summary'!F$64)+('Equipment List &amp; Usage'!$S56*'Weekly Summary'!F$65)+('Equipment List &amp; Usage'!$T56*('Weekly Summary'!F$64+'Weekly Summary'!F$65)),
IF(L$10=0,('Equipment List &amp; Usage'!$O56*'Weekly Summary'!F$52)+('Equipment List &amp; Usage'!$P56*'Weekly Summary'!F$53)+('Equipment List &amp; Usage'!$Q56*('Weekly Summary'!F$52+'Weekly Summary'!F$53))+('Equipment List &amp; Usage'!$R56*'Weekly Summary'!F$64)+('Equipment List &amp; Usage'!$S56*'Weekly Summary'!F$65)+('Equipment List &amp; Usage'!$T56*('Weekly Summary'!F$64+'Weekly Summary'!F$65)),
('Equipment List &amp; Usage'!$O56*'Weekly Summary'!F$52)+('Equipment List &amp; Usage'!$P56*'Weekly Summary'!F$53)+('Equipment List &amp; Usage'!$Q56*('Weekly Summary'!F$52+'Weekly Summary'!F$53))+('Equipment List &amp; Usage'!$R56*'Weekly Summary'!F$64)+('Equipment List &amp; Usage'!$S56*'Weekly Summary'!F$65)+('Equipment List &amp; Usage'!$T56*('Weekly Summary'!F$64+'Weekly Summary'!F$65))-SUM($I54:K54))),0)</f>
        <v>0.30807085565527481</v>
      </c>
      <c r="M54" s="1381">
        <f ca="1">MAX(IF($F54="No",('Equipment List &amp; Usage'!$O56*'Weekly Summary'!G$52)+('Equipment List &amp; Usage'!$P56*'Weekly Summary'!G$53)+('Equipment List &amp; Usage'!$Q56*('Weekly Summary'!G$52+'Weekly Summary'!G$53))+('Equipment List &amp; Usage'!$R56*'Weekly Summary'!G$64)+('Equipment List &amp; Usage'!$S56*'Weekly Summary'!G$65)+('Equipment List &amp; Usage'!$T56*('Weekly Summary'!G$64+'Weekly Summary'!G$65)),
IF(M$10=0,('Equipment List &amp; Usage'!$O56*'Weekly Summary'!G$52)+('Equipment List &amp; Usage'!$P56*'Weekly Summary'!G$53)+('Equipment List &amp; Usage'!$Q56*('Weekly Summary'!G$52+'Weekly Summary'!G$53))+('Equipment List &amp; Usage'!$R56*'Weekly Summary'!G$64)+('Equipment List &amp; Usage'!$S56*'Weekly Summary'!G$65)+('Equipment List &amp; Usage'!$T56*('Weekly Summary'!G$64+'Weekly Summary'!G$65)),
('Equipment List &amp; Usage'!$O56*'Weekly Summary'!G$52)+('Equipment List &amp; Usage'!$P56*'Weekly Summary'!G$53)+('Equipment List &amp; Usage'!$Q56*('Weekly Summary'!G$52+'Weekly Summary'!G$53))+('Equipment List &amp; Usage'!$R56*'Weekly Summary'!G$64)+('Equipment List &amp; Usage'!$S56*'Weekly Summary'!G$65)+('Equipment List &amp; Usage'!$T56*('Weekly Summary'!G$64+'Weekly Summary'!G$65))-SUM($I54:L54))),0)</f>
        <v>1.0738806756054065</v>
      </c>
      <c r="N54" s="1381">
        <f ca="1">MAX(IF($F54="No",('Equipment List &amp; Usage'!$O56*'Weekly Summary'!H$52)+('Equipment List &amp; Usage'!$P56*'Weekly Summary'!H$53)+('Equipment List &amp; Usage'!$Q56*('Weekly Summary'!H$52+'Weekly Summary'!H$53))+('Equipment List &amp; Usage'!$R56*'Weekly Summary'!H$64)+('Equipment List &amp; Usage'!$S56*'Weekly Summary'!H$65)+('Equipment List &amp; Usage'!$T56*('Weekly Summary'!H$64+'Weekly Summary'!H$65)),
IF(N$10=0,('Equipment List &amp; Usage'!$O56*'Weekly Summary'!H$52)+('Equipment List &amp; Usage'!$P56*'Weekly Summary'!H$53)+('Equipment List &amp; Usage'!$Q56*('Weekly Summary'!H$52+'Weekly Summary'!H$53))+('Equipment List &amp; Usage'!$R56*'Weekly Summary'!H$64)+('Equipment List &amp; Usage'!$S56*'Weekly Summary'!H$65)+('Equipment List &amp; Usage'!$T56*('Weekly Summary'!H$64+'Weekly Summary'!H$65)),
('Equipment List &amp; Usage'!$O56*'Weekly Summary'!H$52)+('Equipment List &amp; Usage'!$P56*'Weekly Summary'!H$53)+('Equipment List &amp; Usage'!$Q56*('Weekly Summary'!H$52+'Weekly Summary'!H$53))+('Equipment List &amp; Usage'!$R56*'Weekly Summary'!H$64)+('Equipment List &amp; Usage'!$S56*'Weekly Summary'!H$65)+('Equipment List &amp; Usage'!$T56*('Weekly Summary'!H$64+'Weekly Summary'!H$65))-SUM($I54:M54))),0)</f>
        <v>3.6902266814112066</v>
      </c>
      <c r="O54" s="1381">
        <f ca="1">MAX(IF($F54="No",('Equipment List &amp; Usage'!$O56*'Weekly Summary'!I$52)+('Equipment List &amp; Usage'!$P56*'Weekly Summary'!I$53)+('Equipment List &amp; Usage'!$Q56*('Weekly Summary'!I$52+'Weekly Summary'!I$53))+('Equipment List &amp; Usage'!$R56*'Weekly Summary'!I$64)+('Equipment List &amp; Usage'!$S56*'Weekly Summary'!I$65)+('Equipment List &amp; Usage'!$T56*('Weekly Summary'!I$64+'Weekly Summary'!I$65)),
IF(O$10=0,('Equipment List &amp; Usage'!$O56*'Weekly Summary'!I$52)+('Equipment List &amp; Usage'!$P56*'Weekly Summary'!I$53)+('Equipment List &amp; Usage'!$Q56*('Weekly Summary'!I$52+'Weekly Summary'!I$53))+('Equipment List &amp; Usage'!$R56*'Weekly Summary'!I$64)+('Equipment List &amp; Usage'!$S56*'Weekly Summary'!I$65)+('Equipment List &amp; Usage'!$T56*('Weekly Summary'!I$64+'Weekly Summary'!I$65)),
('Equipment List &amp; Usage'!$O56*'Weekly Summary'!I$52)+('Equipment List &amp; Usage'!$P56*'Weekly Summary'!I$53)+('Equipment List &amp; Usage'!$Q56*('Weekly Summary'!I$52+'Weekly Summary'!I$53))+('Equipment List &amp; Usage'!$R56*'Weekly Summary'!I$64)+('Equipment List &amp; Usage'!$S56*'Weekly Summary'!I$65)+('Equipment List &amp; Usage'!$T56*('Weekly Summary'!I$64+'Weekly Summary'!I$65))-SUM($I54:N54))),0)</f>
        <v>12.679328739570172</v>
      </c>
      <c r="P54" s="1381">
        <f ca="1">MAX(IF($F54="No",('Equipment List &amp; Usage'!$O56*'Weekly Summary'!J$52)+('Equipment List &amp; Usage'!$P56*'Weekly Summary'!J$53)+('Equipment List &amp; Usage'!$Q56*('Weekly Summary'!J$52+'Weekly Summary'!J$53))+('Equipment List &amp; Usage'!$R56*'Weekly Summary'!J$64)+('Equipment List &amp; Usage'!$S56*'Weekly Summary'!J$65)+('Equipment List &amp; Usage'!$T56*('Weekly Summary'!J$64+'Weekly Summary'!J$65)),
IF(P$10=0,('Equipment List &amp; Usage'!$O56*'Weekly Summary'!J$52)+('Equipment List &amp; Usage'!$P56*'Weekly Summary'!J$53)+('Equipment List &amp; Usage'!$Q56*('Weekly Summary'!J$52+'Weekly Summary'!J$53))+('Equipment List &amp; Usage'!$R56*'Weekly Summary'!J$64)+('Equipment List &amp; Usage'!$S56*'Weekly Summary'!J$65)+('Equipment List &amp; Usage'!$T56*('Weekly Summary'!J$64+'Weekly Summary'!J$65)),
('Equipment List &amp; Usage'!$O56*'Weekly Summary'!J$52)+('Equipment List &amp; Usage'!$P56*'Weekly Summary'!J$53)+('Equipment List &amp; Usage'!$Q56*('Weekly Summary'!J$52+'Weekly Summary'!J$53))+('Equipment List &amp; Usage'!$R56*'Weekly Summary'!J$64)+('Equipment List &amp; Usage'!$S56*'Weekly Summary'!J$65)+('Equipment List &amp; Usage'!$T56*('Weekly Summary'!J$64+'Weekly Summary'!J$65))-SUM($I54:O54))),0)</f>
        <v>43.546638552045877</v>
      </c>
      <c r="Q54" s="1381">
        <f ca="1">MAX(IF($F54="No",('Equipment List &amp; Usage'!$O56*'Weekly Summary'!K$52)+('Equipment List &amp; Usage'!$P56*'Weekly Summary'!K$53)+('Equipment List &amp; Usage'!$Q56*('Weekly Summary'!K$52+'Weekly Summary'!K$53))+('Equipment List &amp; Usage'!$R56*'Weekly Summary'!K$64)+('Equipment List &amp; Usage'!$S56*'Weekly Summary'!K$65)+('Equipment List &amp; Usage'!$T56*('Weekly Summary'!K$64+'Weekly Summary'!K$65)),
IF(Q$10=0,('Equipment List &amp; Usage'!$O56*'Weekly Summary'!K$52)+('Equipment List &amp; Usage'!$P56*'Weekly Summary'!K$53)+('Equipment List &amp; Usage'!$Q56*('Weekly Summary'!K$52+'Weekly Summary'!K$53))+('Equipment List &amp; Usage'!$R56*'Weekly Summary'!K$64)+('Equipment List &amp; Usage'!$S56*'Weekly Summary'!K$65)+('Equipment List &amp; Usage'!$T56*('Weekly Summary'!K$64+'Weekly Summary'!K$65)),
('Equipment List &amp; Usage'!$O56*'Weekly Summary'!K$52)+('Equipment List &amp; Usage'!$P56*'Weekly Summary'!K$53)+('Equipment List &amp; Usage'!$Q56*('Weekly Summary'!K$52+'Weekly Summary'!K$53))+('Equipment List &amp; Usage'!$R56*'Weekly Summary'!K$64)+('Equipment List &amp; Usage'!$S56*'Weekly Summary'!K$65)+('Equipment List &amp; Usage'!$T56*('Weekly Summary'!K$64+'Weekly Summary'!K$65))-SUM($I54:P54))),0)</f>
        <v>0</v>
      </c>
      <c r="R54" s="1381">
        <f ca="1">MAX(IF($F54="No",('Equipment List &amp; Usage'!$O56*'Weekly Summary'!L$52)+('Equipment List &amp; Usage'!$P56*'Weekly Summary'!L$53)+('Equipment List &amp; Usage'!$Q56*('Weekly Summary'!L$52+'Weekly Summary'!L$53))+('Equipment List &amp; Usage'!$R56*'Weekly Summary'!L$64)+('Equipment List &amp; Usage'!$S56*'Weekly Summary'!L$65)+('Equipment List &amp; Usage'!$T56*('Weekly Summary'!L$64+'Weekly Summary'!L$65)),
IF(R$10=0,('Equipment List &amp; Usage'!$O56*'Weekly Summary'!L$52)+('Equipment List &amp; Usage'!$P56*'Weekly Summary'!L$53)+('Equipment List &amp; Usage'!$Q56*('Weekly Summary'!L$52+'Weekly Summary'!L$53))+('Equipment List &amp; Usage'!$R56*'Weekly Summary'!L$64)+('Equipment List &amp; Usage'!$S56*'Weekly Summary'!L$65)+('Equipment List &amp; Usage'!$T56*('Weekly Summary'!L$64+'Weekly Summary'!L$65)),
('Equipment List &amp; Usage'!$O56*'Weekly Summary'!L$52)+('Equipment List &amp; Usage'!$P56*'Weekly Summary'!L$53)+('Equipment List &amp; Usage'!$Q56*('Weekly Summary'!L$52+'Weekly Summary'!L$53))+('Equipment List &amp; Usage'!$R56*'Weekly Summary'!L$64)+('Equipment List &amp; Usage'!$S56*'Weekly Summary'!L$65)+('Equipment List &amp; Usage'!$T56*('Weekly Summary'!L$64+'Weekly Summary'!L$65))-SUM($I54:Q54))),0)</f>
        <v>0</v>
      </c>
      <c r="S54" s="1381">
        <f ca="1">MAX(IF($F54="No",('Equipment List &amp; Usage'!$O56*'Weekly Summary'!M$52)+('Equipment List &amp; Usage'!$P56*'Weekly Summary'!M$53)+('Equipment List &amp; Usage'!$Q56*('Weekly Summary'!M$52+'Weekly Summary'!M$53))+('Equipment List &amp; Usage'!$R56*'Weekly Summary'!M$64)+('Equipment List &amp; Usage'!$S56*'Weekly Summary'!M$65)+('Equipment List &amp; Usage'!$T56*('Weekly Summary'!M$64+'Weekly Summary'!M$65)),
IF(S$10=0,('Equipment List &amp; Usage'!$O56*'Weekly Summary'!M$52)+('Equipment List &amp; Usage'!$P56*'Weekly Summary'!M$53)+('Equipment List &amp; Usage'!$Q56*('Weekly Summary'!M$52+'Weekly Summary'!M$53))+('Equipment List &amp; Usage'!$R56*'Weekly Summary'!M$64)+('Equipment List &amp; Usage'!$S56*'Weekly Summary'!M$65)+('Equipment List &amp; Usage'!$T56*('Weekly Summary'!M$64+'Weekly Summary'!M$65)),
('Equipment List &amp; Usage'!$O56*'Weekly Summary'!M$52)+('Equipment List &amp; Usage'!$P56*'Weekly Summary'!M$53)+('Equipment List &amp; Usage'!$Q56*('Weekly Summary'!M$52+'Weekly Summary'!M$53))+('Equipment List &amp; Usage'!$R56*'Weekly Summary'!M$64)+('Equipment List &amp; Usage'!$S56*'Weekly Summary'!M$65)+('Equipment List &amp; Usage'!$T56*('Weekly Summary'!M$64+'Weekly Summary'!M$65))-SUM($I54:R54))),0)</f>
        <v>0</v>
      </c>
      <c r="T54" s="1381">
        <f ca="1">MAX(IF($F54="No",('Equipment List &amp; Usage'!$O56*'Weekly Summary'!N$52)+('Equipment List &amp; Usage'!$P56*'Weekly Summary'!N$53)+('Equipment List &amp; Usage'!$Q56*('Weekly Summary'!N$52+'Weekly Summary'!N$53))+('Equipment List &amp; Usage'!$R56*'Weekly Summary'!N$64)+('Equipment List &amp; Usage'!$S56*'Weekly Summary'!N$65)+('Equipment List &amp; Usage'!$T56*('Weekly Summary'!N$64+'Weekly Summary'!N$65)),
IF(T$10=0,('Equipment List &amp; Usage'!$O56*'Weekly Summary'!N$52)+('Equipment List &amp; Usage'!$P56*'Weekly Summary'!N$53)+('Equipment List &amp; Usage'!$Q56*('Weekly Summary'!N$52+'Weekly Summary'!N$53))+('Equipment List &amp; Usage'!$R56*'Weekly Summary'!N$64)+('Equipment List &amp; Usage'!$S56*'Weekly Summary'!N$65)+('Equipment List &amp; Usage'!$T56*('Weekly Summary'!N$64+'Weekly Summary'!N$65)),
('Equipment List &amp; Usage'!$O56*'Weekly Summary'!N$52)+('Equipment List &amp; Usage'!$P56*'Weekly Summary'!N$53)+('Equipment List &amp; Usage'!$Q56*('Weekly Summary'!N$52+'Weekly Summary'!N$53))+('Equipment List &amp; Usage'!$R56*'Weekly Summary'!N$64)+('Equipment List &amp; Usage'!$S56*'Weekly Summary'!N$65)+('Equipment List &amp; Usage'!$T56*('Weekly Summary'!N$64+'Weekly Summary'!N$65))-SUM($I54:S54))),0)</f>
        <v>0</v>
      </c>
      <c r="U54" s="1381">
        <f ca="1">MAX(IF($F54="No",('Equipment List &amp; Usage'!$O56*'Weekly Summary'!O$52)+('Equipment List &amp; Usage'!$P56*'Weekly Summary'!O$53)+('Equipment List &amp; Usage'!$Q56*('Weekly Summary'!O$52+'Weekly Summary'!O$53))+('Equipment List &amp; Usage'!$R56*'Weekly Summary'!O$64)+('Equipment List &amp; Usage'!$S56*'Weekly Summary'!O$65)+('Equipment List &amp; Usage'!$T56*('Weekly Summary'!O$64+'Weekly Summary'!O$65)),
IF(U$10=0,('Equipment List &amp; Usage'!$O56*'Weekly Summary'!O$52)+('Equipment List &amp; Usage'!$P56*'Weekly Summary'!O$53)+('Equipment List &amp; Usage'!$Q56*('Weekly Summary'!O$52+'Weekly Summary'!O$53))+('Equipment List &amp; Usage'!$R56*'Weekly Summary'!O$64)+('Equipment List &amp; Usage'!$S56*'Weekly Summary'!O$65)+('Equipment List &amp; Usage'!$T56*('Weekly Summary'!O$64+'Weekly Summary'!O$65)),
('Equipment List &amp; Usage'!$O56*'Weekly Summary'!O$52)+('Equipment List &amp; Usage'!$P56*'Weekly Summary'!O$53)+('Equipment List &amp; Usage'!$Q56*('Weekly Summary'!O$52+'Weekly Summary'!O$53))+('Equipment List &amp; Usage'!$R56*'Weekly Summary'!O$64)+('Equipment List &amp; Usage'!$S56*'Weekly Summary'!O$65)+('Equipment List &amp; Usage'!$T56*('Weekly Summary'!O$64+'Weekly Summary'!O$65))-SUM($I54:T54))),0)</f>
        <v>0</v>
      </c>
      <c r="V54" s="1381">
        <f ca="1">MAX(IF($F54="No",('Equipment List &amp; Usage'!$O56*'Weekly Summary'!P$52)+('Equipment List &amp; Usage'!$P56*'Weekly Summary'!P$53)+('Equipment List &amp; Usage'!$Q56*('Weekly Summary'!P$52+'Weekly Summary'!P$53))+('Equipment List &amp; Usage'!$R56*'Weekly Summary'!P$64)+('Equipment List &amp; Usage'!$S56*'Weekly Summary'!P$65)+('Equipment List &amp; Usage'!$T56*('Weekly Summary'!P$64+'Weekly Summary'!P$65)),
IF(V$10=0,('Equipment List &amp; Usage'!$O56*'Weekly Summary'!P$52)+('Equipment List &amp; Usage'!$P56*'Weekly Summary'!P$53)+('Equipment List &amp; Usage'!$Q56*('Weekly Summary'!P$52+'Weekly Summary'!P$53))+('Equipment List &amp; Usage'!$R56*'Weekly Summary'!P$64)+('Equipment List &amp; Usage'!$S56*'Weekly Summary'!P$65)+('Equipment List &amp; Usage'!$T56*('Weekly Summary'!P$64+'Weekly Summary'!P$65)),
('Equipment List &amp; Usage'!$O56*'Weekly Summary'!P$52)+('Equipment List &amp; Usage'!$P56*'Weekly Summary'!P$53)+('Equipment List &amp; Usage'!$Q56*('Weekly Summary'!P$52+'Weekly Summary'!P$53))+('Equipment List &amp; Usage'!$R56*'Weekly Summary'!P$64)+('Equipment List &amp; Usage'!$S56*'Weekly Summary'!P$65)+('Equipment List &amp; Usage'!$T56*('Weekly Summary'!P$64+'Weekly Summary'!P$65))-SUM($I54:U54))),0)</f>
        <v>0</v>
      </c>
      <c r="W54" s="1381">
        <f ca="1">MAX(IF($F54="No",('Equipment List &amp; Usage'!$O56*'Weekly Summary'!Q$52)+('Equipment List &amp; Usage'!$P56*'Weekly Summary'!Q$53)+('Equipment List &amp; Usage'!$Q56*('Weekly Summary'!Q$52+'Weekly Summary'!Q$53))+('Equipment List &amp; Usage'!$R56*'Weekly Summary'!Q$64)+('Equipment List &amp; Usage'!$S56*'Weekly Summary'!Q$65)+('Equipment List &amp; Usage'!$T56*('Weekly Summary'!Q$64+'Weekly Summary'!Q$65)),
IF(W$10=0,('Equipment List &amp; Usage'!$O56*'Weekly Summary'!Q$52)+('Equipment List &amp; Usage'!$P56*'Weekly Summary'!Q$53)+('Equipment List &amp; Usage'!$Q56*('Weekly Summary'!Q$52+'Weekly Summary'!Q$53))+('Equipment List &amp; Usage'!$R56*'Weekly Summary'!Q$64)+('Equipment List &amp; Usage'!$S56*'Weekly Summary'!Q$65)+('Equipment List &amp; Usage'!$T56*('Weekly Summary'!Q$64+'Weekly Summary'!Q$65)),
('Equipment List &amp; Usage'!$O56*'Weekly Summary'!Q$52)+('Equipment List &amp; Usage'!$P56*'Weekly Summary'!Q$53)+('Equipment List &amp; Usage'!$Q56*('Weekly Summary'!Q$52+'Weekly Summary'!Q$53))+('Equipment List &amp; Usage'!$R56*'Weekly Summary'!Q$64)+('Equipment List &amp; Usage'!$S56*'Weekly Summary'!Q$65)+('Equipment List &amp; Usage'!$T56*('Weekly Summary'!Q$64+'Weekly Summary'!Q$65))-SUM($I54:V54))),0)</f>
        <v>0</v>
      </c>
      <c r="X54" s="1381">
        <f ca="1">MAX(IF($F54="No",('Equipment List &amp; Usage'!$O56*'Weekly Summary'!R$52)+('Equipment List &amp; Usage'!$P56*'Weekly Summary'!R$53)+('Equipment List &amp; Usage'!$Q56*('Weekly Summary'!R$52+'Weekly Summary'!R$53))+('Equipment List &amp; Usage'!$R56*'Weekly Summary'!R$64)+('Equipment List &amp; Usage'!$S56*'Weekly Summary'!R$65)+('Equipment List &amp; Usage'!$T56*('Weekly Summary'!R$64+'Weekly Summary'!R$65)),
IF(X$10=0,('Equipment List &amp; Usage'!$O56*'Weekly Summary'!R$52)+('Equipment List &amp; Usage'!$P56*'Weekly Summary'!R$53)+('Equipment List &amp; Usage'!$Q56*('Weekly Summary'!R$52+'Weekly Summary'!R$53))+('Equipment List &amp; Usage'!$R56*'Weekly Summary'!R$64)+('Equipment List &amp; Usage'!$S56*'Weekly Summary'!R$65)+('Equipment List &amp; Usage'!$T56*('Weekly Summary'!R$64+'Weekly Summary'!R$65)),
('Equipment List &amp; Usage'!$O56*'Weekly Summary'!R$52)+('Equipment List &amp; Usage'!$P56*'Weekly Summary'!R$53)+('Equipment List &amp; Usage'!$Q56*('Weekly Summary'!R$52+'Weekly Summary'!R$53))+('Equipment List &amp; Usage'!$R56*'Weekly Summary'!R$64)+('Equipment List &amp; Usage'!$S56*'Weekly Summary'!R$65)+('Equipment List &amp; Usage'!$T56*('Weekly Summary'!R$64+'Weekly Summary'!R$65))-SUM($I54:W54))),0)</f>
        <v>0</v>
      </c>
      <c r="Y54" s="1381">
        <f ca="1">MAX(IF($F54="No",('Equipment List &amp; Usage'!$O56*'Weekly Summary'!S$52)+('Equipment List &amp; Usage'!$P56*'Weekly Summary'!S$53)+('Equipment List &amp; Usage'!$Q56*('Weekly Summary'!S$52+'Weekly Summary'!S$53))+('Equipment List &amp; Usage'!$R56*'Weekly Summary'!S$64)+('Equipment List &amp; Usage'!$S56*'Weekly Summary'!S$65)+('Equipment List &amp; Usage'!$T56*('Weekly Summary'!S$64+'Weekly Summary'!S$65)),
IF(Y$10=0,('Equipment List &amp; Usage'!$O56*'Weekly Summary'!S$52)+('Equipment List &amp; Usage'!$P56*'Weekly Summary'!S$53)+('Equipment List &amp; Usage'!$Q56*('Weekly Summary'!S$52+'Weekly Summary'!S$53))+('Equipment List &amp; Usage'!$R56*'Weekly Summary'!S$64)+('Equipment List &amp; Usage'!$S56*'Weekly Summary'!S$65)+('Equipment List &amp; Usage'!$T56*('Weekly Summary'!S$64+'Weekly Summary'!S$65)),
('Equipment List &amp; Usage'!$O56*'Weekly Summary'!S$52)+('Equipment List &amp; Usage'!$P56*'Weekly Summary'!S$53)+('Equipment List &amp; Usage'!$Q56*('Weekly Summary'!S$52+'Weekly Summary'!S$53))+('Equipment List &amp; Usage'!$R56*'Weekly Summary'!S$64)+('Equipment List &amp; Usage'!$S56*'Weekly Summary'!S$65)+('Equipment List &amp; Usage'!$T56*('Weekly Summary'!S$64+'Weekly Summary'!S$65))-SUM($I54:X54))),0)</f>
        <v>0</v>
      </c>
      <c r="Z54" s="1381">
        <f ca="1">MAX(IF($F54="No",('Equipment List &amp; Usage'!$O56*'Weekly Summary'!T$52)+('Equipment List &amp; Usage'!$P56*'Weekly Summary'!T$53)+('Equipment List &amp; Usage'!$Q56*('Weekly Summary'!T$52+'Weekly Summary'!T$53))+('Equipment List &amp; Usage'!$R56*'Weekly Summary'!T$64)+('Equipment List &amp; Usage'!$S56*'Weekly Summary'!T$65)+('Equipment List &amp; Usage'!$T56*('Weekly Summary'!T$64+'Weekly Summary'!T$65)),
IF(Z$10=0,('Equipment List &amp; Usage'!$O56*'Weekly Summary'!T$52)+('Equipment List &amp; Usage'!$P56*'Weekly Summary'!T$53)+('Equipment List &amp; Usage'!$Q56*('Weekly Summary'!T$52+'Weekly Summary'!T$53))+('Equipment List &amp; Usage'!$R56*'Weekly Summary'!T$64)+('Equipment List &amp; Usage'!$S56*'Weekly Summary'!T$65)+('Equipment List &amp; Usage'!$T56*('Weekly Summary'!T$64+'Weekly Summary'!T$65)),
('Equipment List &amp; Usage'!$O56*'Weekly Summary'!T$52)+('Equipment List &amp; Usage'!$P56*'Weekly Summary'!T$53)+('Equipment List &amp; Usage'!$Q56*('Weekly Summary'!T$52+'Weekly Summary'!T$53))+('Equipment List &amp; Usage'!$R56*'Weekly Summary'!T$64)+('Equipment List &amp; Usage'!$S56*'Weekly Summary'!T$65)+('Equipment List &amp; Usage'!$T56*('Weekly Summary'!T$64+'Weekly Summary'!T$65))-SUM($I54:Y54))),0)</f>
        <v>0</v>
      </c>
      <c r="AA54" s="1381">
        <f ca="1">MAX(IF($F54="No",('Equipment List &amp; Usage'!$O56*'Weekly Summary'!U$52)+('Equipment List &amp; Usage'!$P56*'Weekly Summary'!U$53)+('Equipment List &amp; Usage'!$Q56*('Weekly Summary'!U$52+'Weekly Summary'!U$53))+('Equipment List &amp; Usage'!$R56*'Weekly Summary'!U$64)+('Equipment List &amp; Usage'!$S56*'Weekly Summary'!U$65)+('Equipment List &amp; Usage'!$T56*('Weekly Summary'!U$64+'Weekly Summary'!U$65)),
IF(AA$10=0,('Equipment List &amp; Usage'!$O56*'Weekly Summary'!U$52)+('Equipment List &amp; Usage'!$P56*'Weekly Summary'!U$53)+('Equipment List &amp; Usage'!$Q56*('Weekly Summary'!U$52+'Weekly Summary'!U$53))+('Equipment List &amp; Usage'!$R56*'Weekly Summary'!U$64)+('Equipment List &amp; Usage'!$S56*'Weekly Summary'!U$65)+('Equipment List &amp; Usage'!$T56*('Weekly Summary'!U$64+'Weekly Summary'!U$65)),
('Equipment List &amp; Usage'!$O56*'Weekly Summary'!U$52)+('Equipment List &amp; Usage'!$P56*'Weekly Summary'!U$53)+('Equipment List &amp; Usage'!$Q56*('Weekly Summary'!U$52+'Weekly Summary'!U$53))+('Equipment List &amp; Usage'!$R56*'Weekly Summary'!U$64)+('Equipment List &amp; Usage'!$S56*'Weekly Summary'!U$65)+('Equipment List &amp; Usage'!$T56*('Weekly Summary'!U$64+'Weekly Summary'!U$65))-SUM($I54:Z54))),0)</f>
        <v>0</v>
      </c>
      <c r="AB54" s="1381">
        <f ca="1">MAX(IF($F54="No",('Equipment List &amp; Usage'!$O56*'Weekly Summary'!V$52)+('Equipment List &amp; Usage'!$P56*'Weekly Summary'!V$53)+('Equipment List &amp; Usage'!$Q56*('Weekly Summary'!V$52+'Weekly Summary'!V$53))+('Equipment List &amp; Usage'!$R56*'Weekly Summary'!V$64)+('Equipment List &amp; Usage'!$S56*'Weekly Summary'!V$65)+('Equipment List &amp; Usage'!$T56*('Weekly Summary'!V$64+'Weekly Summary'!V$65)),
IF(AB$10=0,('Equipment List &amp; Usage'!$O56*'Weekly Summary'!V$52)+('Equipment List &amp; Usage'!$P56*'Weekly Summary'!V$53)+('Equipment List &amp; Usage'!$Q56*('Weekly Summary'!V$52+'Weekly Summary'!V$53))+('Equipment List &amp; Usage'!$R56*'Weekly Summary'!V$64)+('Equipment List &amp; Usage'!$S56*'Weekly Summary'!V$65)+('Equipment List &amp; Usage'!$T56*('Weekly Summary'!V$64+'Weekly Summary'!V$65)),
('Equipment List &amp; Usage'!$O56*'Weekly Summary'!V$52)+('Equipment List &amp; Usage'!$P56*'Weekly Summary'!V$53)+('Equipment List &amp; Usage'!$Q56*('Weekly Summary'!V$52+'Weekly Summary'!V$53))+('Equipment List &amp; Usage'!$R56*'Weekly Summary'!V$64)+('Equipment List &amp; Usage'!$S56*'Weekly Summary'!V$65)+('Equipment List &amp; Usage'!$T56*('Weekly Summary'!V$64+'Weekly Summary'!V$65))-SUM($I54:AA54))),0)</f>
        <v>0</v>
      </c>
      <c r="AC54" s="1381">
        <f ca="1">MAX(IF($F54="No",('Equipment List &amp; Usage'!$O56*'Weekly Summary'!W$52)+('Equipment List &amp; Usage'!$P56*'Weekly Summary'!W$53)+('Equipment List &amp; Usage'!$Q56*('Weekly Summary'!W$52+'Weekly Summary'!W$53))+('Equipment List &amp; Usage'!$R56*'Weekly Summary'!W$64)+('Equipment List &amp; Usage'!$S56*'Weekly Summary'!W$65)+('Equipment List &amp; Usage'!$T56*('Weekly Summary'!W$64+'Weekly Summary'!W$65)),
IF(AC$10=0,('Equipment List &amp; Usage'!$O56*'Weekly Summary'!W$52)+('Equipment List &amp; Usage'!$P56*'Weekly Summary'!W$53)+('Equipment List &amp; Usage'!$Q56*('Weekly Summary'!W$52+'Weekly Summary'!W$53))+('Equipment List &amp; Usage'!$R56*'Weekly Summary'!W$64)+('Equipment List &amp; Usage'!$S56*'Weekly Summary'!W$65)+('Equipment List &amp; Usage'!$T56*('Weekly Summary'!W$64+'Weekly Summary'!W$65)),
('Equipment List &amp; Usage'!$O56*'Weekly Summary'!W$52)+('Equipment List &amp; Usage'!$P56*'Weekly Summary'!W$53)+('Equipment List &amp; Usage'!$Q56*('Weekly Summary'!W$52+'Weekly Summary'!W$53))+('Equipment List &amp; Usage'!$R56*'Weekly Summary'!W$64)+('Equipment List &amp; Usage'!$S56*'Weekly Summary'!W$65)+('Equipment List &amp; Usage'!$T56*('Weekly Summary'!W$64+'Weekly Summary'!W$65))-SUM($I54:AB54))),0)</f>
        <v>0</v>
      </c>
      <c r="AD54" s="1381">
        <f ca="1">MAX(IF($F54="No",('Equipment List &amp; Usage'!$O56*'Weekly Summary'!X$52)+('Equipment List &amp; Usage'!$P56*'Weekly Summary'!X$53)+('Equipment List &amp; Usage'!$Q56*('Weekly Summary'!X$52+'Weekly Summary'!X$53))+('Equipment List &amp; Usage'!$R56*'Weekly Summary'!X$64)+('Equipment List &amp; Usage'!$S56*'Weekly Summary'!X$65)+('Equipment List &amp; Usage'!$T56*('Weekly Summary'!X$64+'Weekly Summary'!X$65)),
IF(AD$10=0,('Equipment List &amp; Usage'!$O56*'Weekly Summary'!X$52)+('Equipment List &amp; Usage'!$P56*'Weekly Summary'!X$53)+('Equipment List &amp; Usage'!$Q56*('Weekly Summary'!X$52+'Weekly Summary'!X$53))+('Equipment List &amp; Usage'!$R56*'Weekly Summary'!X$64)+('Equipment List &amp; Usage'!$S56*'Weekly Summary'!X$65)+('Equipment List &amp; Usage'!$T56*('Weekly Summary'!X$64+'Weekly Summary'!X$65)),
('Equipment List &amp; Usage'!$O56*'Weekly Summary'!X$52)+('Equipment List &amp; Usage'!$P56*'Weekly Summary'!X$53)+('Equipment List &amp; Usage'!$Q56*('Weekly Summary'!X$52+'Weekly Summary'!X$53))+('Equipment List &amp; Usage'!$R56*'Weekly Summary'!X$64)+('Equipment List &amp; Usage'!$S56*'Weekly Summary'!X$65)+('Equipment List &amp; Usage'!$T56*('Weekly Summary'!X$64+'Weekly Summary'!X$65))-SUM($I54:AC54))),0)</f>
        <v>0</v>
      </c>
      <c r="AE54" s="1381">
        <f ca="1">MAX(IF($F54="No",('Equipment List &amp; Usage'!$O56*'Weekly Summary'!Y$52)+('Equipment List &amp; Usage'!$P56*'Weekly Summary'!Y$53)+('Equipment List &amp; Usage'!$Q56*('Weekly Summary'!Y$52+'Weekly Summary'!Y$53))+('Equipment List &amp; Usage'!$R56*'Weekly Summary'!Y$64)+('Equipment List &amp; Usage'!$S56*'Weekly Summary'!Y$65)+('Equipment List &amp; Usage'!$T56*('Weekly Summary'!Y$64+'Weekly Summary'!Y$65)),
IF(AE$10=0,('Equipment List &amp; Usage'!$O56*'Weekly Summary'!Y$52)+('Equipment List &amp; Usage'!$P56*'Weekly Summary'!Y$53)+('Equipment List &amp; Usage'!$Q56*('Weekly Summary'!Y$52+'Weekly Summary'!Y$53))+('Equipment List &amp; Usage'!$R56*'Weekly Summary'!Y$64)+('Equipment List &amp; Usage'!$S56*'Weekly Summary'!Y$65)+('Equipment List &amp; Usage'!$T56*('Weekly Summary'!Y$64+'Weekly Summary'!Y$65)),
('Equipment List &amp; Usage'!$O56*'Weekly Summary'!Y$52)+('Equipment List &amp; Usage'!$P56*'Weekly Summary'!Y$53)+('Equipment List &amp; Usage'!$Q56*('Weekly Summary'!Y$52+'Weekly Summary'!Y$53))+('Equipment List &amp; Usage'!$R56*'Weekly Summary'!Y$64)+('Equipment List &amp; Usage'!$S56*'Weekly Summary'!Y$65)+('Equipment List &amp; Usage'!$T56*('Weekly Summary'!Y$64+'Weekly Summary'!Y$65))-SUM($I54:AD54))),0)</f>
        <v>0</v>
      </c>
      <c r="AF54" s="1381">
        <f ca="1">MAX(IF($F54="No",('Equipment List &amp; Usage'!$O56*'Weekly Summary'!Z$52)+('Equipment List &amp; Usage'!$P56*'Weekly Summary'!Z$53)+('Equipment List &amp; Usage'!$Q56*('Weekly Summary'!Z$52+'Weekly Summary'!Z$53))+('Equipment List &amp; Usage'!$R56*'Weekly Summary'!Z$64)+('Equipment List &amp; Usage'!$S56*'Weekly Summary'!Z$65)+('Equipment List &amp; Usage'!$T56*('Weekly Summary'!Z$64+'Weekly Summary'!Z$65)),
IF(AF$10=0,('Equipment List &amp; Usage'!$O56*'Weekly Summary'!Z$52)+('Equipment List &amp; Usage'!$P56*'Weekly Summary'!Z$53)+('Equipment List &amp; Usage'!$Q56*('Weekly Summary'!Z$52+'Weekly Summary'!Z$53))+('Equipment List &amp; Usage'!$R56*'Weekly Summary'!Z$64)+('Equipment List &amp; Usage'!$S56*'Weekly Summary'!Z$65)+('Equipment List &amp; Usage'!$T56*('Weekly Summary'!Z$64+'Weekly Summary'!Z$65)),
('Equipment List &amp; Usage'!$O56*'Weekly Summary'!Z$52)+('Equipment List &amp; Usage'!$P56*'Weekly Summary'!Z$53)+('Equipment List &amp; Usage'!$Q56*('Weekly Summary'!Z$52+'Weekly Summary'!Z$53))+('Equipment List &amp; Usage'!$R56*'Weekly Summary'!Z$64)+('Equipment List &amp; Usage'!$S56*'Weekly Summary'!Z$65)+('Equipment List &amp; Usage'!$T56*('Weekly Summary'!Z$64+'Weekly Summary'!Z$65))-SUM($I54:AE54))),0)</f>
        <v>0</v>
      </c>
      <c r="AG54" s="1381">
        <f ca="1">MAX(IF($F54="No",('Equipment List &amp; Usage'!$O56*'Weekly Summary'!AA$52)+('Equipment List &amp; Usage'!$P56*'Weekly Summary'!AA$53)+('Equipment List &amp; Usage'!$Q56*('Weekly Summary'!AA$52+'Weekly Summary'!AA$53))+('Equipment List &amp; Usage'!$R56*'Weekly Summary'!AA$64)+('Equipment List &amp; Usage'!$S56*'Weekly Summary'!AA$65)+('Equipment List &amp; Usage'!$T56*('Weekly Summary'!AA$64+'Weekly Summary'!AA$65)),
IF(AG$10=0,('Equipment List &amp; Usage'!$O56*'Weekly Summary'!AA$52)+('Equipment List &amp; Usage'!$P56*'Weekly Summary'!AA$53)+('Equipment List &amp; Usage'!$Q56*('Weekly Summary'!AA$52+'Weekly Summary'!AA$53))+('Equipment List &amp; Usage'!$R56*'Weekly Summary'!AA$64)+('Equipment List &amp; Usage'!$S56*'Weekly Summary'!AA$65)+('Equipment List &amp; Usage'!$T56*('Weekly Summary'!AA$64+'Weekly Summary'!AA$65)),
('Equipment List &amp; Usage'!$O56*'Weekly Summary'!AA$52)+('Equipment List &amp; Usage'!$P56*'Weekly Summary'!AA$53)+('Equipment List &amp; Usage'!$Q56*('Weekly Summary'!AA$52+'Weekly Summary'!AA$53))+('Equipment List &amp; Usage'!$R56*'Weekly Summary'!AA$64)+('Equipment List &amp; Usage'!$S56*'Weekly Summary'!AA$65)+('Equipment List &amp; Usage'!$T56*('Weekly Summary'!AA$64+'Weekly Summary'!AA$65))-SUM($I54:AF54))),0)</f>
        <v>0</v>
      </c>
      <c r="AH54" s="1381">
        <f ca="1">MAX(IF($F54="No",('Equipment List &amp; Usage'!$O56*'Weekly Summary'!AB$52)+('Equipment List &amp; Usage'!$P56*'Weekly Summary'!AB$53)+('Equipment List &amp; Usage'!$Q56*('Weekly Summary'!AB$52+'Weekly Summary'!AB$53))+('Equipment List &amp; Usage'!$R56*'Weekly Summary'!AB$64)+('Equipment List &amp; Usage'!$S56*'Weekly Summary'!AB$65)+('Equipment List &amp; Usage'!$T56*('Weekly Summary'!AB$64+'Weekly Summary'!AB$65)),
IF(AH$10=0,('Equipment List &amp; Usage'!$O56*'Weekly Summary'!AB$52)+('Equipment List &amp; Usage'!$P56*'Weekly Summary'!AB$53)+('Equipment List &amp; Usage'!$Q56*('Weekly Summary'!AB$52+'Weekly Summary'!AB$53))+('Equipment List &amp; Usage'!$R56*'Weekly Summary'!AB$64)+('Equipment List &amp; Usage'!$S56*'Weekly Summary'!AB$65)+('Equipment List &amp; Usage'!$T56*('Weekly Summary'!AB$64+'Weekly Summary'!AB$65)),
('Equipment List &amp; Usage'!$O56*'Weekly Summary'!AB$52)+('Equipment List &amp; Usage'!$P56*'Weekly Summary'!AB$53)+('Equipment List &amp; Usage'!$Q56*('Weekly Summary'!AB$52+'Weekly Summary'!AB$53))+('Equipment List &amp; Usage'!$R56*'Weekly Summary'!AB$64)+('Equipment List &amp; Usage'!$S56*'Weekly Summary'!AB$65)+('Equipment List &amp; Usage'!$T56*('Weekly Summary'!AB$64+'Weekly Summary'!AB$65))-SUM($I54:AG54))),0)</f>
        <v>0</v>
      </c>
      <c r="AI54" s="1381">
        <f ca="1">MAX(IF($F54="No",('Equipment List &amp; Usage'!$O56*'Weekly Summary'!AC$52)+('Equipment List &amp; Usage'!$P56*'Weekly Summary'!AC$53)+('Equipment List &amp; Usage'!$Q56*('Weekly Summary'!AC$52+'Weekly Summary'!AC$53))+('Equipment List &amp; Usage'!$R56*'Weekly Summary'!AC$64)+('Equipment List &amp; Usage'!$S56*'Weekly Summary'!AC$65)+('Equipment List &amp; Usage'!$T56*('Weekly Summary'!AC$64+'Weekly Summary'!AC$65)),
IF(AI$10=0,('Equipment List &amp; Usage'!$O56*'Weekly Summary'!AC$52)+('Equipment List &amp; Usage'!$P56*'Weekly Summary'!AC$53)+('Equipment List &amp; Usage'!$Q56*('Weekly Summary'!AC$52+'Weekly Summary'!AC$53))+('Equipment List &amp; Usage'!$R56*'Weekly Summary'!AC$64)+('Equipment List &amp; Usage'!$S56*'Weekly Summary'!AC$65)+('Equipment List &amp; Usage'!$T56*('Weekly Summary'!AC$64+'Weekly Summary'!AC$65)),
('Equipment List &amp; Usage'!$O56*'Weekly Summary'!AC$52)+('Equipment List &amp; Usage'!$P56*'Weekly Summary'!AC$53)+('Equipment List &amp; Usage'!$Q56*('Weekly Summary'!AC$52+'Weekly Summary'!AC$53))+('Equipment List &amp; Usage'!$R56*'Weekly Summary'!AC$64)+('Equipment List &amp; Usage'!$S56*'Weekly Summary'!AC$65)+('Equipment List &amp; Usage'!$T56*('Weekly Summary'!AC$64+'Weekly Summary'!AC$65))-SUM($I54:AH54))),0)</f>
        <v>0</v>
      </c>
      <c r="AJ54" s="1381">
        <f ca="1">MAX(IF($F54="No",('Equipment List &amp; Usage'!$O56*'Weekly Summary'!AD$52)+('Equipment List &amp; Usage'!$P56*'Weekly Summary'!AD$53)+('Equipment List &amp; Usage'!$Q56*('Weekly Summary'!AD$52+'Weekly Summary'!AD$53))+('Equipment List &amp; Usage'!$R56*'Weekly Summary'!AD$64)+('Equipment List &amp; Usage'!$S56*'Weekly Summary'!AD$65)+('Equipment List &amp; Usage'!$T56*('Weekly Summary'!AD$64+'Weekly Summary'!AD$65)),
IF(AJ$10=0,('Equipment List &amp; Usage'!$O56*'Weekly Summary'!AD$52)+('Equipment List &amp; Usage'!$P56*'Weekly Summary'!AD$53)+('Equipment List &amp; Usage'!$Q56*('Weekly Summary'!AD$52+'Weekly Summary'!AD$53))+('Equipment List &amp; Usage'!$R56*'Weekly Summary'!AD$64)+('Equipment List &amp; Usage'!$S56*'Weekly Summary'!AD$65)+('Equipment List &amp; Usage'!$T56*('Weekly Summary'!AD$64+'Weekly Summary'!AD$65)),
('Equipment List &amp; Usage'!$O56*'Weekly Summary'!AD$52)+('Equipment List &amp; Usage'!$P56*'Weekly Summary'!AD$53)+('Equipment List &amp; Usage'!$Q56*('Weekly Summary'!AD$52+'Weekly Summary'!AD$53))+('Equipment List &amp; Usage'!$R56*'Weekly Summary'!AD$64)+('Equipment List &amp; Usage'!$S56*'Weekly Summary'!AD$65)+('Equipment List &amp; Usage'!$T56*('Weekly Summary'!AD$64+'Weekly Summary'!AD$65))-SUM($I54:AI54))),0)</f>
        <v>0</v>
      </c>
      <c r="AK54" s="1381">
        <f ca="1">MAX(IF($F54="No",('Equipment List &amp; Usage'!$O56*'Weekly Summary'!AE$52)+('Equipment List &amp; Usage'!$P56*'Weekly Summary'!AE$53)+('Equipment List &amp; Usage'!$Q56*('Weekly Summary'!AE$52+'Weekly Summary'!AE$53))+('Equipment List &amp; Usage'!$R56*'Weekly Summary'!AE$64)+('Equipment List &amp; Usage'!$S56*'Weekly Summary'!AE$65)+('Equipment List &amp; Usage'!$T56*('Weekly Summary'!AE$64+'Weekly Summary'!AE$65)),
IF(AK$10=0,('Equipment List &amp; Usage'!$O56*'Weekly Summary'!AE$52)+('Equipment List &amp; Usage'!$P56*'Weekly Summary'!AE$53)+('Equipment List &amp; Usage'!$Q56*('Weekly Summary'!AE$52+'Weekly Summary'!AE$53))+('Equipment List &amp; Usage'!$R56*'Weekly Summary'!AE$64)+('Equipment List &amp; Usage'!$S56*'Weekly Summary'!AE$65)+('Equipment List &amp; Usage'!$T56*('Weekly Summary'!AE$64+'Weekly Summary'!AE$65)),
('Equipment List &amp; Usage'!$O56*'Weekly Summary'!AE$52)+('Equipment List &amp; Usage'!$P56*'Weekly Summary'!AE$53)+('Equipment List &amp; Usage'!$Q56*('Weekly Summary'!AE$52+'Weekly Summary'!AE$53))+('Equipment List &amp; Usage'!$R56*'Weekly Summary'!AE$64)+('Equipment List &amp; Usage'!$S56*'Weekly Summary'!AE$65)+('Equipment List &amp; Usage'!$T56*('Weekly Summary'!AE$64+'Weekly Summary'!AE$65))-SUM($I54:AJ54))),0)</f>
        <v>0</v>
      </c>
      <c r="AL54" s="1381">
        <f ca="1">MAX(IF($F54="No",('Equipment List &amp; Usage'!$O56*'Weekly Summary'!AF$52)+('Equipment List &amp; Usage'!$P56*'Weekly Summary'!AF$53)+('Equipment List &amp; Usage'!$Q56*('Weekly Summary'!AF$52+'Weekly Summary'!AF$53))+('Equipment List &amp; Usage'!$R56*'Weekly Summary'!AF$64)+('Equipment List &amp; Usage'!$S56*'Weekly Summary'!AF$65)+('Equipment List &amp; Usage'!$T56*('Weekly Summary'!AF$64+'Weekly Summary'!AF$65)),
IF(AL$10=0,('Equipment List &amp; Usage'!$O56*'Weekly Summary'!AF$52)+('Equipment List &amp; Usage'!$P56*'Weekly Summary'!AF$53)+('Equipment List &amp; Usage'!$Q56*('Weekly Summary'!AF$52+'Weekly Summary'!AF$53))+('Equipment List &amp; Usage'!$R56*'Weekly Summary'!AF$64)+('Equipment List &amp; Usage'!$S56*'Weekly Summary'!AF$65)+('Equipment List &amp; Usage'!$T56*('Weekly Summary'!AF$64+'Weekly Summary'!AF$65)),
('Equipment List &amp; Usage'!$O56*'Weekly Summary'!AF$52)+('Equipment List &amp; Usage'!$P56*'Weekly Summary'!AF$53)+('Equipment List &amp; Usage'!$Q56*('Weekly Summary'!AF$52+'Weekly Summary'!AF$53))+('Equipment List &amp; Usage'!$R56*'Weekly Summary'!AF$64)+('Equipment List &amp; Usage'!$S56*'Weekly Summary'!AF$65)+('Equipment List &amp; Usage'!$T56*('Weekly Summary'!AF$64+'Weekly Summary'!AF$65))-SUM($I54:AK54))),0)</f>
        <v>0</v>
      </c>
      <c r="AM54" s="1381">
        <f ca="1">MAX(IF($F54="No",('Equipment List &amp; Usage'!$O56*'Weekly Summary'!AG$52)+('Equipment List &amp; Usage'!$P56*'Weekly Summary'!AG$53)+('Equipment List &amp; Usage'!$Q56*('Weekly Summary'!AG$52+'Weekly Summary'!AG$53))+('Equipment List &amp; Usage'!$R56*'Weekly Summary'!AG$64)+('Equipment List &amp; Usage'!$S56*'Weekly Summary'!AG$65)+('Equipment List &amp; Usage'!$T56*('Weekly Summary'!AG$64+'Weekly Summary'!AG$65)),
IF(AM$10=0,('Equipment List &amp; Usage'!$O56*'Weekly Summary'!AG$52)+('Equipment List &amp; Usage'!$P56*'Weekly Summary'!AG$53)+('Equipment List &amp; Usage'!$Q56*('Weekly Summary'!AG$52+'Weekly Summary'!AG$53))+('Equipment List &amp; Usage'!$R56*'Weekly Summary'!AG$64)+('Equipment List &amp; Usage'!$S56*'Weekly Summary'!AG$65)+('Equipment List &amp; Usage'!$T56*('Weekly Summary'!AG$64+'Weekly Summary'!AG$65)),
('Equipment List &amp; Usage'!$O56*'Weekly Summary'!AG$52)+('Equipment List &amp; Usage'!$P56*'Weekly Summary'!AG$53)+('Equipment List &amp; Usage'!$Q56*('Weekly Summary'!AG$52+'Weekly Summary'!AG$53))+('Equipment List &amp; Usage'!$R56*'Weekly Summary'!AG$64)+('Equipment List &amp; Usage'!$S56*'Weekly Summary'!AG$65)+('Equipment List &amp; Usage'!$T56*('Weekly Summary'!AG$64+'Weekly Summary'!AG$65))-SUM($I54:AL54))),0)</f>
        <v>0</v>
      </c>
      <c r="AN54" s="1381">
        <f ca="1">MAX(IF($F54="No",('Equipment List &amp; Usage'!$O56*'Weekly Summary'!AH$52)+('Equipment List &amp; Usage'!$P56*'Weekly Summary'!AH$53)+('Equipment List &amp; Usage'!$Q56*('Weekly Summary'!AH$52+'Weekly Summary'!AH$53))+('Equipment List &amp; Usage'!$R56*'Weekly Summary'!AH$64)+('Equipment List &amp; Usage'!$S56*'Weekly Summary'!AH$65)+('Equipment List &amp; Usage'!$T56*('Weekly Summary'!AH$64+'Weekly Summary'!AH$65)),
IF(AN$10=0,('Equipment List &amp; Usage'!$O56*'Weekly Summary'!AH$52)+('Equipment List &amp; Usage'!$P56*'Weekly Summary'!AH$53)+('Equipment List &amp; Usage'!$Q56*('Weekly Summary'!AH$52+'Weekly Summary'!AH$53))+('Equipment List &amp; Usage'!$R56*'Weekly Summary'!AH$64)+('Equipment List &amp; Usage'!$S56*'Weekly Summary'!AH$65)+('Equipment List &amp; Usage'!$T56*('Weekly Summary'!AH$64+'Weekly Summary'!AH$65)),
('Equipment List &amp; Usage'!$O56*'Weekly Summary'!AH$52)+('Equipment List &amp; Usage'!$P56*'Weekly Summary'!AH$53)+('Equipment List &amp; Usage'!$Q56*('Weekly Summary'!AH$52+'Weekly Summary'!AH$53))+('Equipment List &amp; Usage'!$R56*'Weekly Summary'!AH$64)+('Equipment List &amp; Usage'!$S56*'Weekly Summary'!AH$65)+('Equipment List &amp; Usage'!$T56*('Weekly Summary'!AH$64+'Weekly Summary'!AH$65))-SUM($I54:AM54))),0)</f>
        <v>0</v>
      </c>
      <c r="AO54" s="1381">
        <f ca="1">MAX(IF($F54="No",('Equipment List &amp; Usage'!$O56*'Weekly Summary'!AI$52)+('Equipment List &amp; Usage'!$P56*'Weekly Summary'!AI$53)+('Equipment List &amp; Usage'!$Q56*('Weekly Summary'!AI$52+'Weekly Summary'!AI$53))+('Equipment List &amp; Usage'!$R56*'Weekly Summary'!AI$64)+('Equipment List &amp; Usage'!$S56*'Weekly Summary'!AI$65)+('Equipment List &amp; Usage'!$T56*('Weekly Summary'!AI$64+'Weekly Summary'!AI$65)),
IF(AO$10=0,('Equipment List &amp; Usage'!$O56*'Weekly Summary'!AI$52)+('Equipment List &amp; Usage'!$P56*'Weekly Summary'!AI$53)+('Equipment List &amp; Usage'!$Q56*('Weekly Summary'!AI$52+'Weekly Summary'!AI$53))+('Equipment List &amp; Usage'!$R56*'Weekly Summary'!AI$64)+('Equipment List &amp; Usage'!$S56*'Weekly Summary'!AI$65)+('Equipment List &amp; Usage'!$T56*('Weekly Summary'!AI$64+'Weekly Summary'!AI$65)),
('Equipment List &amp; Usage'!$O56*'Weekly Summary'!AI$52)+('Equipment List &amp; Usage'!$P56*'Weekly Summary'!AI$53)+('Equipment List &amp; Usage'!$Q56*('Weekly Summary'!AI$52+'Weekly Summary'!AI$53))+('Equipment List &amp; Usage'!$R56*'Weekly Summary'!AI$64)+('Equipment List &amp; Usage'!$S56*'Weekly Summary'!AI$65)+('Equipment List &amp; Usage'!$T56*('Weekly Summary'!AI$64+'Weekly Summary'!AI$65))-SUM($I54:AN54))),0)</f>
        <v>0</v>
      </c>
      <c r="AP54" s="1381">
        <f ca="1">MAX(IF($F54="No",('Equipment List &amp; Usage'!$O56*'Weekly Summary'!AJ$52)+('Equipment List &amp; Usage'!$P56*'Weekly Summary'!AJ$53)+('Equipment List &amp; Usage'!$Q56*('Weekly Summary'!AJ$52+'Weekly Summary'!AJ$53))+('Equipment List &amp; Usage'!$R56*'Weekly Summary'!AJ$64)+('Equipment List &amp; Usage'!$S56*'Weekly Summary'!AJ$65)+('Equipment List &amp; Usage'!$T56*('Weekly Summary'!AJ$64+'Weekly Summary'!AJ$65)),
IF(AP$10=0,('Equipment List &amp; Usage'!$O56*'Weekly Summary'!AJ$52)+('Equipment List &amp; Usage'!$P56*'Weekly Summary'!AJ$53)+('Equipment List &amp; Usage'!$Q56*('Weekly Summary'!AJ$52+'Weekly Summary'!AJ$53))+('Equipment List &amp; Usage'!$R56*'Weekly Summary'!AJ$64)+('Equipment List &amp; Usage'!$S56*'Weekly Summary'!AJ$65)+('Equipment List &amp; Usage'!$T56*('Weekly Summary'!AJ$64+'Weekly Summary'!AJ$65)),
('Equipment List &amp; Usage'!$O56*'Weekly Summary'!AJ$52)+('Equipment List &amp; Usage'!$P56*'Weekly Summary'!AJ$53)+('Equipment List &amp; Usage'!$Q56*('Weekly Summary'!AJ$52+'Weekly Summary'!AJ$53))+('Equipment List &amp; Usage'!$R56*'Weekly Summary'!AJ$64)+('Equipment List &amp; Usage'!$S56*'Weekly Summary'!AJ$65)+('Equipment List &amp; Usage'!$T56*('Weekly Summary'!AJ$64+'Weekly Summary'!AJ$65))-SUM($I54:AO54))),0)</f>
        <v>0</v>
      </c>
      <c r="AQ54" s="1381">
        <f ca="1">MAX(IF($F54="No",('Equipment List &amp; Usage'!$O56*'Weekly Summary'!AK$52)+('Equipment List &amp; Usage'!$P56*'Weekly Summary'!AK$53)+('Equipment List &amp; Usage'!$Q56*('Weekly Summary'!AK$52+'Weekly Summary'!AK$53))+('Equipment List &amp; Usage'!$R56*'Weekly Summary'!AK$64)+('Equipment List &amp; Usage'!$S56*'Weekly Summary'!AK$65)+('Equipment List &amp; Usage'!$T56*('Weekly Summary'!AK$64+'Weekly Summary'!AK$65)),
IF(AQ$10=0,('Equipment List &amp; Usage'!$O56*'Weekly Summary'!AK$52)+('Equipment List &amp; Usage'!$P56*'Weekly Summary'!AK$53)+('Equipment List &amp; Usage'!$Q56*('Weekly Summary'!AK$52+'Weekly Summary'!AK$53))+('Equipment List &amp; Usage'!$R56*'Weekly Summary'!AK$64)+('Equipment List &amp; Usage'!$S56*'Weekly Summary'!AK$65)+('Equipment List &amp; Usage'!$T56*('Weekly Summary'!AK$64+'Weekly Summary'!AK$65)),
('Equipment List &amp; Usage'!$O56*'Weekly Summary'!AK$52)+('Equipment List &amp; Usage'!$P56*'Weekly Summary'!AK$53)+('Equipment List &amp; Usage'!$Q56*('Weekly Summary'!AK$52+'Weekly Summary'!AK$53))+('Equipment List &amp; Usage'!$R56*'Weekly Summary'!AK$64)+('Equipment List &amp; Usage'!$S56*'Weekly Summary'!AK$65)+('Equipment List &amp; Usage'!$T56*('Weekly Summary'!AK$64+'Weekly Summary'!AK$65))-SUM($I54:AP54))),0)</f>
        <v>0</v>
      </c>
      <c r="AR54" s="1381">
        <f ca="1">MAX(IF($F54="No",('Equipment List &amp; Usage'!$O56*'Weekly Summary'!AL$52)+('Equipment List &amp; Usage'!$P56*'Weekly Summary'!AL$53)+('Equipment List &amp; Usage'!$Q56*('Weekly Summary'!AL$52+'Weekly Summary'!AL$53))+('Equipment List &amp; Usage'!$R56*'Weekly Summary'!AL$64)+('Equipment List &amp; Usage'!$S56*'Weekly Summary'!AL$65)+('Equipment List &amp; Usage'!$T56*('Weekly Summary'!AL$64+'Weekly Summary'!AL$65)),
IF(AR$10=0,('Equipment List &amp; Usage'!$O56*'Weekly Summary'!AL$52)+('Equipment List &amp; Usage'!$P56*'Weekly Summary'!AL$53)+('Equipment List &amp; Usage'!$Q56*('Weekly Summary'!AL$52+'Weekly Summary'!AL$53))+('Equipment List &amp; Usage'!$R56*'Weekly Summary'!AL$64)+('Equipment List &amp; Usage'!$S56*'Weekly Summary'!AL$65)+('Equipment List &amp; Usage'!$T56*('Weekly Summary'!AL$64+'Weekly Summary'!AL$65)),
('Equipment List &amp; Usage'!$O56*'Weekly Summary'!AL$52)+('Equipment List &amp; Usage'!$P56*'Weekly Summary'!AL$53)+('Equipment List &amp; Usage'!$Q56*('Weekly Summary'!AL$52+'Weekly Summary'!AL$53))+('Equipment List &amp; Usage'!$R56*'Weekly Summary'!AL$64)+('Equipment List &amp; Usage'!$S56*'Weekly Summary'!AL$65)+('Equipment List &amp; Usage'!$T56*('Weekly Summary'!AL$64+'Weekly Summary'!AL$65))-SUM($I54:AQ54))),0)</f>
        <v>0</v>
      </c>
      <c r="AS54" s="1381">
        <f ca="1">MAX(IF($F54="No",('Equipment List &amp; Usage'!$O56*'Weekly Summary'!AM$52)+('Equipment List &amp; Usage'!$P56*'Weekly Summary'!AM$53)+('Equipment List &amp; Usage'!$Q56*('Weekly Summary'!AM$52+'Weekly Summary'!AM$53))+('Equipment List &amp; Usage'!$R56*'Weekly Summary'!AM$64)+('Equipment List &amp; Usage'!$S56*'Weekly Summary'!AM$65)+('Equipment List &amp; Usage'!$T56*('Weekly Summary'!AM$64+'Weekly Summary'!AM$65)),
IF(AS$10=0,('Equipment List &amp; Usage'!$O56*'Weekly Summary'!AM$52)+('Equipment List &amp; Usage'!$P56*'Weekly Summary'!AM$53)+('Equipment List &amp; Usage'!$Q56*('Weekly Summary'!AM$52+'Weekly Summary'!AM$53))+('Equipment List &amp; Usage'!$R56*'Weekly Summary'!AM$64)+('Equipment List &amp; Usage'!$S56*'Weekly Summary'!AM$65)+('Equipment List &amp; Usage'!$T56*('Weekly Summary'!AM$64+'Weekly Summary'!AM$65)),
('Equipment List &amp; Usage'!$O56*'Weekly Summary'!AM$52)+('Equipment List &amp; Usage'!$P56*'Weekly Summary'!AM$53)+('Equipment List &amp; Usage'!$Q56*('Weekly Summary'!AM$52+'Weekly Summary'!AM$53))+('Equipment List &amp; Usage'!$R56*'Weekly Summary'!AM$64)+('Equipment List &amp; Usage'!$S56*'Weekly Summary'!AM$65)+('Equipment List &amp; Usage'!$T56*('Weekly Summary'!AM$64+'Weekly Summary'!AM$65))-SUM($I54:AR54))),0)</f>
        <v>0</v>
      </c>
      <c r="AT54" s="1381">
        <f ca="1">MAX(IF($F54="No",('Equipment List &amp; Usage'!$O56*'Weekly Summary'!AN$52)+('Equipment List &amp; Usage'!$P56*'Weekly Summary'!AN$53)+('Equipment List &amp; Usage'!$Q56*('Weekly Summary'!AN$52+'Weekly Summary'!AN$53))+('Equipment List &amp; Usage'!$R56*'Weekly Summary'!AN$64)+('Equipment List &amp; Usage'!$S56*'Weekly Summary'!AN$65)+('Equipment List &amp; Usage'!$T56*('Weekly Summary'!AN$64+'Weekly Summary'!AN$65)),
IF(AT$10=0,('Equipment List &amp; Usage'!$O56*'Weekly Summary'!AN$52)+('Equipment List &amp; Usage'!$P56*'Weekly Summary'!AN$53)+('Equipment List &amp; Usage'!$Q56*('Weekly Summary'!AN$52+'Weekly Summary'!AN$53))+('Equipment List &amp; Usage'!$R56*'Weekly Summary'!AN$64)+('Equipment List &amp; Usage'!$S56*'Weekly Summary'!AN$65)+('Equipment List &amp; Usage'!$T56*('Weekly Summary'!AN$64+'Weekly Summary'!AN$65)),
('Equipment List &amp; Usage'!$O56*'Weekly Summary'!AN$52)+('Equipment List &amp; Usage'!$P56*'Weekly Summary'!AN$53)+('Equipment List &amp; Usage'!$Q56*('Weekly Summary'!AN$52+'Weekly Summary'!AN$53))+('Equipment List &amp; Usage'!$R56*'Weekly Summary'!AN$64)+('Equipment List &amp; Usage'!$S56*'Weekly Summary'!AN$65)+('Equipment List &amp; Usage'!$T56*('Weekly Summary'!AN$64+'Weekly Summary'!AN$65))-SUM($I54:AS54))),0)</f>
        <v>0</v>
      </c>
      <c r="AU54" s="1381">
        <f ca="1">MAX(IF($F54="No",('Equipment List &amp; Usage'!$O56*'Weekly Summary'!AO$52)+('Equipment List &amp; Usage'!$P56*'Weekly Summary'!AO$53)+('Equipment List &amp; Usage'!$Q56*('Weekly Summary'!AO$52+'Weekly Summary'!AO$53))+('Equipment List &amp; Usage'!$R56*'Weekly Summary'!AO$64)+('Equipment List &amp; Usage'!$S56*'Weekly Summary'!AO$65)+('Equipment List &amp; Usage'!$T56*('Weekly Summary'!AO$64+'Weekly Summary'!AO$65)),
IF(AU$10=0,('Equipment List &amp; Usage'!$O56*'Weekly Summary'!AO$52)+('Equipment List &amp; Usage'!$P56*'Weekly Summary'!AO$53)+('Equipment List &amp; Usage'!$Q56*('Weekly Summary'!AO$52+'Weekly Summary'!AO$53))+('Equipment List &amp; Usage'!$R56*'Weekly Summary'!AO$64)+('Equipment List &amp; Usage'!$S56*'Weekly Summary'!AO$65)+('Equipment List &amp; Usage'!$T56*('Weekly Summary'!AO$64+'Weekly Summary'!AO$65)),
('Equipment List &amp; Usage'!$O56*'Weekly Summary'!AO$52)+('Equipment List &amp; Usage'!$P56*'Weekly Summary'!AO$53)+('Equipment List &amp; Usage'!$Q56*('Weekly Summary'!AO$52+'Weekly Summary'!AO$53))+('Equipment List &amp; Usage'!$R56*'Weekly Summary'!AO$64)+('Equipment List &amp; Usage'!$S56*'Weekly Summary'!AO$65)+('Equipment List &amp; Usage'!$T56*('Weekly Summary'!AO$64+'Weekly Summary'!AO$65))-SUM($I54:AT54))),0)</f>
        <v>0</v>
      </c>
      <c r="AV54" s="1381">
        <f ca="1">MAX(IF($F54="No",('Equipment List &amp; Usage'!$O56*'Weekly Summary'!AP$52)+('Equipment List &amp; Usage'!$P56*'Weekly Summary'!AP$53)+('Equipment List &amp; Usage'!$Q56*('Weekly Summary'!AP$52+'Weekly Summary'!AP$53))+('Equipment List &amp; Usage'!$R56*'Weekly Summary'!AP$64)+('Equipment List &amp; Usage'!$S56*'Weekly Summary'!AP$65)+('Equipment List &amp; Usage'!$T56*('Weekly Summary'!AP$64+'Weekly Summary'!AP$65)),
IF(AV$10=0,('Equipment List &amp; Usage'!$O56*'Weekly Summary'!AP$52)+('Equipment List &amp; Usage'!$P56*'Weekly Summary'!AP$53)+('Equipment List &amp; Usage'!$Q56*('Weekly Summary'!AP$52+'Weekly Summary'!AP$53))+('Equipment List &amp; Usage'!$R56*'Weekly Summary'!AP$64)+('Equipment List &amp; Usage'!$S56*'Weekly Summary'!AP$65)+('Equipment List &amp; Usage'!$T56*('Weekly Summary'!AP$64+'Weekly Summary'!AP$65)),
('Equipment List &amp; Usage'!$O56*'Weekly Summary'!AP$52)+('Equipment List &amp; Usage'!$P56*'Weekly Summary'!AP$53)+('Equipment List &amp; Usage'!$Q56*('Weekly Summary'!AP$52+'Weekly Summary'!AP$53))+('Equipment List &amp; Usage'!$R56*'Weekly Summary'!AP$64)+('Equipment List &amp; Usage'!$S56*'Weekly Summary'!AP$65)+('Equipment List &amp; Usage'!$T56*('Weekly Summary'!AP$64+'Weekly Summary'!AP$65))-SUM($I54:AU54))),0)</f>
        <v>0</v>
      </c>
      <c r="AW54" s="1381">
        <f ca="1">MAX(IF($F54="No",('Equipment List &amp; Usage'!$O56*'Weekly Summary'!AQ$52)+('Equipment List &amp; Usage'!$P56*'Weekly Summary'!AQ$53)+('Equipment List &amp; Usage'!$Q56*('Weekly Summary'!AQ$52+'Weekly Summary'!AQ$53))+('Equipment List &amp; Usage'!$R56*'Weekly Summary'!AQ$64)+('Equipment List &amp; Usage'!$S56*'Weekly Summary'!AQ$65)+('Equipment List &amp; Usage'!$T56*('Weekly Summary'!AQ$64+'Weekly Summary'!AQ$65)),
IF(AW$10=0,('Equipment List &amp; Usage'!$O56*'Weekly Summary'!AQ$52)+('Equipment List &amp; Usage'!$P56*'Weekly Summary'!AQ$53)+('Equipment List &amp; Usage'!$Q56*('Weekly Summary'!AQ$52+'Weekly Summary'!AQ$53))+('Equipment List &amp; Usage'!$R56*'Weekly Summary'!AQ$64)+('Equipment List &amp; Usage'!$S56*'Weekly Summary'!AQ$65)+('Equipment List &amp; Usage'!$T56*('Weekly Summary'!AQ$64+'Weekly Summary'!AQ$65)),
('Equipment List &amp; Usage'!$O56*'Weekly Summary'!AQ$52)+('Equipment List &amp; Usage'!$P56*'Weekly Summary'!AQ$53)+('Equipment List &amp; Usage'!$Q56*('Weekly Summary'!AQ$52+'Weekly Summary'!AQ$53))+('Equipment List &amp; Usage'!$R56*'Weekly Summary'!AQ$64)+('Equipment List &amp; Usage'!$S56*'Weekly Summary'!AQ$65)+('Equipment List &amp; Usage'!$T56*('Weekly Summary'!AQ$64+'Weekly Summary'!AQ$65))-SUM($I54:AV54))),0)</f>
        <v>0</v>
      </c>
      <c r="AX54" s="1381">
        <f ca="1">MAX(IF($F54="No",('Equipment List &amp; Usage'!$O56*'Weekly Summary'!AR$52)+('Equipment List &amp; Usage'!$P56*'Weekly Summary'!AR$53)+('Equipment List &amp; Usage'!$Q56*('Weekly Summary'!AR$52+'Weekly Summary'!AR$53))+('Equipment List &amp; Usage'!$R56*'Weekly Summary'!AR$64)+('Equipment List &amp; Usage'!$S56*'Weekly Summary'!AR$65)+('Equipment List &amp; Usage'!$T56*('Weekly Summary'!AR$64+'Weekly Summary'!AR$65)),
IF(AX$10=0,('Equipment List &amp; Usage'!$O56*'Weekly Summary'!AR$52)+('Equipment List &amp; Usage'!$P56*'Weekly Summary'!AR$53)+('Equipment List &amp; Usage'!$Q56*('Weekly Summary'!AR$52+'Weekly Summary'!AR$53))+('Equipment List &amp; Usage'!$R56*'Weekly Summary'!AR$64)+('Equipment List &amp; Usage'!$S56*'Weekly Summary'!AR$65)+('Equipment List &amp; Usage'!$T56*('Weekly Summary'!AR$64+'Weekly Summary'!AR$65)),
('Equipment List &amp; Usage'!$O56*'Weekly Summary'!AR$52)+('Equipment List &amp; Usage'!$P56*'Weekly Summary'!AR$53)+('Equipment List &amp; Usage'!$Q56*('Weekly Summary'!AR$52+'Weekly Summary'!AR$53))+('Equipment List &amp; Usage'!$R56*'Weekly Summary'!AR$64)+('Equipment List &amp; Usage'!$S56*'Weekly Summary'!AR$65)+('Equipment List &amp; Usage'!$T56*('Weekly Summary'!AR$64+'Weekly Summary'!AR$65))-SUM($I54:AW54))),0)</f>
        <v>0</v>
      </c>
      <c r="AY54" s="1381">
        <f ca="1">MAX(IF($F54="No",('Equipment List &amp; Usage'!$O56*'Weekly Summary'!AS$52)+('Equipment List &amp; Usage'!$P56*'Weekly Summary'!AS$53)+('Equipment List &amp; Usage'!$Q56*('Weekly Summary'!AS$52+'Weekly Summary'!AS$53))+('Equipment List &amp; Usage'!$R56*'Weekly Summary'!AS$64)+('Equipment List &amp; Usage'!$S56*'Weekly Summary'!AS$65)+('Equipment List &amp; Usage'!$T56*('Weekly Summary'!AS$64+'Weekly Summary'!AS$65)),
IF(AY$10=0,('Equipment List &amp; Usage'!$O56*'Weekly Summary'!AS$52)+('Equipment List &amp; Usage'!$P56*'Weekly Summary'!AS$53)+('Equipment List &amp; Usage'!$Q56*('Weekly Summary'!AS$52+'Weekly Summary'!AS$53))+('Equipment List &amp; Usage'!$R56*'Weekly Summary'!AS$64)+('Equipment List &amp; Usage'!$S56*'Weekly Summary'!AS$65)+('Equipment List &amp; Usage'!$T56*('Weekly Summary'!AS$64+'Weekly Summary'!AS$65)),
('Equipment List &amp; Usage'!$O56*'Weekly Summary'!AS$52)+('Equipment List &amp; Usage'!$P56*'Weekly Summary'!AS$53)+('Equipment List &amp; Usage'!$Q56*('Weekly Summary'!AS$52+'Weekly Summary'!AS$53))+('Equipment List &amp; Usage'!$R56*'Weekly Summary'!AS$64)+('Equipment List &amp; Usage'!$S56*'Weekly Summary'!AS$65)+('Equipment List &amp; Usage'!$T56*('Weekly Summary'!AS$64+'Weekly Summary'!AS$65))-SUM($I54:AX54))),0)</f>
        <v>0</v>
      </c>
      <c r="AZ54" s="1381">
        <f ca="1">MAX(IF($F54="No",('Equipment List &amp; Usage'!$O56*'Weekly Summary'!AT$52)+('Equipment List &amp; Usage'!$P56*'Weekly Summary'!AT$53)+('Equipment List &amp; Usage'!$Q56*('Weekly Summary'!AT$52+'Weekly Summary'!AT$53))+('Equipment List &amp; Usage'!$R56*'Weekly Summary'!AT$64)+('Equipment List &amp; Usage'!$S56*'Weekly Summary'!AT$65)+('Equipment List &amp; Usage'!$T56*('Weekly Summary'!AT$64+'Weekly Summary'!AT$65)),
IF(AZ$10=0,('Equipment List &amp; Usage'!$O56*'Weekly Summary'!AT$52)+('Equipment List &amp; Usage'!$P56*'Weekly Summary'!AT$53)+('Equipment List &amp; Usage'!$Q56*('Weekly Summary'!AT$52+'Weekly Summary'!AT$53))+('Equipment List &amp; Usage'!$R56*'Weekly Summary'!AT$64)+('Equipment List &amp; Usage'!$S56*'Weekly Summary'!AT$65)+('Equipment List &amp; Usage'!$T56*('Weekly Summary'!AT$64+'Weekly Summary'!AT$65)),
('Equipment List &amp; Usage'!$O56*'Weekly Summary'!AT$52)+('Equipment List &amp; Usage'!$P56*'Weekly Summary'!AT$53)+('Equipment List &amp; Usage'!$Q56*('Weekly Summary'!AT$52+'Weekly Summary'!AT$53))+('Equipment List &amp; Usage'!$R56*'Weekly Summary'!AT$64)+('Equipment List &amp; Usage'!$S56*'Weekly Summary'!AT$65)+('Equipment List &amp; Usage'!$T56*('Weekly Summary'!AT$64+'Weekly Summary'!AT$65))-SUM($I54:AY54))),0)</f>
        <v>0</v>
      </c>
      <c r="BA54" s="1381">
        <f ca="1">MAX(IF($F54="No",('Equipment List &amp; Usage'!$O56*'Weekly Summary'!AU$52)+('Equipment List &amp; Usage'!$P56*'Weekly Summary'!AU$53)+('Equipment List &amp; Usage'!$Q56*('Weekly Summary'!AU$52+'Weekly Summary'!AU$53))+('Equipment List &amp; Usage'!$R56*'Weekly Summary'!AU$64)+('Equipment List &amp; Usage'!$S56*'Weekly Summary'!AU$65)+('Equipment List &amp; Usage'!$T56*('Weekly Summary'!AU$64+'Weekly Summary'!AU$65)),
IF(BA$10=0,('Equipment List &amp; Usage'!$O56*'Weekly Summary'!AU$52)+('Equipment List &amp; Usage'!$P56*'Weekly Summary'!AU$53)+('Equipment List &amp; Usage'!$Q56*('Weekly Summary'!AU$52+'Weekly Summary'!AU$53))+('Equipment List &amp; Usage'!$R56*'Weekly Summary'!AU$64)+('Equipment List &amp; Usage'!$S56*'Weekly Summary'!AU$65)+('Equipment List &amp; Usage'!$T56*('Weekly Summary'!AU$64+'Weekly Summary'!AU$65)),
('Equipment List &amp; Usage'!$O56*'Weekly Summary'!AU$52)+('Equipment List &amp; Usage'!$P56*'Weekly Summary'!AU$53)+('Equipment List &amp; Usage'!$Q56*('Weekly Summary'!AU$52+'Weekly Summary'!AU$53))+('Equipment List &amp; Usage'!$R56*'Weekly Summary'!AU$64)+('Equipment List &amp; Usage'!$S56*'Weekly Summary'!AU$65)+('Equipment List &amp; Usage'!$T56*('Weekly Summary'!AU$64+'Weekly Summary'!AU$65))-SUM($I54:AZ54))),0)</f>
        <v>0</v>
      </c>
      <c r="BB54" s="1381">
        <f ca="1">MAX(IF($F54="No",('Equipment List &amp; Usage'!$O56*'Weekly Summary'!AV$52)+('Equipment List &amp; Usage'!$P56*'Weekly Summary'!AV$53)+('Equipment List &amp; Usage'!$Q56*('Weekly Summary'!AV$52+'Weekly Summary'!AV$53))+('Equipment List &amp; Usage'!$R56*'Weekly Summary'!AV$64)+('Equipment List &amp; Usage'!$S56*'Weekly Summary'!AV$65)+('Equipment List &amp; Usage'!$T56*('Weekly Summary'!AV$64+'Weekly Summary'!AV$65)),
IF(BB$10=0,('Equipment List &amp; Usage'!$O56*'Weekly Summary'!AV$52)+('Equipment List &amp; Usage'!$P56*'Weekly Summary'!AV$53)+('Equipment List &amp; Usage'!$Q56*('Weekly Summary'!AV$52+'Weekly Summary'!AV$53))+('Equipment List &amp; Usage'!$R56*'Weekly Summary'!AV$64)+('Equipment List &amp; Usage'!$S56*'Weekly Summary'!AV$65)+('Equipment List &amp; Usage'!$T56*('Weekly Summary'!AV$64+'Weekly Summary'!AV$65)),
('Equipment List &amp; Usage'!$O56*'Weekly Summary'!AV$52)+('Equipment List &amp; Usage'!$P56*'Weekly Summary'!AV$53)+('Equipment List &amp; Usage'!$Q56*('Weekly Summary'!AV$52+'Weekly Summary'!AV$53))+('Equipment List &amp; Usage'!$R56*'Weekly Summary'!AV$64)+('Equipment List &amp; Usage'!$S56*'Weekly Summary'!AV$65)+('Equipment List &amp; Usage'!$T56*('Weekly Summary'!AV$64+'Weekly Summary'!AV$65))-SUM($I54:BA54))),0)</f>
        <v>0</v>
      </c>
      <c r="BC54" s="1381">
        <f ca="1">MAX(IF($F54="No",('Equipment List &amp; Usage'!$O56*'Weekly Summary'!AW$52)+('Equipment List &amp; Usage'!$P56*'Weekly Summary'!AW$53)+('Equipment List &amp; Usage'!$Q56*('Weekly Summary'!AW$52+'Weekly Summary'!AW$53))+('Equipment List &amp; Usage'!$R56*'Weekly Summary'!AW$64)+('Equipment List &amp; Usage'!$S56*'Weekly Summary'!AW$65)+('Equipment List &amp; Usage'!$T56*('Weekly Summary'!AW$64+'Weekly Summary'!AW$65)),
IF(BC$10=0,('Equipment List &amp; Usage'!$O56*'Weekly Summary'!AW$52)+('Equipment List &amp; Usage'!$P56*'Weekly Summary'!AW$53)+('Equipment List &amp; Usage'!$Q56*('Weekly Summary'!AW$52+'Weekly Summary'!AW$53))+('Equipment List &amp; Usage'!$R56*'Weekly Summary'!AW$64)+('Equipment List &amp; Usage'!$S56*'Weekly Summary'!AW$65)+('Equipment List &amp; Usage'!$T56*('Weekly Summary'!AW$64+'Weekly Summary'!AW$65)),
('Equipment List &amp; Usage'!$O56*'Weekly Summary'!AW$52)+('Equipment List &amp; Usage'!$P56*'Weekly Summary'!AW$53)+('Equipment List &amp; Usage'!$Q56*('Weekly Summary'!AW$52+'Weekly Summary'!AW$53))+('Equipment List &amp; Usage'!$R56*'Weekly Summary'!AW$64)+('Equipment List &amp; Usage'!$S56*'Weekly Summary'!AW$65)+('Equipment List &amp; Usage'!$T56*('Weekly Summary'!AW$64+'Weekly Summary'!AW$65))-SUM($I54:BB54))),0)</f>
        <v>0</v>
      </c>
      <c r="BD54" s="1381">
        <f ca="1">MAX(IF($F54="No",('Equipment List &amp; Usage'!$O56*'Weekly Summary'!AX$52)+('Equipment List &amp; Usage'!$P56*'Weekly Summary'!AX$53)+('Equipment List &amp; Usage'!$Q56*('Weekly Summary'!AX$52+'Weekly Summary'!AX$53))+('Equipment List &amp; Usage'!$R56*'Weekly Summary'!AX$64)+('Equipment List &amp; Usage'!$S56*'Weekly Summary'!AX$65)+('Equipment List &amp; Usage'!$T56*('Weekly Summary'!AX$64+'Weekly Summary'!AX$65)),
IF(BD$10=0,('Equipment List &amp; Usage'!$O56*'Weekly Summary'!AX$52)+('Equipment List &amp; Usage'!$P56*'Weekly Summary'!AX$53)+('Equipment List &amp; Usage'!$Q56*('Weekly Summary'!AX$52+'Weekly Summary'!AX$53))+('Equipment List &amp; Usage'!$R56*'Weekly Summary'!AX$64)+('Equipment List &amp; Usage'!$S56*'Weekly Summary'!AX$65)+('Equipment List &amp; Usage'!$T56*('Weekly Summary'!AX$64+'Weekly Summary'!AX$65)),
('Equipment List &amp; Usage'!$O56*'Weekly Summary'!AX$52)+('Equipment List &amp; Usage'!$P56*'Weekly Summary'!AX$53)+('Equipment List &amp; Usage'!$Q56*('Weekly Summary'!AX$52+'Weekly Summary'!AX$53))+('Equipment List &amp; Usage'!$R56*'Weekly Summary'!AX$64)+('Equipment List &amp; Usage'!$S56*'Weekly Summary'!AX$65)+('Equipment List &amp; Usage'!$T56*('Weekly Summary'!AX$64+'Weekly Summary'!AX$65))-SUM($I54:BC54))),0)</f>
        <v>0</v>
      </c>
      <c r="BE54" s="1381">
        <f ca="1">MAX(IF($F54="No",('Equipment List &amp; Usage'!$O56*'Weekly Summary'!AY$52)+('Equipment List &amp; Usage'!$P56*'Weekly Summary'!AY$53)+('Equipment List &amp; Usage'!$Q56*('Weekly Summary'!AY$52+'Weekly Summary'!AY$53))+('Equipment List &amp; Usage'!$R56*'Weekly Summary'!AY$64)+('Equipment List &amp; Usage'!$S56*'Weekly Summary'!AY$65)+('Equipment List &amp; Usage'!$T56*('Weekly Summary'!AY$64+'Weekly Summary'!AY$65)),
IF(BE$10=0,('Equipment List &amp; Usage'!$O56*'Weekly Summary'!AY$52)+('Equipment List &amp; Usage'!$P56*'Weekly Summary'!AY$53)+('Equipment List &amp; Usage'!$Q56*('Weekly Summary'!AY$52+'Weekly Summary'!AY$53))+('Equipment List &amp; Usage'!$R56*'Weekly Summary'!AY$64)+('Equipment List &amp; Usage'!$S56*'Weekly Summary'!AY$65)+('Equipment List &amp; Usage'!$T56*('Weekly Summary'!AY$64+'Weekly Summary'!AY$65)),
('Equipment List &amp; Usage'!$O56*'Weekly Summary'!AY$52)+('Equipment List &amp; Usage'!$P56*'Weekly Summary'!AY$53)+('Equipment List &amp; Usage'!$Q56*('Weekly Summary'!AY$52+'Weekly Summary'!AY$53))+('Equipment List &amp; Usage'!$R56*'Weekly Summary'!AY$64)+('Equipment List &amp; Usage'!$S56*'Weekly Summary'!AY$65)+('Equipment List &amp; Usage'!$T56*('Weekly Summary'!AY$64+'Weekly Summary'!AY$65))-SUM($I54:BD54))),0)</f>
        <v>0</v>
      </c>
      <c r="BF54" s="1381">
        <f ca="1">MAX(IF($F54="No",('Equipment List &amp; Usage'!$O56*'Weekly Summary'!AZ$52)+('Equipment List &amp; Usage'!$P56*'Weekly Summary'!AZ$53)+('Equipment List &amp; Usage'!$Q56*('Weekly Summary'!AZ$52+'Weekly Summary'!AZ$53))+('Equipment List &amp; Usage'!$R56*'Weekly Summary'!AZ$64)+('Equipment List &amp; Usage'!$S56*'Weekly Summary'!AZ$65)+('Equipment List &amp; Usage'!$T56*('Weekly Summary'!AZ$64+'Weekly Summary'!AZ$65)),
IF(BF$10=0,('Equipment List &amp; Usage'!$O56*'Weekly Summary'!AZ$52)+('Equipment List &amp; Usage'!$P56*'Weekly Summary'!AZ$53)+('Equipment List &amp; Usage'!$Q56*('Weekly Summary'!AZ$52+'Weekly Summary'!AZ$53))+('Equipment List &amp; Usage'!$R56*'Weekly Summary'!AZ$64)+('Equipment List &amp; Usage'!$S56*'Weekly Summary'!AZ$65)+('Equipment List &amp; Usage'!$T56*('Weekly Summary'!AZ$64+'Weekly Summary'!AZ$65)),
('Equipment List &amp; Usage'!$O56*'Weekly Summary'!AZ$52)+('Equipment List &amp; Usage'!$P56*'Weekly Summary'!AZ$53)+('Equipment List &amp; Usage'!$Q56*('Weekly Summary'!AZ$52+'Weekly Summary'!AZ$53))+('Equipment List &amp; Usage'!$R56*'Weekly Summary'!AZ$64)+('Equipment List &amp; Usage'!$S56*'Weekly Summary'!AZ$65)+('Equipment List &amp; Usage'!$T56*('Weekly Summary'!AZ$64+'Weekly Summary'!AZ$65))-SUM($I54:BE54))),0)</f>
        <v>0</v>
      </c>
      <c r="BG54" s="1381">
        <f ca="1">MAX(IF($F54="No",('Equipment List &amp; Usage'!$O56*'Weekly Summary'!BA$52)+('Equipment List &amp; Usage'!$P56*'Weekly Summary'!BA$53)+('Equipment List &amp; Usage'!$Q56*('Weekly Summary'!BA$52+'Weekly Summary'!BA$53))+('Equipment List &amp; Usage'!$R56*'Weekly Summary'!BA$64)+('Equipment List &amp; Usage'!$S56*'Weekly Summary'!BA$65)+('Equipment List &amp; Usage'!$T56*('Weekly Summary'!BA$64+'Weekly Summary'!BA$65)),
IF(BG$10=0,('Equipment List &amp; Usage'!$O56*'Weekly Summary'!BA$52)+('Equipment List &amp; Usage'!$P56*'Weekly Summary'!BA$53)+('Equipment List &amp; Usage'!$Q56*('Weekly Summary'!BA$52+'Weekly Summary'!BA$53))+('Equipment List &amp; Usage'!$R56*'Weekly Summary'!BA$64)+('Equipment List &amp; Usage'!$S56*'Weekly Summary'!BA$65)+('Equipment List &amp; Usage'!$T56*('Weekly Summary'!BA$64+'Weekly Summary'!BA$65)),
('Equipment List &amp; Usage'!$O56*'Weekly Summary'!BA$52)+('Equipment List &amp; Usage'!$P56*'Weekly Summary'!BA$53)+('Equipment List &amp; Usage'!$Q56*('Weekly Summary'!BA$52+'Weekly Summary'!BA$53))+('Equipment List &amp; Usage'!$R56*'Weekly Summary'!BA$64)+('Equipment List &amp; Usage'!$S56*'Weekly Summary'!BA$65)+('Equipment List &amp; Usage'!$T56*('Weekly Summary'!BA$64+'Weekly Summary'!BA$65))-SUM($I54:BF54))),0)</f>
        <v>0</v>
      </c>
      <c r="BH54" s="1381">
        <f ca="1">MAX(IF($F54="No",('Equipment List &amp; Usage'!$O56*'Weekly Summary'!BB$52)+('Equipment List &amp; Usage'!$P56*'Weekly Summary'!BB$53)+('Equipment List &amp; Usage'!$Q56*('Weekly Summary'!BB$52+'Weekly Summary'!BB$53))+('Equipment List &amp; Usage'!$R56*'Weekly Summary'!BB$64)+('Equipment List &amp; Usage'!$S56*'Weekly Summary'!BB$65)+('Equipment List &amp; Usage'!$T56*('Weekly Summary'!BB$64+'Weekly Summary'!BB$65)),
IF(BH$10=0,('Equipment List &amp; Usage'!$O56*'Weekly Summary'!BB$52)+('Equipment List &amp; Usage'!$P56*'Weekly Summary'!BB$53)+('Equipment List &amp; Usage'!$Q56*('Weekly Summary'!BB$52+'Weekly Summary'!BB$53))+('Equipment List &amp; Usage'!$R56*'Weekly Summary'!BB$64)+('Equipment List &amp; Usage'!$S56*'Weekly Summary'!BB$65)+('Equipment List &amp; Usage'!$T56*('Weekly Summary'!BB$64+'Weekly Summary'!BB$65)),
('Equipment List &amp; Usage'!$O56*'Weekly Summary'!BB$52)+('Equipment List &amp; Usage'!$P56*'Weekly Summary'!BB$53)+('Equipment List &amp; Usage'!$Q56*('Weekly Summary'!BB$52+'Weekly Summary'!BB$53))+('Equipment List &amp; Usage'!$R56*'Weekly Summary'!BB$64)+('Equipment List &amp; Usage'!$S56*'Weekly Summary'!BB$65)+('Equipment List &amp; Usage'!$T56*('Weekly Summary'!BB$64+'Weekly Summary'!BB$65))-SUM($I54:BG54))),0)</f>
        <v>0</v>
      </c>
      <c r="BI54" s="1381">
        <f ca="1">MAX(IF($F54="No",('Equipment List &amp; Usage'!$O56*'Weekly Summary'!BC$52)+('Equipment List &amp; Usage'!$P56*'Weekly Summary'!BC$53)+('Equipment List &amp; Usage'!$Q56*('Weekly Summary'!BC$52+'Weekly Summary'!BC$53))+('Equipment List &amp; Usage'!$R56*'Weekly Summary'!BC$64)+('Equipment List &amp; Usage'!$S56*'Weekly Summary'!BC$65)+('Equipment List &amp; Usage'!$T56*('Weekly Summary'!BC$64+'Weekly Summary'!BC$65)),
IF(BI$10=0,('Equipment List &amp; Usage'!$O56*'Weekly Summary'!BC$52)+('Equipment List &amp; Usage'!$P56*'Weekly Summary'!BC$53)+('Equipment List &amp; Usage'!$Q56*('Weekly Summary'!BC$52+'Weekly Summary'!BC$53))+('Equipment List &amp; Usage'!$R56*'Weekly Summary'!BC$64)+('Equipment List &amp; Usage'!$S56*'Weekly Summary'!BC$65)+('Equipment List &amp; Usage'!$T56*('Weekly Summary'!BC$64+'Weekly Summary'!BC$65)),
('Equipment List &amp; Usage'!$O56*'Weekly Summary'!BC$52)+('Equipment List &amp; Usage'!$P56*'Weekly Summary'!BC$53)+('Equipment List &amp; Usage'!$Q56*('Weekly Summary'!BC$52+'Weekly Summary'!BC$53))+('Equipment List &amp; Usage'!$R56*'Weekly Summary'!BC$64)+('Equipment List &amp; Usage'!$S56*'Weekly Summary'!BC$65)+('Equipment List &amp; Usage'!$T56*('Weekly Summary'!BC$64+'Weekly Summary'!BC$65))-SUM($I54:BH54))),0)</f>
        <v>0</v>
      </c>
      <c r="BJ54" s="1382">
        <f ca="1">MAX(IF($F54="No",('Equipment List &amp; Usage'!$O56*'Weekly Summary'!BD$52)+('Equipment List &amp; Usage'!$P56*'Weekly Summary'!BD$53)+('Equipment List &amp; Usage'!$Q56*('Weekly Summary'!BD$52+'Weekly Summary'!BD$53))+('Equipment List &amp; Usage'!$R56*'Weekly Summary'!BD$64)+('Equipment List &amp; Usage'!$S56*'Weekly Summary'!BD$65)+('Equipment List &amp; Usage'!$T56*('Weekly Summary'!BD$64+'Weekly Summary'!BD$65)),
IF(BJ$10=0,('Equipment List &amp; Usage'!$O56*'Weekly Summary'!BD$52)+('Equipment List &amp; Usage'!$P56*'Weekly Summary'!BD$53)+('Equipment List &amp; Usage'!$Q56*('Weekly Summary'!BD$52+'Weekly Summary'!BD$53))+('Equipment List &amp; Usage'!$R56*'Weekly Summary'!BD$64)+('Equipment List &amp; Usage'!$S56*'Weekly Summary'!BD$65)+('Equipment List &amp; Usage'!$T56*('Weekly Summary'!BD$64+'Weekly Summary'!BD$65)),
('Equipment List &amp; Usage'!$O56*'Weekly Summary'!BD$52)+('Equipment List &amp; Usage'!$P56*'Weekly Summary'!BD$53)+('Equipment List &amp; Usage'!$Q56*('Weekly Summary'!BD$52+'Weekly Summary'!BD$53))+('Equipment List &amp; Usage'!$R56*'Weekly Summary'!BD$64)+('Equipment List &amp; Usage'!$S56*'Weekly Summary'!BD$65)+('Equipment List &amp; Usage'!$T56*('Weekly Summary'!BD$64+'Weekly Summary'!BD$65))-SUM($I54:BI54))),0)</f>
        <v>0</v>
      </c>
    </row>
    <row r="55" spans="2:62" ht="63.65" customHeight="1" x14ac:dyDescent="0.35">
      <c r="B55" s="735" t="str">
        <f>'Equipment List &amp; Usage'!B57</f>
        <v>Case management - biomedical equipment</v>
      </c>
      <c r="C55" s="526" t="str">
        <f>'Equipment List &amp; Usage'!C57</f>
        <v>Oxygen therapy</v>
      </c>
      <c r="D55" s="526" t="str">
        <f>'Equipment List &amp; Usage'!D57</f>
        <v>Oxygen source capable of delivering an average flow rate of 30 L/min (e.g., cylinder or pipe supply) for non-invasively ventilated patients</v>
      </c>
      <c r="E55" s="526" t="str">
        <f>'Equipment List &amp; Usage'!E57</f>
        <v>Each</v>
      </c>
      <c r="F55" s="526" t="str">
        <f>'Equipment List &amp; Usage'!F57</f>
        <v>Yes</v>
      </c>
      <c r="G55" s="526" t="str">
        <f>'Equipment List &amp; Usage'!G57</f>
        <v>supplied with one of:
Flow and pressure regulator, as applicable;
Outlet connector</v>
      </c>
      <c r="H55" s="1369">
        <f t="shared" ca="1" si="3"/>
        <v>30.715412542838649</v>
      </c>
      <c r="J55" s="1344"/>
      <c r="K55" s="1381">
        <f ca="1">IF('User Dashboard'!$H$13=1,0,MAX(IF($F55="No",('Equipment List &amp; Usage'!$O57*'Weekly Summary'!E$52)+('Equipment List &amp; Usage'!$P57*'Weekly Summary'!E$53)+('Equipment List &amp; Usage'!$Q57*('Weekly Summary'!E$52+'Weekly Summary'!E$53))+('Equipment List &amp; Usage'!$R57*'Weekly Summary'!E$64)+('Equipment List &amp; Usage'!$S57*'Weekly Summary'!E$65)+('Equipment List &amp; Usage'!$T57*('Weekly Summary'!E$64+'Weekly Summary'!E$65)),
IF(K$10=0,('Equipment List &amp; Usage'!$O57*'Weekly Summary'!E$52)+('Equipment List &amp; Usage'!$P57*'Weekly Summary'!E$53)+('Equipment List &amp; Usage'!$Q57*('Weekly Summary'!E$52+'Weekly Summary'!E$53))+('Equipment List &amp; Usage'!$R57*'Weekly Summary'!E$64)+('Equipment List &amp; Usage'!$S57*'Weekly Summary'!E$65)+('Equipment List &amp; Usage'!$T57*('Weekly Summary'!E$64+'Weekly Summary'!E$65)),
('Equipment List &amp; Usage'!$O57*'Weekly Summary'!E$52)+('Equipment List &amp; Usage'!$P57*'Weekly Summary'!E$53)+('Equipment List &amp; Usage'!$Q57*('Weekly Summary'!E$52+'Weekly Summary'!E$53))+('Equipment List &amp; Usage'!$R57*'Weekly Summary'!E$64)+('Equipment List &amp; Usage'!$S57*'Weekly Summary'!E$65)+('Equipment List &amp; Usage'!$T57*('Weekly Summary'!E$64+'Weekly Summary'!E$65))-SUM($I55:I55))),0))</f>
        <v>6.633979069468085E-2</v>
      </c>
      <c r="L55" s="1381">
        <f ca="1">MAX(IF($F55="No",('Equipment List &amp; Usage'!$O57*'Weekly Summary'!F$52)+('Equipment List &amp; Usage'!$P57*'Weekly Summary'!F$53)+('Equipment List &amp; Usage'!$Q57*('Weekly Summary'!F$52+'Weekly Summary'!F$53))+('Equipment List &amp; Usage'!$R57*'Weekly Summary'!F$64)+('Equipment List &amp; Usage'!$S57*'Weekly Summary'!F$65)+('Equipment List &amp; Usage'!$T57*('Weekly Summary'!F$64+'Weekly Summary'!F$65)),
IF(L$10=0,('Equipment List &amp; Usage'!$O57*'Weekly Summary'!F$52)+('Equipment List &amp; Usage'!$P57*'Weekly Summary'!F$53)+('Equipment List &amp; Usage'!$Q57*('Weekly Summary'!F$52+'Weekly Summary'!F$53))+('Equipment List &amp; Usage'!$R57*'Weekly Summary'!F$64)+('Equipment List &amp; Usage'!$S57*'Weekly Summary'!F$65)+('Equipment List &amp; Usage'!$T57*('Weekly Summary'!F$64+'Weekly Summary'!F$65)),
('Equipment List &amp; Usage'!$O57*'Weekly Summary'!F$52)+('Equipment List &amp; Usage'!$P57*'Weekly Summary'!F$53)+('Equipment List &amp; Usage'!$Q57*('Weekly Summary'!F$52+'Weekly Summary'!F$53))+('Equipment List &amp; Usage'!$R57*'Weekly Summary'!F$64)+('Equipment List &amp; Usage'!$S57*'Weekly Summary'!F$65)+('Equipment List &amp; Usage'!$T57*('Weekly Summary'!F$64+'Weekly Summary'!F$65))-SUM($I55:K55))),0)</f>
        <v>0.15403542782763741</v>
      </c>
      <c r="M55" s="1381">
        <f ca="1">MAX(IF($F55="No",('Equipment List &amp; Usage'!$O57*'Weekly Summary'!G$52)+('Equipment List &amp; Usage'!$P57*'Weekly Summary'!G$53)+('Equipment List &amp; Usage'!$Q57*('Weekly Summary'!G$52+'Weekly Summary'!G$53))+('Equipment List &amp; Usage'!$R57*'Weekly Summary'!G$64)+('Equipment List &amp; Usage'!$S57*'Weekly Summary'!G$65)+('Equipment List &amp; Usage'!$T57*('Weekly Summary'!G$64+'Weekly Summary'!G$65)),
IF(M$10=0,('Equipment List &amp; Usage'!$O57*'Weekly Summary'!G$52)+('Equipment List &amp; Usage'!$P57*'Weekly Summary'!G$53)+('Equipment List &amp; Usage'!$Q57*('Weekly Summary'!G$52+'Weekly Summary'!G$53))+('Equipment List &amp; Usage'!$R57*'Weekly Summary'!G$64)+('Equipment List &amp; Usage'!$S57*'Weekly Summary'!G$65)+('Equipment List &amp; Usage'!$T57*('Weekly Summary'!G$64+'Weekly Summary'!G$65)),
('Equipment List &amp; Usage'!$O57*'Weekly Summary'!G$52)+('Equipment List &amp; Usage'!$P57*'Weekly Summary'!G$53)+('Equipment List &amp; Usage'!$Q57*('Weekly Summary'!G$52+'Weekly Summary'!G$53))+('Equipment List &amp; Usage'!$R57*'Weekly Summary'!G$64)+('Equipment List &amp; Usage'!$S57*'Weekly Summary'!G$65)+('Equipment List &amp; Usage'!$T57*('Weekly Summary'!G$64+'Weekly Summary'!G$65))-SUM($I55:L55))),0)</f>
        <v>0.53694033780270323</v>
      </c>
      <c r="N55" s="1381">
        <f ca="1">MAX(IF($F55="No",('Equipment List &amp; Usage'!$O57*'Weekly Summary'!H$52)+('Equipment List &amp; Usage'!$P57*'Weekly Summary'!H$53)+('Equipment List &amp; Usage'!$Q57*('Weekly Summary'!H$52+'Weekly Summary'!H$53))+('Equipment List &amp; Usage'!$R57*'Weekly Summary'!H$64)+('Equipment List &amp; Usage'!$S57*'Weekly Summary'!H$65)+('Equipment List &amp; Usage'!$T57*('Weekly Summary'!H$64+'Weekly Summary'!H$65)),
IF(N$10=0,('Equipment List &amp; Usage'!$O57*'Weekly Summary'!H$52)+('Equipment List &amp; Usage'!$P57*'Weekly Summary'!H$53)+('Equipment List &amp; Usage'!$Q57*('Weekly Summary'!H$52+'Weekly Summary'!H$53))+('Equipment List &amp; Usage'!$R57*'Weekly Summary'!H$64)+('Equipment List &amp; Usage'!$S57*'Weekly Summary'!H$65)+('Equipment List &amp; Usage'!$T57*('Weekly Summary'!H$64+'Weekly Summary'!H$65)),
('Equipment List &amp; Usage'!$O57*'Weekly Summary'!H$52)+('Equipment List &amp; Usage'!$P57*'Weekly Summary'!H$53)+('Equipment List &amp; Usage'!$Q57*('Weekly Summary'!H$52+'Weekly Summary'!H$53))+('Equipment List &amp; Usage'!$R57*'Weekly Summary'!H$64)+('Equipment List &amp; Usage'!$S57*'Weekly Summary'!H$65)+('Equipment List &amp; Usage'!$T57*('Weekly Summary'!H$64+'Weekly Summary'!H$65))-SUM($I55:M55))),0)</f>
        <v>1.8451133407056033</v>
      </c>
      <c r="O55" s="1381">
        <f ca="1">MAX(IF($F55="No",('Equipment List &amp; Usage'!$O57*'Weekly Summary'!I$52)+('Equipment List &amp; Usage'!$P57*'Weekly Summary'!I$53)+('Equipment List &amp; Usage'!$Q57*('Weekly Summary'!I$52+'Weekly Summary'!I$53))+('Equipment List &amp; Usage'!$R57*'Weekly Summary'!I$64)+('Equipment List &amp; Usage'!$S57*'Weekly Summary'!I$65)+('Equipment List &amp; Usage'!$T57*('Weekly Summary'!I$64+'Weekly Summary'!I$65)),
IF(O$10=0,('Equipment List &amp; Usage'!$O57*'Weekly Summary'!I$52)+('Equipment List &amp; Usage'!$P57*'Weekly Summary'!I$53)+('Equipment List &amp; Usage'!$Q57*('Weekly Summary'!I$52+'Weekly Summary'!I$53))+('Equipment List &amp; Usage'!$R57*'Weekly Summary'!I$64)+('Equipment List &amp; Usage'!$S57*'Weekly Summary'!I$65)+('Equipment List &amp; Usage'!$T57*('Weekly Summary'!I$64+'Weekly Summary'!I$65)),
('Equipment List &amp; Usage'!$O57*'Weekly Summary'!I$52)+('Equipment List &amp; Usage'!$P57*'Weekly Summary'!I$53)+('Equipment List &amp; Usage'!$Q57*('Weekly Summary'!I$52+'Weekly Summary'!I$53))+('Equipment List &amp; Usage'!$R57*'Weekly Summary'!I$64)+('Equipment List &amp; Usage'!$S57*'Weekly Summary'!I$65)+('Equipment List &amp; Usage'!$T57*('Weekly Summary'!I$64+'Weekly Summary'!I$65))-SUM($I55:N55))),0)</f>
        <v>6.3396643697850861</v>
      </c>
      <c r="P55" s="1381">
        <f ca="1">MAX(IF($F55="No",('Equipment List &amp; Usage'!$O57*'Weekly Summary'!J$52)+('Equipment List &amp; Usage'!$P57*'Weekly Summary'!J$53)+('Equipment List &amp; Usage'!$Q57*('Weekly Summary'!J$52+'Weekly Summary'!J$53))+('Equipment List &amp; Usage'!$R57*'Weekly Summary'!J$64)+('Equipment List &amp; Usage'!$S57*'Weekly Summary'!J$65)+('Equipment List &amp; Usage'!$T57*('Weekly Summary'!J$64+'Weekly Summary'!J$65)),
IF(P$10=0,('Equipment List &amp; Usage'!$O57*'Weekly Summary'!J$52)+('Equipment List &amp; Usage'!$P57*'Weekly Summary'!J$53)+('Equipment List &amp; Usage'!$Q57*('Weekly Summary'!J$52+'Weekly Summary'!J$53))+('Equipment List &amp; Usage'!$R57*'Weekly Summary'!J$64)+('Equipment List &amp; Usage'!$S57*'Weekly Summary'!J$65)+('Equipment List &amp; Usage'!$T57*('Weekly Summary'!J$64+'Weekly Summary'!J$65)),
('Equipment List &amp; Usage'!$O57*'Weekly Summary'!J$52)+('Equipment List &amp; Usage'!$P57*'Weekly Summary'!J$53)+('Equipment List &amp; Usage'!$Q57*('Weekly Summary'!J$52+'Weekly Summary'!J$53))+('Equipment List &amp; Usage'!$R57*'Weekly Summary'!J$64)+('Equipment List &amp; Usage'!$S57*'Weekly Summary'!J$65)+('Equipment List &amp; Usage'!$T57*('Weekly Summary'!J$64+'Weekly Summary'!J$65))-SUM($I55:O55))),0)</f>
        <v>21.773319276022939</v>
      </c>
      <c r="Q55" s="1381">
        <f ca="1">MAX(IF($F55="No",('Equipment List &amp; Usage'!$O57*'Weekly Summary'!K$52)+('Equipment List &amp; Usage'!$P57*'Weekly Summary'!K$53)+('Equipment List &amp; Usage'!$Q57*('Weekly Summary'!K$52+'Weekly Summary'!K$53))+('Equipment List &amp; Usage'!$R57*'Weekly Summary'!K$64)+('Equipment List &amp; Usage'!$S57*'Weekly Summary'!K$65)+('Equipment List &amp; Usage'!$T57*('Weekly Summary'!K$64+'Weekly Summary'!K$65)),
IF(Q$10=0,('Equipment List &amp; Usage'!$O57*'Weekly Summary'!K$52)+('Equipment List &amp; Usage'!$P57*'Weekly Summary'!K$53)+('Equipment List &amp; Usage'!$Q57*('Weekly Summary'!K$52+'Weekly Summary'!K$53))+('Equipment List &amp; Usage'!$R57*'Weekly Summary'!K$64)+('Equipment List &amp; Usage'!$S57*'Weekly Summary'!K$65)+('Equipment List &amp; Usage'!$T57*('Weekly Summary'!K$64+'Weekly Summary'!K$65)),
('Equipment List &amp; Usage'!$O57*'Weekly Summary'!K$52)+('Equipment List &amp; Usage'!$P57*'Weekly Summary'!K$53)+('Equipment List &amp; Usage'!$Q57*('Weekly Summary'!K$52+'Weekly Summary'!K$53))+('Equipment List &amp; Usage'!$R57*'Weekly Summary'!K$64)+('Equipment List &amp; Usage'!$S57*'Weekly Summary'!K$65)+('Equipment List &amp; Usage'!$T57*('Weekly Summary'!K$64+'Weekly Summary'!K$65))-SUM($I55:P55))),0)</f>
        <v>0</v>
      </c>
      <c r="R55" s="1381">
        <f ca="1">MAX(IF($F55="No",('Equipment List &amp; Usage'!$O57*'Weekly Summary'!L$52)+('Equipment List &amp; Usage'!$P57*'Weekly Summary'!L$53)+('Equipment List &amp; Usage'!$Q57*('Weekly Summary'!L$52+'Weekly Summary'!L$53))+('Equipment List &amp; Usage'!$R57*'Weekly Summary'!L$64)+('Equipment List &amp; Usage'!$S57*'Weekly Summary'!L$65)+('Equipment List &amp; Usage'!$T57*('Weekly Summary'!L$64+'Weekly Summary'!L$65)),
IF(R$10=0,('Equipment List &amp; Usage'!$O57*'Weekly Summary'!L$52)+('Equipment List &amp; Usage'!$P57*'Weekly Summary'!L$53)+('Equipment List &amp; Usage'!$Q57*('Weekly Summary'!L$52+'Weekly Summary'!L$53))+('Equipment List &amp; Usage'!$R57*'Weekly Summary'!L$64)+('Equipment List &amp; Usage'!$S57*'Weekly Summary'!L$65)+('Equipment List &amp; Usage'!$T57*('Weekly Summary'!L$64+'Weekly Summary'!L$65)),
('Equipment List &amp; Usage'!$O57*'Weekly Summary'!L$52)+('Equipment List &amp; Usage'!$P57*'Weekly Summary'!L$53)+('Equipment List &amp; Usage'!$Q57*('Weekly Summary'!L$52+'Weekly Summary'!L$53))+('Equipment List &amp; Usage'!$R57*'Weekly Summary'!L$64)+('Equipment List &amp; Usage'!$S57*'Weekly Summary'!L$65)+('Equipment List &amp; Usage'!$T57*('Weekly Summary'!L$64+'Weekly Summary'!L$65))-SUM($I55:Q55))),0)</f>
        <v>0</v>
      </c>
      <c r="S55" s="1381">
        <f ca="1">MAX(IF($F55="No",('Equipment List &amp; Usage'!$O57*'Weekly Summary'!M$52)+('Equipment List &amp; Usage'!$P57*'Weekly Summary'!M$53)+('Equipment List &amp; Usage'!$Q57*('Weekly Summary'!M$52+'Weekly Summary'!M$53))+('Equipment List &amp; Usage'!$R57*'Weekly Summary'!M$64)+('Equipment List &amp; Usage'!$S57*'Weekly Summary'!M$65)+('Equipment List &amp; Usage'!$T57*('Weekly Summary'!M$64+'Weekly Summary'!M$65)),
IF(S$10=0,('Equipment List &amp; Usage'!$O57*'Weekly Summary'!M$52)+('Equipment List &amp; Usage'!$P57*'Weekly Summary'!M$53)+('Equipment List &amp; Usage'!$Q57*('Weekly Summary'!M$52+'Weekly Summary'!M$53))+('Equipment List &amp; Usage'!$R57*'Weekly Summary'!M$64)+('Equipment List &amp; Usage'!$S57*'Weekly Summary'!M$65)+('Equipment List &amp; Usage'!$T57*('Weekly Summary'!M$64+'Weekly Summary'!M$65)),
('Equipment List &amp; Usage'!$O57*'Weekly Summary'!M$52)+('Equipment List &amp; Usage'!$P57*'Weekly Summary'!M$53)+('Equipment List &amp; Usage'!$Q57*('Weekly Summary'!M$52+'Weekly Summary'!M$53))+('Equipment List &amp; Usage'!$R57*'Weekly Summary'!M$64)+('Equipment List &amp; Usage'!$S57*'Weekly Summary'!M$65)+('Equipment List &amp; Usage'!$T57*('Weekly Summary'!M$64+'Weekly Summary'!M$65))-SUM($I55:R55))),0)</f>
        <v>0</v>
      </c>
      <c r="T55" s="1381">
        <f ca="1">MAX(IF($F55="No",('Equipment List &amp; Usage'!$O57*'Weekly Summary'!N$52)+('Equipment List &amp; Usage'!$P57*'Weekly Summary'!N$53)+('Equipment List &amp; Usage'!$Q57*('Weekly Summary'!N$52+'Weekly Summary'!N$53))+('Equipment List &amp; Usage'!$R57*'Weekly Summary'!N$64)+('Equipment List &amp; Usage'!$S57*'Weekly Summary'!N$65)+('Equipment List &amp; Usage'!$T57*('Weekly Summary'!N$64+'Weekly Summary'!N$65)),
IF(T$10=0,('Equipment List &amp; Usage'!$O57*'Weekly Summary'!N$52)+('Equipment List &amp; Usage'!$P57*'Weekly Summary'!N$53)+('Equipment List &amp; Usage'!$Q57*('Weekly Summary'!N$52+'Weekly Summary'!N$53))+('Equipment List &amp; Usage'!$R57*'Weekly Summary'!N$64)+('Equipment List &amp; Usage'!$S57*'Weekly Summary'!N$65)+('Equipment List &amp; Usage'!$T57*('Weekly Summary'!N$64+'Weekly Summary'!N$65)),
('Equipment List &amp; Usage'!$O57*'Weekly Summary'!N$52)+('Equipment List &amp; Usage'!$P57*'Weekly Summary'!N$53)+('Equipment List &amp; Usage'!$Q57*('Weekly Summary'!N$52+'Weekly Summary'!N$53))+('Equipment List &amp; Usage'!$R57*'Weekly Summary'!N$64)+('Equipment List &amp; Usage'!$S57*'Weekly Summary'!N$65)+('Equipment List &amp; Usage'!$T57*('Weekly Summary'!N$64+'Weekly Summary'!N$65))-SUM($I55:S55))),0)</f>
        <v>0</v>
      </c>
      <c r="U55" s="1381">
        <f ca="1">MAX(IF($F55="No",('Equipment List &amp; Usage'!$O57*'Weekly Summary'!O$52)+('Equipment List &amp; Usage'!$P57*'Weekly Summary'!O$53)+('Equipment List &amp; Usage'!$Q57*('Weekly Summary'!O$52+'Weekly Summary'!O$53))+('Equipment List &amp; Usage'!$R57*'Weekly Summary'!O$64)+('Equipment List &amp; Usage'!$S57*'Weekly Summary'!O$65)+('Equipment List &amp; Usage'!$T57*('Weekly Summary'!O$64+'Weekly Summary'!O$65)),
IF(U$10=0,('Equipment List &amp; Usage'!$O57*'Weekly Summary'!O$52)+('Equipment List &amp; Usage'!$P57*'Weekly Summary'!O$53)+('Equipment List &amp; Usage'!$Q57*('Weekly Summary'!O$52+'Weekly Summary'!O$53))+('Equipment List &amp; Usage'!$R57*'Weekly Summary'!O$64)+('Equipment List &amp; Usage'!$S57*'Weekly Summary'!O$65)+('Equipment List &amp; Usage'!$T57*('Weekly Summary'!O$64+'Weekly Summary'!O$65)),
('Equipment List &amp; Usage'!$O57*'Weekly Summary'!O$52)+('Equipment List &amp; Usage'!$P57*'Weekly Summary'!O$53)+('Equipment List &amp; Usage'!$Q57*('Weekly Summary'!O$52+'Weekly Summary'!O$53))+('Equipment List &amp; Usage'!$R57*'Weekly Summary'!O$64)+('Equipment List &amp; Usage'!$S57*'Weekly Summary'!O$65)+('Equipment List &amp; Usage'!$T57*('Weekly Summary'!O$64+'Weekly Summary'!O$65))-SUM($I55:T55))),0)</f>
        <v>0</v>
      </c>
      <c r="V55" s="1381">
        <f ca="1">MAX(IF($F55="No",('Equipment List &amp; Usage'!$O57*'Weekly Summary'!P$52)+('Equipment List &amp; Usage'!$P57*'Weekly Summary'!P$53)+('Equipment List &amp; Usage'!$Q57*('Weekly Summary'!P$52+'Weekly Summary'!P$53))+('Equipment List &amp; Usage'!$R57*'Weekly Summary'!P$64)+('Equipment List &amp; Usage'!$S57*'Weekly Summary'!P$65)+('Equipment List &amp; Usage'!$T57*('Weekly Summary'!P$64+'Weekly Summary'!P$65)),
IF(V$10=0,('Equipment List &amp; Usage'!$O57*'Weekly Summary'!P$52)+('Equipment List &amp; Usage'!$P57*'Weekly Summary'!P$53)+('Equipment List &amp; Usage'!$Q57*('Weekly Summary'!P$52+'Weekly Summary'!P$53))+('Equipment List &amp; Usage'!$R57*'Weekly Summary'!P$64)+('Equipment List &amp; Usage'!$S57*'Weekly Summary'!P$65)+('Equipment List &amp; Usage'!$T57*('Weekly Summary'!P$64+'Weekly Summary'!P$65)),
('Equipment List &amp; Usage'!$O57*'Weekly Summary'!P$52)+('Equipment List &amp; Usage'!$P57*'Weekly Summary'!P$53)+('Equipment List &amp; Usage'!$Q57*('Weekly Summary'!P$52+'Weekly Summary'!P$53))+('Equipment List &amp; Usage'!$R57*'Weekly Summary'!P$64)+('Equipment List &amp; Usage'!$S57*'Weekly Summary'!P$65)+('Equipment List &amp; Usage'!$T57*('Weekly Summary'!P$64+'Weekly Summary'!P$65))-SUM($I55:U55))),0)</f>
        <v>0</v>
      </c>
      <c r="W55" s="1381">
        <f ca="1">MAX(IF($F55="No",('Equipment List &amp; Usage'!$O57*'Weekly Summary'!Q$52)+('Equipment List &amp; Usage'!$P57*'Weekly Summary'!Q$53)+('Equipment List &amp; Usage'!$Q57*('Weekly Summary'!Q$52+'Weekly Summary'!Q$53))+('Equipment List &amp; Usage'!$R57*'Weekly Summary'!Q$64)+('Equipment List &amp; Usage'!$S57*'Weekly Summary'!Q$65)+('Equipment List &amp; Usage'!$T57*('Weekly Summary'!Q$64+'Weekly Summary'!Q$65)),
IF(W$10=0,('Equipment List &amp; Usage'!$O57*'Weekly Summary'!Q$52)+('Equipment List &amp; Usage'!$P57*'Weekly Summary'!Q$53)+('Equipment List &amp; Usage'!$Q57*('Weekly Summary'!Q$52+'Weekly Summary'!Q$53))+('Equipment List &amp; Usage'!$R57*'Weekly Summary'!Q$64)+('Equipment List &amp; Usage'!$S57*'Weekly Summary'!Q$65)+('Equipment List &amp; Usage'!$T57*('Weekly Summary'!Q$64+'Weekly Summary'!Q$65)),
('Equipment List &amp; Usage'!$O57*'Weekly Summary'!Q$52)+('Equipment List &amp; Usage'!$P57*'Weekly Summary'!Q$53)+('Equipment List &amp; Usage'!$Q57*('Weekly Summary'!Q$52+'Weekly Summary'!Q$53))+('Equipment List &amp; Usage'!$R57*'Weekly Summary'!Q$64)+('Equipment List &amp; Usage'!$S57*'Weekly Summary'!Q$65)+('Equipment List &amp; Usage'!$T57*('Weekly Summary'!Q$64+'Weekly Summary'!Q$65))-SUM($I55:V55))),0)</f>
        <v>0</v>
      </c>
      <c r="X55" s="1381">
        <f ca="1">MAX(IF($F55="No",('Equipment List &amp; Usage'!$O57*'Weekly Summary'!R$52)+('Equipment List &amp; Usage'!$P57*'Weekly Summary'!R$53)+('Equipment List &amp; Usage'!$Q57*('Weekly Summary'!R$52+'Weekly Summary'!R$53))+('Equipment List &amp; Usage'!$R57*'Weekly Summary'!R$64)+('Equipment List &amp; Usage'!$S57*'Weekly Summary'!R$65)+('Equipment List &amp; Usage'!$T57*('Weekly Summary'!R$64+'Weekly Summary'!R$65)),
IF(X$10=0,('Equipment List &amp; Usage'!$O57*'Weekly Summary'!R$52)+('Equipment List &amp; Usage'!$P57*'Weekly Summary'!R$53)+('Equipment List &amp; Usage'!$Q57*('Weekly Summary'!R$52+'Weekly Summary'!R$53))+('Equipment List &amp; Usage'!$R57*'Weekly Summary'!R$64)+('Equipment List &amp; Usage'!$S57*'Weekly Summary'!R$65)+('Equipment List &amp; Usage'!$T57*('Weekly Summary'!R$64+'Weekly Summary'!R$65)),
('Equipment List &amp; Usage'!$O57*'Weekly Summary'!R$52)+('Equipment List &amp; Usage'!$P57*'Weekly Summary'!R$53)+('Equipment List &amp; Usage'!$Q57*('Weekly Summary'!R$52+'Weekly Summary'!R$53))+('Equipment List &amp; Usage'!$R57*'Weekly Summary'!R$64)+('Equipment List &amp; Usage'!$S57*'Weekly Summary'!R$65)+('Equipment List &amp; Usage'!$T57*('Weekly Summary'!R$64+'Weekly Summary'!R$65))-SUM($I55:W55))),0)</f>
        <v>0</v>
      </c>
      <c r="Y55" s="1381">
        <f ca="1">MAX(IF($F55="No",('Equipment List &amp; Usage'!$O57*'Weekly Summary'!S$52)+('Equipment List &amp; Usage'!$P57*'Weekly Summary'!S$53)+('Equipment List &amp; Usage'!$Q57*('Weekly Summary'!S$52+'Weekly Summary'!S$53))+('Equipment List &amp; Usage'!$R57*'Weekly Summary'!S$64)+('Equipment List &amp; Usage'!$S57*'Weekly Summary'!S$65)+('Equipment List &amp; Usage'!$T57*('Weekly Summary'!S$64+'Weekly Summary'!S$65)),
IF(Y$10=0,('Equipment List &amp; Usage'!$O57*'Weekly Summary'!S$52)+('Equipment List &amp; Usage'!$P57*'Weekly Summary'!S$53)+('Equipment List &amp; Usage'!$Q57*('Weekly Summary'!S$52+'Weekly Summary'!S$53))+('Equipment List &amp; Usage'!$R57*'Weekly Summary'!S$64)+('Equipment List &amp; Usage'!$S57*'Weekly Summary'!S$65)+('Equipment List &amp; Usage'!$T57*('Weekly Summary'!S$64+'Weekly Summary'!S$65)),
('Equipment List &amp; Usage'!$O57*'Weekly Summary'!S$52)+('Equipment List &amp; Usage'!$P57*'Weekly Summary'!S$53)+('Equipment List &amp; Usage'!$Q57*('Weekly Summary'!S$52+'Weekly Summary'!S$53))+('Equipment List &amp; Usage'!$R57*'Weekly Summary'!S$64)+('Equipment List &amp; Usage'!$S57*'Weekly Summary'!S$65)+('Equipment List &amp; Usage'!$T57*('Weekly Summary'!S$64+'Weekly Summary'!S$65))-SUM($I55:X55))),0)</f>
        <v>0</v>
      </c>
      <c r="Z55" s="1381">
        <f ca="1">MAX(IF($F55="No",('Equipment List &amp; Usage'!$O57*'Weekly Summary'!T$52)+('Equipment List &amp; Usage'!$P57*'Weekly Summary'!T$53)+('Equipment List &amp; Usage'!$Q57*('Weekly Summary'!T$52+'Weekly Summary'!T$53))+('Equipment List &amp; Usage'!$R57*'Weekly Summary'!T$64)+('Equipment List &amp; Usage'!$S57*'Weekly Summary'!T$65)+('Equipment List &amp; Usage'!$T57*('Weekly Summary'!T$64+'Weekly Summary'!T$65)),
IF(Z$10=0,('Equipment List &amp; Usage'!$O57*'Weekly Summary'!T$52)+('Equipment List &amp; Usage'!$P57*'Weekly Summary'!T$53)+('Equipment List &amp; Usage'!$Q57*('Weekly Summary'!T$52+'Weekly Summary'!T$53))+('Equipment List &amp; Usage'!$R57*'Weekly Summary'!T$64)+('Equipment List &amp; Usage'!$S57*'Weekly Summary'!T$65)+('Equipment List &amp; Usage'!$T57*('Weekly Summary'!T$64+'Weekly Summary'!T$65)),
('Equipment List &amp; Usage'!$O57*'Weekly Summary'!T$52)+('Equipment List &amp; Usage'!$P57*'Weekly Summary'!T$53)+('Equipment List &amp; Usage'!$Q57*('Weekly Summary'!T$52+'Weekly Summary'!T$53))+('Equipment List &amp; Usage'!$R57*'Weekly Summary'!T$64)+('Equipment List &amp; Usage'!$S57*'Weekly Summary'!T$65)+('Equipment List &amp; Usage'!$T57*('Weekly Summary'!T$64+'Weekly Summary'!T$65))-SUM($I55:Y55))),0)</f>
        <v>0</v>
      </c>
      <c r="AA55" s="1381">
        <f ca="1">MAX(IF($F55="No",('Equipment List &amp; Usage'!$O57*'Weekly Summary'!U$52)+('Equipment List &amp; Usage'!$P57*'Weekly Summary'!U$53)+('Equipment List &amp; Usage'!$Q57*('Weekly Summary'!U$52+'Weekly Summary'!U$53))+('Equipment List &amp; Usage'!$R57*'Weekly Summary'!U$64)+('Equipment List &amp; Usage'!$S57*'Weekly Summary'!U$65)+('Equipment List &amp; Usage'!$T57*('Weekly Summary'!U$64+'Weekly Summary'!U$65)),
IF(AA$10=0,('Equipment List &amp; Usage'!$O57*'Weekly Summary'!U$52)+('Equipment List &amp; Usage'!$P57*'Weekly Summary'!U$53)+('Equipment List &amp; Usage'!$Q57*('Weekly Summary'!U$52+'Weekly Summary'!U$53))+('Equipment List &amp; Usage'!$R57*'Weekly Summary'!U$64)+('Equipment List &amp; Usage'!$S57*'Weekly Summary'!U$65)+('Equipment List &amp; Usage'!$T57*('Weekly Summary'!U$64+'Weekly Summary'!U$65)),
('Equipment List &amp; Usage'!$O57*'Weekly Summary'!U$52)+('Equipment List &amp; Usage'!$P57*'Weekly Summary'!U$53)+('Equipment List &amp; Usage'!$Q57*('Weekly Summary'!U$52+'Weekly Summary'!U$53))+('Equipment List &amp; Usage'!$R57*'Weekly Summary'!U$64)+('Equipment List &amp; Usage'!$S57*'Weekly Summary'!U$65)+('Equipment List &amp; Usage'!$T57*('Weekly Summary'!U$64+'Weekly Summary'!U$65))-SUM($I55:Z55))),0)</f>
        <v>0</v>
      </c>
      <c r="AB55" s="1381">
        <f ca="1">MAX(IF($F55="No",('Equipment List &amp; Usage'!$O57*'Weekly Summary'!V$52)+('Equipment List &amp; Usage'!$P57*'Weekly Summary'!V$53)+('Equipment List &amp; Usage'!$Q57*('Weekly Summary'!V$52+'Weekly Summary'!V$53))+('Equipment List &amp; Usage'!$R57*'Weekly Summary'!V$64)+('Equipment List &amp; Usage'!$S57*'Weekly Summary'!V$65)+('Equipment List &amp; Usage'!$T57*('Weekly Summary'!V$64+'Weekly Summary'!V$65)),
IF(AB$10=0,('Equipment List &amp; Usage'!$O57*'Weekly Summary'!V$52)+('Equipment List &amp; Usage'!$P57*'Weekly Summary'!V$53)+('Equipment List &amp; Usage'!$Q57*('Weekly Summary'!V$52+'Weekly Summary'!V$53))+('Equipment List &amp; Usage'!$R57*'Weekly Summary'!V$64)+('Equipment List &amp; Usage'!$S57*'Weekly Summary'!V$65)+('Equipment List &amp; Usage'!$T57*('Weekly Summary'!V$64+'Weekly Summary'!V$65)),
('Equipment List &amp; Usage'!$O57*'Weekly Summary'!V$52)+('Equipment List &amp; Usage'!$P57*'Weekly Summary'!V$53)+('Equipment List &amp; Usage'!$Q57*('Weekly Summary'!V$52+'Weekly Summary'!V$53))+('Equipment List &amp; Usage'!$R57*'Weekly Summary'!V$64)+('Equipment List &amp; Usage'!$S57*'Weekly Summary'!V$65)+('Equipment List &amp; Usage'!$T57*('Weekly Summary'!V$64+'Weekly Summary'!V$65))-SUM($I55:AA55))),0)</f>
        <v>0</v>
      </c>
      <c r="AC55" s="1381">
        <f ca="1">MAX(IF($F55="No",('Equipment List &amp; Usage'!$O57*'Weekly Summary'!W$52)+('Equipment List &amp; Usage'!$P57*'Weekly Summary'!W$53)+('Equipment List &amp; Usage'!$Q57*('Weekly Summary'!W$52+'Weekly Summary'!W$53))+('Equipment List &amp; Usage'!$R57*'Weekly Summary'!W$64)+('Equipment List &amp; Usage'!$S57*'Weekly Summary'!W$65)+('Equipment List &amp; Usage'!$T57*('Weekly Summary'!W$64+'Weekly Summary'!W$65)),
IF(AC$10=0,('Equipment List &amp; Usage'!$O57*'Weekly Summary'!W$52)+('Equipment List &amp; Usage'!$P57*'Weekly Summary'!W$53)+('Equipment List &amp; Usage'!$Q57*('Weekly Summary'!W$52+'Weekly Summary'!W$53))+('Equipment List &amp; Usage'!$R57*'Weekly Summary'!W$64)+('Equipment List &amp; Usage'!$S57*'Weekly Summary'!W$65)+('Equipment List &amp; Usage'!$T57*('Weekly Summary'!W$64+'Weekly Summary'!W$65)),
('Equipment List &amp; Usage'!$O57*'Weekly Summary'!W$52)+('Equipment List &amp; Usage'!$P57*'Weekly Summary'!W$53)+('Equipment List &amp; Usage'!$Q57*('Weekly Summary'!W$52+'Weekly Summary'!W$53))+('Equipment List &amp; Usage'!$R57*'Weekly Summary'!W$64)+('Equipment List &amp; Usage'!$S57*'Weekly Summary'!W$65)+('Equipment List &amp; Usage'!$T57*('Weekly Summary'!W$64+'Weekly Summary'!W$65))-SUM($I55:AB55))),0)</f>
        <v>0</v>
      </c>
      <c r="AD55" s="1381">
        <f ca="1">MAX(IF($F55="No",('Equipment List &amp; Usage'!$O57*'Weekly Summary'!X$52)+('Equipment List &amp; Usage'!$P57*'Weekly Summary'!X$53)+('Equipment List &amp; Usage'!$Q57*('Weekly Summary'!X$52+'Weekly Summary'!X$53))+('Equipment List &amp; Usage'!$R57*'Weekly Summary'!X$64)+('Equipment List &amp; Usage'!$S57*'Weekly Summary'!X$65)+('Equipment List &amp; Usage'!$T57*('Weekly Summary'!X$64+'Weekly Summary'!X$65)),
IF(AD$10=0,('Equipment List &amp; Usage'!$O57*'Weekly Summary'!X$52)+('Equipment List &amp; Usage'!$P57*'Weekly Summary'!X$53)+('Equipment List &amp; Usage'!$Q57*('Weekly Summary'!X$52+'Weekly Summary'!X$53))+('Equipment List &amp; Usage'!$R57*'Weekly Summary'!X$64)+('Equipment List &amp; Usage'!$S57*'Weekly Summary'!X$65)+('Equipment List &amp; Usage'!$T57*('Weekly Summary'!X$64+'Weekly Summary'!X$65)),
('Equipment List &amp; Usage'!$O57*'Weekly Summary'!X$52)+('Equipment List &amp; Usage'!$P57*'Weekly Summary'!X$53)+('Equipment List &amp; Usage'!$Q57*('Weekly Summary'!X$52+'Weekly Summary'!X$53))+('Equipment List &amp; Usage'!$R57*'Weekly Summary'!X$64)+('Equipment List &amp; Usage'!$S57*'Weekly Summary'!X$65)+('Equipment List &amp; Usage'!$T57*('Weekly Summary'!X$64+'Weekly Summary'!X$65))-SUM($I55:AC55))),0)</f>
        <v>0</v>
      </c>
      <c r="AE55" s="1381">
        <f ca="1">MAX(IF($F55="No",('Equipment List &amp; Usage'!$O57*'Weekly Summary'!Y$52)+('Equipment List &amp; Usage'!$P57*'Weekly Summary'!Y$53)+('Equipment List &amp; Usage'!$Q57*('Weekly Summary'!Y$52+'Weekly Summary'!Y$53))+('Equipment List &amp; Usage'!$R57*'Weekly Summary'!Y$64)+('Equipment List &amp; Usage'!$S57*'Weekly Summary'!Y$65)+('Equipment List &amp; Usage'!$T57*('Weekly Summary'!Y$64+'Weekly Summary'!Y$65)),
IF(AE$10=0,('Equipment List &amp; Usage'!$O57*'Weekly Summary'!Y$52)+('Equipment List &amp; Usage'!$P57*'Weekly Summary'!Y$53)+('Equipment List &amp; Usage'!$Q57*('Weekly Summary'!Y$52+'Weekly Summary'!Y$53))+('Equipment List &amp; Usage'!$R57*'Weekly Summary'!Y$64)+('Equipment List &amp; Usage'!$S57*'Weekly Summary'!Y$65)+('Equipment List &amp; Usage'!$T57*('Weekly Summary'!Y$64+'Weekly Summary'!Y$65)),
('Equipment List &amp; Usage'!$O57*'Weekly Summary'!Y$52)+('Equipment List &amp; Usage'!$P57*'Weekly Summary'!Y$53)+('Equipment List &amp; Usage'!$Q57*('Weekly Summary'!Y$52+'Weekly Summary'!Y$53))+('Equipment List &amp; Usage'!$R57*'Weekly Summary'!Y$64)+('Equipment List &amp; Usage'!$S57*'Weekly Summary'!Y$65)+('Equipment List &amp; Usage'!$T57*('Weekly Summary'!Y$64+'Weekly Summary'!Y$65))-SUM($I55:AD55))),0)</f>
        <v>0</v>
      </c>
      <c r="AF55" s="1381">
        <f ca="1">MAX(IF($F55="No",('Equipment List &amp; Usage'!$O57*'Weekly Summary'!Z$52)+('Equipment List &amp; Usage'!$P57*'Weekly Summary'!Z$53)+('Equipment List &amp; Usage'!$Q57*('Weekly Summary'!Z$52+'Weekly Summary'!Z$53))+('Equipment List &amp; Usage'!$R57*'Weekly Summary'!Z$64)+('Equipment List &amp; Usage'!$S57*'Weekly Summary'!Z$65)+('Equipment List &amp; Usage'!$T57*('Weekly Summary'!Z$64+'Weekly Summary'!Z$65)),
IF(AF$10=0,('Equipment List &amp; Usage'!$O57*'Weekly Summary'!Z$52)+('Equipment List &amp; Usage'!$P57*'Weekly Summary'!Z$53)+('Equipment List &amp; Usage'!$Q57*('Weekly Summary'!Z$52+'Weekly Summary'!Z$53))+('Equipment List &amp; Usage'!$R57*'Weekly Summary'!Z$64)+('Equipment List &amp; Usage'!$S57*'Weekly Summary'!Z$65)+('Equipment List &amp; Usage'!$T57*('Weekly Summary'!Z$64+'Weekly Summary'!Z$65)),
('Equipment List &amp; Usage'!$O57*'Weekly Summary'!Z$52)+('Equipment List &amp; Usage'!$P57*'Weekly Summary'!Z$53)+('Equipment List &amp; Usage'!$Q57*('Weekly Summary'!Z$52+'Weekly Summary'!Z$53))+('Equipment List &amp; Usage'!$R57*'Weekly Summary'!Z$64)+('Equipment List &amp; Usage'!$S57*'Weekly Summary'!Z$65)+('Equipment List &amp; Usage'!$T57*('Weekly Summary'!Z$64+'Weekly Summary'!Z$65))-SUM($I55:AE55))),0)</f>
        <v>0</v>
      </c>
      <c r="AG55" s="1381">
        <f ca="1">MAX(IF($F55="No",('Equipment List &amp; Usage'!$O57*'Weekly Summary'!AA$52)+('Equipment List &amp; Usage'!$P57*'Weekly Summary'!AA$53)+('Equipment List &amp; Usage'!$Q57*('Weekly Summary'!AA$52+'Weekly Summary'!AA$53))+('Equipment List &amp; Usage'!$R57*'Weekly Summary'!AA$64)+('Equipment List &amp; Usage'!$S57*'Weekly Summary'!AA$65)+('Equipment List &amp; Usage'!$T57*('Weekly Summary'!AA$64+'Weekly Summary'!AA$65)),
IF(AG$10=0,('Equipment List &amp; Usage'!$O57*'Weekly Summary'!AA$52)+('Equipment List &amp; Usage'!$P57*'Weekly Summary'!AA$53)+('Equipment List &amp; Usage'!$Q57*('Weekly Summary'!AA$52+'Weekly Summary'!AA$53))+('Equipment List &amp; Usage'!$R57*'Weekly Summary'!AA$64)+('Equipment List &amp; Usage'!$S57*'Weekly Summary'!AA$65)+('Equipment List &amp; Usage'!$T57*('Weekly Summary'!AA$64+'Weekly Summary'!AA$65)),
('Equipment List &amp; Usage'!$O57*'Weekly Summary'!AA$52)+('Equipment List &amp; Usage'!$P57*'Weekly Summary'!AA$53)+('Equipment List &amp; Usage'!$Q57*('Weekly Summary'!AA$52+'Weekly Summary'!AA$53))+('Equipment List &amp; Usage'!$R57*'Weekly Summary'!AA$64)+('Equipment List &amp; Usage'!$S57*'Weekly Summary'!AA$65)+('Equipment List &amp; Usage'!$T57*('Weekly Summary'!AA$64+'Weekly Summary'!AA$65))-SUM($I55:AF55))),0)</f>
        <v>0</v>
      </c>
      <c r="AH55" s="1381">
        <f ca="1">MAX(IF($F55="No",('Equipment List &amp; Usage'!$O57*'Weekly Summary'!AB$52)+('Equipment List &amp; Usage'!$P57*'Weekly Summary'!AB$53)+('Equipment List &amp; Usage'!$Q57*('Weekly Summary'!AB$52+'Weekly Summary'!AB$53))+('Equipment List &amp; Usage'!$R57*'Weekly Summary'!AB$64)+('Equipment List &amp; Usage'!$S57*'Weekly Summary'!AB$65)+('Equipment List &amp; Usage'!$T57*('Weekly Summary'!AB$64+'Weekly Summary'!AB$65)),
IF(AH$10=0,('Equipment List &amp; Usage'!$O57*'Weekly Summary'!AB$52)+('Equipment List &amp; Usage'!$P57*'Weekly Summary'!AB$53)+('Equipment List &amp; Usage'!$Q57*('Weekly Summary'!AB$52+'Weekly Summary'!AB$53))+('Equipment List &amp; Usage'!$R57*'Weekly Summary'!AB$64)+('Equipment List &amp; Usage'!$S57*'Weekly Summary'!AB$65)+('Equipment List &amp; Usage'!$T57*('Weekly Summary'!AB$64+'Weekly Summary'!AB$65)),
('Equipment List &amp; Usage'!$O57*'Weekly Summary'!AB$52)+('Equipment List &amp; Usage'!$P57*'Weekly Summary'!AB$53)+('Equipment List &amp; Usage'!$Q57*('Weekly Summary'!AB$52+'Weekly Summary'!AB$53))+('Equipment List &amp; Usage'!$R57*'Weekly Summary'!AB$64)+('Equipment List &amp; Usage'!$S57*'Weekly Summary'!AB$65)+('Equipment List &amp; Usage'!$T57*('Weekly Summary'!AB$64+'Weekly Summary'!AB$65))-SUM($I55:AG55))),0)</f>
        <v>0</v>
      </c>
      <c r="AI55" s="1381">
        <f ca="1">MAX(IF($F55="No",('Equipment List &amp; Usage'!$O57*'Weekly Summary'!AC$52)+('Equipment List &amp; Usage'!$P57*'Weekly Summary'!AC$53)+('Equipment List &amp; Usage'!$Q57*('Weekly Summary'!AC$52+'Weekly Summary'!AC$53))+('Equipment List &amp; Usage'!$R57*'Weekly Summary'!AC$64)+('Equipment List &amp; Usage'!$S57*'Weekly Summary'!AC$65)+('Equipment List &amp; Usage'!$T57*('Weekly Summary'!AC$64+'Weekly Summary'!AC$65)),
IF(AI$10=0,('Equipment List &amp; Usage'!$O57*'Weekly Summary'!AC$52)+('Equipment List &amp; Usage'!$P57*'Weekly Summary'!AC$53)+('Equipment List &amp; Usage'!$Q57*('Weekly Summary'!AC$52+'Weekly Summary'!AC$53))+('Equipment List &amp; Usage'!$R57*'Weekly Summary'!AC$64)+('Equipment List &amp; Usage'!$S57*'Weekly Summary'!AC$65)+('Equipment List &amp; Usage'!$T57*('Weekly Summary'!AC$64+'Weekly Summary'!AC$65)),
('Equipment List &amp; Usage'!$O57*'Weekly Summary'!AC$52)+('Equipment List &amp; Usage'!$P57*'Weekly Summary'!AC$53)+('Equipment List &amp; Usage'!$Q57*('Weekly Summary'!AC$52+'Weekly Summary'!AC$53))+('Equipment List &amp; Usage'!$R57*'Weekly Summary'!AC$64)+('Equipment List &amp; Usage'!$S57*'Weekly Summary'!AC$65)+('Equipment List &amp; Usage'!$T57*('Weekly Summary'!AC$64+'Weekly Summary'!AC$65))-SUM($I55:AH55))),0)</f>
        <v>0</v>
      </c>
      <c r="AJ55" s="1381">
        <f ca="1">MAX(IF($F55="No",('Equipment List &amp; Usage'!$O57*'Weekly Summary'!AD$52)+('Equipment List &amp; Usage'!$P57*'Weekly Summary'!AD$53)+('Equipment List &amp; Usage'!$Q57*('Weekly Summary'!AD$52+'Weekly Summary'!AD$53))+('Equipment List &amp; Usage'!$R57*'Weekly Summary'!AD$64)+('Equipment List &amp; Usage'!$S57*'Weekly Summary'!AD$65)+('Equipment List &amp; Usage'!$T57*('Weekly Summary'!AD$64+'Weekly Summary'!AD$65)),
IF(AJ$10=0,('Equipment List &amp; Usage'!$O57*'Weekly Summary'!AD$52)+('Equipment List &amp; Usage'!$P57*'Weekly Summary'!AD$53)+('Equipment List &amp; Usage'!$Q57*('Weekly Summary'!AD$52+'Weekly Summary'!AD$53))+('Equipment List &amp; Usage'!$R57*'Weekly Summary'!AD$64)+('Equipment List &amp; Usage'!$S57*'Weekly Summary'!AD$65)+('Equipment List &amp; Usage'!$T57*('Weekly Summary'!AD$64+'Weekly Summary'!AD$65)),
('Equipment List &amp; Usage'!$O57*'Weekly Summary'!AD$52)+('Equipment List &amp; Usage'!$P57*'Weekly Summary'!AD$53)+('Equipment List &amp; Usage'!$Q57*('Weekly Summary'!AD$52+'Weekly Summary'!AD$53))+('Equipment List &amp; Usage'!$R57*'Weekly Summary'!AD$64)+('Equipment List &amp; Usage'!$S57*'Weekly Summary'!AD$65)+('Equipment List &amp; Usage'!$T57*('Weekly Summary'!AD$64+'Weekly Summary'!AD$65))-SUM($I55:AI55))),0)</f>
        <v>0</v>
      </c>
      <c r="AK55" s="1381">
        <f ca="1">MAX(IF($F55="No",('Equipment List &amp; Usage'!$O57*'Weekly Summary'!AE$52)+('Equipment List &amp; Usage'!$P57*'Weekly Summary'!AE$53)+('Equipment List &amp; Usage'!$Q57*('Weekly Summary'!AE$52+'Weekly Summary'!AE$53))+('Equipment List &amp; Usage'!$R57*'Weekly Summary'!AE$64)+('Equipment List &amp; Usage'!$S57*'Weekly Summary'!AE$65)+('Equipment List &amp; Usage'!$T57*('Weekly Summary'!AE$64+'Weekly Summary'!AE$65)),
IF(AK$10=0,('Equipment List &amp; Usage'!$O57*'Weekly Summary'!AE$52)+('Equipment List &amp; Usage'!$P57*'Weekly Summary'!AE$53)+('Equipment List &amp; Usage'!$Q57*('Weekly Summary'!AE$52+'Weekly Summary'!AE$53))+('Equipment List &amp; Usage'!$R57*'Weekly Summary'!AE$64)+('Equipment List &amp; Usage'!$S57*'Weekly Summary'!AE$65)+('Equipment List &amp; Usage'!$T57*('Weekly Summary'!AE$64+'Weekly Summary'!AE$65)),
('Equipment List &amp; Usage'!$O57*'Weekly Summary'!AE$52)+('Equipment List &amp; Usage'!$P57*'Weekly Summary'!AE$53)+('Equipment List &amp; Usage'!$Q57*('Weekly Summary'!AE$52+'Weekly Summary'!AE$53))+('Equipment List &amp; Usage'!$R57*'Weekly Summary'!AE$64)+('Equipment List &amp; Usage'!$S57*'Weekly Summary'!AE$65)+('Equipment List &amp; Usage'!$T57*('Weekly Summary'!AE$64+'Weekly Summary'!AE$65))-SUM($I55:AJ55))),0)</f>
        <v>0</v>
      </c>
      <c r="AL55" s="1381">
        <f ca="1">MAX(IF($F55="No",('Equipment List &amp; Usage'!$O57*'Weekly Summary'!AF$52)+('Equipment List &amp; Usage'!$P57*'Weekly Summary'!AF$53)+('Equipment List &amp; Usage'!$Q57*('Weekly Summary'!AF$52+'Weekly Summary'!AF$53))+('Equipment List &amp; Usage'!$R57*'Weekly Summary'!AF$64)+('Equipment List &amp; Usage'!$S57*'Weekly Summary'!AF$65)+('Equipment List &amp; Usage'!$T57*('Weekly Summary'!AF$64+'Weekly Summary'!AF$65)),
IF(AL$10=0,('Equipment List &amp; Usage'!$O57*'Weekly Summary'!AF$52)+('Equipment List &amp; Usage'!$P57*'Weekly Summary'!AF$53)+('Equipment List &amp; Usage'!$Q57*('Weekly Summary'!AF$52+'Weekly Summary'!AF$53))+('Equipment List &amp; Usage'!$R57*'Weekly Summary'!AF$64)+('Equipment List &amp; Usage'!$S57*'Weekly Summary'!AF$65)+('Equipment List &amp; Usage'!$T57*('Weekly Summary'!AF$64+'Weekly Summary'!AF$65)),
('Equipment List &amp; Usage'!$O57*'Weekly Summary'!AF$52)+('Equipment List &amp; Usage'!$P57*'Weekly Summary'!AF$53)+('Equipment List &amp; Usage'!$Q57*('Weekly Summary'!AF$52+'Weekly Summary'!AF$53))+('Equipment List &amp; Usage'!$R57*'Weekly Summary'!AF$64)+('Equipment List &amp; Usage'!$S57*'Weekly Summary'!AF$65)+('Equipment List &amp; Usage'!$T57*('Weekly Summary'!AF$64+'Weekly Summary'!AF$65))-SUM($I55:AK55))),0)</f>
        <v>0</v>
      </c>
      <c r="AM55" s="1381">
        <f ca="1">MAX(IF($F55="No",('Equipment List &amp; Usage'!$O57*'Weekly Summary'!AG$52)+('Equipment List &amp; Usage'!$P57*'Weekly Summary'!AG$53)+('Equipment List &amp; Usage'!$Q57*('Weekly Summary'!AG$52+'Weekly Summary'!AG$53))+('Equipment List &amp; Usage'!$R57*'Weekly Summary'!AG$64)+('Equipment List &amp; Usage'!$S57*'Weekly Summary'!AG$65)+('Equipment List &amp; Usage'!$T57*('Weekly Summary'!AG$64+'Weekly Summary'!AG$65)),
IF(AM$10=0,('Equipment List &amp; Usage'!$O57*'Weekly Summary'!AG$52)+('Equipment List &amp; Usage'!$P57*'Weekly Summary'!AG$53)+('Equipment List &amp; Usage'!$Q57*('Weekly Summary'!AG$52+'Weekly Summary'!AG$53))+('Equipment List &amp; Usage'!$R57*'Weekly Summary'!AG$64)+('Equipment List &amp; Usage'!$S57*'Weekly Summary'!AG$65)+('Equipment List &amp; Usage'!$T57*('Weekly Summary'!AG$64+'Weekly Summary'!AG$65)),
('Equipment List &amp; Usage'!$O57*'Weekly Summary'!AG$52)+('Equipment List &amp; Usage'!$P57*'Weekly Summary'!AG$53)+('Equipment List &amp; Usage'!$Q57*('Weekly Summary'!AG$52+'Weekly Summary'!AG$53))+('Equipment List &amp; Usage'!$R57*'Weekly Summary'!AG$64)+('Equipment List &amp; Usage'!$S57*'Weekly Summary'!AG$65)+('Equipment List &amp; Usage'!$T57*('Weekly Summary'!AG$64+'Weekly Summary'!AG$65))-SUM($I55:AL55))),0)</f>
        <v>0</v>
      </c>
      <c r="AN55" s="1381">
        <f ca="1">MAX(IF($F55="No",('Equipment List &amp; Usage'!$O57*'Weekly Summary'!AH$52)+('Equipment List &amp; Usage'!$P57*'Weekly Summary'!AH$53)+('Equipment List &amp; Usage'!$Q57*('Weekly Summary'!AH$52+'Weekly Summary'!AH$53))+('Equipment List &amp; Usage'!$R57*'Weekly Summary'!AH$64)+('Equipment List &amp; Usage'!$S57*'Weekly Summary'!AH$65)+('Equipment List &amp; Usage'!$T57*('Weekly Summary'!AH$64+'Weekly Summary'!AH$65)),
IF(AN$10=0,('Equipment List &amp; Usage'!$O57*'Weekly Summary'!AH$52)+('Equipment List &amp; Usage'!$P57*'Weekly Summary'!AH$53)+('Equipment List &amp; Usage'!$Q57*('Weekly Summary'!AH$52+'Weekly Summary'!AH$53))+('Equipment List &amp; Usage'!$R57*'Weekly Summary'!AH$64)+('Equipment List &amp; Usage'!$S57*'Weekly Summary'!AH$65)+('Equipment List &amp; Usage'!$T57*('Weekly Summary'!AH$64+'Weekly Summary'!AH$65)),
('Equipment List &amp; Usage'!$O57*'Weekly Summary'!AH$52)+('Equipment List &amp; Usage'!$P57*'Weekly Summary'!AH$53)+('Equipment List &amp; Usage'!$Q57*('Weekly Summary'!AH$52+'Weekly Summary'!AH$53))+('Equipment List &amp; Usage'!$R57*'Weekly Summary'!AH$64)+('Equipment List &amp; Usage'!$S57*'Weekly Summary'!AH$65)+('Equipment List &amp; Usage'!$T57*('Weekly Summary'!AH$64+'Weekly Summary'!AH$65))-SUM($I55:AM55))),0)</f>
        <v>0</v>
      </c>
      <c r="AO55" s="1381">
        <f ca="1">MAX(IF($F55="No",('Equipment List &amp; Usage'!$O57*'Weekly Summary'!AI$52)+('Equipment List &amp; Usage'!$P57*'Weekly Summary'!AI$53)+('Equipment List &amp; Usage'!$Q57*('Weekly Summary'!AI$52+'Weekly Summary'!AI$53))+('Equipment List &amp; Usage'!$R57*'Weekly Summary'!AI$64)+('Equipment List &amp; Usage'!$S57*'Weekly Summary'!AI$65)+('Equipment List &amp; Usage'!$T57*('Weekly Summary'!AI$64+'Weekly Summary'!AI$65)),
IF(AO$10=0,('Equipment List &amp; Usage'!$O57*'Weekly Summary'!AI$52)+('Equipment List &amp; Usage'!$P57*'Weekly Summary'!AI$53)+('Equipment List &amp; Usage'!$Q57*('Weekly Summary'!AI$52+'Weekly Summary'!AI$53))+('Equipment List &amp; Usage'!$R57*'Weekly Summary'!AI$64)+('Equipment List &amp; Usage'!$S57*'Weekly Summary'!AI$65)+('Equipment List &amp; Usage'!$T57*('Weekly Summary'!AI$64+'Weekly Summary'!AI$65)),
('Equipment List &amp; Usage'!$O57*'Weekly Summary'!AI$52)+('Equipment List &amp; Usage'!$P57*'Weekly Summary'!AI$53)+('Equipment List &amp; Usage'!$Q57*('Weekly Summary'!AI$52+'Weekly Summary'!AI$53))+('Equipment List &amp; Usage'!$R57*'Weekly Summary'!AI$64)+('Equipment List &amp; Usage'!$S57*'Weekly Summary'!AI$65)+('Equipment List &amp; Usage'!$T57*('Weekly Summary'!AI$64+'Weekly Summary'!AI$65))-SUM($I55:AN55))),0)</f>
        <v>0</v>
      </c>
      <c r="AP55" s="1381">
        <f ca="1">MAX(IF($F55="No",('Equipment List &amp; Usage'!$O57*'Weekly Summary'!AJ$52)+('Equipment List &amp; Usage'!$P57*'Weekly Summary'!AJ$53)+('Equipment List &amp; Usage'!$Q57*('Weekly Summary'!AJ$52+'Weekly Summary'!AJ$53))+('Equipment List &amp; Usage'!$R57*'Weekly Summary'!AJ$64)+('Equipment List &amp; Usage'!$S57*'Weekly Summary'!AJ$65)+('Equipment List &amp; Usage'!$T57*('Weekly Summary'!AJ$64+'Weekly Summary'!AJ$65)),
IF(AP$10=0,('Equipment List &amp; Usage'!$O57*'Weekly Summary'!AJ$52)+('Equipment List &amp; Usage'!$P57*'Weekly Summary'!AJ$53)+('Equipment List &amp; Usage'!$Q57*('Weekly Summary'!AJ$52+'Weekly Summary'!AJ$53))+('Equipment List &amp; Usage'!$R57*'Weekly Summary'!AJ$64)+('Equipment List &amp; Usage'!$S57*'Weekly Summary'!AJ$65)+('Equipment List &amp; Usage'!$T57*('Weekly Summary'!AJ$64+'Weekly Summary'!AJ$65)),
('Equipment List &amp; Usage'!$O57*'Weekly Summary'!AJ$52)+('Equipment List &amp; Usage'!$P57*'Weekly Summary'!AJ$53)+('Equipment List &amp; Usage'!$Q57*('Weekly Summary'!AJ$52+'Weekly Summary'!AJ$53))+('Equipment List &amp; Usage'!$R57*'Weekly Summary'!AJ$64)+('Equipment List &amp; Usage'!$S57*'Weekly Summary'!AJ$65)+('Equipment List &amp; Usage'!$T57*('Weekly Summary'!AJ$64+'Weekly Summary'!AJ$65))-SUM($I55:AO55))),0)</f>
        <v>0</v>
      </c>
      <c r="AQ55" s="1381">
        <f ca="1">MAX(IF($F55="No",('Equipment List &amp; Usage'!$O57*'Weekly Summary'!AK$52)+('Equipment List &amp; Usage'!$P57*'Weekly Summary'!AK$53)+('Equipment List &amp; Usage'!$Q57*('Weekly Summary'!AK$52+'Weekly Summary'!AK$53))+('Equipment List &amp; Usage'!$R57*'Weekly Summary'!AK$64)+('Equipment List &amp; Usage'!$S57*'Weekly Summary'!AK$65)+('Equipment List &amp; Usage'!$T57*('Weekly Summary'!AK$64+'Weekly Summary'!AK$65)),
IF(AQ$10=0,('Equipment List &amp; Usage'!$O57*'Weekly Summary'!AK$52)+('Equipment List &amp; Usage'!$P57*'Weekly Summary'!AK$53)+('Equipment List &amp; Usage'!$Q57*('Weekly Summary'!AK$52+'Weekly Summary'!AK$53))+('Equipment List &amp; Usage'!$R57*'Weekly Summary'!AK$64)+('Equipment List &amp; Usage'!$S57*'Weekly Summary'!AK$65)+('Equipment List &amp; Usage'!$T57*('Weekly Summary'!AK$64+'Weekly Summary'!AK$65)),
('Equipment List &amp; Usage'!$O57*'Weekly Summary'!AK$52)+('Equipment List &amp; Usage'!$P57*'Weekly Summary'!AK$53)+('Equipment List &amp; Usage'!$Q57*('Weekly Summary'!AK$52+'Weekly Summary'!AK$53))+('Equipment List &amp; Usage'!$R57*'Weekly Summary'!AK$64)+('Equipment List &amp; Usage'!$S57*'Weekly Summary'!AK$65)+('Equipment List &amp; Usage'!$T57*('Weekly Summary'!AK$64+'Weekly Summary'!AK$65))-SUM($I55:AP55))),0)</f>
        <v>0</v>
      </c>
      <c r="AR55" s="1381">
        <f ca="1">MAX(IF($F55="No",('Equipment List &amp; Usage'!$O57*'Weekly Summary'!AL$52)+('Equipment List &amp; Usage'!$P57*'Weekly Summary'!AL$53)+('Equipment List &amp; Usage'!$Q57*('Weekly Summary'!AL$52+'Weekly Summary'!AL$53))+('Equipment List &amp; Usage'!$R57*'Weekly Summary'!AL$64)+('Equipment List &amp; Usage'!$S57*'Weekly Summary'!AL$65)+('Equipment List &amp; Usage'!$T57*('Weekly Summary'!AL$64+'Weekly Summary'!AL$65)),
IF(AR$10=0,('Equipment List &amp; Usage'!$O57*'Weekly Summary'!AL$52)+('Equipment List &amp; Usage'!$P57*'Weekly Summary'!AL$53)+('Equipment List &amp; Usage'!$Q57*('Weekly Summary'!AL$52+'Weekly Summary'!AL$53))+('Equipment List &amp; Usage'!$R57*'Weekly Summary'!AL$64)+('Equipment List &amp; Usage'!$S57*'Weekly Summary'!AL$65)+('Equipment List &amp; Usage'!$T57*('Weekly Summary'!AL$64+'Weekly Summary'!AL$65)),
('Equipment List &amp; Usage'!$O57*'Weekly Summary'!AL$52)+('Equipment List &amp; Usage'!$P57*'Weekly Summary'!AL$53)+('Equipment List &amp; Usage'!$Q57*('Weekly Summary'!AL$52+'Weekly Summary'!AL$53))+('Equipment List &amp; Usage'!$R57*'Weekly Summary'!AL$64)+('Equipment List &amp; Usage'!$S57*'Weekly Summary'!AL$65)+('Equipment List &amp; Usage'!$T57*('Weekly Summary'!AL$64+'Weekly Summary'!AL$65))-SUM($I55:AQ55))),0)</f>
        <v>0</v>
      </c>
      <c r="AS55" s="1381">
        <f ca="1">MAX(IF($F55="No",('Equipment List &amp; Usage'!$O57*'Weekly Summary'!AM$52)+('Equipment List &amp; Usage'!$P57*'Weekly Summary'!AM$53)+('Equipment List &amp; Usage'!$Q57*('Weekly Summary'!AM$52+'Weekly Summary'!AM$53))+('Equipment List &amp; Usage'!$R57*'Weekly Summary'!AM$64)+('Equipment List &amp; Usage'!$S57*'Weekly Summary'!AM$65)+('Equipment List &amp; Usage'!$T57*('Weekly Summary'!AM$64+'Weekly Summary'!AM$65)),
IF(AS$10=0,('Equipment List &amp; Usage'!$O57*'Weekly Summary'!AM$52)+('Equipment List &amp; Usage'!$P57*'Weekly Summary'!AM$53)+('Equipment List &amp; Usage'!$Q57*('Weekly Summary'!AM$52+'Weekly Summary'!AM$53))+('Equipment List &amp; Usage'!$R57*'Weekly Summary'!AM$64)+('Equipment List &amp; Usage'!$S57*'Weekly Summary'!AM$65)+('Equipment List &amp; Usage'!$T57*('Weekly Summary'!AM$64+'Weekly Summary'!AM$65)),
('Equipment List &amp; Usage'!$O57*'Weekly Summary'!AM$52)+('Equipment List &amp; Usage'!$P57*'Weekly Summary'!AM$53)+('Equipment List &amp; Usage'!$Q57*('Weekly Summary'!AM$52+'Weekly Summary'!AM$53))+('Equipment List &amp; Usage'!$R57*'Weekly Summary'!AM$64)+('Equipment List &amp; Usage'!$S57*'Weekly Summary'!AM$65)+('Equipment List &amp; Usage'!$T57*('Weekly Summary'!AM$64+'Weekly Summary'!AM$65))-SUM($I55:AR55))),0)</f>
        <v>0</v>
      </c>
      <c r="AT55" s="1381">
        <f ca="1">MAX(IF($F55="No",('Equipment List &amp; Usage'!$O57*'Weekly Summary'!AN$52)+('Equipment List &amp; Usage'!$P57*'Weekly Summary'!AN$53)+('Equipment List &amp; Usage'!$Q57*('Weekly Summary'!AN$52+'Weekly Summary'!AN$53))+('Equipment List &amp; Usage'!$R57*'Weekly Summary'!AN$64)+('Equipment List &amp; Usage'!$S57*'Weekly Summary'!AN$65)+('Equipment List &amp; Usage'!$T57*('Weekly Summary'!AN$64+'Weekly Summary'!AN$65)),
IF(AT$10=0,('Equipment List &amp; Usage'!$O57*'Weekly Summary'!AN$52)+('Equipment List &amp; Usage'!$P57*'Weekly Summary'!AN$53)+('Equipment List &amp; Usage'!$Q57*('Weekly Summary'!AN$52+'Weekly Summary'!AN$53))+('Equipment List &amp; Usage'!$R57*'Weekly Summary'!AN$64)+('Equipment List &amp; Usage'!$S57*'Weekly Summary'!AN$65)+('Equipment List &amp; Usage'!$T57*('Weekly Summary'!AN$64+'Weekly Summary'!AN$65)),
('Equipment List &amp; Usage'!$O57*'Weekly Summary'!AN$52)+('Equipment List &amp; Usage'!$P57*'Weekly Summary'!AN$53)+('Equipment List &amp; Usage'!$Q57*('Weekly Summary'!AN$52+'Weekly Summary'!AN$53))+('Equipment List &amp; Usage'!$R57*'Weekly Summary'!AN$64)+('Equipment List &amp; Usage'!$S57*'Weekly Summary'!AN$65)+('Equipment List &amp; Usage'!$T57*('Weekly Summary'!AN$64+'Weekly Summary'!AN$65))-SUM($I55:AS55))),0)</f>
        <v>0</v>
      </c>
      <c r="AU55" s="1381">
        <f ca="1">MAX(IF($F55="No",('Equipment List &amp; Usage'!$O57*'Weekly Summary'!AO$52)+('Equipment List &amp; Usage'!$P57*'Weekly Summary'!AO$53)+('Equipment List &amp; Usage'!$Q57*('Weekly Summary'!AO$52+'Weekly Summary'!AO$53))+('Equipment List &amp; Usage'!$R57*'Weekly Summary'!AO$64)+('Equipment List &amp; Usage'!$S57*'Weekly Summary'!AO$65)+('Equipment List &amp; Usage'!$T57*('Weekly Summary'!AO$64+'Weekly Summary'!AO$65)),
IF(AU$10=0,('Equipment List &amp; Usage'!$O57*'Weekly Summary'!AO$52)+('Equipment List &amp; Usage'!$P57*'Weekly Summary'!AO$53)+('Equipment List &amp; Usage'!$Q57*('Weekly Summary'!AO$52+'Weekly Summary'!AO$53))+('Equipment List &amp; Usage'!$R57*'Weekly Summary'!AO$64)+('Equipment List &amp; Usage'!$S57*'Weekly Summary'!AO$65)+('Equipment List &amp; Usage'!$T57*('Weekly Summary'!AO$64+'Weekly Summary'!AO$65)),
('Equipment List &amp; Usage'!$O57*'Weekly Summary'!AO$52)+('Equipment List &amp; Usage'!$P57*'Weekly Summary'!AO$53)+('Equipment List &amp; Usage'!$Q57*('Weekly Summary'!AO$52+'Weekly Summary'!AO$53))+('Equipment List &amp; Usage'!$R57*'Weekly Summary'!AO$64)+('Equipment List &amp; Usage'!$S57*'Weekly Summary'!AO$65)+('Equipment List &amp; Usage'!$T57*('Weekly Summary'!AO$64+'Weekly Summary'!AO$65))-SUM($I55:AT55))),0)</f>
        <v>0</v>
      </c>
      <c r="AV55" s="1381">
        <f ca="1">MAX(IF($F55="No",('Equipment List &amp; Usage'!$O57*'Weekly Summary'!AP$52)+('Equipment List &amp; Usage'!$P57*'Weekly Summary'!AP$53)+('Equipment List &amp; Usage'!$Q57*('Weekly Summary'!AP$52+'Weekly Summary'!AP$53))+('Equipment List &amp; Usage'!$R57*'Weekly Summary'!AP$64)+('Equipment List &amp; Usage'!$S57*'Weekly Summary'!AP$65)+('Equipment List &amp; Usage'!$T57*('Weekly Summary'!AP$64+'Weekly Summary'!AP$65)),
IF(AV$10=0,('Equipment List &amp; Usage'!$O57*'Weekly Summary'!AP$52)+('Equipment List &amp; Usage'!$P57*'Weekly Summary'!AP$53)+('Equipment List &amp; Usage'!$Q57*('Weekly Summary'!AP$52+'Weekly Summary'!AP$53))+('Equipment List &amp; Usage'!$R57*'Weekly Summary'!AP$64)+('Equipment List &amp; Usage'!$S57*'Weekly Summary'!AP$65)+('Equipment List &amp; Usage'!$T57*('Weekly Summary'!AP$64+'Weekly Summary'!AP$65)),
('Equipment List &amp; Usage'!$O57*'Weekly Summary'!AP$52)+('Equipment List &amp; Usage'!$P57*'Weekly Summary'!AP$53)+('Equipment List &amp; Usage'!$Q57*('Weekly Summary'!AP$52+'Weekly Summary'!AP$53))+('Equipment List &amp; Usage'!$R57*'Weekly Summary'!AP$64)+('Equipment List &amp; Usage'!$S57*'Weekly Summary'!AP$65)+('Equipment List &amp; Usage'!$T57*('Weekly Summary'!AP$64+'Weekly Summary'!AP$65))-SUM($I55:AU55))),0)</f>
        <v>0</v>
      </c>
      <c r="AW55" s="1381">
        <f ca="1">MAX(IF($F55="No",('Equipment List &amp; Usage'!$O57*'Weekly Summary'!AQ$52)+('Equipment List &amp; Usage'!$P57*'Weekly Summary'!AQ$53)+('Equipment List &amp; Usage'!$Q57*('Weekly Summary'!AQ$52+'Weekly Summary'!AQ$53))+('Equipment List &amp; Usage'!$R57*'Weekly Summary'!AQ$64)+('Equipment List &amp; Usage'!$S57*'Weekly Summary'!AQ$65)+('Equipment List &amp; Usage'!$T57*('Weekly Summary'!AQ$64+'Weekly Summary'!AQ$65)),
IF(AW$10=0,('Equipment List &amp; Usage'!$O57*'Weekly Summary'!AQ$52)+('Equipment List &amp; Usage'!$P57*'Weekly Summary'!AQ$53)+('Equipment List &amp; Usage'!$Q57*('Weekly Summary'!AQ$52+'Weekly Summary'!AQ$53))+('Equipment List &amp; Usage'!$R57*'Weekly Summary'!AQ$64)+('Equipment List &amp; Usage'!$S57*'Weekly Summary'!AQ$65)+('Equipment List &amp; Usage'!$T57*('Weekly Summary'!AQ$64+'Weekly Summary'!AQ$65)),
('Equipment List &amp; Usage'!$O57*'Weekly Summary'!AQ$52)+('Equipment List &amp; Usage'!$P57*'Weekly Summary'!AQ$53)+('Equipment List &amp; Usage'!$Q57*('Weekly Summary'!AQ$52+'Weekly Summary'!AQ$53))+('Equipment List &amp; Usage'!$R57*'Weekly Summary'!AQ$64)+('Equipment List &amp; Usage'!$S57*'Weekly Summary'!AQ$65)+('Equipment List &amp; Usage'!$T57*('Weekly Summary'!AQ$64+'Weekly Summary'!AQ$65))-SUM($I55:AV55))),0)</f>
        <v>0</v>
      </c>
      <c r="AX55" s="1381">
        <f ca="1">MAX(IF($F55="No",('Equipment List &amp; Usage'!$O57*'Weekly Summary'!AR$52)+('Equipment List &amp; Usage'!$P57*'Weekly Summary'!AR$53)+('Equipment List &amp; Usage'!$Q57*('Weekly Summary'!AR$52+'Weekly Summary'!AR$53))+('Equipment List &amp; Usage'!$R57*'Weekly Summary'!AR$64)+('Equipment List &amp; Usage'!$S57*'Weekly Summary'!AR$65)+('Equipment List &amp; Usage'!$T57*('Weekly Summary'!AR$64+'Weekly Summary'!AR$65)),
IF(AX$10=0,('Equipment List &amp; Usage'!$O57*'Weekly Summary'!AR$52)+('Equipment List &amp; Usage'!$P57*'Weekly Summary'!AR$53)+('Equipment List &amp; Usage'!$Q57*('Weekly Summary'!AR$52+'Weekly Summary'!AR$53))+('Equipment List &amp; Usage'!$R57*'Weekly Summary'!AR$64)+('Equipment List &amp; Usage'!$S57*'Weekly Summary'!AR$65)+('Equipment List &amp; Usage'!$T57*('Weekly Summary'!AR$64+'Weekly Summary'!AR$65)),
('Equipment List &amp; Usage'!$O57*'Weekly Summary'!AR$52)+('Equipment List &amp; Usage'!$P57*'Weekly Summary'!AR$53)+('Equipment List &amp; Usage'!$Q57*('Weekly Summary'!AR$52+'Weekly Summary'!AR$53))+('Equipment List &amp; Usage'!$R57*'Weekly Summary'!AR$64)+('Equipment List &amp; Usage'!$S57*'Weekly Summary'!AR$65)+('Equipment List &amp; Usage'!$T57*('Weekly Summary'!AR$64+'Weekly Summary'!AR$65))-SUM($I55:AW55))),0)</f>
        <v>0</v>
      </c>
      <c r="AY55" s="1381">
        <f ca="1">MAX(IF($F55="No",('Equipment List &amp; Usage'!$O57*'Weekly Summary'!AS$52)+('Equipment List &amp; Usage'!$P57*'Weekly Summary'!AS$53)+('Equipment List &amp; Usage'!$Q57*('Weekly Summary'!AS$52+'Weekly Summary'!AS$53))+('Equipment List &amp; Usage'!$R57*'Weekly Summary'!AS$64)+('Equipment List &amp; Usage'!$S57*'Weekly Summary'!AS$65)+('Equipment List &amp; Usage'!$T57*('Weekly Summary'!AS$64+'Weekly Summary'!AS$65)),
IF(AY$10=0,('Equipment List &amp; Usage'!$O57*'Weekly Summary'!AS$52)+('Equipment List &amp; Usage'!$P57*'Weekly Summary'!AS$53)+('Equipment List &amp; Usage'!$Q57*('Weekly Summary'!AS$52+'Weekly Summary'!AS$53))+('Equipment List &amp; Usage'!$R57*'Weekly Summary'!AS$64)+('Equipment List &amp; Usage'!$S57*'Weekly Summary'!AS$65)+('Equipment List &amp; Usage'!$T57*('Weekly Summary'!AS$64+'Weekly Summary'!AS$65)),
('Equipment List &amp; Usage'!$O57*'Weekly Summary'!AS$52)+('Equipment List &amp; Usage'!$P57*'Weekly Summary'!AS$53)+('Equipment List &amp; Usage'!$Q57*('Weekly Summary'!AS$52+'Weekly Summary'!AS$53))+('Equipment List &amp; Usage'!$R57*'Weekly Summary'!AS$64)+('Equipment List &amp; Usage'!$S57*'Weekly Summary'!AS$65)+('Equipment List &amp; Usage'!$T57*('Weekly Summary'!AS$64+'Weekly Summary'!AS$65))-SUM($I55:AX55))),0)</f>
        <v>0</v>
      </c>
      <c r="AZ55" s="1381">
        <f ca="1">MAX(IF($F55="No",('Equipment List &amp; Usage'!$O57*'Weekly Summary'!AT$52)+('Equipment List &amp; Usage'!$P57*'Weekly Summary'!AT$53)+('Equipment List &amp; Usage'!$Q57*('Weekly Summary'!AT$52+'Weekly Summary'!AT$53))+('Equipment List &amp; Usage'!$R57*'Weekly Summary'!AT$64)+('Equipment List &amp; Usage'!$S57*'Weekly Summary'!AT$65)+('Equipment List &amp; Usage'!$T57*('Weekly Summary'!AT$64+'Weekly Summary'!AT$65)),
IF(AZ$10=0,('Equipment List &amp; Usage'!$O57*'Weekly Summary'!AT$52)+('Equipment List &amp; Usage'!$P57*'Weekly Summary'!AT$53)+('Equipment List &amp; Usage'!$Q57*('Weekly Summary'!AT$52+'Weekly Summary'!AT$53))+('Equipment List &amp; Usage'!$R57*'Weekly Summary'!AT$64)+('Equipment List &amp; Usage'!$S57*'Weekly Summary'!AT$65)+('Equipment List &amp; Usage'!$T57*('Weekly Summary'!AT$64+'Weekly Summary'!AT$65)),
('Equipment List &amp; Usage'!$O57*'Weekly Summary'!AT$52)+('Equipment List &amp; Usage'!$P57*'Weekly Summary'!AT$53)+('Equipment List &amp; Usage'!$Q57*('Weekly Summary'!AT$52+'Weekly Summary'!AT$53))+('Equipment List &amp; Usage'!$R57*'Weekly Summary'!AT$64)+('Equipment List &amp; Usage'!$S57*'Weekly Summary'!AT$65)+('Equipment List &amp; Usage'!$T57*('Weekly Summary'!AT$64+'Weekly Summary'!AT$65))-SUM($I55:AY55))),0)</f>
        <v>0</v>
      </c>
      <c r="BA55" s="1381">
        <f ca="1">MAX(IF($F55="No",('Equipment List &amp; Usage'!$O57*'Weekly Summary'!AU$52)+('Equipment List &amp; Usage'!$P57*'Weekly Summary'!AU$53)+('Equipment List &amp; Usage'!$Q57*('Weekly Summary'!AU$52+'Weekly Summary'!AU$53))+('Equipment List &amp; Usage'!$R57*'Weekly Summary'!AU$64)+('Equipment List &amp; Usage'!$S57*'Weekly Summary'!AU$65)+('Equipment List &amp; Usage'!$T57*('Weekly Summary'!AU$64+'Weekly Summary'!AU$65)),
IF(BA$10=0,('Equipment List &amp; Usage'!$O57*'Weekly Summary'!AU$52)+('Equipment List &amp; Usage'!$P57*'Weekly Summary'!AU$53)+('Equipment List &amp; Usage'!$Q57*('Weekly Summary'!AU$52+'Weekly Summary'!AU$53))+('Equipment List &amp; Usage'!$R57*'Weekly Summary'!AU$64)+('Equipment List &amp; Usage'!$S57*'Weekly Summary'!AU$65)+('Equipment List &amp; Usage'!$T57*('Weekly Summary'!AU$64+'Weekly Summary'!AU$65)),
('Equipment List &amp; Usage'!$O57*'Weekly Summary'!AU$52)+('Equipment List &amp; Usage'!$P57*'Weekly Summary'!AU$53)+('Equipment List &amp; Usage'!$Q57*('Weekly Summary'!AU$52+'Weekly Summary'!AU$53))+('Equipment List &amp; Usage'!$R57*'Weekly Summary'!AU$64)+('Equipment List &amp; Usage'!$S57*'Weekly Summary'!AU$65)+('Equipment List &amp; Usage'!$T57*('Weekly Summary'!AU$64+'Weekly Summary'!AU$65))-SUM($I55:AZ55))),0)</f>
        <v>0</v>
      </c>
      <c r="BB55" s="1381">
        <f ca="1">MAX(IF($F55="No",('Equipment List &amp; Usage'!$O57*'Weekly Summary'!AV$52)+('Equipment List &amp; Usage'!$P57*'Weekly Summary'!AV$53)+('Equipment List &amp; Usage'!$Q57*('Weekly Summary'!AV$52+'Weekly Summary'!AV$53))+('Equipment List &amp; Usage'!$R57*'Weekly Summary'!AV$64)+('Equipment List &amp; Usage'!$S57*'Weekly Summary'!AV$65)+('Equipment List &amp; Usage'!$T57*('Weekly Summary'!AV$64+'Weekly Summary'!AV$65)),
IF(BB$10=0,('Equipment List &amp; Usage'!$O57*'Weekly Summary'!AV$52)+('Equipment List &amp; Usage'!$P57*'Weekly Summary'!AV$53)+('Equipment List &amp; Usage'!$Q57*('Weekly Summary'!AV$52+'Weekly Summary'!AV$53))+('Equipment List &amp; Usage'!$R57*'Weekly Summary'!AV$64)+('Equipment List &amp; Usage'!$S57*'Weekly Summary'!AV$65)+('Equipment List &amp; Usage'!$T57*('Weekly Summary'!AV$64+'Weekly Summary'!AV$65)),
('Equipment List &amp; Usage'!$O57*'Weekly Summary'!AV$52)+('Equipment List &amp; Usage'!$P57*'Weekly Summary'!AV$53)+('Equipment List &amp; Usage'!$Q57*('Weekly Summary'!AV$52+'Weekly Summary'!AV$53))+('Equipment List &amp; Usage'!$R57*'Weekly Summary'!AV$64)+('Equipment List &amp; Usage'!$S57*'Weekly Summary'!AV$65)+('Equipment List &amp; Usage'!$T57*('Weekly Summary'!AV$64+'Weekly Summary'!AV$65))-SUM($I55:BA55))),0)</f>
        <v>0</v>
      </c>
      <c r="BC55" s="1381">
        <f ca="1">MAX(IF($F55="No",('Equipment List &amp; Usage'!$O57*'Weekly Summary'!AW$52)+('Equipment List &amp; Usage'!$P57*'Weekly Summary'!AW$53)+('Equipment List &amp; Usage'!$Q57*('Weekly Summary'!AW$52+'Weekly Summary'!AW$53))+('Equipment List &amp; Usage'!$R57*'Weekly Summary'!AW$64)+('Equipment List &amp; Usage'!$S57*'Weekly Summary'!AW$65)+('Equipment List &amp; Usage'!$T57*('Weekly Summary'!AW$64+'Weekly Summary'!AW$65)),
IF(BC$10=0,('Equipment List &amp; Usage'!$O57*'Weekly Summary'!AW$52)+('Equipment List &amp; Usage'!$P57*'Weekly Summary'!AW$53)+('Equipment List &amp; Usage'!$Q57*('Weekly Summary'!AW$52+'Weekly Summary'!AW$53))+('Equipment List &amp; Usage'!$R57*'Weekly Summary'!AW$64)+('Equipment List &amp; Usage'!$S57*'Weekly Summary'!AW$65)+('Equipment List &amp; Usage'!$T57*('Weekly Summary'!AW$64+'Weekly Summary'!AW$65)),
('Equipment List &amp; Usage'!$O57*'Weekly Summary'!AW$52)+('Equipment List &amp; Usage'!$P57*'Weekly Summary'!AW$53)+('Equipment List &amp; Usage'!$Q57*('Weekly Summary'!AW$52+'Weekly Summary'!AW$53))+('Equipment List &amp; Usage'!$R57*'Weekly Summary'!AW$64)+('Equipment List &amp; Usage'!$S57*'Weekly Summary'!AW$65)+('Equipment List &amp; Usage'!$T57*('Weekly Summary'!AW$64+'Weekly Summary'!AW$65))-SUM($I55:BB55))),0)</f>
        <v>0</v>
      </c>
      <c r="BD55" s="1381">
        <f ca="1">MAX(IF($F55="No",('Equipment List &amp; Usage'!$O57*'Weekly Summary'!AX$52)+('Equipment List &amp; Usage'!$P57*'Weekly Summary'!AX$53)+('Equipment List &amp; Usage'!$Q57*('Weekly Summary'!AX$52+'Weekly Summary'!AX$53))+('Equipment List &amp; Usage'!$R57*'Weekly Summary'!AX$64)+('Equipment List &amp; Usage'!$S57*'Weekly Summary'!AX$65)+('Equipment List &amp; Usage'!$T57*('Weekly Summary'!AX$64+'Weekly Summary'!AX$65)),
IF(BD$10=0,('Equipment List &amp; Usage'!$O57*'Weekly Summary'!AX$52)+('Equipment List &amp; Usage'!$P57*'Weekly Summary'!AX$53)+('Equipment List &amp; Usage'!$Q57*('Weekly Summary'!AX$52+'Weekly Summary'!AX$53))+('Equipment List &amp; Usage'!$R57*'Weekly Summary'!AX$64)+('Equipment List &amp; Usage'!$S57*'Weekly Summary'!AX$65)+('Equipment List &amp; Usage'!$T57*('Weekly Summary'!AX$64+'Weekly Summary'!AX$65)),
('Equipment List &amp; Usage'!$O57*'Weekly Summary'!AX$52)+('Equipment List &amp; Usage'!$P57*'Weekly Summary'!AX$53)+('Equipment List &amp; Usage'!$Q57*('Weekly Summary'!AX$52+'Weekly Summary'!AX$53))+('Equipment List &amp; Usage'!$R57*'Weekly Summary'!AX$64)+('Equipment List &amp; Usage'!$S57*'Weekly Summary'!AX$65)+('Equipment List &amp; Usage'!$T57*('Weekly Summary'!AX$64+'Weekly Summary'!AX$65))-SUM($I55:BC55))),0)</f>
        <v>0</v>
      </c>
      <c r="BE55" s="1381">
        <f ca="1">MAX(IF($F55="No",('Equipment List &amp; Usage'!$O57*'Weekly Summary'!AY$52)+('Equipment List &amp; Usage'!$P57*'Weekly Summary'!AY$53)+('Equipment List &amp; Usage'!$Q57*('Weekly Summary'!AY$52+'Weekly Summary'!AY$53))+('Equipment List &amp; Usage'!$R57*'Weekly Summary'!AY$64)+('Equipment List &amp; Usage'!$S57*'Weekly Summary'!AY$65)+('Equipment List &amp; Usage'!$T57*('Weekly Summary'!AY$64+'Weekly Summary'!AY$65)),
IF(BE$10=0,('Equipment List &amp; Usage'!$O57*'Weekly Summary'!AY$52)+('Equipment List &amp; Usage'!$P57*'Weekly Summary'!AY$53)+('Equipment List &amp; Usage'!$Q57*('Weekly Summary'!AY$52+'Weekly Summary'!AY$53))+('Equipment List &amp; Usage'!$R57*'Weekly Summary'!AY$64)+('Equipment List &amp; Usage'!$S57*'Weekly Summary'!AY$65)+('Equipment List &amp; Usage'!$T57*('Weekly Summary'!AY$64+'Weekly Summary'!AY$65)),
('Equipment List &amp; Usage'!$O57*'Weekly Summary'!AY$52)+('Equipment List &amp; Usage'!$P57*'Weekly Summary'!AY$53)+('Equipment List &amp; Usage'!$Q57*('Weekly Summary'!AY$52+'Weekly Summary'!AY$53))+('Equipment List &amp; Usage'!$R57*'Weekly Summary'!AY$64)+('Equipment List &amp; Usage'!$S57*'Weekly Summary'!AY$65)+('Equipment List &amp; Usage'!$T57*('Weekly Summary'!AY$64+'Weekly Summary'!AY$65))-SUM($I55:BD55))),0)</f>
        <v>0</v>
      </c>
      <c r="BF55" s="1381">
        <f ca="1">MAX(IF($F55="No",('Equipment List &amp; Usage'!$O57*'Weekly Summary'!AZ$52)+('Equipment List &amp; Usage'!$P57*'Weekly Summary'!AZ$53)+('Equipment List &amp; Usage'!$Q57*('Weekly Summary'!AZ$52+'Weekly Summary'!AZ$53))+('Equipment List &amp; Usage'!$R57*'Weekly Summary'!AZ$64)+('Equipment List &amp; Usage'!$S57*'Weekly Summary'!AZ$65)+('Equipment List &amp; Usage'!$T57*('Weekly Summary'!AZ$64+'Weekly Summary'!AZ$65)),
IF(BF$10=0,('Equipment List &amp; Usage'!$O57*'Weekly Summary'!AZ$52)+('Equipment List &amp; Usage'!$P57*'Weekly Summary'!AZ$53)+('Equipment List &amp; Usage'!$Q57*('Weekly Summary'!AZ$52+'Weekly Summary'!AZ$53))+('Equipment List &amp; Usage'!$R57*'Weekly Summary'!AZ$64)+('Equipment List &amp; Usage'!$S57*'Weekly Summary'!AZ$65)+('Equipment List &amp; Usage'!$T57*('Weekly Summary'!AZ$64+'Weekly Summary'!AZ$65)),
('Equipment List &amp; Usage'!$O57*'Weekly Summary'!AZ$52)+('Equipment List &amp; Usage'!$P57*'Weekly Summary'!AZ$53)+('Equipment List &amp; Usage'!$Q57*('Weekly Summary'!AZ$52+'Weekly Summary'!AZ$53))+('Equipment List &amp; Usage'!$R57*'Weekly Summary'!AZ$64)+('Equipment List &amp; Usage'!$S57*'Weekly Summary'!AZ$65)+('Equipment List &amp; Usage'!$T57*('Weekly Summary'!AZ$64+'Weekly Summary'!AZ$65))-SUM($I55:BE55))),0)</f>
        <v>0</v>
      </c>
      <c r="BG55" s="1381">
        <f ca="1">MAX(IF($F55="No",('Equipment List &amp; Usage'!$O57*'Weekly Summary'!BA$52)+('Equipment List &amp; Usage'!$P57*'Weekly Summary'!BA$53)+('Equipment List &amp; Usage'!$Q57*('Weekly Summary'!BA$52+'Weekly Summary'!BA$53))+('Equipment List &amp; Usage'!$R57*'Weekly Summary'!BA$64)+('Equipment List &amp; Usage'!$S57*'Weekly Summary'!BA$65)+('Equipment List &amp; Usage'!$T57*('Weekly Summary'!BA$64+'Weekly Summary'!BA$65)),
IF(BG$10=0,('Equipment List &amp; Usage'!$O57*'Weekly Summary'!BA$52)+('Equipment List &amp; Usage'!$P57*'Weekly Summary'!BA$53)+('Equipment List &amp; Usage'!$Q57*('Weekly Summary'!BA$52+'Weekly Summary'!BA$53))+('Equipment List &amp; Usage'!$R57*'Weekly Summary'!BA$64)+('Equipment List &amp; Usage'!$S57*'Weekly Summary'!BA$65)+('Equipment List &amp; Usage'!$T57*('Weekly Summary'!BA$64+'Weekly Summary'!BA$65)),
('Equipment List &amp; Usage'!$O57*'Weekly Summary'!BA$52)+('Equipment List &amp; Usage'!$P57*'Weekly Summary'!BA$53)+('Equipment List &amp; Usage'!$Q57*('Weekly Summary'!BA$52+'Weekly Summary'!BA$53))+('Equipment List &amp; Usage'!$R57*'Weekly Summary'!BA$64)+('Equipment List &amp; Usage'!$S57*'Weekly Summary'!BA$65)+('Equipment List &amp; Usage'!$T57*('Weekly Summary'!BA$64+'Weekly Summary'!BA$65))-SUM($I55:BF55))),0)</f>
        <v>0</v>
      </c>
      <c r="BH55" s="1381">
        <f ca="1">MAX(IF($F55="No",('Equipment List &amp; Usage'!$O57*'Weekly Summary'!BB$52)+('Equipment List &amp; Usage'!$P57*'Weekly Summary'!BB$53)+('Equipment List &amp; Usage'!$Q57*('Weekly Summary'!BB$52+'Weekly Summary'!BB$53))+('Equipment List &amp; Usage'!$R57*'Weekly Summary'!BB$64)+('Equipment List &amp; Usage'!$S57*'Weekly Summary'!BB$65)+('Equipment List &amp; Usage'!$T57*('Weekly Summary'!BB$64+'Weekly Summary'!BB$65)),
IF(BH$10=0,('Equipment List &amp; Usage'!$O57*'Weekly Summary'!BB$52)+('Equipment List &amp; Usage'!$P57*'Weekly Summary'!BB$53)+('Equipment List &amp; Usage'!$Q57*('Weekly Summary'!BB$52+'Weekly Summary'!BB$53))+('Equipment List &amp; Usage'!$R57*'Weekly Summary'!BB$64)+('Equipment List &amp; Usage'!$S57*'Weekly Summary'!BB$65)+('Equipment List &amp; Usage'!$T57*('Weekly Summary'!BB$64+'Weekly Summary'!BB$65)),
('Equipment List &amp; Usage'!$O57*'Weekly Summary'!BB$52)+('Equipment List &amp; Usage'!$P57*'Weekly Summary'!BB$53)+('Equipment List &amp; Usage'!$Q57*('Weekly Summary'!BB$52+'Weekly Summary'!BB$53))+('Equipment List &amp; Usage'!$R57*'Weekly Summary'!BB$64)+('Equipment List &amp; Usage'!$S57*'Weekly Summary'!BB$65)+('Equipment List &amp; Usage'!$T57*('Weekly Summary'!BB$64+'Weekly Summary'!BB$65))-SUM($I55:BG55))),0)</f>
        <v>0</v>
      </c>
      <c r="BI55" s="1381">
        <f ca="1">MAX(IF($F55="No",('Equipment List &amp; Usage'!$O57*'Weekly Summary'!BC$52)+('Equipment List &amp; Usage'!$P57*'Weekly Summary'!BC$53)+('Equipment List &amp; Usage'!$Q57*('Weekly Summary'!BC$52+'Weekly Summary'!BC$53))+('Equipment List &amp; Usage'!$R57*'Weekly Summary'!BC$64)+('Equipment List &amp; Usage'!$S57*'Weekly Summary'!BC$65)+('Equipment List &amp; Usage'!$T57*('Weekly Summary'!BC$64+'Weekly Summary'!BC$65)),
IF(BI$10=0,('Equipment List &amp; Usage'!$O57*'Weekly Summary'!BC$52)+('Equipment List &amp; Usage'!$P57*'Weekly Summary'!BC$53)+('Equipment List &amp; Usage'!$Q57*('Weekly Summary'!BC$52+'Weekly Summary'!BC$53))+('Equipment List &amp; Usage'!$R57*'Weekly Summary'!BC$64)+('Equipment List &amp; Usage'!$S57*'Weekly Summary'!BC$65)+('Equipment List &amp; Usage'!$T57*('Weekly Summary'!BC$64+'Weekly Summary'!BC$65)),
('Equipment List &amp; Usage'!$O57*'Weekly Summary'!BC$52)+('Equipment List &amp; Usage'!$P57*'Weekly Summary'!BC$53)+('Equipment List &amp; Usage'!$Q57*('Weekly Summary'!BC$52+'Weekly Summary'!BC$53))+('Equipment List &amp; Usage'!$R57*'Weekly Summary'!BC$64)+('Equipment List &amp; Usage'!$S57*'Weekly Summary'!BC$65)+('Equipment List &amp; Usage'!$T57*('Weekly Summary'!BC$64+'Weekly Summary'!BC$65))-SUM($I55:BH55))),0)</f>
        <v>0</v>
      </c>
      <c r="BJ55" s="1382">
        <f ca="1">MAX(IF($F55="No",('Equipment List &amp; Usage'!$O57*'Weekly Summary'!BD$52)+('Equipment List &amp; Usage'!$P57*'Weekly Summary'!BD$53)+('Equipment List &amp; Usage'!$Q57*('Weekly Summary'!BD$52+'Weekly Summary'!BD$53))+('Equipment List &amp; Usage'!$R57*'Weekly Summary'!BD$64)+('Equipment List &amp; Usage'!$S57*'Weekly Summary'!BD$65)+('Equipment List &amp; Usage'!$T57*('Weekly Summary'!BD$64+'Weekly Summary'!BD$65)),
IF(BJ$10=0,('Equipment List &amp; Usage'!$O57*'Weekly Summary'!BD$52)+('Equipment List &amp; Usage'!$P57*'Weekly Summary'!BD$53)+('Equipment List &amp; Usage'!$Q57*('Weekly Summary'!BD$52+'Weekly Summary'!BD$53))+('Equipment List &amp; Usage'!$R57*'Weekly Summary'!BD$64)+('Equipment List &amp; Usage'!$S57*'Weekly Summary'!BD$65)+('Equipment List &amp; Usage'!$T57*('Weekly Summary'!BD$64+'Weekly Summary'!BD$65)),
('Equipment List &amp; Usage'!$O57*'Weekly Summary'!BD$52)+('Equipment List &amp; Usage'!$P57*'Weekly Summary'!BD$53)+('Equipment List &amp; Usage'!$Q57*('Weekly Summary'!BD$52+'Weekly Summary'!BD$53))+('Equipment List &amp; Usage'!$R57*'Weekly Summary'!BD$64)+('Equipment List &amp; Usage'!$S57*'Weekly Summary'!BD$65)+('Equipment List &amp; Usage'!$T57*('Weekly Summary'!BD$64+'Weekly Summary'!BD$65))-SUM($I55:BI55))),0)</f>
        <v>0</v>
      </c>
    </row>
    <row r="56" spans="2:62" ht="34.4" customHeight="1" x14ac:dyDescent="0.35">
      <c r="B56" s="735" t="str">
        <f>'Equipment List &amp; Usage'!B58</f>
        <v>Case management - biomedical equipment</v>
      </c>
      <c r="C56" s="526" t="str">
        <f>'Equipment List &amp; Usage'!C58</f>
        <v>Airway Management &amp; Intubation</v>
      </c>
      <c r="D56" s="526" t="str">
        <f>'Equipment List &amp; Usage'!D58</f>
        <v>Laryngoscope (direct or video type)</v>
      </c>
      <c r="E56" s="526" t="str">
        <f>'Equipment List &amp; Usage'!E58</f>
        <v>Each</v>
      </c>
      <c r="F56" s="526" t="str">
        <f>'Equipment List &amp; Usage'!F58</f>
        <v>Yes</v>
      </c>
      <c r="G56" s="526" t="str">
        <f>'Equipment List &amp; Usage'!G58</f>
        <v>Blades of different sizes and according to type of laryngoscope (video vs. direct)</v>
      </c>
      <c r="H56" s="1369">
        <f t="shared" ca="1" si="3"/>
        <v>61.430825085677299</v>
      </c>
      <c r="J56" s="1344"/>
      <c r="K56" s="1381">
        <f ca="1">IF('User Dashboard'!$H$13=1,0,MAX(IF($F56="No",('Equipment List &amp; Usage'!$O58*'Weekly Summary'!E$52)+('Equipment List &amp; Usage'!$P58*'Weekly Summary'!E$53)+('Equipment List &amp; Usage'!$Q58*('Weekly Summary'!E$52+'Weekly Summary'!E$53))+('Equipment List &amp; Usage'!$R58*'Weekly Summary'!E$64)+('Equipment List &amp; Usage'!$S58*'Weekly Summary'!E$65)+('Equipment List &amp; Usage'!$T58*('Weekly Summary'!E$64+'Weekly Summary'!E$65)),
IF(K$10=0,('Equipment List &amp; Usage'!$O58*'Weekly Summary'!E$52)+('Equipment List &amp; Usage'!$P58*'Weekly Summary'!E$53)+('Equipment List &amp; Usage'!$Q58*('Weekly Summary'!E$52+'Weekly Summary'!E$53))+('Equipment List &amp; Usage'!$R58*'Weekly Summary'!E$64)+('Equipment List &amp; Usage'!$S58*'Weekly Summary'!E$65)+('Equipment List &amp; Usage'!$T58*('Weekly Summary'!E$64+'Weekly Summary'!E$65)),
('Equipment List &amp; Usage'!$O58*'Weekly Summary'!E$52)+('Equipment List &amp; Usage'!$P58*'Weekly Summary'!E$53)+('Equipment List &amp; Usage'!$Q58*('Weekly Summary'!E$52+'Weekly Summary'!E$53))+('Equipment List &amp; Usage'!$R58*'Weekly Summary'!E$64)+('Equipment List &amp; Usage'!$S58*'Weekly Summary'!E$65)+('Equipment List &amp; Usage'!$T58*('Weekly Summary'!E$64+'Weekly Summary'!E$65))-SUM($I56:I56))),0))</f>
        <v>0.1326795813893617</v>
      </c>
      <c r="L56" s="1381">
        <f ca="1">MAX(IF($F56="No",('Equipment List &amp; Usage'!$O58*'Weekly Summary'!F$52)+('Equipment List &amp; Usage'!$P58*'Weekly Summary'!F$53)+('Equipment List &amp; Usage'!$Q58*('Weekly Summary'!F$52+'Weekly Summary'!F$53))+('Equipment List &amp; Usage'!$R58*'Weekly Summary'!F$64)+('Equipment List &amp; Usage'!$S58*'Weekly Summary'!F$65)+('Equipment List &amp; Usage'!$T58*('Weekly Summary'!F$64+'Weekly Summary'!F$65)),
IF(L$10=0,('Equipment List &amp; Usage'!$O58*'Weekly Summary'!F$52)+('Equipment List &amp; Usage'!$P58*'Weekly Summary'!F$53)+('Equipment List &amp; Usage'!$Q58*('Weekly Summary'!F$52+'Weekly Summary'!F$53))+('Equipment List &amp; Usage'!$R58*'Weekly Summary'!F$64)+('Equipment List &amp; Usage'!$S58*'Weekly Summary'!F$65)+('Equipment List &amp; Usage'!$T58*('Weekly Summary'!F$64+'Weekly Summary'!F$65)),
('Equipment List &amp; Usage'!$O58*'Weekly Summary'!F$52)+('Equipment List &amp; Usage'!$P58*'Weekly Summary'!F$53)+('Equipment List &amp; Usage'!$Q58*('Weekly Summary'!F$52+'Weekly Summary'!F$53))+('Equipment List &amp; Usage'!$R58*'Weekly Summary'!F$64)+('Equipment List &amp; Usage'!$S58*'Weekly Summary'!F$65)+('Equipment List &amp; Usage'!$T58*('Weekly Summary'!F$64+'Weekly Summary'!F$65))-SUM($I56:K56))),0)</f>
        <v>0.30807085565527481</v>
      </c>
      <c r="M56" s="1381">
        <f ca="1">MAX(IF($F56="No",('Equipment List &amp; Usage'!$O58*'Weekly Summary'!G$52)+('Equipment List &amp; Usage'!$P58*'Weekly Summary'!G$53)+('Equipment List &amp; Usage'!$Q58*('Weekly Summary'!G$52+'Weekly Summary'!G$53))+('Equipment List &amp; Usage'!$R58*'Weekly Summary'!G$64)+('Equipment List &amp; Usage'!$S58*'Weekly Summary'!G$65)+('Equipment List &amp; Usage'!$T58*('Weekly Summary'!G$64+'Weekly Summary'!G$65)),
IF(M$10=0,('Equipment List &amp; Usage'!$O58*'Weekly Summary'!G$52)+('Equipment List &amp; Usage'!$P58*'Weekly Summary'!G$53)+('Equipment List &amp; Usage'!$Q58*('Weekly Summary'!G$52+'Weekly Summary'!G$53))+('Equipment List &amp; Usage'!$R58*'Weekly Summary'!G$64)+('Equipment List &amp; Usage'!$S58*'Weekly Summary'!G$65)+('Equipment List &amp; Usage'!$T58*('Weekly Summary'!G$64+'Weekly Summary'!G$65)),
('Equipment List &amp; Usage'!$O58*'Weekly Summary'!G$52)+('Equipment List &amp; Usage'!$P58*'Weekly Summary'!G$53)+('Equipment List &amp; Usage'!$Q58*('Weekly Summary'!G$52+'Weekly Summary'!G$53))+('Equipment List &amp; Usage'!$R58*'Weekly Summary'!G$64)+('Equipment List &amp; Usage'!$S58*'Weekly Summary'!G$65)+('Equipment List &amp; Usage'!$T58*('Weekly Summary'!G$64+'Weekly Summary'!G$65))-SUM($I56:L56))),0)</f>
        <v>1.0738806756054065</v>
      </c>
      <c r="N56" s="1381">
        <f ca="1">MAX(IF($F56="No",('Equipment List &amp; Usage'!$O58*'Weekly Summary'!H$52)+('Equipment List &amp; Usage'!$P58*'Weekly Summary'!H$53)+('Equipment List &amp; Usage'!$Q58*('Weekly Summary'!H$52+'Weekly Summary'!H$53))+('Equipment List &amp; Usage'!$R58*'Weekly Summary'!H$64)+('Equipment List &amp; Usage'!$S58*'Weekly Summary'!H$65)+('Equipment List &amp; Usage'!$T58*('Weekly Summary'!H$64+'Weekly Summary'!H$65)),
IF(N$10=0,('Equipment List &amp; Usage'!$O58*'Weekly Summary'!H$52)+('Equipment List &amp; Usage'!$P58*'Weekly Summary'!H$53)+('Equipment List &amp; Usage'!$Q58*('Weekly Summary'!H$52+'Weekly Summary'!H$53))+('Equipment List &amp; Usage'!$R58*'Weekly Summary'!H$64)+('Equipment List &amp; Usage'!$S58*'Weekly Summary'!H$65)+('Equipment List &amp; Usage'!$T58*('Weekly Summary'!H$64+'Weekly Summary'!H$65)),
('Equipment List &amp; Usage'!$O58*'Weekly Summary'!H$52)+('Equipment List &amp; Usage'!$P58*'Weekly Summary'!H$53)+('Equipment List &amp; Usage'!$Q58*('Weekly Summary'!H$52+'Weekly Summary'!H$53))+('Equipment List &amp; Usage'!$R58*'Weekly Summary'!H$64)+('Equipment List &amp; Usage'!$S58*'Weekly Summary'!H$65)+('Equipment List &amp; Usage'!$T58*('Weekly Summary'!H$64+'Weekly Summary'!H$65))-SUM($I56:M56))),0)</f>
        <v>3.6902266814112066</v>
      </c>
      <c r="O56" s="1381">
        <f ca="1">MAX(IF($F56="No",('Equipment List &amp; Usage'!$O58*'Weekly Summary'!I$52)+('Equipment List &amp; Usage'!$P58*'Weekly Summary'!I$53)+('Equipment List &amp; Usage'!$Q58*('Weekly Summary'!I$52+'Weekly Summary'!I$53))+('Equipment List &amp; Usage'!$R58*'Weekly Summary'!I$64)+('Equipment List &amp; Usage'!$S58*'Weekly Summary'!I$65)+('Equipment List &amp; Usage'!$T58*('Weekly Summary'!I$64+'Weekly Summary'!I$65)),
IF(O$10=0,('Equipment List &amp; Usage'!$O58*'Weekly Summary'!I$52)+('Equipment List &amp; Usage'!$P58*'Weekly Summary'!I$53)+('Equipment List &amp; Usage'!$Q58*('Weekly Summary'!I$52+'Weekly Summary'!I$53))+('Equipment List &amp; Usage'!$R58*'Weekly Summary'!I$64)+('Equipment List &amp; Usage'!$S58*'Weekly Summary'!I$65)+('Equipment List &amp; Usage'!$T58*('Weekly Summary'!I$64+'Weekly Summary'!I$65)),
('Equipment List &amp; Usage'!$O58*'Weekly Summary'!I$52)+('Equipment List &amp; Usage'!$P58*'Weekly Summary'!I$53)+('Equipment List &amp; Usage'!$Q58*('Weekly Summary'!I$52+'Weekly Summary'!I$53))+('Equipment List &amp; Usage'!$R58*'Weekly Summary'!I$64)+('Equipment List &amp; Usage'!$S58*'Weekly Summary'!I$65)+('Equipment List &amp; Usage'!$T58*('Weekly Summary'!I$64+'Weekly Summary'!I$65))-SUM($I56:N56))),0)</f>
        <v>12.679328739570172</v>
      </c>
      <c r="P56" s="1381">
        <f ca="1">MAX(IF($F56="No",('Equipment List &amp; Usage'!$O58*'Weekly Summary'!J$52)+('Equipment List &amp; Usage'!$P58*'Weekly Summary'!J$53)+('Equipment List &amp; Usage'!$Q58*('Weekly Summary'!J$52+'Weekly Summary'!J$53))+('Equipment List &amp; Usage'!$R58*'Weekly Summary'!J$64)+('Equipment List &amp; Usage'!$S58*'Weekly Summary'!J$65)+('Equipment List &amp; Usage'!$T58*('Weekly Summary'!J$64+'Weekly Summary'!J$65)),
IF(P$10=0,('Equipment List &amp; Usage'!$O58*'Weekly Summary'!J$52)+('Equipment List &amp; Usage'!$P58*'Weekly Summary'!J$53)+('Equipment List &amp; Usage'!$Q58*('Weekly Summary'!J$52+'Weekly Summary'!J$53))+('Equipment List &amp; Usage'!$R58*'Weekly Summary'!J$64)+('Equipment List &amp; Usage'!$S58*'Weekly Summary'!J$65)+('Equipment List &amp; Usage'!$T58*('Weekly Summary'!J$64+'Weekly Summary'!J$65)),
('Equipment List &amp; Usage'!$O58*'Weekly Summary'!J$52)+('Equipment List &amp; Usage'!$P58*'Weekly Summary'!J$53)+('Equipment List &amp; Usage'!$Q58*('Weekly Summary'!J$52+'Weekly Summary'!J$53))+('Equipment List &amp; Usage'!$R58*'Weekly Summary'!J$64)+('Equipment List &amp; Usage'!$S58*'Weekly Summary'!J$65)+('Equipment List &amp; Usage'!$T58*('Weekly Summary'!J$64+'Weekly Summary'!J$65))-SUM($I56:O56))),0)</f>
        <v>43.546638552045877</v>
      </c>
      <c r="Q56" s="1381">
        <f ca="1">MAX(IF($F56="No",('Equipment List &amp; Usage'!$O58*'Weekly Summary'!K$52)+('Equipment List &amp; Usage'!$P58*'Weekly Summary'!K$53)+('Equipment List &amp; Usage'!$Q58*('Weekly Summary'!K$52+'Weekly Summary'!K$53))+('Equipment List &amp; Usage'!$R58*'Weekly Summary'!K$64)+('Equipment List &amp; Usage'!$S58*'Weekly Summary'!K$65)+('Equipment List &amp; Usage'!$T58*('Weekly Summary'!K$64+'Weekly Summary'!K$65)),
IF(Q$10=0,('Equipment List &amp; Usage'!$O58*'Weekly Summary'!K$52)+('Equipment List &amp; Usage'!$P58*'Weekly Summary'!K$53)+('Equipment List &amp; Usage'!$Q58*('Weekly Summary'!K$52+'Weekly Summary'!K$53))+('Equipment List &amp; Usage'!$R58*'Weekly Summary'!K$64)+('Equipment List &amp; Usage'!$S58*'Weekly Summary'!K$65)+('Equipment List &amp; Usage'!$T58*('Weekly Summary'!K$64+'Weekly Summary'!K$65)),
('Equipment List &amp; Usage'!$O58*'Weekly Summary'!K$52)+('Equipment List &amp; Usage'!$P58*'Weekly Summary'!K$53)+('Equipment List &amp; Usage'!$Q58*('Weekly Summary'!K$52+'Weekly Summary'!K$53))+('Equipment List &amp; Usage'!$R58*'Weekly Summary'!K$64)+('Equipment List &amp; Usage'!$S58*'Weekly Summary'!K$65)+('Equipment List &amp; Usage'!$T58*('Weekly Summary'!K$64+'Weekly Summary'!K$65))-SUM($I56:P56))),0)</f>
        <v>0</v>
      </c>
      <c r="R56" s="1381">
        <f ca="1">MAX(IF($F56="No",('Equipment List &amp; Usage'!$O58*'Weekly Summary'!L$52)+('Equipment List &amp; Usage'!$P58*'Weekly Summary'!L$53)+('Equipment List &amp; Usage'!$Q58*('Weekly Summary'!L$52+'Weekly Summary'!L$53))+('Equipment List &amp; Usage'!$R58*'Weekly Summary'!L$64)+('Equipment List &amp; Usage'!$S58*'Weekly Summary'!L$65)+('Equipment List &amp; Usage'!$T58*('Weekly Summary'!L$64+'Weekly Summary'!L$65)),
IF(R$10=0,('Equipment List &amp; Usage'!$O58*'Weekly Summary'!L$52)+('Equipment List &amp; Usage'!$P58*'Weekly Summary'!L$53)+('Equipment List &amp; Usage'!$Q58*('Weekly Summary'!L$52+'Weekly Summary'!L$53))+('Equipment List &amp; Usage'!$R58*'Weekly Summary'!L$64)+('Equipment List &amp; Usage'!$S58*'Weekly Summary'!L$65)+('Equipment List &amp; Usage'!$T58*('Weekly Summary'!L$64+'Weekly Summary'!L$65)),
('Equipment List &amp; Usage'!$O58*'Weekly Summary'!L$52)+('Equipment List &amp; Usage'!$P58*'Weekly Summary'!L$53)+('Equipment List &amp; Usage'!$Q58*('Weekly Summary'!L$52+'Weekly Summary'!L$53))+('Equipment List &amp; Usage'!$R58*'Weekly Summary'!L$64)+('Equipment List &amp; Usage'!$S58*'Weekly Summary'!L$65)+('Equipment List &amp; Usage'!$T58*('Weekly Summary'!L$64+'Weekly Summary'!L$65))-SUM($I56:Q56))),0)</f>
        <v>0</v>
      </c>
      <c r="S56" s="1381">
        <f ca="1">MAX(IF($F56="No",('Equipment List &amp; Usage'!$O58*'Weekly Summary'!M$52)+('Equipment List &amp; Usage'!$P58*'Weekly Summary'!M$53)+('Equipment List &amp; Usage'!$Q58*('Weekly Summary'!M$52+'Weekly Summary'!M$53))+('Equipment List &amp; Usage'!$R58*'Weekly Summary'!M$64)+('Equipment List &amp; Usage'!$S58*'Weekly Summary'!M$65)+('Equipment List &amp; Usage'!$T58*('Weekly Summary'!M$64+'Weekly Summary'!M$65)),
IF(S$10=0,('Equipment List &amp; Usage'!$O58*'Weekly Summary'!M$52)+('Equipment List &amp; Usage'!$P58*'Weekly Summary'!M$53)+('Equipment List &amp; Usage'!$Q58*('Weekly Summary'!M$52+'Weekly Summary'!M$53))+('Equipment List &amp; Usage'!$R58*'Weekly Summary'!M$64)+('Equipment List &amp; Usage'!$S58*'Weekly Summary'!M$65)+('Equipment List &amp; Usage'!$T58*('Weekly Summary'!M$64+'Weekly Summary'!M$65)),
('Equipment List &amp; Usage'!$O58*'Weekly Summary'!M$52)+('Equipment List &amp; Usage'!$P58*'Weekly Summary'!M$53)+('Equipment List &amp; Usage'!$Q58*('Weekly Summary'!M$52+'Weekly Summary'!M$53))+('Equipment List &amp; Usage'!$R58*'Weekly Summary'!M$64)+('Equipment List &amp; Usage'!$S58*'Weekly Summary'!M$65)+('Equipment List &amp; Usage'!$T58*('Weekly Summary'!M$64+'Weekly Summary'!M$65))-SUM($I56:R56))),0)</f>
        <v>0</v>
      </c>
      <c r="T56" s="1381">
        <f ca="1">MAX(IF($F56="No",('Equipment List &amp; Usage'!$O58*'Weekly Summary'!N$52)+('Equipment List &amp; Usage'!$P58*'Weekly Summary'!N$53)+('Equipment List &amp; Usage'!$Q58*('Weekly Summary'!N$52+'Weekly Summary'!N$53))+('Equipment List &amp; Usage'!$R58*'Weekly Summary'!N$64)+('Equipment List &amp; Usage'!$S58*'Weekly Summary'!N$65)+('Equipment List &amp; Usage'!$T58*('Weekly Summary'!N$64+'Weekly Summary'!N$65)),
IF(T$10=0,('Equipment List &amp; Usage'!$O58*'Weekly Summary'!N$52)+('Equipment List &amp; Usage'!$P58*'Weekly Summary'!N$53)+('Equipment List &amp; Usage'!$Q58*('Weekly Summary'!N$52+'Weekly Summary'!N$53))+('Equipment List &amp; Usage'!$R58*'Weekly Summary'!N$64)+('Equipment List &amp; Usage'!$S58*'Weekly Summary'!N$65)+('Equipment List &amp; Usage'!$T58*('Weekly Summary'!N$64+'Weekly Summary'!N$65)),
('Equipment List &amp; Usage'!$O58*'Weekly Summary'!N$52)+('Equipment List &amp; Usage'!$P58*'Weekly Summary'!N$53)+('Equipment List &amp; Usage'!$Q58*('Weekly Summary'!N$52+'Weekly Summary'!N$53))+('Equipment List &amp; Usage'!$R58*'Weekly Summary'!N$64)+('Equipment List &amp; Usage'!$S58*'Weekly Summary'!N$65)+('Equipment List &amp; Usage'!$T58*('Weekly Summary'!N$64+'Weekly Summary'!N$65))-SUM($I56:S56))),0)</f>
        <v>0</v>
      </c>
      <c r="U56" s="1381">
        <f ca="1">MAX(IF($F56="No",('Equipment List &amp; Usage'!$O58*'Weekly Summary'!O$52)+('Equipment List &amp; Usage'!$P58*'Weekly Summary'!O$53)+('Equipment List &amp; Usage'!$Q58*('Weekly Summary'!O$52+'Weekly Summary'!O$53))+('Equipment List &amp; Usage'!$R58*'Weekly Summary'!O$64)+('Equipment List &amp; Usage'!$S58*'Weekly Summary'!O$65)+('Equipment List &amp; Usage'!$T58*('Weekly Summary'!O$64+'Weekly Summary'!O$65)),
IF(U$10=0,('Equipment List &amp; Usage'!$O58*'Weekly Summary'!O$52)+('Equipment List &amp; Usage'!$P58*'Weekly Summary'!O$53)+('Equipment List &amp; Usage'!$Q58*('Weekly Summary'!O$52+'Weekly Summary'!O$53))+('Equipment List &amp; Usage'!$R58*'Weekly Summary'!O$64)+('Equipment List &amp; Usage'!$S58*'Weekly Summary'!O$65)+('Equipment List &amp; Usage'!$T58*('Weekly Summary'!O$64+'Weekly Summary'!O$65)),
('Equipment List &amp; Usage'!$O58*'Weekly Summary'!O$52)+('Equipment List &amp; Usage'!$P58*'Weekly Summary'!O$53)+('Equipment List &amp; Usage'!$Q58*('Weekly Summary'!O$52+'Weekly Summary'!O$53))+('Equipment List &amp; Usage'!$R58*'Weekly Summary'!O$64)+('Equipment List &amp; Usage'!$S58*'Weekly Summary'!O$65)+('Equipment List &amp; Usage'!$T58*('Weekly Summary'!O$64+'Weekly Summary'!O$65))-SUM($I56:T56))),0)</f>
        <v>0</v>
      </c>
      <c r="V56" s="1381">
        <f ca="1">MAX(IF($F56="No",('Equipment List &amp; Usage'!$O58*'Weekly Summary'!P$52)+('Equipment List &amp; Usage'!$P58*'Weekly Summary'!P$53)+('Equipment List &amp; Usage'!$Q58*('Weekly Summary'!P$52+'Weekly Summary'!P$53))+('Equipment List &amp; Usage'!$R58*'Weekly Summary'!P$64)+('Equipment List &amp; Usage'!$S58*'Weekly Summary'!P$65)+('Equipment List &amp; Usage'!$T58*('Weekly Summary'!P$64+'Weekly Summary'!P$65)),
IF(V$10=0,('Equipment List &amp; Usage'!$O58*'Weekly Summary'!P$52)+('Equipment List &amp; Usage'!$P58*'Weekly Summary'!P$53)+('Equipment List &amp; Usage'!$Q58*('Weekly Summary'!P$52+'Weekly Summary'!P$53))+('Equipment List &amp; Usage'!$R58*'Weekly Summary'!P$64)+('Equipment List &amp; Usage'!$S58*'Weekly Summary'!P$65)+('Equipment List &amp; Usage'!$T58*('Weekly Summary'!P$64+'Weekly Summary'!P$65)),
('Equipment List &amp; Usage'!$O58*'Weekly Summary'!P$52)+('Equipment List &amp; Usage'!$P58*'Weekly Summary'!P$53)+('Equipment List &amp; Usage'!$Q58*('Weekly Summary'!P$52+'Weekly Summary'!P$53))+('Equipment List &amp; Usage'!$R58*'Weekly Summary'!P$64)+('Equipment List &amp; Usage'!$S58*'Weekly Summary'!P$65)+('Equipment List &amp; Usage'!$T58*('Weekly Summary'!P$64+'Weekly Summary'!P$65))-SUM($I56:U56))),0)</f>
        <v>0</v>
      </c>
      <c r="W56" s="1381">
        <f ca="1">MAX(IF($F56="No",('Equipment List &amp; Usage'!$O58*'Weekly Summary'!Q$52)+('Equipment List &amp; Usage'!$P58*'Weekly Summary'!Q$53)+('Equipment List &amp; Usage'!$Q58*('Weekly Summary'!Q$52+'Weekly Summary'!Q$53))+('Equipment List &amp; Usage'!$R58*'Weekly Summary'!Q$64)+('Equipment List &amp; Usage'!$S58*'Weekly Summary'!Q$65)+('Equipment List &amp; Usage'!$T58*('Weekly Summary'!Q$64+'Weekly Summary'!Q$65)),
IF(W$10=0,('Equipment List &amp; Usage'!$O58*'Weekly Summary'!Q$52)+('Equipment List &amp; Usage'!$P58*'Weekly Summary'!Q$53)+('Equipment List &amp; Usage'!$Q58*('Weekly Summary'!Q$52+'Weekly Summary'!Q$53))+('Equipment List &amp; Usage'!$R58*'Weekly Summary'!Q$64)+('Equipment List &amp; Usage'!$S58*'Weekly Summary'!Q$65)+('Equipment List &amp; Usage'!$T58*('Weekly Summary'!Q$64+'Weekly Summary'!Q$65)),
('Equipment List &amp; Usage'!$O58*'Weekly Summary'!Q$52)+('Equipment List &amp; Usage'!$P58*'Weekly Summary'!Q$53)+('Equipment List &amp; Usage'!$Q58*('Weekly Summary'!Q$52+'Weekly Summary'!Q$53))+('Equipment List &amp; Usage'!$R58*'Weekly Summary'!Q$64)+('Equipment List &amp; Usage'!$S58*'Weekly Summary'!Q$65)+('Equipment List &amp; Usage'!$T58*('Weekly Summary'!Q$64+'Weekly Summary'!Q$65))-SUM($I56:V56))),0)</f>
        <v>0</v>
      </c>
      <c r="X56" s="1381">
        <f ca="1">MAX(IF($F56="No",('Equipment List &amp; Usage'!$O58*'Weekly Summary'!R$52)+('Equipment List &amp; Usage'!$P58*'Weekly Summary'!R$53)+('Equipment List &amp; Usage'!$Q58*('Weekly Summary'!R$52+'Weekly Summary'!R$53))+('Equipment List &amp; Usage'!$R58*'Weekly Summary'!R$64)+('Equipment List &amp; Usage'!$S58*'Weekly Summary'!R$65)+('Equipment List &amp; Usage'!$T58*('Weekly Summary'!R$64+'Weekly Summary'!R$65)),
IF(X$10=0,('Equipment List &amp; Usage'!$O58*'Weekly Summary'!R$52)+('Equipment List &amp; Usage'!$P58*'Weekly Summary'!R$53)+('Equipment List &amp; Usage'!$Q58*('Weekly Summary'!R$52+'Weekly Summary'!R$53))+('Equipment List &amp; Usage'!$R58*'Weekly Summary'!R$64)+('Equipment List &amp; Usage'!$S58*'Weekly Summary'!R$65)+('Equipment List &amp; Usage'!$T58*('Weekly Summary'!R$64+'Weekly Summary'!R$65)),
('Equipment List &amp; Usage'!$O58*'Weekly Summary'!R$52)+('Equipment List &amp; Usage'!$P58*'Weekly Summary'!R$53)+('Equipment List &amp; Usage'!$Q58*('Weekly Summary'!R$52+'Weekly Summary'!R$53))+('Equipment List &amp; Usage'!$R58*'Weekly Summary'!R$64)+('Equipment List &amp; Usage'!$S58*'Weekly Summary'!R$65)+('Equipment List &amp; Usage'!$T58*('Weekly Summary'!R$64+'Weekly Summary'!R$65))-SUM($I56:W56))),0)</f>
        <v>0</v>
      </c>
      <c r="Y56" s="1381">
        <f ca="1">MAX(IF($F56="No",('Equipment List &amp; Usage'!$O58*'Weekly Summary'!S$52)+('Equipment List &amp; Usage'!$P58*'Weekly Summary'!S$53)+('Equipment List &amp; Usage'!$Q58*('Weekly Summary'!S$52+'Weekly Summary'!S$53))+('Equipment List &amp; Usage'!$R58*'Weekly Summary'!S$64)+('Equipment List &amp; Usage'!$S58*'Weekly Summary'!S$65)+('Equipment List &amp; Usage'!$T58*('Weekly Summary'!S$64+'Weekly Summary'!S$65)),
IF(Y$10=0,('Equipment List &amp; Usage'!$O58*'Weekly Summary'!S$52)+('Equipment List &amp; Usage'!$P58*'Weekly Summary'!S$53)+('Equipment List &amp; Usage'!$Q58*('Weekly Summary'!S$52+'Weekly Summary'!S$53))+('Equipment List &amp; Usage'!$R58*'Weekly Summary'!S$64)+('Equipment List &amp; Usage'!$S58*'Weekly Summary'!S$65)+('Equipment List &amp; Usage'!$T58*('Weekly Summary'!S$64+'Weekly Summary'!S$65)),
('Equipment List &amp; Usage'!$O58*'Weekly Summary'!S$52)+('Equipment List &amp; Usage'!$P58*'Weekly Summary'!S$53)+('Equipment List &amp; Usage'!$Q58*('Weekly Summary'!S$52+'Weekly Summary'!S$53))+('Equipment List &amp; Usage'!$R58*'Weekly Summary'!S$64)+('Equipment List &amp; Usage'!$S58*'Weekly Summary'!S$65)+('Equipment List &amp; Usage'!$T58*('Weekly Summary'!S$64+'Weekly Summary'!S$65))-SUM($I56:X56))),0)</f>
        <v>0</v>
      </c>
      <c r="Z56" s="1381">
        <f ca="1">MAX(IF($F56="No",('Equipment List &amp; Usage'!$O58*'Weekly Summary'!T$52)+('Equipment List &amp; Usage'!$P58*'Weekly Summary'!T$53)+('Equipment List &amp; Usage'!$Q58*('Weekly Summary'!T$52+'Weekly Summary'!T$53))+('Equipment List &amp; Usage'!$R58*'Weekly Summary'!T$64)+('Equipment List &amp; Usage'!$S58*'Weekly Summary'!T$65)+('Equipment List &amp; Usage'!$T58*('Weekly Summary'!T$64+'Weekly Summary'!T$65)),
IF(Z$10=0,('Equipment List &amp; Usage'!$O58*'Weekly Summary'!T$52)+('Equipment List &amp; Usage'!$P58*'Weekly Summary'!T$53)+('Equipment List &amp; Usage'!$Q58*('Weekly Summary'!T$52+'Weekly Summary'!T$53))+('Equipment List &amp; Usage'!$R58*'Weekly Summary'!T$64)+('Equipment List &amp; Usage'!$S58*'Weekly Summary'!T$65)+('Equipment List &amp; Usage'!$T58*('Weekly Summary'!T$64+'Weekly Summary'!T$65)),
('Equipment List &amp; Usage'!$O58*'Weekly Summary'!T$52)+('Equipment List &amp; Usage'!$P58*'Weekly Summary'!T$53)+('Equipment List &amp; Usage'!$Q58*('Weekly Summary'!T$52+'Weekly Summary'!T$53))+('Equipment List &amp; Usage'!$R58*'Weekly Summary'!T$64)+('Equipment List &amp; Usage'!$S58*'Weekly Summary'!T$65)+('Equipment List &amp; Usage'!$T58*('Weekly Summary'!T$64+'Weekly Summary'!T$65))-SUM($I56:Y56))),0)</f>
        <v>0</v>
      </c>
      <c r="AA56" s="1381">
        <f ca="1">MAX(IF($F56="No",('Equipment List &amp; Usage'!$O58*'Weekly Summary'!U$52)+('Equipment List &amp; Usage'!$P58*'Weekly Summary'!U$53)+('Equipment List &amp; Usage'!$Q58*('Weekly Summary'!U$52+'Weekly Summary'!U$53))+('Equipment List &amp; Usage'!$R58*'Weekly Summary'!U$64)+('Equipment List &amp; Usage'!$S58*'Weekly Summary'!U$65)+('Equipment List &amp; Usage'!$T58*('Weekly Summary'!U$64+'Weekly Summary'!U$65)),
IF(AA$10=0,('Equipment List &amp; Usage'!$O58*'Weekly Summary'!U$52)+('Equipment List &amp; Usage'!$P58*'Weekly Summary'!U$53)+('Equipment List &amp; Usage'!$Q58*('Weekly Summary'!U$52+'Weekly Summary'!U$53))+('Equipment List &amp; Usage'!$R58*'Weekly Summary'!U$64)+('Equipment List &amp; Usage'!$S58*'Weekly Summary'!U$65)+('Equipment List &amp; Usage'!$T58*('Weekly Summary'!U$64+'Weekly Summary'!U$65)),
('Equipment List &amp; Usage'!$O58*'Weekly Summary'!U$52)+('Equipment List &amp; Usage'!$P58*'Weekly Summary'!U$53)+('Equipment List &amp; Usage'!$Q58*('Weekly Summary'!U$52+'Weekly Summary'!U$53))+('Equipment List &amp; Usage'!$R58*'Weekly Summary'!U$64)+('Equipment List &amp; Usage'!$S58*'Weekly Summary'!U$65)+('Equipment List &amp; Usage'!$T58*('Weekly Summary'!U$64+'Weekly Summary'!U$65))-SUM($I56:Z56))),0)</f>
        <v>0</v>
      </c>
      <c r="AB56" s="1381">
        <f ca="1">MAX(IF($F56="No",('Equipment List &amp; Usage'!$O58*'Weekly Summary'!V$52)+('Equipment List &amp; Usage'!$P58*'Weekly Summary'!V$53)+('Equipment List &amp; Usage'!$Q58*('Weekly Summary'!V$52+'Weekly Summary'!V$53))+('Equipment List &amp; Usage'!$R58*'Weekly Summary'!V$64)+('Equipment List &amp; Usage'!$S58*'Weekly Summary'!V$65)+('Equipment List &amp; Usage'!$T58*('Weekly Summary'!V$64+'Weekly Summary'!V$65)),
IF(AB$10=0,('Equipment List &amp; Usage'!$O58*'Weekly Summary'!V$52)+('Equipment List &amp; Usage'!$P58*'Weekly Summary'!V$53)+('Equipment List &amp; Usage'!$Q58*('Weekly Summary'!V$52+'Weekly Summary'!V$53))+('Equipment List &amp; Usage'!$R58*'Weekly Summary'!V$64)+('Equipment List &amp; Usage'!$S58*'Weekly Summary'!V$65)+('Equipment List &amp; Usage'!$T58*('Weekly Summary'!V$64+'Weekly Summary'!V$65)),
('Equipment List &amp; Usage'!$O58*'Weekly Summary'!V$52)+('Equipment List &amp; Usage'!$P58*'Weekly Summary'!V$53)+('Equipment List &amp; Usage'!$Q58*('Weekly Summary'!V$52+'Weekly Summary'!V$53))+('Equipment List &amp; Usage'!$R58*'Weekly Summary'!V$64)+('Equipment List &amp; Usage'!$S58*'Weekly Summary'!V$65)+('Equipment List &amp; Usage'!$T58*('Weekly Summary'!V$64+'Weekly Summary'!V$65))-SUM($I56:AA56))),0)</f>
        <v>0</v>
      </c>
      <c r="AC56" s="1381">
        <f ca="1">MAX(IF($F56="No",('Equipment List &amp; Usage'!$O58*'Weekly Summary'!W$52)+('Equipment List &amp; Usage'!$P58*'Weekly Summary'!W$53)+('Equipment List &amp; Usage'!$Q58*('Weekly Summary'!W$52+'Weekly Summary'!W$53))+('Equipment List &amp; Usage'!$R58*'Weekly Summary'!W$64)+('Equipment List &amp; Usage'!$S58*'Weekly Summary'!W$65)+('Equipment List &amp; Usage'!$T58*('Weekly Summary'!W$64+'Weekly Summary'!W$65)),
IF(AC$10=0,('Equipment List &amp; Usage'!$O58*'Weekly Summary'!W$52)+('Equipment List &amp; Usage'!$P58*'Weekly Summary'!W$53)+('Equipment List &amp; Usage'!$Q58*('Weekly Summary'!W$52+'Weekly Summary'!W$53))+('Equipment List &amp; Usage'!$R58*'Weekly Summary'!W$64)+('Equipment List &amp; Usage'!$S58*'Weekly Summary'!W$65)+('Equipment List &amp; Usage'!$T58*('Weekly Summary'!W$64+'Weekly Summary'!W$65)),
('Equipment List &amp; Usage'!$O58*'Weekly Summary'!W$52)+('Equipment List &amp; Usage'!$P58*'Weekly Summary'!W$53)+('Equipment List &amp; Usage'!$Q58*('Weekly Summary'!W$52+'Weekly Summary'!W$53))+('Equipment List &amp; Usage'!$R58*'Weekly Summary'!W$64)+('Equipment List &amp; Usage'!$S58*'Weekly Summary'!W$65)+('Equipment List &amp; Usage'!$T58*('Weekly Summary'!W$64+'Weekly Summary'!W$65))-SUM($I56:AB56))),0)</f>
        <v>0</v>
      </c>
      <c r="AD56" s="1381">
        <f ca="1">MAX(IF($F56="No",('Equipment List &amp; Usage'!$O58*'Weekly Summary'!X$52)+('Equipment List &amp; Usage'!$P58*'Weekly Summary'!X$53)+('Equipment List &amp; Usage'!$Q58*('Weekly Summary'!X$52+'Weekly Summary'!X$53))+('Equipment List &amp; Usage'!$R58*'Weekly Summary'!X$64)+('Equipment List &amp; Usage'!$S58*'Weekly Summary'!X$65)+('Equipment List &amp; Usage'!$T58*('Weekly Summary'!X$64+'Weekly Summary'!X$65)),
IF(AD$10=0,('Equipment List &amp; Usage'!$O58*'Weekly Summary'!X$52)+('Equipment List &amp; Usage'!$P58*'Weekly Summary'!X$53)+('Equipment List &amp; Usage'!$Q58*('Weekly Summary'!X$52+'Weekly Summary'!X$53))+('Equipment List &amp; Usage'!$R58*'Weekly Summary'!X$64)+('Equipment List &amp; Usage'!$S58*'Weekly Summary'!X$65)+('Equipment List &amp; Usage'!$T58*('Weekly Summary'!X$64+'Weekly Summary'!X$65)),
('Equipment List &amp; Usage'!$O58*'Weekly Summary'!X$52)+('Equipment List &amp; Usage'!$P58*'Weekly Summary'!X$53)+('Equipment List &amp; Usage'!$Q58*('Weekly Summary'!X$52+'Weekly Summary'!X$53))+('Equipment List &amp; Usage'!$R58*'Weekly Summary'!X$64)+('Equipment List &amp; Usage'!$S58*'Weekly Summary'!X$65)+('Equipment List &amp; Usage'!$T58*('Weekly Summary'!X$64+'Weekly Summary'!X$65))-SUM($I56:AC56))),0)</f>
        <v>0</v>
      </c>
      <c r="AE56" s="1381">
        <f ca="1">MAX(IF($F56="No",('Equipment List &amp; Usage'!$O58*'Weekly Summary'!Y$52)+('Equipment List &amp; Usage'!$P58*'Weekly Summary'!Y$53)+('Equipment List &amp; Usage'!$Q58*('Weekly Summary'!Y$52+'Weekly Summary'!Y$53))+('Equipment List &amp; Usage'!$R58*'Weekly Summary'!Y$64)+('Equipment List &amp; Usage'!$S58*'Weekly Summary'!Y$65)+('Equipment List &amp; Usage'!$T58*('Weekly Summary'!Y$64+'Weekly Summary'!Y$65)),
IF(AE$10=0,('Equipment List &amp; Usage'!$O58*'Weekly Summary'!Y$52)+('Equipment List &amp; Usage'!$P58*'Weekly Summary'!Y$53)+('Equipment List &amp; Usage'!$Q58*('Weekly Summary'!Y$52+'Weekly Summary'!Y$53))+('Equipment List &amp; Usage'!$R58*'Weekly Summary'!Y$64)+('Equipment List &amp; Usage'!$S58*'Weekly Summary'!Y$65)+('Equipment List &amp; Usage'!$T58*('Weekly Summary'!Y$64+'Weekly Summary'!Y$65)),
('Equipment List &amp; Usage'!$O58*'Weekly Summary'!Y$52)+('Equipment List &amp; Usage'!$P58*'Weekly Summary'!Y$53)+('Equipment List &amp; Usage'!$Q58*('Weekly Summary'!Y$52+'Weekly Summary'!Y$53))+('Equipment List &amp; Usage'!$R58*'Weekly Summary'!Y$64)+('Equipment List &amp; Usage'!$S58*'Weekly Summary'!Y$65)+('Equipment List &amp; Usage'!$T58*('Weekly Summary'!Y$64+'Weekly Summary'!Y$65))-SUM($I56:AD56))),0)</f>
        <v>0</v>
      </c>
      <c r="AF56" s="1381">
        <f ca="1">MAX(IF($F56="No",('Equipment List &amp; Usage'!$O58*'Weekly Summary'!Z$52)+('Equipment List &amp; Usage'!$P58*'Weekly Summary'!Z$53)+('Equipment List &amp; Usage'!$Q58*('Weekly Summary'!Z$52+'Weekly Summary'!Z$53))+('Equipment List &amp; Usage'!$R58*'Weekly Summary'!Z$64)+('Equipment List &amp; Usage'!$S58*'Weekly Summary'!Z$65)+('Equipment List &amp; Usage'!$T58*('Weekly Summary'!Z$64+'Weekly Summary'!Z$65)),
IF(AF$10=0,('Equipment List &amp; Usage'!$O58*'Weekly Summary'!Z$52)+('Equipment List &amp; Usage'!$P58*'Weekly Summary'!Z$53)+('Equipment List &amp; Usage'!$Q58*('Weekly Summary'!Z$52+'Weekly Summary'!Z$53))+('Equipment List &amp; Usage'!$R58*'Weekly Summary'!Z$64)+('Equipment List &amp; Usage'!$S58*'Weekly Summary'!Z$65)+('Equipment List &amp; Usage'!$T58*('Weekly Summary'!Z$64+'Weekly Summary'!Z$65)),
('Equipment List &amp; Usage'!$O58*'Weekly Summary'!Z$52)+('Equipment List &amp; Usage'!$P58*'Weekly Summary'!Z$53)+('Equipment List &amp; Usage'!$Q58*('Weekly Summary'!Z$52+'Weekly Summary'!Z$53))+('Equipment List &amp; Usage'!$R58*'Weekly Summary'!Z$64)+('Equipment List &amp; Usage'!$S58*'Weekly Summary'!Z$65)+('Equipment List &amp; Usage'!$T58*('Weekly Summary'!Z$64+'Weekly Summary'!Z$65))-SUM($I56:AE56))),0)</f>
        <v>0</v>
      </c>
      <c r="AG56" s="1381">
        <f ca="1">MAX(IF($F56="No",('Equipment List &amp; Usage'!$O58*'Weekly Summary'!AA$52)+('Equipment List &amp; Usage'!$P58*'Weekly Summary'!AA$53)+('Equipment List &amp; Usage'!$Q58*('Weekly Summary'!AA$52+'Weekly Summary'!AA$53))+('Equipment List &amp; Usage'!$R58*'Weekly Summary'!AA$64)+('Equipment List &amp; Usage'!$S58*'Weekly Summary'!AA$65)+('Equipment List &amp; Usage'!$T58*('Weekly Summary'!AA$64+'Weekly Summary'!AA$65)),
IF(AG$10=0,('Equipment List &amp; Usage'!$O58*'Weekly Summary'!AA$52)+('Equipment List &amp; Usage'!$P58*'Weekly Summary'!AA$53)+('Equipment List &amp; Usage'!$Q58*('Weekly Summary'!AA$52+'Weekly Summary'!AA$53))+('Equipment List &amp; Usage'!$R58*'Weekly Summary'!AA$64)+('Equipment List &amp; Usage'!$S58*'Weekly Summary'!AA$65)+('Equipment List &amp; Usage'!$T58*('Weekly Summary'!AA$64+'Weekly Summary'!AA$65)),
('Equipment List &amp; Usage'!$O58*'Weekly Summary'!AA$52)+('Equipment List &amp; Usage'!$P58*'Weekly Summary'!AA$53)+('Equipment List &amp; Usage'!$Q58*('Weekly Summary'!AA$52+'Weekly Summary'!AA$53))+('Equipment List &amp; Usage'!$R58*'Weekly Summary'!AA$64)+('Equipment List &amp; Usage'!$S58*'Weekly Summary'!AA$65)+('Equipment List &amp; Usage'!$T58*('Weekly Summary'!AA$64+'Weekly Summary'!AA$65))-SUM($I56:AF56))),0)</f>
        <v>0</v>
      </c>
      <c r="AH56" s="1381">
        <f ca="1">MAX(IF($F56="No",('Equipment List &amp; Usage'!$O58*'Weekly Summary'!AB$52)+('Equipment List &amp; Usage'!$P58*'Weekly Summary'!AB$53)+('Equipment List &amp; Usage'!$Q58*('Weekly Summary'!AB$52+'Weekly Summary'!AB$53))+('Equipment List &amp; Usage'!$R58*'Weekly Summary'!AB$64)+('Equipment List &amp; Usage'!$S58*'Weekly Summary'!AB$65)+('Equipment List &amp; Usage'!$T58*('Weekly Summary'!AB$64+'Weekly Summary'!AB$65)),
IF(AH$10=0,('Equipment List &amp; Usage'!$O58*'Weekly Summary'!AB$52)+('Equipment List &amp; Usage'!$P58*'Weekly Summary'!AB$53)+('Equipment List &amp; Usage'!$Q58*('Weekly Summary'!AB$52+'Weekly Summary'!AB$53))+('Equipment List &amp; Usage'!$R58*'Weekly Summary'!AB$64)+('Equipment List &amp; Usage'!$S58*'Weekly Summary'!AB$65)+('Equipment List &amp; Usage'!$T58*('Weekly Summary'!AB$64+'Weekly Summary'!AB$65)),
('Equipment List &amp; Usage'!$O58*'Weekly Summary'!AB$52)+('Equipment List &amp; Usage'!$P58*'Weekly Summary'!AB$53)+('Equipment List &amp; Usage'!$Q58*('Weekly Summary'!AB$52+'Weekly Summary'!AB$53))+('Equipment List &amp; Usage'!$R58*'Weekly Summary'!AB$64)+('Equipment List &amp; Usage'!$S58*'Weekly Summary'!AB$65)+('Equipment List &amp; Usage'!$T58*('Weekly Summary'!AB$64+'Weekly Summary'!AB$65))-SUM($I56:AG56))),0)</f>
        <v>0</v>
      </c>
      <c r="AI56" s="1381">
        <f ca="1">MAX(IF($F56="No",('Equipment List &amp; Usage'!$O58*'Weekly Summary'!AC$52)+('Equipment List &amp; Usage'!$P58*'Weekly Summary'!AC$53)+('Equipment List &amp; Usage'!$Q58*('Weekly Summary'!AC$52+'Weekly Summary'!AC$53))+('Equipment List &amp; Usage'!$R58*'Weekly Summary'!AC$64)+('Equipment List &amp; Usage'!$S58*'Weekly Summary'!AC$65)+('Equipment List &amp; Usage'!$T58*('Weekly Summary'!AC$64+'Weekly Summary'!AC$65)),
IF(AI$10=0,('Equipment List &amp; Usage'!$O58*'Weekly Summary'!AC$52)+('Equipment List &amp; Usage'!$P58*'Weekly Summary'!AC$53)+('Equipment List &amp; Usage'!$Q58*('Weekly Summary'!AC$52+'Weekly Summary'!AC$53))+('Equipment List &amp; Usage'!$R58*'Weekly Summary'!AC$64)+('Equipment List &amp; Usage'!$S58*'Weekly Summary'!AC$65)+('Equipment List &amp; Usage'!$T58*('Weekly Summary'!AC$64+'Weekly Summary'!AC$65)),
('Equipment List &amp; Usage'!$O58*'Weekly Summary'!AC$52)+('Equipment List &amp; Usage'!$P58*'Weekly Summary'!AC$53)+('Equipment List &amp; Usage'!$Q58*('Weekly Summary'!AC$52+'Weekly Summary'!AC$53))+('Equipment List &amp; Usage'!$R58*'Weekly Summary'!AC$64)+('Equipment List &amp; Usage'!$S58*'Weekly Summary'!AC$65)+('Equipment List &amp; Usage'!$T58*('Weekly Summary'!AC$64+'Weekly Summary'!AC$65))-SUM($I56:AH56))),0)</f>
        <v>0</v>
      </c>
      <c r="AJ56" s="1381">
        <f ca="1">MAX(IF($F56="No",('Equipment List &amp; Usage'!$O58*'Weekly Summary'!AD$52)+('Equipment List &amp; Usage'!$P58*'Weekly Summary'!AD$53)+('Equipment List &amp; Usage'!$Q58*('Weekly Summary'!AD$52+'Weekly Summary'!AD$53))+('Equipment List &amp; Usage'!$R58*'Weekly Summary'!AD$64)+('Equipment List &amp; Usage'!$S58*'Weekly Summary'!AD$65)+('Equipment List &amp; Usage'!$T58*('Weekly Summary'!AD$64+'Weekly Summary'!AD$65)),
IF(AJ$10=0,('Equipment List &amp; Usage'!$O58*'Weekly Summary'!AD$52)+('Equipment List &amp; Usage'!$P58*'Weekly Summary'!AD$53)+('Equipment List &amp; Usage'!$Q58*('Weekly Summary'!AD$52+'Weekly Summary'!AD$53))+('Equipment List &amp; Usage'!$R58*'Weekly Summary'!AD$64)+('Equipment List &amp; Usage'!$S58*'Weekly Summary'!AD$65)+('Equipment List &amp; Usage'!$T58*('Weekly Summary'!AD$64+'Weekly Summary'!AD$65)),
('Equipment List &amp; Usage'!$O58*'Weekly Summary'!AD$52)+('Equipment List &amp; Usage'!$P58*'Weekly Summary'!AD$53)+('Equipment List &amp; Usage'!$Q58*('Weekly Summary'!AD$52+'Weekly Summary'!AD$53))+('Equipment List &amp; Usage'!$R58*'Weekly Summary'!AD$64)+('Equipment List &amp; Usage'!$S58*'Weekly Summary'!AD$65)+('Equipment List &amp; Usage'!$T58*('Weekly Summary'!AD$64+'Weekly Summary'!AD$65))-SUM($I56:AI56))),0)</f>
        <v>0</v>
      </c>
      <c r="AK56" s="1381">
        <f ca="1">MAX(IF($F56="No",('Equipment List &amp; Usage'!$O58*'Weekly Summary'!AE$52)+('Equipment List &amp; Usage'!$P58*'Weekly Summary'!AE$53)+('Equipment List &amp; Usage'!$Q58*('Weekly Summary'!AE$52+'Weekly Summary'!AE$53))+('Equipment List &amp; Usage'!$R58*'Weekly Summary'!AE$64)+('Equipment List &amp; Usage'!$S58*'Weekly Summary'!AE$65)+('Equipment List &amp; Usage'!$T58*('Weekly Summary'!AE$64+'Weekly Summary'!AE$65)),
IF(AK$10=0,('Equipment List &amp; Usage'!$O58*'Weekly Summary'!AE$52)+('Equipment List &amp; Usage'!$P58*'Weekly Summary'!AE$53)+('Equipment List &amp; Usage'!$Q58*('Weekly Summary'!AE$52+'Weekly Summary'!AE$53))+('Equipment List &amp; Usage'!$R58*'Weekly Summary'!AE$64)+('Equipment List &amp; Usage'!$S58*'Weekly Summary'!AE$65)+('Equipment List &amp; Usage'!$T58*('Weekly Summary'!AE$64+'Weekly Summary'!AE$65)),
('Equipment List &amp; Usage'!$O58*'Weekly Summary'!AE$52)+('Equipment List &amp; Usage'!$P58*'Weekly Summary'!AE$53)+('Equipment List &amp; Usage'!$Q58*('Weekly Summary'!AE$52+'Weekly Summary'!AE$53))+('Equipment List &amp; Usage'!$R58*'Weekly Summary'!AE$64)+('Equipment List &amp; Usage'!$S58*'Weekly Summary'!AE$65)+('Equipment List &amp; Usage'!$T58*('Weekly Summary'!AE$64+'Weekly Summary'!AE$65))-SUM($I56:AJ56))),0)</f>
        <v>0</v>
      </c>
      <c r="AL56" s="1381">
        <f ca="1">MAX(IF($F56="No",('Equipment List &amp; Usage'!$O58*'Weekly Summary'!AF$52)+('Equipment List &amp; Usage'!$P58*'Weekly Summary'!AF$53)+('Equipment List &amp; Usage'!$Q58*('Weekly Summary'!AF$52+'Weekly Summary'!AF$53))+('Equipment List &amp; Usage'!$R58*'Weekly Summary'!AF$64)+('Equipment List &amp; Usage'!$S58*'Weekly Summary'!AF$65)+('Equipment List &amp; Usage'!$T58*('Weekly Summary'!AF$64+'Weekly Summary'!AF$65)),
IF(AL$10=0,('Equipment List &amp; Usage'!$O58*'Weekly Summary'!AF$52)+('Equipment List &amp; Usage'!$P58*'Weekly Summary'!AF$53)+('Equipment List &amp; Usage'!$Q58*('Weekly Summary'!AF$52+'Weekly Summary'!AF$53))+('Equipment List &amp; Usage'!$R58*'Weekly Summary'!AF$64)+('Equipment List &amp; Usage'!$S58*'Weekly Summary'!AF$65)+('Equipment List &amp; Usage'!$T58*('Weekly Summary'!AF$64+'Weekly Summary'!AF$65)),
('Equipment List &amp; Usage'!$O58*'Weekly Summary'!AF$52)+('Equipment List &amp; Usage'!$P58*'Weekly Summary'!AF$53)+('Equipment List &amp; Usage'!$Q58*('Weekly Summary'!AF$52+'Weekly Summary'!AF$53))+('Equipment List &amp; Usage'!$R58*'Weekly Summary'!AF$64)+('Equipment List &amp; Usage'!$S58*'Weekly Summary'!AF$65)+('Equipment List &amp; Usage'!$T58*('Weekly Summary'!AF$64+'Weekly Summary'!AF$65))-SUM($I56:AK56))),0)</f>
        <v>0</v>
      </c>
      <c r="AM56" s="1381">
        <f ca="1">MAX(IF($F56="No",('Equipment List &amp; Usage'!$O58*'Weekly Summary'!AG$52)+('Equipment List &amp; Usage'!$P58*'Weekly Summary'!AG$53)+('Equipment List &amp; Usage'!$Q58*('Weekly Summary'!AG$52+'Weekly Summary'!AG$53))+('Equipment List &amp; Usage'!$R58*'Weekly Summary'!AG$64)+('Equipment List &amp; Usage'!$S58*'Weekly Summary'!AG$65)+('Equipment List &amp; Usage'!$T58*('Weekly Summary'!AG$64+'Weekly Summary'!AG$65)),
IF(AM$10=0,('Equipment List &amp; Usage'!$O58*'Weekly Summary'!AG$52)+('Equipment List &amp; Usage'!$P58*'Weekly Summary'!AG$53)+('Equipment List &amp; Usage'!$Q58*('Weekly Summary'!AG$52+'Weekly Summary'!AG$53))+('Equipment List &amp; Usage'!$R58*'Weekly Summary'!AG$64)+('Equipment List &amp; Usage'!$S58*'Weekly Summary'!AG$65)+('Equipment List &amp; Usage'!$T58*('Weekly Summary'!AG$64+'Weekly Summary'!AG$65)),
('Equipment List &amp; Usage'!$O58*'Weekly Summary'!AG$52)+('Equipment List &amp; Usage'!$P58*'Weekly Summary'!AG$53)+('Equipment List &amp; Usage'!$Q58*('Weekly Summary'!AG$52+'Weekly Summary'!AG$53))+('Equipment List &amp; Usage'!$R58*'Weekly Summary'!AG$64)+('Equipment List &amp; Usage'!$S58*'Weekly Summary'!AG$65)+('Equipment List &amp; Usage'!$T58*('Weekly Summary'!AG$64+'Weekly Summary'!AG$65))-SUM($I56:AL56))),0)</f>
        <v>0</v>
      </c>
      <c r="AN56" s="1381">
        <f ca="1">MAX(IF($F56="No",('Equipment List &amp; Usage'!$O58*'Weekly Summary'!AH$52)+('Equipment List &amp; Usage'!$P58*'Weekly Summary'!AH$53)+('Equipment List &amp; Usage'!$Q58*('Weekly Summary'!AH$52+'Weekly Summary'!AH$53))+('Equipment List &amp; Usage'!$R58*'Weekly Summary'!AH$64)+('Equipment List &amp; Usage'!$S58*'Weekly Summary'!AH$65)+('Equipment List &amp; Usage'!$T58*('Weekly Summary'!AH$64+'Weekly Summary'!AH$65)),
IF(AN$10=0,('Equipment List &amp; Usage'!$O58*'Weekly Summary'!AH$52)+('Equipment List &amp; Usage'!$P58*'Weekly Summary'!AH$53)+('Equipment List &amp; Usage'!$Q58*('Weekly Summary'!AH$52+'Weekly Summary'!AH$53))+('Equipment List &amp; Usage'!$R58*'Weekly Summary'!AH$64)+('Equipment List &amp; Usage'!$S58*'Weekly Summary'!AH$65)+('Equipment List &amp; Usage'!$T58*('Weekly Summary'!AH$64+'Weekly Summary'!AH$65)),
('Equipment List &amp; Usage'!$O58*'Weekly Summary'!AH$52)+('Equipment List &amp; Usage'!$P58*'Weekly Summary'!AH$53)+('Equipment List &amp; Usage'!$Q58*('Weekly Summary'!AH$52+'Weekly Summary'!AH$53))+('Equipment List &amp; Usage'!$R58*'Weekly Summary'!AH$64)+('Equipment List &amp; Usage'!$S58*'Weekly Summary'!AH$65)+('Equipment List &amp; Usage'!$T58*('Weekly Summary'!AH$64+'Weekly Summary'!AH$65))-SUM($I56:AM56))),0)</f>
        <v>0</v>
      </c>
      <c r="AO56" s="1381">
        <f ca="1">MAX(IF($F56="No",('Equipment List &amp; Usage'!$O58*'Weekly Summary'!AI$52)+('Equipment List &amp; Usage'!$P58*'Weekly Summary'!AI$53)+('Equipment List &amp; Usage'!$Q58*('Weekly Summary'!AI$52+'Weekly Summary'!AI$53))+('Equipment List &amp; Usage'!$R58*'Weekly Summary'!AI$64)+('Equipment List &amp; Usage'!$S58*'Weekly Summary'!AI$65)+('Equipment List &amp; Usage'!$T58*('Weekly Summary'!AI$64+'Weekly Summary'!AI$65)),
IF(AO$10=0,('Equipment List &amp; Usage'!$O58*'Weekly Summary'!AI$52)+('Equipment List &amp; Usage'!$P58*'Weekly Summary'!AI$53)+('Equipment List &amp; Usage'!$Q58*('Weekly Summary'!AI$52+'Weekly Summary'!AI$53))+('Equipment List &amp; Usage'!$R58*'Weekly Summary'!AI$64)+('Equipment List &amp; Usage'!$S58*'Weekly Summary'!AI$65)+('Equipment List &amp; Usage'!$T58*('Weekly Summary'!AI$64+'Weekly Summary'!AI$65)),
('Equipment List &amp; Usage'!$O58*'Weekly Summary'!AI$52)+('Equipment List &amp; Usage'!$P58*'Weekly Summary'!AI$53)+('Equipment List &amp; Usage'!$Q58*('Weekly Summary'!AI$52+'Weekly Summary'!AI$53))+('Equipment List &amp; Usage'!$R58*'Weekly Summary'!AI$64)+('Equipment List &amp; Usage'!$S58*'Weekly Summary'!AI$65)+('Equipment List &amp; Usage'!$T58*('Weekly Summary'!AI$64+'Weekly Summary'!AI$65))-SUM($I56:AN56))),0)</f>
        <v>0</v>
      </c>
      <c r="AP56" s="1381">
        <f ca="1">MAX(IF($F56="No",('Equipment List &amp; Usage'!$O58*'Weekly Summary'!AJ$52)+('Equipment List &amp; Usage'!$P58*'Weekly Summary'!AJ$53)+('Equipment List &amp; Usage'!$Q58*('Weekly Summary'!AJ$52+'Weekly Summary'!AJ$53))+('Equipment List &amp; Usage'!$R58*'Weekly Summary'!AJ$64)+('Equipment List &amp; Usage'!$S58*'Weekly Summary'!AJ$65)+('Equipment List &amp; Usage'!$T58*('Weekly Summary'!AJ$64+'Weekly Summary'!AJ$65)),
IF(AP$10=0,('Equipment List &amp; Usage'!$O58*'Weekly Summary'!AJ$52)+('Equipment List &amp; Usage'!$P58*'Weekly Summary'!AJ$53)+('Equipment List &amp; Usage'!$Q58*('Weekly Summary'!AJ$52+'Weekly Summary'!AJ$53))+('Equipment List &amp; Usage'!$R58*'Weekly Summary'!AJ$64)+('Equipment List &amp; Usage'!$S58*'Weekly Summary'!AJ$65)+('Equipment List &amp; Usage'!$T58*('Weekly Summary'!AJ$64+'Weekly Summary'!AJ$65)),
('Equipment List &amp; Usage'!$O58*'Weekly Summary'!AJ$52)+('Equipment List &amp; Usage'!$P58*'Weekly Summary'!AJ$53)+('Equipment List &amp; Usage'!$Q58*('Weekly Summary'!AJ$52+'Weekly Summary'!AJ$53))+('Equipment List &amp; Usage'!$R58*'Weekly Summary'!AJ$64)+('Equipment List &amp; Usage'!$S58*'Weekly Summary'!AJ$65)+('Equipment List &amp; Usage'!$T58*('Weekly Summary'!AJ$64+'Weekly Summary'!AJ$65))-SUM($I56:AO56))),0)</f>
        <v>0</v>
      </c>
      <c r="AQ56" s="1381">
        <f ca="1">MAX(IF($F56="No",('Equipment List &amp; Usage'!$O58*'Weekly Summary'!AK$52)+('Equipment List &amp; Usage'!$P58*'Weekly Summary'!AK$53)+('Equipment List &amp; Usage'!$Q58*('Weekly Summary'!AK$52+'Weekly Summary'!AK$53))+('Equipment List &amp; Usage'!$R58*'Weekly Summary'!AK$64)+('Equipment List &amp; Usage'!$S58*'Weekly Summary'!AK$65)+('Equipment List &amp; Usage'!$T58*('Weekly Summary'!AK$64+'Weekly Summary'!AK$65)),
IF(AQ$10=0,('Equipment List &amp; Usage'!$O58*'Weekly Summary'!AK$52)+('Equipment List &amp; Usage'!$P58*'Weekly Summary'!AK$53)+('Equipment List &amp; Usage'!$Q58*('Weekly Summary'!AK$52+'Weekly Summary'!AK$53))+('Equipment List &amp; Usage'!$R58*'Weekly Summary'!AK$64)+('Equipment List &amp; Usage'!$S58*'Weekly Summary'!AK$65)+('Equipment List &amp; Usage'!$T58*('Weekly Summary'!AK$64+'Weekly Summary'!AK$65)),
('Equipment List &amp; Usage'!$O58*'Weekly Summary'!AK$52)+('Equipment List &amp; Usage'!$P58*'Weekly Summary'!AK$53)+('Equipment List &amp; Usage'!$Q58*('Weekly Summary'!AK$52+'Weekly Summary'!AK$53))+('Equipment List &amp; Usage'!$R58*'Weekly Summary'!AK$64)+('Equipment List &amp; Usage'!$S58*'Weekly Summary'!AK$65)+('Equipment List &amp; Usage'!$T58*('Weekly Summary'!AK$64+'Weekly Summary'!AK$65))-SUM($I56:AP56))),0)</f>
        <v>0</v>
      </c>
      <c r="AR56" s="1381">
        <f ca="1">MAX(IF($F56="No",('Equipment List &amp; Usage'!$O58*'Weekly Summary'!AL$52)+('Equipment List &amp; Usage'!$P58*'Weekly Summary'!AL$53)+('Equipment List &amp; Usage'!$Q58*('Weekly Summary'!AL$52+'Weekly Summary'!AL$53))+('Equipment List &amp; Usage'!$R58*'Weekly Summary'!AL$64)+('Equipment List &amp; Usage'!$S58*'Weekly Summary'!AL$65)+('Equipment List &amp; Usage'!$T58*('Weekly Summary'!AL$64+'Weekly Summary'!AL$65)),
IF(AR$10=0,('Equipment List &amp; Usage'!$O58*'Weekly Summary'!AL$52)+('Equipment List &amp; Usage'!$P58*'Weekly Summary'!AL$53)+('Equipment List &amp; Usage'!$Q58*('Weekly Summary'!AL$52+'Weekly Summary'!AL$53))+('Equipment List &amp; Usage'!$R58*'Weekly Summary'!AL$64)+('Equipment List &amp; Usage'!$S58*'Weekly Summary'!AL$65)+('Equipment List &amp; Usage'!$T58*('Weekly Summary'!AL$64+'Weekly Summary'!AL$65)),
('Equipment List &amp; Usage'!$O58*'Weekly Summary'!AL$52)+('Equipment List &amp; Usage'!$P58*'Weekly Summary'!AL$53)+('Equipment List &amp; Usage'!$Q58*('Weekly Summary'!AL$52+'Weekly Summary'!AL$53))+('Equipment List &amp; Usage'!$R58*'Weekly Summary'!AL$64)+('Equipment List &amp; Usage'!$S58*'Weekly Summary'!AL$65)+('Equipment List &amp; Usage'!$T58*('Weekly Summary'!AL$64+'Weekly Summary'!AL$65))-SUM($I56:AQ56))),0)</f>
        <v>0</v>
      </c>
      <c r="AS56" s="1381">
        <f ca="1">MAX(IF($F56="No",('Equipment List &amp; Usage'!$O58*'Weekly Summary'!AM$52)+('Equipment List &amp; Usage'!$P58*'Weekly Summary'!AM$53)+('Equipment List &amp; Usage'!$Q58*('Weekly Summary'!AM$52+'Weekly Summary'!AM$53))+('Equipment List &amp; Usage'!$R58*'Weekly Summary'!AM$64)+('Equipment List &amp; Usage'!$S58*'Weekly Summary'!AM$65)+('Equipment List &amp; Usage'!$T58*('Weekly Summary'!AM$64+'Weekly Summary'!AM$65)),
IF(AS$10=0,('Equipment List &amp; Usage'!$O58*'Weekly Summary'!AM$52)+('Equipment List &amp; Usage'!$P58*'Weekly Summary'!AM$53)+('Equipment List &amp; Usage'!$Q58*('Weekly Summary'!AM$52+'Weekly Summary'!AM$53))+('Equipment List &amp; Usage'!$R58*'Weekly Summary'!AM$64)+('Equipment List &amp; Usage'!$S58*'Weekly Summary'!AM$65)+('Equipment List &amp; Usage'!$T58*('Weekly Summary'!AM$64+'Weekly Summary'!AM$65)),
('Equipment List &amp; Usage'!$O58*'Weekly Summary'!AM$52)+('Equipment List &amp; Usage'!$P58*'Weekly Summary'!AM$53)+('Equipment List &amp; Usage'!$Q58*('Weekly Summary'!AM$52+'Weekly Summary'!AM$53))+('Equipment List &amp; Usage'!$R58*'Weekly Summary'!AM$64)+('Equipment List &amp; Usage'!$S58*'Weekly Summary'!AM$65)+('Equipment List &amp; Usage'!$T58*('Weekly Summary'!AM$64+'Weekly Summary'!AM$65))-SUM($I56:AR56))),0)</f>
        <v>0</v>
      </c>
      <c r="AT56" s="1381">
        <f ca="1">MAX(IF($F56="No",('Equipment List &amp; Usage'!$O58*'Weekly Summary'!AN$52)+('Equipment List &amp; Usage'!$P58*'Weekly Summary'!AN$53)+('Equipment List &amp; Usage'!$Q58*('Weekly Summary'!AN$52+'Weekly Summary'!AN$53))+('Equipment List &amp; Usage'!$R58*'Weekly Summary'!AN$64)+('Equipment List &amp; Usage'!$S58*'Weekly Summary'!AN$65)+('Equipment List &amp; Usage'!$T58*('Weekly Summary'!AN$64+'Weekly Summary'!AN$65)),
IF(AT$10=0,('Equipment List &amp; Usage'!$O58*'Weekly Summary'!AN$52)+('Equipment List &amp; Usage'!$P58*'Weekly Summary'!AN$53)+('Equipment List &amp; Usage'!$Q58*('Weekly Summary'!AN$52+'Weekly Summary'!AN$53))+('Equipment List &amp; Usage'!$R58*'Weekly Summary'!AN$64)+('Equipment List &amp; Usage'!$S58*'Weekly Summary'!AN$65)+('Equipment List &amp; Usage'!$T58*('Weekly Summary'!AN$64+'Weekly Summary'!AN$65)),
('Equipment List &amp; Usage'!$O58*'Weekly Summary'!AN$52)+('Equipment List &amp; Usage'!$P58*'Weekly Summary'!AN$53)+('Equipment List &amp; Usage'!$Q58*('Weekly Summary'!AN$52+'Weekly Summary'!AN$53))+('Equipment List &amp; Usage'!$R58*'Weekly Summary'!AN$64)+('Equipment List &amp; Usage'!$S58*'Weekly Summary'!AN$65)+('Equipment List &amp; Usage'!$T58*('Weekly Summary'!AN$64+'Weekly Summary'!AN$65))-SUM($I56:AS56))),0)</f>
        <v>0</v>
      </c>
      <c r="AU56" s="1381">
        <f ca="1">MAX(IF($F56="No",('Equipment List &amp; Usage'!$O58*'Weekly Summary'!AO$52)+('Equipment List &amp; Usage'!$P58*'Weekly Summary'!AO$53)+('Equipment List &amp; Usage'!$Q58*('Weekly Summary'!AO$52+'Weekly Summary'!AO$53))+('Equipment List &amp; Usage'!$R58*'Weekly Summary'!AO$64)+('Equipment List &amp; Usage'!$S58*'Weekly Summary'!AO$65)+('Equipment List &amp; Usage'!$T58*('Weekly Summary'!AO$64+'Weekly Summary'!AO$65)),
IF(AU$10=0,('Equipment List &amp; Usage'!$O58*'Weekly Summary'!AO$52)+('Equipment List &amp; Usage'!$P58*'Weekly Summary'!AO$53)+('Equipment List &amp; Usage'!$Q58*('Weekly Summary'!AO$52+'Weekly Summary'!AO$53))+('Equipment List &amp; Usage'!$R58*'Weekly Summary'!AO$64)+('Equipment List &amp; Usage'!$S58*'Weekly Summary'!AO$65)+('Equipment List &amp; Usage'!$T58*('Weekly Summary'!AO$64+'Weekly Summary'!AO$65)),
('Equipment List &amp; Usage'!$O58*'Weekly Summary'!AO$52)+('Equipment List &amp; Usage'!$P58*'Weekly Summary'!AO$53)+('Equipment List &amp; Usage'!$Q58*('Weekly Summary'!AO$52+'Weekly Summary'!AO$53))+('Equipment List &amp; Usage'!$R58*'Weekly Summary'!AO$64)+('Equipment List &amp; Usage'!$S58*'Weekly Summary'!AO$65)+('Equipment List &amp; Usage'!$T58*('Weekly Summary'!AO$64+'Weekly Summary'!AO$65))-SUM($I56:AT56))),0)</f>
        <v>0</v>
      </c>
      <c r="AV56" s="1381">
        <f ca="1">MAX(IF($F56="No",('Equipment List &amp; Usage'!$O58*'Weekly Summary'!AP$52)+('Equipment List &amp; Usage'!$P58*'Weekly Summary'!AP$53)+('Equipment List &amp; Usage'!$Q58*('Weekly Summary'!AP$52+'Weekly Summary'!AP$53))+('Equipment List &amp; Usage'!$R58*'Weekly Summary'!AP$64)+('Equipment List &amp; Usage'!$S58*'Weekly Summary'!AP$65)+('Equipment List &amp; Usage'!$T58*('Weekly Summary'!AP$64+'Weekly Summary'!AP$65)),
IF(AV$10=0,('Equipment List &amp; Usage'!$O58*'Weekly Summary'!AP$52)+('Equipment List &amp; Usage'!$P58*'Weekly Summary'!AP$53)+('Equipment List &amp; Usage'!$Q58*('Weekly Summary'!AP$52+'Weekly Summary'!AP$53))+('Equipment List &amp; Usage'!$R58*'Weekly Summary'!AP$64)+('Equipment List &amp; Usage'!$S58*'Weekly Summary'!AP$65)+('Equipment List &amp; Usage'!$T58*('Weekly Summary'!AP$64+'Weekly Summary'!AP$65)),
('Equipment List &amp; Usage'!$O58*'Weekly Summary'!AP$52)+('Equipment List &amp; Usage'!$P58*'Weekly Summary'!AP$53)+('Equipment List &amp; Usage'!$Q58*('Weekly Summary'!AP$52+'Weekly Summary'!AP$53))+('Equipment List &amp; Usage'!$R58*'Weekly Summary'!AP$64)+('Equipment List &amp; Usage'!$S58*'Weekly Summary'!AP$65)+('Equipment List &amp; Usage'!$T58*('Weekly Summary'!AP$64+'Weekly Summary'!AP$65))-SUM($I56:AU56))),0)</f>
        <v>0</v>
      </c>
      <c r="AW56" s="1381">
        <f ca="1">MAX(IF($F56="No",('Equipment List &amp; Usage'!$O58*'Weekly Summary'!AQ$52)+('Equipment List &amp; Usage'!$P58*'Weekly Summary'!AQ$53)+('Equipment List &amp; Usage'!$Q58*('Weekly Summary'!AQ$52+'Weekly Summary'!AQ$53))+('Equipment List &amp; Usage'!$R58*'Weekly Summary'!AQ$64)+('Equipment List &amp; Usage'!$S58*'Weekly Summary'!AQ$65)+('Equipment List &amp; Usage'!$T58*('Weekly Summary'!AQ$64+'Weekly Summary'!AQ$65)),
IF(AW$10=0,('Equipment List &amp; Usage'!$O58*'Weekly Summary'!AQ$52)+('Equipment List &amp; Usage'!$P58*'Weekly Summary'!AQ$53)+('Equipment List &amp; Usage'!$Q58*('Weekly Summary'!AQ$52+'Weekly Summary'!AQ$53))+('Equipment List &amp; Usage'!$R58*'Weekly Summary'!AQ$64)+('Equipment List &amp; Usage'!$S58*'Weekly Summary'!AQ$65)+('Equipment List &amp; Usage'!$T58*('Weekly Summary'!AQ$64+'Weekly Summary'!AQ$65)),
('Equipment List &amp; Usage'!$O58*'Weekly Summary'!AQ$52)+('Equipment List &amp; Usage'!$P58*'Weekly Summary'!AQ$53)+('Equipment List &amp; Usage'!$Q58*('Weekly Summary'!AQ$52+'Weekly Summary'!AQ$53))+('Equipment List &amp; Usage'!$R58*'Weekly Summary'!AQ$64)+('Equipment List &amp; Usage'!$S58*'Weekly Summary'!AQ$65)+('Equipment List &amp; Usage'!$T58*('Weekly Summary'!AQ$64+'Weekly Summary'!AQ$65))-SUM($I56:AV56))),0)</f>
        <v>0</v>
      </c>
      <c r="AX56" s="1381">
        <f ca="1">MAX(IF($F56="No",('Equipment List &amp; Usage'!$O58*'Weekly Summary'!AR$52)+('Equipment List &amp; Usage'!$P58*'Weekly Summary'!AR$53)+('Equipment List &amp; Usage'!$Q58*('Weekly Summary'!AR$52+'Weekly Summary'!AR$53))+('Equipment List &amp; Usage'!$R58*'Weekly Summary'!AR$64)+('Equipment List &amp; Usage'!$S58*'Weekly Summary'!AR$65)+('Equipment List &amp; Usage'!$T58*('Weekly Summary'!AR$64+'Weekly Summary'!AR$65)),
IF(AX$10=0,('Equipment List &amp; Usage'!$O58*'Weekly Summary'!AR$52)+('Equipment List &amp; Usage'!$P58*'Weekly Summary'!AR$53)+('Equipment List &amp; Usage'!$Q58*('Weekly Summary'!AR$52+'Weekly Summary'!AR$53))+('Equipment List &amp; Usage'!$R58*'Weekly Summary'!AR$64)+('Equipment List &amp; Usage'!$S58*'Weekly Summary'!AR$65)+('Equipment List &amp; Usage'!$T58*('Weekly Summary'!AR$64+'Weekly Summary'!AR$65)),
('Equipment List &amp; Usage'!$O58*'Weekly Summary'!AR$52)+('Equipment List &amp; Usage'!$P58*'Weekly Summary'!AR$53)+('Equipment List &amp; Usage'!$Q58*('Weekly Summary'!AR$52+'Weekly Summary'!AR$53))+('Equipment List &amp; Usage'!$R58*'Weekly Summary'!AR$64)+('Equipment List &amp; Usage'!$S58*'Weekly Summary'!AR$65)+('Equipment List &amp; Usage'!$T58*('Weekly Summary'!AR$64+'Weekly Summary'!AR$65))-SUM($I56:AW56))),0)</f>
        <v>0</v>
      </c>
      <c r="AY56" s="1381">
        <f ca="1">MAX(IF($F56="No",('Equipment List &amp; Usage'!$O58*'Weekly Summary'!AS$52)+('Equipment List &amp; Usage'!$P58*'Weekly Summary'!AS$53)+('Equipment List &amp; Usage'!$Q58*('Weekly Summary'!AS$52+'Weekly Summary'!AS$53))+('Equipment List &amp; Usage'!$R58*'Weekly Summary'!AS$64)+('Equipment List &amp; Usage'!$S58*'Weekly Summary'!AS$65)+('Equipment List &amp; Usage'!$T58*('Weekly Summary'!AS$64+'Weekly Summary'!AS$65)),
IF(AY$10=0,('Equipment List &amp; Usage'!$O58*'Weekly Summary'!AS$52)+('Equipment List &amp; Usage'!$P58*'Weekly Summary'!AS$53)+('Equipment List &amp; Usage'!$Q58*('Weekly Summary'!AS$52+'Weekly Summary'!AS$53))+('Equipment List &amp; Usage'!$R58*'Weekly Summary'!AS$64)+('Equipment List &amp; Usage'!$S58*'Weekly Summary'!AS$65)+('Equipment List &amp; Usage'!$T58*('Weekly Summary'!AS$64+'Weekly Summary'!AS$65)),
('Equipment List &amp; Usage'!$O58*'Weekly Summary'!AS$52)+('Equipment List &amp; Usage'!$P58*'Weekly Summary'!AS$53)+('Equipment List &amp; Usage'!$Q58*('Weekly Summary'!AS$52+'Weekly Summary'!AS$53))+('Equipment List &amp; Usage'!$R58*'Weekly Summary'!AS$64)+('Equipment List &amp; Usage'!$S58*'Weekly Summary'!AS$65)+('Equipment List &amp; Usage'!$T58*('Weekly Summary'!AS$64+'Weekly Summary'!AS$65))-SUM($I56:AX56))),0)</f>
        <v>0</v>
      </c>
      <c r="AZ56" s="1381">
        <f ca="1">MAX(IF($F56="No",('Equipment List &amp; Usage'!$O58*'Weekly Summary'!AT$52)+('Equipment List &amp; Usage'!$P58*'Weekly Summary'!AT$53)+('Equipment List &amp; Usage'!$Q58*('Weekly Summary'!AT$52+'Weekly Summary'!AT$53))+('Equipment List &amp; Usage'!$R58*'Weekly Summary'!AT$64)+('Equipment List &amp; Usage'!$S58*'Weekly Summary'!AT$65)+('Equipment List &amp; Usage'!$T58*('Weekly Summary'!AT$64+'Weekly Summary'!AT$65)),
IF(AZ$10=0,('Equipment List &amp; Usage'!$O58*'Weekly Summary'!AT$52)+('Equipment List &amp; Usage'!$P58*'Weekly Summary'!AT$53)+('Equipment List &amp; Usage'!$Q58*('Weekly Summary'!AT$52+'Weekly Summary'!AT$53))+('Equipment List &amp; Usage'!$R58*'Weekly Summary'!AT$64)+('Equipment List &amp; Usage'!$S58*'Weekly Summary'!AT$65)+('Equipment List &amp; Usage'!$T58*('Weekly Summary'!AT$64+'Weekly Summary'!AT$65)),
('Equipment List &amp; Usage'!$O58*'Weekly Summary'!AT$52)+('Equipment List &amp; Usage'!$P58*'Weekly Summary'!AT$53)+('Equipment List &amp; Usage'!$Q58*('Weekly Summary'!AT$52+'Weekly Summary'!AT$53))+('Equipment List &amp; Usage'!$R58*'Weekly Summary'!AT$64)+('Equipment List &amp; Usage'!$S58*'Weekly Summary'!AT$65)+('Equipment List &amp; Usage'!$T58*('Weekly Summary'!AT$64+'Weekly Summary'!AT$65))-SUM($I56:AY56))),0)</f>
        <v>0</v>
      </c>
      <c r="BA56" s="1381">
        <f ca="1">MAX(IF($F56="No",('Equipment List &amp; Usage'!$O58*'Weekly Summary'!AU$52)+('Equipment List &amp; Usage'!$P58*'Weekly Summary'!AU$53)+('Equipment List &amp; Usage'!$Q58*('Weekly Summary'!AU$52+'Weekly Summary'!AU$53))+('Equipment List &amp; Usage'!$R58*'Weekly Summary'!AU$64)+('Equipment List &amp; Usage'!$S58*'Weekly Summary'!AU$65)+('Equipment List &amp; Usage'!$T58*('Weekly Summary'!AU$64+'Weekly Summary'!AU$65)),
IF(BA$10=0,('Equipment List &amp; Usage'!$O58*'Weekly Summary'!AU$52)+('Equipment List &amp; Usage'!$P58*'Weekly Summary'!AU$53)+('Equipment List &amp; Usage'!$Q58*('Weekly Summary'!AU$52+'Weekly Summary'!AU$53))+('Equipment List &amp; Usage'!$R58*'Weekly Summary'!AU$64)+('Equipment List &amp; Usage'!$S58*'Weekly Summary'!AU$65)+('Equipment List &amp; Usage'!$T58*('Weekly Summary'!AU$64+'Weekly Summary'!AU$65)),
('Equipment List &amp; Usage'!$O58*'Weekly Summary'!AU$52)+('Equipment List &amp; Usage'!$P58*'Weekly Summary'!AU$53)+('Equipment List &amp; Usage'!$Q58*('Weekly Summary'!AU$52+'Weekly Summary'!AU$53))+('Equipment List &amp; Usage'!$R58*'Weekly Summary'!AU$64)+('Equipment List &amp; Usage'!$S58*'Weekly Summary'!AU$65)+('Equipment List &amp; Usage'!$T58*('Weekly Summary'!AU$64+'Weekly Summary'!AU$65))-SUM($I56:AZ56))),0)</f>
        <v>0</v>
      </c>
      <c r="BB56" s="1381">
        <f ca="1">MAX(IF($F56="No",('Equipment List &amp; Usage'!$O58*'Weekly Summary'!AV$52)+('Equipment List &amp; Usage'!$P58*'Weekly Summary'!AV$53)+('Equipment List &amp; Usage'!$Q58*('Weekly Summary'!AV$52+'Weekly Summary'!AV$53))+('Equipment List &amp; Usage'!$R58*'Weekly Summary'!AV$64)+('Equipment List &amp; Usage'!$S58*'Weekly Summary'!AV$65)+('Equipment List &amp; Usage'!$T58*('Weekly Summary'!AV$64+'Weekly Summary'!AV$65)),
IF(BB$10=0,('Equipment List &amp; Usage'!$O58*'Weekly Summary'!AV$52)+('Equipment List &amp; Usage'!$P58*'Weekly Summary'!AV$53)+('Equipment List &amp; Usage'!$Q58*('Weekly Summary'!AV$52+'Weekly Summary'!AV$53))+('Equipment List &amp; Usage'!$R58*'Weekly Summary'!AV$64)+('Equipment List &amp; Usage'!$S58*'Weekly Summary'!AV$65)+('Equipment List &amp; Usage'!$T58*('Weekly Summary'!AV$64+'Weekly Summary'!AV$65)),
('Equipment List &amp; Usage'!$O58*'Weekly Summary'!AV$52)+('Equipment List &amp; Usage'!$P58*'Weekly Summary'!AV$53)+('Equipment List &amp; Usage'!$Q58*('Weekly Summary'!AV$52+'Weekly Summary'!AV$53))+('Equipment List &amp; Usage'!$R58*'Weekly Summary'!AV$64)+('Equipment List &amp; Usage'!$S58*'Weekly Summary'!AV$65)+('Equipment List &amp; Usage'!$T58*('Weekly Summary'!AV$64+'Weekly Summary'!AV$65))-SUM($I56:BA56))),0)</f>
        <v>0</v>
      </c>
      <c r="BC56" s="1381">
        <f ca="1">MAX(IF($F56="No",('Equipment List &amp; Usage'!$O58*'Weekly Summary'!AW$52)+('Equipment List &amp; Usage'!$P58*'Weekly Summary'!AW$53)+('Equipment List &amp; Usage'!$Q58*('Weekly Summary'!AW$52+'Weekly Summary'!AW$53))+('Equipment List &amp; Usage'!$R58*'Weekly Summary'!AW$64)+('Equipment List &amp; Usage'!$S58*'Weekly Summary'!AW$65)+('Equipment List &amp; Usage'!$T58*('Weekly Summary'!AW$64+'Weekly Summary'!AW$65)),
IF(BC$10=0,('Equipment List &amp; Usage'!$O58*'Weekly Summary'!AW$52)+('Equipment List &amp; Usage'!$P58*'Weekly Summary'!AW$53)+('Equipment List &amp; Usage'!$Q58*('Weekly Summary'!AW$52+'Weekly Summary'!AW$53))+('Equipment List &amp; Usage'!$R58*'Weekly Summary'!AW$64)+('Equipment List &amp; Usage'!$S58*'Weekly Summary'!AW$65)+('Equipment List &amp; Usage'!$T58*('Weekly Summary'!AW$64+'Weekly Summary'!AW$65)),
('Equipment List &amp; Usage'!$O58*'Weekly Summary'!AW$52)+('Equipment List &amp; Usage'!$P58*'Weekly Summary'!AW$53)+('Equipment List &amp; Usage'!$Q58*('Weekly Summary'!AW$52+'Weekly Summary'!AW$53))+('Equipment List &amp; Usage'!$R58*'Weekly Summary'!AW$64)+('Equipment List &amp; Usage'!$S58*'Weekly Summary'!AW$65)+('Equipment List &amp; Usage'!$T58*('Weekly Summary'!AW$64+'Weekly Summary'!AW$65))-SUM($I56:BB56))),0)</f>
        <v>0</v>
      </c>
      <c r="BD56" s="1381">
        <f ca="1">MAX(IF($F56="No",('Equipment List &amp; Usage'!$O58*'Weekly Summary'!AX$52)+('Equipment List &amp; Usage'!$P58*'Weekly Summary'!AX$53)+('Equipment List &amp; Usage'!$Q58*('Weekly Summary'!AX$52+'Weekly Summary'!AX$53))+('Equipment List &amp; Usage'!$R58*'Weekly Summary'!AX$64)+('Equipment List &amp; Usage'!$S58*'Weekly Summary'!AX$65)+('Equipment List &amp; Usage'!$T58*('Weekly Summary'!AX$64+'Weekly Summary'!AX$65)),
IF(BD$10=0,('Equipment List &amp; Usage'!$O58*'Weekly Summary'!AX$52)+('Equipment List &amp; Usage'!$P58*'Weekly Summary'!AX$53)+('Equipment List &amp; Usage'!$Q58*('Weekly Summary'!AX$52+'Weekly Summary'!AX$53))+('Equipment List &amp; Usage'!$R58*'Weekly Summary'!AX$64)+('Equipment List &amp; Usage'!$S58*'Weekly Summary'!AX$65)+('Equipment List &amp; Usage'!$T58*('Weekly Summary'!AX$64+'Weekly Summary'!AX$65)),
('Equipment List &amp; Usage'!$O58*'Weekly Summary'!AX$52)+('Equipment List &amp; Usage'!$P58*'Weekly Summary'!AX$53)+('Equipment List &amp; Usage'!$Q58*('Weekly Summary'!AX$52+'Weekly Summary'!AX$53))+('Equipment List &amp; Usage'!$R58*'Weekly Summary'!AX$64)+('Equipment List &amp; Usage'!$S58*'Weekly Summary'!AX$65)+('Equipment List &amp; Usage'!$T58*('Weekly Summary'!AX$64+'Weekly Summary'!AX$65))-SUM($I56:BC56))),0)</f>
        <v>0</v>
      </c>
      <c r="BE56" s="1381">
        <f ca="1">MAX(IF($F56="No",('Equipment List &amp; Usage'!$O58*'Weekly Summary'!AY$52)+('Equipment List &amp; Usage'!$P58*'Weekly Summary'!AY$53)+('Equipment List &amp; Usage'!$Q58*('Weekly Summary'!AY$52+'Weekly Summary'!AY$53))+('Equipment List &amp; Usage'!$R58*'Weekly Summary'!AY$64)+('Equipment List &amp; Usage'!$S58*'Weekly Summary'!AY$65)+('Equipment List &amp; Usage'!$T58*('Weekly Summary'!AY$64+'Weekly Summary'!AY$65)),
IF(BE$10=0,('Equipment List &amp; Usage'!$O58*'Weekly Summary'!AY$52)+('Equipment List &amp; Usage'!$P58*'Weekly Summary'!AY$53)+('Equipment List &amp; Usage'!$Q58*('Weekly Summary'!AY$52+'Weekly Summary'!AY$53))+('Equipment List &amp; Usage'!$R58*'Weekly Summary'!AY$64)+('Equipment List &amp; Usage'!$S58*'Weekly Summary'!AY$65)+('Equipment List &amp; Usage'!$T58*('Weekly Summary'!AY$64+'Weekly Summary'!AY$65)),
('Equipment List &amp; Usage'!$O58*'Weekly Summary'!AY$52)+('Equipment List &amp; Usage'!$P58*'Weekly Summary'!AY$53)+('Equipment List &amp; Usage'!$Q58*('Weekly Summary'!AY$52+'Weekly Summary'!AY$53))+('Equipment List &amp; Usage'!$R58*'Weekly Summary'!AY$64)+('Equipment List &amp; Usage'!$S58*'Weekly Summary'!AY$65)+('Equipment List &amp; Usage'!$T58*('Weekly Summary'!AY$64+'Weekly Summary'!AY$65))-SUM($I56:BD56))),0)</f>
        <v>0</v>
      </c>
      <c r="BF56" s="1381">
        <f ca="1">MAX(IF($F56="No",('Equipment List &amp; Usage'!$O58*'Weekly Summary'!AZ$52)+('Equipment List &amp; Usage'!$P58*'Weekly Summary'!AZ$53)+('Equipment List &amp; Usage'!$Q58*('Weekly Summary'!AZ$52+'Weekly Summary'!AZ$53))+('Equipment List &amp; Usage'!$R58*'Weekly Summary'!AZ$64)+('Equipment List &amp; Usage'!$S58*'Weekly Summary'!AZ$65)+('Equipment List &amp; Usage'!$T58*('Weekly Summary'!AZ$64+'Weekly Summary'!AZ$65)),
IF(BF$10=0,('Equipment List &amp; Usage'!$O58*'Weekly Summary'!AZ$52)+('Equipment List &amp; Usage'!$P58*'Weekly Summary'!AZ$53)+('Equipment List &amp; Usage'!$Q58*('Weekly Summary'!AZ$52+'Weekly Summary'!AZ$53))+('Equipment List &amp; Usage'!$R58*'Weekly Summary'!AZ$64)+('Equipment List &amp; Usage'!$S58*'Weekly Summary'!AZ$65)+('Equipment List &amp; Usage'!$T58*('Weekly Summary'!AZ$64+'Weekly Summary'!AZ$65)),
('Equipment List &amp; Usage'!$O58*'Weekly Summary'!AZ$52)+('Equipment List &amp; Usage'!$P58*'Weekly Summary'!AZ$53)+('Equipment List &amp; Usage'!$Q58*('Weekly Summary'!AZ$52+'Weekly Summary'!AZ$53))+('Equipment List &amp; Usage'!$R58*'Weekly Summary'!AZ$64)+('Equipment List &amp; Usage'!$S58*'Weekly Summary'!AZ$65)+('Equipment List &amp; Usage'!$T58*('Weekly Summary'!AZ$64+'Weekly Summary'!AZ$65))-SUM($I56:BE56))),0)</f>
        <v>0</v>
      </c>
      <c r="BG56" s="1381">
        <f ca="1">MAX(IF($F56="No",('Equipment List &amp; Usage'!$O58*'Weekly Summary'!BA$52)+('Equipment List &amp; Usage'!$P58*'Weekly Summary'!BA$53)+('Equipment List &amp; Usage'!$Q58*('Weekly Summary'!BA$52+'Weekly Summary'!BA$53))+('Equipment List &amp; Usage'!$R58*'Weekly Summary'!BA$64)+('Equipment List &amp; Usage'!$S58*'Weekly Summary'!BA$65)+('Equipment List &amp; Usage'!$T58*('Weekly Summary'!BA$64+'Weekly Summary'!BA$65)),
IF(BG$10=0,('Equipment List &amp; Usage'!$O58*'Weekly Summary'!BA$52)+('Equipment List &amp; Usage'!$P58*'Weekly Summary'!BA$53)+('Equipment List &amp; Usage'!$Q58*('Weekly Summary'!BA$52+'Weekly Summary'!BA$53))+('Equipment List &amp; Usage'!$R58*'Weekly Summary'!BA$64)+('Equipment List &amp; Usage'!$S58*'Weekly Summary'!BA$65)+('Equipment List &amp; Usage'!$T58*('Weekly Summary'!BA$64+'Weekly Summary'!BA$65)),
('Equipment List &amp; Usage'!$O58*'Weekly Summary'!BA$52)+('Equipment List &amp; Usage'!$P58*'Weekly Summary'!BA$53)+('Equipment List &amp; Usage'!$Q58*('Weekly Summary'!BA$52+'Weekly Summary'!BA$53))+('Equipment List &amp; Usage'!$R58*'Weekly Summary'!BA$64)+('Equipment List &amp; Usage'!$S58*'Weekly Summary'!BA$65)+('Equipment List &amp; Usage'!$T58*('Weekly Summary'!BA$64+'Weekly Summary'!BA$65))-SUM($I56:BF56))),0)</f>
        <v>0</v>
      </c>
      <c r="BH56" s="1381">
        <f ca="1">MAX(IF($F56="No",('Equipment List &amp; Usage'!$O58*'Weekly Summary'!BB$52)+('Equipment List &amp; Usage'!$P58*'Weekly Summary'!BB$53)+('Equipment List &amp; Usage'!$Q58*('Weekly Summary'!BB$52+'Weekly Summary'!BB$53))+('Equipment List &amp; Usage'!$R58*'Weekly Summary'!BB$64)+('Equipment List &amp; Usage'!$S58*'Weekly Summary'!BB$65)+('Equipment List &amp; Usage'!$T58*('Weekly Summary'!BB$64+'Weekly Summary'!BB$65)),
IF(BH$10=0,('Equipment List &amp; Usage'!$O58*'Weekly Summary'!BB$52)+('Equipment List &amp; Usage'!$P58*'Weekly Summary'!BB$53)+('Equipment List &amp; Usage'!$Q58*('Weekly Summary'!BB$52+'Weekly Summary'!BB$53))+('Equipment List &amp; Usage'!$R58*'Weekly Summary'!BB$64)+('Equipment List &amp; Usage'!$S58*'Weekly Summary'!BB$65)+('Equipment List &amp; Usage'!$T58*('Weekly Summary'!BB$64+'Weekly Summary'!BB$65)),
('Equipment List &amp; Usage'!$O58*'Weekly Summary'!BB$52)+('Equipment List &amp; Usage'!$P58*'Weekly Summary'!BB$53)+('Equipment List &amp; Usage'!$Q58*('Weekly Summary'!BB$52+'Weekly Summary'!BB$53))+('Equipment List &amp; Usage'!$R58*'Weekly Summary'!BB$64)+('Equipment List &amp; Usage'!$S58*'Weekly Summary'!BB$65)+('Equipment List &amp; Usage'!$T58*('Weekly Summary'!BB$64+'Weekly Summary'!BB$65))-SUM($I56:BG56))),0)</f>
        <v>0</v>
      </c>
      <c r="BI56" s="1381">
        <f ca="1">MAX(IF($F56="No",('Equipment List &amp; Usage'!$O58*'Weekly Summary'!BC$52)+('Equipment List &amp; Usage'!$P58*'Weekly Summary'!BC$53)+('Equipment List &amp; Usage'!$Q58*('Weekly Summary'!BC$52+'Weekly Summary'!BC$53))+('Equipment List &amp; Usage'!$R58*'Weekly Summary'!BC$64)+('Equipment List &amp; Usage'!$S58*'Weekly Summary'!BC$65)+('Equipment List &amp; Usage'!$T58*('Weekly Summary'!BC$64+'Weekly Summary'!BC$65)),
IF(BI$10=0,('Equipment List &amp; Usage'!$O58*'Weekly Summary'!BC$52)+('Equipment List &amp; Usage'!$P58*'Weekly Summary'!BC$53)+('Equipment List &amp; Usage'!$Q58*('Weekly Summary'!BC$52+'Weekly Summary'!BC$53))+('Equipment List &amp; Usage'!$R58*'Weekly Summary'!BC$64)+('Equipment List &amp; Usage'!$S58*'Weekly Summary'!BC$65)+('Equipment List &amp; Usage'!$T58*('Weekly Summary'!BC$64+'Weekly Summary'!BC$65)),
('Equipment List &amp; Usage'!$O58*'Weekly Summary'!BC$52)+('Equipment List &amp; Usage'!$P58*'Weekly Summary'!BC$53)+('Equipment List &amp; Usage'!$Q58*('Weekly Summary'!BC$52+'Weekly Summary'!BC$53))+('Equipment List &amp; Usage'!$R58*'Weekly Summary'!BC$64)+('Equipment List &amp; Usage'!$S58*'Weekly Summary'!BC$65)+('Equipment List &amp; Usage'!$T58*('Weekly Summary'!BC$64+'Weekly Summary'!BC$65))-SUM($I56:BH56))),0)</f>
        <v>0</v>
      </c>
      <c r="BJ56" s="1382">
        <f ca="1">MAX(IF($F56="No",('Equipment List &amp; Usage'!$O58*'Weekly Summary'!BD$52)+('Equipment List &amp; Usage'!$P58*'Weekly Summary'!BD$53)+('Equipment List &amp; Usage'!$Q58*('Weekly Summary'!BD$52+'Weekly Summary'!BD$53))+('Equipment List &amp; Usage'!$R58*'Weekly Summary'!BD$64)+('Equipment List &amp; Usage'!$S58*'Weekly Summary'!BD$65)+('Equipment List &amp; Usage'!$T58*('Weekly Summary'!BD$64+'Weekly Summary'!BD$65)),
IF(BJ$10=0,('Equipment List &amp; Usage'!$O58*'Weekly Summary'!BD$52)+('Equipment List &amp; Usage'!$P58*'Weekly Summary'!BD$53)+('Equipment List &amp; Usage'!$Q58*('Weekly Summary'!BD$52+'Weekly Summary'!BD$53))+('Equipment List &amp; Usage'!$R58*'Weekly Summary'!BD$64)+('Equipment List &amp; Usage'!$S58*'Weekly Summary'!BD$65)+('Equipment List &amp; Usage'!$T58*('Weekly Summary'!BD$64+'Weekly Summary'!BD$65)),
('Equipment List &amp; Usage'!$O58*'Weekly Summary'!BD$52)+('Equipment List &amp; Usage'!$P58*'Weekly Summary'!BD$53)+('Equipment List &amp; Usage'!$Q58*('Weekly Summary'!BD$52+'Weekly Summary'!BD$53))+('Equipment List &amp; Usage'!$R58*'Weekly Summary'!BD$64)+('Equipment List &amp; Usage'!$S58*'Weekly Summary'!BD$65)+('Equipment List &amp; Usage'!$T58*('Weekly Summary'!BD$64+'Weekly Summary'!BD$65))-SUM($I56:BI56))),0)</f>
        <v>0</v>
      </c>
    </row>
    <row r="57" spans="2:62" ht="29" collapsed="1" x14ac:dyDescent="0.35">
      <c r="B57" s="735" t="str">
        <f>'Equipment List &amp; Usage'!B59</f>
        <v>Case management - biomedical equipment</v>
      </c>
      <c r="C57" s="526" t="str">
        <f>'Equipment List &amp; Usage'!C59</f>
        <v>Mechanical Ventilation</v>
      </c>
      <c r="D57" s="526" t="str">
        <f>'Equipment List &amp; Usage'!D59</f>
        <v>Patient ventilator, intensive care, with breathing circuits and patient interface</v>
      </c>
      <c r="E57" s="526" t="str">
        <f>'Equipment List &amp; Usage'!E59</f>
        <v>Each</v>
      </c>
      <c r="F57" s="526" t="str">
        <f>'Equipment List &amp; Usage'!F59</f>
        <v>Yes</v>
      </c>
      <c r="G57" s="526" t="str">
        <f>'Equipment List &amp; Usage'!G59</f>
        <v>It includes all accessories for operation, including the CO2 detector.</v>
      </c>
      <c r="H57" s="1369">
        <f t="shared" ca="1" si="3"/>
        <v>61.430825085677299</v>
      </c>
      <c r="J57" s="1344"/>
      <c r="K57" s="1381">
        <f ca="1">IF('User Dashboard'!$H$13=1,0,MAX(IF($F57="No",('Equipment List &amp; Usage'!$O59*'Weekly Summary'!E$52)+('Equipment List &amp; Usage'!$P59*'Weekly Summary'!E$53)+('Equipment List &amp; Usage'!$Q59*('Weekly Summary'!E$52+'Weekly Summary'!E$53))+('Equipment List &amp; Usage'!$R59*'Weekly Summary'!E$64)+('Equipment List &amp; Usage'!$S59*'Weekly Summary'!E$65)+('Equipment List &amp; Usage'!$T59*('Weekly Summary'!E$64+'Weekly Summary'!E$65)),
IF(K$10=0,('Equipment List &amp; Usage'!$O59*'Weekly Summary'!E$52)+('Equipment List &amp; Usage'!$P59*'Weekly Summary'!E$53)+('Equipment List &amp; Usage'!$Q59*('Weekly Summary'!E$52+'Weekly Summary'!E$53))+('Equipment List &amp; Usage'!$R59*'Weekly Summary'!E$64)+('Equipment List &amp; Usage'!$S59*'Weekly Summary'!E$65)+('Equipment List &amp; Usage'!$T59*('Weekly Summary'!E$64+'Weekly Summary'!E$65)),
('Equipment List &amp; Usage'!$O59*'Weekly Summary'!E$52)+('Equipment List &amp; Usage'!$P59*'Weekly Summary'!E$53)+('Equipment List &amp; Usage'!$Q59*('Weekly Summary'!E$52+'Weekly Summary'!E$53))+('Equipment List &amp; Usage'!$R59*'Weekly Summary'!E$64)+('Equipment List &amp; Usage'!$S59*'Weekly Summary'!E$65)+('Equipment List &amp; Usage'!$T59*('Weekly Summary'!E$64+'Weekly Summary'!E$65))-SUM($I57:I57))),0))</f>
        <v>0.1326795813893617</v>
      </c>
      <c r="L57" s="1381">
        <f ca="1">MAX(IF($F57="No",('Equipment List &amp; Usage'!$O59*'Weekly Summary'!F$52)+('Equipment List &amp; Usage'!$P59*'Weekly Summary'!F$53)+('Equipment List &amp; Usage'!$Q59*('Weekly Summary'!F$52+'Weekly Summary'!F$53))+('Equipment List &amp; Usage'!$R59*'Weekly Summary'!F$64)+('Equipment List &amp; Usage'!$S59*'Weekly Summary'!F$65)+('Equipment List &amp; Usage'!$T59*('Weekly Summary'!F$64+'Weekly Summary'!F$65)),
IF(L$10=0,('Equipment List &amp; Usage'!$O59*'Weekly Summary'!F$52)+('Equipment List &amp; Usage'!$P59*'Weekly Summary'!F$53)+('Equipment List &amp; Usage'!$Q59*('Weekly Summary'!F$52+'Weekly Summary'!F$53))+('Equipment List &amp; Usage'!$R59*'Weekly Summary'!F$64)+('Equipment List &amp; Usage'!$S59*'Weekly Summary'!F$65)+('Equipment List &amp; Usage'!$T59*('Weekly Summary'!F$64+'Weekly Summary'!F$65)),
('Equipment List &amp; Usage'!$O59*'Weekly Summary'!F$52)+('Equipment List &amp; Usage'!$P59*'Weekly Summary'!F$53)+('Equipment List &amp; Usage'!$Q59*('Weekly Summary'!F$52+'Weekly Summary'!F$53))+('Equipment List &amp; Usage'!$R59*'Weekly Summary'!F$64)+('Equipment List &amp; Usage'!$S59*'Weekly Summary'!F$65)+('Equipment List &amp; Usage'!$T59*('Weekly Summary'!F$64+'Weekly Summary'!F$65))-SUM($I57:K57))),0)</f>
        <v>0.30807085565527481</v>
      </c>
      <c r="M57" s="1381">
        <f ca="1">MAX(IF($F57="No",('Equipment List &amp; Usage'!$O59*'Weekly Summary'!G$52)+('Equipment List &amp; Usage'!$P59*'Weekly Summary'!G$53)+('Equipment List &amp; Usage'!$Q59*('Weekly Summary'!G$52+'Weekly Summary'!G$53))+('Equipment List &amp; Usage'!$R59*'Weekly Summary'!G$64)+('Equipment List &amp; Usage'!$S59*'Weekly Summary'!G$65)+('Equipment List &amp; Usage'!$T59*('Weekly Summary'!G$64+'Weekly Summary'!G$65)),
IF(M$10=0,('Equipment List &amp; Usage'!$O59*'Weekly Summary'!G$52)+('Equipment List &amp; Usage'!$P59*'Weekly Summary'!G$53)+('Equipment List &amp; Usage'!$Q59*('Weekly Summary'!G$52+'Weekly Summary'!G$53))+('Equipment List &amp; Usage'!$R59*'Weekly Summary'!G$64)+('Equipment List &amp; Usage'!$S59*'Weekly Summary'!G$65)+('Equipment List &amp; Usage'!$T59*('Weekly Summary'!G$64+'Weekly Summary'!G$65)),
('Equipment List &amp; Usage'!$O59*'Weekly Summary'!G$52)+('Equipment List &amp; Usage'!$P59*'Weekly Summary'!G$53)+('Equipment List &amp; Usage'!$Q59*('Weekly Summary'!G$52+'Weekly Summary'!G$53))+('Equipment List &amp; Usage'!$R59*'Weekly Summary'!G$64)+('Equipment List &amp; Usage'!$S59*'Weekly Summary'!G$65)+('Equipment List &amp; Usage'!$T59*('Weekly Summary'!G$64+'Weekly Summary'!G$65))-SUM($I57:L57))),0)</f>
        <v>1.0738806756054065</v>
      </c>
      <c r="N57" s="1381">
        <f ca="1">MAX(IF($F57="No",('Equipment List &amp; Usage'!$O59*'Weekly Summary'!H$52)+('Equipment List &amp; Usage'!$P59*'Weekly Summary'!H$53)+('Equipment List &amp; Usage'!$Q59*('Weekly Summary'!H$52+'Weekly Summary'!H$53))+('Equipment List &amp; Usage'!$R59*'Weekly Summary'!H$64)+('Equipment List &amp; Usage'!$S59*'Weekly Summary'!H$65)+('Equipment List &amp; Usage'!$T59*('Weekly Summary'!H$64+'Weekly Summary'!H$65)),
IF(N$10=0,('Equipment List &amp; Usage'!$O59*'Weekly Summary'!H$52)+('Equipment List &amp; Usage'!$P59*'Weekly Summary'!H$53)+('Equipment List &amp; Usage'!$Q59*('Weekly Summary'!H$52+'Weekly Summary'!H$53))+('Equipment List &amp; Usage'!$R59*'Weekly Summary'!H$64)+('Equipment List &amp; Usage'!$S59*'Weekly Summary'!H$65)+('Equipment List &amp; Usage'!$T59*('Weekly Summary'!H$64+'Weekly Summary'!H$65)),
('Equipment List &amp; Usage'!$O59*'Weekly Summary'!H$52)+('Equipment List &amp; Usage'!$P59*'Weekly Summary'!H$53)+('Equipment List &amp; Usage'!$Q59*('Weekly Summary'!H$52+'Weekly Summary'!H$53))+('Equipment List &amp; Usage'!$R59*'Weekly Summary'!H$64)+('Equipment List &amp; Usage'!$S59*'Weekly Summary'!H$65)+('Equipment List &amp; Usage'!$T59*('Weekly Summary'!H$64+'Weekly Summary'!H$65))-SUM($I57:M57))),0)</f>
        <v>3.6902266814112066</v>
      </c>
      <c r="O57" s="1381">
        <f ca="1">MAX(IF($F57="No",('Equipment List &amp; Usage'!$O59*'Weekly Summary'!I$52)+('Equipment List &amp; Usage'!$P59*'Weekly Summary'!I$53)+('Equipment List &amp; Usage'!$Q59*('Weekly Summary'!I$52+'Weekly Summary'!I$53))+('Equipment List &amp; Usage'!$R59*'Weekly Summary'!I$64)+('Equipment List &amp; Usage'!$S59*'Weekly Summary'!I$65)+('Equipment List &amp; Usage'!$T59*('Weekly Summary'!I$64+'Weekly Summary'!I$65)),
IF(O$10=0,('Equipment List &amp; Usage'!$O59*'Weekly Summary'!I$52)+('Equipment List &amp; Usage'!$P59*'Weekly Summary'!I$53)+('Equipment List &amp; Usage'!$Q59*('Weekly Summary'!I$52+'Weekly Summary'!I$53))+('Equipment List &amp; Usage'!$R59*'Weekly Summary'!I$64)+('Equipment List &amp; Usage'!$S59*'Weekly Summary'!I$65)+('Equipment List &amp; Usage'!$T59*('Weekly Summary'!I$64+'Weekly Summary'!I$65)),
('Equipment List &amp; Usage'!$O59*'Weekly Summary'!I$52)+('Equipment List &amp; Usage'!$P59*'Weekly Summary'!I$53)+('Equipment List &amp; Usage'!$Q59*('Weekly Summary'!I$52+'Weekly Summary'!I$53))+('Equipment List &amp; Usage'!$R59*'Weekly Summary'!I$64)+('Equipment List &amp; Usage'!$S59*'Weekly Summary'!I$65)+('Equipment List &amp; Usage'!$T59*('Weekly Summary'!I$64+'Weekly Summary'!I$65))-SUM($I57:N57))),0)</f>
        <v>12.679328739570172</v>
      </c>
      <c r="P57" s="1381">
        <f ca="1">MAX(IF($F57="No",('Equipment List &amp; Usage'!$O59*'Weekly Summary'!J$52)+('Equipment List &amp; Usage'!$P59*'Weekly Summary'!J$53)+('Equipment List &amp; Usage'!$Q59*('Weekly Summary'!J$52+'Weekly Summary'!J$53))+('Equipment List &amp; Usage'!$R59*'Weekly Summary'!J$64)+('Equipment List &amp; Usage'!$S59*'Weekly Summary'!J$65)+('Equipment List &amp; Usage'!$T59*('Weekly Summary'!J$64+'Weekly Summary'!J$65)),
IF(P$10=0,('Equipment List &amp; Usage'!$O59*'Weekly Summary'!J$52)+('Equipment List &amp; Usage'!$P59*'Weekly Summary'!J$53)+('Equipment List &amp; Usage'!$Q59*('Weekly Summary'!J$52+'Weekly Summary'!J$53))+('Equipment List &amp; Usage'!$R59*'Weekly Summary'!J$64)+('Equipment List &amp; Usage'!$S59*'Weekly Summary'!J$65)+('Equipment List &amp; Usage'!$T59*('Weekly Summary'!J$64+'Weekly Summary'!J$65)),
('Equipment List &amp; Usage'!$O59*'Weekly Summary'!J$52)+('Equipment List &amp; Usage'!$P59*'Weekly Summary'!J$53)+('Equipment List &amp; Usage'!$Q59*('Weekly Summary'!J$52+'Weekly Summary'!J$53))+('Equipment List &amp; Usage'!$R59*'Weekly Summary'!J$64)+('Equipment List &amp; Usage'!$S59*'Weekly Summary'!J$65)+('Equipment List &amp; Usage'!$T59*('Weekly Summary'!J$64+'Weekly Summary'!J$65))-SUM($I57:O57))),0)</f>
        <v>43.546638552045877</v>
      </c>
      <c r="Q57" s="1381">
        <f ca="1">MAX(IF($F57="No",('Equipment List &amp; Usage'!$O59*'Weekly Summary'!K$52)+('Equipment List &amp; Usage'!$P59*'Weekly Summary'!K$53)+('Equipment List &amp; Usage'!$Q59*('Weekly Summary'!K$52+'Weekly Summary'!K$53))+('Equipment List &amp; Usage'!$R59*'Weekly Summary'!K$64)+('Equipment List &amp; Usage'!$S59*'Weekly Summary'!K$65)+('Equipment List &amp; Usage'!$T59*('Weekly Summary'!K$64+'Weekly Summary'!K$65)),
IF(Q$10=0,('Equipment List &amp; Usage'!$O59*'Weekly Summary'!K$52)+('Equipment List &amp; Usage'!$P59*'Weekly Summary'!K$53)+('Equipment List &amp; Usage'!$Q59*('Weekly Summary'!K$52+'Weekly Summary'!K$53))+('Equipment List &amp; Usage'!$R59*'Weekly Summary'!K$64)+('Equipment List &amp; Usage'!$S59*'Weekly Summary'!K$65)+('Equipment List &amp; Usage'!$T59*('Weekly Summary'!K$64+'Weekly Summary'!K$65)),
('Equipment List &amp; Usage'!$O59*'Weekly Summary'!K$52)+('Equipment List &amp; Usage'!$P59*'Weekly Summary'!K$53)+('Equipment List &amp; Usage'!$Q59*('Weekly Summary'!K$52+'Weekly Summary'!K$53))+('Equipment List &amp; Usage'!$R59*'Weekly Summary'!K$64)+('Equipment List &amp; Usage'!$S59*'Weekly Summary'!K$65)+('Equipment List &amp; Usage'!$T59*('Weekly Summary'!K$64+'Weekly Summary'!K$65))-SUM($I57:P57))),0)</f>
        <v>0</v>
      </c>
      <c r="R57" s="1381">
        <f ca="1">MAX(IF($F57="No",('Equipment List &amp; Usage'!$O59*'Weekly Summary'!L$52)+('Equipment List &amp; Usage'!$P59*'Weekly Summary'!L$53)+('Equipment List &amp; Usage'!$Q59*('Weekly Summary'!L$52+'Weekly Summary'!L$53))+('Equipment List &amp; Usage'!$R59*'Weekly Summary'!L$64)+('Equipment List &amp; Usage'!$S59*'Weekly Summary'!L$65)+('Equipment List &amp; Usage'!$T59*('Weekly Summary'!L$64+'Weekly Summary'!L$65)),
IF(R$10=0,('Equipment List &amp; Usage'!$O59*'Weekly Summary'!L$52)+('Equipment List &amp; Usage'!$P59*'Weekly Summary'!L$53)+('Equipment List &amp; Usage'!$Q59*('Weekly Summary'!L$52+'Weekly Summary'!L$53))+('Equipment List &amp; Usage'!$R59*'Weekly Summary'!L$64)+('Equipment List &amp; Usage'!$S59*'Weekly Summary'!L$65)+('Equipment List &amp; Usage'!$T59*('Weekly Summary'!L$64+'Weekly Summary'!L$65)),
('Equipment List &amp; Usage'!$O59*'Weekly Summary'!L$52)+('Equipment List &amp; Usage'!$P59*'Weekly Summary'!L$53)+('Equipment List &amp; Usage'!$Q59*('Weekly Summary'!L$52+'Weekly Summary'!L$53))+('Equipment List &amp; Usage'!$R59*'Weekly Summary'!L$64)+('Equipment List &amp; Usage'!$S59*'Weekly Summary'!L$65)+('Equipment List &amp; Usage'!$T59*('Weekly Summary'!L$64+'Weekly Summary'!L$65))-SUM($I57:Q57))),0)</f>
        <v>0</v>
      </c>
      <c r="S57" s="1381">
        <f ca="1">MAX(IF($F57="No",('Equipment List &amp; Usage'!$O59*'Weekly Summary'!M$52)+('Equipment List &amp; Usage'!$P59*'Weekly Summary'!M$53)+('Equipment List &amp; Usage'!$Q59*('Weekly Summary'!M$52+'Weekly Summary'!M$53))+('Equipment List &amp; Usage'!$R59*'Weekly Summary'!M$64)+('Equipment List &amp; Usage'!$S59*'Weekly Summary'!M$65)+('Equipment List &amp; Usage'!$T59*('Weekly Summary'!M$64+'Weekly Summary'!M$65)),
IF(S$10=0,('Equipment List &amp; Usage'!$O59*'Weekly Summary'!M$52)+('Equipment List &amp; Usage'!$P59*'Weekly Summary'!M$53)+('Equipment List &amp; Usage'!$Q59*('Weekly Summary'!M$52+'Weekly Summary'!M$53))+('Equipment List &amp; Usage'!$R59*'Weekly Summary'!M$64)+('Equipment List &amp; Usage'!$S59*'Weekly Summary'!M$65)+('Equipment List &amp; Usage'!$T59*('Weekly Summary'!M$64+'Weekly Summary'!M$65)),
('Equipment List &amp; Usage'!$O59*'Weekly Summary'!M$52)+('Equipment List &amp; Usage'!$P59*'Weekly Summary'!M$53)+('Equipment List &amp; Usage'!$Q59*('Weekly Summary'!M$52+'Weekly Summary'!M$53))+('Equipment List &amp; Usage'!$R59*'Weekly Summary'!M$64)+('Equipment List &amp; Usage'!$S59*'Weekly Summary'!M$65)+('Equipment List &amp; Usage'!$T59*('Weekly Summary'!M$64+'Weekly Summary'!M$65))-SUM($I57:R57))),0)</f>
        <v>0</v>
      </c>
      <c r="T57" s="1381">
        <f ca="1">MAX(IF($F57="No",('Equipment List &amp; Usage'!$O59*'Weekly Summary'!N$52)+('Equipment List &amp; Usage'!$P59*'Weekly Summary'!N$53)+('Equipment List &amp; Usage'!$Q59*('Weekly Summary'!N$52+'Weekly Summary'!N$53))+('Equipment List &amp; Usage'!$R59*'Weekly Summary'!N$64)+('Equipment List &amp; Usage'!$S59*'Weekly Summary'!N$65)+('Equipment List &amp; Usage'!$T59*('Weekly Summary'!N$64+'Weekly Summary'!N$65)),
IF(T$10=0,('Equipment List &amp; Usage'!$O59*'Weekly Summary'!N$52)+('Equipment List &amp; Usage'!$P59*'Weekly Summary'!N$53)+('Equipment List &amp; Usage'!$Q59*('Weekly Summary'!N$52+'Weekly Summary'!N$53))+('Equipment List &amp; Usage'!$R59*'Weekly Summary'!N$64)+('Equipment List &amp; Usage'!$S59*'Weekly Summary'!N$65)+('Equipment List &amp; Usage'!$T59*('Weekly Summary'!N$64+'Weekly Summary'!N$65)),
('Equipment List &amp; Usage'!$O59*'Weekly Summary'!N$52)+('Equipment List &amp; Usage'!$P59*'Weekly Summary'!N$53)+('Equipment List &amp; Usage'!$Q59*('Weekly Summary'!N$52+'Weekly Summary'!N$53))+('Equipment List &amp; Usage'!$R59*'Weekly Summary'!N$64)+('Equipment List &amp; Usage'!$S59*'Weekly Summary'!N$65)+('Equipment List &amp; Usage'!$T59*('Weekly Summary'!N$64+'Weekly Summary'!N$65))-SUM($I57:S57))),0)</f>
        <v>0</v>
      </c>
      <c r="U57" s="1381">
        <f ca="1">MAX(IF($F57="No",('Equipment List &amp; Usage'!$O59*'Weekly Summary'!O$52)+('Equipment List &amp; Usage'!$P59*'Weekly Summary'!O$53)+('Equipment List &amp; Usage'!$Q59*('Weekly Summary'!O$52+'Weekly Summary'!O$53))+('Equipment List &amp; Usage'!$R59*'Weekly Summary'!O$64)+('Equipment List &amp; Usage'!$S59*'Weekly Summary'!O$65)+('Equipment List &amp; Usage'!$T59*('Weekly Summary'!O$64+'Weekly Summary'!O$65)),
IF(U$10=0,('Equipment List &amp; Usage'!$O59*'Weekly Summary'!O$52)+('Equipment List &amp; Usage'!$P59*'Weekly Summary'!O$53)+('Equipment List &amp; Usage'!$Q59*('Weekly Summary'!O$52+'Weekly Summary'!O$53))+('Equipment List &amp; Usage'!$R59*'Weekly Summary'!O$64)+('Equipment List &amp; Usage'!$S59*'Weekly Summary'!O$65)+('Equipment List &amp; Usage'!$T59*('Weekly Summary'!O$64+'Weekly Summary'!O$65)),
('Equipment List &amp; Usage'!$O59*'Weekly Summary'!O$52)+('Equipment List &amp; Usage'!$P59*'Weekly Summary'!O$53)+('Equipment List &amp; Usage'!$Q59*('Weekly Summary'!O$52+'Weekly Summary'!O$53))+('Equipment List &amp; Usage'!$R59*'Weekly Summary'!O$64)+('Equipment List &amp; Usage'!$S59*'Weekly Summary'!O$65)+('Equipment List &amp; Usage'!$T59*('Weekly Summary'!O$64+'Weekly Summary'!O$65))-SUM($I57:T57))),0)</f>
        <v>0</v>
      </c>
      <c r="V57" s="1381">
        <f ca="1">MAX(IF($F57="No",('Equipment List &amp; Usage'!$O59*'Weekly Summary'!P$52)+('Equipment List &amp; Usage'!$P59*'Weekly Summary'!P$53)+('Equipment List &amp; Usage'!$Q59*('Weekly Summary'!P$52+'Weekly Summary'!P$53))+('Equipment List &amp; Usage'!$R59*'Weekly Summary'!P$64)+('Equipment List &amp; Usage'!$S59*'Weekly Summary'!P$65)+('Equipment List &amp; Usage'!$T59*('Weekly Summary'!P$64+'Weekly Summary'!P$65)),
IF(V$10=0,('Equipment List &amp; Usage'!$O59*'Weekly Summary'!P$52)+('Equipment List &amp; Usage'!$P59*'Weekly Summary'!P$53)+('Equipment List &amp; Usage'!$Q59*('Weekly Summary'!P$52+'Weekly Summary'!P$53))+('Equipment List &amp; Usage'!$R59*'Weekly Summary'!P$64)+('Equipment List &amp; Usage'!$S59*'Weekly Summary'!P$65)+('Equipment List &amp; Usage'!$T59*('Weekly Summary'!P$64+'Weekly Summary'!P$65)),
('Equipment List &amp; Usage'!$O59*'Weekly Summary'!P$52)+('Equipment List &amp; Usage'!$P59*'Weekly Summary'!P$53)+('Equipment List &amp; Usage'!$Q59*('Weekly Summary'!P$52+'Weekly Summary'!P$53))+('Equipment List &amp; Usage'!$R59*'Weekly Summary'!P$64)+('Equipment List &amp; Usage'!$S59*'Weekly Summary'!P$65)+('Equipment List &amp; Usage'!$T59*('Weekly Summary'!P$64+'Weekly Summary'!P$65))-SUM($I57:U57))),0)</f>
        <v>0</v>
      </c>
      <c r="W57" s="1381">
        <f ca="1">MAX(IF($F57="No",('Equipment List &amp; Usage'!$O59*'Weekly Summary'!Q$52)+('Equipment List &amp; Usage'!$P59*'Weekly Summary'!Q$53)+('Equipment List &amp; Usage'!$Q59*('Weekly Summary'!Q$52+'Weekly Summary'!Q$53))+('Equipment List &amp; Usage'!$R59*'Weekly Summary'!Q$64)+('Equipment List &amp; Usage'!$S59*'Weekly Summary'!Q$65)+('Equipment List &amp; Usage'!$T59*('Weekly Summary'!Q$64+'Weekly Summary'!Q$65)),
IF(W$10=0,('Equipment List &amp; Usage'!$O59*'Weekly Summary'!Q$52)+('Equipment List &amp; Usage'!$P59*'Weekly Summary'!Q$53)+('Equipment List &amp; Usage'!$Q59*('Weekly Summary'!Q$52+'Weekly Summary'!Q$53))+('Equipment List &amp; Usage'!$R59*'Weekly Summary'!Q$64)+('Equipment List &amp; Usage'!$S59*'Weekly Summary'!Q$65)+('Equipment List &amp; Usage'!$T59*('Weekly Summary'!Q$64+'Weekly Summary'!Q$65)),
('Equipment List &amp; Usage'!$O59*'Weekly Summary'!Q$52)+('Equipment List &amp; Usage'!$P59*'Weekly Summary'!Q$53)+('Equipment List &amp; Usage'!$Q59*('Weekly Summary'!Q$52+'Weekly Summary'!Q$53))+('Equipment List &amp; Usage'!$R59*'Weekly Summary'!Q$64)+('Equipment List &amp; Usage'!$S59*'Weekly Summary'!Q$65)+('Equipment List &amp; Usage'!$T59*('Weekly Summary'!Q$64+'Weekly Summary'!Q$65))-SUM($I57:V57))),0)</f>
        <v>0</v>
      </c>
      <c r="X57" s="1381">
        <f ca="1">MAX(IF($F57="No",('Equipment List &amp; Usage'!$O59*'Weekly Summary'!R$52)+('Equipment List &amp; Usage'!$P59*'Weekly Summary'!R$53)+('Equipment List &amp; Usage'!$Q59*('Weekly Summary'!R$52+'Weekly Summary'!R$53))+('Equipment List &amp; Usage'!$R59*'Weekly Summary'!R$64)+('Equipment List &amp; Usage'!$S59*'Weekly Summary'!R$65)+('Equipment List &amp; Usage'!$T59*('Weekly Summary'!R$64+'Weekly Summary'!R$65)),
IF(X$10=0,('Equipment List &amp; Usage'!$O59*'Weekly Summary'!R$52)+('Equipment List &amp; Usage'!$P59*'Weekly Summary'!R$53)+('Equipment List &amp; Usage'!$Q59*('Weekly Summary'!R$52+'Weekly Summary'!R$53))+('Equipment List &amp; Usage'!$R59*'Weekly Summary'!R$64)+('Equipment List &amp; Usage'!$S59*'Weekly Summary'!R$65)+('Equipment List &amp; Usage'!$T59*('Weekly Summary'!R$64+'Weekly Summary'!R$65)),
('Equipment List &amp; Usage'!$O59*'Weekly Summary'!R$52)+('Equipment List &amp; Usage'!$P59*'Weekly Summary'!R$53)+('Equipment List &amp; Usage'!$Q59*('Weekly Summary'!R$52+'Weekly Summary'!R$53))+('Equipment List &amp; Usage'!$R59*'Weekly Summary'!R$64)+('Equipment List &amp; Usage'!$S59*'Weekly Summary'!R$65)+('Equipment List &amp; Usage'!$T59*('Weekly Summary'!R$64+'Weekly Summary'!R$65))-SUM($I57:W57))),0)</f>
        <v>0</v>
      </c>
      <c r="Y57" s="1381">
        <f ca="1">MAX(IF($F57="No",('Equipment List &amp; Usage'!$O59*'Weekly Summary'!S$52)+('Equipment List &amp; Usage'!$P59*'Weekly Summary'!S$53)+('Equipment List &amp; Usage'!$Q59*('Weekly Summary'!S$52+'Weekly Summary'!S$53))+('Equipment List &amp; Usage'!$R59*'Weekly Summary'!S$64)+('Equipment List &amp; Usage'!$S59*'Weekly Summary'!S$65)+('Equipment List &amp; Usage'!$T59*('Weekly Summary'!S$64+'Weekly Summary'!S$65)),
IF(Y$10=0,('Equipment List &amp; Usage'!$O59*'Weekly Summary'!S$52)+('Equipment List &amp; Usage'!$P59*'Weekly Summary'!S$53)+('Equipment List &amp; Usage'!$Q59*('Weekly Summary'!S$52+'Weekly Summary'!S$53))+('Equipment List &amp; Usage'!$R59*'Weekly Summary'!S$64)+('Equipment List &amp; Usage'!$S59*'Weekly Summary'!S$65)+('Equipment List &amp; Usage'!$T59*('Weekly Summary'!S$64+'Weekly Summary'!S$65)),
('Equipment List &amp; Usage'!$O59*'Weekly Summary'!S$52)+('Equipment List &amp; Usage'!$P59*'Weekly Summary'!S$53)+('Equipment List &amp; Usage'!$Q59*('Weekly Summary'!S$52+'Weekly Summary'!S$53))+('Equipment List &amp; Usage'!$R59*'Weekly Summary'!S$64)+('Equipment List &amp; Usage'!$S59*'Weekly Summary'!S$65)+('Equipment List &amp; Usage'!$T59*('Weekly Summary'!S$64+'Weekly Summary'!S$65))-SUM($I57:X57))),0)</f>
        <v>0</v>
      </c>
      <c r="Z57" s="1381">
        <f ca="1">MAX(IF($F57="No",('Equipment List &amp; Usage'!$O59*'Weekly Summary'!T$52)+('Equipment List &amp; Usage'!$P59*'Weekly Summary'!T$53)+('Equipment List &amp; Usage'!$Q59*('Weekly Summary'!T$52+'Weekly Summary'!T$53))+('Equipment List &amp; Usage'!$R59*'Weekly Summary'!T$64)+('Equipment List &amp; Usage'!$S59*'Weekly Summary'!T$65)+('Equipment List &amp; Usage'!$T59*('Weekly Summary'!T$64+'Weekly Summary'!T$65)),
IF(Z$10=0,('Equipment List &amp; Usage'!$O59*'Weekly Summary'!T$52)+('Equipment List &amp; Usage'!$P59*'Weekly Summary'!T$53)+('Equipment List &amp; Usage'!$Q59*('Weekly Summary'!T$52+'Weekly Summary'!T$53))+('Equipment List &amp; Usage'!$R59*'Weekly Summary'!T$64)+('Equipment List &amp; Usage'!$S59*'Weekly Summary'!T$65)+('Equipment List &amp; Usage'!$T59*('Weekly Summary'!T$64+'Weekly Summary'!T$65)),
('Equipment List &amp; Usage'!$O59*'Weekly Summary'!T$52)+('Equipment List &amp; Usage'!$P59*'Weekly Summary'!T$53)+('Equipment List &amp; Usage'!$Q59*('Weekly Summary'!T$52+'Weekly Summary'!T$53))+('Equipment List &amp; Usage'!$R59*'Weekly Summary'!T$64)+('Equipment List &amp; Usage'!$S59*'Weekly Summary'!T$65)+('Equipment List &amp; Usage'!$T59*('Weekly Summary'!T$64+'Weekly Summary'!T$65))-SUM($I57:Y57))),0)</f>
        <v>0</v>
      </c>
      <c r="AA57" s="1381">
        <f ca="1">MAX(IF($F57="No",('Equipment List &amp; Usage'!$O59*'Weekly Summary'!U$52)+('Equipment List &amp; Usage'!$P59*'Weekly Summary'!U$53)+('Equipment List &amp; Usage'!$Q59*('Weekly Summary'!U$52+'Weekly Summary'!U$53))+('Equipment List &amp; Usage'!$R59*'Weekly Summary'!U$64)+('Equipment List &amp; Usage'!$S59*'Weekly Summary'!U$65)+('Equipment List &amp; Usage'!$T59*('Weekly Summary'!U$64+'Weekly Summary'!U$65)),
IF(AA$10=0,('Equipment List &amp; Usage'!$O59*'Weekly Summary'!U$52)+('Equipment List &amp; Usage'!$P59*'Weekly Summary'!U$53)+('Equipment List &amp; Usage'!$Q59*('Weekly Summary'!U$52+'Weekly Summary'!U$53))+('Equipment List &amp; Usage'!$R59*'Weekly Summary'!U$64)+('Equipment List &amp; Usage'!$S59*'Weekly Summary'!U$65)+('Equipment List &amp; Usage'!$T59*('Weekly Summary'!U$64+'Weekly Summary'!U$65)),
('Equipment List &amp; Usage'!$O59*'Weekly Summary'!U$52)+('Equipment List &amp; Usage'!$P59*'Weekly Summary'!U$53)+('Equipment List &amp; Usage'!$Q59*('Weekly Summary'!U$52+'Weekly Summary'!U$53))+('Equipment List &amp; Usage'!$R59*'Weekly Summary'!U$64)+('Equipment List &amp; Usage'!$S59*'Weekly Summary'!U$65)+('Equipment List &amp; Usage'!$T59*('Weekly Summary'!U$64+'Weekly Summary'!U$65))-SUM($I57:Z57))),0)</f>
        <v>0</v>
      </c>
      <c r="AB57" s="1381">
        <f ca="1">MAX(IF($F57="No",('Equipment List &amp; Usage'!$O59*'Weekly Summary'!V$52)+('Equipment List &amp; Usage'!$P59*'Weekly Summary'!V$53)+('Equipment List &amp; Usage'!$Q59*('Weekly Summary'!V$52+'Weekly Summary'!V$53))+('Equipment List &amp; Usage'!$R59*'Weekly Summary'!V$64)+('Equipment List &amp; Usage'!$S59*'Weekly Summary'!V$65)+('Equipment List &amp; Usage'!$T59*('Weekly Summary'!V$64+'Weekly Summary'!V$65)),
IF(AB$10=0,('Equipment List &amp; Usage'!$O59*'Weekly Summary'!V$52)+('Equipment List &amp; Usage'!$P59*'Weekly Summary'!V$53)+('Equipment List &amp; Usage'!$Q59*('Weekly Summary'!V$52+'Weekly Summary'!V$53))+('Equipment List &amp; Usage'!$R59*'Weekly Summary'!V$64)+('Equipment List &amp; Usage'!$S59*'Weekly Summary'!V$65)+('Equipment List &amp; Usage'!$T59*('Weekly Summary'!V$64+'Weekly Summary'!V$65)),
('Equipment List &amp; Usage'!$O59*'Weekly Summary'!V$52)+('Equipment List &amp; Usage'!$P59*'Weekly Summary'!V$53)+('Equipment List &amp; Usage'!$Q59*('Weekly Summary'!V$52+'Weekly Summary'!V$53))+('Equipment List &amp; Usage'!$R59*'Weekly Summary'!V$64)+('Equipment List &amp; Usage'!$S59*'Weekly Summary'!V$65)+('Equipment List &amp; Usage'!$T59*('Weekly Summary'!V$64+'Weekly Summary'!V$65))-SUM($I57:AA57))),0)</f>
        <v>0</v>
      </c>
      <c r="AC57" s="1381">
        <f ca="1">MAX(IF($F57="No",('Equipment List &amp; Usage'!$O59*'Weekly Summary'!W$52)+('Equipment List &amp; Usage'!$P59*'Weekly Summary'!W$53)+('Equipment List &amp; Usage'!$Q59*('Weekly Summary'!W$52+'Weekly Summary'!W$53))+('Equipment List &amp; Usage'!$R59*'Weekly Summary'!W$64)+('Equipment List &amp; Usage'!$S59*'Weekly Summary'!W$65)+('Equipment List &amp; Usage'!$T59*('Weekly Summary'!W$64+'Weekly Summary'!W$65)),
IF(AC$10=0,('Equipment List &amp; Usage'!$O59*'Weekly Summary'!W$52)+('Equipment List &amp; Usage'!$P59*'Weekly Summary'!W$53)+('Equipment List &amp; Usage'!$Q59*('Weekly Summary'!W$52+'Weekly Summary'!W$53))+('Equipment List &amp; Usage'!$R59*'Weekly Summary'!W$64)+('Equipment List &amp; Usage'!$S59*'Weekly Summary'!W$65)+('Equipment List &amp; Usage'!$T59*('Weekly Summary'!W$64+'Weekly Summary'!W$65)),
('Equipment List &amp; Usage'!$O59*'Weekly Summary'!W$52)+('Equipment List &amp; Usage'!$P59*'Weekly Summary'!W$53)+('Equipment List &amp; Usage'!$Q59*('Weekly Summary'!W$52+'Weekly Summary'!W$53))+('Equipment List &amp; Usage'!$R59*'Weekly Summary'!W$64)+('Equipment List &amp; Usage'!$S59*'Weekly Summary'!W$65)+('Equipment List &amp; Usage'!$T59*('Weekly Summary'!W$64+'Weekly Summary'!W$65))-SUM($I57:AB57))),0)</f>
        <v>0</v>
      </c>
      <c r="AD57" s="1381">
        <f ca="1">MAX(IF($F57="No",('Equipment List &amp; Usage'!$O59*'Weekly Summary'!X$52)+('Equipment List &amp; Usage'!$P59*'Weekly Summary'!X$53)+('Equipment List &amp; Usage'!$Q59*('Weekly Summary'!X$52+'Weekly Summary'!X$53))+('Equipment List &amp; Usage'!$R59*'Weekly Summary'!X$64)+('Equipment List &amp; Usage'!$S59*'Weekly Summary'!X$65)+('Equipment List &amp; Usage'!$T59*('Weekly Summary'!X$64+'Weekly Summary'!X$65)),
IF(AD$10=0,('Equipment List &amp; Usage'!$O59*'Weekly Summary'!X$52)+('Equipment List &amp; Usage'!$P59*'Weekly Summary'!X$53)+('Equipment List &amp; Usage'!$Q59*('Weekly Summary'!X$52+'Weekly Summary'!X$53))+('Equipment List &amp; Usage'!$R59*'Weekly Summary'!X$64)+('Equipment List &amp; Usage'!$S59*'Weekly Summary'!X$65)+('Equipment List &amp; Usage'!$T59*('Weekly Summary'!X$64+'Weekly Summary'!X$65)),
('Equipment List &amp; Usage'!$O59*'Weekly Summary'!X$52)+('Equipment List &amp; Usage'!$P59*'Weekly Summary'!X$53)+('Equipment List &amp; Usage'!$Q59*('Weekly Summary'!X$52+'Weekly Summary'!X$53))+('Equipment List &amp; Usage'!$R59*'Weekly Summary'!X$64)+('Equipment List &amp; Usage'!$S59*'Weekly Summary'!X$65)+('Equipment List &amp; Usage'!$T59*('Weekly Summary'!X$64+'Weekly Summary'!X$65))-SUM($I57:AC57))),0)</f>
        <v>0</v>
      </c>
      <c r="AE57" s="1381">
        <f ca="1">MAX(IF($F57="No",('Equipment List &amp; Usage'!$O59*'Weekly Summary'!Y$52)+('Equipment List &amp; Usage'!$P59*'Weekly Summary'!Y$53)+('Equipment List &amp; Usage'!$Q59*('Weekly Summary'!Y$52+'Weekly Summary'!Y$53))+('Equipment List &amp; Usage'!$R59*'Weekly Summary'!Y$64)+('Equipment List &amp; Usage'!$S59*'Weekly Summary'!Y$65)+('Equipment List &amp; Usage'!$T59*('Weekly Summary'!Y$64+'Weekly Summary'!Y$65)),
IF(AE$10=0,('Equipment List &amp; Usage'!$O59*'Weekly Summary'!Y$52)+('Equipment List &amp; Usage'!$P59*'Weekly Summary'!Y$53)+('Equipment List &amp; Usage'!$Q59*('Weekly Summary'!Y$52+'Weekly Summary'!Y$53))+('Equipment List &amp; Usage'!$R59*'Weekly Summary'!Y$64)+('Equipment List &amp; Usage'!$S59*'Weekly Summary'!Y$65)+('Equipment List &amp; Usage'!$T59*('Weekly Summary'!Y$64+'Weekly Summary'!Y$65)),
('Equipment List &amp; Usage'!$O59*'Weekly Summary'!Y$52)+('Equipment List &amp; Usage'!$P59*'Weekly Summary'!Y$53)+('Equipment List &amp; Usage'!$Q59*('Weekly Summary'!Y$52+'Weekly Summary'!Y$53))+('Equipment List &amp; Usage'!$R59*'Weekly Summary'!Y$64)+('Equipment List &amp; Usage'!$S59*'Weekly Summary'!Y$65)+('Equipment List &amp; Usage'!$T59*('Weekly Summary'!Y$64+'Weekly Summary'!Y$65))-SUM($I57:AD57))),0)</f>
        <v>0</v>
      </c>
      <c r="AF57" s="1381">
        <f ca="1">MAX(IF($F57="No",('Equipment List &amp; Usage'!$O59*'Weekly Summary'!Z$52)+('Equipment List &amp; Usage'!$P59*'Weekly Summary'!Z$53)+('Equipment List &amp; Usage'!$Q59*('Weekly Summary'!Z$52+'Weekly Summary'!Z$53))+('Equipment List &amp; Usage'!$R59*'Weekly Summary'!Z$64)+('Equipment List &amp; Usage'!$S59*'Weekly Summary'!Z$65)+('Equipment List &amp; Usage'!$T59*('Weekly Summary'!Z$64+'Weekly Summary'!Z$65)),
IF(AF$10=0,('Equipment List &amp; Usage'!$O59*'Weekly Summary'!Z$52)+('Equipment List &amp; Usage'!$P59*'Weekly Summary'!Z$53)+('Equipment List &amp; Usage'!$Q59*('Weekly Summary'!Z$52+'Weekly Summary'!Z$53))+('Equipment List &amp; Usage'!$R59*'Weekly Summary'!Z$64)+('Equipment List &amp; Usage'!$S59*'Weekly Summary'!Z$65)+('Equipment List &amp; Usage'!$T59*('Weekly Summary'!Z$64+'Weekly Summary'!Z$65)),
('Equipment List &amp; Usage'!$O59*'Weekly Summary'!Z$52)+('Equipment List &amp; Usage'!$P59*'Weekly Summary'!Z$53)+('Equipment List &amp; Usage'!$Q59*('Weekly Summary'!Z$52+'Weekly Summary'!Z$53))+('Equipment List &amp; Usage'!$R59*'Weekly Summary'!Z$64)+('Equipment List &amp; Usage'!$S59*'Weekly Summary'!Z$65)+('Equipment List &amp; Usage'!$T59*('Weekly Summary'!Z$64+'Weekly Summary'!Z$65))-SUM($I57:AE57))),0)</f>
        <v>0</v>
      </c>
      <c r="AG57" s="1381">
        <f ca="1">MAX(IF($F57="No",('Equipment List &amp; Usage'!$O59*'Weekly Summary'!AA$52)+('Equipment List &amp; Usage'!$P59*'Weekly Summary'!AA$53)+('Equipment List &amp; Usage'!$Q59*('Weekly Summary'!AA$52+'Weekly Summary'!AA$53))+('Equipment List &amp; Usage'!$R59*'Weekly Summary'!AA$64)+('Equipment List &amp; Usage'!$S59*'Weekly Summary'!AA$65)+('Equipment List &amp; Usage'!$T59*('Weekly Summary'!AA$64+'Weekly Summary'!AA$65)),
IF(AG$10=0,('Equipment List &amp; Usage'!$O59*'Weekly Summary'!AA$52)+('Equipment List &amp; Usage'!$P59*'Weekly Summary'!AA$53)+('Equipment List &amp; Usage'!$Q59*('Weekly Summary'!AA$52+'Weekly Summary'!AA$53))+('Equipment List &amp; Usage'!$R59*'Weekly Summary'!AA$64)+('Equipment List &amp; Usage'!$S59*'Weekly Summary'!AA$65)+('Equipment List &amp; Usage'!$T59*('Weekly Summary'!AA$64+'Weekly Summary'!AA$65)),
('Equipment List &amp; Usage'!$O59*'Weekly Summary'!AA$52)+('Equipment List &amp; Usage'!$P59*'Weekly Summary'!AA$53)+('Equipment List &amp; Usage'!$Q59*('Weekly Summary'!AA$52+'Weekly Summary'!AA$53))+('Equipment List &amp; Usage'!$R59*'Weekly Summary'!AA$64)+('Equipment List &amp; Usage'!$S59*'Weekly Summary'!AA$65)+('Equipment List &amp; Usage'!$T59*('Weekly Summary'!AA$64+'Weekly Summary'!AA$65))-SUM($I57:AF57))),0)</f>
        <v>0</v>
      </c>
      <c r="AH57" s="1381">
        <f ca="1">MAX(IF($F57="No",('Equipment List &amp; Usage'!$O59*'Weekly Summary'!AB$52)+('Equipment List &amp; Usage'!$P59*'Weekly Summary'!AB$53)+('Equipment List &amp; Usage'!$Q59*('Weekly Summary'!AB$52+'Weekly Summary'!AB$53))+('Equipment List &amp; Usage'!$R59*'Weekly Summary'!AB$64)+('Equipment List &amp; Usage'!$S59*'Weekly Summary'!AB$65)+('Equipment List &amp; Usage'!$T59*('Weekly Summary'!AB$64+'Weekly Summary'!AB$65)),
IF(AH$10=0,('Equipment List &amp; Usage'!$O59*'Weekly Summary'!AB$52)+('Equipment List &amp; Usage'!$P59*'Weekly Summary'!AB$53)+('Equipment List &amp; Usage'!$Q59*('Weekly Summary'!AB$52+'Weekly Summary'!AB$53))+('Equipment List &amp; Usage'!$R59*'Weekly Summary'!AB$64)+('Equipment List &amp; Usage'!$S59*'Weekly Summary'!AB$65)+('Equipment List &amp; Usage'!$T59*('Weekly Summary'!AB$64+'Weekly Summary'!AB$65)),
('Equipment List &amp; Usage'!$O59*'Weekly Summary'!AB$52)+('Equipment List &amp; Usage'!$P59*'Weekly Summary'!AB$53)+('Equipment List &amp; Usage'!$Q59*('Weekly Summary'!AB$52+'Weekly Summary'!AB$53))+('Equipment List &amp; Usage'!$R59*'Weekly Summary'!AB$64)+('Equipment List &amp; Usage'!$S59*'Weekly Summary'!AB$65)+('Equipment List &amp; Usage'!$T59*('Weekly Summary'!AB$64+'Weekly Summary'!AB$65))-SUM($I57:AG57))),0)</f>
        <v>0</v>
      </c>
      <c r="AI57" s="1381">
        <f ca="1">MAX(IF($F57="No",('Equipment List &amp; Usage'!$O59*'Weekly Summary'!AC$52)+('Equipment List &amp; Usage'!$P59*'Weekly Summary'!AC$53)+('Equipment List &amp; Usage'!$Q59*('Weekly Summary'!AC$52+'Weekly Summary'!AC$53))+('Equipment List &amp; Usage'!$R59*'Weekly Summary'!AC$64)+('Equipment List &amp; Usage'!$S59*'Weekly Summary'!AC$65)+('Equipment List &amp; Usage'!$T59*('Weekly Summary'!AC$64+'Weekly Summary'!AC$65)),
IF(AI$10=0,('Equipment List &amp; Usage'!$O59*'Weekly Summary'!AC$52)+('Equipment List &amp; Usage'!$P59*'Weekly Summary'!AC$53)+('Equipment List &amp; Usage'!$Q59*('Weekly Summary'!AC$52+'Weekly Summary'!AC$53))+('Equipment List &amp; Usage'!$R59*'Weekly Summary'!AC$64)+('Equipment List &amp; Usage'!$S59*'Weekly Summary'!AC$65)+('Equipment List &amp; Usage'!$T59*('Weekly Summary'!AC$64+'Weekly Summary'!AC$65)),
('Equipment List &amp; Usage'!$O59*'Weekly Summary'!AC$52)+('Equipment List &amp; Usage'!$P59*'Weekly Summary'!AC$53)+('Equipment List &amp; Usage'!$Q59*('Weekly Summary'!AC$52+'Weekly Summary'!AC$53))+('Equipment List &amp; Usage'!$R59*'Weekly Summary'!AC$64)+('Equipment List &amp; Usage'!$S59*'Weekly Summary'!AC$65)+('Equipment List &amp; Usage'!$T59*('Weekly Summary'!AC$64+'Weekly Summary'!AC$65))-SUM($I57:AH57))),0)</f>
        <v>0</v>
      </c>
      <c r="AJ57" s="1381">
        <f ca="1">MAX(IF($F57="No",('Equipment List &amp; Usage'!$O59*'Weekly Summary'!AD$52)+('Equipment List &amp; Usage'!$P59*'Weekly Summary'!AD$53)+('Equipment List &amp; Usage'!$Q59*('Weekly Summary'!AD$52+'Weekly Summary'!AD$53))+('Equipment List &amp; Usage'!$R59*'Weekly Summary'!AD$64)+('Equipment List &amp; Usage'!$S59*'Weekly Summary'!AD$65)+('Equipment List &amp; Usage'!$T59*('Weekly Summary'!AD$64+'Weekly Summary'!AD$65)),
IF(AJ$10=0,('Equipment List &amp; Usage'!$O59*'Weekly Summary'!AD$52)+('Equipment List &amp; Usage'!$P59*'Weekly Summary'!AD$53)+('Equipment List &amp; Usage'!$Q59*('Weekly Summary'!AD$52+'Weekly Summary'!AD$53))+('Equipment List &amp; Usage'!$R59*'Weekly Summary'!AD$64)+('Equipment List &amp; Usage'!$S59*'Weekly Summary'!AD$65)+('Equipment List &amp; Usage'!$T59*('Weekly Summary'!AD$64+'Weekly Summary'!AD$65)),
('Equipment List &amp; Usage'!$O59*'Weekly Summary'!AD$52)+('Equipment List &amp; Usage'!$P59*'Weekly Summary'!AD$53)+('Equipment List &amp; Usage'!$Q59*('Weekly Summary'!AD$52+'Weekly Summary'!AD$53))+('Equipment List &amp; Usage'!$R59*'Weekly Summary'!AD$64)+('Equipment List &amp; Usage'!$S59*'Weekly Summary'!AD$65)+('Equipment List &amp; Usage'!$T59*('Weekly Summary'!AD$64+'Weekly Summary'!AD$65))-SUM($I57:AI57))),0)</f>
        <v>0</v>
      </c>
      <c r="AK57" s="1381">
        <f ca="1">MAX(IF($F57="No",('Equipment List &amp; Usage'!$O59*'Weekly Summary'!AE$52)+('Equipment List &amp; Usage'!$P59*'Weekly Summary'!AE$53)+('Equipment List &amp; Usage'!$Q59*('Weekly Summary'!AE$52+'Weekly Summary'!AE$53))+('Equipment List &amp; Usage'!$R59*'Weekly Summary'!AE$64)+('Equipment List &amp; Usage'!$S59*'Weekly Summary'!AE$65)+('Equipment List &amp; Usage'!$T59*('Weekly Summary'!AE$64+'Weekly Summary'!AE$65)),
IF(AK$10=0,('Equipment List &amp; Usage'!$O59*'Weekly Summary'!AE$52)+('Equipment List &amp; Usage'!$P59*'Weekly Summary'!AE$53)+('Equipment List &amp; Usage'!$Q59*('Weekly Summary'!AE$52+'Weekly Summary'!AE$53))+('Equipment List &amp; Usage'!$R59*'Weekly Summary'!AE$64)+('Equipment List &amp; Usage'!$S59*'Weekly Summary'!AE$65)+('Equipment List &amp; Usage'!$T59*('Weekly Summary'!AE$64+'Weekly Summary'!AE$65)),
('Equipment List &amp; Usage'!$O59*'Weekly Summary'!AE$52)+('Equipment List &amp; Usage'!$P59*'Weekly Summary'!AE$53)+('Equipment List &amp; Usage'!$Q59*('Weekly Summary'!AE$52+'Weekly Summary'!AE$53))+('Equipment List &amp; Usage'!$R59*'Weekly Summary'!AE$64)+('Equipment List &amp; Usage'!$S59*'Weekly Summary'!AE$65)+('Equipment List &amp; Usage'!$T59*('Weekly Summary'!AE$64+'Weekly Summary'!AE$65))-SUM($I57:AJ57))),0)</f>
        <v>0</v>
      </c>
      <c r="AL57" s="1381">
        <f ca="1">MAX(IF($F57="No",('Equipment List &amp; Usage'!$O59*'Weekly Summary'!AF$52)+('Equipment List &amp; Usage'!$P59*'Weekly Summary'!AF$53)+('Equipment List &amp; Usage'!$Q59*('Weekly Summary'!AF$52+'Weekly Summary'!AF$53))+('Equipment List &amp; Usage'!$R59*'Weekly Summary'!AF$64)+('Equipment List &amp; Usage'!$S59*'Weekly Summary'!AF$65)+('Equipment List &amp; Usage'!$T59*('Weekly Summary'!AF$64+'Weekly Summary'!AF$65)),
IF(AL$10=0,('Equipment List &amp; Usage'!$O59*'Weekly Summary'!AF$52)+('Equipment List &amp; Usage'!$P59*'Weekly Summary'!AF$53)+('Equipment List &amp; Usage'!$Q59*('Weekly Summary'!AF$52+'Weekly Summary'!AF$53))+('Equipment List &amp; Usage'!$R59*'Weekly Summary'!AF$64)+('Equipment List &amp; Usage'!$S59*'Weekly Summary'!AF$65)+('Equipment List &amp; Usage'!$T59*('Weekly Summary'!AF$64+'Weekly Summary'!AF$65)),
('Equipment List &amp; Usage'!$O59*'Weekly Summary'!AF$52)+('Equipment List &amp; Usage'!$P59*'Weekly Summary'!AF$53)+('Equipment List &amp; Usage'!$Q59*('Weekly Summary'!AF$52+'Weekly Summary'!AF$53))+('Equipment List &amp; Usage'!$R59*'Weekly Summary'!AF$64)+('Equipment List &amp; Usage'!$S59*'Weekly Summary'!AF$65)+('Equipment List &amp; Usage'!$T59*('Weekly Summary'!AF$64+'Weekly Summary'!AF$65))-SUM($I57:AK57))),0)</f>
        <v>0</v>
      </c>
      <c r="AM57" s="1381">
        <f ca="1">MAX(IF($F57="No",('Equipment List &amp; Usage'!$O59*'Weekly Summary'!AG$52)+('Equipment List &amp; Usage'!$P59*'Weekly Summary'!AG$53)+('Equipment List &amp; Usage'!$Q59*('Weekly Summary'!AG$52+'Weekly Summary'!AG$53))+('Equipment List &amp; Usage'!$R59*'Weekly Summary'!AG$64)+('Equipment List &amp; Usage'!$S59*'Weekly Summary'!AG$65)+('Equipment List &amp; Usage'!$T59*('Weekly Summary'!AG$64+'Weekly Summary'!AG$65)),
IF(AM$10=0,('Equipment List &amp; Usage'!$O59*'Weekly Summary'!AG$52)+('Equipment List &amp; Usage'!$P59*'Weekly Summary'!AG$53)+('Equipment List &amp; Usage'!$Q59*('Weekly Summary'!AG$52+'Weekly Summary'!AG$53))+('Equipment List &amp; Usage'!$R59*'Weekly Summary'!AG$64)+('Equipment List &amp; Usage'!$S59*'Weekly Summary'!AG$65)+('Equipment List &amp; Usage'!$T59*('Weekly Summary'!AG$64+'Weekly Summary'!AG$65)),
('Equipment List &amp; Usage'!$O59*'Weekly Summary'!AG$52)+('Equipment List &amp; Usage'!$P59*'Weekly Summary'!AG$53)+('Equipment List &amp; Usage'!$Q59*('Weekly Summary'!AG$52+'Weekly Summary'!AG$53))+('Equipment List &amp; Usage'!$R59*'Weekly Summary'!AG$64)+('Equipment List &amp; Usage'!$S59*'Weekly Summary'!AG$65)+('Equipment List &amp; Usage'!$T59*('Weekly Summary'!AG$64+'Weekly Summary'!AG$65))-SUM($I57:AL57))),0)</f>
        <v>0</v>
      </c>
      <c r="AN57" s="1381">
        <f ca="1">MAX(IF($F57="No",('Equipment List &amp; Usage'!$O59*'Weekly Summary'!AH$52)+('Equipment List &amp; Usage'!$P59*'Weekly Summary'!AH$53)+('Equipment List &amp; Usage'!$Q59*('Weekly Summary'!AH$52+'Weekly Summary'!AH$53))+('Equipment List &amp; Usage'!$R59*'Weekly Summary'!AH$64)+('Equipment List &amp; Usage'!$S59*'Weekly Summary'!AH$65)+('Equipment List &amp; Usage'!$T59*('Weekly Summary'!AH$64+'Weekly Summary'!AH$65)),
IF(AN$10=0,('Equipment List &amp; Usage'!$O59*'Weekly Summary'!AH$52)+('Equipment List &amp; Usage'!$P59*'Weekly Summary'!AH$53)+('Equipment List &amp; Usage'!$Q59*('Weekly Summary'!AH$52+'Weekly Summary'!AH$53))+('Equipment List &amp; Usage'!$R59*'Weekly Summary'!AH$64)+('Equipment List &amp; Usage'!$S59*'Weekly Summary'!AH$65)+('Equipment List &amp; Usage'!$T59*('Weekly Summary'!AH$64+'Weekly Summary'!AH$65)),
('Equipment List &amp; Usage'!$O59*'Weekly Summary'!AH$52)+('Equipment List &amp; Usage'!$P59*'Weekly Summary'!AH$53)+('Equipment List &amp; Usage'!$Q59*('Weekly Summary'!AH$52+'Weekly Summary'!AH$53))+('Equipment List &amp; Usage'!$R59*'Weekly Summary'!AH$64)+('Equipment List &amp; Usage'!$S59*'Weekly Summary'!AH$65)+('Equipment List &amp; Usage'!$T59*('Weekly Summary'!AH$64+'Weekly Summary'!AH$65))-SUM($I57:AM57))),0)</f>
        <v>0</v>
      </c>
      <c r="AO57" s="1381">
        <f ca="1">MAX(IF($F57="No",('Equipment List &amp; Usage'!$O59*'Weekly Summary'!AI$52)+('Equipment List &amp; Usage'!$P59*'Weekly Summary'!AI$53)+('Equipment List &amp; Usage'!$Q59*('Weekly Summary'!AI$52+'Weekly Summary'!AI$53))+('Equipment List &amp; Usage'!$R59*'Weekly Summary'!AI$64)+('Equipment List &amp; Usage'!$S59*'Weekly Summary'!AI$65)+('Equipment List &amp; Usage'!$T59*('Weekly Summary'!AI$64+'Weekly Summary'!AI$65)),
IF(AO$10=0,('Equipment List &amp; Usage'!$O59*'Weekly Summary'!AI$52)+('Equipment List &amp; Usage'!$P59*'Weekly Summary'!AI$53)+('Equipment List &amp; Usage'!$Q59*('Weekly Summary'!AI$52+'Weekly Summary'!AI$53))+('Equipment List &amp; Usage'!$R59*'Weekly Summary'!AI$64)+('Equipment List &amp; Usage'!$S59*'Weekly Summary'!AI$65)+('Equipment List &amp; Usage'!$T59*('Weekly Summary'!AI$64+'Weekly Summary'!AI$65)),
('Equipment List &amp; Usage'!$O59*'Weekly Summary'!AI$52)+('Equipment List &amp; Usage'!$P59*'Weekly Summary'!AI$53)+('Equipment List &amp; Usage'!$Q59*('Weekly Summary'!AI$52+'Weekly Summary'!AI$53))+('Equipment List &amp; Usage'!$R59*'Weekly Summary'!AI$64)+('Equipment List &amp; Usage'!$S59*'Weekly Summary'!AI$65)+('Equipment List &amp; Usage'!$T59*('Weekly Summary'!AI$64+'Weekly Summary'!AI$65))-SUM($I57:AN57))),0)</f>
        <v>0</v>
      </c>
      <c r="AP57" s="1381">
        <f ca="1">MAX(IF($F57="No",('Equipment List &amp; Usage'!$O59*'Weekly Summary'!AJ$52)+('Equipment List &amp; Usage'!$P59*'Weekly Summary'!AJ$53)+('Equipment List &amp; Usage'!$Q59*('Weekly Summary'!AJ$52+'Weekly Summary'!AJ$53))+('Equipment List &amp; Usage'!$R59*'Weekly Summary'!AJ$64)+('Equipment List &amp; Usage'!$S59*'Weekly Summary'!AJ$65)+('Equipment List &amp; Usage'!$T59*('Weekly Summary'!AJ$64+'Weekly Summary'!AJ$65)),
IF(AP$10=0,('Equipment List &amp; Usage'!$O59*'Weekly Summary'!AJ$52)+('Equipment List &amp; Usage'!$P59*'Weekly Summary'!AJ$53)+('Equipment List &amp; Usage'!$Q59*('Weekly Summary'!AJ$52+'Weekly Summary'!AJ$53))+('Equipment List &amp; Usage'!$R59*'Weekly Summary'!AJ$64)+('Equipment List &amp; Usage'!$S59*'Weekly Summary'!AJ$65)+('Equipment List &amp; Usage'!$T59*('Weekly Summary'!AJ$64+'Weekly Summary'!AJ$65)),
('Equipment List &amp; Usage'!$O59*'Weekly Summary'!AJ$52)+('Equipment List &amp; Usage'!$P59*'Weekly Summary'!AJ$53)+('Equipment List &amp; Usage'!$Q59*('Weekly Summary'!AJ$52+'Weekly Summary'!AJ$53))+('Equipment List &amp; Usage'!$R59*'Weekly Summary'!AJ$64)+('Equipment List &amp; Usage'!$S59*'Weekly Summary'!AJ$65)+('Equipment List &amp; Usage'!$T59*('Weekly Summary'!AJ$64+'Weekly Summary'!AJ$65))-SUM($I57:AO57))),0)</f>
        <v>0</v>
      </c>
      <c r="AQ57" s="1381">
        <f ca="1">MAX(IF($F57="No",('Equipment List &amp; Usage'!$O59*'Weekly Summary'!AK$52)+('Equipment List &amp; Usage'!$P59*'Weekly Summary'!AK$53)+('Equipment List &amp; Usage'!$Q59*('Weekly Summary'!AK$52+'Weekly Summary'!AK$53))+('Equipment List &amp; Usage'!$R59*'Weekly Summary'!AK$64)+('Equipment List &amp; Usage'!$S59*'Weekly Summary'!AK$65)+('Equipment List &amp; Usage'!$T59*('Weekly Summary'!AK$64+'Weekly Summary'!AK$65)),
IF(AQ$10=0,('Equipment List &amp; Usage'!$O59*'Weekly Summary'!AK$52)+('Equipment List &amp; Usage'!$P59*'Weekly Summary'!AK$53)+('Equipment List &amp; Usage'!$Q59*('Weekly Summary'!AK$52+'Weekly Summary'!AK$53))+('Equipment List &amp; Usage'!$R59*'Weekly Summary'!AK$64)+('Equipment List &amp; Usage'!$S59*'Weekly Summary'!AK$65)+('Equipment List &amp; Usage'!$T59*('Weekly Summary'!AK$64+'Weekly Summary'!AK$65)),
('Equipment List &amp; Usage'!$O59*'Weekly Summary'!AK$52)+('Equipment List &amp; Usage'!$P59*'Weekly Summary'!AK$53)+('Equipment List &amp; Usage'!$Q59*('Weekly Summary'!AK$52+'Weekly Summary'!AK$53))+('Equipment List &amp; Usage'!$R59*'Weekly Summary'!AK$64)+('Equipment List &amp; Usage'!$S59*'Weekly Summary'!AK$65)+('Equipment List &amp; Usage'!$T59*('Weekly Summary'!AK$64+'Weekly Summary'!AK$65))-SUM($I57:AP57))),0)</f>
        <v>0</v>
      </c>
      <c r="AR57" s="1381">
        <f ca="1">MAX(IF($F57="No",('Equipment List &amp; Usage'!$O59*'Weekly Summary'!AL$52)+('Equipment List &amp; Usage'!$P59*'Weekly Summary'!AL$53)+('Equipment List &amp; Usage'!$Q59*('Weekly Summary'!AL$52+'Weekly Summary'!AL$53))+('Equipment List &amp; Usage'!$R59*'Weekly Summary'!AL$64)+('Equipment List &amp; Usage'!$S59*'Weekly Summary'!AL$65)+('Equipment List &amp; Usage'!$T59*('Weekly Summary'!AL$64+'Weekly Summary'!AL$65)),
IF(AR$10=0,('Equipment List &amp; Usage'!$O59*'Weekly Summary'!AL$52)+('Equipment List &amp; Usage'!$P59*'Weekly Summary'!AL$53)+('Equipment List &amp; Usage'!$Q59*('Weekly Summary'!AL$52+'Weekly Summary'!AL$53))+('Equipment List &amp; Usage'!$R59*'Weekly Summary'!AL$64)+('Equipment List &amp; Usage'!$S59*'Weekly Summary'!AL$65)+('Equipment List &amp; Usage'!$T59*('Weekly Summary'!AL$64+'Weekly Summary'!AL$65)),
('Equipment List &amp; Usage'!$O59*'Weekly Summary'!AL$52)+('Equipment List &amp; Usage'!$P59*'Weekly Summary'!AL$53)+('Equipment List &amp; Usage'!$Q59*('Weekly Summary'!AL$52+'Weekly Summary'!AL$53))+('Equipment List &amp; Usage'!$R59*'Weekly Summary'!AL$64)+('Equipment List &amp; Usage'!$S59*'Weekly Summary'!AL$65)+('Equipment List &amp; Usage'!$T59*('Weekly Summary'!AL$64+'Weekly Summary'!AL$65))-SUM($I57:AQ57))),0)</f>
        <v>0</v>
      </c>
      <c r="AS57" s="1381">
        <f ca="1">MAX(IF($F57="No",('Equipment List &amp; Usage'!$O59*'Weekly Summary'!AM$52)+('Equipment List &amp; Usage'!$P59*'Weekly Summary'!AM$53)+('Equipment List &amp; Usage'!$Q59*('Weekly Summary'!AM$52+'Weekly Summary'!AM$53))+('Equipment List &amp; Usage'!$R59*'Weekly Summary'!AM$64)+('Equipment List &amp; Usage'!$S59*'Weekly Summary'!AM$65)+('Equipment List &amp; Usage'!$T59*('Weekly Summary'!AM$64+'Weekly Summary'!AM$65)),
IF(AS$10=0,('Equipment List &amp; Usage'!$O59*'Weekly Summary'!AM$52)+('Equipment List &amp; Usage'!$P59*'Weekly Summary'!AM$53)+('Equipment List &amp; Usage'!$Q59*('Weekly Summary'!AM$52+'Weekly Summary'!AM$53))+('Equipment List &amp; Usage'!$R59*'Weekly Summary'!AM$64)+('Equipment List &amp; Usage'!$S59*'Weekly Summary'!AM$65)+('Equipment List &amp; Usage'!$T59*('Weekly Summary'!AM$64+'Weekly Summary'!AM$65)),
('Equipment List &amp; Usage'!$O59*'Weekly Summary'!AM$52)+('Equipment List &amp; Usage'!$P59*'Weekly Summary'!AM$53)+('Equipment List &amp; Usage'!$Q59*('Weekly Summary'!AM$52+'Weekly Summary'!AM$53))+('Equipment List &amp; Usage'!$R59*'Weekly Summary'!AM$64)+('Equipment List &amp; Usage'!$S59*'Weekly Summary'!AM$65)+('Equipment List &amp; Usage'!$T59*('Weekly Summary'!AM$64+'Weekly Summary'!AM$65))-SUM($I57:AR57))),0)</f>
        <v>0</v>
      </c>
      <c r="AT57" s="1381">
        <f ca="1">MAX(IF($F57="No",('Equipment List &amp; Usage'!$O59*'Weekly Summary'!AN$52)+('Equipment List &amp; Usage'!$P59*'Weekly Summary'!AN$53)+('Equipment List &amp; Usage'!$Q59*('Weekly Summary'!AN$52+'Weekly Summary'!AN$53))+('Equipment List &amp; Usage'!$R59*'Weekly Summary'!AN$64)+('Equipment List &amp; Usage'!$S59*'Weekly Summary'!AN$65)+('Equipment List &amp; Usage'!$T59*('Weekly Summary'!AN$64+'Weekly Summary'!AN$65)),
IF(AT$10=0,('Equipment List &amp; Usage'!$O59*'Weekly Summary'!AN$52)+('Equipment List &amp; Usage'!$P59*'Weekly Summary'!AN$53)+('Equipment List &amp; Usage'!$Q59*('Weekly Summary'!AN$52+'Weekly Summary'!AN$53))+('Equipment List &amp; Usage'!$R59*'Weekly Summary'!AN$64)+('Equipment List &amp; Usage'!$S59*'Weekly Summary'!AN$65)+('Equipment List &amp; Usage'!$T59*('Weekly Summary'!AN$64+'Weekly Summary'!AN$65)),
('Equipment List &amp; Usage'!$O59*'Weekly Summary'!AN$52)+('Equipment List &amp; Usage'!$P59*'Weekly Summary'!AN$53)+('Equipment List &amp; Usage'!$Q59*('Weekly Summary'!AN$52+'Weekly Summary'!AN$53))+('Equipment List &amp; Usage'!$R59*'Weekly Summary'!AN$64)+('Equipment List &amp; Usage'!$S59*'Weekly Summary'!AN$65)+('Equipment List &amp; Usage'!$T59*('Weekly Summary'!AN$64+'Weekly Summary'!AN$65))-SUM($I57:AS57))),0)</f>
        <v>0</v>
      </c>
      <c r="AU57" s="1381">
        <f ca="1">MAX(IF($F57="No",('Equipment List &amp; Usage'!$O59*'Weekly Summary'!AO$52)+('Equipment List &amp; Usage'!$P59*'Weekly Summary'!AO$53)+('Equipment List &amp; Usage'!$Q59*('Weekly Summary'!AO$52+'Weekly Summary'!AO$53))+('Equipment List &amp; Usage'!$R59*'Weekly Summary'!AO$64)+('Equipment List &amp; Usage'!$S59*'Weekly Summary'!AO$65)+('Equipment List &amp; Usage'!$T59*('Weekly Summary'!AO$64+'Weekly Summary'!AO$65)),
IF(AU$10=0,('Equipment List &amp; Usage'!$O59*'Weekly Summary'!AO$52)+('Equipment List &amp; Usage'!$P59*'Weekly Summary'!AO$53)+('Equipment List &amp; Usage'!$Q59*('Weekly Summary'!AO$52+'Weekly Summary'!AO$53))+('Equipment List &amp; Usage'!$R59*'Weekly Summary'!AO$64)+('Equipment List &amp; Usage'!$S59*'Weekly Summary'!AO$65)+('Equipment List &amp; Usage'!$T59*('Weekly Summary'!AO$64+'Weekly Summary'!AO$65)),
('Equipment List &amp; Usage'!$O59*'Weekly Summary'!AO$52)+('Equipment List &amp; Usage'!$P59*'Weekly Summary'!AO$53)+('Equipment List &amp; Usage'!$Q59*('Weekly Summary'!AO$52+'Weekly Summary'!AO$53))+('Equipment List &amp; Usage'!$R59*'Weekly Summary'!AO$64)+('Equipment List &amp; Usage'!$S59*'Weekly Summary'!AO$65)+('Equipment List &amp; Usage'!$T59*('Weekly Summary'!AO$64+'Weekly Summary'!AO$65))-SUM($I57:AT57))),0)</f>
        <v>0</v>
      </c>
      <c r="AV57" s="1381">
        <f ca="1">MAX(IF($F57="No",('Equipment List &amp; Usage'!$O59*'Weekly Summary'!AP$52)+('Equipment List &amp; Usage'!$P59*'Weekly Summary'!AP$53)+('Equipment List &amp; Usage'!$Q59*('Weekly Summary'!AP$52+'Weekly Summary'!AP$53))+('Equipment List &amp; Usage'!$R59*'Weekly Summary'!AP$64)+('Equipment List &amp; Usage'!$S59*'Weekly Summary'!AP$65)+('Equipment List &amp; Usage'!$T59*('Weekly Summary'!AP$64+'Weekly Summary'!AP$65)),
IF(AV$10=0,('Equipment List &amp; Usage'!$O59*'Weekly Summary'!AP$52)+('Equipment List &amp; Usage'!$P59*'Weekly Summary'!AP$53)+('Equipment List &amp; Usage'!$Q59*('Weekly Summary'!AP$52+'Weekly Summary'!AP$53))+('Equipment List &amp; Usage'!$R59*'Weekly Summary'!AP$64)+('Equipment List &amp; Usage'!$S59*'Weekly Summary'!AP$65)+('Equipment List &amp; Usage'!$T59*('Weekly Summary'!AP$64+'Weekly Summary'!AP$65)),
('Equipment List &amp; Usage'!$O59*'Weekly Summary'!AP$52)+('Equipment List &amp; Usage'!$P59*'Weekly Summary'!AP$53)+('Equipment List &amp; Usage'!$Q59*('Weekly Summary'!AP$52+'Weekly Summary'!AP$53))+('Equipment List &amp; Usage'!$R59*'Weekly Summary'!AP$64)+('Equipment List &amp; Usage'!$S59*'Weekly Summary'!AP$65)+('Equipment List &amp; Usage'!$T59*('Weekly Summary'!AP$64+'Weekly Summary'!AP$65))-SUM($I57:AU57))),0)</f>
        <v>0</v>
      </c>
      <c r="AW57" s="1381">
        <f ca="1">MAX(IF($F57="No",('Equipment List &amp; Usage'!$O59*'Weekly Summary'!AQ$52)+('Equipment List &amp; Usage'!$P59*'Weekly Summary'!AQ$53)+('Equipment List &amp; Usage'!$Q59*('Weekly Summary'!AQ$52+'Weekly Summary'!AQ$53))+('Equipment List &amp; Usage'!$R59*'Weekly Summary'!AQ$64)+('Equipment List &amp; Usage'!$S59*'Weekly Summary'!AQ$65)+('Equipment List &amp; Usage'!$T59*('Weekly Summary'!AQ$64+'Weekly Summary'!AQ$65)),
IF(AW$10=0,('Equipment List &amp; Usage'!$O59*'Weekly Summary'!AQ$52)+('Equipment List &amp; Usage'!$P59*'Weekly Summary'!AQ$53)+('Equipment List &amp; Usage'!$Q59*('Weekly Summary'!AQ$52+'Weekly Summary'!AQ$53))+('Equipment List &amp; Usage'!$R59*'Weekly Summary'!AQ$64)+('Equipment List &amp; Usage'!$S59*'Weekly Summary'!AQ$65)+('Equipment List &amp; Usage'!$T59*('Weekly Summary'!AQ$64+'Weekly Summary'!AQ$65)),
('Equipment List &amp; Usage'!$O59*'Weekly Summary'!AQ$52)+('Equipment List &amp; Usage'!$P59*'Weekly Summary'!AQ$53)+('Equipment List &amp; Usage'!$Q59*('Weekly Summary'!AQ$52+'Weekly Summary'!AQ$53))+('Equipment List &amp; Usage'!$R59*'Weekly Summary'!AQ$64)+('Equipment List &amp; Usage'!$S59*'Weekly Summary'!AQ$65)+('Equipment List &amp; Usage'!$T59*('Weekly Summary'!AQ$64+'Weekly Summary'!AQ$65))-SUM($I57:AV57))),0)</f>
        <v>0</v>
      </c>
      <c r="AX57" s="1381">
        <f ca="1">MAX(IF($F57="No",('Equipment List &amp; Usage'!$O59*'Weekly Summary'!AR$52)+('Equipment List &amp; Usage'!$P59*'Weekly Summary'!AR$53)+('Equipment List &amp; Usage'!$Q59*('Weekly Summary'!AR$52+'Weekly Summary'!AR$53))+('Equipment List &amp; Usage'!$R59*'Weekly Summary'!AR$64)+('Equipment List &amp; Usage'!$S59*'Weekly Summary'!AR$65)+('Equipment List &amp; Usage'!$T59*('Weekly Summary'!AR$64+'Weekly Summary'!AR$65)),
IF(AX$10=0,('Equipment List &amp; Usage'!$O59*'Weekly Summary'!AR$52)+('Equipment List &amp; Usage'!$P59*'Weekly Summary'!AR$53)+('Equipment List &amp; Usage'!$Q59*('Weekly Summary'!AR$52+'Weekly Summary'!AR$53))+('Equipment List &amp; Usage'!$R59*'Weekly Summary'!AR$64)+('Equipment List &amp; Usage'!$S59*'Weekly Summary'!AR$65)+('Equipment List &amp; Usage'!$T59*('Weekly Summary'!AR$64+'Weekly Summary'!AR$65)),
('Equipment List &amp; Usage'!$O59*'Weekly Summary'!AR$52)+('Equipment List &amp; Usage'!$P59*'Weekly Summary'!AR$53)+('Equipment List &amp; Usage'!$Q59*('Weekly Summary'!AR$52+'Weekly Summary'!AR$53))+('Equipment List &amp; Usage'!$R59*'Weekly Summary'!AR$64)+('Equipment List &amp; Usage'!$S59*'Weekly Summary'!AR$65)+('Equipment List &amp; Usage'!$T59*('Weekly Summary'!AR$64+'Weekly Summary'!AR$65))-SUM($I57:AW57))),0)</f>
        <v>0</v>
      </c>
      <c r="AY57" s="1381">
        <f ca="1">MAX(IF($F57="No",('Equipment List &amp; Usage'!$O59*'Weekly Summary'!AS$52)+('Equipment List &amp; Usage'!$P59*'Weekly Summary'!AS$53)+('Equipment List &amp; Usage'!$Q59*('Weekly Summary'!AS$52+'Weekly Summary'!AS$53))+('Equipment List &amp; Usage'!$R59*'Weekly Summary'!AS$64)+('Equipment List &amp; Usage'!$S59*'Weekly Summary'!AS$65)+('Equipment List &amp; Usage'!$T59*('Weekly Summary'!AS$64+'Weekly Summary'!AS$65)),
IF(AY$10=0,('Equipment List &amp; Usage'!$O59*'Weekly Summary'!AS$52)+('Equipment List &amp; Usage'!$P59*'Weekly Summary'!AS$53)+('Equipment List &amp; Usage'!$Q59*('Weekly Summary'!AS$52+'Weekly Summary'!AS$53))+('Equipment List &amp; Usage'!$R59*'Weekly Summary'!AS$64)+('Equipment List &amp; Usage'!$S59*'Weekly Summary'!AS$65)+('Equipment List &amp; Usage'!$T59*('Weekly Summary'!AS$64+'Weekly Summary'!AS$65)),
('Equipment List &amp; Usage'!$O59*'Weekly Summary'!AS$52)+('Equipment List &amp; Usage'!$P59*'Weekly Summary'!AS$53)+('Equipment List &amp; Usage'!$Q59*('Weekly Summary'!AS$52+'Weekly Summary'!AS$53))+('Equipment List &amp; Usage'!$R59*'Weekly Summary'!AS$64)+('Equipment List &amp; Usage'!$S59*'Weekly Summary'!AS$65)+('Equipment List &amp; Usage'!$T59*('Weekly Summary'!AS$64+'Weekly Summary'!AS$65))-SUM($I57:AX57))),0)</f>
        <v>0</v>
      </c>
      <c r="AZ57" s="1381">
        <f ca="1">MAX(IF($F57="No",('Equipment List &amp; Usage'!$O59*'Weekly Summary'!AT$52)+('Equipment List &amp; Usage'!$P59*'Weekly Summary'!AT$53)+('Equipment List &amp; Usage'!$Q59*('Weekly Summary'!AT$52+'Weekly Summary'!AT$53))+('Equipment List &amp; Usage'!$R59*'Weekly Summary'!AT$64)+('Equipment List &amp; Usage'!$S59*'Weekly Summary'!AT$65)+('Equipment List &amp; Usage'!$T59*('Weekly Summary'!AT$64+'Weekly Summary'!AT$65)),
IF(AZ$10=0,('Equipment List &amp; Usage'!$O59*'Weekly Summary'!AT$52)+('Equipment List &amp; Usage'!$P59*'Weekly Summary'!AT$53)+('Equipment List &amp; Usage'!$Q59*('Weekly Summary'!AT$52+'Weekly Summary'!AT$53))+('Equipment List &amp; Usage'!$R59*'Weekly Summary'!AT$64)+('Equipment List &amp; Usage'!$S59*'Weekly Summary'!AT$65)+('Equipment List &amp; Usage'!$T59*('Weekly Summary'!AT$64+'Weekly Summary'!AT$65)),
('Equipment List &amp; Usage'!$O59*'Weekly Summary'!AT$52)+('Equipment List &amp; Usage'!$P59*'Weekly Summary'!AT$53)+('Equipment List &amp; Usage'!$Q59*('Weekly Summary'!AT$52+'Weekly Summary'!AT$53))+('Equipment List &amp; Usage'!$R59*'Weekly Summary'!AT$64)+('Equipment List &amp; Usage'!$S59*'Weekly Summary'!AT$65)+('Equipment List &amp; Usage'!$T59*('Weekly Summary'!AT$64+'Weekly Summary'!AT$65))-SUM($I57:AY57))),0)</f>
        <v>0</v>
      </c>
      <c r="BA57" s="1381">
        <f ca="1">MAX(IF($F57="No",('Equipment List &amp; Usage'!$O59*'Weekly Summary'!AU$52)+('Equipment List &amp; Usage'!$P59*'Weekly Summary'!AU$53)+('Equipment List &amp; Usage'!$Q59*('Weekly Summary'!AU$52+'Weekly Summary'!AU$53))+('Equipment List &amp; Usage'!$R59*'Weekly Summary'!AU$64)+('Equipment List &amp; Usage'!$S59*'Weekly Summary'!AU$65)+('Equipment List &amp; Usage'!$T59*('Weekly Summary'!AU$64+'Weekly Summary'!AU$65)),
IF(BA$10=0,('Equipment List &amp; Usage'!$O59*'Weekly Summary'!AU$52)+('Equipment List &amp; Usage'!$P59*'Weekly Summary'!AU$53)+('Equipment List &amp; Usage'!$Q59*('Weekly Summary'!AU$52+'Weekly Summary'!AU$53))+('Equipment List &amp; Usage'!$R59*'Weekly Summary'!AU$64)+('Equipment List &amp; Usage'!$S59*'Weekly Summary'!AU$65)+('Equipment List &amp; Usage'!$T59*('Weekly Summary'!AU$64+'Weekly Summary'!AU$65)),
('Equipment List &amp; Usage'!$O59*'Weekly Summary'!AU$52)+('Equipment List &amp; Usage'!$P59*'Weekly Summary'!AU$53)+('Equipment List &amp; Usage'!$Q59*('Weekly Summary'!AU$52+'Weekly Summary'!AU$53))+('Equipment List &amp; Usage'!$R59*'Weekly Summary'!AU$64)+('Equipment List &amp; Usage'!$S59*'Weekly Summary'!AU$65)+('Equipment List &amp; Usage'!$T59*('Weekly Summary'!AU$64+'Weekly Summary'!AU$65))-SUM($I57:AZ57))),0)</f>
        <v>0</v>
      </c>
      <c r="BB57" s="1381">
        <f ca="1">MAX(IF($F57="No",('Equipment List &amp; Usage'!$O59*'Weekly Summary'!AV$52)+('Equipment List &amp; Usage'!$P59*'Weekly Summary'!AV$53)+('Equipment List &amp; Usage'!$Q59*('Weekly Summary'!AV$52+'Weekly Summary'!AV$53))+('Equipment List &amp; Usage'!$R59*'Weekly Summary'!AV$64)+('Equipment List &amp; Usage'!$S59*'Weekly Summary'!AV$65)+('Equipment List &amp; Usage'!$T59*('Weekly Summary'!AV$64+'Weekly Summary'!AV$65)),
IF(BB$10=0,('Equipment List &amp; Usage'!$O59*'Weekly Summary'!AV$52)+('Equipment List &amp; Usage'!$P59*'Weekly Summary'!AV$53)+('Equipment List &amp; Usage'!$Q59*('Weekly Summary'!AV$52+'Weekly Summary'!AV$53))+('Equipment List &amp; Usage'!$R59*'Weekly Summary'!AV$64)+('Equipment List &amp; Usage'!$S59*'Weekly Summary'!AV$65)+('Equipment List &amp; Usage'!$T59*('Weekly Summary'!AV$64+'Weekly Summary'!AV$65)),
('Equipment List &amp; Usage'!$O59*'Weekly Summary'!AV$52)+('Equipment List &amp; Usage'!$P59*'Weekly Summary'!AV$53)+('Equipment List &amp; Usage'!$Q59*('Weekly Summary'!AV$52+'Weekly Summary'!AV$53))+('Equipment List &amp; Usage'!$R59*'Weekly Summary'!AV$64)+('Equipment List &amp; Usage'!$S59*'Weekly Summary'!AV$65)+('Equipment List &amp; Usage'!$T59*('Weekly Summary'!AV$64+'Weekly Summary'!AV$65))-SUM($I57:BA57))),0)</f>
        <v>0</v>
      </c>
      <c r="BC57" s="1381">
        <f ca="1">MAX(IF($F57="No",('Equipment List &amp; Usage'!$O59*'Weekly Summary'!AW$52)+('Equipment List &amp; Usage'!$P59*'Weekly Summary'!AW$53)+('Equipment List &amp; Usage'!$Q59*('Weekly Summary'!AW$52+'Weekly Summary'!AW$53))+('Equipment List &amp; Usage'!$R59*'Weekly Summary'!AW$64)+('Equipment List &amp; Usage'!$S59*'Weekly Summary'!AW$65)+('Equipment List &amp; Usage'!$T59*('Weekly Summary'!AW$64+'Weekly Summary'!AW$65)),
IF(BC$10=0,('Equipment List &amp; Usage'!$O59*'Weekly Summary'!AW$52)+('Equipment List &amp; Usage'!$P59*'Weekly Summary'!AW$53)+('Equipment List &amp; Usage'!$Q59*('Weekly Summary'!AW$52+'Weekly Summary'!AW$53))+('Equipment List &amp; Usage'!$R59*'Weekly Summary'!AW$64)+('Equipment List &amp; Usage'!$S59*'Weekly Summary'!AW$65)+('Equipment List &amp; Usage'!$T59*('Weekly Summary'!AW$64+'Weekly Summary'!AW$65)),
('Equipment List &amp; Usage'!$O59*'Weekly Summary'!AW$52)+('Equipment List &amp; Usage'!$P59*'Weekly Summary'!AW$53)+('Equipment List &amp; Usage'!$Q59*('Weekly Summary'!AW$52+'Weekly Summary'!AW$53))+('Equipment List &amp; Usage'!$R59*'Weekly Summary'!AW$64)+('Equipment List &amp; Usage'!$S59*'Weekly Summary'!AW$65)+('Equipment List &amp; Usage'!$T59*('Weekly Summary'!AW$64+'Weekly Summary'!AW$65))-SUM($I57:BB57))),0)</f>
        <v>0</v>
      </c>
      <c r="BD57" s="1381">
        <f ca="1">MAX(IF($F57="No",('Equipment List &amp; Usage'!$O59*'Weekly Summary'!AX$52)+('Equipment List &amp; Usage'!$P59*'Weekly Summary'!AX$53)+('Equipment List &amp; Usage'!$Q59*('Weekly Summary'!AX$52+'Weekly Summary'!AX$53))+('Equipment List &amp; Usage'!$R59*'Weekly Summary'!AX$64)+('Equipment List &amp; Usage'!$S59*'Weekly Summary'!AX$65)+('Equipment List &amp; Usage'!$T59*('Weekly Summary'!AX$64+'Weekly Summary'!AX$65)),
IF(BD$10=0,('Equipment List &amp; Usage'!$O59*'Weekly Summary'!AX$52)+('Equipment List &amp; Usage'!$P59*'Weekly Summary'!AX$53)+('Equipment List &amp; Usage'!$Q59*('Weekly Summary'!AX$52+'Weekly Summary'!AX$53))+('Equipment List &amp; Usage'!$R59*'Weekly Summary'!AX$64)+('Equipment List &amp; Usage'!$S59*'Weekly Summary'!AX$65)+('Equipment List &amp; Usage'!$T59*('Weekly Summary'!AX$64+'Weekly Summary'!AX$65)),
('Equipment List &amp; Usage'!$O59*'Weekly Summary'!AX$52)+('Equipment List &amp; Usage'!$P59*'Weekly Summary'!AX$53)+('Equipment List &amp; Usage'!$Q59*('Weekly Summary'!AX$52+'Weekly Summary'!AX$53))+('Equipment List &amp; Usage'!$R59*'Weekly Summary'!AX$64)+('Equipment List &amp; Usage'!$S59*'Weekly Summary'!AX$65)+('Equipment List &amp; Usage'!$T59*('Weekly Summary'!AX$64+'Weekly Summary'!AX$65))-SUM($I57:BC57))),0)</f>
        <v>0</v>
      </c>
      <c r="BE57" s="1381">
        <f ca="1">MAX(IF($F57="No",('Equipment List &amp; Usage'!$O59*'Weekly Summary'!AY$52)+('Equipment List &amp; Usage'!$P59*'Weekly Summary'!AY$53)+('Equipment List &amp; Usage'!$Q59*('Weekly Summary'!AY$52+'Weekly Summary'!AY$53))+('Equipment List &amp; Usage'!$R59*'Weekly Summary'!AY$64)+('Equipment List &amp; Usage'!$S59*'Weekly Summary'!AY$65)+('Equipment List &amp; Usage'!$T59*('Weekly Summary'!AY$64+'Weekly Summary'!AY$65)),
IF(BE$10=0,('Equipment List &amp; Usage'!$O59*'Weekly Summary'!AY$52)+('Equipment List &amp; Usage'!$P59*'Weekly Summary'!AY$53)+('Equipment List &amp; Usage'!$Q59*('Weekly Summary'!AY$52+'Weekly Summary'!AY$53))+('Equipment List &amp; Usage'!$R59*'Weekly Summary'!AY$64)+('Equipment List &amp; Usage'!$S59*'Weekly Summary'!AY$65)+('Equipment List &amp; Usage'!$T59*('Weekly Summary'!AY$64+'Weekly Summary'!AY$65)),
('Equipment List &amp; Usage'!$O59*'Weekly Summary'!AY$52)+('Equipment List &amp; Usage'!$P59*'Weekly Summary'!AY$53)+('Equipment List &amp; Usage'!$Q59*('Weekly Summary'!AY$52+'Weekly Summary'!AY$53))+('Equipment List &amp; Usage'!$R59*'Weekly Summary'!AY$64)+('Equipment List &amp; Usage'!$S59*'Weekly Summary'!AY$65)+('Equipment List &amp; Usage'!$T59*('Weekly Summary'!AY$64+'Weekly Summary'!AY$65))-SUM($I57:BD57))),0)</f>
        <v>0</v>
      </c>
      <c r="BF57" s="1381">
        <f ca="1">MAX(IF($F57="No",('Equipment List &amp; Usage'!$O59*'Weekly Summary'!AZ$52)+('Equipment List &amp; Usage'!$P59*'Weekly Summary'!AZ$53)+('Equipment List &amp; Usage'!$Q59*('Weekly Summary'!AZ$52+'Weekly Summary'!AZ$53))+('Equipment List &amp; Usage'!$R59*'Weekly Summary'!AZ$64)+('Equipment List &amp; Usage'!$S59*'Weekly Summary'!AZ$65)+('Equipment List &amp; Usage'!$T59*('Weekly Summary'!AZ$64+'Weekly Summary'!AZ$65)),
IF(BF$10=0,('Equipment List &amp; Usage'!$O59*'Weekly Summary'!AZ$52)+('Equipment List &amp; Usage'!$P59*'Weekly Summary'!AZ$53)+('Equipment List &amp; Usage'!$Q59*('Weekly Summary'!AZ$52+'Weekly Summary'!AZ$53))+('Equipment List &amp; Usage'!$R59*'Weekly Summary'!AZ$64)+('Equipment List &amp; Usage'!$S59*'Weekly Summary'!AZ$65)+('Equipment List &amp; Usage'!$T59*('Weekly Summary'!AZ$64+'Weekly Summary'!AZ$65)),
('Equipment List &amp; Usage'!$O59*'Weekly Summary'!AZ$52)+('Equipment List &amp; Usage'!$P59*'Weekly Summary'!AZ$53)+('Equipment List &amp; Usage'!$Q59*('Weekly Summary'!AZ$52+'Weekly Summary'!AZ$53))+('Equipment List &amp; Usage'!$R59*'Weekly Summary'!AZ$64)+('Equipment List &amp; Usage'!$S59*'Weekly Summary'!AZ$65)+('Equipment List &amp; Usage'!$T59*('Weekly Summary'!AZ$64+'Weekly Summary'!AZ$65))-SUM($I57:BE57))),0)</f>
        <v>0</v>
      </c>
      <c r="BG57" s="1381">
        <f ca="1">MAX(IF($F57="No",('Equipment List &amp; Usage'!$O59*'Weekly Summary'!BA$52)+('Equipment List &amp; Usage'!$P59*'Weekly Summary'!BA$53)+('Equipment List &amp; Usage'!$Q59*('Weekly Summary'!BA$52+'Weekly Summary'!BA$53))+('Equipment List &amp; Usage'!$R59*'Weekly Summary'!BA$64)+('Equipment List &amp; Usage'!$S59*'Weekly Summary'!BA$65)+('Equipment List &amp; Usage'!$T59*('Weekly Summary'!BA$64+'Weekly Summary'!BA$65)),
IF(BG$10=0,('Equipment List &amp; Usage'!$O59*'Weekly Summary'!BA$52)+('Equipment List &amp; Usage'!$P59*'Weekly Summary'!BA$53)+('Equipment List &amp; Usage'!$Q59*('Weekly Summary'!BA$52+'Weekly Summary'!BA$53))+('Equipment List &amp; Usage'!$R59*'Weekly Summary'!BA$64)+('Equipment List &amp; Usage'!$S59*'Weekly Summary'!BA$65)+('Equipment List &amp; Usage'!$T59*('Weekly Summary'!BA$64+'Weekly Summary'!BA$65)),
('Equipment List &amp; Usage'!$O59*'Weekly Summary'!BA$52)+('Equipment List &amp; Usage'!$P59*'Weekly Summary'!BA$53)+('Equipment List &amp; Usage'!$Q59*('Weekly Summary'!BA$52+'Weekly Summary'!BA$53))+('Equipment List &amp; Usage'!$R59*'Weekly Summary'!BA$64)+('Equipment List &amp; Usage'!$S59*'Weekly Summary'!BA$65)+('Equipment List &amp; Usage'!$T59*('Weekly Summary'!BA$64+'Weekly Summary'!BA$65))-SUM($I57:BF57))),0)</f>
        <v>0</v>
      </c>
      <c r="BH57" s="1381">
        <f ca="1">MAX(IF($F57="No",('Equipment List &amp; Usage'!$O59*'Weekly Summary'!BB$52)+('Equipment List &amp; Usage'!$P59*'Weekly Summary'!BB$53)+('Equipment List &amp; Usage'!$Q59*('Weekly Summary'!BB$52+'Weekly Summary'!BB$53))+('Equipment List &amp; Usage'!$R59*'Weekly Summary'!BB$64)+('Equipment List &amp; Usage'!$S59*'Weekly Summary'!BB$65)+('Equipment List &amp; Usage'!$T59*('Weekly Summary'!BB$64+'Weekly Summary'!BB$65)),
IF(BH$10=0,('Equipment List &amp; Usage'!$O59*'Weekly Summary'!BB$52)+('Equipment List &amp; Usage'!$P59*'Weekly Summary'!BB$53)+('Equipment List &amp; Usage'!$Q59*('Weekly Summary'!BB$52+'Weekly Summary'!BB$53))+('Equipment List &amp; Usage'!$R59*'Weekly Summary'!BB$64)+('Equipment List &amp; Usage'!$S59*'Weekly Summary'!BB$65)+('Equipment List &amp; Usage'!$T59*('Weekly Summary'!BB$64+'Weekly Summary'!BB$65)),
('Equipment List &amp; Usage'!$O59*'Weekly Summary'!BB$52)+('Equipment List &amp; Usage'!$P59*'Weekly Summary'!BB$53)+('Equipment List &amp; Usage'!$Q59*('Weekly Summary'!BB$52+'Weekly Summary'!BB$53))+('Equipment List &amp; Usage'!$R59*'Weekly Summary'!BB$64)+('Equipment List &amp; Usage'!$S59*'Weekly Summary'!BB$65)+('Equipment List &amp; Usage'!$T59*('Weekly Summary'!BB$64+'Weekly Summary'!BB$65))-SUM($I57:BG57))),0)</f>
        <v>0</v>
      </c>
      <c r="BI57" s="1381">
        <f ca="1">MAX(IF($F57="No",('Equipment List &amp; Usage'!$O59*'Weekly Summary'!BC$52)+('Equipment List &amp; Usage'!$P59*'Weekly Summary'!BC$53)+('Equipment List &amp; Usage'!$Q59*('Weekly Summary'!BC$52+'Weekly Summary'!BC$53))+('Equipment List &amp; Usage'!$R59*'Weekly Summary'!BC$64)+('Equipment List &amp; Usage'!$S59*'Weekly Summary'!BC$65)+('Equipment List &amp; Usage'!$T59*('Weekly Summary'!BC$64+'Weekly Summary'!BC$65)),
IF(BI$10=0,('Equipment List &amp; Usage'!$O59*'Weekly Summary'!BC$52)+('Equipment List &amp; Usage'!$P59*'Weekly Summary'!BC$53)+('Equipment List &amp; Usage'!$Q59*('Weekly Summary'!BC$52+'Weekly Summary'!BC$53))+('Equipment List &amp; Usage'!$R59*'Weekly Summary'!BC$64)+('Equipment List &amp; Usage'!$S59*'Weekly Summary'!BC$65)+('Equipment List &amp; Usage'!$T59*('Weekly Summary'!BC$64+'Weekly Summary'!BC$65)),
('Equipment List &amp; Usage'!$O59*'Weekly Summary'!BC$52)+('Equipment List &amp; Usage'!$P59*'Weekly Summary'!BC$53)+('Equipment List &amp; Usage'!$Q59*('Weekly Summary'!BC$52+'Weekly Summary'!BC$53))+('Equipment List &amp; Usage'!$R59*'Weekly Summary'!BC$64)+('Equipment List &amp; Usage'!$S59*'Weekly Summary'!BC$65)+('Equipment List &amp; Usage'!$T59*('Weekly Summary'!BC$64+'Weekly Summary'!BC$65))-SUM($I57:BH57))),0)</f>
        <v>0</v>
      </c>
      <c r="BJ57" s="1382">
        <f ca="1">MAX(IF($F57="No",('Equipment List &amp; Usage'!$O59*'Weekly Summary'!BD$52)+('Equipment List &amp; Usage'!$P59*'Weekly Summary'!BD$53)+('Equipment List &amp; Usage'!$Q59*('Weekly Summary'!BD$52+'Weekly Summary'!BD$53))+('Equipment List &amp; Usage'!$R59*'Weekly Summary'!BD$64)+('Equipment List &amp; Usage'!$S59*'Weekly Summary'!BD$65)+('Equipment List &amp; Usage'!$T59*('Weekly Summary'!BD$64+'Weekly Summary'!BD$65)),
IF(BJ$10=0,('Equipment List &amp; Usage'!$O59*'Weekly Summary'!BD$52)+('Equipment List &amp; Usage'!$P59*'Weekly Summary'!BD$53)+('Equipment List &amp; Usage'!$Q59*('Weekly Summary'!BD$52+'Weekly Summary'!BD$53))+('Equipment List &amp; Usage'!$R59*'Weekly Summary'!BD$64)+('Equipment List &amp; Usage'!$S59*'Weekly Summary'!BD$65)+('Equipment List &amp; Usage'!$T59*('Weekly Summary'!BD$64+'Weekly Summary'!BD$65)),
('Equipment List &amp; Usage'!$O59*'Weekly Summary'!BD$52)+('Equipment List &amp; Usage'!$P59*'Weekly Summary'!BD$53)+('Equipment List &amp; Usage'!$Q59*('Weekly Summary'!BD$52+'Weekly Summary'!BD$53))+('Equipment List &amp; Usage'!$R59*'Weekly Summary'!BD$64)+('Equipment List &amp; Usage'!$S59*'Weekly Summary'!BD$65)+('Equipment List &amp; Usage'!$T59*('Weekly Summary'!BD$64+'Weekly Summary'!BD$65))-SUM($I57:BI57))),0)</f>
        <v>0</v>
      </c>
    </row>
    <row r="58" spans="2:62" ht="33" customHeight="1" collapsed="1" x14ac:dyDescent="0.35">
      <c r="B58" s="735" t="str">
        <f>'Equipment List &amp; Usage'!B60</f>
        <v>Case management - biomedical equipment</v>
      </c>
      <c r="C58" s="526" t="str">
        <f>'Equipment List &amp; Usage'!C60</f>
        <v>Non-Invasive Ventilation</v>
      </c>
      <c r="D58" s="526" t="str">
        <f>'Equipment List &amp; Usage'!D60</f>
        <v>CPAP, with tubing and patient interfaces, with accessories</v>
      </c>
      <c r="E58" s="526" t="str">
        <f>'Equipment List &amp; Usage'!E60</f>
        <v>Each</v>
      </c>
      <c r="F58" s="526" t="str">
        <f>'Equipment List &amp; Usage'!F60</f>
        <v>Yes</v>
      </c>
      <c r="G58" s="526" t="str">
        <f>'Equipment List &amp; Usage'!G60</f>
        <v>It includes all accessories for operation</v>
      </c>
      <c r="H58" s="1369">
        <f t="shared" ca="1" si="3"/>
        <v>15.357706271419325</v>
      </c>
      <c r="J58" s="1344"/>
      <c r="K58" s="1381">
        <f ca="1">IF('User Dashboard'!$H$13=1,0,MAX(IF($F58="No",('Equipment List &amp; Usage'!$O60*'Weekly Summary'!E$52)+('Equipment List &amp; Usage'!$P60*'Weekly Summary'!E$53)+('Equipment List &amp; Usage'!$Q60*('Weekly Summary'!E$52+'Weekly Summary'!E$53))+('Equipment List &amp; Usage'!$R60*'Weekly Summary'!E$64)+('Equipment List &amp; Usage'!$S60*'Weekly Summary'!E$65)+('Equipment List &amp; Usage'!$T60*('Weekly Summary'!E$64+'Weekly Summary'!E$65)),
IF(K$10=0,('Equipment List &amp; Usage'!$O60*'Weekly Summary'!E$52)+('Equipment List &amp; Usage'!$P60*'Weekly Summary'!E$53)+('Equipment List &amp; Usage'!$Q60*('Weekly Summary'!E$52+'Weekly Summary'!E$53))+('Equipment List &amp; Usage'!$R60*'Weekly Summary'!E$64)+('Equipment List &amp; Usage'!$S60*'Weekly Summary'!E$65)+('Equipment List &amp; Usage'!$T60*('Weekly Summary'!E$64+'Weekly Summary'!E$65)),
('Equipment List &amp; Usage'!$O60*'Weekly Summary'!E$52)+('Equipment List &amp; Usage'!$P60*'Weekly Summary'!E$53)+('Equipment List &amp; Usage'!$Q60*('Weekly Summary'!E$52+'Weekly Summary'!E$53))+('Equipment List &amp; Usage'!$R60*'Weekly Summary'!E$64)+('Equipment List &amp; Usage'!$S60*'Weekly Summary'!E$65)+('Equipment List &amp; Usage'!$T60*('Weekly Summary'!E$64+'Weekly Summary'!E$65))-SUM($I58:I58))),0))</f>
        <v>3.3169895347340425E-2</v>
      </c>
      <c r="L58" s="1381">
        <f ca="1">MAX(IF($F58="No",('Equipment List &amp; Usage'!$O60*'Weekly Summary'!F$52)+('Equipment List &amp; Usage'!$P60*'Weekly Summary'!F$53)+('Equipment List &amp; Usage'!$Q60*('Weekly Summary'!F$52+'Weekly Summary'!F$53))+('Equipment List &amp; Usage'!$R60*'Weekly Summary'!F$64)+('Equipment List &amp; Usage'!$S60*'Weekly Summary'!F$65)+('Equipment List &amp; Usage'!$T60*('Weekly Summary'!F$64+'Weekly Summary'!F$65)),
IF(L$10=0,('Equipment List &amp; Usage'!$O60*'Weekly Summary'!F$52)+('Equipment List &amp; Usage'!$P60*'Weekly Summary'!F$53)+('Equipment List &amp; Usage'!$Q60*('Weekly Summary'!F$52+'Weekly Summary'!F$53))+('Equipment List &amp; Usage'!$R60*'Weekly Summary'!F$64)+('Equipment List &amp; Usage'!$S60*'Weekly Summary'!F$65)+('Equipment List &amp; Usage'!$T60*('Weekly Summary'!F$64+'Weekly Summary'!F$65)),
('Equipment List &amp; Usage'!$O60*'Weekly Summary'!F$52)+('Equipment List &amp; Usage'!$P60*'Weekly Summary'!F$53)+('Equipment List &amp; Usage'!$Q60*('Weekly Summary'!F$52+'Weekly Summary'!F$53))+('Equipment List &amp; Usage'!$R60*'Weekly Summary'!F$64)+('Equipment List &amp; Usage'!$S60*'Weekly Summary'!F$65)+('Equipment List &amp; Usage'!$T60*('Weekly Summary'!F$64+'Weekly Summary'!F$65))-SUM($I58:K58))),0)</f>
        <v>7.7017713913818703E-2</v>
      </c>
      <c r="M58" s="1381">
        <f ca="1">MAX(IF($F58="No",('Equipment List &amp; Usage'!$O60*'Weekly Summary'!G$52)+('Equipment List &amp; Usage'!$P60*'Weekly Summary'!G$53)+('Equipment List &amp; Usage'!$Q60*('Weekly Summary'!G$52+'Weekly Summary'!G$53))+('Equipment List &amp; Usage'!$R60*'Weekly Summary'!G$64)+('Equipment List &amp; Usage'!$S60*'Weekly Summary'!G$65)+('Equipment List &amp; Usage'!$T60*('Weekly Summary'!G$64+'Weekly Summary'!G$65)),
IF(M$10=0,('Equipment List &amp; Usage'!$O60*'Weekly Summary'!G$52)+('Equipment List &amp; Usage'!$P60*'Weekly Summary'!G$53)+('Equipment List &amp; Usage'!$Q60*('Weekly Summary'!G$52+'Weekly Summary'!G$53))+('Equipment List &amp; Usage'!$R60*'Weekly Summary'!G$64)+('Equipment List &amp; Usage'!$S60*'Weekly Summary'!G$65)+('Equipment List &amp; Usage'!$T60*('Weekly Summary'!G$64+'Weekly Summary'!G$65)),
('Equipment List &amp; Usage'!$O60*'Weekly Summary'!G$52)+('Equipment List &amp; Usage'!$P60*'Weekly Summary'!G$53)+('Equipment List &amp; Usage'!$Q60*('Weekly Summary'!G$52+'Weekly Summary'!G$53))+('Equipment List &amp; Usage'!$R60*'Weekly Summary'!G$64)+('Equipment List &amp; Usage'!$S60*'Weekly Summary'!G$65)+('Equipment List &amp; Usage'!$T60*('Weekly Summary'!G$64+'Weekly Summary'!G$65))-SUM($I58:L58))),0)</f>
        <v>0.26847016890135161</v>
      </c>
      <c r="N58" s="1381">
        <f ca="1">MAX(IF($F58="No",('Equipment List &amp; Usage'!$O60*'Weekly Summary'!H$52)+('Equipment List &amp; Usage'!$P60*'Weekly Summary'!H$53)+('Equipment List &amp; Usage'!$Q60*('Weekly Summary'!H$52+'Weekly Summary'!H$53))+('Equipment List &amp; Usage'!$R60*'Weekly Summary'!H$64)+('Equipment List &amp; Usage'!$S60*'Weekly Summary'!H$65)+('Equipment List &amp; Usage'!$T60*('Weekly Summary'!H$64+'Weekly Summary'!H$65)),
IF(N$10=0,('Equipment List &amp; Usage'!$O60*'Weekly Summary'!H$52)+('Equipment List &amp; Usage'!$P60*'Weekly Summary'!H$53)+('Equipment List &amp; Usage'!$Q60*('Weekly Summary'!H$52+'Weekly Summary'!H$53))+('Equipment List &amp; Usage'!$R60*'Weekly Summary'!H$64)+('Equipment List &amp; Usage'!$S60*'Weekly Summary'!H$65)+('Equipment List &amp; Usage'!$T60*('Weekly Summary'!H$64+'Weekly Summary'!H$65)),
('Equipment List &amp; Usage'!$O60*'Weekly Summary'!H$52)+('Equipment List &amp; Usage'!$P60*'Weekly Summary'!H$53)+('Equipment List &amp; Usage'!$Q60*('Weekly Summary'!H$52+'Weekly Summary'!H$53))+('Equipment List &amp; Usage'!$R60*'Weekly Summary'!H$64)+('Equipment List &amp; Usage'!$S60*'Weekly Summary'!H$65)+('Equipment List &amp; Usage'!$T60*('Weekly Summary'!H$64+'Weekly Summary'!H$65))-SUM($I58:M58))),0)</f>
        <v>0.92255667035280164</v>
      </c>
      <c r="O58" s="1381">
        <f ca="1">MAX(IF($F58="No",('Equipment List &amp; Usage'!$O60*'Weekly Summary'!I$52)+('Equipment List &amp; Usage'!$P60*'Weekly Summary'!I$53)+('Equipment List &amp; Usage'!$Q60*('Weekly Summary'!I$52+'Weekly Summary'!I$53))+('Equipment List &amp; Usage'!$R60*'Weekly Summary'!I$64)+('Equipment List &amp; Usage'!$S60*'Weekly Summary'!I$65)+('Equipment List &amp; Usage'!$T60*('Weekly Summary'!I$64+'Weekly Summary'!I$65)),
IF(O$10=0,('Equipment List &amp; Usage'!$O60*'Weekly Summary'!I$52)+('Equipment List &amp; Usage'!$P60*'Weekly Summary'!I$53)+('Equipment List &amp; Usage'!$Q60*('Weekly Summary'!I$52+'Weekly Summary'!I$53))+('Equipment List &amp; Usage'!$R60*'Weekly Summary'!I$64)+('Equipment List &amp; Usage'!$S60*'Weekly Summary'!I$65)+('Equipment List &amp; Usage'!$T60*('Weekly Summary'!I$64+'Weekly Summary'!I$65)),
('Equipment List &amp; Usage'!$O60*'Weekly Summary'!I$52)+('Equipment List &amp; Usage'!$P60*'Weekly Summary'!I$53)+('Equipment List &amp; Usage'!$Q60*('Weekly Summary'!I$52+'Weekly Summary'!I$53))+('Equipment List &amp; Usage'!$R60*'Weekly Summary'!I$64)+('Equipment List &amp; Usage'!$S60*'Weekly Summary'!I$65)+('Equipment List &amp; Usage'!$T60*('Weekly Summary'!I$64+'Weekly Summary'!I$65))-SUM($I58:N58))),0)</f>
        <v>3.169832184892543</v>
      </c>
      <c r="P58" s="1381">
        <f ca="1">MAX(IF($F58="No",('Equipment List &amp; Usage'!$O60*'Weekly Summary'!J$52)+('Equipment List &amp; Usage'!$P60*'Weekly Summary'!J$53)+('Equipment List &amp; Usage'!$Q60*('Weekly Summary'!J$52+'Weekly Summary'!J$53))+('Equipment List &amp; Usage'!$R60*'Weekly Summary'!J$64)+('Equipment List &amp; Usage'!$S60*'Weekly Summary'!J$65)+('Equipment List &amp; Usage'!$T60*('Weekly Summary'!J$64+'Weekly Summary'!J$65)),
IF(P$10=0,('Equipment List &amp; Usage'!$O60*'Weekly Summary'!J$52)+('Equipment List &amp; Usage'!$P60*'Weekly Summary'!J$53)+('Equipment List &amp; Usage'!$Q60*('Weekly Summary'!J$52+'Weekly Summary'!J$53))+('Equipment List &amp; Usage'!$R60*'Weekly Summary'!J$64)+('Equipment List &amp; Usage'!$S60*'Weekly Summary'!J$65)+('Equipment List &amp; Usage'!$T60*('Weekly Summary'!J$64+'Weekly Summary'!J$65)),
('Equipment List &amp; Usage'!$O60*'Weekly Summary'!J$52)+('Equipment List &amp; Usage'!$P60*'Weekly Summary'!J$53)+('Equipment List &amp; Usage'!$Q60*('Weekly Summary'!J$52+'Weekly Summary'!J$53))+('Equipment List &amp; Usage'!$R60*'Weekly Summary'!J$64)+('Equipment List &amp; Usage'!$S60*'Weekly Summary'!J$65)+('Equipment List &amp; Usage'!$T60*('Weekly Summary'!J$64+'Weekly Summary'!J$65))-SUM($I58:O58))),0)</f>
        <v>10.886659638011469</v>
      </c>
      <c r="Q58" s="1381">
        <f ca="1">MAX(IF($F58="No",('Equipment List &amp; Usage'!$O60*'Weekly Summary'!K$52)+('Equipment List &amp; Usage'!$P60*'Weekly Summary'!K$53)+('Equipment List &amp; Usage'!$Q60*('Weekly Summary'!K$52+'Weekly Summary'!K$53))+('Equipment List &amp; Usage'!$R60*'Weekly Summary'!K$64)+('Equipment List &amp; Usage'!$S60*'Weekly Summary'!K$65)+('Equipment List &amp; Usage'!$T60*('Weekly Summary'!K$64+'Weekly Summary'!K$65)),
IF(Q$10=0,('Equipment List &amp; Usage'!$O60*'Weekly Summary'!K$52)+('Equipment List &amp; Usage'!$P60*'Weekly Summary'!K$53)+('Equipment List &amp; Usage'!$Q60*('Weekly Summary'!K$52+'Weekly Summary'!K$53))+('Equipment List &amp; Usage'!$R60*'Weekly Summary'!K$64)+('Equipment List &amp; Usage'!$S60*'Weekly Summary'!K$65)+('Equipment List &amp; Usage'!$T60*('Weekly Summary'!K$64+'Weekly Summary'!K$65)),
('Equipment List &amp; Usage'!$O60*'Weekly Summary'!K$52)+('Equipment List &amp; Usage'!$P60*'Weekly Summary'!K$53)+('Equipment List &amp; Usage'!$Q60*('Weekly Summary'!K$52+'Weekly Summary'!K$53))+('Equipment List &amp; Usage'!$R60*'Weekly Summary'!K$64)+('Equipment List &amp; Usage'!$S60*'Weekly Summary'!K$65)+('Equipment List &amp; Usage'!$T60*('Weekly Summary'!K$64+'Weekly Summary'!K$65))-SUM($I58:P58))),0)</f>
        <v>0</v>
      </c>
      <c r="R58" s="1381">
        <f ca="1">MAX(IF($F58="No",('Equipment List &amp; Usage'!$O60*'Weekly Summary'!L$52)+('Equipment List &amp; Usage'!$P60*'Weekly Summary'!L$53)+('Equipment List &amp; Usage'!$Q60*('Weekly Summary'!L$52+'Weekly Summary'!L$53))+('Equipment List &amp; Usage'!$R60*'Weekly Summary'!L$64)+('Equipment List &amp; Usage'!$S60*'Weekly Summary'!L$65)+('Equipment List &amp; Usage'!$T60*('Weekly Summary'!L$64+'Weekly Summary'!L$65)),
IF(R$10=0,('Equipment List &amp; Usage'!$O60*'Weekly Summary'!L$52)+('Equipment List &amp; Usage'!$P60*'Weekly Summary'!L$53)+('Equipment List &amp; Usage'!$Q60*('Weekly Summary'!L$52+'Weekly Summary'!L$53))+('Equipment List &amp; Usage'!$R60*'Weekly Summary'!L$64)+('Equipment List &amp; Usage'!$S60*'Weekly Summary'!L$65)+('Equipment List &amp; Usage'!$T60*('Weekly Summary'!L$64+'Weekly Summary'!L$65)),
('Equipment List &amp; Usage'!$O60*'Weekly Summary'!L$52)+('Equipment List &amp; Usage'!$P60*'Weekly Summary'!L$53)+('Equipment List &amp; Usage'!$Q60*('Weekly Summary'!L$52+'Weekly Summary'!L$53))+('Equipment List &amp; Usage'!$R60*'Weekly Summary'!L$64)+('Equipment List &amp; Usage'!$S60*'Weekly Summary'!L$65)+('Equipment List &amp; Usage'!$T60*('Weekly Summary'!L$64+'Weekly Summary'!L$65))-SUM($I58:Q58))),0)</f>
        <v>0</v>
      </c>
      <c r="S58" s="1381">
        <f ca="1">MAX(IF($F58="No",('Equipment List &amp; Usage'!$O60*'Weekly Summary'!M$52)+('Equipment List &amp; Usage'!$P60*'Weekly Summary'!M$53)+('Equipment List &amp; Usage'!$Q60*('Weekly Summary'!M$52+'Weekly Summary'!M$53))+('Equipment List &amp; Usage'!$R60*'Weekly Summary'!M$64)+('Equipment List &amp; Usage'!$S60*'Weekly Summary'!M$65)+('Equipment List &amp; Usage'!$T60*('Weekly Summary'!M$64+'Weekly Summary'!M$65)),
IF(S$10=0,('Equipment List &amp; Usage'!$O60*'Weekly Summary'!M$52)+('Equipment List &amp; Usage'!$P60*'Weekly Summary'!M$53)+('Equipment List &amp; Usage'!$Q60*('Weekly Summary'!M$52+'Weekly Summary'!M$53))+('Equipment List &amp; Usage'!$R60*'Weekly Summary'!M$64)+('Equipment List &amp; Usage'!$S60*'Weekly Summary'!M$65)+('Equipment List &amp; Usage'!$T60*('Weekly Summary'!M$64+'Weekly Summary'!M$65)),
('Equipment List &amp; Usage'!$O60*'Weekly Summary'!M$52)+('Equipment List &amp; Usage'!$P60*'Weekly Summary'!M$53)+('Equipment List &amp; Usage'!$Q60*('Weekly Summary'!M$52+'Weekly Summary'!M$53))+('Equipment List &amp; Usage'!$R60*'Weekly Summary'!M$64)+('Equipment List &amp; Usage'!$S60*'Weekly Summary'!M$65)+('Equipment List &amp; Usage'!$T60*('Weekly Summary'!M$64+'Weekly Summary'!M$65))-SUM($I58:R58))),0)</f>
        <v>0</v>
      </c>
      <c r="T58" s="1381">
        <f ca="1">MAX(IF($F58="No",('Equipment List &amp; Usage'!$O60*'Weekly Summary'!N$52)+('Equipment List &amp; Usage'!$P60*'Weekly Summary'!N$53)+('Equipment List &amp; Usage'!$Q60*('Weekly Summary'!N$52+'Weekly Summary'!N$53))+('Equipment List &amp; Usage'!$R60*'Weekly Summary'!N$64)+('Equipment List &amp; Usage'!$S60*'Weekly Summary'!N$65)+('Equipment List &amp; Usage'!$T60*('Weekly Summary'!N$64+'Weekly Summary'!N$65)),
IF(T$10=0,('Equipment List &amp; Usage'!$O60*'Weekly Summary'!N$52)+('Equipment List &amp; Usage'!$P60*'Weekly Summary'!N$53)+('Equipment List &amp; Usage'!$Q60*('Weekly Summary'!N$52+'Weekly Summary'!N$53))+('Equipment List &amp; Usage'!$R60*'Weekly Summary'!N$64)+('Equipment List &amp; Usage'!$S60*'Weekly Summary'!N$65)+('Equipment List &amp; Usage'!$T60*('Weekly Summary'!N$64+'Weekly Summary'!N$65)),
('Equipment List &amp; Usage'!$O60*'Weekly Summary'!N$52)+('Equipment List &amp; Usage'!$P60*'Weekly Summary'!N$53)+('Equipment List &amp; Usage'!$Q60*('Weekly Summary'!N$52+'Weekly Summary'!N$53))+('Equipment List &amp; Usage'!$R60*'Weekly Summary'!N$64)+('Equipment List &amp; Usage'!$S60*'Weekly Summary'!N$65)+('Equipment List &amp; Usage'!$T60*('Weekly Summary'!N$64+'Weekly Summary'!N$65))-SUM($I58:S58))),0)</f>
        <v>0</v>
      </c>
      <c r="U58" s="1381">
        <f ca="1">MAX(IF($F58="No",('Equipment List &amp; Usage'!$O60*'Weekly Summary'!O$52)+('Equipment List &amp; Usage'!$P60*'Weekly Summary'!O$53)+('Equipment List &amp; Usage'!$Q60*('Weekly Summary'!O$52+'Weekly Summary'!O$53))+('Equipment List &amp; Usage'!$R60*'Weekly Summary'!O$64)+('Equipment List &amp; Usage'!$S60*'Weekly Summary'!O$65)+('Equipment List &amp; Usage'!$T60*('Weekly Summary'!O$64+'Weekly Summary'!O$65)),
IF(U$10=0,('Equipment List &amp; Usage'!$O60*'Weekly Summary'!O$52)+('Equipment List &amp; Usage'!$P60*'Weekly Summary'!O$53)+('Equipment List &amp; Usage'!$Q60*('Weekly Summary'!O$52+'Weekly Summary'!O$53))+('Equipment List &amp; Usage'!$R60*'Weekly Summary'!O$64)+('Equipment List &amp; Usage'!$S60*'Weekly Summary'!O$65)+('Equipment List &amp; Usage'!$T60*('Weekly Summary'!O$64+'Weekly Summary'!O$65)),
('Equipment List &amp; Usage'!$O60*'Weekly Summary'!O$52)+('Equipment List &amp; Usage'!$P60*'Weekly Summary'!O$53)+('Equipment List &amp; Usage'!$Q60*('Weekly Summary'!O$52+'Weekly Summary'!O$53))+('Equipment List &amp; Usage'!$R60*'Weekly Summary'!O$64)+('Equipment List &amp; Usage'!$S60*'Weekly Summary'!O$65)+('Equipment List &amp; Usage'!$T60*('Weekly Summary'!O$64+'Weekly Summary'!O$65))-SUM($I58:T58))),0)</f>
        <v>0</v>
      </c>
      <c r="V58" s="1381">
        <f ca="1">MAX(IF($F58="No",('Equipment List &amp; Usage'!$O60*'Weekly Summary'!P$52)+('Equipment List &amp; Usage'!$P60*'Weekly Summary'!P$53)+('Equipment List &amp; Usage'!$Q60*('Weekly Summary'!P$52+'Weekly Summary'!P$53))+('Equipment List &amp; Usage'!$R60*'Weekly Summary'!P$64)+('Equipment List &amp; Usage'!$S60*'Weekly Summary'!P$65)+('Equipment List &amp; Usage'!$T60*('Weekly Summary'!P$64+'Weekly Summary'!P$65)),
IF(V$10=0,('Equipment List &amp; Usage'!$O60*'Weekly Summary'!P$52)+('Equipment List &amp; Usage'!$P60*'Weekly Summary'!P$53)+('Equipment List &amp; Usage'!$Q60*('Weekly Summary'!P$52+'Weekly Summary'!P$53))+('Equipment List &amp; Usage'!$R60*'Weekly Summary'!P$64)+('Equipment List &amp; Usage'!$S60*'Weekly Summary'!P$65)+('Equipment List &amp; Usage'!$T60*('Weekly Summary'!P$64+'Weekly Summary'!P$65)),
('Equipment List &amp; Usage'!$O60*'Weekly Summary'!P$52)+('Equipment List &amp; Usage'!$P60*'Weekly Summary'!P$53)+('Equipment List &amp; Usage'!$Q60*('Weekly Summary'!P$52+'Weekly Summary'!P$53))+('Equipment List &amp; Usage'!$R60*'Weekly Summary'!P$64)+('Equipment List &amp; Usage'!$S60*'Weekly Summary'!P$65)+('Equipment List &amp; Usage'!$T60*('Weekly Summary'!P$64+'Weekly Summary'!P$65))-SUM($I58:U58))),0)</f>
        <v>0</v>
      </c>
      <c r="W58" s="1381">
        <f ca="1">MAX(IF($F58="No",('Equipment List &amp; Usage'!$O60*'Weekly Summary'!Q$52)+('Equipment List &amp; Usage'!$P60*'Weekly Summary'!Q$53)+('Equipment List &amp; Usage'!$Q60*('Weekly Summary'!Q$52+'Weekly Summary'!Q$53))+('Equipment List &amp; Usage'!$R60*'Weekly Summary'!Q$64)+('Equipment List &amp; Usage'!$S60*'Weekly Summary'!Q$65)+('Equipment List &amp; Usage'!$T60*('Weekly Summary'!Q$64+'Weekly Summary'!Q$65)),
IF(W$10=0,('Equipment List &amp; Usage'!$O60*'Weekly Summary'!Q$52)+('Equipment List &amp; Usage'!$P60*'Weekly Summary'!Q$53)+('Equipment List &amp; Usage'!$Q60*('Weekly Summary'!Q$52+'Weekly Summary'!Q$53))+('Equipment List &amp; Usage'!$R60*'Weekly Summary'!Q$64)+('Equipment List &amp; Usage'!$S60*'Weekly Summary'!Q$65)+('Equipment List &amp; Usage'!$T60*('Weekly Summary'!Q$64+'Weekly Summary'!Q$65)),
('Equipment List &amp; Usage'!$O60*'Weekly Summary'!Q$52)+('Equipment List &amp; Usage'!$P60*'Weekly Summary'!Q$53)+('Equipment List &amp; Usage'!$Q60*('Weekly Summary'!Q$52+'Weekly Summary'!Q$53))+('Equipment List &amp; Usage'!$R60*'Weekly Summary'!Q$64)+('Equipment List &amp; Usage'!$S60*'Weekly Summary'!Q$65)+('Equipment List &amp; Usage'!$T60*('Weekly Summary'!Q$64+'Weekly Summary'!Q$65))-SUM($I58:V58))),0)</f>
        <v>0</v>
      </c>
      <c r="X58" s="1381">
        <f ca="1">MAX(IF($F58="No",('Equipment List &amp; Usage'!$O60*'Weekly Summary'!R$52)+('Equipment List &amp; Usage'!$P60*'Weekly Summary'!R$53)+('Equipment List &amp; Usage'!$Q60*('Weekly Summary'!R$52+'Weekly Summary'!R$53))+('Equipment List &amp; Usage'!$R60*'Weekly Summary'!R$64)+('Equipment List &amp; Usage'!$S60*'Weekly Summary'!R$65)+('Equipment List &amp; Usage'!$T60*('Weekly Summary'!R$64+'Weekly Summary'!R$65)),
IF(X$10=0,('Equipment List &amp; Usage'!$O60*'Weekly Summary'!R$52)+('Equipment List &amp; Usage'!$P60*'Weekly Summary'!R$53)+('Equipment List &amp; Usage'!$Q60*('Weekly Summary'!R$52+'Weekly Summary'!R$53))+('Equipment List &amp; Usage'!$R60*'Weekly Summary'!R$64)+('Equipment List &amp; Usage'!$S60*'Weekly Summary'!R$65)+('Equipment List &amp; Usage'!$T60*('Weekly Summary'!R$64+'Weekly Summary'!R$65)),
('Equipment List &amp; Usage'!$O60*'Weekly Summary'!R$52)+('Equipment List &amp; Usage'!$P60*'Weekly Summary'!R$53)+('Equipment List &amp; Usage'!$Q60*('Weekly Summary'!R$52+'Weekly Summary'!R$53))+('Equipment List &amp; Usage'!$R60*'Weekly Summary'!R$64)+('Equipment List &amp; Usage'!$S60*'Weekly Summary'!R$65)+('Equipment List &amp; Usage'!$T60*('Weekly Summary'!R$64+'Weekly Summary'!R$65))-SUM($I58:W58))),0)</f>
        <v>0</v>
      </c>
      <c r="Y58" s="1381">
        <f ca="1">MAX(IF($F58="No",('Equipment List &amp; Usage'!$O60*'Weekly Summary'!S$52)+('Equipment List &amp; Usage'!$P60*'Weekly Summary'!S$53)+('Equipment List &amp; Usage'!$Q60*('Weekly Summary'!S$52+'Weekly Summary'!S$53))+('Equipment List &amp; Usage'!$R60*'Weekly Summary'!S$64)+('Equipment List &amp; Usage'!$S60*'Weekly Summary'!S$65)+('Equipment List &amp; Usage'!$T60*('Weekly Summary'!S$64+'Weekly Summary'!S$65)),
IF(Y$10=0,('Equipment List &amp; Usage'!$O60*'Weekly Summary'!S$52)+('Equipment List &amp; Usage'!$P60*'Weekly Summary'!S$53)+('Equipment List &amp; Usage'!$Q60*('Weekly Summary'!S$52+'Weekly Summary'!S$53))+('Equipment List &amp; Usage'!$R60*'Weekly Summary'!S$64)+('Equipment List &amp; Usage'!$S60*'Weekly Summary'!S$65)+('Equipment List &amp; Usage'!$T60*('Weekly Summary'!S$64+'Weekly Summary'!S$65)),
('Equipment List &amp; Usage'!$O60*'Weekly Summary'!S$52)+('Equipment List &amp; Usage'!$P60*'Weekly Summary'!S$53)+('Equipment List &amp; Usage'!$Q60*('Weekly Summary'!S$52+'Weekly Summary'!S$53))+('Equipment List &amp; Usage'!$R60*'Weekly Summary'!S$64)+('Equipment List &amp; Usage'!$S60*'Weekly Summary'!S$65)+('Equipment List &amp; Usage'!$T60*('Weekly Summary'!S$64+'Weekly Summary'!S$65))-SUM($I58:X58))),0)</f>
        <v>0</v>
      </c>
      <c r="Z58" s="1381">
        <f ca="1">MAX(IF($F58="No",('Equipment List &amp; Usage'!$O60*'Weekly Summary'!T$52)+('Equipment List &amp; Usage'!$P60*'Weekly Summary'!T$53)+('Equipment List &amp; Usage'!$Q60*('Weekly Summary'!T$52+'Weekly Summary'!T$53))+('Equipment List &amp; Usage'!$R60*'Weekly Summary'!T$64)+('Equipment List &amp; Usage'!$S60*'Weekly Summary'!T$65)+('Equipment List &amp; Usage'!$T60*('Weekly Summary'!T$64+'Weekly Summary'!T$65)),
IF(Z$10=0,('Equipment List &amp; Usage'!$O60*'Weekly Summary'!T$52)+('Equipment List &amp; Usage'!$P60*'Weekly Summary'!T$53)+('Equipment List &amp; Usage'!$Q60*('Weekly Summary'!T$52+'Weekly Summary'!T$53))+('Equipment List &amp; Usage'!$R60*'Weekly Summary'!T$64)+('Equipment List &amp; Usage'!$S60*'Weekly Summary'!T$65)+('Equipment List &amp; Usage'!$T60*('Weekly Summary'!T$64+'Weekly Summary'!T$65)),
('Equipment List &amp; Usage'!$O60*'Weekly Summary'!T$52)+('Equipment List &amp; Usage'!$P60*'Weekly Summary'!T$53)+('Equipment List &amp; Usage'!$Q60*('Weekly Summary'!T$52+'Weekly Summary'!T$53))+('Equipment List &amp; Usage'!$R60*'Weekly Summary'!T$64)+('Equipment List &amp; Usage'!$S60*'Weekly Summary'!T$65)+('Equipment List &amp; Usage'!$T60*('Weekly Summary'!T$64+'Weekly Summary'!T$65))-SUM($I58:Y58))),0)</f>
        <v>0</v>
      </c>
      <c r="AA58" s="1381">
        <f ca="1">MAX(IF($F58="No",('Equipment List &amp; Usage'!$O60*'Weekly Summary'!U$52)+('Equipment List &amp; Usage'!$P60*'Weekly Summary'!U$53)+('Equipment List &amp; Usage'!$Q60*('Weekly Summary'!U$52+'Weekly Summary'!U$53))+('Equipment List &amp; Usage'!$R60*'Weekly Summary'!U$64)+('Equipment List &amp; Usage'!$S60*'Weekly Summary'!U$65)+('Equipment List &amp; Usage'!$T60*('Weekly Summary'!U$64+'Weekly Summary'!U$65)),
IF(AA$10=0,('Equipment List &amp; Usage'!$O60*'Weekly Summary'!U$52)+('Equipment List &amp; Usage'!$P60*'Weekly Summary'!U$53)+('Equipment List &amp; Usage'!$Q60*('Weekly Summary'!U$52+'Weekly Summary'!U$53))+('Equipment List &amp; Usage'!$R60*'Weekly Summary'!U$64)+('Equipment List &amp; Usage'!$S60*'Weekly Summary'!U$65)+('Equipment List &amp; Usage'!$T60*('Weekly Summary'!U$64+'Weekly Summary'!U$65)),
('Equipment List &amp; Usage'!$O60*'Weekly Summary'!U$52)+('Equipment List &amp; Usage'!$P60*'Weekly Summary'!U$53)+('Equipment List &amp; Usage'!$Q60*('Weekly Summary'!U$52+'Weekly Summary'!U$53))+('Equipment List &amp; Usage'!$R60*'Weekly Summary'!U$64)+('Equipment List &amp; Usage'!$S60*'Weekly Summary'!U$65)+('Equipment List &amp; Usage'!$T60*('Weekly Summary'!U$64+'Weekly Summary'!U$65))-SUM($I58:Z58))),0)</f>
        <v>0</v>
      </c>
      <c r="AB58" s="1381">
        <f ca="1">MAX(IF($F58="No",('Equipment List &amp; Usage'!$O60*'Weekly Summary'!V$52)+('Equipment List &amp; Usage'!$P60*'Weekly Summary'!V$53)+('Equipment List &amp; Usage'!$Q60*('Weekly Summary'!V$52+'Weekly Summary'!V$53))+('Equipment List &amp; Usage'!$R60*'Weekly Summary'!V$64)+('Equipment List &amp; Usage'!$S60*'Weekly Summary'!V$65)+('Equipment List &amp; Usage'!$T60*('Weekly Summary'!V$64+'Weekly Summary'!V$65)),
IF(AB$10=0,('Equipment List &amp; Usage'!$O60*'Weekly Summary'!V$52)+('Equipment List &amp; Usage'!$P60*'Weekly Summary'!V$53)+('Equipment List &amp; Usage'!$Q60*('Weekly Summary'!V$52+'Weekly Summary'!V$53))+('Equipment List &amp; Usage'!$R60*'Weekly Summary'!V$64)+('Equipment List &amp; Usage'!$S60*'Weekly Summary'!V$65)+('Equipment List &amp; Usage'!$T60*('Weekly Summary'!V$64+'Weekly Summary'!V$65)),
('Equipment List &amp; Usage'!$O60*'Weekly Summary'!V$52)+('Equipment List &amp; Usage'!$P60*'Weekly Summary'!V$53)+('Equipment List &amp; Usage'!$Q60*('Weekly Summary'!V$52+'Weekly Summary'!V$53))+('Equipment List &amp; Usage'!$R60*'Weekly Summary'!V$64)+('Equipment List &amp; Usage'!$S60*'Weekly Summary'!V$65)+('Equipment List &amp; Usage'!$T60*('Weekly Summary'!V$64+'Weekly Summary'!V$65))-SUM($I58:AA58))),0)</f>
        <v>0</v>
      </c>
      <c r="AC58" s="1381">
        <f ca="1">MAX(IF($F58="No",('Equipment List &amp; Usage'!$O60*'Weekly Summary'!W$52)+('Equipment List &amp; Usage'!$P60*'Weekly Summary'!W$53)+('Equipment List &amp; Usage'!$Q60*('Weekly Summary'!W$52+'Weekly Summary'!W$53))+('Equipment List &amp; Usage'!$R60*'Weekly Summary'!W$64)+('Equipment List &amp; Usage'!$S60*'Weekly Summary'!W$65)+('Equipment List &amp; Usage'!$T60*('Weekly Summary'!W$64+'Weekly Summary'!W$65)),
IF(AC$10=0,('Equipment List &amp; Usage'!$O60*'Weekly Summary'!W$52)+('Equipment List &amp; Usage'!$P60*'Weekly Summary'!W$53)+('Equipment List &amp; Usage'!$Q60*('Weekly Summary'!W$52+'Weekly Summary'!W$53))+('Equipment List &amp; Usage'!$R60*'Weekly Summary'!W$64)+('Equipment List &amp; Usage'!$S60*'Weekly Summary'!W$65)+('Equipment List &amp; Usage'!$T60*('Weekly Summary'!W$64+'Weekly Summary'!W$65)),
('Equipment List &amp; Usage'!$O60*'Weekly Summary'!W$52)+('Equipment List &amp; Usage'!$P60*'Weekly Summary'!W$53)+('Equipment List &amp; Usage'!$Q60*('Weekly Summary'!W$52+'Weekly Summary'!W$53))+('Equipment List &amp; Usage'!$R60*'Weekly Summary'!W$64)+('Equipment List &amp; Usage'!$S60*'Weekly Summary'!W$65)+('Equipment List &amp; Usage'!$T60*('Weekly Summary'!W$64+'Weekly Summary'!W$65))-SUM($I58:AB58))),0)</f>
        <v>0</v>
      </c>
      <c r="AD58" s="1381">
        <f ca="1">MAX(IF($F58="No",('Equipment List &amp; Usage'!$O60*'Weekly Summary'!X$52)+('Equipment List &amp; Usage'!$P60*'Weekly Summary'!X$53)+('Equipment List &amp; Usage'!$Q60*('Weekly Summary'!X$52+'Weekly Summary'!X$53))+('Equipment List &amp; Usage'!$R60*'Weekly Summary'!X$64)+('Equipment List &amp; Usage'!$S60*'Weekly Summary'!X$65)+('Equipment List &amp; Usage'!$T60*('Weekly Summary'!X$64+'Weekly Summary'!X$65)),
IF(AD$10=0,('Equipment List &amp; Usage'!$O60*'Weekly Summary'!X$52)+('Equipment List &amp; Usage'!$P60*'Weekly Summary'!X$53)+('Equipment List &amp; Usage'!$Q60*('Weekly Summary'!X$52+'Weekly Summary'!X$53))+('Equipment List &amp; Usage'!$R60*'Weekly Summary'!X$64)+('Equipment List &amp; Usage'!$S60*'Weekly Summary'!X$65)+('Equipment List &amp; Usage'!$T60*('Weekly Summary'!X$64+'Weekly Summary'!X$65)),
('Equipment List &amp; Usage'!$O60*'Weekly Summary'!X$52)+('Equipment List &amp; Usage'!$P60*'Weekly Summary'!X$53)+('Equipment List &amp; Usage'!$Q60*('Weekly Summary'!X$52+'Weekly Summary'!X$53))+('Equipment List &amp; Usage'!$R60*'Weekly Summary'!X$64)+('Equipment List &amp; Usage'!$S60*'Weekly Summary'!X$65)+('Equipment List &amp; Usage'!$T60*('Weekly Summary'!X$64+'Weekly Summary'!X$65))-SUM($I58:AC58))),0)</f>
        <v>0</v>
      </c>
      <c r="AE58" s="1381">
        <f ca="1">MAX(IF($F58="No",('Equipment List &amp; Usage'!$O60*'Weekly Summary'!Y$52)+('Equipment List &amp; Usage'!$P60*'Weekly Summary'!Y$53)+('Equipment List &amp; Usage'!$Q60*('Weekly Summary'!Y$52+'Weekly Summary'!Y$53))+('Equipment List &amp; Usage'!$R60*'Weekly Summary'!Y$64)+('Equipment List &amp; Usage'!$S60*'Weekly Summary'!Y$65)+('Equipment List &amp; Usage'!$T60*('Weekly Summary'!Y$64+'Weekly Summary'!Y$65)),
IF(AE$10=0,('Equipment List &amp; Usage'!$O60*'Weekly Summary'!Y$52)+('Equipment List &amp; Usage'!$P60*'Weekly Summary'!Y$53)+('Equipment List &amp; Usage'!$Q60*('Weekly Summary'!Y$52+'Weekly Summary'!Y$53))+('Equipment List &amp; Usage'!$R60*'Weekly Summary'!Y$64)+('Equipment List &amp; Usage'!$S60*'Weekly Summary'!Y$65)+('Equipment List &amp; Usage'!$T60*('Weekly Summary'!Y$64+'Weekly Summary'!Y$65)),
('Equipment List &amp; Usage'!$O60*'Weekly Summary'!Y$52)+('Equipment List &amp; Usage'!$P60*'Weekly Summary'!Y$53)+('Equipment List &amp; Usage'!$Q60*('Weekly Summary'!Y$52+'Weekly Summary'!Y$53))+('Equipment List &amp; Usage'!$R60*'Weekly Summary'!Y$64)+('Equipment List &amp; Usage'!$S60*'Weekly Summary'!Y$65)+('Equipment List &amp; Usage'!$T60*('Weekly Summary'!Y$64+'Weekly Summary'!Y$65))-SUM($I58:AD58))),0)</f>
        <v>0</v>
      </c>
      <c r="AF58" s="1381">
        <f ca="1">MAX(IF($F58="No",('Equipment List &amp; Usage'!$O60*'Weekly Summary'!Z$52)+('Equipment List &amp; Usage'!$P60*'Weekly Summary'!Z$53)+('Equipment List &amp; Usage'!$Q60*('Weekly Summary'!Z$52+'Weekly Summary'!Z$53))+('Equipment List &amp; Usage'!$R60*'Weekly Summary'!Z$64)+('Equipment List &amp; Usage'!$S60*'Weekly Summary'!Z$65)+('Equipment List &amp; Usage'!$T60*('Weekly Summary'!Z$64+'Weekly Summary'!Z$65)),
IF(AF$10=0,('Equipment List &amp; Usage'!$O60*'Weekly Summary'!Z$52)+('Equipment List &amp; Usage'!$P60*'Weekly Summary'!Z$53)+('Equipment List &amp; Usage'!$Q60*('Weekly Summary'!Z$52+'Weekly Summary'!Z$53))+('Equipment List &amp; Usage'!$R60*'Weekly Summary'!Z$64)+('Equipment List &amp; Usage'!$S60*'Weekly Summary'!Z$65)+('Equipment List &amp; Usage'!$T60*('Weekly Summary'!Z$64+'Weekly Summary'!Z$65)),
('Equipment List &amp; Usage'!$O60*'Weekly Summary'!Z$52)+('Equipment List &amp; Usage'!$P60*'Weekly Summary'!Z$53)+('Equipment List &amp; Usage'!$Q60*('Weekly Summary'!Z$52+'Weekly Summary'!Z$53))+('Equipment List &amp; Usage'!$R60*'Weekly Summary'!Z$64)+('Equipment List &amp; Usage'!$S60*'Weekly Summary'!Z$65)+('Equipment List &amp; Usage'!$T60*('Weekly Summary'!Z$64+'Weekly Summary'!Z$65))-SUM($I58:AE58))),0)</f>
        <v>0</v>
      </c>
      <c r="AG58" s="1381">
        <f ca="1">MAX(IF($F58="No",('Equipment List &amp; Usage'!$O60*'Weekly Summary'!AA$52)+('Equipment List &amp; Usage'!$P60*'Weekly Summary'!AA$53)+('Equipment List &amp; Usage'!$Q60*('Weekly Summary'!AA$52+'Weekly Summary'!AA$53))+('Equipment List &amp; Usage'!$R60*'Weekly Summary'!AA$64)+('Equipment List &amp; Usage'!$S60*'Weekly Summary'!AA$65)+('Equipment List &amp; Usage'!$T60*('Weekly Summary'!AA$64+'Weekly Summary'!AA$65)),
IF(AG$10=0,('Equipment List &amp; Usage'!$O60*'Weekly Summary'!AA$52)+('Equipment List &amp; Usage'!$P60*'Weekly Summary'!AA$53)+('Equipment List &amp; Usage'!$Q60*('Weekly Summary'!AA$52+'Weekly Summary'!AA$53))+('Equipment List &amp; Usage'!$R60*'Weekly Summary'!AA$64)+('Equipment List &amp; Usage'!$S60*'Weekly Summary'!AA$65)+('Equipment List &amp; Usage'!$T60*('Weekly Summary'!AA$64+'Weekly Summary'!AA$65)),
('Equipment List &amp; Usage'!$O60*'Weekly Summary'!AA$52)+('Equipment List &amp; Usage'!$P60*'Weekly Summary'!AA$53)+('Equipment List &amp; Usage'!$Q60*('Weekly Summary'!AA$52+'Weekly Summary'!AA$53))+('Equipment List &amp; Usage'!$R60*'Weekly Summary'!AA$64)+('Equipment List &amp; Usage'!$S60*'Weekly Summary'!AA$65)+('Equipment List &amp; Usage'!$T60*('Weekly Summary'!AA$64+'Weekly Summary'!AA$65))-SUM($I58:AF58))),0)</f>
        <v>0</v>
      </c>
      <c r="AH58" s="1381">
        <f ca="1">MAX(IF($F58="No",('Equipment List &amp; Usage'!$O60*'Weekly Summary'!AB$52)+('Equipment List &amp; Usage'!$P60*'Weekly Summary'!AB$53)+('Equipment List &amp; Usage'!$Q60*('Weekly Summary'!AB$52+'Weekly Summary'!AB$53))+('Equipment List &amp; Usage'!$R60*'Weekly Summary'!AB$64)+('Equipment List &amp; Usage'!$S60*'Weekly Summary'!AB$65)+('Equipment List &amp; Usage'!$T60*('Weekly Summary'!AB$64+'Weekly Summary'!AB$65)),
IF(AH$10=0,('Equipment List &amp; Usage'!$O60*'Weekly Summary'!AB$52)+('Equipment List &amp; Usage'!$P60*'Weekly Summary'!AB$53)+('Equipment List &amp; Usage'!$Q60*('Weekly Summary'!AB$52+'Weekly Summary'!AB$53))+('Equipment List &amp; Usage'!$R60*'Weekly Summary'!AB$64)+('Equipment List &amp; Usage'!$S60*'Weekly Summary'!AB$65)+('Equipment List &amp; Usage'!$T60*('Weekly Summary'!AB$64+'Weekly Summary'!AB$65)),
('Equipment List &amp; Usage'!$O60*'Weekly Summary'!AB$52)+('Equipment List &amp; Usage'!$P60*'Weekly Summary'!AB$53)+('Equipment List &amp; Usage'!$Q60*('Weekly Summary'!AB$52+'Weekly Summary'!AB$53))+('Equipment List &amp; Usage'!$R60*'Weekly Summary'!AB$64)+('Equipment List &amp; Usage'!$S60*'Weekly Summary'!AB$65)+('Equipment List &amp; Usage'!$T60*('Weekly Summary'!AB$64+'Weekly Summary'!AB$65))-SUM($I58:AG58))),0)</f>
        <v>0</v>
      </c>
      <c r="AI58" s="1381">
        <f ca="1">MAX(IF($F58="No",('Equipment List &amp; Usage'!$O60*'Weekly Summary'!AC$52)+('Equipment List &amp; Usage'!$P60*'Weekly Summary'!AC$53)+('Equipment List &amp; Usage'!$Q60*('Weekly Summary'!AC$52+'Weekly Summary'!AC$53))+('Equipment List &amp; Usage'!$R60*'Weekly Summary'!AC$64)+('Equipment List &amp; Usage'!$S60*'Weekly Summary'!AC$65)+('Equipment List &amp; Usage'!$T60*('Weekly Summary'!AC$64+'Weekly Summary'!AC$65)),
IF(AI$10=0,('Equipment List &amp; Usage'!$O60*'Weekly Summary'!AC$52)+('Equipment List &amp; Usage'!$P60*'Weekly Summary'!AC$53)+('Equipment List &amp; Usage'!$Q60*('Weekly Summary'!AC$52+'Weekly Summary'!AC$53))+('Equipment List &amp; Usage'!$R60*'Weekly Summary'!AC$64)+('Equipment List &amp; Usage'!$S60*'Weekly Summary'!AC$65)+('Equipment List &amp; Usage'!$T60*('Weekly Summary'!AC$64+'Weekly Summary'!AC$65)),
('Equipment List &amp; Usage'!$O60*'Weekly Summary'!AC$52)+('Equipment List &amp; Usage'!$P60*'Weekly Summary'!AC$53)+('Equipment List &amp; Usage'!$Q60*('Weekly Summary'!AC$52+'Weekly Summary'!AC$53))+('Equipment List &amp; Usage'!$R60*'Weekly Summary'!AC$64)+('Equipment List &amp; Usage'!$S60*'Weekly Summary'!AC$65)+('Equipment List &amp; Usage'!$T60*('Weekly Summary'!AC$64+'Weekly Summary'!AC$65))-SUM($I58:AH58))),0)</f>
        <v>0</v>
      </c>
      <c r="AJ58" s="1381">
        <f ca="1">MAX(IF($F58="No",('Equipment List &amp; Usage'!$O60*'Weekly Summary'!AD$52)+('Equipment List &amp; Usage'!$P60*'Weekly Summary'!AD$53)+('Equipment List &amp; Usage'!$Q60*('Weekly Summary'!AD$52+'Weekly Summary'!AD$53))+('Equipment List &amp; Usage'!$R60*'Weekly Summary'!AD$64)+('Equipment List &amp; Usage'!$S60*'Weekly Summary'!AD$65)+('Equipment List &amp; Usage'!$T60*('Weekly Summary'!AD$64+'Weekly Summary'!AD$65)),
IF(AJ$10=0,('Equipment List &amp; Usage'!$O60*'Weekly Summary'!AD$52)+('Equipment List &amp; Usage'!$P60*'Weekly Summary'!AD$53)+('Equipment List &amp; Usage'!$Q60*('Weekly Summary'!AD$52+'Weekly Summary'!AD$53))+('Equipment List &amp; Usage'!$R60*'Weekly Summary'!AD$64)+('Equipment List &amp; Usage'!$S60*'Weekly Summary'!AD$65)+('Equipment List &amp; Usage'!$T60*('Weekly Summary'!AD$64+'Weekly Summary'!AD$65)),
('Equipment List &amp; Usage'!$O60*'Weekly Summary'!AD$52)+('Equipment List &amp; Usage'!$P60*'Weekly Summary'!AD$53)+('Equipment List &amp; Usage'!$Q60*('Weekly Summary'!AD$52+'Weekly Summary'!AD$53))+('Equipment List &amp; Usage'!$R60*'Weekly Summary'!AD$64)+('Equipment List &amp; Usage'!$S60*'Weekly Summary'!AD$65)+('Equipment List &amp; Usage'!$T60*('Weekly Summary'!AD$64+'Weekly Summary'!AD$65))-SUM($I58:AI58))),0)</f>
        <v>0</v>
      </c>
      <c r="AK58" s="1381">
        <f ca="1">MAX(IF($F58="No",('Equipment List &amp; Usage'!$O60*'Weekly Summary'!AE$52)+('Equipment List &amp; Usage'!$P60*'Weekly Summary'!AE$53)+('Equipment List &amp; Usage'!$Q60*('Weekly Summary'!AE$52+'Weekly Summary'!AE$53))+('Equipment List &amp; Usage'!$R60*'Weekly Summary'!AE$64)+('Equipment List &amp; Usage'!$S60*'Weekly Summary'!AE$65)+('Equipment List &amp; Usage'!$T60*('Weekly Summary'!AE$64+'Weekly Summary'!AE$65)),
IF(AK$10=0,('Equipment List &amp; Usage'!$O60*'Weekly Summary'!AE$52)+('Equipment List &amp; Usage'!$P60*'Weekly Summary'!AE$53)+('Equipment List &amp; Usage'!$Q60*('Weekly Summary'!AE$52+'Weekly Summary'!AE$53))+('Equipment List &amp; Usage'!$R60*'Weekly Summary'!AE$64)+('Equipment List &amp; Usage'!$S60*'Weekly Summary'!AE$65)+('Equipment List &amp; Usage'!$T60*('Weekly Summary'!AE$64+'Weekly Summary'!AE$65)),
('Equipment List &amp; Usage'!$O60*'Weekly Summary'!AE$52)+('Equipment List &amp; Usage'!$P60*'Weekly Summary'!AE$53)+('Equipment List &amp; Usage'!$Q60*('Weekly Summary'!AE$52+'Weekly Summary'!AE$53))+('Equipment List &amp; Usage'!$R60*'Weekly Summary'!AE$64)+('Equipment List &amp; Usage'!$S60*'Weekly Summary'!AE$65)+('Equipment List &amp; Usage'!$T60*('Weekly Summary'!AE$64+'Weekly Summary'!AE$65))-SUM($I58:AJ58))),0)</f>
        <v>0</v>
      </c>
      <c r="AL58" s="1381">
        <f ca="1">MAX(IF($F58="No",('Equipment List &amp; Usage'!$O60*'Weekly Summary'!AF$52)+('Equipment List &amp; Usage'!$P60*'Weekly Summary'!AF$53)+('Equipment List &amp; Usage'!$Q60*('Weekly Summary'!AF$52+'Weekly Summary'!AF$53))+('Equipment List &amp; Usage'!$R60*'Weekly Summary'!AF$64)+('Equipment List &amp; Usage'!$S60*'Weekly Summary'!AF$65)+('Equipment List &amp; Usage'!$T60*('Weekly Summary'!AF$64+'Weekly Summary'!AF$65)),
IF(AL$10=0,('Equipment List &amp; Usage'!$O60*'Weekly Summary'!AF$52)+('Equipment List &amp; Usage'!$P60*'Weekly Summary'!AF$53)+('Equipment List &amp; Usage'!$Q60*('Weekly Summary'!AF$52+'Weekly Summary'!AF$53))+('Equipment List &amp; Usage'!$R60*'Weekly Summary'!AF$64)+('Equipment List &amp; Usage'!$S60*'Weekly Summary'!AF$65)+('Equipment List &amp; Usage'!$T60*('Weekly Summary'!AF$64+'Weekly Summary'!AF$65)),
('Equipment List &amp; Usage'!$O60*'Weekly Summary'!AF$52)+('Equipment List &amp; Usage'!$P60*'Weekly Summary'!AF$53)+('Equipment List &amp; Usage'!$Q60*('Weekly Summary'!AF$52+'Weekly Summary'!AF$53))+('Equipment List &amp; Usage'!$R60*'Weekly Summary'!AF$64)+('Equipment List &amp; Usage'!$S60*'Weekly Summary'!AF$65)+('Equipment List &amp; Usage'!$T60*('Weekly Summary'!AF$64+'Weekly Summary'!AF$65))-SUM($I58:AK58))),0)</f>
        <v>0</v>
      </c>
      <c r="AM58" s="1381">
        <f ca="1">MAX(IF($F58="No",('Equipment List &amp; Usage'!$O60*'Weekly Summary'!AG$52)+('Equipment List &amp; Usage'!$P60*'Weekly Summary'!AG$53)+('Equipment List &amp; Usage'!$Q60*('Weekly Summary'!AG$52+'Weekly Summary'!AG$53))+('Equipment List &amp; Usage'!$R60*'Weekly Summary'!AG$64)+('Equipment List &amp; Usage'!$S60*'Weekly Summary'!AG$65)+('Equipment List &amp; Usage'!$T60*('Weekly Summary'!AG$64+'Weekly Summary'!AG$65)),
IF(AM$10=0,('Equipment List &amp; Usage'!$O60*'Weekly Summary'!AG$52)+('Equipment List &amp; Usage'!$P60*'Weekly Summary'!AG$53)+('Equipment List &amp; Usage'!$Q60*('Weekly Summary'!AG$52+'Weekly Summary'!AG$53))+('Equipment List &amp; Usage'!$R60*'Weekly Summary'!AG$64)+('Equipment List &amp; Usage'!$S60*'Weekly Summary'!AG$65)+('Equipment List &amp; Usage'!$T60*('Weekly Summary'!AG$64+'Weekly Summary'!AG$65)),
('Equipment List &amp; Usage'!$O60*'Weekly Summary'!AG$52)+('Equipment List &amp; Usage'!$P60*'Weekly Summary'!AG$53)+('Equipment List &amp; Usage'!$Q60*('Weekly Summary'!AG$52+'Weekly Summary'!AG$53))+('Equipment List &amp; Usage'!$R60*'Weekly Summary'!AG$64)+('Equipment List &amp; Usage'!$S60*'Weekly Summary'!AG$65)+('Equipment List &amp; Usage'!$T60*('Weekly Summary'!AG$64+'Weekly Summary'!AG$65))-SUM($I58:AL58))),0)</f>
        <v>0</v>
      </c>
      <c r="AN58" s="1381">
        <f ca="1">MAX(IF($F58="No",('Equipment List &amp; Usage'!$O60*'Weekly Summary'!AH$52)+('Equipment List &amp; Usage'!$P60*'Weekly Summary'!AH$53)+('Equipment List &amp; Usage'!$Q60*('Weekly Summary'!AH$52+'Weekly Summary'!AH$53))+('Equipment List &amp; Usage'!$R60*'Weekly Summary'!AH$64)+('Equipment List &amp; Usage'!$S60*'Weekly Summary'!AH$65)+('Equipment List &amp; Usage'!$T60*('Weekly Summary'!AH$64+'Weekly Summary'!AH$65)),
IF(AN$10=0,('Equipment List &amp; Usage'!$O60*'Weekly Summary'!AH$52)+('Equipment List &amp; Usage'!$P60*'Weekly Summary'!AH$53)+('Equipment List &amp; Usage'!$Q60*('Weekly Summary'!AH$52+'Weekly Summary'!AH$53))+('Equipment List &amp; Usage'!$R60*'Weekly Summary'!AH$64)+('Equipment List &amp; Usage'!$S60*'Weekly Summary'!AH$65)+('Equipment List &amp; Usage'!$T60*('Weekly Summary'!AH$64+'Weekly Summary'!AH$65)),
('Equipment List &amp; Usage'!$O60*'Weekly Summary'!AH$52)+('Equipment List &amp; Usage'!$P60*'Weekly Summary'!AH$53)+('Equipment List &amp; Usage'!$Q60*('Weekly Summary'!AH$52+'Weekly Summary'!AH$53))+('Equipment List &amp; Usage'!$R60*'Weekly Summary'!AH$64)+('Equipment List &amp; Usage'!$S60*'Weekly Summary'!AH$65)+('Equipment List &amp; Usage'!$T60*('Weekly Summary'!AH$64+'Weekly Summary'!AH$65))-SUM($I58:AM58))),0)</f>
        <v>0</v>
      </c>
      <c r="AO58" s="1381">
        <f ca="1">MAX(IF($F58="No",('Equipment List &amp; Usage'!$O60*'Weekly Summary'!AI$52)+('Equipment List &amp; Usage'!$P60*'Weekly Summary'!AI$53)+('Equipment List &amp; Usage'!$Q60*('Weekly Summary'!AI$52+'Weekly Summary'!AI$53))+('Equipment List &amp; Usage'!$R60*'Weekly Summary'!AI$64)+('Equipment List &amp; Usage'!$S60*'Weekly Summary'!AI$65)+('Equipment List &amp; Usage'!$T60*('Weekly Summary'!AI$64+'Weekly Summary'!AI$65)),
IF(AO$10=0,('Equipment List &amp; Usage'!$O60*'Weekly Summary'!AI$52)+('Equipment List &amp; Usage'!$P60*'Weekly Summary'!AI$53)+('Equipment List &amp; Usage'!$Q60*('Weekly Summary'!AI$52+'Weekly Summary'!AI$53))+('Equipment List &amp; Usage'!$R60*'Weekly Summary'!AI$64)+('Equipment List &amp; Usage'!$S60*'Weekly Summary'!AI$65)+('Equipment List &amp; Usage'!$T60*('Weekly Summary'!AI$64+'Weekly Summary'!AI$65)),
('Equipment List &amp; Usage'!$O60*'Weekly Summary'!AI$52)+('Equipment List &amp; Usage'!$P60*'Weekly Summary'!AI$53)+('Equipment List &amp; Usage'!$Q60*('Weekly Summary'!AI$52+'Weekly Summary'!AI$53))+('Equipment List &amp; Usage'!$R60*'Weekly Summary'!AI$64)+('Equipment List &amp; Usage'!$S60*'Weekly Summary'!AI$65)+('Equipment List &amp; Usage'!$T60*('Weekly Summary'!AI$64+'Weekly Summary'!AI$65))-SUM($I58:AN58))),0)</f>
        <v>0</v>
      </c>
      <c r="AP58" s="1381">
        <f ca="1">MAX(IF($F58="No",('Equipment List &amp; Usage'!$O60*'Weekly Summary'!AJ$52)+('Equipment List &amp; Usage'!$P60*'Weekly Summary'!AJ$53)+('Equipment List &amp; Usage'!$Q60*('Weekly Summary'!AJ$52+'Weekly Summary'!AJ$53))+('Equipment List &amp; Usage'!$R60*'Weekly Summary'!AJ$64)+('Equipment List &amp; Usage'!$S60*'Weekly Summary'!AJ$65)+('Equipment List &amp; Usage'!$T60*('Weekly Summary'!AJ$64+'Weekly Summary'!AJ$65)),
IF(AP$10=0,('Equipment List &amp; Usage'!$O60*'Weekly Summary'!AJ$52)+('Equipment List &amp; Usage'!$P60*'Weekly Summary'!AJ$53)+('Equipment List &amp; Usage'!$Q60*('Weekly Summary'!AJ$52+'Weekly Summary'!AJ$53))+('Equipment List &amp; Usage'!$R60*'Weekly Summary'!AJ$64)+('Equipment List &amp; Usage'!$S60*'Weekly Summary'!AJ$65)+('Equipment List &amp; Usage'!$T60*('Weekly Summary'!AJ$64+'Weekly Summary'!AJ$65)),
('Equipment List &amp; Usage'!$O60*'Weekly Summary'!AJ$52)+('Equipment List &amp; Usage'!$P60*'Weekly Summary'!AJ$53)+('Equipment List &amp; Usage'!$Q60*('Weekly Summary'!AJ$52+'Weekly Summary'!AJ$53))+('Equipment List &amp; Usage'!$R60*'Weekly Summary'!AJ$64)+('Equipment List &amp; Usage'!$S60*'Weekly Summary'!AJ$65)+('Equipment List &amp; Usage'!$T60*('Weekly Summary'!AJ$64+'Weekly Summary'!AJ$65))-SUM($I58:AO58))),0)</f>
        <v>0</v>
      </c>
      <c r="AQ58" s="1381">
        <f ca="1">MAX(IF($F58="No",('Equipment List &amp; Usage'!$O60*'Weekly Summary'!AK$52)+('Equipment List &amp; Usage'!$P60*'Weekly Summary'!AK$53)+('Equipment List &amp; Usage'!$Q60*('Weekly Summary'!AK$52+'Weekly Summary'!AK$53))+('Equipment List &amp; Usage'!$R60*'Weekly Summary'!AK$64)+('Equipment List &amp; Usage'!$S60*'Weekly Summary'!AK$65)+('Equipment List &amp; Usage'!$T60*('Weekly Summary'!AK$64+'Weekly Summary'!AK$65)),
IF(AQ$10=0,('Equipment List &amp; Usage'!$O60*'Weekly Summary'!AK$52)+('Equipment List &amp; Usage'!$P60*'Weekly Summary'!AK$53)+('Equipment List &amp; Usage'!$Q60*('Weekly Summary'!AK$52+'Weekly Summary'!AK$53))+('Equipment List &amp; Usage'!$R60*'Weekly Summary'!AK$64)+('Equipment List &amp; Usage'!$S60*'Weekly Summary'!AK$65)+('Equipment List &amp; Usage'!$T60*('Weekly Summary'!AK$64+'Weekly Summary'!AK$65)),
('Equipment List &amp; Usage'!$O60*'Weekly Summary'!AK$52)+('Equipment List &amp; Usage'!$P60*'Weekly Summary'!AK$53)+('Equipment List &amp; Usage'!$Q60*('Weekly Summary'!AK$52+'Weekly Summary'!AK$53))+('Equipment List &amp; Usage'!$R60*'Weekly Summary'!AK$64)+('Equipment List &amp; Usage'!$S60*'Weekly Summary'!AK$65)+('Equipment List &amp; Usage'!$T60*('Weekly Summary'!AK$64+'Weekly Summary'!AK$65))-SUM($I58:AP58))),0)</f>
        <v>0</v>
      </c>
      <c r="AR58" s="1381">
        <f ca="1">MAX(IF($F58="No",('Equipment List &amp; Usage'!$O60*'Weekly Summary'!AL$52)+('Equipment List &amp; Usage'!$P60*'Weekly Summary'!AL$53)+('Equipment List &amp; Usage'!$Q60*('Weekly Summary'!AL$52+'Weekly Summary'!AL$53))+('Equipment List &amp; Usage'!$R60*'Weekly Summary'!AL$64)+('Equipment List &amp; Usage'!$S60*'Weekly Summary'!AL$65)+('Equipment List &amp; Usage'!$T60*('Weekly Summary'!AL$64+'Weekly Summary'!AL$65)),
IF(AR$10=0,('Equipment List &amp; Usage'!$O60*'Weekly Summary'!AL$52)+('Equipment List &amp; Usage'!$P60*'Weekly Summary'!AL$53)+('Equipment List &amp; Usage'!$Q60*('Weekly Summary'!AL$52+'Weekly Summary'!AL$53))+('Equipment List &amp; Usage'!$R60*'Weekly Summary'!AL$64)+('Equipment List &amp; Usage'!$S60*'Weekly Summary'!AL$65)+('Equipment List &amp; Usage'!$T60*('Weekly Summary'!AL$64+'Weekly Summary'!AL$65)),
('Equipment List &amp; Usage'!$O60*'Weekly Summary'!AL$52)+('Equipment List &amp; Usage'!$P60*'Weekly Summary'!AL$53)+('Equipment List &amp; Usage'!$Q60*('Weekly Summary'!AL$52+'Weekly Summary'!AL$53))+('Equipment List &amp; Usage'!$R60*'Weekly Summary'!AL$64)+('Equipment List &amp; Usage'!$S60*'Weekly Summary'!AL$65)+('Equipment List &amp; Usage'!$T60*('Weekly Summary'!AL$64+'Weekly Summary'!AL$65))-SUM($I58:AQ58))),0)</f>
        <v>0</v>
      </c>
      <c r="AS58" s="1381">
        <f ca="1">MAX(IF($F58="No",('Equipment List &amp; Usage'!$O60*'Weekly Summary'!AM$52)+('Equipment List &amp; Usage'!$P60*'Weekly Summary'!AM$53)+('Equipment List &amp; Usage'!$Q60*('Weekly Summary'!AM$52+'Weekly Summary'!AM$53))+('Equipment List &amp; Usage'!$R60*'Weekly Summary'!AM$64)+('Equipment List &amp; Usage'!$S60*'Weekly Summary'!AM$65)+('Equipment List &amp; Usage'!$T60*('Weekly Summary'!AM$64+'Weekly Summary'!AM$65)),
IF(AS$10=0,('Equipment List &amp; Usage'!$O60*'Weekly Summary'!AM$52)+('Equipment List &amp; Usage'!$P60*'Weekly Summary'!AM$53)+('Equipment List &amp; Usage'!$Q60*('Weekly Summary'!AM$52+'Weekly Summary'!AM$53))+('Equipment List &amp; Usage'!$R60*'Weekly Summary'!AM$64)+('Equipment List &amp; Usage'!$S60*'Weekly Summary'!AM$65)+('Equipment List &amp; Usage'!$T60*('Weekly Summary'!AM$64+'Weekly Summary'!AM$65)),
('Equipment List &amp; Usage'!$O60*'Weekly Summary'!AM$52)+('Equipment List &amp; Usage'!$P60*'Weekly Summary'!AM$53)+('Equipment List &amp; Usage'!$Q60*('Weekly Summary'!AM$52+'Weekly Summary'!AM$53))+('Equipment List &amp; Usage'!$R60*'Weekly Summary'!AM$64)+('Equipment List &amp; Usage'!$S60*'Weekly Summary'!AM$65)+('Equipment List &amp; Usage'!$T60*('Weekly Summary'!AM$64+'Weekly Summary'!AM$65))-SUM($I58:AR58))),0)</f>
        <v>0</v>
      </c>
      <c r="AT58" s="1381">
        <f ca="1">MAX(IF($F58="No",('Equipment List &amp; Usage'!$O60*'Weekly Summary'!AN$52)+('Equipment List &amp; Usage'!$P60*'Weekly Summary'!AN$53)+('Equipment List &amp; Usage'!$Q60*('Weekly Summary'!AN$52+'Weekly Summary'!AN$53))+('Equipment List &amp; Usage'!$R60*'Weekly Summary'!AN$64)+('Equipment List &amp; Usage'!$S60*'Weekly Summary'!AN$65)+('Equipment List &amp; Usage'!$T60*('Weekly Summary'!AN$64+'Weekly Summary'!AN$65)),
IF(AT$10=0,('Equipment List &amp; Usage'!$O60*'Weekly Summary'!AN$52)+('Equipment List &amp; Usage'!$P60*'Weekly Summary'!AN$53)+('Equipment List &amp; Usage'!$Q60*('Weekly Summary'!AN$52+'Weekly Summary'!AN$53))+('Equipment List &amp; Usage'!$R60*'Weekly Summary'!AN$64)+('Equipment List &amp; Usage'!$S60*'Weekly Summary'!AN$65)+('Equipment List &amp; Usage'!$T60*('Weekly Summary'!AN$64+'Weekly Summary'!AN$65)),
('Equipment List &amp; Usage'!$O60*'Weekly Summary'!AN$52)+('Equipment List &amp; Usage'!$P60*'Weekly Summary'!AN$53)+('Equipment List &amp; Usage'!$Q60*('Weekly Summary'!AN$52+'Weekly Summary'!AN$53))+('Equipment List &amp; Usage'!$R60*'Weekly Summary'!AN$64)+('Equipment List &amp; Usage'!$S60*'Weekly Summary'!AN$65)+('Equipment List &amp; Usage'!$T60*('Weekly Summary'!AN$64+'Weekly Summary'!AN$65))-SUM($I58:AS58))),0)</f>
        <v>0</v>
      </c>
      <c r="AU58" s="1381">
        <f ca="1">MAX(IF($F58="No",('Equipment List &amp; Usage'!$O60*'Weekly Summary'!AO$52)+('Equipment List &amp; Usage'!$P60*'Weekly Summary'!AO$53)+('Equipment List &amp; Usage'!$Q60*('Weekly Summary'!AO$52+'Weekly Summary'!AO$53))+('Equipment List &amp; Usage'!$R60*'Weekly Summary'!AO$64)+('Equipment List &amp; Usage'!$S60*'Weekly Summary'!AO$65)+('Equipment List &amp; Usage'!$T60*('Weekly Summary'!AO$64+'Weekly Summary'!AO$65)),
IF(AU$10=0,('Equipment List &amp; Usage'!$O60*'Weekly Summary'!AO$52)+('Equipment List &amp; Usage'!$P60*'Weekly Summary'!AO$53)+('Equipment List &amp; Usage'!$Q60*('Weekly Summary'!AO$52+'Weekly Summary'!AO$53))+('Equipment List &amp; Usage'!$R60*'Weekly Summary'!AO$64)+('Equipment List &amp; Usage'!$S60*'Weekly Summary'!AO$65)+('Equipment List &amp; Usage'!$T60*('Weekly Summary'!AO$64+'Weekly Summary'!AO$65)),
('Equipment List &amp; Usage'!$O60*'Weekly Summary'!AO$52)+('Equipment List &amp; Usage'!$P60*'Weekly Summary'!AO$53)+('Equipment List &amp; Usage'!$Q60*('Weekly Summary'!AO$52+'Weekly Summary'!AO$53))+('Equipment List &amp; Usage'!$R60*'Weekly Summary'!AO$64)+('Equipment List &amp; Usage'!$S60*'Weekly Summary'!AO$65)+('Equipment List &amp; Usage'!$T60*('Weekly Summary'!AO$64+'Weekly Summary'!AO$65))-SUM($I58:AT58))),0)</f>
        <v>0</v>
      </c>
      <c r="AV58" s="1381">
        <f ca="1">MAX(IF($F58="No",('Equipment List &amp; Usage'!$O60*'Weekly Summary'!AP$52)+('Equipment List &amp; Usage'!$P60*'Weekly Summary'!AP$53)+('Equipment List &amp; Usage'!$Q60*('Weekly Summary'!AP$52+'Weekly Summary'!AP$53))+('Equipment List &amp; Usage'!$R60*'Weekly Summary'!AP$64)+('Equipment List &amp; Usage'!$S60*'Weekly Summary'!AP$65)+('Equipment List &amp; Usage'!$T60*('Weekly Summary'!AP$64+'Weekly Summary'!AP$65)),
IF(AV$10=0,('Equipment List &amp; Usage'!$O60*'Weekly Summary'!AP$52)+('Equipment List &amp; Usage'!$P60*'Weekly Summary'!AP$53)+('Equipment List &amp; Usage'!$Q60*('Weekly Summary'!AP$52+'Weekly Summary'!AP$53))+('Equipment List &amp; Usage'!$R60*'Weekly Summary'!AP$64)+('Equipment List &amp; Usage'!$S60*'Weekly Summary'!AP$65)+('Equipment List &amp; Usage'!$T60*('Weekly Summary'!AP$64+'Weekly Summary'!AP$65)),
('Equipment List &amp; Usage'!$O60*'Weekly Summary'!AP$52)+('Equipment List &amp; Usage'!$P60*'Weekly Summary'!AP$53)+('Equipment List &amp; Usage'!$Q60*('Weekly Summary'!AP$52+'Weekly Summary'!AP$53))+('Equipment List &amp; Usage'!$R60*'Weekly Summary'!AP$64)+('Equipment List &amp; Usage'!$S60*'Weekly Summary'!AP$65)+('Equipment List &amp; Usage'!$T60*('Weekly Summary'!AP$64+'Weekly Summary'!AP$65))-SUM($I58:AU58))),0)</f>
        <v>0</v>
      </c>
      <c r="AW58" s="1381">
        <f ca="1">MAX(IF($F58="No",('Equipment List &amp; Usage'!$O60*'Weekly Summary'!AQ$52)+('Equipment List &amp; Usage'!$P60*'Weekly Summary'!AQ$53)+('Equipment List &amp; Usage'!$Q60*('Weekly Summary'!AQ$52+'Weekly Summary'!AQ$53))+('Equipment List &amp; Usage'!$R60*'Weekly Summary'!AQ$64)+('Equipment List &amp; Usage'!$S60*'Weekly Summary'!AQ$65)+('Equipment List &amp; Usage'!$T60*('Weekly Summary'!AQ$64+'Weekly Summary'!AQ$65)),
IF(AW$10=0,('Equipment List &amp; Usage'!$O60*'Weekly Summary'!AQ$52)+('Equipment List &amp; Usage'!$P60*'Weekly Summary'!AQ$53)+('Equipment List &amp; Usage'!$Q60*('Weekly Summary'!AQ$52+'Weekly Summary'!AQ$53))+('Equipment List &amp; Usage'!$R60*'Weekly Summary'!AQ$64)+('Equipment List &amp; Usage'!$S60*'Weekly Summary'!AQ$65)+('Equipment List &amp; Usage'!$T60*('Weekly Summary'!AQ$64+'Weekly Summary'!AQ$65)),
('Equipment List &amp; Usage'!$O60*'Weekly Summary'!AQ$52)+('Equipment List &amp; Usage'!$P60*'Weekly Summary'!AQ$53)+('Equipment List &amp; Usage'!$Q60*('Weekly Summary'!AQ$52+'Weekly Summary'!AQ$53))+('Equipment List &amp; Usage'!$R60*'Weekly Summary'!AQ$64)+('Equipment List &amp; Usage'!$S60*'Weekly Summary'!AQ$65)+('Equipment List &amp; Usage'!$T60*('Weekly Summary'!AQ$64+'Weekly Summary'!AQ$65))-SUM($I58:AV58))),0)</f>
        <v>0</v>
      </c>
      <c r="AX58" s="1381">
        <f ca="1">MAX(IF($F58="No",('Equipment List &amp; Usage'!$O60*'Weekly Summary'!AR$52)+('Equipment List &amp; Usage'!$P60*'Weekly Summary'!AR$53)+('Equipment List &amp; Usage'!$Q60*('Weekly Summary'!AR$52+'Weekly Summary'!AR$53))+('Equipment List &amp; Usage'!$R60*'Weekly Summary'!AR$64)+('Equipment List &amp; Usage'!$S60*'Weekly Summary'!AR$65)+('Equipment List &amp; Usage'!$T60*('Weekly Summary'!AR$64+'Weekly Summary'!AR$65)),
IF(AX$10=0,('Equipment List &amp; Usage'!$O60*'Weekly Summary'!AR$52)+('Equipment List &amp; Usage'!$P60*'Weekly Summary'!AR$53)+('Equipment List &amp; Usage'!$Q60*('Weekly Summary'!AR$52+'Weekly Summary'!AR$53))+('Equipment List &amp; Usage'!$R60*'Weekly Summary'!AR$64)+('Equipment List &amp; Usage'!$S60*'Weekly Summary'!AR$65)+('Equipment List &amp; Usage'!$T60*('Weekly Summary'!AR$64+'Weekly Summary'!AR$65)),
('Equipment List &amp; Usage'!$O60*'Weekly Summary'!AR$52)+('Equipment List &amp; Usage'!$P60*'Weekly Summary'!AR$53)+('Equipment List &amp; Usage'!$Q60*('Weekly Summary'!AR$52+'Weekly Summary'!AR$53))+('Equipment List &amp; Usage'!$R60*'Weekly Summary'!AR$64)+('Equipment List &amp; Usage'!$S60*'Weekly Summary'!AR$65)+('Equipment List &amp; Usage'!$T60*('Weekly Summary'!AR$64+'Weekly Summary'!AR$65))-SUM($I58:AW58))),0)</f>
        <v>0</v>
      </c>
      <c r="AY58" s="1381">
        <f ca="1">MAX(IF($F58="No",('Equipment List &amp; Usage'!$O60*'Weekly Summary'!AS$52)+('Equipment List &amp; Usage'!$P60*'Weekly Summary'!AS$53)+('Equipment List &amp; Usage'!$Q60*('Weekly Summary'!AS$52+'Weekly Summary'!AS$53))+('Equipment List &amp; Usage'!$R60*'Weekly Summary'!AS$64)+('Equipment List &amp; Usage'!$S60*'Weekly Summary'!AS$65)+('Equipment List &amp; Usage'!$T60*('Weekly Summary'!AS$64+'Weekly Summary'!AS$65)),
IF(AY$10=0,('Equipment List &amp; Usage'!$O60*'Weekly Summary'!AS$52)+('Equipment List &amp; Usage'!$P60*'Weekly Summary'!AS$53)+('Equipment List &amp; Usage'!$Q60*('Weekly Summary'!AS$52+'Weekly Summary'!AS$53))+('Equipment List &amp; Usage'!$R60*'Weekly Summary'!AS$64)+('Equipment List &amp; Usage'!$S60*'Weekly Summary'!AS$65)+('Equipment List &amp; Usage'!$T60*('Weekly Summary'!AS$64+'Weekly Summary'!AS$65)),
('Equipment List &amp; Usage'!$O60*'Weekly Summary'!AS$52)+('Equipment List &amp; Usage'!$P60*'Weekly Summary'!AS$53)+('Equipment List &amp; Usage'!$Q60*('Weekly Summary'!AS$52+'Weekly Summary'!AS$53))+('Equipment List &amp; Usage'!$R60*'Weekly Summary'!AS$64)+('Equipment List &amp; Usage'!$S60*'Weekly Summary'!AS$65)+('Equipment List &amp; Usage'!$T60*('Weekly Summary'!AS$64+'Weekly Summary'!AS$65))-SUM($I58:AX58))),0)</f>
        <v>0</v>
      </c>
      <c r="AZ58" s="1381">
        <f ca="1">MAX(IF($F58="No",('Equipment List &amp; Usage'!$O60*'Weekly Summary'!AT$52)+('Equipment List &amp; Usage'!$P60*'Weekly Summary'!AT$53)+('Equipment List &amp; Usage'!$Q60*('Weekly Summary'!AT$52+'Weekly Summary'!AT$53))+('Equipment List &amp; Usage'!$R60*'Weekly Summary'!AT$64)+('Equipment List &amp; Usage'!$S60*'Weekly Summary'!AT$65)+('Equipment List &amp; Usage'!$T60*('Weekly Summary'!AT$64+'Weekly Summary'!AT$65)),
IF(AZ$10=0,('Equipment List &amp; Usage'!$O60*'Weekly Summary'!AT$52)+('Equipment List &amp; Usage'!$P60*'Weekly Summary'!AT$53)+('Equipment List &amp; Usage'!$Q60*('Weekly Summary'!AT$52+'Weekly Summary'!AT$53))+('Equipment List &amp; Usage'!$R60*'Weekly Summary'!AT$64)+('Equipment List &amp; Usage'!$S60*'Weekly Summary'!AT$65)+('Equipment List &amp; Usage'!$T60*('Weekly Summary'!AT$64+'Weekly Summary'!AT$65)),
('Equipment List &amp; Usage'!$O60*'Weekly Summary'!AT$52)+('Equipment List &amp; Usage'!$P60*'Weekly Summary'!AT$53)+('Equipment List &amp; Usage'!$Q60*('Weekly Summary'!AT$52+'Weekly Summary'!AT$53))+('Equipment List &amp; Usage'!$R60*'Weekly Summary'!AT$64)+('Equipment List &amp; Usage'!$S60*'Weekly Summary'!AT$65)+('Equipment List &amp; Usage'!$T60*('Weekly Summary'!AT$64+'Weekly Summary'!AT$65))-SUM($I58:AY58))),0)</f>
        <v>0</v>
      </c>
      <c r="BA58" s="1381">
        <f ca="1">MAX(IF($F58="No",('Equipment List &amp; Usage'!$O60*'Weekly Summary'!AU$52)+('Equipment List &amp; Usage'!$P60*'Weekly Summary'!AU$53)+('Equipment List &amp; Usage'!$Q60*('Weekly Summary'!AU$52+'Weekly Summary'!AU$53))+('Equipment List &amp; Usage'!$R60*'Weekly Summary'!AU$64)+('Equipment List &amp; Usage'!$S60*'Weekly Summary'!AU$65)+('Equipment List &amp; Usage'!$T60*('Weekly Summary'!AU$64+'Weekly Summary'!AU$65)),
IF(BA$10=0,('Equipment List &amp; Usage'!$O60*'Weekly Summary'!AU$52)+('Equipment List &amp; Usage'!$P60*'Weekly Summary'!AU$53)+('Equipment List &amp; Usage'!$Q60*('Weekly Summary'!AU$52+'Weekly Summary'!AU$53))+('Equipment List &amp; Usage'!$R60*'Weekly Summary'!AU$64)+('Equipment List &amp; Usage'!$S60*'Weekly Summary'!AU$65)+('Equipment List &amp; Usage'!$T60*('Weekly Summary'!AU$64+'Weekly Summary'!AU$65)),
('Equipment List &amp; Usage'!$O60*'Weekly Summary'!AU$52)+('Equipment List &amp; Usage'!$P60*'Weekly Summary'!AU$53)+('Equipment List &amp; Usage'!$Q60*('Weekly Summary'!AU$52+'Weekly Summary'!AU$53))+('Equipment List &amp; Usage'!$R60*'Weekly Summary'!AU$64)+('Equipment List &amp; Usage'!$S60*'Weekly Summary'!AU$65)+('Equipment List &amp; Usage'!$T60*('Weekly Summary'!AU$64+'Weekly Summary'!AU$65))-SUM($I58:AZ58))),0)</f>
        <v>0</v>
      </c>
      <c r="BB58" s="1381">
        <f ca="1">MAX(IF($F58="No",('Equipment List &amp; Usage'!$O60*'Weekly Summary'!AV$52)+('Equipment List &amp; Usage'!$P60*'Weekly Summary'!AV$53)+('Equipment List &amp; Usage'!$Q60*('Weekly Summary'!AV$52+'Weekly Summary'!AV$53))+('Equipment List &amp; Usage'!$R60*'Weekly Summary'!AV$64)+('Equipment List &amp; Usage'!$S60*'Weekly Summary'!AV$65)+('Equipment List &amp; Usage'!$T60*('Weekly Summary'!AV$64+'Weekly Summary'!AV$65)),
IF(BB$10=0,('Equipment List &amp; Usage'!$O60*'Weekly Summary'!AV$52)+('Equipment List &amp; Usage'!$P60*'Weekly Summary'!AV$53)+('Equipment List &amp; Usage'!$Q60*('Weekly Summary'!AV$52+'Weekly Summary'!AV$53))+('Equipment List &amp; Usage'!$R60*'Weekly Summary'!AV$64)+('Equipment List &amp; Usage'!$S60*'Weekly Summary'!AV$65)+('Equipment List &amp; Usage'!$T60*('Weekly Summary'!AV$64+'Weekly Summary'!AV$65)),
('Equipment List &amp; Usage'!$O60*'Weekly Summary'!AV$52)+('Equipment List &amp; Usage'!$P60*'Weekly Summary'!AV$53)+('Equipment List &amp; Usage'!$Q60*('Weekly Summary'!AV$52+'Weekly Summary'!AV$53))+('Equipment List &amp; Usage'!$R60*'Weekly Summary'!AV$64)+('Equipment List &amp; Usage'!$S60*'Weekly Summary'!AV$65)+('Equipment List &amp; Usage'!$T60*('Weekly Summary'!AV$64+'Weekly Summary'!AV$65))-SUM($I58:BA58))),0)</f>
        <v>0</v>
      </c>
      <c r="BC58" s="1381">
        <f ca="1">MAX(IF($F58="No",('Equipment List &amp; Usage'!$O60*'Weekly Summary'!AW$52)+('Equipment List &amp; Usage'!$P60*'Weekly Summary'!AW$53)+('Equipment List &amp; Usage'!$Q60*('Weekly Summary'!AW$52+'Weekly Summary'!AW$53))+('Equipment List &amp; Usage'!$R60*'Weekly Summary'!AW$64)+('Equipment List &amp; Usage'!$S60*'Weekly Summary'!AW$65)+('Equipment List &amp; Usage'!$T60*('Weekly Summary'!AW$64+'Weekly Summary'!AW$65)),
IF(BC$10=0,('Equipment List &amp; Usage'!$O60*'Weekly Summary'!AW$52)+('Equipment List &amp; Usage'!$P60*'Weekly Summary'!AW$53)+('Equipment List &amp; Usage'!$Q60*('Weekly Summary'!AW$52+'Weekly Summary'!AW$53))+('Equipment List &amp; Usage'!$R60*'Weekly Summary'!AW$64)+('Equipment List &amp; Usage'!$S60*'Weekly Summary'!AW$65)+('Equipment List &amp; Usage'!$T60*('Weekly Summary'!AW$64+'Weekly Summary'!AW$65)),
('Equipment List &amp; Usage'!$O60*'Weekly Summary'!AW$52)+('Equipment List &amp; Usage'!$P60*'Weekly Summary'!AW$53)+('Equipment List &amp; Usage'!$Q60*('Weekly Summary'!AW$52+'Weekly Summary'!AW$53))+('Equipment List &amp; Usage'!$R60*'Weekly Summary'!AW$64)+('Equipment List &amp; Usage'!$S60*'Weekly Summary'!AW$65)+('Equipment List &amp; Usage'!$T60*('Weekly Summary'!AW$64+'Weekly Summary'!AW$65))-SUM($I58:BB58))),0)</f>
        <v>0</v>
      </c>
      <c r="BD58" s="1381">
        <f ca="1">MAX(IF($F58="No",('Equipment List &amp; Usage'!$O60*'Weekly Summary'!AX$52)+('Equipment List &amp; Usage'!$P60*'Weekly Summary'!AX$53)+('Equipment List &amp; Usage'!$Q60*('Weekly Summary'!AX$52+'Weekly Summary'!AX$53))+('Equipment List &amp; Usage'!$R60*'Weekly Summary'!AX$64)+('Equipment List &amp; Usage'!$S60*'Weekly Summary'!AX$65)+('Equipment List &amp; Usage'!$T60*('Weekly Summary'!AX$64+'Weekly Summary'!AX$65)),
IF(BD$10=0,('Equipment List &amp; Usage'!$O60*'Weekly Summary'!AX$52)+('Equipment List &amp; Usage'!$P60*'Weekly Summary'!AX$53)+('Equipment List &amp; Usage'!$Q60*('Weekly Summary'!AX$52+'Weekly Summary'!AX$53))+('Equipment List &amp; Usage'!$R60*'Weekly Summary'!AX$64)+('Equipment List &amp; Usage'!$S60*'Weekly Summary'!AX$65)+('Equipment List &amp; Usage'!$T60*('Weekly Summary'!AX$64+'Weekly Summary'!AX$65)),
('Equipment List &amp; Usage'!$O60*'Weekly Summary'!AX$52)+('Equipment List &amp; Usage'!$P60*'Weekly Summary'!AX$53)+('Equipment List &amp; Usage'!$Q60*('Weekly Summary'!AX$52+'Weekly Summary'!AX$53))+('Equipment List &amp; Usage'!$R60*'Weekly Summary'!AX$64)+('Equipment List &amp; Usage'!$S60*'Weekly Summary'!AX$65)+('Equipment List &amp; Usage'!$T60*('Weekly Summary'!AX$64+'Weekly Summary'!AX$65))-SUM($I58:BC58))),0)</f>
        <v>0</v>
      </c>
      <c r="BE58" s="1381">
        <f ca="1">MAX(IF($F58="No",('Equipment List &amp; Usage'!$O60*'Weekly Summary'!AY$52)+('Equipment List &amp; Usage'!$P60*'Weekly Summary'!AY$53)+('Equipment List &amp; Usage'!$Q60*('Weekly Summary'!AY$52+'Weekly Summary'!AY$53))+('Equipment List &amp; Usage'!$R60*'Weekly Summary'!AY$64)+('Equipment List &amp; Usage'!$S60*'Weekly Summary'!AY$65)+('Equipment List &amp; Usage'!$T60*('Weekly Summary'!AY$64+'Weekly Summary'!AY$65)),
IF(BE$10=0,('Equipment List &amp; Usage'!$O60*'Weekly Summary'!AY$52)+('Equipment List &amp; Usage'!$P60*'Weekly Summary'!AY$53)+('Equipment List &amp; Usage'!$Q60*('Weekly Summary'!AY$52+'Weekly Summary'!AY$53))+('Equipment List &amp; Usage'!$R60*'Weekly Summary'!AY$64)+('Equipment List &amp; Usage'!$S60*'Weekly Summary'!AY$65)+('Equipment List &amp; Usage'!$T60*('Weekly Summary'!AY$64+'Weekly Summary'!AY$65)),
('Equipment List &amp; Usage'!$O60*'Weekly Summary'!AY$52)+('Equipment List &amp; Usage'!$P60*'Weekly Summary'!AY$53)+('Equipment List &amp; Usage'!$Q60*('Weekly Summary'!AY$52+'Weekly Summary'!AY$53))+('Equipment List &amp; Usage'!$R60*'Weekly Summary'!AY$64)+('Equipment List &amp; Usage'!$S60*'Weekly Summary'!AY$65)+('Equipment List &amp; Usage'!$T60*('Weekly Summary'!AY$64+'Weekly Summary'!AY$65))-SUM($I58:BD58))),0)</f>
        <v>0</v>
      </c>
      <c r="BF58" s="1381">
        <f ca="1">MAX(IF($F58="No",('Equipment List &amp; Usage'!$O60*'Weekly Summary'!AZ$52)+('Equipment List &amp; Usage'!$P60*'Weekly Summary'!AZ$53)+('Equipment List &amp; Usage'!$Q60*('Weekly Summary'!AZ$52+'Weekly Summary'!AZ$53))+('Equipment List &amp; Usage'!$R60*'Weekly Summary'!AZ$64)+('Equipment List &amp; Usage'!$S60*'Weekly Summary'!AZ$65)+('Equipment List &amp; Usage'!$T60*('Weekly Summary'!AZ$64+'Weekly Summary'!AZ$65)),
IF(BF$10=0,('Equipment List &amp; Usage'!$O60*'Weekly Summary'!AZ$52)+('Equipment List &amp; Usage'!$P60*'Weekly Summary'!AZ$53)+('Equipment List &amp; Usage'!$Q60*('Weekly Summary'!AZ$52+'Weekly Summary'!AZ$53))+('Equipment List &amp; Usage'!$R60*'Weekly Summary'!AZ$64)+('Equipment List &amp; Usage'!$S60*'Weekly Summary'!AZ$65)+('Equipment List &amp; Usage'!$T60*('Weekly Summary'!AZ$64+'Weekly Summary'!AZ$65)),
('Equipment List &amp; Usage'!$O60*'Weekly Summary'!AZ$52)+('Equipment List &amp; Usage'!$P60*'Weekly Summary'!AZ$53)+('Equipment List &amp; Usage'!$Q60*('Weekly Summary'!AZ$52+'Weekly Summary'!AZ$53))+('Equipment List &amp; Usage'!$R60*'Weekly Summary'!AZ$64)+('Equipment List &amp; Usage'!$S60*'Weekly Summary'!AZ$65)+('Equipment List &amp; Usage'!$T60*('Weekly Summary'!AZ$64+'Weekly Summary'!AZ$65))-SUM($I58:BE58))),0)</f>
        <v>0</v>
      </c>
      <c r="BG58" s="1381">
        <f ca="1">MAX(IF($F58="No",('Equipment List &amp; Usage'!$O60*'Weekly Summary'!BA$52)+('Equipment List &amp; Usage'!$P60*'Weekly Summary'!BA$53)+('Equipment List &amp; Usage'!$Q60*('Weekly Summary'!BA$52+'Weekly Summary'!BA$53))+('Equipment List &amp; Usage'!$R60*'Weekly Summary'!BA$64)+('Equipment List &amp; Usage'!$S60*'Weekly Summary'!BA$65)+('Equipment List &amp; Usage'!$T60*('Weekly Summary'!BA$64+'Weekly Summary'!BA$65)),
IF(BG$10=0,('Equipment List &amp; Usage'!$O60*'Weekly Summary'!BA$52)+('Equipment List &amp; Usage'!$P60*'Weekly Summary'!BA$53)+('Equipment List &amp; Usage'!$Q60*('Weekly Summary'!BA$52+'Weekly Summary'!BA$53))+('Equipment List &amp; Usage'!$R60*'Weekly Summary'!BA$64)+('Equipment List &amp; Usage'!$S60*'Weekly Summary'!BA$65)+('Equipment List &amp; Usage'!$T60*('Weekly Summary'!BA$64+'Weekly Summary'!BA$65)),
('Equipment List &amp; Usage'!$O60*'Weekly Summary'!BA$52)+('Equipment List &amp; Usage'!$P60*'Weekly Summary'!BA$53)+('Equipment List &amp; Usage'!$Q60*('Weekly Summary'!BA$52+'Weekly Summary'!BA$53))+('Equipment List &amp; Usage'!$R60*'Weekly Summary'!BA$64)+('Equipment List &amp; Usage'!$S60*'Weekly Summary'!BA$65)+('Equipment List &amp; Usage'!$T60*('Weekly Summary'!BA$64+'Weekly Summary'!BA$65))-SUM($I58:BF58))),0)</f>
        <v>0</v>
      </c>
      <c r="BH58" s="1381">
        <f ca="1">MAX(IF($F58="No",('Equipment List &amp; Usage'!$O60*'Weekly Summary'!BB$52)+('Equipment List &amp; Usage'!$P60*'Weekly Summary'!BB$53)+('Equipment List &amp; Usage'!$Q60*('Weekly Summary'!BB$52+'Weekly Summary'!BB$53))+('Equipment List &amp; Usage'!$R60*'Weekly Summary'!BB$64)+('Equipment List &amp; Usage'!$S60*'Weekly Summary'!BB$65)+('Equipment List &amp; Usage'!$T60*('Weekly Summary'!BB$64+'Weekly Summary'!BB$65)),
IF(BH$10=0,('Equipment List &amp; Usage'!$O60*'Weekly Summary'!BB$52)+('Equipment List &amp; Usage'!$P60*'Weekly Summary'!BB$53)+('Equipment List &amp; Usage'!$Q60*('Weekly Summary'!BB$52+'Weekly Summary'!BB$53))+('Equipment List &amp; Usage'!$R60*'Weekly Summary'!BB$64)+('Equipment List &amp; Usage'!$S60*'Weekly Summary'!BB$65)+('Equipment List &amp; Usage'!$T60*('Weekly Summary'!BB$64+'Weekly Summary'!BB$65)),
('Equipment List &amp; Usage'!$O60*'Weekly Summary'!BB$52)+('Equipment List &amp; Usage'!$P60*'Weekly Summary'!BB$53)+('Equipment List &amp; Usage'!$Q60*('Weekly Summary'!BB$52+'Weekly Summary'!BB$53))+('Equipment List &amp; Usage'!$R60*'Weekly Summary'!BB$64)+('Equipment List &amp; Usage'!$S60*'Weekly Summary'!BB$65)+('Equipment List &amp; Usage'!$T60*('Weekly Summary'!BB$64+'Weekly Summary'!BB$65))-SUM($I58:BG58))),0)</f>
        <v>0</v>
      </c>
      <c r="BI58" s="1381">
        <f ca="1">MAX(IF($F58="No",('Equipment List &amp; Usage'!$O60*'Weekly Summary'!BC$52)+('Equipment List &amp; Usage'!$P60*'Weekly Summary'!BC$53)+('Equipment List &amp; Usage'!$Q60*('Weekly Summary'!BC$52+'Weekly Summary'!BC$53))+('Equipment List &amp; Usage'!$R60*'Weekly Summary'!BC$64)+('Equipment List &amp; Usage'!$S60*'Weekly Summary'!BC$65)+('Equipment List &amp; Usage'!$T60*('Weekly Summary'!BC$64+'Weekly Summary'!BC$65)),
IF(BI$10=0,('Equipment List &amp; Usage'!$O60*'Weekly Summary'!BC$52)+('Equipment List &amp; Usage'!$P60*'Weekly Summary'!BC$53)+('Equipment List &amp; Usage'!$Q60*('Weekly Summary'!BC$52+'Weekly Summary'!BC$53))+('Equipment List &amp; Usage'!$R60*'Weekly Summary'!BC$64)+('Equipment List &amp; Usage'!$S60*'Weekly Summary'!BC$65)+('Equipment List &amp; Usage'!$T60*('Weekly Summary'!BC$64+'Weekly Summary'!BC$65)),
('Equipment List &amp; Usage'!$O60*'Weekly Summary'!BC$52)+('Equipment List &amp; Usage'!$P60*'Weekly Summary'!BC$53)+('Equipment List &amp; Usage'!$Q60*('Weekly Summary'!BC$52+'Weekly Summary'!BC$53))+('Equipment List &amp; Usage'!$R60*'Weekly Summary'!BC$64)+('Equipment List &amp; Usage'!$S60*'Weekly Summary'!BC$65)+('Equipment List &amp; Usage'!$T60*('Weekly Summary'!BC$64+'Weekly Summary'!BC$65))-SUM($I58:BH58))),0)</f>
        <v>0</v>
      </c>
      <c r="BJ58" s="1382">
        <f ca="1">MAX(IF($F58="No",('Equipment List &amp; Usage'!$O60*'Weekly Summary'!BD$52)+('Equipment List &amp; Usage'!$P60*'Weekly Summary'!BD$53)+('Equipment List &amp; Usage'!$Q60*('Weekly Summary'!BD$52+'Weekly Summary'!BD$53))+('Equipment List &amp; Usage'!$R60*'Weekly Summary'!BD$64)+('Equipment List &amp; Usage'!$S60*'Weekly Summary'!BD$65)+('Equipment List &amp; Usage'!$T60*('Weekly Summary'!BD$64+'Weekly Summary'!BD$65)),
IF(BJ$10=0,('Equipment List &amp; Usage'!$O60*'Weekly Summary'!BD$52)+('Equipment List &amp; Usage'!$P60*'Weekly Summary'!BD$53)+('Equipment List &amp; Usage'!$Q60*('Weekly Summary'!BD$52+'Weekly Summary'!BD$53))+('Equipment List &amp; Usage'!$R60*'Weekly Summary'!BD$64)+('Equipment List &amp; Usage'!$S60*'Weekly Summary'!BD$65)+('Equipment List &amp; Usage'!$T60*('Weekly Summary'!BD$64+'Weekly Summary'!BD$65)),
('Equipment List &amp; Usage'!$O60*'Weekly Summary'!BD$52)+('Equipment List &amp; Usage'!$P60*'Weekly Summary'!BD$53)+('Equipment List &amp; Usage'!$Q60*('Weekly Summary'!BD$52+'Weekly Summary'!BD$53))+('Equipment List &amp; Usage'!$R60*'Weekly Summary'!BD$64)+('Equipment List &amp; Usage'!$S60*'Weekly Summary'!BD$65)+('Equipment List &amp; Usage'!$T60*('Weekly Summary'!BD$64+'Weekly Summary'!BD$65))-SUM($I58:BI58))),0)</f>
        <v>0</v>
      </c>
    </row>
    <row r="59" spans="2:62" ht="29" x14ac:dyDescent="0.35">
      <c r="B59" s="735" t="str">
        <f>'Equipment List &amp; Usage'!B61</f>
        <v>Case management - biomedical equipment</v>
      </c>
      <c r="C59" s="526" t="str">
        <f>'Equipment List &amp; Usage'!C61</f>
        <v>Non-Invasive Ventilation</v>
      </c>
      <c r="D59" s="526" t="str">
        <f>'Equipment List &amp; Usage'!D61</f>
        <v>High Flow Nasal Cannula, with tubing and patient interfaces</v>
      </c>
      <c r="E59" s="526" t="str">
        <f>'Equipment List &amp; Usage'!E61</f>
        <v>Each</v>
      </c>
      <c r="F59" s="526" t="str">
        <f>'Equipment List &amp; Usage'!F61</f>
        <v>Yes</v>
      </c>
      <c r="G59" s="526" t="str">
        <f>'Equipment List &amp; Usage'!G61</f>
        <v>It includes all accessories for operation</v>
      </c>
      <c r="H59" s="1369">
        <f t="shared" ca="1" si="3"/>
        <v>15.357706271419325</v>
      </c>
      <c r="J59" s="1344"/>
      <c r="K59" s="1381">
        <f ca="1">IF('User Dashboard'!$H$13=1,0,MAX(IF($F59="No",('Equipment List &amp; Usage'!$O61*'Weekly Summary'!E$52)+('Equipment List &amp; Usage'!$P61*'Weekly Summary'!E$53)+('Equipment List &amp; Usage'!$Q61*('Weekly Summary'!E$52+'Weekly Summary'!E$53))+('Equipment List &amp; Usage'!$R61*'Weekly Summary'!E$64)+('Equipment List &amp; Usage'!$S61*'Weekly Summary'!E$65)+('Equipment List &amp; Usage'!$T61*('Weekly Summary'!E$64+'Weekly Summary'!E$65)),
IF(K$10=0,('Equipment List &amp; Usage'!$O61*'Weekly Summary'!E$52)+('Equipment List &amp; Usage'!$P61*'Weekly Summary'!E$53)+('Equipment List &amp; Usage'!$Q61*('Weekly Summary'!E$52+'Weekly Summary'!E$53))+('Equipment List &amp; Usage'!$R61*'Weekly Summary'!E$64)+('Equipment List &amp; Usage'!$S61*'Weekly Summary'!E$65)+('Equipment List &amp; Usage'!$T61*('Weekly Summary'!E$64+'Weekly Summary'!E$65)),
('Equipment List &amp; Usage'!$O61*'Weekly Summary'!E$52)+('Equipment List &amp; Usage'!$P61*'Weekly Summary'!E$53)+('Equipment List &amp; Usage'!$Q61*('Weekly Summary'!E$52+'Weekly Summary'!E$53))+('Equipment List &amp; Usage'!$R61*'Weekly Summary'!E$64)+('Equipment List &amp; Usage'!$S61*'Weekly Summary'!E$65)+('Equipment List &amp; Usage'!$T61*('Weekly Summary'!E$64+'Weekly Summary'!E$65))-SUM($I59:I59))),0))</f>
        <v>3.3169895347340425E-2</v>
      </c>
      <c r="L59" s="1381">
        <f ca="1">MAX(IF($F59="No",('Equipment List &amp; Usage'!$O61*'Weekly Summary'!F$52)+('Equipment List &amp; Usage'!$P61*'Weekly Summary'!F$53)+('Equipment List &amp; Usage'!$Q61*('Weekly Summary'!F$52+'Weekly Summary'!F$53))+('Equipment List &amp; Usage'!$R61*'Weekly Summary'!F$64)+('Equipment List &amp; Usage'!$S61*'Weekly Summary'!F$65)+('Equipment List &amp; Usage'!$T61*('Weekly Summary'!F$64+'Weekly Summary'!F$65)),
IF(L$10=0,('Equipment List &amp; Usage'!$O61*'Weekly Summary'!F$52)+('Equipment List &amp; Usage'!$P61*'Weekly Summary'!F$53)+('Equipment List &amp; Usage'!$Q61*('Weekly Summary'!F$52+'Weekly Summary'!F$53))+('Equipment List &amp; Usage'!$R61*'Weekly Summary'!F$64)+('Equipment List &amp; Usage'!$S61*'Weekly Summary'!F$65)+('Equipment List &amp; Usage'!$T61*('Weekly Summary'!F$64+'Weekly Summary'!F$65)),
('Equipment List &amp; Usage'!$O61*'Weekly Summary'!F$52)+('Equipment List &amp; Usage'!$P61*'Weekly Summary'!F$53)+('Equipment List &amp; Usage'!$Q61*('Weekly Summary'!F$52+'Weekly Summary'!F$53))+('Equipment List &amp; Usage'!$R61*'Weekly Summary'!F$64)+('Equipment List &amp; Usage'!$S61*'Weekly Summary'!F$65)+('Equipment List &amp; Usage'!$T61*('Weekly Summary'!F$64+'Weekly Summary'!F$65))-SUM($I59:K59))),0)</f>
        <v>7.7017713913818703E-2</v>
      </c>
      <c r="M59" s="1381">
        <f ca="1">MAX(IF($F59="No",('Equipment List &amp; Usage'!$O61*'Weekly Summary'!G$52)+('Equipment List &amp; Usage'!$P61*'Weekly Summary'!G$53)+('Equipment List &amp; Usage'!$Q61*('Weekly Summary'!G$52+'Weekly Summary'!G$53))+('Equipment List &amp; Usage'!$R61*'Weekly Summary'!G$64)+('Equipment List &amp; Usage'!$S61*'Weekly Summary'!G$65)+('Equipment List &amp; Usage'!$T61*('Weekly Summary'!G$64+'Weekly Summary'!G$65)),
IF(M$10=0,('Equipment List &amp; Usage'!$O61*'Weekly Summary'!G$52)+('Equipment List &amp; Usage'!$P61*'Weekly Summary'!G$53)+('Equipment List &amp; Usage'!$Q61*('Weekly Summary'!G$52+'Weekly Summary'!G$53))+('Equipment List &amp; Usage'!$R61*'Weekly Summary'!G$64)+('Equipment List &amp; Usage'!$S61*'Weekly Summary'!G$65)+('Equipment List &amp; Usage'!$T61*('Weekly Summary'!G$64+'Weekly Summary'!G$65)),
('Equipment List &amp; Usage'!$O61*'Weekly Summary'!G$52)+('Equipment List &amp; Usage'!$P61*'Weekly Summary'!G$53)+('Equipment List &amp; Usage'!$Q61*('Weekly Summary'!G$52+'Weekly Summary'!G$53))+('Equipment List &amp; Usage'!$R61*'Weekly Summary'!G$64)+('Equipment List &amp; Usage'!$S61*'Weekly Summary'!G$65)+('Equipment List &amp; Usage'!$T61*('Weekly Summary'!G$64+'Weekly Summary'!G$65))-SUM($I59:L59))),0)</f>
        <v>0.26847016890135161</v>
      </c>
      <c r="N59" s="1381">
        <f ca="1">MAX(IF($F59="No",('Equipment List &amp; Usage'!$O61*'Weekly Summary'!H$52)+('Equipment List &amp; Usage'!$P61*'Weekly Summary'!H$53)+('Equipment List &amp; Usage'!$Q61*('Weekly Summary'!H$52+'Weekly Summary'!H$53))+('Equipment List &amp; Usage'!$R61*'Weekly Summary'!H$64)+('Equipment List &amp; Usage'!$S61*'Weekly Summary'!H$65)+('Equipment List &amp; Usage'!$T61*('Weekly Summary'!H$64+'Weekly Summary'!H$65)),
IF(N$10=0,('Equipment List &amp; Usage'!$O61*'Weekly Summary'!H$52)+('Equipment List &amp; Usage'!$P61*'Weekly Summary'!H$53)+('Equipment List &amp; Usage'!$Q61*('Weekly Summary'!H$52+'Weekly Summary'!H$53))+('Equipment List &amp; Usage'!$R61*'Weekly Summary'!H$64)+('Equipment List &amp; Usage'!$S61*'Weekly Summary'!H$65)+('Equipment List &amp; Usage'!$T61*('Weekly Summary'!H$64+'Weekly Summary'!H$65)),
('Equipment List &amp; Usage'!$O61*'Weekly Summary'!H$52)+('Equipment List &amp; Usage'!$P61*'Weekly Summary'!H$53)+('Equipment List &amp; Usage'!$Q61*('Weekly Summary'!H$52+'Weekly Summary'!H$53))+('Equipment List &amp; Usage'!$R61*'Weekly Summary'!H$64)+('Equipment List &amp; Usage'!$S61*'Weekly Summary'!H$65)+('Equipment List &amp; Usage'!$T61*('Weekly Summary'!H$64+'Weekly Summary'!H$65))-SUM($I59:M59))),0)</f>
        <v>0.92255667035280164</v>
      </c>
      <c r="O59" s="1381">
        <f ca="1">MAX(IF($F59="No",('Equipment List &amp; Usage'!$O61*'Weekly Summary'!I$52)+('Equipment List &amp; Usage'!$P61*'Weekly Summary'!I$53)+('Equipment List &amp; Usage'!$Q61*('Weekly Summary'!I$52+'Weekly Summary'!I$53))+('Equipment List &amp; Usage'!$R61*'Weekly Summary'!I$64)+('Equipment List &amp; Usage'!$S61*'Weekly Summary'!I$65)+('Equipment List &amp; Usage'!$T61*('Weekly Summary'!I$64+'Weekly Summary'!I$65)),
IF(O$10=0,('Equipment List &amp; Usage'!$O61*'Weekly Summary'!I$52)+('Equipment List &amp; Usage'!$P61*'Weekly Summary'!I$53)+('Equipment List &amp; Usage'!$Q61*('Weekly Summary'!I$52+'Weekly Summary'!I$53))+('Equipment List &amp; Usage'!$R61*'Weekly Summary'!I$64)+('Equipment List &amp; Usage'!$S61*'Weekly Summary'!I$65)+('Equipment List &amp; Usage'!$T61*('Weekly Summary'!I$64+'Weekly Summary'!I$65)),
('Equipment List &amp; Usage'!$O61*'Weekly Summary'!I$52)+('Equipment List &amp; Usage'!$P61*'Weekly Summary'!I$53)+('Equipment List &amp; Usage'!$Q61*('Weekly Summary'!I$52+'Weekly Summary'!I$53))+('Equipment List &amp; Usage'!$R61*'Weekly Summary'!I$64)+('Equipment List &amp; Usage'!$S61*'Weekly Summary'!I$65)+('Equipment List &amp; Usage'!$T61*('Weekly Summary'!I$64+'Weekly Summary'!I$65))-SUM($I59:N59))),0)</f>
        <v>3.169832184892543</v>
      </c>
      <c r="P59" s="1381">
        <f ca="1">MAX(IF($F59="No",('Equipment List &amp; Usage'!$O61*'Weekly Summary'!J$52)+('Equipment List &amp; Usage'!$P61*'Weekly Summary'!J$53)+('Equipment List &amp; Usage'!$Q61*('Weekly Summary'!J$52+'Weekly Summary'!J$53))+('Equipment List &amp; Usage'!$R61*'Weekly Summary'!J$64)+('Equipment List &amp; Usage'!$S61*'Weekly Summary'!J$65)+('Equipment List &amp; Usage'!$T61*('Weekly Summary'!J$64+'Weekly Summary'!J$65)),
IF(P$10=0,('Equipment List &amp; Usage'!$O61*'Weekly Summary'!J$52)+('Equipment List &amp; Usage'!$P61*'Weekly Summary'!J$53)+('Equipment List &amp; Usage'!$Q61*('Weekly Summary'!J$52+'Weekly Summary'!J$53))+('Equipment List &amp; Usage'!$R61*'Weekly Summary'!J$64)+('Equipment List &amp; Usage'!$S61*'Weekly Summary'!J$65)+('Equipment List &amp; Usage'!$T61*('Weekly Summary'!J$64+'Weekly Summary'!J$65)),
('Equipment List &amp; Usage'!$O61*'Weekly Summary'!J$52)+('Equipment List &amp; Usage'!$P61*'Weekly Summary'!J$53)+('Equipment List &amp; Usage'!$Q61*('Weekly Summary'!J$52+'Weekly Summary'!J$53))+('Equipment List &amp; Usage'!$R61*'Weekly Summary'!J$64)+('Equipment List &amp; Usage'!$S61*'Weekly Summary'!J$65)+('Equipment List &amp; Usage'!$T61*('Weekly Summary'!J$64+'Weekly Summary'!J$65))-SUM($I59:O59))),0)</f>
        <v>10.886659638011469</v>
      </c>
      <c r="Q59" s="1381">
        <f ca="1">MAX(IF($F59="No",('Equipment List &amp; Usage'!$O61*'Weekly Summary'!K$52)+('Equipment List &amp; Usage'!$P61*'Weekly Summary'!K$53)+('Equipment List &amp; Usage'!$Q61*('Weekly Summary'!K$52+'Weekly Summary'!K$53))+('Equipment List &amp; Usage'!$R61*'Weekly Summary'!K$64)+('Equipment List &amp; Usage'!$S61*'Weekly Summary'!K$65)+('Equipment List &amp; Usage'!$T61*('Weekly Summary'!K$64+'Weekly Summary'!K$65)),
IF(Q$10=0,('Equipment List &amp; Usage'!$O61*'Weekly Summary'!K$52)+('Equipment List &amp; Usage'!$P61*'Weekly Summary'!K$53)+('Equipment List &amp; Usage'!$Q61*('Weekly Summary'!K$52+'Weekly Summary'!K$53))+('Equipment List &amp; Usage'!$R61*'Weekly Summary'!K$64)+('Equipment List &amp; Usage'!$S61*'Weekly Summary'!K$65)+('Equipment List &amp; Usage'!$T61*('Weekly Summary'!K$64+'Weekly Summary'!K$65)),
('Equipment List &amp; Usage'!$O61*'Weekly Summary'!K$52)+('Equipment List &amp; Usage'!$P61*'Weekly Summary'!K$53)+('Equipment List &amp; Usage'!$Q61*('Weekly Summary'!K$52+'Weekly Summary'!K$53))+('Equipment List &amp; Usage'!$R61*'Weekly Summary'!K$64)+('Equipment List &amp; Usage'!$S61*'Weekly Summary'!K$65)+('Equipment List &amp; Usage'!$T61*('Weekly Summary'!K$64+'Weekly Summary'!K$65))-SUM($I59:P59))),0)</f>
        <v>0</v>
      </c>
      <c r="R59" s="1381">
        <f ca="1">MAX(IF($F59="No",('Equipment List &amp; Usage'!$O61*'Weekly Summary'!L$52)+('Equipment List &amp; Usage'!$P61*'Weekly Summary'!L$53)+('Equipment List &amp; Usage'!$Q61*('Weekly Summary'!L$52+'Weekly Summary'!L$53))+('Equipment List &amp; Usage'!$R61*'Weekly Summary'!L$64)+('Equipment List &amp; Usage'!$S61*'Weekly Summary'!L$65)+('Equipment List &amp; Usage'!$T61*('Weekly Summary'!L$64+'Weekly Summary'!L$65)),
IF(R$10=0,('Equipment List &amp; Usage'!$O61*'Weekly Summary'!L$52)+('Equipment List &amp; Usage'!$P61*'Weekly Summary'!L$53)+('Equipment List &amp; Usage'!$Q61*('Weekly Summary'!L$52+'Weekly Summary'!L$53))+('Equipment List &amp; Usage'!$R61*'Weekly Summary'!L$64)+('Equipment List &amp; Usage'!$S61*'Weekly Summary'!L$65)+('Equipment List &amp; Usage'!$T61*('Weekly Summary'!L$64+'Weekly Summary'!L$65)),
('Equipment List &amp; Usage'!$O61*'Weekly Summary'!L$52)+('Equipment List &amp; Usage'!$P61*'Weekly Summary'!L$53)+('Equipment List &amp; Usage'!$Q61*('Weekly Summary'!L$52+'Weekly Summary'!L$53))+('Equipment List &amp; Usage'!$R61*'Weekly Summary'!L$64)+('Equipment List &amp; Usage'!$S61*'Weekly Summary'!L$65)+('Equipment List &amp; Usage'!$T61*('Weekly Summary'!L$64+'Weekly Summary'!L$65))-SUM($I59:Q59))),0)</f>
        <v>0</v>
      </c>
      <c r="S59" s="1381">
        <f ca="1">MAX(IF($F59="No",('Equipment List &amp; Usage'!$O61*'Weekly Summary'!M$52)+('Equipment List &amp; Usage'!$P61*'Weekly Summary'!M$53)+('Equipment List &amp; Usage'!$Q61*('Weekly Summary'!M$52+'Weekly Summary'!M$53))+('Equipment List &amp; Usage'!$R61*'Weekly Summary'!M$64)+('Equipment List &amp; Usage'!$S61*'Weekly Summary'!M$65)+('Equipment List &amp; Usage'!$T61*('Weekly Summary'!M$64+'Weekly Summary'!M$65)),
IF(S$10=0,('Equipment List &amp; Usage'!$O61*'Weekly Summary'!M$52)+('Equipment List &amp; Usage'!$P61*'Weekly Summary'!M$53)+('Equipment List &amp; Usage'!$Q61*('Weekly Summary'!M$52+'Weekly Summary'!M$53))+('Equipment List &amp; Usage'!$R61*'Weekly Summary'!M$64)+('Equipment List &amp; Usage'!$S61*'Weekly Summary'!M$65)+('Equipment List &amp; Usage'!$T61*('Weekly Summary'!M$64+'Weekly Summary'!M$65)),
('Equipment List &amp; Usage'!$O61*'Weekly Summary'!M$52)+('Equipment List &amp; Usage'!$P61*'Weekly Summary'!M$53)+('Equipment List &amp; Usage'!$Q61*('Weekly Summary'!M$52+'Weekly Summary'!M$53))+('Equipment List &amp; Usage'!$R61*'Weekly Summary'!M$64)+('Equipment List &amp; Usage'!$S61*'Weekly Summary'!M$65)+('Equipment List &amp; Usage'!$T61*('Weekly Summary'!M$64+'Weekly Summary'!M$65))-SUM($I59:R59))),0)</f>
        <v>0</v>
      </c>
      <c r="T59" s="1381">
        <f ca="1">MAX(IF($F59="No",('Equipment List &amp; Usage'!$O61*'Weekly Summary'!N$52)+('Equipment List &amp; Usage'!$P61*'Weekly Summary'!N$53)+('Equipment List &amp; Usage'!$Q61*('Weekly Summary'!N$52+'Weekly Summary'!N$53))+('Equipment List &amp; Usage'!$R61*'Weekly Summary'!N$64)+('Equipment List &amp; Usage'!$S61*'Weekly Summary'!N$65)+('Equipment List &amp; Usage'!$T61*('Weekly Summary'!N$64+'Weekly Summary'!N$65)),
IF(T$10=0,('Equipment List &amp; Usage'!$O61*'Weekly Summary'!N$52)+('Equipment List &amp; Usage'!$P61*'Weekly Summary'!N$53)+('Equipment List &amp; Usage'!$Q61*('Weekly Summary'!N$52+'Weekly Summary'!N$53))+('Equipment List &amp; Usage'!$R61*'Weekly Summary'!N$64)+('Equipment List &amp; Usage'!$S61*'Weekly Summary'!N$65)+('Equipment List &amp; Usage'!$T61*('Weekly Summary'!N$64+'Weekly Summary'!N$65)),
('Equipment List &amp; Usage'!$O61*'Weekly Summary'!N$52)+('Equipment List &amp; Usage'!$P61*'Weekly Summary'!N$53)+('Equipment List &amp; Usage'!$Q61*('Weekly Summary'!N$52+'Weekly Summary'!N$53))+('Equipment List &amp; Usage'!$R61*'Weekly Summary'!N$64)+('Equipment List &amp; Usage'!$S61*'Weekly Summary'!N$65)+('Equipment List &amp; Usage'!$T61*('Weekly Summary'!N$64+'Weekly Summary'!N$65))-SUM($I59:S59))),0)</f>
        <v>0</v>
      </c>
      <c r="U59" s="1381">
        <f ca="1">MAX(IF($F59="No",('Equipment List &amp; Usage'!$O61*'Weekly Summary'!O$52)+('Equipment List &amp; Usage'!$P61*'Weekly Summary'!O$53)+('Equipment List &amp; Usage'!$Q61*('Weekly Summary'!O$52+'Weekly Summary'!O$53))+('Equipment List &amp; Usage'!$R61*'Weekly Summary'!O$64)+('Equipment List &amp; Usage'!$S61*'Weekly Summary'!O$65)+('Equipment List &amp; Usage'!$T61*('Weekly Summary'!O$64+'Weekly Summary'!O$65)),
IF(U$10=0,('Equipment List &amp; Usage'!$O61*'Weekly Summary'!O$52)+('Equipment List &amp; Usage'!$P61*'Weekly Summary'!O$53)+('Equipment List &amp; Usage'!$Q61*('Weekly Summary'!O$52+'Weekly Summary'!O$53))+('Equipment List &amp; Usage'!$R61*'Weekly Summary'!O$64)+('Equipment List &amp; Usage'!$S61*'Weekly Summary'!O$65)+('Equipment List &amp; Usage'!$T61*('Weekly Summary'!O$64+'Weekly Summary'!O$65)),
('Equipment List &amp; Usage'!$O61*'Weekly Summary'!O$52)+('Equipment List &amp; Usage'!$P61*'Weekly Summary'!O$53)+('Equipment List &amp; Usage'!$Q61*('Weekly Summary'!O$52+'Weekly Summary'!O$53))+('Equipment List &amp; Usage'!$R61*'Weekly Summary'!O$64)+('Equipment List &amp; Usage'!$S61*'Weekly Summary'!O$65)+('Equipment List &amp; Usage'!$T61*('Weekly Summary'!O$64+'Weekly Summary'!O$65))-SUM($I59:T59))),0)</f>
        <v>0</v>
      </c>
      <c r="V59" s="1381">
        <f ca="1">MAX(IF($F59="No",('Equipment List &amp; Usage'!$O61*'Weekly Summary'!P$52)+('Equipment List &amp; Usage'!$P61*'Weekly Summary'!P$53)+('Equipment List &amp; Usage'!$Q61*('Weekly Summary'!P$52+'Weekly Summary'!P$53))+('Equipment List &amp; Usage'!$R61*'Weekly Summary'!P$64)+('Equipment List &amp; Usage'!$S61*'Weekly Summary'!P$65)+('Equipment List &amp; Usage'!$T61*('Weekly Summary'!P$64+'Weekly Summary'!P$65)),
IF(V$10=0,('Equipment List &amp; Usage'!$O61*'Weekly Summary'!P$52)+('Equipment List &amp; Usage'!$P61*'Weekly Summary'!P$53)+('Equipment List &amp; Usage'!$Q61*('Weekly Summary'!P$52+'Weekly Summary'!P$53))+('Equipment List &amp; Usage'!$R61*'Weekly Summary'!P$64)+('Equipment List &amp; Usage'!$S61*'Weekly Summary'!P$65)+('Equipment List &amp; Usage'!$T61*('Weekly Summary'!P$64+'Weekly Summary'!P$65)),
('Equipment List &amp; Usage'!$O61*'Weekly Summary'!P$52)+('Equipment List &amp; Usage'!$P61*'Weekly Summary'!P$53)+('Equipment List &amp; Usage'!$Q61*('Weekly Summary'!P$52+'Weekly Summary'!P$53))+('Equipment List &amp; Usage'!$R61*'Weekly Summary'!P$64)+('Equipment List &amp; Usage'!$S61*'Weekly Summary'!P$65)+('Equipment List &amp; Usage'!$T61*('Weekly Summary'!P$64+'Weekly Summary'!P$65))-SUM($I59:U59))),0)</f>
        <v>0</v>
      </c>
      <c r="W59" s="1381">
        <f ca="1">MAX(IF($F59="No",('Equipment List &amp; Usage'!$O61*'Weekly Summary'!Q$52)+('Equipment List &amp; Usage'!$P61*'Weekly Summary'!Q$53)+('Equipment List &amp; Usage'!$Q61*('Weekly Summary'!Q$52+'Weekly Summary'!Q$53))+('Equipment List &amp; Usage'!$R61*'Weekly Summary'!Q$64)+('Equipment List &amp; Usage'!$S61*'Weekly Summary'!Q$65)+('Equipment List &amp; Usage'!$T61*('Weekly Summary'!Q$64+'Weekly Summary'!Q$65)),
IF(W$10=0,('Equipment List &amp; Usage'!$O61*'Weekly Summary'!Q$52)+('Equipment List &amp; Usage'!$P61*'Weekly Summary'!Q$53)+('Equipment List &amp; Usage'!$Q61*('Weekly Summary'!Q$52+'Weekly Summary'!Q$53))+('Equipment List &amp; Usage'!$R61*'Weekly Summary'!Q$64)+('Equipment List &amp; Usage'!$S61*'Weekly Summary'!Q$65)+('Equipment List &amp; Usage'!$T61*('Weekly Summary'!Q$64+'Weekly Summary'!Q$65)),
('Equipment List &amp; Usage'!$O61*'Weekly Summary'!Q$52)+('Equipment List &amp; Usage'!$P61*'Weekly Summary'!Q$53)+('Equipment List &amp; Usage'!$Q61*('Weekly Summary'!Q$52+'Weekly Summary'!Q$53))+('Equipment List &amp; Usage'!$R61*'Weekly Summary'!Q$64)+('Equipment List &amp; Usage'!$S61*'Weekly Summary'!Q$65)+('Equipment List &amp; Usage'!$T61*('Weekly Summary'!Q$64+'Weekly Summary'!Q$65))-SUM($I59:V59))),0)</f>
        <v>0</v>
      </c>
      <c r="X59" s="1381">
        <f ca="1">MAX(IF($F59="No",('Equipment List &amp; Usage'!$O61*'Weekly Summary'!R$52)+('Equipment List &amp; Usage'!$P61*'Weekly Summary'!R$53)+('Equipment List &amp; Usage'!$Q61*('Weekly Summary'!R$52+'Weekly Summary'!R$53))+('Equipment List &amp; Usage'!$R61*'Weekly Summary'!R$64)+('Equipment List &amp; Usage'!$S61*'Weekly Summary'!R$65)+('Equipment List &amp; Usage'!$T61*('Weekly Summary'!R$64+'Weekly Summary'!R$65)),
IF(X$10=0,('Equipment List &amp; Usage'!$O61*'Weekly Summary'!R$52)+('Equipment List &amp; Usage'!$P61*'Weekly Summary'!R$53)+('Equipment List &amp; Usage'!$Q61*('Weekly Summary'!R$52+'Weekly Summary'!R$53))+('Equipment List &amp; Usage'!$R61*'Weekly Summary'!R$64)+('Equipment List &amp; Usage'!$S61*'Weekly Summary'!R$65)+('Equipment List &amp; Usage'!$T61*('Weekly Summary'!R$64+'Weekly Summary'!R$65)),
('Equipment List &amp; Usage'!$O61*'Weekly Summary'!R$52)+('Equipment List &amp; Usage'!$P61*'Weekly Summary'!R$53)+('Equipment List &amp; Usage'!$Q61*('Weekly Summary'!R$52+'Weekly Summary'!R$53))+('Equipment List &amp; Usage'!$R61*'Weekly Summary'!R$64)+('Equipment List &amp; Usage'!$S61*'Weekly Summary'!R$65)+('Equipment List &amp; Usage'!$T61*('Weekly Summary'!R$64+'Weekly Summary'!R$65))-SUM($I59:W59))),0)</f>
        <v>0</v>
      </c>
      <c r="Y59" s="1381">
        <f ca="1">MAX(IF($F59="No",('Equipment List &amp; Usage'!$O61*'Weekly Summary'!S$52)+('Equipment List &amp; Usage'!$P61*'Weekly Summary'!S$53)+('Equipment List &amp; Usage'!$Q61*('Weekly Summary'!S$52+'Weekly Summary'!S$53))+('Equipment List &amp; Usage'!$R61*'Weekly Summary'!S$64)+('Equipment List &amp; Usage'!$S61*'Weekly Summary'!S$65)+('Equipment List &amp; Usage'!$T61*('Weekly Summary'!S$64+'Weekly Summary'!S$65)),
IF(Y$10=0,('Equipment List &amp; Usage'!$O61*'Weekly Summary'!S$52)+('Equipment List &amp; Usage'!$P61*'Weekly Summary'!S$53)+('Equipment List &amp; Usage'!$Q61*('Weekly Summary'!S$52+'Weekly Summary'!S$53))+('Equipment List &amp; Usage'!$R61*'Weekly Summary'!S$64)+('Equipment List &amp; Usage'!$S61*'Weekly Summary'!S$65)+('Equipment List &amp; Usage'!$T61*('Weekly Summary'!S$64+'Weekly Summary'!S$65)),
('Equipment List &amp; Usage'!$O61*'Weekly Summary'!S$52)+('Equipment List &amp; Usage'!$P61*'Weekly Summary'!S$53)+('Equipment List &amp; Usage'!$Q61*('Weekly Summary'!S$52+'Weekly Summary'!S$53))+('Equipment List &amp; Usage'!$R61*'Weekly Summary'!S$64)+('Equipment List &amp; Usage'!$S61*'Weekly Summary'!S$65)+('Equipment List &amp; Usage'!$T61*('Weekly Summary'!S$64+'Weekly Summary'!S$65))-SUM($I59:X59))),0)</f>
        <v>0</v>
      </c>
      <c r="Z59" s="1381">
        <f ca="1">MAX(IF($F59="No",('Equipment List &amp; Usage'!$O61*'Weekly Summary'!T$52)+('Equipment List &amp; Usage'!$P61*'Weekly Summary'!T$53)+('Equipment List &amp; Usage'!$Q61*('Weekly Summary'!T$52+'Weekly Summary'!T$53))+('Equipment List &amp; Usage'!$R61*'Weekly Summary'!T$64)+('Equipment List &amp; Usage'!$S61*'Weekly Summary'!T$65)+('Equipment List &amp; Usage'!$T61*('Weekly Summary'!T$64+'Weekly Summary'!T$65)),
IF(Z$10=0,('Equipment List &amp; Usage'!$O61*'Weekly Summary'!T$52)+('Equipment List &amp; Usage'!$P61*'Weekly Summary'!T$53)+('Equipment List &amp; Usage'!$Q61*('Weekly Summary'!T$52+'Weekly Summary'!T$53))+('Equipment List &amp; Usage'!$R61*'Weekly Summary'!T$64)+('Equipment List &amp; Usage'!$S61*'Weekly Summary'!T$65)+('Equipment List &amp; Usage'!$T61*('Weekly Summary'!T$64+'Weekly Summary'!T$65)),
('Equipment List &amp; Usage'!$O61*'Weekly Summary'!T$52)+('Equipment List &amp; Usage'!$P61*'Weekly Summary'!T$53)+('Equipment List &amp; Usage'!$Q61*('Weekly Summary'!T$52+'Weekly Summary'!T$53))+('Equipment List &amp; Usage'!$R61*'Weekly Summary'!T$64)+('Equipment List &amp; Usage'!$S61*'Weekly Summary'!T$65)+('Equipment List &amp; Usage'!$T61*('Weekly Summary'!T$64+'Weekly Summary'!T$65))-SUM($I59:Y59))),0)</f>
        <v>0</v>
      </c>
      <c r="AA59" s="1381">
        <f ca="1">MAX(IF($F59="No",('Equipment List &amp; Usage'!$O61*'Weekly Summary'!U$52)+('Equipment List &amp; Usage'!$P61*'Weekly Summary'!U$53)+('Equipment List &amp; Usage'!$Q61*('Weekly Summary'!U$52+'Weekly Summary'!U$53))+('Equipment List &amp; Usage'!$R61*'Weekly Summary'!U$64)+('Equipment List &amp; Usage'!$S61*'Weekly Summary'!U$65)+('Equipment List &amp; Usage'!$T61*('Weekly Summary'!U$64+'Weekly Summary'!U$65)),
IF(AA$10=0,('Equipment List &amp; Usage'!$O61*'Weekly Summary'!U$52)+('Equipment List &amp; Usage'!$P61*'Weekly Summary'!U$53)+('Equipment List &amp; Usage'!$Q61*('Weekly Summary'!U$52+'Weekly Summary'!U$53))+('Equipment List &amp; Usage'!$R61*'Weekly Summary'!U$64)+('Equipment List &amp; Usage'!$S61*'Weekly Summary'!U$65)+('Equipment List &amp; Usage'!$T61*('Weekly Summary'!U$64+'Weekly Summary'!U$65)),
('Equipment List &amp; Usage'!$O61*'Weekly Summary'!U$52)+('Equipment List &amp; Usage'!$P61*'Weekly Summary'!U$53)+('Equipment List &amp; Usage'!$Q61*('Weekly Summary'!U$52+'Weekly Summary'!U$53))+('Equipment List &amp; Usage'!$R61*'Weekly Summary'!U$64)+('Equipment List &amp; Usage'!$S61*'Weekly Summary'!U$65)+('Equipment List &amp; Usage'!$T61*('Weekly Summary'!U$64+'Weekly Summary'!U$65))-SUM($I59:Z59))),0)</f>
        <v>0</v>
      </c>
      <c r="AB59" s="1381">
        <f ca="1">MAX(IF($F59="No",('Equipment List &amp; Usage'!$O61*'Weekly Summary'!V$52)+('Equipment List &amp; Usage'!$P61*'Weekly Summary'!V$53)+('Equipment List &amp; Usage'!$Q61*('Weekly Summary'!V$52+'Weekly Summary'!V$53))+('Equipment List &amp; Usage'!$R61*'Weekly Summary'!V$64)+('Equipment List &amp; Usage'!$S61*'Weekly Summary'!V$65)+('Equipment List &amp; Usage'!$T61*('Weekly Summary'!V$64+'Weekly Summary'!V$65)),
IF(AB$10=0,('Equipment List &amp; Usage'!$O61*'Weekly Summary'!V$52)+('Equipment List &amp; Usage'!$P61*'Weekly Summary'!V$53)+('Equipment List &amp; Usage'!$Q61*('Weekly Summary'!V$52+'Weekly Summary'!V$53))+('Equipment List &amp; Usage'!$R61*'Weekly Summary'!V$64)+('Equipment List &amp; Usage'!$S61*'Weekly Summary'!V$65)+('Equipment List &amp; Usage'!$T61*('Weekly Summary'!V$64+'Weekly Summary'!V$65)),
('Equipment List &amp; Usage'!$O61*'Weekly Summary'!V$52)+('Equipment List &amp; Usage'!$P61*'Weekly Summary'!V$53)+('Equipment List &amp; Usage'!$Q61*('Weekly Summary'!V$52+'Weekly Summary'!V$53))+('Equipment List &amp; Usage'!$R61*'Weekly Summary'!V$64)+('Equipment List &amp; Usage'!$S61*'Weekly Summary'!V$65)+('Equipment List &amp; Usage'!$T61*('Weekly Summary'!V$64+'Weekly Summary'!V$65))-SUM($I59:AA59))),0)</f>
        <v>0</v>
      </c>
      <c r="AC59" s="1381">
        <f ca="1">MAX(IF($F59="No",('Equipment List &amp; Usage'!$O61*'Weekly Summary'!W$52)+('Equipment List &amp; Usage'!$P61*'Weekly Summary'!W$53)+('Equipment List &amp; Usage'!$Q61*('Weekly Summary'!W$52+'Weekly Summary'!W$53))+('Equipment List &amp; Usage'!$R61*'Weekly Summary'!W$64)+('Equipment List &amp; Usage'!$S61*'Weekly Summary'!W$65)+('Equipment List &amp; Usage'!$T61*('Weekly Summary'!W$64+'Weekly Summary'!W$65)),
IF(AC$10=0,('Equipment List &amp; Usage'!$O61*'Weekly Summary'!W$52)+('Equipment List &amp; Usage'!$P61*'Weekly Summary'!W$53)+('Equipment List &amp; Usage'!$Q61*('Weekly Summary'!W$52+'Weekly Summary'!W$53))+('Equipment List &amp; Usage'!$R61*'Weekly Summary'!W$64)+('Equipment List &amp; Usage'!$S61*'Weekly Summary'!W$65)+('Equipment List &amp; Usage'!$T61*('Weekly Summary'!W$64+'Weekly Summary'!W$65)),
('Equipment List &amp; Usage'!$O61*'Weekly Summary'!W$52)+('Equipment List &amp; Usage'!$P61*'Weekly Summary'!W$53)+('Equipment List &amp; Usage'!$Q61*('Weekly Summary'!W$52+'Weekly Summary'!W$53))+('Equipment List &amp; Usage'!$R61*'Weekly Summary'!W$64)+('Equipment List &amp; Usage'!$S61*'Weekly Summary'!W$65)+('Equipment List &amp; Usage'!$T61*('Weekly Summary'!W$64+'Weekly Summary'!W$65))-SUM($I59:AB59))),0)</f>
        <v>0</v>
      </c>
      <c r="AD59" s="1381">
        <f ca="1">MAX(IF($F59="No",('Equipment List &amp; Usage'!$O61*'Weekly Summary'!X$52)+('Equipment List &amp; Usage'!$P61*'Weekly Summary'!X$53)+('Equipment List &amp; Usage'!$Q61*('Weekly Summary'!X$52+'Weekly Summary'!X$53))+('Equipment List &amp; Usage'!$R61*'Weekly Summary'!X$64)+('Equipment List &amp; Usage'!$S61*'Weekly Summary'!X$65)+('Equipment List &amp; Usage'!$T61*('Weekly Summary'!X$64+'Weekly Summary'!X$65)),
IF(AD$10=0,('Equipment List &amp; Usage'!$O61*'Weekly Summary'!X$52)+('Equipment List &amp; Usage'!$P61*'Weekly Summary'!X$53)+('Equipment List &amp; Usage'!$Q61*('Weekly Summary'!X$52+'Weekly Summary'!X$53))+('Equipment List &amp; Usage'!$R61*'Weekly Summary'!X$64)+('Equipment List &amp; Usage'!$S61*'Weekly Summary'!X$65)+('Equipment List &amp; Usage'!$T61*('Weekly Summary'!X$64+'Weekly Summary'!X$65)),
('Equipment List &amp; Usage'!$O61*'Weekly Summary'!X$52)+('Equipment List &amp; Usage'!$P61*'Weekly Summary'!X$53)+('Equipment List &amp; Usage'!$Q61*('Weekly Summary'!X$52+'Weekly Summary'!X$53))+('Equipment List &amp; Usage'!$R61*'Weekly Summary'!X$64)+('Equipment List &amp; Usage'!$S61*'Weekly Summary'!X$65)+('Equipment List &amp; Usage'!$T61*('Weekly Summary'!X$64+'Weekly Summary'!X$65))-SUM($I59:AC59))),0)</f>
        <v>0</v>
      </c>
      <c r="AE59" s="1381">
        <f ca="1">MAX(IF($F59="No",('Equipment List &amp; Usage'!$O61*'Weekly Summary'!Y$52)+('Equipment List &amp; Usage'!$P61*'Weekly Summary'!Y$53)+('Equipment List &amp; Usage'!$Q61*('Weekly Summary'!Y$52+'Weekly Summary'!Y$53))+('Equipment List &amp; Usage'!$R61*'Weekly Summary'!Y$64)+('Equipment List &amp; Usage'!$S61*'Weekly Summary'!Y$65)+('Equipment List &amp; Usage'!$T61*('Weekly Summary'!Y$64+'Weekly Summary'!Y$65)),
IF(AE$10=0,('Equipment List &amp; Usage'!$O61*'Weekly Summary'!Y$52)+('Equipment List &amp; Usage'!$P61*'Weekly Summary'!Y$53)+('Equipment List &amp; Usage'!$Q61*('Weekly Summary'!Y$52+'Weekly Summary'!Y$53))+('Equipment List &amp; Usage'!$R61*'Weekly Summary'!Y$64)+('Equipment List &amp; Usage'!$S61*'Weekly Summary'!Y$65)+('Equipment List &amp; Usage'!$T61*('Weekly Summary'!Y$64+'Weekly Summary'!Y$65)),
('Equipment List &amp; Usage'!$O61*'Weekly Summary'!Y$52)+('Equipment List &amp; Usage'!$P61*'Weekly Summary'!Y$53)+('Equipment List &amp; Usage'!$Q61*('Weekly Summary'!Y$52+'Weekly Summary'!Y$53))+('Equipment List &amp; Usage'!$R61*'Weekly Summary'!Y$64)+('Equipment List &amp; Usage'!$S61*'Weekly Summary'!Y$65)+('Equipment List &amp; Usage'!$T61*('Weekly Summary'!Y$64+'Weekly Summary'!Y$65))-SUM($I59:AD59))),0)</f>
        <v>0</v>
      </c>
      <c r="AF59" s="1381">
        <f ca="1">MAX(IF($F59="No",('Equipment List &amp; Usage'!$O61*'Weekly Summary'!Z$52)+('Equipment List &amp; Usage'!$P61*'Weekly Summary'!Z$53)+('Equipment List &amp; Usage'!$Q61*('Weekly Summary'!Z$52+'Weekly Summary'!Z$53))+('Equipment List &amp; Usage'!$R61*'Weekly Summary'!Z$64)+('Equipment List &amp; Usage'!$S61*'Weekly Summary'!Z$65)+('Equipment List &amp; Usage'!$T61*('Weekly Summary'!Z$64+'Weekly Summary'!Z$65)),
IF(AF$10=0,('Equipment List &amp; Usage'!$O61*'Weekly Summary'!Z$52)+('Equipment List &amp; Usage'!$P61*'Weekly Summary'!Z$53)+('Equipment List &amp; Usage'!$Q61*('Weekly Summary'!Z$52+'Weekly Summary'!Z$53))+('Equipment List &amp; Usage'!$R61*'Weekly Summary'!Z$64)+('Equipment List &amp; Usage'!$S61*'Weekly Summary'!Z$65)+('Equipment List &amp; Usage'!$T61*('Weekly Summary'!Z$64+'Weekly Summary'!Z$65)),
('Equipment List &amp; Usage'!$O61*'Weekly Summary'!Z$52)+('Equipment List &amp; Usage'!$P61*'Weekly Summary'!Z$53)+('Equipment List &amp; Usage'!$Q61*('Weekly Summary'!Z$52+'Weekly Summary'!Z$53))+('Equipment List &amp; Usage'!$R61*'Weekly Summary'!Z$64)+('Equipment List &amp; Usage'!$S61*'Weekly Summary'!Z$65)+('Equipment List &amp; Usage'!$T61*('Weekly Summary'!Z$64+'Weekly Summary'!Z$65))-SUM($I59:AE59))),0)</f>
        <v>0</v>
      </c>
      <c r="AG59" s="1381">
        <f ca="1">MAX(IF($F59="No",('Equipment List &amp; Usage'!$O61*'Weekly Summary'!AA$52)+('Equipment List &amp; Usage'!$P61*'Weekly Summary'!AA$53)+('Equipment List &amp; Usage'!$Q61*('Weekly Summary'!AA$52+'Weekly Summary'!AA$53))+('Equipment List &amp; Usage'!$R61*'Weekly Summary'!AA$64)+('Equipment List &amp; Usage'!$S61*'Weekly Summary'!AA$65)+('Equipment List &amp; Usage'!$T61*('Weekly Summary'!AA$64+'Weekly Summary'!AA$65)),
IF(AG$10=0,('Equipment List &amp; Usage'!$O61*'Weekly Summary'!AA$52)+('Equipment List &amp; Usage'!$P61*'Weekly Summary'!AA$53)+('Equipment List &amp; Usage'!$Q61*('Weekly Summary'!AA$52+'Weekly Summary'!AA$53))+('Equipment List &amp; Usage'!$R61*'Weekly Summary'!AA$64)+('Equipment List &amp; Usage'!$S61*'Weekly Summary'!AA$65)+('Equipment List &amp; Usage'!$T61*('Weekly Summary'!AA$64+'Weekly Summary'!AA$65)),
('Equipment List &amp; Usage'!$O61*'Weekly Summary'!AA$52)+('Equipment List &amp; Usage'!$P61*'Weekly Summary'!AA$53)+('Equipment List &amp; Usage'!$Q61*('Weekly Summary'!AA$52+'Weekly Summary'!AA$53))+('Equipment List &amp; Usage'!$R61*'Weekly Summary'!AA$64)+('Equipment List &amp; Usage'!$S61*'Weekly Summary'!AA$65)+('Equipment List &amp; Usage'!$T61*('Weekly Summary'!AA$64+'Weekly Summary'!AA$65))-SUM($I59:AF59))),0)</f>
        <v>0</v>
      </c>
      <c r="AH59" s="1381">
        <f ca="1">MAX(IF($F59="No",('Equipment List &amp; Usage'!$O61*'Weekly Summary'!AB$52)+('Equipment List &amp; Usage'!$P61*'Weekly Summary'!AB$53)+('Equipment List &amp; Usage'!$Q61*('Weekly Summary'!AB$52+'Weekly Summary'!AB$53))+('Equipment List &amp; Usage'!$R61*'Weekly Summary'!AB$64)+('Equipment List &amp; Usage'!$S61*'Weekly Summary'!AB$65)+('Equipment List &amp; Usage'!$T61*('Weekly Summary'!AB$64+'Weekly Summary'!AB$65)),
IF(AH$10=0,('Equipment List &amp; Usage'!$O61*'Weekly Summary'!AB$52)+('Equipment List &amp; Usage'!$P61*'Weekly Summary'!AB$53)+('Equipment List &amp; Usage'!$Q61*('Weekly Summary'!AB$52+'Weekly Summary'!AB$53))+('Equipment List &amp; Usage'!$R61*'Weekly Summary'!AB$64)+('Equipment List &amp; Usage'!$S61*'Weekly Summary'!AB$65)+('Equipment List &amp; Usage'!$T61*('Weekly Summary'!AB$64+'Weekly Summary'!AB$65)),
('Equipment List &amp; Usage'!$O61*'Weekly Summary'!AB$52)+('Equipment List &amp; Usage'!$P61*'Weekly Summary'!AB$53)+('Equipment List &amp; Usage'!$Q61*('Weekly Summary'!AB$52+'Weekly Summary'!AB$53))+('Equipment List &amp; Usage'!$R61*'Weekly Summary'!AB$64)+('Equipment List &amp; Usage'!$S61*'Weekly Summary'!AB$65)+('Equipment List &amp; Usage'!$T61*('Weekly Summary'!AB$64+'Weekly Summary'!AB$65))-SUM($I59:AG59))),0)</f>
        <v>0</v>
      </c>
      <c r="AI59" s="1381">
        <f ca="1">MAX(IF($F59="No",('Equipment List &amp; Usage'!$O61*'Weekly Summary'!AC$52)+('Equipment List &amp; Usage'!$P61*'Weekly Summary'!AC$53)+('Equipment List &amp; Usage'!$Q61*('Weekly Summary'!AC$52+'Weekly Summary'!AC$53))+('Equipment List &amp; Usage'!$R61*'Weekly Summary'!AC$64)+('Equipment List &amp; Usage'!$S61*'Weekly Summary'!AC$65)+('Equipment List &amp; Usage'!$T61*('Weekly Summary'!AC$64+'Weekly Summary'!AC$65)),
IF(AI$10=0,('Equipment List &amp; Usage'!$O61*'Weekly Summary'!AC$52)+('Equipment List &amp; Usage'!$P61*'Weekly Summary'!AC$53)+('Equipment List &amp; Usage'!$Q61*('Weekly Summary'!AC$52+'Weekly Summary'!AC$53))+('Equipment List &amp; Usage'!$R61*'Weekly Summary'!AC$64)+('Equipment List &amp; Usage'!$S61*'Weekly Summary'!AC$65)+('Equipment List &amp; Usage'!$T61*('Weekly Summary'!AC$64+'Weekly Summary'!AC$65)),
('Equipment List &amp; Usage'!$O61*'Weekly Summary'!AC$52)+('Equipment List &amp; Usage'!$P61*'Weekly Summary'!AC$53)+('Equipment List &amp; Usage'!$Q61*('Weekly Summary'!AC$52+'Weekly Summary'!AC$53))+('Equipment List &amp; Usage'!$R61*'Weekly Summary'!AC$64)+('Equipment List &amp; Usage'!$S61*'Weekly Summary'!AC$65)+('Equipment List &amp; Usage'!$T61*('Weekly Summary'!AC$64+'Weekly Summary'!AC$65))-SUM($I59:AH59))),0)</f>
        <v>0</v>
      </c>
      <c r="AJ59" s="1381">
        <f ca="1">MAX(IF($F59="No",('Equipment List &amp; Usage'!$O61*'Weekly Summary'!AD$52)+('Equipment List &amp; Usage'!$P61*'Weekly Summary'!AD$53)+('Equipment List &amp; Usage'!$Q61*('Weekly Summary'!AD$52+'Weekly Summary'!AD$53))+('Equipment List &amp; Usage'!$R61*'Weekly Summary'!AD$64)+('Equipment List &amp; Usage'!$S61*'Weekly Summary'!AD$65)+('Equipment List &amp; Usage'!$T61*('Weekly Summary'!AD$64+'Weekly Summary'!AD$65)),
IF(AJ$10=0,('Equipment List &amp; Usage'!$O61*'Weekly Summary'!AD$52)+('Equipment List &amp; Usage'!$P61*'Weekly Summary'!AD$53)+('Equipment List &amp; Usage'!$Q61*('Weekly Summary'!AD$52+'Weekly Summary'!AD$53))+('Equipment List &amp; Usage'!$R61*'Weekly Summary'!AD$64)+('Equipment List &amp; Usage'!$S61*'Weekly Summary'!AD$65)+('Equipment List &amp; Usage'!$T61*('Weekly Summary'!AD$64+'Weekly Summary'!AD$65)),
('Equipment List &amp; Usage'!$O61*'Weekly Summary'!AD$52)+('Equipment List &amp; Usage'!$P61*'Weekly Summary'!AD$53)+('Equipment List &amp; Usage'!$Q61*('Weekly Summary'!AD$52+'Weekly Summary'!AD$53))+('Equipment List &amp; Usage'!$R61*'Weekly Summary'!AD$64)+('Equipment List &amp; Usage'!$S61*'Weekly Summary'!AD$65)+('Equipment List &amp; Usage'!$T61*('Weekly Summary'!AD$64+'Weekly Summary'!AD$65))-SUM($I59:AI59))),0)</f>
        <v>0</v>
      </c>
      <c r="AK59" s="1381">
        <f ca="1">MAX(IF($F59="No",('Equipment List &amp; Usage'!$O61*'Weekly Summary'!AE$52)+('Equipment List &amp; Usage'!$P61*'Weekly Summary'!AE$53)+('Equipment List &amp; Usage'!$Q61*('Weekly Summary'!AE$52+'Weekly Summary'!AE$53))+('Equipment List &amp; Usage'!$R61*'Weekly Summary'!AE$64)+('Equipment List &amp; Usage'!$S61*'Weekly Summary'!AE$65)+('Equipment List &amp; Usage'!$T61*('Weekly Summary'!AE$64+'Weekly Summary'!AE$65)),
IF(AK$10=0,('Equipment List &amp; Usage'!$O61*'Weekly Summary'!AE$52)+('Equipment List &amp; Usage'!$P61*'Weekly Summary'!AE$53)+('Equipment List &amp; Usage'!$Q61*('Weekly Summary'!AE$52+'Weekly Summary'!AE$53))+('Equipment List &amp; Usage'!$R61*'Weekly Summary'!AE$64)+('Equipment List &amp; Usage'!$S61*'Weekly Summary'!AE$65)+('Equipment List &amp; Usage'!$T61*('Weekly Summary'!AE$64+'Weekly Summary'!AE$65)),
('Equipment List &amp; Usage'!$O61*'Weekly Summary'!AE$52)+('Equipment List &amp; Usage'!$P61*'Weekly Summary'!AE$53)+('Equipment List &amp; Usage'!$Q61*('Weekly Summary'!AE$52+'Weekly Summary'!AE$53))+('Equipment List &amp; Usage'!$R61*'Weekly Summary'!AE$64)+('Equipment List &amp; Usage'!$S61*'Weekly Summary'!AE$65)+('Equipment List &amp; Usage'!$T61*('Weekly Summary'!AE$64+'Weekly Summary'!AE$65))-SUM($I59:AJ59))),0)</f>
        <v>0</v>
      </c>
      <c r="AL59" s="1381">
        <f ca="1">MAX(IF($F59="No",('Equipment List &amp; Usage'!$O61*'Weekly Summary'!AF$52)+('Equipment List &amp; Usage'!$P61*'Weekly Summary'!AF$53)+('Equipment List &amp; Usage'!$Q61*('Weekly Summary'!AF$52+'Weekly Summary'!AF$53))+('Equipment List &amp; Usage'!$R61*'Weekly Summary'!AF$64)+('Equipment List &amp; Usage'!$S61*'Weekly Summary'!AF$65)+('Equipment List &amp; Usage'!$T61*('Weekly Summary'!AF$64+'Weekly Summary'!AF$65)),
IF(AL$10=0,('Equipment List &amp; Usage'!$O61*'Weekly Summary'!AF$52)+('Equipment List &amp; Usage'!$P61*'Weekly Summary'!AF$53)+('Equipment List &amp; Usage'!$Q61*('Weekly Summary'!AF$52+'Weekly Summary'!AF$53))+('Equipment List &amp; Usage'!$R61*'Weekly Summary'!AF$64)+('Equipment List &amp; Usage'!$S61*'Weekly Summary'!AF$65)+('Equipment List &amp; Usage'!$T61*('Weekly Summary'!AF$64+'Weekly Summary'!AF$65)),
('Equipment List &amp; Usage'!$O61*'Weekly Summary'!AF$52)+('Equipment List &amp; Usage'!$P61*'Weekly Summary'!AF$53)+('Equipment List &amp; Usage'!$Q61*('Weekly Summary'!AF$52+'Weekly Summary'!AF$53))+('Equipment List &amp; Usage'!$R61*'Weekly Summary'!AF$64)+('Equipment List &amp; Usage'!$S61*'Weekly Summary'!AF$65)+('Equipment List &amp; Usage'!$T61*('Weekly Summary'!AF$64+'Weekly Summary'!AF$65))-SUM($I59:AK59))),0)</f>
        <v>0</v>
      </c>
      <c r="AM59" s="1381">
        <f ca="1">MAX(IF($F59="No",('Equipment List &amp; Usage'!$O61*'Weekly Summary'!AG$52)+('Equipment List &amp; Usage'!$P61*'Weekly Summary'!AG$53)+('Equipment List &amp; Usage'!$Q61*('Weekly Summary'!AG$52+'Weekly Summary'!AG$53))+('Equipment List &amp; Usage'!$R61*'Weekly Summary'!AG$64)+('Equipment List &amp; Usage'!$S61*'Weekly Summary'!AG$65)+('Equipment List &amp; Usage'!$T61*('Weekly Summary'!AG$64+'Weekly Summary'!AG$65)),
IF(AM$10=0,('Equipment List &amp; Usage'!$O61*'Weekly Summary'!AG$52)+('Equipment List &amp; Usage'!$P61*'Weekly Summary'!AG$53)+('Equipment List &amp; Usage'!$Q61*('Weekly Summary'!AG$52+'Weekly Summary'!AG$53))+('Equipment List &amp; Usage'!$R61*'Weekly Summary'!AG$64)+('Equipment List &amp; Usage'!$S61*'Weekly Summary'!AG$65)+('Equipment List &amp; Usage'!$T61*('Weekly Summary'!AG$64+'Weekly Summary'!AG$65)),
('Equipment List &amp; Usage'!$O61*'Weekly Summary'!AG$52)+('Equipment List &amp; Usage'!$P61*'Weekly Summary'!AG$53)+('Equipment List &amp; Usage'!$Q61*('Weekly Summary'!AG$52+'Weekly Summary'!AG$53))+('Equipment List &amp; Usage'!$R61*'Weekly Summary'!AG$64)+('Equipment List &amp; Usage'!$S61*'Weekly Summary'!AG$65)+('Equipment List &amp; Usage'!$T61*('Weekly Summary'!AG$64+'Weekly Summary'!AG$65))-SUM($I59:AL59))),0)</f>
        <v>0</v>
      </c>
      <c r="AN59" s="1381">
        <f ca="1">MAX(IF($F59="No",('Equipment List &amp; Usage'!$O61*'Weekly Summary'!AH$52)+('Equipment List &amp; Usage'!$P61*'Weekly Summary'!AH$53)+('Equipment List &amp; Usage'!$Q61*('Weekly Summary'!AH$52+'Weekly Summary'!AH$53))+('Equipment List &amp; Usage'!$R61*'Weekly Summary'!AH$64)+('Equipment List &amp; Usage'!$S61*'Weekly Summary'!AH$65)+('Equipment List &amp; Usage'!$T61*('Weekly Summary'!AH$64+'Weekly Summary'!AH$65)),
IF(AN$10=0,('Equipment List &amp; Usage'!$O61*'Weekly Summary'!AH$52)+('Equipment List &amp; Usage'!$P61*'Weekly Summary'!AH$53)+('Equipment List &amp; Usage'!$Q61*('Weekly Summary'!AH$52+'Weekly Summary'!AH$53))+('Equipment List &amp; Usage'!$R61*'Weekly Summary'!AH$64)+('Equipment List &amp; Usage'!$S61*'Weekly Summary'!AH$65)+('Equipment List &amp; Usage'!$T61*('Weekly Summary'!AH$64+'Weekly Summary'!AH$65)),
('Equipment List &amp; Usage'!$O61*'Weekly Summary'!AH$52)+('Equipment List &amp; Usage'!$P61*'Weekly Summary'!AH$53)+('Equipment List &amp; Usage'!$Q61*('Weekly Summary'!AH$52+'Weekly Summary'!AH$53))+('Equipment List &amp; Usage'!$R61*'Weekly Summary'!AH$64)+('Equipment List &amp; Usage'!$S61*'Weekly Summary'!AH$65)+('Equipment List &amp; Usage'!$T61*('Weekly Summary'!AH$64+'Weekly Summary'!AH$65))-SUM($I59:AM59))),0)</f>
        <v>0</v>
      </c>
      <c r="AO59" s="1381">
        <f ca="1">MAX(IF($F59="No",('Equipment List &amp; Usage'!$O61*'Weekly Summary'!AI$52)+('Equipment List &amp; Usage'!$P61*'Weekly Summary'!AI$53)+('Equipment List &amp; Usage'!$Q61*('Weekly Summary'!AI$52+'Weekly Summary'!AI$53))+('Equipment List &amp; Usage'!$R61*'Weekly Summary'!AI$64)+('Equipment List &amp; Usage'!$S61*'Weekly Summary'!AI$65)+('Equipment List &amp; Usage'!$T61*('Weekly Summary'!AI$64+'Weekly Summary'!AI$65)),
IF(AO$10=0,('Equipment List &amp; Usage'!$O61*'Weekly Summary'!AI$52)+('Equipment List &amp; Usage'!$P61*'Weekly Summary'!AI$53)+('Equipment List &amp; Usage'!$Q61*('Weekly Summary'!AI$52+'Weekly Summary'!AI$53))+('Equipment List &amp; Usage'!$R61*'Weekly Summary'!AI$64)+('Equipment List &amp; Usage'!$S61*'Weekly Summary'!AI$65)+('Equipment List &amp; Usage'!$T61*('Weekly Summary'!AI$64+'Weekly Summary'!AI$65)),
('Equipment List &amp; Usage'!$O61*'Weekly Summary'!AI$52)+('Equipment List &amp; Usage'!$P61*'Weekly Summary'!AI$53)+('Equipment List &amp; Usage'!$Q61*('Weekly Summary'!AI$52+'Weekly Summary'!AI$53))+('Equipment List &amp; Usage'!$R61*'Weekly Summary'!AI$64)+('Equipment List &amp; Usage'!$S61*'Weekly Summary'!AI$65)+('Equipment List &amp; Usage'!$T61*('Weekly Summary'!AI$64+'Weekly Summary'!AI$65))-SUM($I59:AN59))),0)</f>
        <v>0</v>
      </c>
      <c r="AP59" s="1381">
        <f ca="1">MAX(IF($F59="No",('Equipment List &amp; Usage'!$O61*'Weekly Summary'!AJ$52)+('Equipment List &amp; Usage'!$P61*'Weekly Summary'!AJ$53)+('Equipment List &amp; Usage'!$Q61*('Weekly Summary'!AJ$52+'Weekly Summary'!AJ$53))+('Equipment List &amp; Usage'!$R61*'Weekly Summary'!AJ$64)+('Equipment List &amp; Usage'!$S61*'Weekly Summary'!AJ$65)+('Equipment List &amp; Usage'!$T61*('Weekly Summary'!AJ$64+'Weekly Summary'!AJ$65)),
IF(AP$10=0,('Equipment List &amp; Usage'!$O61*'Weekly Summary'!AJ$52)+('Equipment List &amp; Usage'!$P61*'Weekly Summary'!AJ$53)+('Equipment List &amp; Usage'!$Q61*('Weekly Summary'!AJ$52+'Weekly Summary'!AJ$53))+('Equipment List &amp; Usage'!$R61*'Weekly Summary'!AJ$64)+('Equipment List &amp; Usage'!$S61*'Weekly Summary'!AJ$65)+('Equipment List &amp; Usage'!$T61*('Weekly Summary'!AJ$64+'Weekly Summary'!AJ$65)),
('Equipment List &amp; Usage'!$O61*'Weekly Summary'!AJ$52)+('Equipment List &amp; Usage'!$P61*'Weekly Summary'!AJ$53)+('Equipment List &amp; Usage'!$Q61*('Weekly Summary'!AJ$52+'Weekly Summary'!AJ$53))+('Equipment List &amp; Usage'!$R61*'Weekly Summary'!AJ$64)+('Equipment List &amp; Usage'!$S61*'Weekly Summary'!AJ$65)+('Equipment List &amp; Usage'!$T61*('Weekly Summary'!AJ$64+'Weekly Summary'!AJ$65))-SUM($I59:AO59))),0)</f>
        <v>0</v>
      </c>
      <c r="AQ59" s="1381">
        <f ca="1">MAX(IF($F59="No",('Equipment List &amp; Usage'!$O61*'Weekly Summary'!AK$52)+('Equipment List &amp; Usage'!$P61*'Weekly Summary'!AK$53)+('Equipment List &amp; Usage'!$Q61*('Weekly Summary'!AK$52+'Weekly Summary'!AK$53))+('Equipment List &amp; Usage'!$R61*'Weekly Summary'!AK$64)+('Equipment List &amp; Usage'!$S61*'Weekly Summary'!AK$65)+('Equipment List &amp; Usage'!$T61*('Weekly Summary'!AK$64+'Weekly Summary'!AK$65)),
IF(AQ$10=0,('Equipment List &amp; Usage'!$O61*'Weekly Summary'!AK$52)+('Equipment List &amp; Usage'!$P61*'Weekly Summary'!AK$53)+('Equipment List &amp; Usage'!$Q61*('Weekly Summary'!AK$52+'Weekly Summary'!AK$53))+('Equipment List &amp; Usage'!$R61*'Weekly Summary'!AK$64)+('Equipment List &amp; Usage'!$S61*'Weekly Summary'!AK$65)+('Equipment List &amp; Usage'!$T61*('Weekly Summary'!AK$64+'Weekly Summary'!AK$65)),
('Equipment List &amp; Usage'!$O61*'Weekly Summary'!AK$52)+('Equipment List &amp; Usage'!$P61*'Weekly Summary'!AK$53)+('Equipment List &amp; Usage'!$Q61*('Weekly Summary'!AK$52+'Weekly Summary'!AK$53))+('Equipment List &amp; Usage'!$R61*'Weekly Summary'!AK$64)+('Equipment List &amp; Usage'!$S61*'Weekly Summary'!AK$65)+('Equipment List &amp; Usage'!$T61*('Weekly Summary'!AK$64+'Weekly Summary'!AK$65))-SUM($I59:AP59))),0)</f>
        <v>0</v>
      </c>
      <c r="AR59" s="1381">
        <f ca="1">MAX(IF($F59="No",('Equipment List &amp; Usage'!$O61*'Weekly Summary'!AL$52)+('Equipment List &amp; Usage'!$P61*'Weekly Summary'!AL$53)+('Equipment List &amp; Usage'!$Q61*('Weekly Summary'!AL$52+'Weekly Summary'!AL$53))+('Equipment List &amp; Usage'!$R61*'Weekly Summary'!AL$64)+('Equipment List &amp; Usage'!$S61*'Weekly Summary'!AL$65)+('Equipment List &amp; Usage'!$T61*('Weekly Summary'!AL$64+'Weekly Summary'!AL$65)),
IF(AR$10=0,('Equipment List &amp; Usage'!$O61*'Weekly Summary'!AL$52)+('Equipment List &amp; Usage'!$P61*'Weekly Summary'!AL$53)+('Equipment List &amp; Usage'!$Q61*('Weekly Summary'!AL$52+'Weekly Summary'!AL$53))+('Equipment List &amp; Usage'!$R61*'Weekly Summary'!AL$64)+('Equipment List &amp; Usage'!$S61*'Weekly Summary'!AL$65)+('Equipment List &amp; Usage'!$T61*('Weekly Summary'!AL$64+'Weekly Summary'!AL$65)),
('Equipment List &amp; Usage'!$O61*'Weekly Summary'!AL$52)+('Equipment List &amp; Usage'!$P61*'Weekly Summary'!AL$53)+('Equipment List &amp; Usage'!$Q61*('Weekly Summary'!AL$52+'Weekly Summary'!AL$53))+('Equipment List &amp; Usage'!$R61*'Weekly Summary'!AL$64)+('Equipment List &amp; Usage'!$S61*'Weekly Summary'!AL$65)+('Equipment List &amp; Usage'!$T61*('Weekly Summary'!AL$64+'Weekly Summary'!AL$65))-SUM($I59:AQ59))),0)</f>
        <v>0</v>
      </c>
      <c r="AS59" s="1381">
        <f ca="1">MAX(IF($F59="No",('Equipment List &amp; Usage'!$O61*'Weekly Summary'!AM$52)+('Equipment List &amp; Usage'!$P61*'Weekly Summary'!AM$53)+('Equipment List &amp; Usage'!$Q61*('Weekly Summary'!AM$52+'Weekly Summary'!AM$53))+('Equipment List &amp; Usage'!$R61*'Weekly Summary'!AM$64)+('Equipment List &amp; Usage'!$S61*'Weekly Summary'!AM$65)+('Equipment List &amp; Usage'!$T61*('Weekly Summary'!AM$64+'Weekly Summary'!AM$65)),
IF(AS$10=0,('Equipment List &amp; Usage'!$O61*'Weekly Summary'!AM$52)+('Equipment List &amp; Usage'!$P61*'Weekly Summary'!AM$53)+('Equipment List &amp; Usage'!$Q61*('Weekly Summary'!AM$52+'Weekly Summary'!AM$53))+('Equipment List &amp; Usage'!$R61*'Weekly Summary'!AM$64)+('Equipment List &amp; Usage'!$S61*'Weekly Summary'!AM$65)+('Equipment List &amp; Usage'!$T61*('Weekly Summary'!AM$64+'Weekly Summary'!AM$65)),
('Equipment List &amp; Usage'!$O61*'Weekly Summary'!AM$52)+('Equipment List &amp; Usage'!$P61*'Weekly Summary'!AM$53)+('Equipment List &amp; Usage'!$Q61*('Weekly Summary'!AM$52+'Weekly Summary'!AM$53))+('Equipment List &amp; Usage'!$R61*'Weekly Summary'!AM$64)+('Equipment List &amp; Usage'!$S61*'Weekly Summary'!AM$65)+('Equipment List &amp; Usage'!$T61*('Weekly Summary'!AM$64+'Weekly Summary'!AM$65))-SUM($I59:AR59))),0)</f>
        <v>0</v>
      </c>
      <c r="AT59" s="1381">
        <f ca="1">MAX(IF($F59="No",('Equipment List &amp; Usage'!$O61*'Weekly Summary'!AN$52)+('Equipment List &amp; Usage'!$P61*'Weekly Summary'!AN$53)+('Equipment List &amp; Usage'!$Q61*('Weekly Summary'!AN$52+'Weekly Summary'!AN$53))+('Equipment List &amp; Usage'!$R61*'Weekly Summary'!AN$64)+('Equipment List &amp; Usage'!$S61*'Weekly Summary'!AN$65)+('Equipment List &amp; Usage'!$T61*('Weekly Summary'!AN$64+'Weekly Summary'!AN$65)),
IF(AT$10=0,('Equipment List &amp; Usage'!$O61*'Weekly Summary'!AN$52)+('Equipment List &amp; Usage'!$P61*'Weekly Summary'!AN$53)+('Equipment List &amp; Usage'!$Q61*('Weekly Summary'!AN$52+'Weekly Summary'!AN$53))+('Equipment List &amp; Usage'!$R61*'Weekly Summary'!AN$64)+('Equipment List &amp; Usage'!$S61*'Weekly Summary'!AN$65)+('Equipment List &amp; Usage'!$T61*('Weekly Summary'!AN$64+'Weekly Summary'!AN$65)),
('Equipment List &amp; Usage'!$O61*'Weekly Summary'!AN$52)+('Equipment List &amp; Usage'!$P61*'Weekly Summary'!AN$53)+('Equipment List &amp; Usage'!$Q61*('Weekly Summary'!AN$52+'Weekly Summary'!AN$53))+('Equipment List &amp; Usage'!$R61*'Weekly Summary'!AN$64)+('Equipment List &amp; Usage'!$S61*'Weekly Summary'!AN$65)+('Equipment List &amp; Usage'!$T61*('Weekly Summary'!AN$64+'Weekly Summary'!AN$65))-SUM($I59:AS59))),0)</f>
        <v>0</v>
      </c>
      <c r="AU59" s="1381">
        <f ca="1">MAX(IF($F59="No",('Equipment List &amp; Usage'!$O61*'Weekly Summary'!AO$52)+('Equipment List &amp; Usage'!$P61*'Weekly Summary'!AO$53)+('Equipment List &amp; Usage'!$Q61*('Weekly Summary'!AO$52+'Weekly Summary'!AO$53))+('Equipment List &amp; Usage'!$R61*'Weekly Summary'!AO$64)+('Equipment List &amp; Usage'!$S61*'Weekly Summary'!AO$65)+('Equipment List &amp; Usage'!$T61*('Weekly Summary'!AO$64+'Weekly Summary'!AO$65)),
IF(AU$10=0,('Equipment List &amp; Usage'!$O61*'Weekly Summary'!AO$52)+('Equipment List &amp; Usage'!$P61*'Weekly Summary'!AO$53)+('Equipment List &amp; Usage'!$Q61*('Weekly Summary'!AO$52+'Weekly Summary'!AO$53))+('Equipment List &amp; Usage'!$R61*'Weekly Summary'!AO$64)+('Equipment List &amp; Usage'!$S61*'Weekly Summary'!AO$65)+('Equipment List &amp; Usage'!$T61*('Weekly Summary'!AO$64+'Weekly Summary'!AO$65)),
('Equipment List &amp; Usage'!$O61*'Weekly Summary'!AO$52)+('Equipment List &amp; Usage'!$P61*'Weekly Summary'!AO$53)+('Equipment List &amp; Usage'!$Q61*('Weekly Summary'!AO$52+'Weekly Summary'!AO$53))+('Equipment List &amp; Usage'!$R61*'Weekly Summary'!AO$64)+('Equipment List &amp; Usage'!$S61*'Weekly Summary'!AO$65)+('Equipment List &amp; Usage'!$T61*('Weekly Summary'!AO$64+'Weekly Summary'!AO$65))-SUM($I59:AT59))),0)</f>
        <v>0</v>
      </c>
      <c r="AV59" s="1381">
        <f ca="1">MAX(IF($F59="No",('Equipment List &amp; Usage'!$O61*'Weekly Summary'!AP$52)+('Equipment List &amp; Usage'!$P61*'Weekly Summary'!AP$53)+('Equipment List &amp; Usage'!$Q61*('Weekly Summary'!AP$52+'Weekly Summary'!AP$53))+('Equipment List &amp; Usage'!$R61*'Weekly Summary'!AP$64)+('Equipment List &amp; Usage'!$S61*'Weekly Summary'!AP$65)+('Equipment List &amp; Usage'!$T61*('Weekly Summary'!AP$64+'Weekly Summary'!AP$65)),
IF(AV$10=0,('Equipment List &amp; Usage'!$O61*'Weekly Summary'!AP$52)+('Equipment List &amp; Usage'!$P61*'Weekly Summary'!AP$53)+('Equipment List &amp; Usage'!$Q61*('Weekly Summary'!AP$52+'Weekly Summary'!AP$53))+('Equipment List &amp; Usage'!$R61*'Weekly Summary'!AP$64)+('Equipment List &amp; Usage'!$S61*'Weekly Summary'!AP$65)+('Equipment List &amp; Usage'!$T61*('Weekly Summary'!AP$64+'Weekly Summary'!AP$65)),
('Equipment List &amp; Usage'!$O61*'Weekly Summary'!AP$52)+('Equipment List &amp; Usage'!$P61*'Weekly Summary'!AP$53)+('Equipment List &amp; Usage'!$Q61*('Weekly Summary'!AP$52+'Weekly Summary'!AP$53))+('Equipment List &amp; Usage'!$R61*'Weekly Summary'!AP$64)+('Equipment List &amp; Usage'!$S61*'Weekly Summary'!AP$65)+('Equipment List &amp; Usage'!$T61*('Weekly Summary'!AP$64+'Weekly Summary'!AP$65))-SUM($I59:AU59))),0)</f>
        <v>0</v>
      </c>
      <c r="AW59" s="1381">
        <f ca="1">MAX(IF($F59="No",('Equipment List &amp; Usage'!$O61*'Weekly Summary'!AQ$52)+('Equipment List &amp; Usage'!$P61*'Weekly Summary'!AQ$53)+('Equipment List &amp; Usage'!$Q61*('Weekly Summary'!AQ$52+'Weekly Summary'!AQ$53))+('Equipment List &amp; Usage'!$R61*'Weekly Summary'!AQ$64)+('Equipment List &amp; Usage'!$S61*'Weekly Summary'!AQ$65)+('Equipment List &amp; Usage'!$T61*('Weekly Summary'!AQ$64+'Weekly Summary'!AQ$65)),
IF(AW$10=0,('Equipment List &amp; Usage'!$O61*'Weekly Summary'!AQ$52)+('Equipment List &amp; Usage'!$P61*'Weekly Summary'!AQ$53)+('Equipment List &amp; Usage'!$Q61*('Weekly Summary'!AQ$52+'Weekly Summary'!AQ$53))+('Equipment List &amp; Usage'!$R61*'Weekly Summary'!AQ$64)+('Equipment List &amp; Usage'!$S61*'Weekly Summary'!AQ$65)+('Equipment List &amp; Usage'!$T61*('Weekly Summary'!AQ$64+'Weekly Summary'!AQ$65)),
('Equipment List &amp; Usage'!$O61*'Weekly Summary'!AQ$52)+('Equipment List &amp; Usage'!$P61*'Weekly Summary'!AQ$53)+('Equipment List &amp; Usage'!$Q61*('Weekly Summary'!AQ$52+'Weekly Summary'!AQ$53))+('Equipment List &amp; Usage'!$R61*'Weekly Summary'!AQ$64)+('Equipment List &amp; Usage'!$S61*'Weekly Summary'!AQ$65)+('Equipment List &amp; Usage'!$T61*('Weekly Summary'!AQ$64+'Weekly Summary'!AQ$65))-SUM($I59:AV59))),0)</f>
        <v>0</v>
      </c>
      <c r="AX59" s="1381">
        <f ca="1">MAX(IF($F59="No",('Equipment List &amp; Usage'!$O61*'Weekly Summary'!AR$52)+('Equipment List &amp; Usage'!$P61*'Weekly Summary'!AR$53)+('Equipment List &amp; Usage'!$Q61*('Weekly Summary'!AR$52+'Weekly Summary'!AR$53))+('Equipment List &amp; Usage'!$R61*'Weekly Summary'!AR$64)+('Equipment List &amp; Usage'!$S61*'Weekly Summary'!AR$65)+('Equipment List &amp; Usage'!$T61*('Weekly Summary'!AR$64+'Weekly Summary'!AR$65)),
IF(AX$10=0,('Equipment List &amp; Usage'!$O61*'Weekly Summary'!AR$52)+('Equipment List &amp; Usage'!$P61*'Weekly Summary'!AR$53)+('Equipment List &amp; Usage'!$Q61*('Weekly Summary'!AR$52+'Weekly Summary'!AR$53))+('Equipment List &amp; Usage'!$R61*'Weekly Summary'!AR$64)+('Equipment List &amp; Usage'!$S61*'Weekly Summary'!AR$65)+('Equipment List &amp; Usage'!$T61*('Weekly Summary'!AR$64+'Weekly Summary'!AR$65)),
('Equipment List &amp; Usage'!$O61*'Weekly Summary'!AR$52)+('Equipment List &amp; Usage'!$P61*'Weekly Summary'!AR$53)+('Equipment List &amp; Usage'!$Q61*('Weekly Summary'!AR$52+'Weekly Summary'!AR$53))+('Equipment List &amp; Usage'!$R61*'Weekly Summary'!AR$64)+('Equipment List &amp; Usage'!$S61*'Weekly Summary'!AR$65)+('Equipment List &amp; Usage'!$T61*('Weekly Summary'!AR$64+'Weekly Summary'!AR$65))-SUM($I59:AW59))),0)</f>
        <v>0</v>
      </c>
      <c r="AY59" s="1381">
        <f ca="1">MAX(IF($F59="No",('Equipment List &amp; Usage'!$O61*'Weekly Summary'!AS$52)+('Equipment List &amp; Usage'!$P61*'Weekly Summary'!AS$53)+('Equipment List &amp; Usage'!$Q61*('Weekly Summary'!AS$52+'Weekly Summary'!AS$53))+('Equipment List &amp; Usage'!$R61*'Weekly Summary'!AS$64)+('Equipment List &amp; Usage'!$S61*'Weekly Summary'!AS$65)+('Equipment List &amp; Usage'!$T61*('Weekly Summary'!AS$64+'Weekly Summary'!AS$65)),
IF(AY$10=0,('Equipment List &amp; Usage'!$O61*'Weekly Summary'!AS$52)+('Equipment List &amp; Usage'!$P61*'Weekly Summary'!AS$53)+('Equipment List &amp; Usage'!$Q61*('Weekly Summary'!AS$52+'Weekly Summary'!AS$53))+('Equipment List &amp; Usage'!$R61*'Weekly Summary'!AS$64)+('Equipment List &amp; Usage'!$S61*'Weekly Summary'!AS$65)+('Equipment List &amp; Usage'!$T61*('Weekly Summary'!AS$64+'Weekly Summary'!AS$65)),
('Equipment List &amp; Usage'!$O61*'Weekly Summary'!AS$52)+('Equipment List &amp; Usage'!$P61*'Weekly Summary'!AS$53)+('Equipment List &amp; Usage'!$Q61*('Weekly Summary'!AS$52+'Weekly Summary'!AS$53))+('Equipment List &amp; Usage'!$R61*'Weekly Summary'!AS$64)+('Equipment List &amp; Usage'!$S61*'Weekly Summary'!AS$65)+('Equipment List &amp; Usage'!$T61*('Weekly Summary'!AS$64+'Weekly Summary'!AS$65))-SUM($I59:AX59))),0)</f>
        <v>0</v>
      </c>
      <c r="AZ59" s="1381">
        <f ca="1">MAX(IF($F59="No",('Equipment List &amp; Usage'!$O61*'Weekly Summary'!AT$52)+('Equipment List &amp; Usage'!$P61*'Weekly Summary'!AT$53)+('Equipment List &amp; Usage'!$Q61*('Weekly Summary'!AT$52+'Weekly Summary'!AT$53))+('Equipment List &amp; Usage'!$R61*'Weekly Summary'!AT$64)+('Equipment List &amp; Usage'!$S61*'Weekly Summary'!AT$65)+('Equipment List &amp; Usage'!$T61*('Weekly Summary'!AT$64+'Weekly Summary'!AT$65)),
IF(AZ$10=0,('Equipment List &amp; Usage'!$O61*'Weekly Summary'!AT$52)+('Equipment List &amp; Usage'!$P61*'Weekly Summary'!AT$53)+('Equipment List &amp; Usage'!$Q61*('Weekly Summary'!AT$52+'Weekly Summary'!AT$53))+('Equipment List &amp; Usage'!$R61*'Weekly Summary'!AT$64)+('Equipment List &amp; Usage'!$S61*'Weekly Summary'!AT$65)+('Equipment List &amp; Usage'!$T61*('Weekly Summary'!AT$64+'Weekly Summary'!AT$65)),
('Equipment List &amp; Usage'!$O61*'Weekly Summary'!AT$52)+('Equipment List &amp; Usage'!$P61*'Weekly Summary'!AT$53)+('Equipment List &amp; Usage'!$Q61*('Weekly Summary'!AT$52+'Weekly Summary'!AT$53))+('Equipment List &amp; Usage'!$R61*'Weekly Summary'!AT$64)+('Equipment List &amp; Usage'!$S61*'Weekly Summary'!AT$65)+('Equipment List &amp; Usage'!$T61*('Weekly Summary'!AT$64+'Weekly Summary'!AT$65))-SUM($I59:AY59))),0)</f>
        <v>0</v>
      </c>
      <c r="BA59" s="1381">
        <f ca="1">MAX(IF($F59="No",('Equipment List &amp; Usage'!$O61*'Weekly Summary'!AU$52)+('Equipment List &amp; Usage'!$P61*'Weekly Summary'!AU$53)+('Equipment List &amp; Usage'!$Q61*('Weekly Summary'!AU$52+'Weekly Summary'!AU$53))+('Equipment List &amp; Usage'!$R61*'Weekly Summary'!AU$64)+('Equipment List &amp; Usage'!$S61*'Weekly Summary'!AU$65)+('Equipment List &amp; Usage'!$T61*('Weekly Summary'!AU$64+'Weekly Summary'!AU$65)),
IF(BA$10=0,('Equipment List &amp; Usage'!$O61*'Weekly Summary'!AU$52)+('Equipment List &amp; Usage'!$P61*'Weekly Summary'!AU$53)+('Equipment List &amp; Usage'!$Q61*('Weekly Summary'!AU$52+'Weekly Summary'!AU$53))+('Equipment List &amp; Usage'!$R61*'Weekly Summary'!AU$64)+('Equipment List &amp; Usage'!$S61*'Weekly Summary'!AU$65)+('Equipment List &amp; Usage'!$T61*('Weekly Summary'!AU$64+'Weekly Summary'!AU$65)),
('Equipment List &amp; Usage'!$O61*'Weekly Summary'!AU$52)+('Equipment List &amp; Usage'!$P61*'Weekly Summary'!AU$53)+('Equipment List &amp; Usage'!$Q61*('Weekly Summary'!AU$52+'Weekly Summary'!AU$53))+('Equipment List &amp; Usage'!$R61*'Weekly Summary'!AU$64)+('Equipment List &amp; Usage'!$S61*'Weekly Summary'!AU$65)+('Equipment List &amp; Usage'!$T61*('Weekly Summary'!AU$64+'Weekly Summary'!AU$65))-SUM($I59:AZ59))),0)</f>
        <v>0</v>
      </c>
      <c r="BB59" s="1381">
        <f ca="1">MAX(IF($F59="No",('Equipment List &amp; Usage'!$O61*'Weekly Summary'!AV$52)+('Equipment List &amp; Usage'!$P61*'Weekly Summary'!AV$53)+('Equipment List &amp; Usage'!$Q61*('Weekly Summary'!AV$52+'Weekly Summary'!AV$53))+('Equipment List &amp; Usage'!$R61*'Weekly Summary'!AV$64)+('Equipment List &amp; Usage'!$S61*'Weekly Summary'!AV$65)+('Equipment List &amp; Usage'!$T61*('Weekly Summary'!AV$64+'Weekly Summary'!AV$65)),
IF(BB$10=0,('Equipment List &amp; Usage'!$O61*'Weekly Summary'!AV$52)+('Equipment List &amp; Usage'!$P61*'Weekly Summary'!AV$53)+('Equipment List &amp; Usage'!$Q61*('Weekly Summary'!AV$52+'Weekly Summary'!AV$53))+('Equipment List &amp; Usage'!$R61*'Weekly Summary'!AV$64)+('Equipment List &amp; Usage'!$S61*'Weekly Summary'!AV$65)+('Equipment List &amp; Usage'!$T61*('Weekly Summary'!AV$64+'Weekly Summary'!AV$65)),
('Equipment List &amp; Usage'!$O61*'Weekly Summary'!AV$52)+('Equipment List &amp; Usage'!$P61*'Weekly Summary'!AV$53)+('Equipment List &amp; Usage'!$Q61*('Weekly Summary'!AV$52+'Weekly Summary'!AV$53))+('Equipment List &amp; Usage'!$R61*'Weekly Summary'!AV$64)+('Equipment List &amp; Usage'!$S61*'Weekly Summary'!AV$65)+('Equipment List &amp; Usage'!$T61*('Weekly Summary'!AV$64+'Weekly Summary'!AV$65))-SUM($I59:BA59))),0)</f>
        <v>0</v>
      </c>
      <c r="BC59" s="1381">
        <f ca="1">MAX(IF($F59="No",('Equipment List &amp; Usage'!$O61*'Weekly Summary'!AW$52)+('Equipment List &amp; Usage'!$P61*'Weekly Summary'!AW$53)+('Equipment List &amp; Usage'!$Q61*('Weekly Summary'!AW$52+'Weekly Summary'!AW$53))+('Equipment List &amp; Usage'!$R61*'Weekly Summary'!AW$64)+('Equipment List &amp; Usage'!$S61*'Weekly Summary'!AW$65)+('Equipment List &amp; Usage'!$T61*('Weekly Summary'!AW$64+'Weekly Summary'!AW$65)),
IF(BC$10=0,('Equipment List &amp; Usage'!$O61*'Weekly Summary'!AW$52)+('Equipment List &amp; Usage'!$P61*'Weekly Summary'!AW$53)+('Equipment List &amp; Usage'!$Q61*('Weekly Summary'!AW$52+'Weekly Summary'!AW$53))+('Equipment List &amp; Usage'!$R61*'Weekly Summary'!AW$64)+('Equipment List &amp; Usage'!$S61*'Weekly Summary'!AW$65)+('Equipment List &amp; Usage'!$T61*('Weekly Summary'!AW$64+'Weekly Summary'!AW$65)),
('Equipment List &amp; Usage'!$O61*'Weekly Summary'!AW$52)+('Equipment List &amp; Usage'!$P61*'Weekly Summary'!AW$53)+('Equipment List &amp; Usage'!$Q61*('Weekly Summary'!AW$52+'Weekly Summary'!AW$53))+('Equipment List &amp; Usage'!$R61*'Weekly Summary'!AW$64)+('Equipment List &amp; Usage'!$S61*'Weekly Summary'!AW$65)+('Equipment List &amp; Usage'!$T61*('Weekly Summary'!AW$64+'Weekly Summary'!AW$65))-SUM($I59:BB59))),0)</f>
        <v>0</v>
      </c>
      <c r="BD59" s="1381">
        <f ca="1">MAX(IF($F59="No",('Equipment List &amp; Usage'!$O61*'Weekly Summary'!AX$52)+('Equipment List &amp; Usage'!$P61*'Weekly Summary'!AX$53)+('Equipment List &amp; Usage'!$Q61*('Weekly Summary'!AX$52+'Weekly Summary'!AX$53))+('Equipment List &amp; Usage'!$R61*'Weekly Summary'!AX$64)+('Equipment List &amp; Usage'!$S61*'Weekly Summary'!AX$65)+('Equipment List &amp; Usage'!$T61*('Weekly Summary'!AX$64+'Weekly Summary'!AX$65)),
IF(BD$10=0,('Equipment List &amp; Usage'!$O61*'Weekly Summary'!AX$52)+('Equipment List &amp; Usage'!$P61*'Weekly Summary'!AX$53)+('Equipment List &amp; Usage'!$Q61*('Weekly Summary'!AX$52+'Weekly Summary'!AX$53))+('Equipment List &amp; Usage'!$R61*'Weekly Summary'!AX$64)+('Equipment List &amp; Usage'!$S61*'Weekly Summary'!AX$65)+('Equipment List &amp; Usage'!$T61*('Weekly Summary'!AX$64+'Weekly Summary'!AX$65)),
('Equipment List &amp; Usage'!$O61*'Weekly Summary'!AX$52)+('Equipment List &amp; Usage'!$P61*'Weekly Summary'!AX$53)+('Equipment List &amp; Usage'!$Q61*('Weekly Summary'!AX$52+'Weekly Summary'!AX$53))+('Equipment List &amp; Usage'!$R61*'Weekly Summary'!AX$64)+('Equipment List &amp; Usage'!$S61*'Weekly Summary'!AX$65)+('Equipment List &amp; Usage'!$T61*('Weekly Summary'!AX$64+'Weekly Summary'!AX$65))-SUM($I59:BC59))),0)</f>
        <v>0</v>
      </c>
      <c r="BE59" s="1381">
        <f ca="1">MAX(IF($F59="No",('Equipment List &amp; Usage'!$O61*'Weekly Summary'!AY$52)+('Equipment List &amp; Usage'!$P61*'Weekly Summary'!AY$53)+('Equipment List &amp; Usage'!$Q61*('Weekly Summary'!AY$52+'Weekly Summary'!AY$53))+('Equipment List &amp; Usage'!$R61*'Weekly Summary'!AY$64)+('Equipment List &amp; Usage'!$S61*'Weekly Summary'!AY$65)+('Equipment List &amp; Usage'!$T61*('Weekly Summary'!AY$64+'Weekly Summary'!AY$65)),
IF(BE$10=0,('Equipment List &amp; Usage'!$O61*'Weekly Summary'!AY$52)+('Equipment List &amp; Usage'!$P61*'Weekly Summary'!AY$53)+('Equipment List &amp; Usage'!$Q61*('Weekly Summary'!AY$52+'Weekly Summary'!AY$53))+('Equipment List &amp; Usage'!$R61*'Weekly Summary'!AY$64)+('Equipment List &amp; Usage'!$S61*'Weekly Summary'!AY$65)+('Equipment List &amp; Usage'!$T61*('Weekly Summary'!AY$64+'Weekly Summary'!AY$65)),
('Equipment List &amp; Usage'!$O61*'Weekly Summary'!AY$52)+('Equipment List &amp; Usage'!$P61*'Weekly Summary'!AY$53)+('Equipment List &amp; Usage'!$Q61*('Weekly Summary'!AY$52+'Weekly Summary'!AY$53))+('Equipment List &amp; Usage'!$R61*'Weekly Summary'!AY$64)+('Equipment List &amp; Usage'!$S61*'Weekly Summary'!AY$65)+('Equipment List &amp; Usage'!$T61*('Weekly Summary'!AY$64+'Weekly Summary'!AY$65))-SUM($I59:BD59))),0)</f>
        <v>0</v>
      </c>
      <c r="BF59" s="1381">
        <f ca="1">MAX(IF($F59="No",('Equipment List &amp; Usage'!$O61*'Weekly Summary'!AZ$52)+('Equipment List &amp; Usage'!$P61*'Weekly Summary'!AZ$53)+('Equipment List &amp; Usage'!$Q61*('Weekly Summary'!AZ$52+'Weekly Summary'!AZ$53))+('Equipment List &amp; Usage'!$R61*'Weekly Summary'!AZ$64)+('Equipment List &amp; Usage'!$S61*'Weekly Summary'!AZ$65)+('Equipment List &amp; Usage'!$T61*('Weekly Summary'!AZ$64+'Weekly Summary'!AZ$65)),
IF(BF$10=0,('Equipment List &amp; Usage'!$O61*'Weekly Summary'!AZ$52)+('Equipment List &amp; Usage'!$P61*'Weekly Summary'!AZ$53)+('Equipment List &amp; Usage'!$Q61*('Weekly Summary'!AZ$52+'Weekly Summary'!AZ$53))+('Equipment List &amp; Usage'!$R61*'Weekly Summary'!AZ$64)+('Equipment List &amp; Usage'!$S61*'Weekly Summary'!AZ$65)+('Equipment List &amp; Usage'!$T61*('Weekly Summary'!AZ$64+'Weekly Summary'!AZ$65)),
('Equipment List &amp; Usage'!$O61*'Weekly Summary'!AZ$52)+('Equipment List &amp; Usage'!$P61*'Weekly Summary'!AZ$53)+('Equipment List &amp; Usage'!$Q61*('Weekly Summary'!AZ$52+'Weekly Summary'!AZ$53))+('Equipment List &amp; Usage'!$R61*'Weekly Summary'!AZ$64)+('Equipment List &amp; Usage'!$S61*'Weekly Summary'!AZ$65)+('Equipment List &amp; Usage'!$T61*('Weekly Summary'!AZ$64+'Weekly Summary'!AZ$65))-SUM($I59:BE59))),0)</f>
        <v>0</v>
      </c>
      <c r="BG59" s="1381">
        <f ca="1">MAX(IF($F59="No",('Equipment List &amp; Usage'!$O61*'Weekly Summary'!BA$52)+('Equipment List &amp; Usage'!$P61*'Weekly Summary'!BA$53)+('Equipment List &amp; Usage'!$Q61*('Weekly Summary'!BA$52+'Weekly Summary'!BA$53))+('Equipment List &amp; Usage'!$R61*'Weekly Summary'!BA$64)+('Equipment List &amp; Usage'!$S61*'Weekly Summary'!BA$65)+('Equipment List &amp; Usage'!$T61*('Weekly Summary'!BA$64+'Weekly Summary'!BA$65)),
IF(BG$10=0,('Equipment List &amp; Usage'!$O61*'Weekly Summary'!BA$52)+('Equipment List &amp; Usage'!$P61*'Weekly Summary'!BA$53)+('Equipment List &amp; Usage'!$Q61*('Weekly Summary'!BA$52+'Weekly Summary'!BA$53))+('Equipment List &amp; Usage'!$R61*'Weekly Summary'!BA$64)+('Equipment List &amp; Usage'!$S61*'Weekly Summary'!BA$65)+('Equipment List &amp; Usage'!$T61*('Weekly Summary'!BA$64+'Weekly Summary'!BA$65)),
('Equipment List &amp; Usage'!$O61*'Weekly Summary'!BA$52)+('Equipment List &amp; Usage'!$P61*'Weekly Summary'!BA$53)+('Equipment List &amp; Usage'!$Q61*('Weekly Summary'!BA$52+'Weekly Summary'!BA$53))+('Equipment List &amp; Usage'!$R61*'Weekly Summary'!BA$64)+('Equipment List &amp; Usage'!$S61*'Weekly Summary'!BA$65)+('Equipment List &amp; Usage'!$T61*('Weekly Summary'!BA$64+'Weekly Summary'!BA$65))-SUM($I59:BF59))),0)</f>
        <v>0</v>
      </c>
      <c r="BH59" s="1381">
        <f ca="1">MAX(IF($F59="No",('Equipment List &amp; Usage'!$O61*'Weekly Summary'!BB$52)+('Equipment List &amp; Usage'!$P61*'Weekly Summary'!BB$53)+('Equipment List &amp; Usage'!$Q61*('Weekly Summary'!BB$52+'Weekly Summary'!BB$53))+('Equipment List &amp; Usage'!$R61*'Weekly Summary'!BB$64)+('Equipment List &amp; Usage'!$S61*'Weekly Summary'!BB$65)+('Equipment List &amp; Usage'!$T61*('Weekly Summary'!BB$64+'Weekly Summary'!BB$65)),
IF(BH$10=0,('Equipment List &amp; Usage'!$O61*'Weekly Summary'!BB$52)+('Equipment List &amp; Usage'!$P61*'Weekly Summary'!BB$53)+('Equipment List &amp; Usage'!$Q61*('Weekly Summary'!BB$52+'Weekly Summary'!BB$53))+('Equipment List &amp; Usage'!$R61*'Weekly Summary'!BB$64)+('Equipment List &amp; Usage'!$S61*'Weekly Summary'!BB$65)+('Equipment List &amp; Usage'!$T61*('Weekly Summary'!BB$64+'Weekly Summary'!BB$65)),
('Equipment List &amp; Usage'!$O61*'Weekly Summary'!BB$52)+('Equipment List &amp; Usage'!$P61*'Weekly Summary'!BB$53)+('Equipment List &amp; Usage'!$Q61*('Weekly Summary'!BB$52+'Weekly Summary'!BB$53))+('Equipment List &amp; Usage'!$R61*'Weekly Summary'!BB$64)+('Equipment List &amp; Usage'!$S61*'Weekly Summary'!BB$65)+('Equipment List &amp; Usage'!$T61*('Weekly Summary'!BB$64+'Weekly Summary'!BB$65))-SUM($I59:BG59))),0)</f>
        <v>0</v>
      </c>
      <c r="BI59" s="1381">
        <f ca="1">MAX(IF($F59="No",('Equipment List &amp; Usage'!$O61*'Weekly Summary'!BC$52)+('Equipment List &amp; Usage'!$P61*'Weekly Summary'!BC$53)+('Equipment List &amp; Usage'!$Q61*('Weekly Summary'!BC$52+'Weekly Summary'!BC$53))+('Equipment List &amp; Usage'!$R61*'Weekly Summary'!BC$64)+('Equipment List &amp; Usage'!$S61*'Weekly Summary'!BC$65)+('Equipment List &amp; Usage'!$T61*('Weekly Summary'!BC$64+'Weekly Summary'!BC$65)),
IF(BI$10=0,('Equipment List &amp; Usage'!$O61*'Weekly Summary'!BC$52)+('Equipment List &amp; Usage'!$P61*'Weekly Summary'!BC$53)+('Equipment List &amp; Usage'!$Q61*('Weekly Summary'!BC$52+'Weekly Summary'!BC$53))+('Equipment List &amp; Usage'!$R61*'Weekly Summary'!BC$64)+('Equipment List &amp; Usage'!$S61*'Weekly Summary'!BC$65)+('Equipment List &amp; Usage'!$T61*('Weekly Summary'!BC$64+'Weekly Summary'!BC$65)),
('Equipment List &amp; Usage'!$O61*'Weekly Summary'!BC$52)+('Equipment List &amp; Usage'!$P61*'Weekly Summary'!BC$53)+('Equipment List &amp; Usage'!$Q61*('Weekly Summary'!BC$52+'Weekly Summary'!BC$53))+('Equipment List &amp; Usage'!$R61*'Weekly Summary'!BC$64)+('Equipment List &amp; Usage'!$S61*'Weekly Summary'!BC$65)+('Equipment List &amp; Usage'!$T61*('Weekly Summary'!BC$64+'Weekly Summary'!BC$65))-SUM($I59:BH59))),0)</f>
        <v>0</v>
      </c>
      <c r="BJ59" s="1382">
        <f ca="1">MAX(IF($F59="No",('Equipment List &amp; Usage'!$O61*'Weekly Summary'!BD$52)+('Equipment List &amp; Usage'!$P61*'Weekly Summary'!BD$53)+('Equipment List &amp; Usage'!$Q61*('Weekly Summary'!BD$52+'Weekly Summary'!BD$53))+('Equipment List &amp; Usage'!$R61*'Weekly Summary'!BD$64)+('Equipment List &amp; Usage'!$S61*'Weekly Summary'!BD$65)+('Equipment List &amp; Usage'!$T61*('Weekly Summary'!BD$64+'Weekly Summary'!BD$65)),
IF(BJ$10=0,('Equipment List &amp; Usage'!$O61*'Weekly Summary'!BD$52)+('Equipment List &amp; Usage'!$P61*'Weekly Summary'!BD$53)+('Equipment List &amp; Usage'!$Q61*('Weekly Summary'!BD$52+'Weekly Summary'!BD$53))+('Equipment List &amp; Usage'!$R61*'Weekly Summary'!BD$64)+('Equipment List &amp; Usage'!$S61*'Weekly Summary'!BD$65)+('Equipment List &amp; Usage'!$T61*('Weekly Summary'!BD$64+'Weekly Summary'!BD$65)),
('Equipment List &amp; Usage'!$O61*'Weekly Summary'!BD$52)+('Equipment List &amp; Usage'!$P61*'Weekly Summary'!BD$53)+('Equipment List &amp; Usage'!$Q61*('Weekly Summary'!BD$52+'Weekly Summary'!BD$53))+('Equipment List &amp; Usage'!$R61*'Weekly Summary'!BD$64)+('Equipment List &amp; Usage'!$S61*'Weekly Summary'!BD$65)+('Equipment List &amp; Usage'!$T61*('Weekly Summary'!BD$64+'Weekly Summary'!BD$65))-SUM($I59:BI59))),0)</f>
        <v>0</v>
      </c>
    </row>
    <row r="60" spans="2:62" ht="29" collapsed="1" x14ac:dyDescent="0.35">
      <c r="B60" s="735" t="str">
        <f>'Equipment List &amp; Usage'!B62</f>
        <v>Case management - biomedical equipment</v>
      </c>
      <c r="C60" s="526" t="str">
        <f>'Equipment List &amp; Usage'!C62</f>
        <v>IV Infusion</v>
      </c>
      <c r="D60" s="526" t="str">
        <f>'Equipment List &amp; Usage'!D62</f>
        <v xml:space="preserve">Electronic drop counter, IV fluids </v>
      </c>
      <c r="E60" s="526" t="str">
        <f>'Equipment List &amp; Usage'!E62</f>
        <v>Each</v>
      </c>
      <c r="F60" s="526" t="str">
        <f>'Equipment List &amp; Usage'!F62</f>
        <v>Yes</v>
      </c>
      <c r="G60" s="526" t="str">
        <f>'Equipment List &amp; Usage'!G62</f>
        <v>N/A</v>
      </c>
      <c r="H60" s="1369">
        <f t="shared" ca="1" si="3"/>
        <v>214.1022124010056</v>
      </c>
      <c r="J60" s="1344"/>
      <c r="K60" s="1381">
        <f ca="1">IF('User Dashboard'!$H$13=1,0,MAX(IF($F60="No",('Equipment List &amp; Usage'!$O62*'Weekly Summary'!E$52)+('Equipment List &amp; Usage'!$P62*'Weekly Summary'!E$53)+('Equipment List &amp; Usage'!$Q62*('Weekly Summary'!E$52+'Weekly Summary'!E$53))+('Equipment List &amp; Usage'!$R62*'Weekly Summary'!E$64)+('Equipment List &amp; Usage'!$S62*'Weekly Summary'!E$65)+('Equipment List &amp; Usage'!$T62*('Weekly Summary'!E$64+'Weekly Summary'!E$65)),
IF(K$10=0,('Equipment List &amp; Usage'!$O62*'Weekly Summary'!E$52)+('Equipment List &amp; Usage'!$P62*'Weekly Summary'!E$53)+('Equipment List &amp; Usage'!$Q62*('Weekly Summary'!E$52+'Weekly Summary'!E$53))+('Equipment List &amp; Usage'!$R62*'Weekly Summary'!E$64)+('Equipment List &amp; Usage'!$S62*'Weekly Summary'!E$65)+('Equipment List &amp; Usage'!$T62*('Weekly Summary'!E$64+'Weekly Summary'!E$65)),
('Equipment List &amp; Usage'!$O62*'Weekly Summary'!E$52)+('Equipment List &amp; Usage'!$P62*'Weekly Summary'!E$53)+('Equipment List &amp; Usage'!$Q62*('Weekly Summary'!E$52+'Weekly Summary'!E$53))+('Equipment List &amp; Usage'!$R62*'Weekly Summary'!E$64)+('Equipment List &amp; Usage'!$S62*'Weekly Summary'!E$65)+('Equipment List &amp; Usage'!$T62*('Weekly Summary'!E$64+'Weekly Summary'!E$65))-SUM($I60:I60))),0))</f>
        <v>0.44705811625212766</v>
      </c>
      <c r="L60" s="1381">
        <f ca="1">MAX(IF($F60="No",('Equipment List &amp; Usage'!$O62*'Weekly Summary'!F$52)+('Equipment List &amp; Usage'!$P62*'Weekly Summary'!F$53)+('Equipment List &amp; Usage'!$Q62*('Weekly Summary'!F$52+'Weekly Summary'!F$53))+('Equipment List &amp; Usage'!$R62*'Weekly Summary'!F$64)+('Equipment List &amp; Usage'!$S62*'Weekly Summary'!F$65)+('Equipment List &amp; Usage'!$T62*('Weekly Summary'!F$64+'Weekly Summary'!F$65)),
IF(L$10=0,('Equipment List &amp; Usage'!$O62*'Weekly Summary'!F$52)+('Equipment List &amp; Usage'!$P62*'Weekly Summary'!F$53)+('Equipment List &amp; Usage'!$Q62*('Weekly Summary'!F$52+'Weekly Summary'!F$53))+('Equipment List &amp; Usage'!$R62*'Weekly Summary'!F$64)+('Equipment List &amp; Usage'!$S62*'Weekly Summary'!F$65)+('Equipment List &amp; Usage'!$T62*('Weekly Summary'!F$64+'Weekly Summary'!F$65)),
('Equipment List &amp; Usage'!$O62*'Weekly Summary'!F$52)+('Equipment List &amp; Usage'!$P62*'Weekly Summary'!F$53)+('Equipment List &amp; Usage'!$Q62*('Weekly Summary'!F$52+'Weekly Summary'!F$53))+('Equipment List &amp; Usage'!$R62*'Weekly Summary'!F$64)+('Equipment List &amp; Usage'!$S62*'Weekly Summary'!F$65)+('Equipment List &amp; Usage'!$T62*('Weekly Summary'!F$64+'Weekly Summary'!F$65))-SUM($I60:K60))),0)</f>
        <v>1.0892607341966092</v>
      </c>
      <c r="M60" s="1381">
        <f ca="1">MAX(IF($F60="No",('Equipment List &amp; Usage'!$O62*'Weekly Summary'!G$52)+('Equipment List &amp; Usage'!$P62*'Weekly Summary'!G$53)+('Equipment List &amp; Usage'!$Q62*('Weekly Summary'!G$52+'Weekly Summary'!G$53))+('Equipment List &amp; Usage'!$R62*'Weekly Summary'!G$64)+('Equipment List &amp; Usage'!$S62*'Weekly Summary'!G$65)+('Equipment List &amp; Usage'!$T62*('Weekly Summary'!G$64+'Weekly Summary'!G$65)),
IF(M$10=0,('Equipment List &amp; Usage'!$O62*'Weekly Summary'!G$52)+('Equipment List &amp; Usage'!$P62*'Weekly Summary'!G$53)+('Equipment List &amp; Usage'!$Q62*('Weekly Summary'!G$52+'Weekly Summary'!G$53))+('Equipment List &amp; Usage'!$R62*'Weekly Summary'!G$64)+('Equipment List &amp; Usage'!$S62*'Weekly Summary'!G$65)+('Equipment List &amp; Usage'!$T62*('Weekly Summary'!G$64+'Weekly Summary'!G$65)),
('Equipment List &amp; Usage'!$O62*'Weekly Summary'!G$52)+('Equipment List &amp; Usage'!$P62*'Weekly Summary'!G$53)+('Equipment List &amp; Usage'!$Q62*('Weekly Summary'!G$52+'Weekly Summary'!G$53))+('Equipment List &amp; Usage'!$R62*'Weekly Summary'!G$64)+('Equipment List &amp; Usage'!$S62*'Weekly Summary'!G$65)+('Equipment List &amp; Usage'!$T62*('Weekly Summary'!G$64+'Weekly Summary'!G$65))-SUM($I60:L60))),0)</f>
        <v>3.7432023060277198</v>
      </c>
      <c r="N60" s="1381">
        <f ca="1">MAX(IF($F60="No",('Equipment List &amp; Usage'!$O62*'Weekly Summary'!H$52)+('Equipment List &amp; Usage'!$P62*'Weekly Summary'!H$53)+('Equipment List &amp; Usage'!$Q62*('Weekly Summary'!H$52+'Weekly Summary'!H$53))+('Equipment List &amp; Usage'!$R62*'Weekly Summary'!H$64)+('Equipment List &amp; Usage'!$S62*'Weekly Summary'!H$65)+('Equipment List &amp; Usage'!$T62*('Weekly Summary'!H$64+'Weekly Summary'!H$65)),
IF(N$10=0,('Equipment List &amp; Usage'!$O62*'Weekly Summary'!H$52)+('Equipment List &amp; Usage'!$P62*'Weekly Summary'!H$53)+('Equipment List &amp; Usage'!$Q62*('Weekly Summary'!H$52+'Weekly Summary'!H$53))+('Equipment List &amp; Usage'!$R62*'Weekly Summary'!H$64)+('Equipment List &amp; Usage'!$S62*'Weekly Summary'!H$65)+('Equipment List &amp; Usage'!$T62*('Weekly Summary'!H$64+'Weekly Summary'!H$65)),
('Equipment List &amp; Usage'!$O62*'Weekly Summary'!H$52)+('Equipment List &amp; Usage'!$P62*'Weekly Summary'!H$53)+('Equipment List &amp; Usage'!$Q62*('Weekly Summary'!H$52+'Weekly Summary'!H$53))+('Equipment List &amp; Usage'!$R62*'Weekly Summary'!H$64)+('Equipment List &amp; Usage'!$S62*'Weekly Summary'!H$65)+('Equipment List &amp; Usage'!$T62*('Weekly Summary'!H$64+'Weekly Summary'!H$65))-SUM($I60:M60))),0)</f>
        <v>12.862817760322709</v>
      </c>
      <c r="O60" s="1381">
        <f ca="1">MAX(IF($F60="No",('Equipment List &amp; Usage'!$O62*'Weekly Summary'!I$52)+('Equipment List &amp; Usage'!$P62*'Weekly Summary'!I$53)+('Equipment List &amp; Usage'!$Q62*('Weekly Summary'!I$52+'Weekly Summary'!I$53))+('Equipment List &amp; Usage'!$R62*'Weekly Summary'!I$64)+('Equipment List &amp; Usage'!$S62*'Weekly Summary'!I$65)+('Equipment List &amp; Usage'!$T62*('Weekly Summary'!I$64+'Weekly Summary'!I$65)),
IF(O$10=0,('Equipment List &amp; Usage'!$O62*'Weekly Summary'!I$52)+('Equipment List &amp; Usage'!$P62*'Weekly Summary'!I$53)+('Equipment List &amp; Usage'!$Q62*('Weekly Summary'!I$52+'Weekly Summary'!I$53))+('Equipment List &amp; Usage'!$R62*'Weekly Summary'!I$64)+('Equipment List &amp; Usage'!$S62*'Weekly Summary'!I$65)+('Equipment List &amp; Usage'!$T62*('Weekly Summary'!I$64+'Weekly Summary'!I$65)),
('Equipment List &amp; Usage'!$O62*'Weekly Summary'!I$52)+('Equipment List &amp; Usage'!$P62*'Weekly Summary'!I$53)+('Equipment List &amp; Usage'!$Q62*('Weekly Summary'!I$52+'Weekly Summary'!I$53))+('Equipment List &amp; Usage'!$R62*'Weekly Summary'!I$64)+('Equipment List &amp; Usage'!$S62*'Weekly Summary'!I$65)+('Equipment List &amp; Usage'!$T62*('Weekly Summary'!I$64+'Weekly Summary'!I$65))-SUM($I60:N60))),0)</f>
        <v>44.194161567743066</v>
      </c>
      <c r="P60" s="1381">
        <f ca="1">MAX(IF($F60="No",('Equipment List &amp; Usage'!$O62*'Weekly Summary'!J$52)+('Equipment List &amp; Usage'!$P62*'Weekly Summary'!J$53)+('Equipment List &amp; Usage'!$Q62*('Weekly Summary'!J$52+'Weekly Summary'!J$53))+('Equipment List &amp; Usage'!$R62*'Weekly Summary'!J$64)+('Equipment List &amp; Usage'!$S62*'Weekly Summary'!J$65)+('Equipment List &amp; Usage'!$T62*('Weekly Summary'!J$64+'Weekly Summary'!J$65)),
IF(P$10=0,('Equipment List &amp; Usage'!$O62*'Weekly Summary'!J$52)+('Equipment List &amp; Usage'!$P62*'Weekly Summary'!J$53)+('Equipment List &amp; Usage'!$Q62*('Weekly Summary'!J$52+'Weekly Summary'!J$53))+('Equipment List &amp; Usage'!$R62*'Weekly Summary'!J$64)+('Equipment List &amp; Usage'!$S62*'Weekly Summary'!J$65)+('Equipment List &amp; Usage'!$T62*('Weekly Summary'!J$64+'Weekly Summary'!J$65)),
('Equipment List &amp; Usage'!$O62*'Weekly Summary'!J$52)+('Equipment List &amp; Usage'!$P62*'Weekly Summary'!J$53)+('Equipment List &amp; Usage'!$Q62*('Weekly Summary'!J$52+'Weekly Summary'!J$53))+('Equipment List &amp; Usage'!$R62*'Weekly Summary'!J$64)+('Equipment List &amp; Usage'!$S62*'Weekly Summary'!J$65)+('Equipment List &amp; Usage'!$T62*('Weekly Summary'!J$64+'Weekly Summary'!J$65))-SUM($I60:O60))),0)</f>
        <v>151.76571191646337</v>
      </c>
      <c r="Q60" s="1381">
        <f ca="1">MAX(IF($F60="No",('Equipment List &amp; Usage'!$O62*'Weekly Summary'!K$52)+('Equipment List &amp; Usage'!$P62*'Weekly Summary'!K$53)+('Equipment List &amp; Usage'!$Q62*('Weekly Summary'!K$52+'Weekly Summary'!K$53))+('Equipment List &amp; Usage'!$R62*'Weekly Summary'!K$64)+('Equipment List &amp; Usage'!$S62*'Weekly Summary'!K$65)+('Equipment List &amp; Usage'!$T62*('Weekly Summary'!K$64+'Weekly Summary'!K$65)),
IF(Q$10=0,('Equipment List &amp; Usage'!$O62*'Weekly Summary'!K$52)+('Equipment List &amp; Usage'!$P62*'Weekly Summary'!K$53)+('Equipment List &amp; Usage'!$Q62*('Weekly Summary'!K$52+'Weekly Summary'!K$53))+('Equipment List &amp; Usage'!$R62*'Weekly Summary'!K$64)+('Equipment List &amp; Usage'!$S62*'Weekly Summary'!K$65)+('Equipment List &amp; Usage'!$T62*('Weekly Summary'!K$64+'Weekly Summary'!K$65)),
('Equipment List &amp; Usage'!$O62*'Weekly Summary'!K$52)+('Equipment List &amp; Usage'!$P62*'Weekly Summary'!K$53)+('Equipment List &amp; Usage'!$Q62*('Weekly Summary'!K$52+'Weekly Summary'!K$53))+('Equipment List &amp; Usage'!$R62*'Weekly Summary'!K$64)+('Equipment List &amp; Usage'!$S62*'Weekly Summary'!K$65)+('Equipment List &amp; Usage'!$T62*('Weekly Summary'!K$64+'Weekly Summary'!K$65))-SUM($I60:P60))),0)</f>
        <v>0</v>
      </c>
      <c r="R60" s="1381">
        <f ca="1">MAX(IF($F60="No",('Equipment List &amp; Usage'!$O62*'Weekly Summary'!L$52)+('Equipment List &amp; Usage'!$P62*'Weekly Summary'!L$53)+('Equipment List &amp; Usage'!$Q62*('Weekly Summary'!L$52+'Weekly Summary'!L$53))+('Equipment List &amp; Usage'!$R62*'Weekly Summary'!L$64)+('Equipment List &amp; Usage'!$S62*'Weekly Summary'!L$65)+('Equipment List &amp; Usage'!$T62*('Weekly Summary'!L$64+'Weekly Summary'!L$65)),
IF(R$10=0,('Equipment List &amp; Usage'!$O62*'Weekly Summary'!L$52)+('Equipment List &amp; Usage'!$P62*'Weekly Summary'!L$53)+('Equipment List &amp; Usage'!$Q62*('Weekly Summary'!L$52+'Weekly Summary'!L$53))+('Equipment List &amp; Usage'!$R62*'Weekly Summary'!L$64)+('Equipment List &amp; Usage'!$S62*'Weekly Summary'!L$65)+('Equipment List &amp; Usage'!$T62*('Weekly Summary'!L$64+'Weekly Summary'!L$65)),
('Equipment List &amp; Usage'!$O62*'Weekly Summary'!L$52)+('Equipment List &amp; Usage'!$P62*'Weekly Summary'!L$53)+('Equipment List &amp; Usage'!$Q62*('Weekly Summary'!L$52+'Weekly Summary'!L$53))+('Equipment List &amp; Usage'!$R62*'Weekly Summary'!L$64)+('Equipment List &amp; Usage'!$S62*'Weekly Summary'!L$65)+('Equipment List &amp; Usage'!$T62*('Weekly Summary'!L$64+'Weekly Summary'!L$65))-SUM($I60:Q60))),0)</f>
        <v>0</v>
      </c>
      <c r="S60" s="1381">
        <f ca="1">MAX(IF($F60="No",('Equipment List &amp; Usage'!$O62*'Weekly Summary'!M$52)+('Equipment List &amp; Usage'!$P62*'Weekly Summary'!M$53)+('Equipment List &amp; Usage'!$Q62*('Weekly Summary'!M$52+'Weekly Summary'!M$53))+('Equipment List &amp; Usage'!$R62*'Weekly Summary'!M$64)+('Equipment List &amp; Usage'!$S62*'Weekly Summary'!M$65)+('Equipment List &amp; Usage'!$T62*('Weekly Summary'!M$64+'Weekly Summary'!M$65)),
IF(S$10=0,('Equipment List &amp; Usage'!$O62*'Weekly Summary'!M$52)+('Equipment List &amp; Usage'!$P62*'Weekly Summary'!M$53)+('Equipment List &amp; Usage'!$Q62*('Weekly Summary'!M$52+'Weekly Summary'!M$53))+('Equipment List &amp; Usage'!$R62*'Weekly Summary'!M$64)+('Equipment List &amp; Usage'!$S62*'Weekly Summary'!M$65)+('Equipment List &amp; Usage'!$T62*('Weekly Summary'!M$64+'Weekly Summary'!M$65)),
('Equipment List &amp; Usage'!$O62*'Weekly Summary'!M$52)+('Equipment List &amp; Usage'!$P62*'Weekly Summary'!M$53)+('Equipment List &amp; Usage'!$Q62*('Weekly Summary'!M$52+'Weekly Summary'!M$53))+('Equipment List &amp; Usage'!$R62*'Weekly Summary'!M$64)+('Equipment List &amp; Usage'!$S62*'Weekly Summary'!M$65)+('Equipment List &amp; Usage'!$T62*('Weekly Summary'!M$64+'Weekly Summary'!M$65))-SUM($I60:R60))),0)</f>
        <v>0</v>
      </c>
      <c r="T60" s="1381">
        <f ca="1">MAX(IF($F60="No",('Equipment List &amp; Usage'!$O62*'Weekly Summary'!N$52)+('Equipment List &amp; Usage'!$P62*'Weekly Summary'!N$53)+('Equipment List &amp; Usage'!$Q62*('Weekly Summary'!N$52+'Weekly Summary'!N$53))+('Equipment List &amp; Usage'!$R62*'Weekly Summary'!N$64)+('Equipment List &amp; Usage'!$S62*'Weekly Summary'!N$65)+('Equipment List &amp; Usage'!$T62*('Weekly Summary'!N$64+'Weekly Summary'!N$65)),
IF(T$10=0,('Equipment List &amp; Usage'!$O62*'Weekly Summary'!N$52)+('Equipment List &amp; Usage'!$P62*'Weekly Summary'!N$53)+('Equipment List &amp; Usage'!$Q62*('Weekly Summary'!N$52+'Weekly Summary'!N$53))+('Equipment List &amp; Usage'!$R62*'Weekly Summary'!N$64)+('Equipment List &amp; Usage'!$S62*'Weekly Summary'!N$65)+('Equipment List &amp; Usage'!$T62*('Weekly Summary'!N$64+'Weekly Summary'!N$65)),
('Equipment List &amp; Usage'!$O62*'Weekly Summary'!N$52)+('Equipment List &amp; Usage'!$P62*'Weekly Summary'!N$53)+('Equipment List &amp; Usage'!$Q62*('Weekly Summary'!N$52+'Weekly Summary'!N$53))+('Equipment List &amp; Usage'!$R62*'Weekly Summary'!N$64)+('Equipment List &amp; Usage'!$S62*'Weekly Summary'!N$65)+('Equipment List &amp; Usage'!$T62*('Weekly Summary'!N$64+'Weekly Summary'!N$65))-SUM($I60:S60))),0)</f>
        <v>0</v>
      </c>
      <c r="U60" s="1381">
        <f ca="1">MAX(IF($F60="No",('Equipment List &amp; Usage'!$O62*'Weekly Summary'!O$52)+('Equipment List &amp; Usage'!$P62*'Weekly Summary'!O$53)+('Equipment List &amp; Usage'!$Q62*('Weekly Summary'!O$52+'Weekly Summary'!O$53))+('Equipment List &amp; Usage'!$R62*'Weekly Summary'!O$64)+('Equipment List &amp; Usage'!$S62*'Weekly Summary'!O$65)+('Equipment List &amp; Usage'!$T62*('Weekly Summary'!O$64+'Weekly Summary'!O$65)),
IF(U$10=0,('Equipment List &amp; Usage'!$O62*'Weekly Summary'!O$52)+('Equipment List &amp; Usage'!$P62*'Weekly Summary'!O$53)+('Equipment List &amp; Usage'!$Q62*('Weekly Summary'!O$52+'Weekly Summary'!O$53))+('Equipment List &amp; Usage'!$R62*'Weekly Summary'!O$64)+('Equipment List &amp; Usage'!$S62*'Weekly Summary'!O$65)+('Equipment List &amp; Usage'!$T62*('Weekly Summary'!O$64+'Weekly Summary'!O$65)),
('Equipment List &amp; Usage'!$O62*'Weekly Summary'!O$52)+('Equipment List &amp; Usage'!$P62*'Weekly Summary'!O$53)+('Equipment List &amp; Usage'!$Q62*('Weekly Summary'!O$52+'Weekly Summary'!O$53))+('Equipment List &amp; Usage'!$R62*'Weekly Summary'!O$64)+('Equipment List &amp; Usage'!$S62*'Weekly Summary'!O$65)+('Equipment List &amp; Usage'!$T62*('Weekly Summary'!O$64+'Weekly Summary'!O$65))-SUM($I60:T60))),0)</f>
        <v>0</v>
      </c>
      <c r="V60" s="1381">
        <f ca="1">MAX(IF($F60="No",('Equipment List &amp; Usage'!$O62*'Weekly Summary'!P$52)+('Equipment List &amp; Usage'!$P62*'Weekly Summary'!P$53)+('Equipment List &amp; Usage'!$Q62*('Weekly Summary'!P$52+'Weekly Summary'!P$53))+('Equipment List &amp; Usage'!$R62*'Weekly Summary'!P$64)+('Equipment List &amp; Usage'!$S62*'Weekly Summary'!P$65)+('Equipment List &amp; Usage'!$T62*('Weekly Summary'!P$64+'Weekly Summary'!P$65)),
IF(V$10=0,('Equipment List &amp; Usage'!$O62*'Weekly Summary'!P$52)+('Equipment List &amp; Usage'!$P62*'Weekly Summary'!P$53)+('Equipment List &amp; Usage'!$Q62*('Weekly Summary'!P$52+'Weekly Summary'!P$53))+('Equipment List &amp; Usage'!$R62*'Weekly Summary'!P$64)+('Equipment List &amp; Usage'!$S62*'Weekly Summary'!P$65)+('Equipment List &amp; Usage'!$T62*('Weekly Summary'!P$64+'Weekly Summary'!P$65)),
('Equipment List &amp; Usage'!$O62*'Weekly Summary'!P$52)+('Equipment List &amp; Usage'!$P62*'Weekly Summary'!P$53)+('Equipment List &amp; Usage'!$Q62*('Weekly Summary'!P$52+'Weekly Summary'!P$53))+('Equipment List &amp; Usage'!$R62*'Weekly Summary'!P$64)+('Equipment List &amp; Usage'!$S62*'Weekly Summary'!P$65)+('Equipment List &amp; Usage'!$T62*('Weekly Summary'!P$64+'Weekly Summary'!P$65))-SUM($I60:U60))),0)</f>
        <v>0</v>
      </c>
      <c r="W60" s="1381">
        <f ca="1">MAX(IF($F60="No",('Equipment List &amp; Usage'!$O62*'Weekly Summary'!Q$52)+('Equipment List &amp; Usage'!$P62*'Weekly Summary'!Q$53)+('Equipment List &amp; Usage'!$Q62*('Weekly Summary'!Q$52+'Weekly Summary'!Q$53))+('Equipment List &amp; Usage'!$R62*'Weekly Summary'!Q$64)+('Equipment List &amp; Usage'!$S62*'Weekly Summary'!Q$65)+('Equipment List &amp; Usage'!$T62*('Weekly Summary'!Q$64+'Weekly Summary'!Q$65)),
IF(W$10=0,('Equipment List &amp; Usage'!$O62*'Weekly Summary'!Q$52)+('Equipment List &amp; Usage'!$P62*'Weekly Summary'!Q$53)+('Equipment List &amp; Usage'!$Q62*('Weekly Summary'!Q$52+'Weekly Summary'!Q$53))+('Equipment List &amp; Usage'!$R62*'Weekly Summary'!Q$64)+('Equipment List &amp; Usage'!$S62*'Weekly Summary'!Q$65)+('Equipment List &amp; Usage'!$T62*('Weekly Summary'!Q$64+'Weekly Summary'!Q$65)),
('Equipment List &amp; Usage'!$O62*'Weekly Summary'!Q$52)+('Equipment List &amp; Usage'!$P62*'Weekly Summary'!Q$53)+('Equipment List &amp; Usage'!$Q62*('Weekly Summary'!Q$52+'Weekly Summary'!Q$53))+('Equipment List &amp; Usage'!$R62*'Weekly Summary'!Q$64)+('Equipment List &amp; Usage'!$S62*'Weekly Summary'!Q$65)+('Equipment List &amp; Usage'!$T62*('Weekly Summary'!Q$64+'Weekly Summary'!Q$65))-SUM($I60:V60))),0)</f>
        <v>0</v>
      </c>
      <c r="X60" s="1381">
        <f ca="1">MAX(IF($F60="No",('Equipment List &amp; Usage'!$O62*'Weekly Summary'!R$52)+('Equipment List &amp; Usage'!$P62*'Weekly Summary'!R$53)+('Equipment List &amp; Usage'!$Q62*('Weekly Summary'!R$52+'Weekly Summary'!R$53))+('Equipment List &amp; Usage'!$R62*'Weekly Summary'!R$64)+('Equipment List &amp; Usage'!$S62*'Weekly Summary'!R$65)+('Equipment List &amp; Usage'!$T62*('Weekly Summary'!R$64+'Weekly Summary'!R$65)),
IF(X$10=0,('Equipment List &amp; Usage'!$O62*'Weekly Summary'!R$52)+('Equipment List &amp; Usage'!$P62*'Weekly Summary'!R$53)+('Equipment List &amp; Usage'!$Q62*('Weekly Summary'!R$52+'Weekly Summary'!R$53))+('Equipment List &amp; Usage'!$R62*'Weekly Summary'!R$64)+('Equipment List &amp; Usage'!$S62*'Weekly Summary'!R$65)+('Equipment List &amp; Usage'!$T62*('Weekly Summary'!R$64+'Weekly Summary'!R$65)),
('Equipment List &amp; Usage'!$O62*'Weekly Summary'!R$52)+('Equipment List &amp; Usage'!$P62*'Weekly Summary'!R$53)+('Equipment List &amp; Usage'!$Q62*('Weekly Summary'!R$52+'Weekly Summary'!R$53))+('Equipment List &amp; Usage'!$R62*'Weekly Summary'!R$64)+('Equipment List &amp; Usage'!$S62*'Weekly Summary'!R$65)+('Equipment List &amp; Usage'!$T62*('Weekly Summary'!R$64+'Weekly Summary'!R$65))-SUM($I60:W60))),0)</f>
        <v>0</v>
      </c>
      <c r="Y60" s="1381">
        <f ca="1">MAX(IF($F60="No",('Equipment List &amp; Usage'!$O62*'Weekly Summary'!S$52)+('Equipment List &amp; Usage'!$P62*'Weekly Summary'!S$53)+('Equipment List &amp; Usage'!$Q62*('Weekly Summary'!S$52+'Weekly Summary'!S$53))+('Equipment List &amp; Usage'!$R62*'Weekly Summary'!S$64)+('Equipment List &amp; Usage'!$S62*'Weekly Summary'!S$65)+('Equipment List &amp; Usage'!$T62*('Weekly Summary'!S$64+'Weekly Summary'!S$65)),
IF(Y$10=0,('Equipment List &amp; Usage'!$O62*'Weekly Summary'!S$52)+('Equipment List &amp; Usage'!$P62*'Weekly Summary'!S$53)+('Equipment List &amp; Usage'!$Q62*('Weekly Summary'!S$52+'Weekly Summary'!S$53))+('Equipment List &amp; Usage'!$R62*'Weekly Summary'!S$64)+('Equipment List &amp; Usage'!$S62*'Weekly Summary'!S$65)+('Equipment List &amp; Usage'!$T62*('Weekly Summary'!S$64+'Weekly Summary'!S$65)),
('Equipment List &amp; Usage'!$O62*'Weekly Summary'!S$52)+('Equipment List &amp; Usage'!$P62*'Weekly Summary'!S$53)+('Equipment List &amp; Usage'!$Q62*('Weekly Summary'!S$52+'Weekly Summary'!S$53))+('Equipment List &amp; Usage'!$R62*'Weekly Summary'!S$64)+('Equipment List &amp; Usage'!$S62*'Weekly Summary'!S$65)+('Equipment List &amp; Usage'!$T62*('Weekly Summary'!S$64+'Weekly Summary'!S$65))-SUM($I60:X60))),0)</f>
        <v>0</v>
      </c>
      <c r="Z60" s="1381">
        <f ca="1">MAX(IF($F60="No",('Equipment List &amp; Usage'!$O62*'Weekly Summary'!T$52)+('Equipment List &amp; Usage'!$P62*'Weekly Summary'!T$53)+('Equipment List &amp; Usage'!$Q62*('Weekly Summary'!T$52+'Weekly Summary'!T$53))+('Equipment List &amp; Usage'!$R62*'Weekly Summary'!T$64)+('Equipment List &amp; Usage'!$S62*'Weekly Summary'!T$65)+('Equipment List &amp; Usage'!$T62*('Weekly Summary'!T$64+'Weekly Summary'!T$65)),
IF(Z$10=0,('Equipment List &amp; Usage'!$O62*'Weekly Summary'!T$52)+('Equipment List &amp; Usage'!$P62*'Weekly Summary'!T$53)+('Equipment List &amp; Usage'!$Q62*('Weekly Summary'!T$52+'Weekly Summary'!T$53))+('Equipment List &amp; Usage'!$R62*'Weekly Summary'!T$64)+('Equipment List &amp; Usage'!$S62*'Weekly Summary'!T$65)+('Equipment List &amp; Usage'!$T62*('Weekly Summary'!T$64+'Weekly Summary'!T$65)),
('Equipment List &amp; Usage'!$O62*'Weekly Summary'!T$52)+('Equipment List &amp; Usage'!$P62*'Weekly Summary'!T$53)+('Equipment List &amp; Usage'!$Q62*('Weekly Summary'!T$52+'Weekly Summary'!T$53))+('Equipment List &amp; Usage'!$R62*'Weekly Summary'!T$64)+('Equipment List &amp; Usage'!$S62*'Weekly Summary'!T$65)+('Equipment List &amp; Usage'!$T62*('Weekly Summary'!T$64+'Weekly Summary'!T$65))-SUM($I60:Y60))),0)</f>
        <v>0</v>
      </c>
      <c r="AA60" s="1381">
        <f ca="1">MAX(IF($F60="No",('Equipment List &amp; Usage'!$O62*'Weekly Summary'!U$52)+('Equipment List &amp; Usage'!$P62*'Weekly Summary'!U$53)+('Equipment List &amp; Usage'!$Q62*('Weekly Summary'!U$52+'Weekly Summary'!U$53))+('Equipment List &amp; Usage'!$R62*'Weekly Summary'!U$64)+('Equipment List &amp; Usage'!$S62*'Weekly Summary'!U$65)+('Equipment List &amp; Usage'!$T62*('Weekly Summary'!U$64+'Weekly Summary'!U$65)),
IF(AA$10=0,('Equipment List &amp; Usage'!$O62*'Weekly Summary'!U$52)+('Equipment List &amp; Usage'!$P62*'Weekly Summary'!U$53)+('Equipment List &amp; Usage'!$Q62*('Weekly Summary'!U$52+'Weekly Summary'!U$53))+('Equipment List &amp; Usage'!$R62*'Weekly Summary'!U$64)+('Equipment List &amp; Usage'!$S62*'Weekly Summary'!U$65)+('Equipment List &amp; Usage'!$T62*('Weekly Summary'!U$64+'Weekly Summary'!U$65)),
('Equipment List &amp; Usage'!$O62*'Weekly Summary'!U$52)+('Equipment List &amp; Usage'!$P62*'Weekly Summary'!U$53)+('Equipment List &amp; Usage'!$Q62*('Weekly Summary'!U$52+'Weekly Summary'!U$53))+('Equipment List &amp; Usage'!$R62*'Weekly Summary'!U$64)+('Equipment List &amp; Usage'!$S62*'Weekly Summary'!U$65)+('Equipment List &amp; Usage'!$T62*('Weekly Summary'!U$64+'Weekly Summary'!U$65))-SUM($I60:Z60))),0)</f>
        <v>0</v>
      </c>
      <c r="AB60" s="1381">
        <f ca="1">MAX(IF($F60="No",('Equipment List &amp; Usage'!$O62*'Weekly Summary'!V$52)+('Equipment List &amp; Usage'!$P62*'Weekly Summary'!V$53)+('Equipment List &amp; Usage'!$Q62*('Weekly Summary'!V$52+'Weekly Summary'!V$53))+('Equipment List &amp; Usage'!$R62*'Weekly Summary'!V$64)+('Equipment List &amp; Usage'!$S62*'Weekly Summary'!V$65)+('Equipment List &amp; Usage'!$T62*('Weekly Summary'!V$64+'Weekly Summary'!V$65)),
IF(AB$10=0,('Equipment List &amp; Usage'!$O62*'Weekly Summary'!V$52)+('Equipment List &amp; Usage'!$P62*'Weekly Summary'!V$53)+('Equipment List &amp; Usage'!$Q62*('Weekly Summary'!V$52+'Weekly Summary'!V$53))+('Equipment List &amp; Usage'!$R62*'Weekly Summary'!V$64)+('Equipment List &amp; Usage'!$S62*'Weekly Summary'!V$65)+('Equipment List &amp; Usage'!$T62*('Weekly Summary'!V$64+'Weekly Summary'!V$65)),
('Equipment List &amp; Usage'!$O62*'Weekly Summary'!V$52)+('Equipment List &amp; Usage'!$P62*'Weekly Summary'!V$53)+('Equipment List &amp; Usage'!$Q62*('Weekly Summary'!V$52+'Weekly Summary'!V$53))+('Equipment List &amp; Usage'!$R62*'Weekly Summary'!V$64)+('Equipment List &amp; Usage'!$S62*'Weekly Summary'!V$65)+('Equipment List &amp; Usage'!$T62*('Weekly Summary'!V$64+'Weekly Summary'!V$65))-SUM($I60:AA60))),0)</f>
        <v>0</v>
      </c>
      <c r="AC60" s="1381">
        <f ca="1">MAX(IF($F60="No",('Equipment List &amp; Usage'!$O62*'Weekly Summary'!W$52)+('Equipment List &amp; Usage'!$P62*'Weekly Summary'!W$53)+('Equipment List &amp; Usage'!$Q62*('Weekly Summary'!W$52+'Weekly Summary'!W$53))+('Equipment List &amp; Usage'!$R62*'Weekly Summary'!W$64)+('Equipment List &amp; Usage'!$S62*'Weekly Summary'!W$65)+('Equipment List &amp; Usage'!$T62*('Weekly Summary'!W$64+'Weekly Summary'!W$65)),
IF(AC$10=0,('Equipment List &amp; Usage'!$O62*'Weekly Summary'!W$52)+('Equipment List &amp; Usage'!$P62*'Weekly Summary'!W$53)+('Equipment List &amp; Usage'!$Q62*('Weekly Summary'!W$52+'Weekly Summary'!W$53))+('Equipment List &amp; Usage'!$R62*'Weekly Summary'!W$64)+('Equipment List &amp; Usage'!$S62*'Weekly Summary'!W$65)+('Equipment List &amp; Usage'!$T62*('Weekly Summary'!W$64+'Weekly Summary'!W$65)),
('Equipment List &amp; Usage'!$O62*'Weekly Summary'!W$52)+('Equipment List &amp; Usage'!$P62*'Weekly Summary'!W$53)+('Equipment List &amp; Usage'!$Q62*('Weekly Summary'!W$52+'Weekly Summary'!W$53))+('Equipment List &amp; Usage'!$R62*'Weekly Summary'!W$64)+('Equipment List &amp; Usage'!$S62*'Weekly Summary'!W$65)+('Equipment List &amp; Usage'!$T62*('Weekly Summary'!W$64+'Weekly Summary'!W$65))-SUM($I60:AB60))),0)</f>
        <v>0</v>
      </c>
      <c r="AD60" s="1381">
        <f ca="1">MAX(IF($F60="No",('Equipment List &amp; Usage'!$O62*'Weekly Summary'!X$52)+('Equipment List &amp; Usage'!$P62*'Weekly Summary'!X$53)+('Equipment List &amp; Usage'!$Q62*('Weekly Summary'!X$52+'Weekly Summary'!X$53))+('Equipment List &amp; Usage'!$R62*'Weekly Summary'!X$64)+('Equipment List &amp; Usage'!$S62*'Weekly Summary'!X$65)+('Equipment List &amp; Usage'!$T62*('Weekly Summary'!X$64+'Weekly Summary'!X$65)),
IF(AD$10=0,('Equipment List &amp; Usage'!$O62*'Weekly Summary'!X$52)+('Equipment List &amp; Usage'!$P62*'Weekly Summary'!X$53)+('Equipment List &amp; Usage'!$Q62*('Weekly Summary'!X$52+'Weekly Summary'!X$53))+('Equipment List &amp; Usage'!$R62*'Weekly Summary'!X$64)+('Equipment List &amp; Usage'!$S62*'Weekly Summary'!X$65)+('Equipment List &amp; Usage'!$T62*('Weekly Summary'!X$64+'Weekly Summary'!X$65)),
('Equipment List &amp; Usage'!$O62*'Weekly Summary'!X$52)+('Equipment List &amp; Usage'!$P62*'Weekly Summary'!X$53)+('Equipment List &amp; Usage'!$Q62*('Weekly Summary'!X$52+'Weekly Summary'!X$53))+('Equipment List &amp; Usage'!$R62*'Weekly Summary'!X$64)+('Equipment List &amp; Usage'!$S62*'Weekly Summary'!X$65)+('Equipment List &amp; Usage'!$T62*('Weekly Summary'!X$64+'Weekly Summary'!X$65))-SUM($I60:AC60))),0)</f>
        <v>0</v>
      </c>
      <c r="AE60" s="1381">
        <f ca="1">MAX(IF($F60="No",('Equipment List &amp; Usage'!$O62*'Weekly Summary'!Y$52)+('Equipment List &amp; Usage'!$P62*'Weekly Summary'!Y$53)+('Equipment List &amp; Usage'!$Q62*('Weekly Summary'!Y$52+'Weekly Summary'!Y$53))+('Equipment List &amp; Usage'!$R62*'Weekly Summary'!Y$64)+('Equipment List &amp; Usage'!$S62*'Weekly Summary'!Y$65)+('Equipment List &amp; Usage'!$T62*('Weekly Summary'!Y$64+'Weekly Summary'!Y$65)),
IF(AE$10=0,('Equipment List &amp; Usage'!$O62*'Weekly Summary'!Y$52)+('Equipment List &amp; Usage'!$P62*'Weekly Summary'!Y$53)+('Equipment List &amp; Usage'!$Q62*('Weekly Summary'!Y$52+'Weekly Summary'!Y$53))+('Equipment List &amp; Usage'!$R62*'Weekly Summary'!Y$64)+('Equipment List &amp; Usage'!$S62*'Weekly Summary'!Y$65)+('Equipment List &amp; Usage'!$T62*('Weekly Summary'!Y$64+'Weekly Summary'!Y$65)),
('Equipment List &amp; Usage'!$O62*'Weekly Summary'!Y$52)+('Equipment List &amp; Usage'!$P62*'Weekly Summary'!Y$53)+('Equipment List &amp; Usage'!$Q62*('Weekly Summary'!Y$52+'Weekly Summary'!Y$53))+('Equipment List &amp; Usage'!$R62*'Weekly Summary'!Y$64)+('Equipment List &amp; Usage'!$S62*'Weekly Summary'!Y$65)+('Equipment List &amp; Usage'!$T62*('Weekly Summary'!Y$64+'Weekly Summary'!Y$65))-SUM($I60:AD60))),0)</f>
        <v>0</v>
      </c>
      <c r="AF60" s="1381">
        <f ca="1">MAX(IF($F60="No",('Equipment List &amp; Usage'!$O62*'Weekly Summary'!Z$52)+('Equipment List &amp; Usage'!$P62*'Weekly Summary'!Z$53)+('Equipment List &amp; Usage'!$Q62*('Weekly Summary'!Z$52+'Weekly Summary'!Z$53))+('Equipment List &amp; Usage'!$R62*'Weekly Summary'!Z$64)+('Equipment List &amp; Usage'!$S62*'Weekly Summary'!Z$65)+('Equipment List &amp; Usage'!$T62*('Weekly Summary'!Z$64+'Weekly Summary'!Z$65)),
IF(AF$10=0,('Equipment List &amp; Usage'!$O62*'Weekly Summary'!Z$52)+('Equipment List &amp; Usage'!$P62*'Weekly Summary'!Z$53)+('Equipment List &amp; Usage'!$Q62*('Weekly Summary'!Z$52+'Weekly Summary'!Z$53))+('Equipment List &amp; Usage'!$R62*'Weekly Summary'!Z$64)+('Equipment List &amp; Usage'!$S62*'Weekly Summary'!Z$65)+('Equipment List &amp; Usage'!$T62*('Weekly Summary'!Z$64+'Weekly Summary'!Z$65)),
('Equipment List &amp; Usage'!$O62*'Weekly Summary'!Z$52)+('Equipment List &amp; Usage'!$P62*'Weekly Summary'!Z$53)+('Equipment List &amp; Usage'!$Q62*('Weekly Summary'!Z$52+'Weekly Summary'!Z$53))+('Equipment List &amp; Usage'!$R62*'Weekly Summary'!Z$64)+('Equipment List &amp; Usage'!$S62*'Weekly Summary'!Z$65)+('Equipment List &amp; Usage'!$T62*('Weekly Summary'!Z$64+'Weekly Summary'!Z$65))-SUM($I60:AE60))),0)</f>
        <v>0</v>
      </c>
      <c r="AG60" s="1381">
        <f ca="1">MAX(IF($F60="No",('Equipment List &amp; Usage'!$O62*'Weekly Summary'!AA$52)+('Equipment List &amp; Usage'!$P62*'Weekly Summary'!AA$53)+('Equipment List &amp; Usage'!$Q62*('Weekly Summary'!AA$52+'Weekly Summary'!AA$53))+('Equipment List &amp; Usage'!$R62*'Weekly Summary'!AA$64)+('Equipment List &amp; Usage'!$S62*'Weekly Summary'!AA$65)+('Equipment List &amp; Usage'!$T62*('Weekly Summary'!AA$64+'Weekly Summary'!AA$65)),
IF(AG$10=0,('Equipment List &amp; Usage'!$O62*'Weekly Summary'!AA$52)+('Equipment List &amp; Usage'!$P62*'Weekly Summary'!AA$53)+('Equipment List &amp; Usage'!$Q62*('Weekly Summary'!AA$52+'Weekly Summary'!AA$53))+('Equipment List &amp; Usage'!$R62*'Weekly Summary'!AA$64)+('Equipment List &amp; Usage'!$S62*'Weekly Summary'!AA$65)+('Equipment List &amp; Usage'!$T62*('Weekly Summary'!AA$64+'Weekly Summary'!AA$65)),
('Equipment List &amp; Usage'!$O62*'Weekly Summary'!AA$52)+('Equipment List &amp; Usage'!$P62*'Weekly Summary'!AA$53)+('Equipment List &amp; Usage'!$Q62*('Weekly Summary'!AA$52+'Weekly Summary'!AA$53))+('Equipment List &amp; Usage'!$R62*'Weekly Summary'!AA$64)+('Equipment List &amp; Usage'!$S62*'Weekly Summary'!AA$65)+('Equipment List &amp; Usage'!$T62*('Weekly Summary'!AA$64+'Weekly Summary'!AA$65))-SUM($I60:AF60))),0)</f>
        <v>0</v>
      </c>
      <c r="AH60" s="1381">
        <f ca="1">MAX(IF($F60="No",('Equipment List &amp; Usage'!$O62*'Weekly Summary'!AB$52)+('Equipment List &amp; Usage'!$P62*'Weekly Summary'!AB$53)+('Equipment List &amp; Usage'!$Q62*('Weekly Summary'!AB$52+'Weekly Summary'!AB$53))+('Equipment List &amp; Usage'!$R62*'Weekly Summary'!AB$64)+('Equipment List &amp; Usage'!$S62*'Weekly Summary'!AB$65)+('Equipment List &amp; Usage'!$T62*('Weekly Summary'!AB$64+'Weekly Summary'!AB$65)),
IF(AH$10=0,('Equipment List &amp; Usage'!$O62*'Weekly Summary'!AB$52)+('Equipment List &amp; Usage'!$P62*'Weekly Summary'!AB$53)+('Equipment List &amp; Usage'!$Q62*('Weekly Summary'!AB$52+'Weekly Summary'!AB$53))+('Equipment List &amp; Usage'!$R62*'Weekly Summary'!AB$64)+('Equipment List &amp; Usage'!$S62*'Weekly Summary'!AB$65)+('Equipment List &amp; Usage'!$T62*('Weekly Summary'!AB$64+'Weekly Summary'!AB$65)),
('Equipment List &amp; Usage'!$O62*'Weekly Summary'!AB$52)+('Equipment List &amp; Usage'!$P62*'Weekly Summary'!AB$53)+('Equipment List &amp; Usage'!$Q62*('Weekly Summary'!AB$52+'Weekly Summary'!AB$53))+('Equipment List &amp; Usage'!$R62*'Weekly Summary'!AB$64)+('Equipment List &amp; Usage'!$S62*'Weekly Summary'!AB$65)+('Equipment List &amp; Usage'!$T62*('Weekly Summary'!AB$64+'Weekly Summary'!AB$65))-SUM($I60:AG60))),0)</f>
        <v>0</v>
      </c>
      <c r="AI60" s="1381">
        <f ca="1">MAX(IF($F60="No",('Equipment List &amp; Usage'!$O62*'Weekly Summary'!AC$52)+('Equipment List &amp; Usage'!$P62*'Weekly Summary'!AC$53)+('Equipment List &amp; Usage'!$Q62*('Weekly Summary'!AC$52+'Weekly Summary'!AC$53))+('Equipment List &amp; Usage'!$R62*'Weekly Summary'!AC$64)+('Equipment List &amp; Usage'!$S62*'Weekly Summary'!AC$65)+('Equipment List &amp; Usage'!$T62*('Weekly Summary'!AC$64+'Weekly Summary'!AC$65)),
IF(AI$10=0,('Equipment List &amp; Usage'!$O62*'Weekly Summary'!AC$52)+('Equipment List &amp; Usage'!$P62*'Weekly Summary'!AC$53)+('Equipment List &amp; Usage'!$Q62*('Weekly Summary'!AC$52+'Weekly Summary'!AC$53))+('Equipment List &amp; Usage'!$R62*'Weekly Summary'!AC$64)+('Equipment List &amp; Usage'!$S62*'Weekly Summary'!AC$65)+('Equipment List &amp; Usage'!$T62*('Weekly Summary'!AC$64+'Weekly Summary'!AC$65)),
('Equipment List &amp; Usage'!$O62*'Weekly Summary'!AC$52)+('Equipment List &amp; Usage'!$P62*'Weekly Summary'!AC$53)+('Equipment List &amp; Usage'!$Q62*('Weekly Summary'!AC$52+'Weekly Summary'!AC$53))+('Equipment List &amp; Usage'!$R62*'Weekly Summary'!AC$64)+('Equipment List &amp; Usage'!$S62*'Weekly Summary'!AC$65)+('Equipment List &amp; Usage'!$T62*('Weekly Summary'!AC$64+'Weekly Summary'!AC$65))-SUM($I60:AH60))),0)</f>
        <v>0</v>
      </c>
      <c r="AJ60" s="1381">
        <f ca="1">MAX(IF($F60="No",('Equipment List &amp; Usage'!$O62*'Weekly Summary'!AD$52)+('Equipment List &amp; Usage'!$P62*'Weekly Summary'!AD$53)+('Equipment List &amp; Usage'!$Q62*('Weekly Summary'!AD$52+'Weekly Summary'!AD$53))+('Equipment List &amp; Usage'!$R62*'Weekly Summary'!AD$64)+('Equipment List &amp; Usage'!$S62*'Weekly Summary'!AD$65)+('Equipment List &amp; Usage'!$T62*('Weekly Summary'!AD$64+'Weekly Summary'!AD$65)),
IF(AJ$10=0,('Equipment List &amp; Usage'!$O62*'Weekly Summary'!AD$52)+('Equipment List &amp; Usage'!$P62*'Weekly Summary'!AD$53)+('Equipment List &amp; Usage'!$Q62*('Weekly Summary'!AD$52+'Weekly Summary'!AD$53))+('Equipment List &amp; Usage'!$R62*'Weekly Summary'!AD$64)+('Equipment List &amp; Usage'!$S62*'Weekly Summary'!AD$65)+('Equipment List &amp; Usage'!$T62*('Weekly Summary'!AD$64+'Weekly Summary'!AD$65)),
('Equipment List &amp; Usage'!$O62*'Weekly Summary'!AD$52)+('Equipment List &amp; Usage'!$P62*'Weekly Summary'!AD$53)+('Equipment List &amp; Usage'!$Q62*('Weekly Summary'!AD$52+'Weekly Summary'!AD$53))+('Equipment List &amp; Usage'!$R62*'Weekly Summary'!AD$64)+('Equipment List &amp; Usage'!$S62*'Weekly Summary'!AD$65)+('Equipment List &amp; Usage'!$T62*('Weekly Summary'!AD$64+'Weekly Summary'!AD$65))-SUM($I60:AI60))),0)</f>
        <v>0</v>
      </c>
      <c r="AK60" s="1381">
        <f ca="1">MAX(IF($F60="No",('Equipment List &amp; Usage'!$O62*'Weekly Summary'!AE$52)+('Equipment List &amp; Usage'!$P62*'Weekly Summary'!AE$53)+('Equipment List &amp; Usage'!$Q62*('Weekly Summary'!AE$52+'Weekly Summary'!AE$53))+('Equipment List &amp; Usage'!$R62*'Weekly Summary'!AE$64)+('Equipment List &amp; Usage'!$S62*'Weekly Summary'!AE$65)+('Equipment List &amp; Usage'!$T62*('Weekly Summary'!AE$64+'Weekly Summary'!AE$65)),
IF(AK$10=0,('Equipment List &amp; Usage'!$O62*'Weekly Summary'!AE$52)+('Equipment List &amp; Usage'!$P62*'Weekly Summary'!AE$53)+('Equipment List &amp; Usage'!$Q62*('Weekly Summary'!AE$52+'Weekly Summary'!AE$53))+('Equipment List &amp; Usage'!$R62*'Weekly Summary'!AE$64)+('Equipment List &amp; Usage'!$S62*'Weekly Summary'!AE$65)+('Equipment List &amp; Usage'!$T62*('Weekly Summary'!AE$64+'Weekly Summary'!AE$65)),
('Equipment List &amp; Usage'!$O62*'Weekly Summary'!AE$52)+('Equipment List &amp; Usage'!$P62*'Weekly Summary'!AE$53)+('Equipment List &amp; Usage'!$Q62*('Weekly Summary'!AE$52+'Weekly Summary'!AE$53))+('Equipment List &amp; Usage'!$R62*'Weekly Summary'!AE$64)+('Equipment List &amp; Usage'!$S62*'Weekly Summary'!AE$65)+('Equipment List &amp; Usage'!$T62*('Weekly Summary'!AE$64+'Weekly Summary'!AE$65))-SUM($I60:AJ60))),0)</f>
        <v>0</v>
      </c>
      <c r="AL60" s="1381">
        <f ca="1">MAX(IF($F60="No",('Equipment List &amp; Usage'!$O62*'Weekly Summary'!AF$52)+('Equipment List &amp; Usage'!$P62*'Weekly Summary'!AF$53)+('Equipment List &amp; Usage'!$Q62*('Weekly Summary'!AF$52+'Weekly Summary'!AF$53))+('Equipment List &amp; Usage'!$R62*'Weekly Summary'!AF$64)+('Equipment List &amp; Usage'!$S62*'Weekly Summary'!AF$65)+('Equipment List &amp; Usage'!$T62*('Weekly Summary'!AF$64+'Weekly Summary'!AF$65)),
IF(AL$10=0,('Equipment List &amp; Usage'!$O62*'Weekly Summary'!AF$52)+('Equipment List &amp; Usage'!$P62*'Weekly Summary'!AF$53)+('Equipment List &amp; Usage'!$Q62*('Weekly Summary'!AF$52+'Weekly Summary'!AF$53))+('Equipment List &amp; Usage'!$R62*'Weekly Summary'!AF$64)+('Equipment List &amp; Usage'!$S62*'Weekly Summary'!AF$65)+('Equipment List &amp; Usage'!$T62*('Weekly Summary'!AF$64+'Weekly Summary'!AF$65)),
('Equipment List &amp; Usage'!$O62*'Weekly Summary'!AF$52)+('Equipment List &amp; Usage'!$P62*'Weekly Summary'!AF$53)+('Equipment List &amp; Usage'!$Q62*('Weekly Summary'!AF$52+'Weekly Summary'!AF$53))+('Equipment List &amp; Usage'!$R62*'Weekly Summary'!AF$64)+('Equipment List &amp; Usage'!$S62*'Weekly Summary'!AF$65)+('Equipment List &amp; Usage'!$T62*('Weekly Summary'!AF$64+'Weekly Summary'!AF$65))-SUM($I60:AK60))),0)</f>
        <v>0</v>
      </c>
      <c r="AM60" s="1381">
        <f ca="1">MAX(IF($F60="No",('Equipment List &amp; Usage'!$O62*'Weekly Summary'!AG$52)+('Equipment List &amp; Usage'!$P62*'Weekly Summary'!AG$53)+('Equipment List &amp; Usage'!$Q62*('Weekly Summary'!AG$52+'Weekly Summary'!AG$53))+('Equipment List &amp; Usage'!$R62*'Weekly Summary'!AG$64)+('Equipment List &amp; Usage'!$S62*'Weekly Summary'!AG$65)+('Equipment List &amp; Usage'!$T62*('Weekly Summary'!AG$64+'Weekly Summary'!AG$65)),
IF(AM$10=0,('Equipment List &amp; Usage'!$O62*'Weekly Summary'!AG$52)+('Equipment List &amp; Usage'!$P62*'Weekly Summary'!AG$53)+('Equipment List &amp; Usage'!$Q62*('Weekly Summary'!AG$52+'Weekly Summary'!AG$53))+('Equipment List &amp; Usage'!$R62*'Weekly Summary'!AG$64)+('Equipment List &amp; Usage'!$S62*'Weekly Summary'!AG$65)+('Equipment List &amp; Usage'!$T62*('Weekly Summary'!AG$64+'Weekly Summary'!AG$65)),
('Equipment List &amp; Usage'!$O62*'Weekly Summary'!AG$52)+('Equipment List &amp; Usage'!$P62*'Weekly Summary'!AG$53)+('Equipment List &amp; Usage'!$Q62*('Weekly Summary'!AG$52+'Weekly Summary'!AG$53))+('Equipment List &amp; Usage'!$R62*'Weekly Summary'!AG$64)+('Equipment List &amp; Usage'!$S62*'Weekly Summary'!AG$65)+('Equipment List &amp; Usage'!$T62*('Weekly Summary'!AG$64+'Weekly Summary'!AG$65))-SUM($I60:AL60))),0)</f>
        <v>0</v>
      </c>
      <c r="AN60" s="1381">
        <f ca="1">MAX(IF($F60="No",('Equipment List &amp; Usage'!$O62*'Weekly Summary'!AH$52)+('Equipment List &amp; Usage'!$P62*'Weekly Summary'!AH$53)+('Equipment List &amp; Usage'!$Q62*('Weekly Summary'!AH$52+'Weekly Summary'!AH$53))+('Equipment List &amp; Usage'!$R62*'Weekly Summary'!AH$64)+('Equipment List &amp; Usage'!$S62*'Weekly Summary'!AH$65)+('Equipment List &amp; Usage'!$T62*('Weekly Summary'!AH$64+'Weekly Summary'!AH$65)),
IF(AN$10=0,('Equipment List &amp; Usage'!$O62*'Weekly Summary'!AH$52)+('Equipment List &amp; Usage'!$P62*'Weekly Summary'!AH$53)+('Equipment List &amp; Usage'!$Q62*('Weekly Summary'!AH$52+'Weekly Summary'!AH$53))+('Equipment List &amp; Usage'!$R62*'Weekly Summary'!AH$64)+('Equipment List &amp; Usage'!$S62*'Weekly Summary'!AH$65)+('Equipment List &amp; Usage'!$T62*('Weekly Summary'!AH$64+'Weekly Summary'!AH$65)),
('Equipment List &amp; Usage'!$O62*'Weekly Summary'!AH$52)+('Equipment List &amp; Usage'!$P62*'Weekly Summary'!AH$53)+('Equipment List &amp; Usage'!$Q62*('Weekly Summary'!AH$52+'Weekly Summary'!AH$53))+('Equipment List &amp; Usage'!$R62*'Weekly Summary'!AH$64)+('Equipment List &amp; Usage'!$S62*'Weekly Summary'!AH$65)+('Equipment List &amp; Usage'!$T62*('Weekly Summary'!AH$64+'Weekly Summary'!AH$65))-SUM($I60:AM60))),0)</f>
        <v>0</v>
      </c>
      <c r="AO60" s="1381">
        <f ca="1">MAX(IF($F60="No",('Equipment List &amp; Usage'!$O62*'Weekly Summary'!AI$52)+('Equipment List &amp; Usage'!$P62*'Weekly Summary'!AI$53)+('Equipment List &amp; Usage'!$Q62*('Weekly Summary'!AI$52+'Weekly Summary'!AI$53))+('Equipment List &amp; Usage'!$R62*'Weekly Summary'!AI$64)+('Equipment List &amp; Usage'!$S62*'Weekly Summary'!AI$65)+('Equipment List &amp; Usage'!$T62*('Weekly Summary'!AI$64+'Weekly Summary'!AI$65)),
IF(AO$10=0,('Equipment List &amp; Usage'!$O62*'Weekly Summary'!AI$52)+('Equipment List &amp; Usage'!$P62*'Weekly Summary'!AI$53)+('Equipment List &amp; Usage'!$Q62*('Weekly Summary'!AI$52+'Weekly Summary'!AI$53))+('Equipment List &amp; Usage'!$R62*'Weekly Summary'!AI$64)+('Equipment List &amp; Usage'!$S62*'Weekly Summary'!AI$65)+('Equipment List &amp; Usage'!$T62*('Weekly Summary'!AI$64+'Weekly Summary'!AI$65)),
('Equipment List &amp; Usage'!$O62*'Weekly Summary'!AI$52)+('Equipment List &amp; Usage'!$P62*'Weekly Summary'!AI$53)+('Equipment List &amp; Usage'!$Q62*('Weekly Summary'!AI$52+'Weekly Summary'!AI$53))+('Equipment List &amp; Usage'!$R62*'Weekly Summary'!AI$64)+('Equipment List &amp; Usage'!$S62*'Weekly Summary'!AI$65)+('Equipment List &amp; Usage'!$T62*('Weekly Summary'!AI$64+'Weekly Summary'!AI$65))-SUM($I60:AN60))),0)</f>
        <v>0</v>
      </c>
      <c r="AP60" s="1381">
        <f ca="1">MAX(IF($F60="No",('Equipment List &amp; Usage'!$O62*'Weekly Summary'!AJ$52)+('Equipment List &amp; Usage'!$P62*'Weekly Summary'!AJ$53)+('Equipment List &amp; Usage'!$Q62*('Weekly Summary'!AJ$52+'Weekly Summary'!AJ$53))+('Equipment List &amp; Usage'!$R62*'Weekly Summary'!AJ$64)+('Equipment List &amp; Usage'!$S62*'Weekly Summary'!AJ$65)+('Equipment List &amp; Usage'!$T62*('Weekly Summary'!AJ$64+'Weekly Summary'!AJ$65)),
IF(AP$10=0,('Equipment List &amp; Usage'!$O62*'Weekly Summary'!AJ$52)+('Equipment List &amp; Usage'!$P62*'Weekly Summary'!AJ$53)+('Equipment List &amp; Usage'!$Q62*('Weekly Summary'!AJ$52+'Weekly Summary'!AJ$53))+('Equipment List &amp; Usage'!$R62*'Weekly Summary'!AJ$64)+('Equipment List &amp; Usage'!$S62*'Weekly Summary'!AJ$65)+('Equipment List &amp; Usage'!$T62*('Weekly Summary'!AJ$64+'Weekly Summary'!AJ$65)),
('Equipment List &amp; Usage'!$O62*'Weekly Summary'!AJ$52)+('Equipment List &amp; Usage'!$P62*'Weekly Summary'!AJ$53)+('Equipment List &amp; Usage'!$Q62*('Weekly Summary'!AJ$52+'Weekly Summary'!AJ$53))+('Equipment List &amp; Usage'!$R62*'Weekly Summary'!AJ$64)+('Equipment List &amp; Usage'!$S62*'Weekly Summary'!AJ$65)+('Equipment List &amp; Usage'!$T62*('Weekly Summary'!AJ$64+'Weekly Summary'!AJ$65))-SUM($I60:AO60))),0)</f>
        <v>0</v>
      </c>
      <c r="AQ60" s="1381">
        <f ca="1">MAX(IF($F60="No",('Equipment List &amp; Usage'!$O62*'Weekly Summary'!AK$52)+('Equipment List &amp; Usage'!$P62*'Weekly Summary'!AK$53)+('Equipment List &amp; Usage'!$Q62*('Weekly Summary'!AK$52+'Weekly Summary'!AK$53))+('Equipment List &amp; Usage'!$R62*'Weekly Summary'!AK$64)+('Equipment List &amp; Usage'!$S62*'Weekly Summary'!AK$65)+('Equipment List &amp; Usage'!$T62*('Weekly Summary'!AK$64+'Weekly Summary'!AK$65)),
IF(AQ$10=0,('Equipment List &amp; Usage'!$O62*'Weekly Summary'!AK$52)+('Equipment List &amp; Usage'!$P62*'Weekly Summary'!AK$53)+('Equipment List &amp; Usage'!$Q62*('Weekly Summary'!AK$52+'Weekly Summary'!AK$53))+('Equipment List &amp; Usage'!$R62*'Weekly Summary'!AK$64)+('Equipment List &amp; Usage'!$S62*'Weekly Summary'!AK$65)+('Equipment List &amp; Usage'!$T62*('Weekly Summary'!AK$64+'Weekly Summary'!AK$65)),
('Equipment List &amp; Usage'!$O62*'Weekly Summary'!AK$52)+('Equipment List &amp; Usage'!$P62*'Weekly Summary'!AK$53)+('Equipment List &amp; Usage'!$Q62*('Weekly Summary'!AK$52+'Weekly Summary'!AK$53))+('Equipment List &amp; Usage'!$R62*'Weekly Summary'!AK$64)+('Equipment List &amp; Usage'!$S62*'Weekly Summary'!AK$65)+('Equipment List &amp; Usage'!$T62*('Weekly Summary'!AK$64+'Weekly Summary'!AK$65))-SUM($I60:AP60))),0)</f>
        <v>0</v>
      </c>
      <c r="AR60" s="1381">
        <f ca="1">MAX(IF($F60="No",('Equipment List &amp; Usage'!$O62*'Weekly Summary'!AL$52)+('Equipment List &amp; Usage'!$P62*'Weekly Summary'!AL$53)+('Equipment List &amp; Usage'!$Q62*('Weekly Summary'!AL$52+'Weekly Summary'!AL$53))+('Equipment List &amp; Usage'!$R62*'Weekly Summary'!AL$64)+('Equipment List &amp; Usage'!$S62*'Weekly Summary'!AL$65)+('Equipment List &amp; Usage'!$T62*('Weekly Summary'!AL$64+'Weekly Summary'!AL$65)),
IF(AR$10=0,('Equipment List &amp; Usage'!$O62*'Weekly Summary'!AL$52)+('Equipment List &amp; Usage'!$P62*'Weekly Summary'!AL$53)+('Equipment List &amp; Usage'!$Q62*('Weekly Summary'!AL$52+'Weekly Summary'!AL$53))+('Equipment List &amp; Usage'!$R62*'Weekly Summary'!AL$64)+('Equipment List &amp; Usage'!$S62*'Weekly Summary'!AL$65)+('Equipment List &amp; Usage'!$T62*('Weekly Summary'!AL$64+'Weekly Summary'!AL$65)),
('Equipment List &amp; Usage'!$O62*'Weekly Summary'!AL$52)+('Equipment List &amp; Usage'!$P62*'Weekly Summary'!AL$53)+('Equipment List &amp; Usage'!$Q62*('Weekly Summary'!AL$52+'Weekly Summary'!AL$53))+('Equipment List &amp; Usage'!$R62*'Weekly Summary'!AL$64)+('Equipment List &amp; Usage'!$S62*'Weekly Summary'!AL$65)+('Equipment List &amp; Usage'!$T62*('Weekly Summary'!AL$64+'Weekly Summary'!AL$65))-SUM($I60:AQ60))),0)</f>
        <v>0</v>
      </c>
      <c r="AS60" s="1381">
        <f ca="1">MAX(IF($F60="No",('Equipment List &amp; Usage'!$O62*'Weekly Summary'!AM$52)+('Equipment List &amp; Usage'!$P62*'Weekly Summary'!AM$53)+('Equipment List &amp; Usage'!$Q62*('Weekly Summary'!AM$52+'Weekly Summary'!AM$53))+('Equipment List &amp; Usage'!$R62*'Weekly Summary'!AM$64)+('Equipment List &amp; Usage'!$S62*'Weekly Summary'!AM$65)+('Equipment List &amp; Usage'!$T62*('Weekly Summary'!AM$64+'Weekly Summary'!AM$65)),
IF(AS$10=0,('Equipment List &amp; Usage'!$O62*'Weekly Summary'!AM$52)+('Equipment List &amp; Usage'!$P62*'Weekly Summary'!AM$53)+('Equipment List &amp; Usage'!$Q62*('Weekly Summary'!AM$52+'Weekly Summary'!AM$53))+('Equipment List &amp; Usage'!$R62*'Weekly Summary'!AM$64)+('Equipment List &amp; Usage'!$S62*'Weekly Summary'!AM$65)+('Equipment List &amp; Usage'!$T62*('Weekly Summary'!AM$64+'Weekly Summary'!AM$65)),
('Equipment List &amp; Usage'!$O62*'Weekly Summary'!AM$52)+('Equipment List &amp; Usage'!$P62*'Weekly Summary'!AM$53)+('Equipment List &amp; Usage'!$Q62*('Weekly Summary'!AM$52+'Weekly Summary'!AM$53))+('Equipment List &amp; Usage'!$R62*'Weekly Summary'!AM$64)+('Equipment List &amp; Usage'!$S62*'Weekly Summary'!AM$65)+('Equipment List &amp; Usage'!$T62*('Weekly Summary'!AM$64+'Weekly Summary'!AM$65))-SUM($I60:AR60))),0)</f>
        <v>0</v>
      </c>
      <c r="AT60" s="1381">
        <f ca="1">MAX(IF($F60="No",('Equipment List &amp; Usage'!$O62*'Weekly Summary'!AN$52)+('Equipment List &amp; Usage'!$P62*'Weekly Summary'!AN$53)+('Equipment List &amp; Usage'!$Q62*('Weekly Summary'!AN$52+'Weekly Summary'!AN$53))+('Equipment List &amp; Usage'!$R62*'Weekly Summary'!AN$64)+('Equipment List &amp; Usage'!$S62*'Weekly Summary'!AN$65)+('Equipment List &amp; Usage'!$T62*('Weekly Summary'!AN$64+'Weekly Summary'!AN$65)),
IF(AT$10=0,('Equipment List &amp; Usage'!$O62*'Weekly Summary'!AN$52)+('Equipment List &amp; Usage'!$P62*'Weekly Summary'!AN$53)+('Equipment List &amp; Usage'!$Q62*('Weekly Summary'!AN$52+'Weekly Summary'!AN$53))+('Equipment List &amp; Usage'!$R62*'Weekly Summary'!AN$64)+('Equipment List &amp; Usage'!$S62*'Weekly Summary'!AN$65)+('Equipment List &amp; Usage'!$T62*('Weekly Summary'!AN$64+'Weekly Summary'!AN$65)),
('Equipment List &amp; Usage'!$O62*'Weekly Summary'!AN$52)+('Equipment List &amp; Usage'!$P62*'Weekly Summary'!AN$53)+('Equipment List &amp; Usage'!$Q62*('Weekly Summary'!AN$52+'Weekly Summary'!AN$53))+('Equipment List &amp; Usage'!$R62*'Weekly Summary'!AN$64)+('Equipment List &amp; Usage'!$S62*'Weekly Summary'!AN$65)+('Equipment List &amp; Usage'!$T62*('Weekly Summary'!AN$64+'Weekly Summary'!AN$65))-SUM($I60:AS60))),0)</f>
        <v>0</v>
      </c>
      <c r="AU60" s="1381">
        <f ca="1">MAX(IF($F60="No",('Equipment List &amp; Usage'!$O62*'Weekly Summary'!AO$52)+('Equipment List &amp; Usage'!$P62*'Weekly Summary'!AO$53)+('Equipment List &amp; Usage'!$Q62*('Weekly Summary'!AO$52+'Weekly Summary'!AO$53))+('Equipment List &amp; Usage'!$R62*'Weekly Summary'!AO$64)+('Equipment List &amp; Usage'!$S62*'Weekly Summary'!AO$65)+('Equipment List &amp; Usage'!$T62*('Weekly Summary'!AO$64+'Weekly Summary'!AO$65)),
IF(AU$10=0,('Equipment List &amp; Usage'!$O62*'Weekly Summary'!AO$52)+('Equipment List &amp; Usage'!$P62*'Weekly Summary'!AO$53)+('Equipment List &amp; Usage'!$Q62*('Weekly Summary'!AO$52+'Weekly Summary'!AO$53))+('Equipment List &amp; Usage'!$R62*'Weekly Summary'!AO$64)+('Equipment List &amp; Usage'!$S62*'Weekly Summary'!AO$65)+('Equipment List &amp; Usage'!$T62*('Weekly Summary'!AO$64+'Weekly Summary'!AO$65)),
('Equipment List &amp; Usage'!$O62*'Weekly Summary'!AO$52)+('Equipment List &amp; Usage'!$P62*'Weekly Summary'!AO$53)+('Equipment List &amp; Usage'!$Q62*('Weekly Summary'!AO$52+'Weekly Summary'!AO$53))+('Equipment List &amp; Usage'!$R62*'Weekly Summary'!AO$64)+('Equipment List &amp; Usage'!$S62*'Weekly Summary'!AO$65)+('Equipment List &amp; Usage'!$T62*('Weekly Summary'!AO$64+'Weekly Summary'!AO$65))-SUM($I60:AT60))),0)</f>
        <v>0</v>
      </c>
      <c r="AV60" s="1381">
        <f ca="1">MAX(IF($F60="No",('Equipment List &amp; Usage'!$O62*'Weekly Summary'!AP$52)+('Equipment List &amp; Usage'!$P62*'Weekly Summary'!AP$53)+('Equipment List &amp; Usage'!$Q62*('Weekly Summary'!AP$52+'Weekly Summary'!AP$53))+('Equipment List &amp; Usage'!$R62*'Weekly Summary'!AP$64)+('Equipment List &amp; Usage'!$S62*'Weekly Summary'!AP$65)+('Equipment List &amp; Usage'!$T62*('Weekly Summary'!AP$64+'Weekly Summary'!AP$65)),
IF(AV$10=0,('Equipment List &amp; Usage'!$O62*'Weekly Summary'!AP$52)+('Equipment List &amp; Usage'!$P62*'Weekly Summary'!AP$53)+('Equipment List &amp; Usage'!$Q62*('Weekly Summary'!AP$52+'Weekly Summary'!AP$53))+('Equipment List &amp; Usage'!$R62*'Weekly Summary'!AP$64)+('Equipment List &amp; Usage'!$S62*'Weekly Summary'!AP$65)+('Equipment List &amp; Usage'!$T62*('Weekly Summary'!AP$64+'Weekly Summary'!AP$65)),
('Equipment List &amp; Usage'!$O62*'Weekly Summary'!AP$52)+('Equipment List &amp; Usage'!$P62*'Weekly Summary'!AP$53)+('Equipment List &amp; Usage'!$Q62*('Weekly Summary'!AP$52+'Weekly Summary'!AP$53))+('Equipment List &amp; Usage'!$R62*'Weekly Summary'!AP$64)+('Equipment List &amp; Usage'!$S62*'Weekly Summary'!AP$65)+('Equipment List &amp; Usage'!$T62*('Weekly Summary'!AP$64+'Weekly Summary'!AP$65))-SUM($I60:AU60))),0)</f>
        <v>0</v>
      </c>
      <c r="AW60" s="1381">
        <f ca="1">MAX(IF($F60="No",('Equipment List &amp; Usage'!$O62*'Weekly Summary'!AQ$52)+('Equipment List &amp; Usage'!$P62*'Weekly Summary'!AQ$53)+('Equipment List &amp; Usage'!$Q62*('Weekly Summary'!AQ$52+'Weekly Summary'!AQ$53))+('Equipment List &amp; Usage'!$R62*'Weekly Summary'!AQ$64)+('Equipment List &amp; Usage'!$S62*'Weekly Summary'!AQ$65)+('Equipment List &amp; Usage'!$T62*('Weekly Summary'!AQ$64+'Weekly Summary'!AQ$65)),
IF(AW$10=0,('Equipment List &amp; Usage'!$O62*'Weekly Summary'!AQ$52)+('Equipment List &amp; Usage'!$P62*'Weekly Summary'!AQ$53)+('Equipment List &amp; Usage'!$Q62*('Weekly Summary'!AQ$52+'Weekly Summary'!AQ$53))+('Equipment List &amp; Usage'!$R62*'Weekly Summary'!AQ$64)+('Equipment List &amp; Usage'!$S62*'Weekly Summary'!AQ$65)+('Equipment List &amp; Usage'!$T62*('Weekly Summary'!AQ$64+'Weekly Summary'!AQ$65)),
('Equipment List &amp; Usage'!$O62*'Weekly Summary'!AQ$52)+('Equipment List &amp; Usage'!$P62*'Weekly Summary'!AQ$53)+('Equipment List &amp; Usage'!$Q62*('Weekly Summary'!AQ$52+'Weekly Summary'!AQ$53))+('Equipment List &amp; Usage'!$R62*'Weekly Summary'!AQ$64)+('Equipment List &amp; Usage'!$S62*'Weekly Summary'!AQ$65)+('Equipment List &amp; Usage'!$T62*('Weekly Summary'!AQ$64+'Weekly Summary'!AQ$65))-SUM($I60:AV60))),0)</f>
        <v>0</v>
      </c>
      <c r="AX60" s="1381">
        <f ca="1">MAX(IF($F60="No",('Equipment List &amp; Usage'!$O62*'Weekly Summary'!AR$52)+('Equipment List &amp; Usage'!$P62*'Weekly Summary'!AR$53)+('Equipment List &amp; Usage'!$Q62*('Weekly Summary'!AR$52+'Weekly Summary'!AR$53))+('Equipment List &amp; Usage'!$R62*'Weekly Summary'!AR$64)+('Equipment List &amp; Usage'!$S62*'Weekly Summary'!AR$65)+('Equipment List &amp; Usage'!$T62*('Weekly Summary'!AR$64+'Weekly Summary'!AR$65)),
IF(AX$10=0,('Equipment List &amp; Usage'!$O62*'Weekly Summary'!AR$52)+('Equipment List &amp; Usage'!$P62*'Weekly Summary'!AR$53)+('Equipment List &amp; Usage'!$Q62*('Weekly Summary'!AR$52+'Weekly Summary'!AR$53))+('Equipment List &amp; Usage'!$R62*'Weekly Summary'!AR$64)+('Equipment List &amp; Usage'!$S62*'Weekly Summary'!AR$65)+('Equipment List &amp; Usage'!$T62*('Weekly Summary'!AR$64+'Weekly Summary'!AR$65)),
('Equipment List &amp; Usage'!$O62*'Weekly Summary'!AR$52)+('Equipment List &amp; Usage'!$P62*'Weekly Summary'!AR$53)+('Equipment List &amp; Usage'!$Q62*('Weekly Summary'!AR$52+'Weekly Summary'!AR$53))+('Equipment List &amp; Usage'!$R62*'Weekly Summary'!AR$64)+('Equipment List &amp; Usage'!$S62*'Weekly Summary'!AR$65)+('Equipment List &amp; Usage'!$T62*('Weekly Summary'!AR$64+'Weekly Summary'!AR$65))-SUM($I60:AW60))),0)</f>
        <v>0</v>
      </c>
      <c r="AY60" s="1381">
        <f ca="1">MAX(IF($F60="No",('Equipment List &amp; Usage'!$O62*'Weekly Summary'!AS$52)+('Equipment List &amp; Usage'!$P62*'Weekly Summary'!AS$53)+('Equipment List &amp; Usage'!$Q62*('Weekly Summary'!AS$52+'Weekly Summary'!AS$53))+('Equipment List &amp; Usage'!$R62*'Weekly Summary'!AS$64)+('Equipment List &amp; Usage'!$S62*'Weekly Summary'!AS$65)+('Equipment List &amp; Usage'!$T62*('Weekly Summary'!AS$64+'Weekly Summary'!AS$65)),
IF(AY$10=0,('Equipment List &amp; Usage'!$O62*'Weekly Summary'!AS$52)+('Equipment List &amp; Usage'!$P62*'Weekly Summary'!AS$53)+('Equipment List &amp; Usage'!$Q62*('Weekly Summary'!AS$52+'Weekly Summary'!AS$53))+('Equipment List &amp; Usage'!$R62*'Weekly Summary'!AS$64)+('Equipment List &amp; Usage'!$S62*'Weekly Summary'!AS$65)+('Equipment List &amp; Usage'!$T62*('Weekly Summary'!AS$64+'Weekly Summary'!AS$65)),
('Equipment List &amp; Usage'!$O62*'Weekly Summary'!AS$52)+('Equipment List &amp; Usage'!$P62*'Weekly Summary'!AS$53)+('Equipment List &amp; Usage'!$Q62*('Weekly Summary'!AS$52+'Weekly Summary'!AS$53))+('Equipment List &amp; Usage'!$R62*'Weekly Summary'!AS$64)+('Equipment List &amp; Usage'!$S62*'Weekly Summary'!AS$65)+('Equipment List &amp; Usage'!$T62*('Weekly Summary'!AS$64+'Weekly Summary'!AS$65))-SUM($I60:AX60))),0)</f>
        <v>0</v>
      </c>
      <c r="AZ60" s="1381">
        <f ca="1">MAX(IF($F60="No",('Equipment List &amp; Usage'!$O62*'Weekly Summary'!AT$52)+('Equipment List &amp; Usage'!$P62*'Weekly Summary'!AT$53)+('Equipment List &amp; Usage'!$Q62*('Weekly Summary'!AT$52+'Weekly Summary'!AT$53))+('Equipment List &amp; Usage'!$R62*'Weekly Summary'!AT$64)+('Equipment List &amp; Usage'!$S62*'Weekly Summary'!AT$65)+('Equipment List &amp; Usage'!$T62*('Weekly Summary'!AT$64+'Weekly Summary'!AT$65)),
IF(AZ$10=0,('Equipment List &amp; Usage'!$O62*'Weekly Summary'!AT$52)+('Equipment List &amp; Usage'!$P62*'Weekly Summary'!AT$53)+('Equipment List &amp; Usage'!$Q62*('Weekly Summary'!AT$52+'Weekly Summary'!AT$53))+('Equipment List &amp; Usage'!$R62*'Weekly Summary'!AT$64)+('Equipment List &amp; Usage'!$S62*'Weekly Summary'!AT$65)+('Equipment List &amp; Usage'!$T62*('Weekly Summary'!AT$64+'Weekly Summary'!AT$65)),
('Equipment List &amp; Usage'!$O62*'Weekly Summary'!AT$52)+('Equipment List &amp; Usage'!$P62*'Weekly Summary'!AT$53)+('Equipment List &amp; Usage'!$Q62*('Weekly Summary'!AT$52+'Weekly Summary'!AT$53))+('Equipment List &amp; Usage'!$R62*'Weekly Summary'!AT$64)+('Equipment List &amp; Usage'!$S62*'Weekly Summary'!AT$65)+('Equipment List &amp; Usage'!$T62*('Weekly Summary'!AT$64+'Weekly Summary'!AT$65))-SUM($I60:AY60))),0)</f>
        <v>0</v>
      </c>
      <c r="BA60" s="1381">
        <f ca="1">MAX(IF($F60="No",('Equipment List &amp; Usage'!$O62*'Weekly Summary'!AU$52)+('Equipment List &amp; Usage'!$P62*'Weekly Summary'!AU$53)+('Equipment List &amp; Usage'!$Q62*('Weekly Summary'!AU$52+'Weekly Summary'!AU$53))+('Equipment List &amp; Usage'!$R62*'Weekly Summary'!AU$64)+('Equipment List &amp; Usage'!$S62*'Weekly Summary'!AU$65)+('Equipment List &amp; Usage'!$T62*('Weekly Summary'!AU$64+'Weekly Summary'!AU$65)),
IF(BA$10=0,('Equipment List &amp; Usage'!$O62*'Weekly Summary'!AU$52)+('Equipment List &amp; Usage'!$P62*'Weekly Summary'!AU$53)+('Equipment List &amp; Usage'!$Q62*('Weekly Summary'!AU$52+'Weekly Summary'!AU$53))+('Equipment List &amp; Usage'!$R62*'Weekly Summary'!AU$64)+('Equipment List &amp; Usage'!$S62*'Weekly Summary'!AU$65)+('Equipment List &amp; Usage'!$T62*('Weekly Summary'!AU$64+'Weekly Summary'!AU$65)),
('Equipment List &amp; Usage'!$O62*'Weekly Summary'!AU$52)+('Equipment List &amp; Usage'!$P62*'Weekly Summary'!AU$53)+('Equipment List &amp; Usage'!$Q62*('Weekly Summary'!AU$52+'Weekly Summary'!AU$53))+('Equipment List &amp; Usage'!$R62*'Weekly Summary'!AU$64)+('Equipment List &amp; Usage'!$S62*'Weekly Summary'!AU$65)+('Equipment List &amp; Usage'!$T62*('Weekly Summary'!AU$64+'Weekly Summary'!AU$65))-SUM($I60:AZ60))),0)</f>
        <v>0</v>
      </c>
      <c r="BB60" s="1381">
        <f ca="1">MAX(IF($F60="No",('Equipment List &amp; Usage'!$O62*'Weekly Summary'!AV$52)+('Equipment List &amp; Usage'!$P62*'Weekly Summary'!AV$53)+('Equipment List &amp; Usage'!$Q62*('Weekly Summary'!AV$52+'Weekly Summary'!AV$53))+('Equipment List &amp; Usage'!$R62*'Weekly Summary'!AV$64)+('Equipment List &amp; Usage'!$S62*'Weekly Summary'!AV$65)+('Equipment List &amp; Usage'!$T62*('Weekly Summary'!AV$64+'Weekly Summary'!AV$65)),
IF(BB$10=0,('Equipment List &amp; Usage'!$O62*'Weekly Summary'!AV$52)+('Equipment List &amp; Usage'!$P62*'Weekly Summary'!AV$53)+('Equipment List &amp; Usage'!$Q62*('Weekly Summary'!AV$52+'Weekly Summary'!AV$53))+('Equipment List &amp; Usage'!$R62*'Weekly Summary'!AV$64)+('Equipment List &amp; Usage'!$S62*'Weekly Summary'!AV$65)+('Equipment List &amp; Usage'!$T62*('Weekly Summary'!AV$64+'Weekly Summary'!AV$65)),
('Equipment List &amp; Usage'!$O62*'Weekly Summary'!AV$52)+('Equipment List &amp; Usage'!$P62*'Weekly Summary'!AV$53)+('Equipment List &amp; Usage'!$Q62*('Weekly Summary'!AV$52+'Weekly Summary'!AV$53))+('Equipment List &amp; Usage'!$R62*'Weekly Summary'!AV$64)+('Equipment List &amp; Usage'!$S62*'Weekly Summary'!AV$65)+('Equipment List &amp; Usage'!$T62*('Weekly Summary'!AV$64+'Weekly Summary'!AV$65))-SUM($I60:BA60))),0)</f>
        <v>0</v>
      </c>
      <c r="BC60" s="1381">
        <f ca="1">MAX(IF($F60="No",('Equipment List &amp; Usage'!$O62*'Weekly Summary'!AW$52)+('Equipment List &amp; Usage'!$P62*'Weekly Summary'!AW$53)+('Equipment List &amp; Usage'!$Q62*('Weekly Summary'!AW$52+'Weekly Summary'!AW$53))+('Equipment List &amp; Usage'!$R62*'Weekly Summary'!AW$64)+('Equipment List &amp; Usage'!$S62*'Weekly Summary'!AW$65)+('Equipment List &amp; Usage'!$T62*('Weekly Summary'!AW$64+'Weekly Summary'!AW$65)),
IF(BC$10=0,('Equipment List &amp; Usage'!$O62*'Weekly Summary'!AW$52)+('Equipment List &amp; Usage'!$P62*'Weekly Summary'!AW$53)+('Equipment List &amp; Usage'!$Q62*('Weekly Summary'!AW$52+'Weekly Summary'!AW$53))+('Equipment List &amp; Usage'!$R62*'Weekly Summary'!AW$64)+('Equipment List &amp; Usage'!$S62*'Weekly Summary'!AW$65)+('Equipment List &amp; Usage'!$T62*('Weekly Summary'!AW$64+'Weekly Summary'!AW$65)),
('Equipment List &amp; Usage'!$O62*'Weekly Summary'!AW$52)+('Equipment List &amp; Usage'!$P62*'Weekly Summary'!AW$53)+('Equipment List &amp; Usage'!$Q62*('Weekly Summary'!AW$52+'Weekly Summary'!AW$53))+('Equipment List &amp; Usage'!$R62*'Weekly Summary'!AW$64)+('Equipment List &amp; Usage'!$S62*'Weekly Summary'!AW$65)+('Equipment List &amp; Usage'!$T62*('Weekly Summary'!AW$64+'Weekly Summary'!AW$65))-SUM($I60:BB60))),0)</f>
        <v>0</v>
      </c>
      <c r="BD60" s="1381">
        <f ca="1">MAX(IF($F60="No",('Equipment List &amp; Usage'!$O62*'Weekly Summary'!AX$52)+('Equipment List &amp; Usage'!$P62*'Weekly Summary'!AX$53)+('Equipment List &amp; Usage'!$Q62*('Weekly Summary'!AX$52+'Weekly Summary'!AX$53))+('Equipment List &amp; Usage'!$R62*'Weekly Summary'!AX$64)+('Equipment List &amp; Usage'!$S62*'Weekly Summary'!AX$65)+('Equipment List &amp; Usage'!$T62*('Weekly Summary'!AX$64+'Weekly Summary'!AX$65)),
IF(BD$10=0,('Equipment List &amp; Usage'!$O62*'Weekly Summary'!AX$52)+('Equipment List &amp; Usage'!$P62*'Weekly Summary'!AX$53)+('Equipment List &amp; Usage'!$Q62*('Weekly Summary'!AX$52+'Weekly Summary'!AX$53))+('Equipment List &amp; Usage'!$R62*'Weekly Summary'!AX$64)+('Equipment List &amp; Usage'!$S62*'Weekly Summary'!AX$65)+('Equipment List &amp; Usage'!$T62*('Weekly Summary'!AX$64+'Weekly Summary'!AX$65)),
('Equipment List &amp; Usage'!$O62*'Weekly Summary'!AX$52)+('Equipment List &amp; Usage'!$P62*'Weekly Summary'!AX$53)+('Equipment List &amp; Usage'!$Q62*('Weekly Summary'!AX$52+'Weekly Summary'!AX$53))+('Equipment List &amp; Usage'!$R62*'Weekly Summary'!AX$64)+('Equipment List &amp; Usage'!$S62*'Weekly Summary'!AX$65)+('Equipment List &amp; Usage'!$T62*('Weekly Summary'!AX$64+'Weekly Summary'!AX$65))-SUM($I60:BC60))),0)</f>
        <v>0</v>
      </c>
      <c r="BE60" s="1381">
        <f ca="1">MAX(IF($F60="No",('Equipment List &amp; Usage'!$O62*'Weekly Summary'!AY$52)+('Equipment List &amp; Usage'!$P62*'Weekly Summary'!AY$53)+('Equipment List &amp; Usage'!$Q62*('Weekly Summary'!AY$52+'Weekly Summary'!AY$53))+('Equipment List &amp; Usage'!$R62*'Weekly Summary'!AY$64)+('Equipment List &amp; Usage'!$S62*'Weekly Summary'!AY$65)+('Equipment List &amp; Usage'!$T62*('Weekly Summary'!AY$64+'Weekly Summary'!AY$65)),
IF(BE$10=0,('Equipment List &amp; Usage'!$O62*'Weekly Summary'!AY$52)+('Equipment List &amp; Usage'!$P62*'Weekly Summary'!AY$53)+('Equipment List &amp; Usage'!$Q62*('Weekly Summary'!AY$52+'Weekly Summary'!AY$53))+('Equipment List &amp; Usage'!$R62*'Weekly Summary'!AY$64)+('Equipment List &amp; Usage'!$S62*'Weekly Summary'!AY$65)+('Equipment List &amp; Usage'!$T62*('Weekly Summary'!AY$64+'Weekly Summary'!AY$65)),
('Equipment List &amp; Usage'!$O62*'Weekly Summary'!AY$52)+('Equipment List &amp; Usage'!$P62*'Weekly Summary'!AY$53)+('Equipment List &amp; Usage'!$Q62*('Weekly Summary'!AY$52+'Weekly Summary'!AY$53))+('Equipment List &amp; Usage'!$R62*'Weekly Summary'!AY$64)+('Equipment List &amp; Usage'!$S62*'Weekly Summary'!AY$65)+('Equipment List &amp; Usage'!$T62*('Weekly Summary'!AY$64+'Weekly Summary'!AY$65))-SUM($I60:BD60))),0)</f>
        <v>0</v>
      </c>
      <c r="BF60" s="1381">
        <f ca="1">MAX(IF($F60="No",('Equipment List &amp; Usage'!$O62*'Weekly Summary'!AZ$52)+('Equipment List &amp; Usage'!$P62*'Weekly Summary'!AZ$53)+('Equipment List &amp; Usage'!$Q62*('Weekly Summary'!AZ$52+'Weekly Summary'!AZ$53))+('Equipment List &amp; Usage'!$R62*'Weekly Summary'!AZ$64)+('Equipment List &amp; Usage'!$S62*'Weekly Summary'!AZ$65)+('Equipment List &amp; Usage'!$T62*('Weekly Summary'!AZ$64+'Weekly Summary'!AZ$65)),
IF(BF$10=0,('Equipment List &amp; Usage'!$O62*'Weekly Summary'!AZ$52)+('Equipment List &amp; Usage'!$P62*'Weekly Summary'!AZ$53)+('Equipment List &amp; Usage'!$Q62*('Weekly Summary'!AZ$52+'Weekly Summary'!AZ$53))+('Equipment List &amp; Usage'!$R62*'Weekly Summary'!AZ$64)+('Equipment List &amp; Usage'!$S62*'Weekly Summary'!AZ$65)+('Equipment List &amp; Usage'!$T62*('Weekly Summary'!AZ$64+'Weekly Summary'!AZ$65)),
('Equipment List &amp; Usage'!$O62*'Weekly Summary'!AZ$52)+('Equipment List &amp; Usage'!$P62*'Weekly Summary'!AZ$53)+('Equipment List &amp; Usage'!$Q62*('Weekly Summary'!AZ$52+'Weekly Summary'!AZ$53))+('Equipment List &amp; Usage'!$R62*'Weekly Summary'!AZ$64)+('Equipment List &amp; Usage'!$S62*'Weekly Summary'!AZ$65)+('Equipment List &amp; Usage'!$T62*('Weekly Summary'!AZ$64+'Weekly Summary'!AZ$65))-SUM($I60:BE60))),0)</f>
        <v>0</v>
      </c>
      <c r="BG60" s="1381">
        <f ca="1">MAX(IF($F60="No",('Equipment List &amp; Usage'!$O62*'Weekly Summary'!BA$52)+('Equipment List &amp; Usage'!$P62*'Weekly Summary'!BA$53)+('Equipment List &amp; Usage'!$Q62*('Weekly Summary'!BA$52+'Weekly Summary'!BA$53))+('Equipment List &amp; Usage'!$R62*'Weekly Summary'!BA$64)+('Equipment List &amp; Usage'!$S62*'Weekly Summary'!BA$65)+('Equipment List &amp; Usage'!$T62*('Weekly Summary'!BA$64+'Weekly Summary'!BA$65)),
IF(BG$10=0,('Equipment List &amp; Usage'!$O62*'Weekly Summary'!BA$52)+('Equipment List &amp; Usage'!$P62*'Weekly Summary'!BA$53)+('Equipment List &amp; Usage'!$Q62*('Weekly Summary'!BA$52+'Weekly Summary'!BA$53))+('Equipment List &amp; Usage'!$R62*'Weekly Summary'!BA$64)+('Equipment List &amp; Usage'!$S62*'Weekly Summary'!BA$65)+('Equipment List &amp; Usage'!$T62*('Weekly Summary'!BA$64+'Weekly Summary'!BA$65)),
('Equipment List &amp; Usage'!$O62*'Weekly Summary'!BA$52)+('Equipment List &amp; Usage'!$P62*'Weekly Summary'!BA$53)+('Equipment List &amp; Usage'!$Q62*('Weekly Summary'!BA$52+'Weekly Summary'!BA$53))+('Equipment List &amp; Usage'!$R62*'Weekly Summary'!BA$64)+('Equipment List &amp; Usage'!$S62*'Weekly Summary'!BA$65)+('Equipment List &amp; Usage'!$T62*('Weekly Summary'!BA$64+'Weekly Summary'!BA$65))-SUM($I60:BF60))),0)</f>
        <v>0</v>
      </c>
      <c r="BH60" s="1381">
        <f ca="1">MAX(IF($F60="No",('Equipment List &amp; Usage'!$O62*'Weekly Summary'!BB$52)+('Equipment List &amp; Usage'!$P62*'Weekly Summary'!BB$53)+('Equipment List &amp; Usage'!$Q62*('Weekly Summary'!BB$52+'Weekly Summary'!BB$53))+('Equipment List &amp; Usage'!$R62*'Weekly Summary'!BB$64)+('Equipment List &amp; Usage'!$S62*'Weekly Summary'!BB$65)+('Equipment List &amp; Usage'!$T62*('Weekly Summary'!BB$64+'Weekly Summary'!BB$65)),
IF(BH$10=0,('Equipment List &amp; Usage'!$O62*'Weekly Summary'!BB$52)+('Equipment List &amp; Usage'!$P62*'Weekly Summary'!BB$53)+('Equipment List &amp; Usage'!$Q62*('Weekly Summary'!BB$52+'Weekly Summary'!BB$53))+('Equipment List &amp; Usage'!$R62*'Weekly Summary'!BB$64)+('Equipment List &amp; Usage'!$S62*'Weekly Summary'!BB$65)+('Equipment List &amp; Usage'!$T62*('Weekly Summary'!BB$64+'Weekly Summary'!BB$65)),
('Equipment List &amp; Usage'!$O62*'Weekly Summary'!BB$52)+('Equipment List &amp; Usage'!$P62*'Weekly Summary'!BB$53)+('Equipment List &amp; Usage'!$Q62*('Weekly Summary'!BB$52+'Weekly Summary'!BB$53))+('Equipment List &amp; Usage'!$R62*'Weekly Summary'!BB$64)+('Equipment List &amp; Usage'!$S62*'Weekly Summary'!BB$65)+('Equipment List &amp; Usage'!$T62*('Weekly Summary'!BB$64+'Weekly Summary'!BB$65))-SUM($I60:BG60))),0)</f>
        <v>0</v>
      </c>
      <c r="BI60" s="1381">
        <f ca="1">MAX(IF($F60="No",('Equipment List &amp; Usage'!$O62*'Weekly Summary'!BC$52)+('Equipment List &amp; Usage'!$P62*'Weekly Summary'!BC$53)+('Equipment List &amp; Usage'!$Q62*('Weekly Summary'!BC$52+'Weekly Summary'!BC$53))+('Equipment List &amp; Usage'!$R62*'Weekly Summary'!BC$64)+('Equipment List &amp; Usage'!$S62*'Weekly Summary'!BC$65)+('Equipment List &amp; Usage'!$T62*('Weekly Summary'!BC$64+'Weekly Summary'!BC$65)),
IF(BI$10=0,('Equipment List &amp; Usage'!$O62*'Weekly Summary'!BC$52)+('Equipment List &amp; Usage'!$P62*'Weekly Summary'!BC$53)+('Equipment List &amp; Usage'!$Q62*('Weekly Summary'!BC$52+'Weekly Summary'!BC$53))+('Equipment List &amp; Usage'!$R62*'Weekly Summary'!BC$64)+('Equipment List &amp; Usage'!$S62*'Weekly Summary'!BC$65)+('Equipment List &amp; Usage'!$T62*('Weekly Summary'!BC$64+'Weekly Summary'!BC$65)),
('Equipment List &amp; Usage'!$O62*'Weekly Summary'!BC$52)+('Equipment List &amp; Usage'!$P62*'Weekly Summary'!BC$53)+('Equipment List &amp; Usage'!$Q62*('Weekly Summary'!BC$52+'Weekly Summary'!BC$53))+('Equipment List &amp; Usage'!$R62*'Weekly Summary'!BC$64)+('Equipment List &amp; Usage'!$S62*'Weekly Summary'!BC$65)+('Equipment List &amp; Usage'!$T62*('Weekly Summary'!BC$64+'Weekly Summary'!BC$65))-SUM($I60:BH60))),0)</f>
        <v>0</v>
      </c>
      <c r="BJ60" s="1382">
        <f ca="1">MAX(IF($F60="No",('Equipment List &amp; Usage'!$O62*'Weekly Summary'!BD$52)+('Equipment List &amp; Usage'!$P62*'Weekly Summary'!BD$53)+('Equipment List &amp; Usage'!$Q62*('Weekly Summary'!BD$52+'Weekly Summary'!BD$53))+('Equipment List &amp; Usage'!$R62*'Weekly Summary'!BD$64)+('Equipment List &amp; Usage'!$S62*'Weekly Summary'!BD$65)+('Equipment List &amp; Usage'!$T62*('Weekly Summary'!BD$64+'Weekly Summary'!BD$65)),
IF(BJ$10=0,('Equipment List &amp; Usage'!$O62*'Weekly Summary'!BD$52)+('Equipment List &amp; Usage'!$P62*'Weekly Summary'!BD$53)+('Equipment List &amp; Usage'!$Q62*('Weekly Summary'!BD$52+'Weekly Summary'!BD$53))+('Equipment List &amp; Usage'!$R62*'Weekly Summary'!BD$64)+('Equipment List &amp; Usage'!$S62*'Weekly Summary'!BD$65)+('Equipment List &amp; Usage'!$T62*('Weekly Summary'!BD$64+'Weekly Summary'!BD$65)),
('Equipment List &amp; Usage'!$O62*'Weekly Summary'!BD$52)+('Equipment List &amp; Usage'!$P62*'Weekly Summary'!BD$53)+('Equipment List &amp; Usage'!$Q62*('Weekly Summary'!BD$52+'Weekly Summary'!BD$53))+('Equipment List &amp; Usage'!$R62*'Weekly Summary'!BD$64)+('Equipment List &amp; Usage'!$S62*'Weekly Summary'!BD$65)+('Equipment List &amp; Usage'!$T62*('Weekly Summary'!BD$64+'Weekly Summary'!BD$65))-SUM($I60:BI60))),0)</f>
        <v>0</v>
      </c>
    </row>
    <row r="61" spans="2:62" ht="29" x14ac:dyDescent="0.35">
      <c r="B61" s="735" t="str">
        <f>'Equipment List &amp; Usage'!B63</f>
        <v>Case management - biomedical equipment</v>
      </c>
      <c r="C61" s="526" t="str">
        <f>'Equipment List &amp; Usage'!C63</f>
        <v>IV Infusion</v>
      </c>
      <c r="D61" s="526" t="str">
        <f>'Equipment List &amp; Usage'!D63</f>
        <v>Infusion pump</v>
      </c>
      <c r="E61" s="526" t="str">
        <f>'Equipment List &amp; Usage'!E63</f>
        <v>Each</v>
      </c>
      <c r="F61" s="526" t="str">
        <f>'Equipment List &amp; Usage'!F63</f>
        <v>Yes</v>
      </c>
      <c r="G61" s="526" t="str">
        <f>'Equipment List &amp; Usage'!G63</f>
        <v>Accessories according to equipment.</v>
      </c>
      <c r="H61" s="1369">
        <f t="shared" ca="1" si="3"/>
        <v>53.5255531002514</v>
      </c>
      <c r="J61" s="1344"/>
      <c r="K61" s="1381">
        <f ca="1">IF('User Dashboard'!$H$13=1,0,MAX(IF($F61="No",('Equipment List &amp; Usage'!$O63*'Weekly Summary'!E$52)+('Equipment List &amp; Usage'!$P63*'Weekly Summary'!E$53)+('Equipment List &amp; Usage'!$Q63*('Weekly Summary'!E$52+'Weekly Summary'!E$53))+('Equipment List &amp; Usage'!$R63*'Weekly Summary'!E$64)+('Equipment List &amp; Usage'!$S63*'Weekly Summary'!E$65)+('Equipment List &amp; Usage'!$T63*('Weekly Summary'!E$64+'Weekly Summary'!E$65)),
IF(K$10=0,('Equipment List &amp; Usage'!$O63*'Weekly Summary'!E$52)+('Equipment List &amp; Usage'!$P63*'Weekly Summary'!E$53)+('Equipment List &amp; Usage'!$Q63*('Weekly Summary'!E$52+'Weekly Summary'!E$53))+('Equipment List &amp; Usage'!$R63*'Weekly Summary'!E$64)+('Equipment List &amp; Usage'!$S63*'Weekly Summary'!E$65)+('Equipment List &amp; Usage'!$T63*('Weekly Summary'!E$64+'Weekly Summary'!E$65)),
('Equipment List &amp; Usage'!$O63*'Weekly Summary'!E$52)+('Equipment List &amp; Usage'!$P63*'Weekly Summary'!E$53)+('Equipment List &amp; Usage'!$Q63*('Weekly Summary'!E$52+'Weekly Summary'!E$53))+('Equipment List &amp; Usage'!$R63*'Weekly Summary'!E$64)+('Equipment List &amp; Usage'!$S63*'Weekly Summary'!E$65)+('Equipment List &amp; Usage'!$T63*('Weekly Summary'!E$64+'Weekly Summary'!E$65))-SUM($I61:I61))),0))</f>
        <v>0.11176452906303191</v>
      </c>
      <c r="L61" s="1381">
        <f ca="1">MAX(IF($F61="No",('Equipment List &amp; Usage'!$O63*'Weekly Summary'!F$52)+('Equipment List &amp; Usage'!$P63*'Weekly Summary'!F$53)+('Equipment List &amp; Usage'!$Q63*('Weekly Summary'!F$52+'Weekly Summary'!F$53))+('Equipment List &amp; Usage'!$R63*'Weekly Summary'!F$64)+('Equipment List &amp; Usage'!$S63*'Weekly Summary'!F$65)+('Equipment List &amp; Usage'!$T63*('Weekly Summary'!F$64+'Weekly Summary'!F$65)),
IF(L$10=0,('Equipment List &amp; Usage'!$O63*'Weekly Summary'!F$52)+('Equipment List &amp; Usage'!$P63*'Weekly Summary'!F$53)+('Equipment List &amp; Usage'!$Q63*('Weekly Summary'!F$52+'Weekly Summary'!F$53))+('Equipment List &amp; Usage'!$R63*'Weekly Summary'!F$64)+('Equipment List &amp; Usage'!$S63*'Weekly Summary'!F$65)+('Equipment List &amp; Usage'!$T63*('Weekly Summary'!F$64+'Weekly Summary'!F$65)),
('Equipment List &amp; Usage'!$O63*'Weekly Summary'!F$52)+('Equipment List &amp; Usage'!$P63*'Weekly Summary'!F$53)+('Equipment List &amp; Usage'!$Q63*('Weekly Summary'!F$52+'Weekly Summary'!F$53))+('Equipment List &amp; Usage'!$R63*'Weekly Summary'!F$64)+('Equipment List &amp; Usage'!$S63*'Weekly Summary'!F$65)+('Equipment List &amp; Usage'!$T63*('Weekly Summary'!F$64+'Weekly Summary'!F$65))-SUM($I61:K61))),0)</f>
        <v>0.2723151835491523</v>
      </c>
      <c r="M61" s="1381">
        <f ca="1">MAX(IF($F61="No",('Equipment List &amp; Usage'!$O63*'Weekly Summary'!G$52)+('Equipment List &amp; Usage'!$P63*'Weekly Summary'!G$53)+('Equipment List &amp; Usage'!$Q63*('Weekly Summary'!G$52+'Weekly Summary'!G$53))+('Equipment List &amp; Usage'!$R63*'Weekly Summary'!G$64)+('Equipment List &amp; Usage'!$S63*'Weekly Summary'!G$65)+('Equipment List &amp; Usage'!$T63*('Weekly Summary'!G$64+'Weekly Summary'!G$65)),
IF(M$10=0,('Equipment List &amp; Usage'!$O63*'Weekly Summary'!G$52)+('Equipment List &amp; Usage'!$P63*'Weekly Summary'!G$53)+('Equipment List &amp; Usage'!$Q63*('Weekly Summary'!G$52+'Weekly Summary'!G$53))+('Equipment List &amp; Usage'!$R63*'Weekly Summary'!G$64)+('Equipment List &amp; Usage'!$S63*'Weekly Summary'!G$65)+('Equipment List &amp; Usage'!$T63*('Weekly Summary'!G$64+'Weekly Summary'!G$65)),
('Equipment List &amp; Usage'!$O63*'Weekly Summary'!G$52)+('Equipment List &amp; Usage'!$P63*'Weekly Summary'!G$53)+('Equipment List &amp; Usage'!$Q63*('Weekly Summary'!G$52+'Weekly Summary'!G$53))+('Equipment List &amp; Usage'!$R63*'Weekly Summary'!G$64)+('Equipment List &amp; Usage'!$S63*'Weekly Summary'!G$65)+('Equipment List &amp; Usage'!$T63*('Weekly Summary'!G$64+'Weekly Summary'!G$65))-SUM($I61:L61))),0)</f>
        <v>0.93580057650692994</v>
      </c>
      <c r="N61" s="1381">
        <f ca="1">MAX(IF($F61="No",('Equipment List &amp; Usage'!$O63*'Weekly Summary'!H$52)+('Equipment List &amp; Usage'!$P63*'Weekly Summary'!H$53)+('Equipment List &amp; Usage'!$Q63*('Weekly Summary'!H$52+'Weekly Summary'!H$53))+('Equipment List &amp; Usage'!$R63*'Weekly Summary'!H$64)+('Equipment List &amp; Usage'!$S63*'Weekly Summary'!H$65)+('Equipment List &amp; Usage'!$T63*('Weekly Summary'!H$64+'Weekly Summary'!H$65)),
IF(N$10=0,('Equipment List &amp; Usage'!$O63*'Weekly Summary'!H$52)+('Equipment List &amp; Usage'!$P63*'Weekly Summary'!H$53)+('Equipment List &amp; Usage'!$Q63*('Weekly Summary'!H$52+'Weekly Summary'!H$53))+('Equipment List &amp; Usage'!$R63*'Weekly Summary'!H$64)+('Equipment List &amp; Usage'!$S63*'Weekly Summary'!H$65)+('Equipment List &amp; Usage'!$T63*('Weekly Summary'!H$64+'Weekly Summary'!H$65)),
('Equipment List &amp; Usage'!$O63*'Weekly Summary'!H$52)+('Equipment List &amp; Usage'!$P63*'Weekly Summary'!H$53)+('Equipment List &amp; Usage'!$Q63*('Weekly Summary'!H$52+'Weekly Summary'!H$53))+('Equipment List &amp; Usage'!$R63*'Weekly Summary'!H$64)+('Equipment List &amp; Usage'!$S63*'Weekly Summary'!H$65)+('Equipment List &amp; Usage'!$T63*('Weekly Summary'!H$64+'Weekly Summary'!H$65))-SUM($I61:M61))),0)</f>
        <v>3.2157044400806774</v>
      </c>
      <c r="O61" s="1381">
        <f ca="1">MAX(IF($F61="No",('Equipment List &amp; Usage'!$O63*'Weekly Summary'!I$52)+('Equipment List &amp; Usage'!$P63*'Weekly Summary'!I$53)+('Equipment List &amp; Usage'!$Q63*('Weekly Summary'!I$52+'Weekly Summary'!I$53))+('Equipment List &amp; Usage'!$R63*'Weekly Summary'!I$64)+('Equipment List &amp; Usage'!$S63*'Weekly Summary'!I$65)+('Equipment List &amp; Usage'!$T63*('Weekly Summary'!I$64+'Weekly Summary'!I$65)),
IF(O$10=0,('Equipment List &amp; Usage'!$O63*'Weekly Summary'!I$52)+('Equipment List &amp; Usage'!$P63*'Weekly Summary'!I$53)+('Equipment List &amp; Usage'!$Q63*('Weekly Summary'!I$52+'Weekly Summary'!I$53))+('Equipment List &amp; Usage'!$R63*'Weekly Summary'!I$64)+('Equipment List &amp; Usage'!$S63*'Weekly Summary'!I$65)+('Equipment List &amp; Usage'!$T63*('Weekly Summary'!I$64+'Weekly Summary'!I$65)),
('Equipment List &amp; Usage'!$O63*'Weekly Summary'!I$52)+('Equipment List &amp; Usage'!$P63*'Weekly Summary'!I$53)+('Equipment List &amp; Usage'!$Q63*('Weekly Summary'!I$52+'Weekly Summary'!I$53))+('Equipment List &amp; Usage'!$R63*'Weekly Summary'!I$64)+('Equipment List &amp; Usage'!$S63*'Weekly Summary'!I$65)+('Equipment List &amp; Usage'!$T63*('Weekly Summary'!I$64+'Weekly Summary'!I$65))-SUM($I61:N61))),0)</f>
        <v>11.048540391935767</v>
      </c>
      <c r="P61" s="1381">
        <f ca="1">MAX(IF($F61="No",('Equipment List &amp; Usage'!$O63*'Weekly Summary'!J$52)+('Equipment List &amp; Usage'!$P63*'Weekly Summary'!J$53)+('Equipment List &amp; Usage'!$Q63*('Weekly Summary'!J$52+'Weekly Summary'!J$53))+('Equipment List &amp; Usage'!$R63*'Weekly Summary'!J$64)+('Equipment List &amp; Usage'!$S63*'Weekly Summary'!J$65)+('Equipment List &amp; Usage'!$T63*('Weekly Summary'!J$64+'Weekly Summary'!J$65)),
IF(P$10=0,('Equipment List &amp; Usage'!$O63*'Weekly Summary'!J$52)+('Equipment List &amp; Usage'!$P63*'Weekly Summary'!J$53)+('Equipment List &amp; Usage'!$Q63*('Weekly Summary'!J$52+'Weekly Summary'!J$53))+('Equipment List &amp; Usage'!$R63*'Weekly Summary'!J$64)+('Equipment List &amp; Usage'!$S63*'Weekly Summary'!J$65)+('Equipment List &amp; Usage'!$T63*('Weekly Summary'!J$64+'Weekly Summary'!J$65)),
('Equipment List &amp; Usage'!$O63*'Weekly Summary'!J$52)+('Equipment List &amp; Usage'!$P63*'Weekly Summary'!J$53)+('Equipment List &amp; Usage'!$Q63*('Weekly Summary'!J$52+'Weekly Summary'!J$53))+('Equipment List &amp; Usage'!$R63*'Weekly Summary'!J$64)+('Equipment List &amp; Usage'!$S63*'Weekly Summary'!J$65)+('Equipment List &amp; Usage'!$T63*('Weekly Summary'!J$64+'Weekly Summary'!J$65))-SUM($I61:O61))),0)</f>
        <v>37.941427979115844</v>
      </c>
      <c r="Q61" s="1381">
        <f ca="1">MAX(IF($F61="No",('Equipment List &amp; Usage'!$O63*'Weekly Summary'!K$52)+('Equipment List &amp; Usage'!$P63*'Weekly Summary'!K$53)+('Equipment List &amp; Usage'!$Q63*('Weekly Summary'!K$52+'Weekly Summary'!K$53))+('Equipment List &amp; Usage'!$R63*'Weekly Summary'!K$64)+('Equipment List &amp; Usage'!$S63*'Weekly Summary'!K$65)+('Equipment List &amp; Usage'!$T63*('Weekly Summary'!K$64+'Weekly Summary'!K$65)),
IF(Q$10=0,('Equipment List &amp; Usage'!$O63*'Weekly Summary'!K$52)+('Equipment List &amp; Usage'!$P63*'Weekly Summary'!K$53)+('Equipment List &amp; Usage'!$Q63*('Weekly Summary'!K$52+'Weekly Summary'!K$53))+('Equipment List &amp; Usage'!$R63*'Weekly Summary'!K$64)+('Equipment List &amp; Usage'!$S63*'Weekly Summary'!K$65)+('Equipment List &amp; Usage'!$T63*('Weekly Summary'!K$64+'Weekly Summary'!K$65)),
('Equipment List &amp; Usage'!$O63*'Weekly Summary'!K$52)+('Equipment List &amp; Usage'!$P63*'Weekly Summary'!K$53)+('Equipment List &amp; Usage'!$Q63*('Weekly Summary'!K$52+'Weekly Summary'!K$53))+('Equipment List &amp; Usage'!$R63*'Weekly Summary'!K$64)+('Equipment List &amp; Usage'!$S63*'Weekly Summary'!K$65)+('Equipment List &amp; Usage'!$T63*('Weekly Summary'!K$64+'Weekly Summary'!K$65))-SUM($I61:P61))),0)</f>
        <v>0</v>
      </c>
      <c r="R61" s="1381">
        <f ca="1">MAX(IF($F61="No",('Equipment List &amp; Usage'!$O63*'Weekly Summary'!L$52)+('Equipment List &amp; Usage'!$P63*'Weekly Summary'!L$53)+('Equipment List &amp; Usage'!$Q63*('Weekly Summary'!L$52+'Weekly Summary'!L$53))+('Equipment List &amp; Usage'!$R63*'Weekly Summary'!L$64)+('Equipment List &amp; Usage'!$S63*'Weekly Summary'!L$65)+('Equipment List &amp; Usage'!$T63*('Weekly Summary'!L$64+'Weekly Summary'!L$65)),
IF(R$10=0,('Equipment List &amp; Usage'!$O63*'Weekly Summary'!L$52)+('Equipment List &amp; Usage'!$P63*'Weekly Summary'!L$53)+('Equipment List &amp; Usage'!$Q63*('Weekly Summary'!L$52+'Weekly Summary'!L$53))+('Equipment List &amp; Usage'!$R63*'Weekly Summary'!L$64)+('Equipment List &amp; Usage'!$S63*'Weekly Summary'!L$65)+('Equipment List &amp; Usage'!$T63*('Weekly Summary'!L$64+'Weekly Summary'!L$65)),
('Equipment List &amp; Usage'!$O63*'Weekly Summary'!L$52)+('Equipment List &amp; Usage'!$P63*'Weekly Summary'!L$53)+('Equipment List &amp; Usage'!$Q63*('Weekly Summary'!L$52+'Weekly Summary'!L$53))+('Equipment List &amp; Usage'!$R63*'Weekly Summary'!L$64)+('Equipment List &amp; Usage'!$S63*'Weekly Summary'!L$65)+('Equipment List &amp; Usage'!$T63*('Weekly Summary'!L$64+'Weekly Summary'!L$65))-SUM($I61:Q61))),0)</f>
        <v>0</v>
      </c>
      <c r="S61" s="1381">
        <f ca="1">MAX(IF($F61="No",('Equipment List &amp; Usage'!$O63*'Weekly Summary'!M$52)+('Equipment List &amp; Usage'!$P63*'Weekly Summary'!M$53)+('Equipment List &amp; Usage'!$Q63*('Weekly Summary'!M$52+'Weekly Summary'!M$53))+('Equipment List &amp; Usage'!$R63*'Weekly Summary'!M$64)+('Equipment List &amp; Usage'!$S63*'Weekly Summary'!M$65)+('Equipment List &amp; Usage'!$T63*('Weekly Summary'!M$64+'Weekly Summary'!M$65)),
IF(S$10=0,('Equipment List &amp; Usage'!$O63*'Weekly Summary'!M$52)+('Equipment List &amp; Usage'!$P63*'Weekly Summary'!M$53)+('Equipment List &amp; Usage'!$Q63*('Weekly Summary'!M$52+'Weekly Summary'!M$53))+('Equipment List &amp; Usage'!$R63*'Weekly Summary'!M$64)+('Equipment List &amp; Usage'!$S63*'Weekly Summary'!M$65)+('Equipment List &amp; Usage'!$T63*('Weekly Summary'!M$64+'Weekly Summary'!M$65)),
('Equipment List &amp; Usage'!$O63*'Weekly Summary'!M$52)+('Equipment List &amp; Usage'!$P63*'Weekly Summary'!M$53)+('Equipment List &amp; Usage'!$Q63*('Weekly Summary'!M$52+'Weekly Summary'!M$53))+('Equipment List &amp; Usage'!$R63*'Weekly Summary'!M$64)+('Equipment List &amp; Usage'!$S63*'Weekly Summary'!M$65)+('Equipment List &amp; Usage'!$T63*('Weekly Summary'!M$64+'Weekly Summary'!M$65))-SUM($I61:R61))),0)</f>
        <v>0</v>
      </c>
      <c r="T61" s="1381">
        <f ca="1">MAX(IF($F61="No",('Equipment List &amp; Usage'!$O63*'Weekly Summary'!N$52)+('Equipment List &amp; Usage'!$P63*'Weekly Summary'!N$53)+('Equipment List &amp; Usage'!$Q63*('Weekly Summary'!N$52+'Weekly Summary'!N$53))+('Equipment List &amp; Usage'!$R63*'Weekly Summary'!N$64)+('Equipment List &amp; Usage'!$S63*'Weekly Summary'!N$65)+('Equipment List &amp; Usage'!$T63*('Weekly Summary'!N$64+'Weekly Summary'!N$65)),
IF(T$10=0,('Equipment List &amp; Usage'!$O63*'Weekly Summary'!N$52)+('Equipment List &amp; Usage'!$P63*'Weekly Summary'!N$53)+('Equipment List &amp; Usage'!$Q63*('Weekly Summary'!N$52+'Weekly Summary'!N$53))+('Equipment List &amp; Usage'!$R63*'Weekly Summary'!N$64)+('Equipment List &amp; Usage'!$S63*'Weekly Summary'!N$65)+('Equipment List &amp; Usage'!$T63*('Weekly Summary'!N$64+'Weekly Summary'!N$65)),
('Equipment List &amp; Usage'!$O63*'Weekly Summary'!N$52)+('Equipment List &amp; Usage'!$P63*'Weekly Summary'!N$53)+('Equipment List &amp; Usage'!$Q63*('Weekly Summary'!N$52+'Weekly Summary'!N$53))+('Equipment List &amp; Usage'!$R63*'Weekly Summary'!N$64)+('Equipment List &amp; Usage'!$S63*'Weekly Summary'!N$65)+('Equipment List &amp; Usage'!$T63*('Weekly Summary'!N$64+'Weekly Summary'!N$65))-SUM($I61:S61))),0)</f>
        <v>0</v>
      </c>
      <c r="U61" s="1381">
        <f ca="1">MAX(IF($F61="No",('Equipment List &amp; Usage'!$O63*'Weekly Summary'!O$52)+('Equipment List &amp; Usage'!$P63*'Weekly Summary'!O$53)+('Equipment List &amp; Usage'!$Q63*('Weekly Summary'!O$52+'Weekly Summary'!O$53))+('Equipment List &amp; Usage'!$R63*'Weekly Summary'!O$64)+('Equipment List &amp; Usage'!$S63*'Weekly Summary'!O$65)+('Equipment List &amp; Usage'!$T63*('Weekly Summary'!O$64+'Weekly Summary'!O$65)),
IF(U$10=0,('Equipment List &amp; Usage'!$O63*'Weekly Summary'!O$52)+('Equipment List &amp; Usage'!$P63*'Weekly Summary'!O$53)+('Equipment List &amp; Usage'!$Q63*('Weekly Summary'!O$52+'Weekly Summary'!O$53))+('Equipment List &amp; Usage'!$R63*'Weekly Summary'!O$64)+('Equipment List &amp; Usage'!$S63*'Weekly Summary'!O$65)+('Equipment List &amp; Usage'!$T63*('Weekly Summary'!O$64+'Weekly Summary'!O$65)),
('Equipment List &amp; Usage'!$O63*'Weekly Summary'!O$52)+('Equipment List &amp; Usage'!$P63*'Weekly Summary'!O$53)+('Equipment List &amp; Usage'!$Q63*('Weekly Summary'!O$52+'Weekly Summary'!O$53))+('Equipment List &amp; Usage'!$R63*'Weekly Summary'!O$64)+('Equipment List &amp; Usage'!$S63*'Weekly Summary'!O$65)+('Equipment List &amp; Usage'!$T63*('Weekly Summary'!O$64+'Weekly Summary'!O$65))-SUM($I61:T61))),0)</f>
        <v>0</v>
      </c>
      <c r="V61" s="1381">
        <f ca="1">MAX(IF($F61="No",('Equipment List &amp; Usage'!$O63*'Weekly Summary'!P$52)+('Equipment List &amp; Usage'!$P63*'Weekly Summary'!P$53)+('Equipment List &amp; Usage'!$Q63*('Weekly Summary'!P$52+'Weekly Summary'!P$53))+('Equipment List &amp; Usage'!$R63*'Weekly Summary'!P$64)+('Equipment List &amp; Usage'!$S63*'Weekly Summary'!P$65)+('Equipment List &amp; Usage'!$T63*('Weekly Summary'!P$64+'Weekly Summary'!P$65)),
IF(V$10=0,('Equipment List &amp; Usage'!$O63*'Weekly Summary'!P$52)+('Equipment List &amp; Usage'!$P63*'Weekly Summary'!P$53)+('Equipment List &amp; Usage'!$Q63*('Weekly Summary'!P$52+'Weekly Summary'!P$53))+('Equipment List &amp; Usage'!$R63*'Weekly Summary'!P$64)+('Equipment List &amp; Usage'!$S63*'Weekly Summary'!P$65)+('Equipment List &amp; Usage'!$T63*('Weekly Summary'!P$64+'Weekly Summary'!P$65)),
('Equipment List &amp; Usage'!$O63*'Weekly Summary'!P$52)+('Equipment List &amp; Usage'!$P63*'Weekly Summary'!P$53)+('Equipment List &amp; Usage'!$Q63*('Weekly Summary'!P$52+'Weekly Summary'!P$53))+('Equipment List &amp; Usage'!$R63*'Weekly Summary'!P$64)+('Equipment List &amp; Usage'!$S63*'Weekly Summary'!P$65)+('Equipment List &amp; Usage'!$T63*('Weekly Summary'!P$64+'Weekly Summary'!P$65))-SUM($I61:U61))),0)</f>
        <v>0</v>
      </c>
      <c r="W61" s="1381">
        <f ca="1">MAX(IF($F61="No",('Equipment List &amp; Usage'!$O63*'Weekly Summary'!Q$52)+('Equipment List &amp; Usage'!$P63*'Weekly Summary'!Q$53)+('Equipment List &amp; Usage'!$Q63*('Weekly Summary'!Q$52+'Weekly Summary'!Q$53))+('Equipment List &amp; Usage'!$R63*'Weekly Summary'!Q$64)+('Equipment List &amp; Usage'!$S63*'Weekly Summary'!Q$65)+('Equipment List &amp; Usage'!$T63*('Weekly Summary'!Q$64+'Weekly Summary'!Q$65)),
IF(W$10=0,('Equipment List &amp; Usage'!$O63*'Weekly Summary'!Q$52)+('Equipment List &amp; Usage'!$P63*'Weekly Summary'!Q$53)+('Equipment List &amp; Usage'!$Q63*('Weekly Summary'!Q$52+'Weekly Summary'!Q$53))+('Equipment List &amp; Usage'!$R63*'Weekly Summary'!Q$64)+('Equipment List &amp; Usage'!$S63*'Weekly Summary'!Q$65)+('Equipment List &amp; Usage'!$T63*('Weekly Summary'!Q$64+'Weekly Summary'!Q$65)),
('Equipment List &amp; Usage'!$O63*'Weekly Summary'!Q$52)+('Equipment List &amp; Usage'!$P63*'Weekly Summary'!Q$53)+('Equipment List &amp; Usage'!$Q63*('Weekly Summary'!Q$52+'Weekly Summary'!Q$53))+('Equipment List &amp; Usage'!$R63*'Weekly Summary'!Q$64)+('Equipment List &amp; Usage'!$S63*'Weekly Summary'!Q$65)+('Equipment List &amp; Usage'!$T63*('Weekly Summary'!Q$64+'Weekly Summary'!Q$65))-SUM($I61:V61))),0)</f>
        <v>0</v>
      </c>
      <c r="X61" s="1381">
        <f ca="1">MAX(IF($F61="No",('Equipment List &amp; Usage'!$O63*'Weekly Summary'!R$52)+('Equipment List &amp; Usage'!$P63*'Weekly Summary'!R$53)+('Equipment List &amp; Usage'!$Q63*('Weekly Summary'!R$52+'Weekly Summary'!R$53))+('Equipment List &amp; Usage'!$R63*'Weekly Summary'!R$64)+('Equipment List &amp; Usage'!$S63*'Weekly Summary'!R$65)+('Equipment List &amp; Usage'!$T63*('Weekly Summary'!R$64+'Weekly Summary'!R$65)),
IF(X$10=0,('Equipment List &amp; Usage'!$O63*'Weekly Summary'!R$52)+('Equipment List &amp; Usage'!$P63*'Weekly Summary'!R$53)+('Equipment List &amp; Usage'!$Q63*('Weekly Summary'!R$52+'Weekly Summary'!R$53))+('Equipment List &amp; Usage'!$R63*'Weekly Summary'!R$64)+('Equipment List &amp; Usage'!$S63*'Weekly Summary'!R$65)+('Equipment List &amp; Usage'!$T63*('Weekly Summary'!R$64+'Weekly Summary'!R$65)),
('Equipment List &amp; Usage'!$O63*'Weekly Summary'!R$52)+('Equipment List &amp; Usage'!$P63*'Weekly Summary'!R$53)+('Equipment List &amp; Usage'!$Q63*('Weekly Summary'!R$52+'Weekly Summary'!R$53))+('Equipment List &amp; Usage'!$R63*'Weekly Summary'!R$64)+('Equipment List &amp; Usage'!$S63*'Weekly Summary'!R$65)+('Equipment List &amp; Usage'!$T63*('Weekly Summary'!R$64+'Weekly Summary'!R$65))-SUM($I61:W61))),0)</f>
        <v>0</v>
      </c>
      <c r="Y61" s="1381">
        <f ca="1">MAX(IF($F61="No",('Equipment List &amp; Usage'!$O63*'Weekly Summary'!S$52)+('Equipment List &amp; Usage'!$P63*'Weekly Summary'!S$53)+('Equipment List &amp; Usage'!$Q63*('Weekly Summary'!S$52+'Weekly Summary'!S$53))+('Equipment List &amp; Usage'!$R63*'Weekly Summary'!S$64)+('Equipment List &amp; Usage'!$S63*'Weekly Summary'!S$65)+('Equipment List &amp; Usage'!$T63*('Weekly Summary'!S$64+'Weekly Summary'!S$65)),
IF(Y$10=0,('Equipment List &amp; Usage'!$O63*'Weekly Summary'!S$52)+('Equipment List &amp; Usage'!$P63*'Weekly Summary'!S$53)+('Equipment List &amp; Usage'!$Q63*('Weekly Summary'!S$52+'Weekly Summary'!S$53))+('Equipment List &amp; Usage'!$R63*'Weekly Summary'!S$64)+('Equipment List &amp; Usage'!$S63*'Weekly Summary'!S$65)+('Equipment List &amp; Usage'!$T63*('Weekly Summary'!S$64+'Weekly Summary'!S$65)),
('Equipment List &amp; Usage'!$O63*'Weekly Summary'!S$52)+('Equipment List &amp; Usage'!$P63*'Weekly Summary'!S$53)+('Equipment List &amp; Usage'!$Q63*('Weekly Summary'!S$52+'Weekly Summary'!S$53))+('Equipment List &amp; Usage'!$R63*'Weekly Summary'!S$64)+('Equipment List &amp; Usage'!$S63*'Weekly Summary'!S$65)+('Equipment List &amp; Usage'!$T63*('Weekly Summary'!S$64+'Weekly Summary'!S$65))-SUM($I61:X61))),0)</f>
        <v>0</v>
      </c>
      <c r="Z61" s="1381">
        <f ca="1">MAX(IF($F61="No",('Equipment List &amp; Usage'!$O63*'Weekly Summary'!T$52)+('Equipment List &amp; Usage'!$P63*'Weekly Summary'!T$53)+('Equipment List &amp; Usage'!$Q63*('Weekly Summary'!T$52+'Weekly Summary'!T$53))+('Equipment List &amp; Usage'!$R63*'Weekly Summary'!T$64)+('Equipment List &amp; Usage'!$S63*'Weekly Summary'!T$65)+('Equipment List &amp; Usage'!$T63*('Weekly Summary'!T$64+'Weekly Summary'!T$65)),
IF(Z$10=0,('Equipment List &amp; Usage'!$O63*'Weekly Summary'!T$52)+('Equipment List &amp; Usage'!$P63*'Weekly Summary'!T$53)+('Equipment List &amp; Usage'!$Q63*('Weekly Summary'!T$52+'Weekly Summary'!T$53))+('Equipment List &amp; Usage'!$R63*'Weekly Summary'!T$64)+('Equipment List &amp; Usage'!$S63*'Weekly Summary'!T$65)+('Equipment List &amp; Usage'!$T63*('Weekly Summary'!T$64+'Weekly Summary'!T$65)),
('Equipment List &amp; Usage'!$O63*'Weekly Summary'!T$52)+('Equipment List &amp; Usage'!$P63*'Weekly Summary'!T$53)+('Equipment List &amp; Usage'!$Q63*('Weekly Summary'!T$52+'Weekly Summary'!T$53))+('Equipment List &amp; Usage'!$R63*'Weekly Summary'!T$64)+('Equipment List &amp; Usage'!$S63*'Weekly Summary'!T$65)+('Equipment List &amp; Usage'!$T63*('Weekly Summary'!T$64+'Weekly Summary'!T$65))-SUM($I61:Y61))),0)</f>
        <v>0</v>
      </c>
      <c r="AA61" s="1381">
        <f ca="1">MAX(IF($F61="No",('Equipment List &amp; Usage'!$O63*'Weekly Summary'!U$52)+('Equipment List &amp; Usage'!$P63*'Weekly Summary'!U$53)+('Equipment List &amp; Usage'!$Q63*('Weekly Summary'!U$52+'Weekly Summary'!U$53))+('Equipment List &amp; Usage'!$R63*'Weekly Summary'!U$64)+('Equipment List &amp; Usage'!$S63*'Weekly Summary'!U$65)+('Equipment List &amp; Usage'!$T63*('Weekly Summary'!U$64+'Weekly Summary'!U$65)),
IF(AA$10=0,('Equipment List &amp; Usage'!$O63*'Weekly Summary'!U$52)+('Equipment List &amp; Usage'!$P63*'Weekly Summary'!U$53)+('Equipment List &amp; Usage'!$Q63*('Weekly Summary'!U$52+'Weekly Summary'!U$53))+('Equipment List &amp; Usage'!$R63*'Weekly Summary'!U$64)+('Equipment List &amp; Usage'!$S63*'Weekly Summary'!U$65)+('Equipment List &amp; Usage'!$T63*('Weekly Summary'!U$64+'Weekly Summary'!U$65)),
('Equipment List &amp; Usage'!$O63*'Weekly Summary'!U$52)+('Equipment List &amp; Usage'!$P63*'Weekly Summary'!U$53)+('Equipment List &amp; Usage'!$Q63*('Weekly Summary'!U$52+'Weekly Summary'!U$53))+('Equipment List &amp; Usage'!$R63*'Weekly Summary'!U$64)+('Equipment List &amp; Usage'!$S63*'Weekly Summary'!U$65)+('Equipment List &amp; Usage'!$T63*('Weekly Summary'!U$64+'Weekly Summary'!U$65))-SUM($I61:Z61))),0)</f>
        <v>0</v>
      </c>
      <c r="AB61" s="1381">
        <f ca="1">MAX(IF($F61="No",('Equipment List &amp; Usage'!$O63*'Weekly Summary'!V$52)+('Equipment List &amp; Usage'!$P63*'Weekly Summary'!V$53)+('Equipment List &amp; Usage'!$Q63*('Weekly Summary'!V$52+'Weekly Summary'!V$53))+('Equipment List &amp; Usage'!$R63*'Weekly Summary'!V$64)+('Equipment List &amp; Usage'!$S63*'Weekly Summary'!V$65)+('Equipment List &amp; Usage'!$T63*('Weekly Summary'!V$64+'Weekly Summary'!V$65)),
IF(AB$10=0,('Equipment List &amp; Usage'!$O63*'Weekly Summary'!V$52)+('Equipment List &amp; Usage'!$P63*'Weekly Summary'!V$53)+('Equipment List &amp; Usage'!$Q63*('Weekly Summary'!V$52+'Weekly Summary'!V$53))+('Equipment List &amp; Usage'!$R63*'Weekly Summary'!V$64)+('Equipment List &amp; Usage'!$S63*'Weekly Summary'!V$65)+('Equipment List &amp; Usage'!$T63*('Weekly Summary'!V$64+'Weekly Summary'!V$65)),
('Equipment List &amp; Usage'!$O63*'Weekly Summary'!V$52)+('Equipment List &amp; Usage'!$P63*'Weekly Summary'!V$53)+('Equipment List &amp; Usage'!$Q63*('Weekly Summary'!V$52+'Weekly Summary'!V$53))+('Equipment List &amp; Usage'!$R63*'Weekly Summary'!V$64)+('Equipment List &amp; Usage'!$S63*'Weekly Summary'!V$65)+('Equipment List &amp; Usage'!$T63*('Weekly Summary'!V$64+'Weekly Summary'!V$65))-SUM($I61:AA61))),0)</f>
        <v>0</v>
      </c>
      <c r="AC61" s="1381">
        <f ca="1">MAX(IF($F61="No",('Equipment List &amp; Usage'!$O63*'Weekly Summary'!W$52)+('Equipment List &amp; Usage'!$P63*'Weekly Summary'!W$53)+('Equipment List &amp; Usage'!$Q63*('Weekly Summary'!W$52+'Weekly Summary'!W$53))+('Equipment List &amp; Usage'!$R63*'Weekly Summary'!W$64)+('Equipment List &amp; Usage'!$S63*'Weekly Summary'!W$65)+('Equipment List &amp; Usage'!$T63*('Weekly Summary'!W$64+'Weekly Summary'!W$65)),
IF(AC$10=0,('Equipment List &amp; Usage'!$O63*'Weekly Summary'!W$52)+('Equipment List &amp; Usage'!$P63*'Weekly Summary'!W$53)+('Equipment List &amp; Usage'!$Q63*('Weekly Summary'!W$52+'Weekly Summary'!W$53))+('Equipment List &amp; Usage'!$R63*'Weekly Summary'!W$64)+('Equipment List &amp; Usage'!$S63*'Weekly Summary'!W$65)+('Equipment List &amp; Usage'!$T63*('Weekly Summary'!W$64+'Weekly Summary'!W$65)),
('Equipment List &amp; Usage'!$O63*'Weekly Summary'!W$52)+('Equipment List &amp; Usage'!$P63*'Weekly Summary'!W$53)+('Equipment List &amp; Usage'!$Q63*('Weekly Summary'!W$52+'Weekly Summary'!W$53))+('Equipment List &amp; Usage'!$R63*'Weekly Summary'!W$64)+('Equipment List &amp; Usage'!$S63*'Weekly Summary'!W$65)+('Equipment List &amp; Usage'!$T63*('Weekly Summary'!W$64+'Weekly Summary'!W$65))-SUM($I61:AB61))),0)</f>
        <v>0</v>
      </c>
      <c r="AD61" s="1381">
        <f ca="1">MAX(IF($F61="No",('Equipment List &amp; Usage'!$O63*'Weekly Summary'!X$52)+('Equipment List &amp; Usage'!$P63*'Weekly Summary'!X$53)+('Equipment List &amp; Usage'!$Q63*('Weekly Summary'!X$52+'Weekly Summary'!X$53))+('Equipment List &amp; Usage'!$R63*'Weekly Summary'!X$64)+('Equipment List &amp; Usage'!$S63*'Weekly Summary'!X$65)+('Equipment List &amp; Usage'!$T63*('Weekly Summary'!X$64+'Weekly Summary'!X$65)),
IF(AD$10=0,('Equipment List &amp; Usage'!$O63*'Weekly Summary'!X$52)+('Equipment List &amp; Usage'!$P63*'Weekly Summary'!X$53)+('Equipment List &amp; Usage'!$Q63*('Weekly Summary'!X$52+'Weekly Summary'!X$53))+('Equipment List &amp; Usage'!$R63*'Weekly Summary'!X$64)+('Equipment List &amp; Usage'!$S63*'Weekly Summary'!X$65)+('Equipment List &amp; Usage'!$T63*('Weekly Summary'!X$64+'Weekly Summary'!X$65)),
('Equipment List &amp; Usage'!$O63*'Weekly Summary'!X$52)+('Equipment List &amp; Usage'!$P63*'Weekly Summary'!X$53)+('Equipment List &amp; Usage'!$Q63*('Weekly Summary'!X$52+'Weekly Summary'!X$53))+('Equipment List &amp; Usage'!$R63*'Weekly Summary'!X$64)+('Equipment List &amp; Usage'!$S63*'Weekly Summary'!X$65)+('Equipment List &amp; Usage'!$T63*('Weekly Summary'!X$64+'Weekly Summary'!X$65))-SUM($I61:AC61))),0)</f>
        <v>0</v>
      </c>
      <c r="AE61" s="1381">
        <f ca="1">MAX(IF($F61="No",('Equipment List &amp; Usage'!$O63*'Weekly Summary'!Y$52)+('Equipment List &amp; Usage'!$P63*'Weekly Summary'!Y$53)+('Equipment List &amp; Usage'!$Q63*('Weekly Summary'!Y$52+'Weekly Summary'!Y$53))+('Equipment List &amp; Usage'!$R63*'Weekly Summary'!Y$64)+('Equipment List &amp; Usage'!$S63*'Weekly Summary'!Y$65)+('Equipment List &amp; Usage'!$T63*('Weekly Summary'!Y$64+'Weekly Summary'!Y$65)),
IF(AE$10=0,('Equipment List &amp; Usage'!$O63*'Weekly Summary'!Y$52)+('Equipment List &amp; Usage'!$P63*'Weekly Summary'!Y$53)+('Equipment List &amp; Usage'!$Q63*('Weekly Summary'!Y$52+'Weekly Summary'!Y$53))+('Equipment List &amp; Usage'!$R63*'Weekly Summary'!Y$64)+('Equipment List &amp; Usage'!$S63*'Weekly Summary'!Y$65)+('Equipment List &amp; Usage'!$T63*('Weekly Summary'!Y$64+'Weekly Summary'!Y$65)),
('Equipment List &amp; Usage'!$O63*'Weekly Summary'!Y$52)+('Equipment List &amp; Usage'!$P63*'Weekly Summary'!Y$53)+('Equipment List &amp; Usage'!$Q63*('Weekly Summary'!Y$52+'Weekly Summary'!Y$53))+('Equipment List &amp; Usage'!$R63*'Weekly Summary'!Y$64)+('Equipment List &amp; Usage'!$S63*'Weekly Summary'!Y$65)+('Equipment List &amp; Usage'!$T63*('Weekly Summary'!Y$64+'Weekly Summary'!Y$65))-SUM($I61:AD61))),0)</f>
        <v>0</v>
      </c>
      <c r="AF61" s="1381">
        <f ca="1">MAX(IF($F61="No",('Equipment List &amp; Usage'!$O63*'Weekly Summary'!Z$52)+('Equipment List &amp; Usage'!$P63*'Weekly Summary'!Z$53)+('Equipment List &amp; Usage'!$Q63*('Weekly Summary'!Z$52+'Weekly Summary'!Z$53))+('Equipment List &amp; Usage'!$R63*'Weekly Summary'!Z$64)+('Equipment List &amp; Usage'!$S63*'Weekly Summary'!Z$65)+('Equipment List &amp; Usage'!$T63*('Weekly Summary'!Z$64+'Weekly Summary'!Z$65)),
IF(AF$10=0,('Equipment List &amp; Usage'!$O63*'Weekly Summary'!Z$52)+('Equipment List &amp; Usage'!$P63*'Weekly Summary'!Z$53)+('Equipment List &amp; Usage'!$Q63*('Weekly Summary'!Z$52+'Weekly Summary'!Z$53))+('Equipment List &amp; Usage'!$R63*'Weekly Summary'!Z$64)+('Equipment List &amp; Usage'!$S63*'Weekly Summary'!Z$65)+('Equipment List &amp; Usage'!$T63*('Weekly Summary'!Z$64+'Weekly Summary'!Z$65)),
('Equipment List &amp; Usage'!$O63*'Weekly Summary'!Z$52)+('Equipment List &amp; Usage'!$P63*'Weekly Summary'!Z$53)+('Equipment List &amp; Usage'!$Q63*('Weekly Summary'!Z$52+'Weekly Summary'!Z$53))+('Equipment List &amp; Usage'!$R63*'Weekly Summary'!Z$64)+('Equipment List &amp; Usage'!$S63*'Weekly Summary'!Z$65)+('Equipment List &amp; Usage'!$T63*('Weekly Summary'!Z$64+'Weekly Summary'!Z$65))-SUM($I61:AE61))),0)</f>
        <v>0</v>
      </c>
      <c r="AG61" s="1381">
        <f ca="1">MAX(IF($F61="No",('Equipment List &amp; Usage'!$O63*'Weekly Summary'!AA$52)+('Equipment List &amp; Usage'!$P63*'Weekly Summary'!AA$53)+('Equipment List &amp; Usage'!$Q63*('Weekly Summary'!AA$52+'Weekly Summary'!AA$53))+('Equipment List &amp; Usage'!$R63*'Weekly Summary'!AA$64)+('Equipment List &amp; Usage'!$S63*'Weekly Summary'!AA$65)+('Equipment List &amp; Usage'!$T63*('Weekly Summary'!AA$64+'Weekly Summary'!AA$65)),
IF(AG$10=0,('Equipment List &amp; Usage'!$O63*'Weekly Summary'!AA$52)+('Equipment List &amp; Usage'!$P63*'Weekly Summary'!AA$53)+('Equipment List &amp; Usage'!$Q63*('Weekly Summary'!AA$52+'Weekly Summary'!AA$53))+('Equipment List &amp; Usage'!$R63*'Weekly Summary'!AA$64)+('Equipment List &amp; Usage'!$S63*'Weekly Summary'!AA$65)+('Equipment List &amp; Usage'!$T63*('Weekly Summary'!AA$64+'Weekly Summary'!AA$65)),
('Equipment List &amp; Usage'!$O63*'Weekly Summary'!AA$52)+('Equipment List &amp; Usage'!$P63*'Weekly Summary'!AA$53)+('Equipment List &amp; Usage'!$Q63*('Weekly Summary'!AA$52+'Weekly Summary'!AA$53))+('Equipment List &amp; Usage'!$R63*'Weekly Summary'!AA$64)+('Equipment List &amp; Usage'!$S63*'Weekly Summary'!AA$65)+('Equipment List &amp; Usage'!$T63*('Weekly Summary'!AA$64+'Weekly Summary'!AA$65))-SUM($I61:AF61))),0)</f>
        <v>0</v>
      </c>
      <c r="AH61" s="1381">
        <f ca="1">MAX(IF($F61="No",('Equipment List &amp; Usage'!$O63*'Weekly Summary'!AB$52)+('Equipment List &amp; Usage'!$P63*'Weekly Summary'!AB$53)+('Equipment List &amp; Usage'!$Q63*('Weekly Summary'!AB$52+'Weekly Summary'!AB$53))+('Equipment List &amp; Usage'!$R63*'Weekly Summary'!AB$64)+('Equipment List &amp; Usage'!$S63*'Weekly Summary'!AB$65)+('Equipment List &amp; Usage'!$T63*('Weekly Summary'!AB$64+'Weekly Summary'!AB$65)),
IF(AH$10=0,('Equipment List &amp; Usage'!$O63*'Weekly Summary'!AB$52)+('Equipment List &amp; Usage'!$P63*'Weekly Summary'!AB$53)+('Equipment List &amp; Usage'!$Q63*('Weekly Summary'!AB$52+'Weekly Summary'!AB$53))+('Equipment List &amp; Usage'!$R63*'Weekly Summary'!AB$64)+('Equipment List &amp; Usage'!$S63*'Weekly Summary'!AB$65)+('Equipment List &amp; Usage'!$T63*('Weekly Summary'!AB$64+'Weekly Summary'!AB$65)),
('Equipment List &amp; Usage'!$O63*'Weekly Summary'!AB$52)+('Equipment List &amp; Usage'!$P63*'Weekly Summary'!AB$53)+('Equipment List &amp; Usage'!$Q63*('Weekly Summary'!AB$52+'Weekly Summary'!AB$53))+('Equipment List &amp; Usage'!$R63*'Weekly Summary'!AB$64)+('Equipment List &amp; Usage'!$S63*'Weekly Summary'!AB$65)+('Equipment List &amp; Usage'!$T63*('Weekly Summary'!AB$64+'Weekly Summary'!AB$65))-SUM($I61:AG61))),0)</f>
        <v>0</v>
      </c>
      <c r="AI61" s="1381">
        <f ca="1">MAX(IF($F61="No",('Equipment List &amp; Usage'!$O63*'Weekly Summary'!AC$52)+('Equipment List &amp; Usage'!$P63*'Weekly Summary'!AC$53)+('Equipment List &amp; Usage'!$Q63*('Weekly Summary'!AC$52+'Weekly Summary'!AC$53))+('Equipment List &amp; Usage'!$R63*'Weekly Summary'!AC$64)+('Equipment List &amp; Usage'!$S63*'Weekly Summary'!AC$65)+('Equipment List &amp; Usage'!$T63*('Weekly Summary'!AC$64+'Weekly Summary'!AC$65)),
IF(AI$10=0,('Equipment List &amp; Usage'!$O63*'Weekly Summary'!AC$52)+('Equipment List &amp; Usage'!$P63*'Weekly Summary'!AC$53)+('Equipment List &amp; Usage'!$Q63*('Weekly Summary'!AC$52+'Weekly Summary'!AC$53))+('Equipment List &amp; Usage'!$R63*'Weekly Summary'!AC$64)+('Equipment List &amp; Usage'!$S63*'Weekly Summary'!AC$65)+('Equipment List &amp; Usage'!$T63*('Weekly Summary'!AC$64+'Weekly Summary'!AC$65)),
('Equipment List &amp; Usage'!$O63*'Weekly Summary'!AC$52)+('Equipment List &amp; Usage'!$P63*'Weekly Summary'!AC$53)+('Equipment List &amp; Usage'!$Q63*('Weekly Summary'!AC$52+'Weekly Summary'!AC$53))+('Equipment List &amp; Usage'!$R63*'Weekly Summary'!AC$64)+('Equipment List &amp; Usage'!$S63*'Weekly Summary'!AC$65)+('Equipment List &amp; Usage'!$T63*('Weekly Summary'!AC$64+'Weekly Summary'!AC$65))-SUM($I61:AH61))),0)</f>
        <v>0</v>
      </c>
      <c r="AJ61" s="1381">
        <f ca="1">MAX(IF($F61="No",('Equipment List &amp; Usage'!$O63*'Weekly Summary'!AD$52)+('Equipment List &amp; Usage'!$P63*'Weekly Summary'!AD$53)+('Equipment List &amp; Usage'!$Q63*('Weekly Summary'!AD$52+'Weekly Summary'!AD$53))+('Equipment List &amp; Usage'!$R63*'Weekly Summary'!AD$64)+('Equipment List &amp; Usage'!$S63*'Weekly Summary'!AD$65)+('Equipment List &amp; Usage'!$T63*('Weekly Summary'!AD$64+'Weekly Summary'!AD$65)),
IF(AJ$10=0,('Equipment List &amp; Usage'!$O63*'Weekly Summary'!AD$52)+('Equipment List &amp; Usage'!$P63*'Weekly Summary'!AD$53)+('Equipment List &amp; Usage'!$Q63*('Weekly Summary'!AD$52+'Weekly Summary'!AD$53))+('Equipment List &amp; Usage'!$R63*'Weekly Summary'!AD$64)+('Equipment List &amp; Usage'!$S63*'Weekly Summary'!AD$65)+('Equipment List &amp; Usage'!$T63*('Weekly Summary'!AD$64+'Weekly Summary'!AD$65)),
('Equipment List &amp; Usage'!$O63*'Weekly Summary'!AD$52)+('Equipment List &amp; Usage'!$P63*'Weekly Summary'!AD$53)+('Equipment List &amp; Usage'!$Q63*('Weekly Summary'!AD$52+'Weekly Summary'!AD$53))+('Equipment List &amp; Usage'!$R63*'Weekly Summary'!AD$64)+('Equipment List &amp; Usage'!$S63*'Weekly Summary'!AD$65)+('Equipment List &amp; Usage'!$T63*('Weekly Summary'!AD$64+'Weekly Summary'!AD$65))-SUM($I61:AI61))),0)</f>
        <v>0</v>
      </c>
      <c r="AK61" s="1381">
        <f ca="1">MAX(IF($F61="No",('Equipment List &amp; Usage'!$O63*'Weekly Summary'!AE$52)+('Equipment List &amp; Usage'!$P63*'Weekly Summary'!AE$53)+('Equipment List &amp; Usage'!$Q63*('Weekly Summary'!AE$52+'Weekly Summary'!AE$53))+('Equipment List &amp; Usage'!$R63*'Weekly Summary'!AE$64)+('Equipment List &amp; Usage'!$S63*'Weekly Summary'!AE$65)+('Equipment List &amp; Usage'!$T63*('Weekly Summary'!AE$64+'Weekly Summary'!AE$65)),
IF(AK$10=0,('Equipment List &amp; Usage'!$O63*'Weekly Summary'!AE$52)+('Equipment List &amp; Usage'!$P63*'Weekly Summary'!AE$53)+('Equipment List &amp; Usage'!$Q63*('Weekly Summary'!AE$52+'Weekly Summary'!AE$53))+('Equipment List &amp; Usage'!$R63*'Weekly Summary'!AE$64)+('Equipment List &amp; Usage'!$S63*'Weekly Summary'!AE$65)+('Equipment List &amp; Usage'!$T63*('Weekly Summary'!AE$64+'Weekly Summary'!AE$65)),
('Equipment List &amp; Usage'!$O63*'Weekly Summary'!AE$52)+('Equipment List &amp; Usage'!$P63*'Weekly Summary'!AE$53)+('Equipment List &amp; Usage'!$Q63*('Weekly Summary'!AE$52+'Weekly Summary'!AE$53))+('Equipment List &amp; Usage'!$R63*'Weekly Summary'!AE$64)+('Equipment List &amp; Usage'!$S63*'Weekly Summary'!AE$65)+('Equipment List &amp; Usage'!$T63*('Weekly Summary'!AE$64+'Weekly Summary'!AE$65))-SUM($I61:AJ61))),0)</f>
        <v>0</v>
      </c>
      <c r="AL61" s="1381">
        <f ca="1">MAX(IF($F61="No",('Equipment List &amp; Usage'!$O63*'Weekly Summary'!AF$52)+('Equipment List &amp; Usage'!$P63*'Weekly Summary'!AF$53)+('Equipment List &amp; Usage'!$Q63*('Weekly Summary'!AF$52+'Weekly Summary'!AF$53))+('Equipment List &amp; Usage'!$R63*'Weekly Summary'!AF$64)+('Equipment List &amp; Usage'!$S63*'Weekly Summary'!AF$65)+('Equipment List &amp; Usage'!$T63*('Weekly Summary'!AF$64+'Weekly Summary'!AF$65)),
IF(AL$10=0,('Equipment List &amp; Usage'!$O63*'Weekly Summary'!AF$52)+('Equipment List &amp; Usage'!$P63*'Weekly Summary'!AF$53)+('Equipment List &amp; Usage'!$Q63*('Weekly Summary'!AF$52+'Weekly Summary'!AF$53))+('Equipment List &amp; Usage'!$R63*'Weekly Summary'!AF$64)+('Equipment List &amp; Usage'!$S63*'Weekly Summary'!AF$65)+('Equipment List &amp; Usage'!$T63*('Weekly Summary'!AF$64+'Weekly Summary'!AF$65)),
('Equipment List &amp; Usage'!$O63*'Weekly Summary'!AF$52)+('Equipment List &amp; Usage'!$P63*'Weekly Summary'!AF$53)+('Equipment List &amp; Usage'!$Q63*('Weekly Summary'!AF$52+'Weekly Summary'!AF$53))+('Equipment List &amp; Usage'!$R63*'Weekly Summary'!AF$64)+('Equipment List &amp; Usage'!$S63*'Weekly Summary'!AF$65)+('Equipment List &amp; Usage'!$T63*('Weekly Summary'!AF$64+'Weekly Summary'!AF$65))-SUM($I61:AK61))),0)</f>
        <v>0</v>
      </c>
      <c r="AM61" s="1381">
        <f ca="1">MAX(IF($F61="No",('Equipment List &amp; Usage'!$O63*'Weekly Summary'!AG$52)+('Equipment List &amp; Usage'!$P63*'Weekly Summary'!AG$53)+('Equipment List &amp; Usage'!$Q63*('Weekly Summary'!AG$52+'Weekly Summary'!AG$53))+('Equipment List &amp; Usage'!$R63*'Weekly Summary'!AG$64)+('Equipment List &amp; Usage'!$S63*'Weekly Summary'!AG$65)+('Equipment List &amp; Usage'!$T63*('Weekly Summary'!AG$64+'Weekly Summary'!AG$65)),
IF(AM$10=0,('Equipment List &amp; Usage'!$O63*'Weekly Summary'!AG$52)+('Equipment List &amp; Usage'!$P63*'Weekly Summary'!AG$53)+('Equipment List &amp; Usage'!$Q63*('Weekly Summary'!AG$52+'Weekly Summary'!AG$53))+('Equipment List &amp; Usage'!$R63*'Weekly Summary'!AG$64)+('Equipment List &amp; Usage'!$S63*'Weekly Summary'!AG$65)+('Equipment List &amp; Usage'!$T63*('Weekly Summary'!AG$64+'Weekly Summary'!AG$65)),
('Equipment List &amp; Usage'!$O63*'Weekly Summary'!AG$52)+('Equipment List &amp; Usage'!$P63*'Weekly Summary'!AG$53)+('Equipment List &amp; Usage'!$Q63*('Weekly Summary'!AG$52+'Weekly Summary'!AG$53))+('Equipment List &amp; Usage'!$R63*'Weekly Summary'!AG$64)+('Equipment List &amp; Usage'!$S63*'Weekly Summary'!AG$65)+('Equipment List &amp; Usage'!$T63*('Weekly Summary'!AG$64+'Weekly Summary'!AG$65))-SUM($I61:AL61))),0)</f>
        <v>0</v>
      </c>
      <c r="AN61" s="1381">
        <f ca="1">MAX(IF($F61="No",('Equipment List &amp; Usage'!$O63*'Weekly Summary'!AH$52)+('Equipment List &amp; Usage'!$P63*'Weekly Summary'!AH$53)+('Equipment List &amp; Usage'!$Q63*('Weekly Summary'!AH$52+'Weekly Summary'!AH$53))+('Equipment List &amp; Usage'!$R63*'Weekly Summary'!AH$64)+('Equipment List &amp; Usage'!$S63*'Weekly Summary'!AH$65)+('Equipment List &amp; Usage'!$T63*('Weekly Summary'!AH$64+'Weekly Summary'!AH$65)),
IF(AN$10=0,('Equipment List &amp; Usage'!$O63*'Weekly Summary'!AH$52)+('Equipment List &amp; Usage'!$P63*'Weekly Summary'!AH$53)+('Equipment List &amp; Usage'!$Q63*('Weekly Summary'!AH$52+'Weekly Summary'!AH$53))+('Equipment List &amp; Usage'!$R63*'Weekly Summary'!AH$64)+('Equipment List &amp; Usage'!$S63*'Weekly Summary'!AH$65)+('Equipment List &amp; Usage'!$T63*('Weekly Summary'!AH$64+'Weekly Summary'!AH$65)),
('Equipment List &amp; Usage'!$O63*'Weekly Summary'!AH$52)+('Equipment List &amp; Usage'!$P63*'Weekly Summary'!AH$53)+('Equipment List &amp; Usage'!$Q63*('Weekly Summary'!AH$52+'Weekly Summary'!AH$53))+('Equipment List &amp; Usage'!$R63*'Weekly Summary'!AH$64)+('Equipment List &amp; Usage'!$S63*'Weekly Summary'!AH$65)+('Equipment List &amp; Usage'!$T63*('Weekly Summary'!AH$64+'Weekly Summary'!AH$65))-SUM($I61:AM61))),0)</f>
        <v>0</v>
      </c>
      <c r="AO61" s="1381">
        <f ca="1">MAX(IF($F61="No",('Equipment List &amp; Usage'!$O63*'Weekly Summary'!AI$52)+('Equipment List &amp; Usage'!$P63*'Weekly Summary'!AI$53)+('Equipment List &amp; Usage'!$Q63*('Weekly Summary'!AI$52+'Weekly Summary'!AI$53))+('Equipment List &amp; Usage'!$R63*'Weekly Summary'!AI$64)+('Equipment List &amp; Usage'!$S63*'Weekly Summary'!AI$65)+('Equipment List &amp; Usage'!$T63*('Weekly Summary'!AI$64+'Weekly Summary'!AI$65)),
IF(AO$10=0,('Equipment List &amp; Usage'!$O63*'Weekly Summary'!AI$52)+('Equipment List &amp; Usage'!$P63*'Weekly Summary'!AI$53)+('Equipment List &amp; Usage'!$Q63*('Weekly Summary'!AI$52+'Weekly Summary'!AI$53))+('Equipment List &amp; Usage'!$R63*'Weekly Summary'!AI$64)+('Equipment List &amp; Usage'!$S63*'Weekly Summary'!AI$65)+('Equipment List &amp; Usage'!$T63*('Weekly Summary'!AI$64+'Weekly Summary'!AI$65)),
('Equipment List &amp; Usage'!$O63*'Weekly Summary'!AI$52)+('Equipment List &amp; Usage'!$P63*'Weekly Summary'!AI$53)+('Equipment List &amp; Usage'!$Q63*('Weekly Summary'!AI$52+'Weekly Summary'!AI$53))+('Equipment List &amp; Usage'!$R63*'Weekly Summary'!AI$64)+('Equipment List &amp; Usage'!$S63*'Weekly Summary'!AI$65)+('Equipment List &amp; Usage'!$T63*('Weekly Summary'!AI$64+'Weekly Summary'!AI$65))-SUM($I61:AN61))),0)</f>
        <v>0</v>
      </c>
      <c r="AP61" s="1381">
        <f ca="1">MAX(IF($F61="No",('Equipment List &amp; Usage'!$O63*'Weekly Summary'!AJ$52)+('Equipment List &amp; Usage'!$P63*'Weekly Summary'!AJ$53)+('Equipment List &amp; Usage'!$Q63*('Weekly Summary'!AJ$52+'Weekly Summary'!AJ$53))+('Equipment List &amp; Usage'!$R63*'Weekly Summary'!AJ$64)+('Equipment List &amp; Usage'!$S63*'Weekly Summary'!AJ$65)+('Equipment List &amp; Usage'!$T63*('Weekly Summary'!AJ$64+'Weekly Summary'!AJ$65)),
IF(AP$10=0,('Equipment List &amp; Usage'!$O63*'Weekly Summary'!AJ$52)+('Equipment List &amp; Usage'!$P63*'Weekly Summary'!AJ$53)+('Equipment List &amp; Usage'!$Q63*('Weekly Summary'!AJ$52+'Weekly Summary'!AJ$53))+('Equipment List &amp; Usage'!$R63*'Weekly Summary'!AJ$64)+('Equipment List &amp; Usage'!$S63*'Weekly Summary'!AJ$65)+('Equipment List &amp; Usage'!$T63*('Weekly Summary'!AJ$64+'Weekly Summary'!AJ$65)),
('Equipment List &amp; Usage'!$O63*'Weekly Summary'!AJ$52)+('Equipment List &amp; Usage'!$P63*'Weekly Summary'!AJ$53)+('Equipment List &amp; Usage'!$Q63*('Weekly Summary'!AJ$52+'Weekly Summary'!AJ$53))+('Equipment List &amp; Usage'!$R63*'Weekly Summary'!AJ$64)+('Equipment List &amp; Usage'!$S63*'Weekly Summary'!AJ$65)+('Equipment List &amp; Usage'!$T63*('Weekly Summary'!AJ$64+'Weekly Summary'!AJ$65))-SUM($I61:AO61))),0)</f>
        <v>0</v>
      </c>
      <c r="AQ61" s="1381">
        <f ca="1">MAX(IF($F61="No",('Equipment List &amp; Usage'!$O63*'Weekly Summary'!AK$52)+('Equipment List &amp; Usage'!$P63*'Weekly Summary'!AK$53)+('Equipment List &amp; Usage'!$Q63*('Weekly Summary'!AK$52+'Weekly Summary'!AK$53))+('Equipment List &amp; Usage'!$R63*'Weekly Summary'!AK$64)+('Equipment List &amp; Usage'!$S63*'Weekly Summary'!AK$65)+('Equipment List &amp; Usage'!$T63*('Weekly Summary'!AK$64+'Weekly Summary'!AK$65)),
IF(AQ$10=0,('Equipment List &amp; Usage'!$O63*'Weekly Summary'!AK$52)+('Equipment List &amp; Usage'!$P63*'Weekly Summary'!AK$53)+('Equipment List &amp; Usage'!$Q63*('Weekly Summary'!AK$52+'Weekly Summary'!AK$53))+('Equipment List &amp; Usage'!$R63*'Weekly Summary'!AK$64)+('Equipment List &amp; Usage'!$S63*'Weekly Summary'!AK$65)+('Equipment List &amp; Usage'!$T63*('Weekly Summary'!AK$64+'Weekly Summary'!AK$65)),
('Equipment List &amp; Usage'!$O63*'Weekly Summary'!AK$52)+('Equipment List &amp; Usage'!$P63*'Weekly Summary'!AK$53)+('Equipment List &amp; Usage'!$Q63*('Weekly Summary'!AK$52+'Weekly Summary'!AK$53))+('Equipment List &amp; Usage'!$R63*'Weekly Summary'!AK$64)+('Equipment List &amp; Usage'!$S63*'Weekly Summary'!AK$65)+('Equipment List &amp; Usage'!$T63*('Weekly Summary'!AK$64+'Weekly Summary'!AK$65))-SUM($I61:AP61))),0)</f>
        <v>0</v>
      </c>
      <c r="AR61" s="1381">
        <f ca="1">MAX(IF($F61="No",('Equipment List &amp; Usage'!$O63*'Weekly Summary'!AL$52)+('Equipment List &amp; Usage'!$P63*'Weekly Summary'!AL$53)+('Equipment List &amp; Usage'!$Q63*('Weekly Summary'!AL$52+'Weekly Summary'!AL$53))+('Equipment List &amp; Usage'!$R63*'Weekly Summary'!AL$64)+('Equipment List &amp; Usage'!$S63*'Weekly Summary'!AL$65)+('Equipment List &amp; Usage'!$T63*('Weekly Summary'!AL$64+'Weekly Summary'!AL$65)),
IF(AR$10=0,('Equipment List &amp; Usage'!$O63*'Weekly Summary'!AL$52)+('Equipment List &amp; Usage'!$P63*'Weekly Summary'!AL$53)+('Equipment List &amp; Usage'!$Q63*('Weekly Summary'!AL$52+'Weekly Summary'!AL$53))+('Equipment List &amp; Usage'!$R63*'Weekly Summary'!AL$64)+('Equipment List &amp; Usage'!$S63*'Weekly Summary'!AL$65)+('Equipment List &amp; Usage'!$T63*('Weekly Summary'!AL$64+'Weekly Summary'!AL$65)),
('Equipment List &amp; Usage'!$O63*'Weekly Summary'!AL$52)+('Equipment List &amp; Usage'!$P63*'Weekly Summary'!AL$53)+('Equipment List &amp; Usage'!$Q63*('Weekly Summary'!AL$52+'Weekly Summary'!AL$53))+('Equipment List &amp; Usage'!$R63*'Weekly Summary'!AL$64)+('Equipment List &amp; Usage'!$S63*'Weekly Summary'!AL$65)+('Equipment List &amp; Usage'!$T63*('Weekly Summary'!AL$64+'Weekly Summary'!AL$65))-SUM($I61:AQ61))),0)</f>
        <v>0</v>
      </c>
      <c r="AS61" s="1381">
        <f ca="1">MAX(IF($F61="No",('Equipment List &amp; Usage'!$O63*'Weekly Summary'!AM$52)+('Equipment List &amp; Usage'!$P63*'Weekly Summary'!AM$53)+('Equipment List &amp; Usage'!$Q63*('Weekly Summary'!AM$52+'Weekly Summary'!AM$53))+('Equipment List &amp; Usage'!$R63*'Weekly Summary'!AM$64)+('Equipment List &amp; Usage'!$S63*'Weekly Summary'!AM$65)+('Equipment List &amp; Usage'!$T63*('Weekly Summary'!AM$64+'Weekly Summary'!AM$65)),
IF(AS$10=0,('Equipment List &amp; Usage'!$O63*'Weekly Summary'!AM$52)+('Equipment List &amp; Usage'!$P63*'Weekly Summary'!AM$53)+('Equipment List &amp; Usage'!$Q63*('Weekly Summary'!AM$52+'Weekly Summary'!AM$53))+('Equipment List &amp; Usage'!$R63*'Weekly Summary'!AM$64)+('Equipment List &amp; Usage'!$S63*'Weekly Summary'!AM$65)+('Equipment List &amp; Usage'!$T63*('Weekly Summary'!AM$64+'Weekly Summary'!AM$65)),
('Equipment List &amp; Usage'!$O63*'Weekly Summary'!AM$52)+('Equipment List &amp; Usage'!$P63*'Weekly Summary'!AM$53)+('Equipment List &amp; Usage'!$Q63*('Weekly Summary'!AM$52+'Weekly Summary'!AM$53))+('Equipment List &amp; Usage'!$R63*'Weekly Summary'!AM$64)+('Equipment List &amp; Usage'!$S63*'Weekly Summary'!AM$65)+('Equipment List &amp; Usage'!$T63*('Weekly Summary'!AM$64+'Weekly Summary'!AM$65))-SUM($I61:AR61))),0)</f>
        <v>0</v>
      </c>
      <c r="AT61" s="1381">
        <f ca="1">MAX(IF($F61="No",('Equipment List &amp; Usage'!$O63*'Weekly Summary'!AN$52)+('Equipment List &amp; Usage'!$P63*'Weekly Summary'!AN$53)+('Equipment List &amp; Usage'!$Q63*('Weekly Summary'!AN$52+'Weekly Summary'!AN$53))+('Equipment List &amp; Usage'!$R63*'Weekly Summary'!AN$64)+('Equipment List &amp; Usage'!$S63*'Weekly Summary'!AN$65)+('Equipment List &amp; Usage'!$T63*('Weekly Summary'!AN$64+'Weekly Summary'!AN$65)),
IF(AT$10=0,('Equipment List &amp; Usage'!$O63*'Weekly Summary'!AN$52)+('Equipment List &amp; Usage'!$P63*'Weekly Summary'!AN$53)+('Equipment List &amp; Usage'!$Q63*('Weekly Summary'!AN$52+'Weekly Summary'!AN$53))+('Equipment List &amp; Usage'!$R63*'Weekly Summary'!AN$64)+('Equipment List &amp; Usage'!$S63*'Weekly Summary'!AN$65)+('Equipment List &amp; Usage'!$T63*('Weekly Summary'!AN$64+'Weekly Summary'!AN$65)),
('Equipment List &amp; Usage'!$O63*'Weekly Summary'!AN$52)+('Equipment List &amp; Usage'!$P63*'Weekly Summary'!AN$53)+('Equipment List &amp; Usage'!$Q63*('Weekly Summary'!AN$52+'Weekly Summary'!AN$53))+('Equipment List &amp; Usage'!$R63*'Weekly Summary'!AN$64)+('Equipment List &amp; Usage'!$S63*'Weekly Summary'!AN$65)+('Equipment List &amp; Usage'!$T63*('Weekly Summary'!AN$64+'Weekly Summary'!AN$65))-SUM($I61:AS61))),0)</f>
        <v>0</v>
      </c>
      <c r="AU61" s="1381">
        <f ca="1">MAX(IF($F61="No",('Equipment List &amp; Usage'!$O63*'Weekly Summary'!AO$52)+('Equipment List &amp; Usage'!$P63*'Weekly Summary'!AO$53)+('Equipment List &amp; Usage'!$Q63*('Weekly Summary'!AO$52+'Weekly Summary'!AO$53))+('Equipment List &amp; Usage'!$R63*'Weekly Summary'!AO$64)+('Equipment List &amp; Usage'!$S63*'Weekly Summary'!AO$65)+('Equipment List &amp; Usage'!$T63*('Weekly Summary'!AO$64+'Weekly Summary'!AO$65)),
IF(AU$10=0,('Equipment List &amp; Usage'!$O63*'Weekly Summary'!AO$52)+('Equipment List &amp; Usage'!$P63*'Weekly Summary'!AO$53)+('Equipment List &amp; Usage'!$Q63*('Weekly Summary'!AO$52+'Weekly Summary'!AO$53))+('Equipment List &amp; Usage'!$R63*'Weekly Summary'!AO$64)+('Equipment List &amp; Usage'!$S63*'Weekly Summary'!AO$65)+('Equipment List &amp; Usage'!$T63*('Weekly Summary'!AO$64+'Weekly Summary'!AO$65)),
('Equipment List &amp; Usage'!$O63*'Weekly Summary'!AO$52)+('Equipment List &amp; Usage'!$P63*'Weekly Summary'!AO$53)+('Equipment List &amp; Usage'!$Q63*('Weekly Summary'!AO$52+'Weekly Summary'!AO$53))+('Equipment List &amp; Usage'!$R63*'Weekly Summary'!AO$64)+('Equipment List &amp; Usage'!$S63*'Weekly Summary'!AO$65)+('Equipment List &amp; Usage'!$T63*('Weekly Summary'!AO$64+'Weekly Summary'!AO$65))-SUM($I61:AT61))),0)</f>
        <v>0</v>
      </c>
      <c r="AV61" s="1381">
        <f ca="1">MAX(IF($F61="No",('Equipment List &amp; Usage'!$O63*'Weekly Summary'!AP$52)+('Equipment List &amp; Usage'!$P63*'Weekly Summary'!AP$53)+('Equipment List &amp; Usage'!$Q63*('Weekly Summary'!AP$52+'Weekly Summary'!AP$53))+('Equipment List &amp; Usage'!$R63*'Weekly Summary'!AP$64)+('Equipment List &amp; Usage'!$S63*'Weekly Summary'!AP$65)+('Equipment List &amp; Usage'!$T63*('Weekly Summary'!AP$64+'Weekly Summary'!AP$65)),
IF(AV$10=0,('Equipment List &amp; Usage'!$O63*'Weekly Summary'!AP$52)+('Equipment List &amp; Usage'!$P63*'Weekly Summary'!AP$53)+('Equipment List &amp; Usage'!$Q63*('Weekly Summary'!AP$52+'Weekly Summary'!AP$53))+('Equipment List &amp; Usage'!$R63*'Weekly Summary'!AP$64)+('Equipment List &amp; Usage'!$S63*'Weekly Summary'!AP$65)+('Equipment List &amp; Usage'!$T63*('Weekly Summary'!AP$64+'Weekly Summary'!AP$65)),
('Equipment List &amp; Usage'!$O63*'Weekly Summary'!AP$52)+('Equipment List &amp; Usage'!$P63*'Weekly Summary'!AP$53)+('Equipment List &amp; Usage'!$Q63*('Weekly Summary'!AP$52+'Weekly Summary'!AP$53))+('Equipment List &amp; Usage'!$R63*'Weekly Summary'!AP$64)+('Equipment List &amp; Usage'!$S63*'Weekly Summary'!AP$65)+('Equipment List &amp; Usage'!$T63*('Weekly Summary'!AP$64+'Weekly Summary'!AP$65))-SUM($I61:AU61))),0)</f>
        <v>0</v>
      </c>
      <c r="AW61" s="1381">
        <f ca="1">MAX(IF($F61="No",('Equipment List &amp; Usage'!$O63*'Weekly Summary'!AQ$52)+('Equipment List &amp; Usage'!$P63*'Weekly Summary'!AQ$53)+('Equipment List &amp; Usage'!$Q63*('Weekly Summary'!AQ$52+'Weekly Summary'!AQ$53))+('Equipment List &amp; Usage'!$R63*'Weekly Summary'!AQ$64)+('Equipment List &amp; Usage'!$S63*'Weekly Summary'!AQ$65)+('Equipment List &amp; Usage'!$T63*('Weekly Summary'!AQ$64+'Weekly Summary'!AQ$65)),
IF(AW$10=0,('Equipment List &amp; Usage'!$O63*'Weekly Summary'!AQ$52)+('Equipment List &amp; Usage'!$P63*'Weekly Summary'!AQ$53)+('Equipment List &amp; Usage'!$Q63*('Weekly Summary'!AQ$52+'Weekly Summary'!AQ$53))+('Equipment List &amp; Usage'!$R63*'Weekly Summary'!AQ$64)+('Equipment List &amp; Usage'!$S63*'Weekly Summary'!AQ$65)+('Equipment List &amp; Usage'!$T63*('Weekly Summary'!AQ$64+'Weekly Summary'!AQ$65)),
('Equipment List &amp; Usage'!$O63*'Weekly Summary'!AQ$52)+('Equipment List &amp; Usage'!$P63*'Weekly Summary'!AQ$53)+('Equipment List &amp; Usage'!$Q63*('Weekly Summary'!AQ$52+'Weekly Summary'!AQ$53))+('Equipment List &amp; Usage'!$R63*'Weekly Summary'!AQ$64)+('Equipment List &amp; Usage'!$S63*'Weekly Summary'!AQ$65)+('Equipment List &amp; Usage'!$T63*('Weekly Summary'!AQ$64+'Weekly Summary'!AQ$65))-SUM($I61:AV61))),0)</f>
        <v>0</v>
      </c>
      <c r="AX61" s="1381">
        <f ca="1">MAX(IF($F61="No",('Equipment List &amp; Usage'!$O63*'Weekly Summary'!AR$52)+('Equipment List &amp; Usage'!$P63*'Weekly Summary'!AR$53)+('Equipment List &amp; Usage'!$Q63*('Weekly Summary'!AR$52+'Weekly Summary'!AR$53))+('Equipment List &amp; Usage'!$R63*'Weekly Summary'!AR$64)+('Equipment List &amp; Usage'!$S63*'Weekly Summary'!AR$65)+('Equipment List &amp; Usage'!$T63*('Weekly Summary'!AR$64+'Weekly Summary'!AR$65)),
IF(AX$10=0,('Equipment List &amp; Usage'!$O63*'Weekly Summary'!AR$52)+('Equipment List &amp; Usage'!$P63*'Weekly Summary'!AR$53)+('Equipment List &amp; Usage'!$Q63*('Weekly Summary'!AR$52+'Weekly Summary'!AR$53))+('Equipment List &amp; Usage'!$R63*'Weekly Summary'!AR$64)+('Equipment List &amp; Usage'!$S63*'Weekly Summary'!AR$65)+('Equipment List &amp; Usage'!$T63*('Weekly Summary'!AR$64+'Weekly Summary'!AR$65)),
('Equipment List &amp; Usage'!$O63*'Weekly Summary'!AR$52)+('Equipment List &amp; Usage'!$P63*'Weekly Summary'!AR$53)+('Equipment List &amp; Usage'!$Q63*('Weekly Summary'!AR$52+'Weekly Summary'!AR$53))+('Equipment List &amp; Usage'!$R63*'Weekly Summary'!AR$64)+('Equipment List &amp; Usage'!$S63*'Weekly Summary'!AR$65)+('Equipment List &amp; Usage'!$T63*('Weekly Summary'!AR$64+'Weekly Summary'!AR$65))-SUM($I61:AW61))),0)</f>
        <v>0</v>
      </c>
      <c r="AY61" s="1381">
        <f ca="1">MAX(IF($F61="No",('Equipment List &amp; Usage'!$O63*'Weekly Summary'!AS$52)+('Equipment List &amp; Usage'!$P63*'Weekly Summary'!AS$53)+('Equipment List &amp; Usage'!$Q63*('Weekly Summary'!AS$52+'Weekly Summary'!AS$53))+('Equipment List &amp; Usage'!$R63*'Weekly Summary'!AS$64)+('Equipment List &amp; Usage'!$S63*'Weekly Summary'!AS$65)+('Equipment List &amp; Usage'!$T63*('Weekly Summary'!AS$64+'Weekly Summary'!AS$65)),
IF(AY$10=0,('Equipment List &amp; Usage'!$O63*'Weekly Summary'!AS$52)+('Equipment List &amp; Usage'!$P63*'Weekly Summary'!AS$53)+('Equipment List &amp; Usage'!$Q63*('Weekly Summary'!AS$52+'Weekly Summary'!AS$53))+('Equipment List &amp; Usage'!$R63*'Weekly Summary'!AS$64)+('Equipment List &amp; Usage'!$S63*'Weekly Summary'!AS$65)+('Equipment List &amp; Usage'!$T63*('Weekly Summary'!AS$64+'Weekly Summary'!AS$65)),
('Equipment List &amp; Usage'!$O63*'Weekly Summary'!AS$52)+('Equipment List &amp; Usage'!$P63*'Weekly Summary'!AS$53)+('Equipment List &amp; Usage'!$Q63*('Weekly Summary'!AS$52+'Weekly Summary'!AS$53))+('Equipment List &amp; Usage'!$R63*'Weekly Summary'!AS$64)+('Equipment List &amp; Usage'!$S63*'Weekly Summary'!AS$65)+('Equipment List &amp; Usage'!$T63*('Weekly Summary'!AS$64+'Weekly Summary'!AS$65))-SUM($I61:AX61))),0)</f>
        <v>0</v>
      </c>
      <c r="AZ61" s="1381">
        <f ca="1">MAX(IF($F61="No",('Equipment List &amp; Usage'!$O63*'Weekly Summary'!AT$52)+('Equipment List &amp; Usage'!$P63*'Weekly Summary'!AT$53)+('Equipment List &amp; Usage'!$Q63*('Weekly Summary'!AT$52+'Weekly Summary'!AT$53))+('Equipment List &amp; Usage'!$R63*'Weekly Summary'!AT$64)+('Equipment List &amp; Usage'!$S63*'Weekly Summary'!AT$65)+('Equipment List &amp; Usage'!$T63*('Weekly Summary'!AT$64+'Weekly Summary'!AT$65)),
IF(AZ$10=0,('Equipment List &amp; Usage'!$O63*'Weekly Summary'!AT$52)+('Equipment List &amp; Usage'!$P63*'Weekly Summary'!AT$53)+('Equipment List &amp; Usage'!$Q63*('Weekly Summary'!AT$52+'Weekly Summary'!AT$53))+('Equipment List &amp; Usage'!$R63*'Weekly Summary'!AT$64)+('Equipment List &amp; Usage'!$S63*'Weekly Summary'!AT$65)+('Equipment List &amp; Usage'!$T63*('Weekly Summary'!AT$64+'Weekly Summary'!AT$65)),
('Equipment List &amp; Usage'!$O63*'Weekly Summary'!AT$52)+('Equipment List &amp; Usage'!$P63*'Weekly Summary'!AT$53)+('Equipment List &amp; Usage'!$Q63*('Weekly Summary'!AT$52+'Weekly Summary'!AT$53))+('Equipment List &amp; Usage'!$R63*'Weekly Summary'!AT$64)+('Equipment List &amp; Usage'!$S63*'Weekly Summary'!AT$65)+('Equipment List &amp; Usage'!$T63*('Weekly Summary'!AT$64+'Weekly Summary'!AT$65))-SUM($I61:AY61))),0)</f>
        <v>0</v>
      </c>
      <c r="BA61" s="1381">
        <f ca="1">MAX(IF($F61="No",('Equipment List &amp; Usage'!$O63*'Weekly Summary'!AU$52)+('Equipment List &amp; Usage'!$P63*'Weekly Summary'!AU$53)+('Equipment List &amp; Usage'!$Q63*('Weekly Summary'!AU$52+'Weekly Summary'!AU$53))+('Equipment List &amp; Usage'!$R63*'Weekly Summary'!AU$64)+('Equipment List &amp; Usage'!$S63*'Weekly Summary'!AU$65)+('Equipment List &amp; Usage'!$T63*('Weekly Summary'!AU$64+'Weekly Summary'!AU$65)),
IF(BA$10=0,('Equipment List &amp; Usage'!$O63*'Weekly Summary'!AU$52)+('Equipment List &amp; Usage'!$P63*'Weekly Summary'!AU$53)+('Equipment List &amp; Usage'!$Q63*('Weekly Summary'!AU$52+'Weekly Summary'!AU$53))+('Equipment List &amp; Usage'!$R63*'Weekly Summary'!AU$64)+('Equipment List &amp; Usage'!$S63*'Weekly Summary'!AU$65)+('Equipment List &amp; Usage'!$T63*('Weekly Summary'!AU$64+'Weekly Summary'!AU$65)),
('Equipment List &amp; Usage'!$O63*'Weekly Summary'!AU$52)+('Equipment List &amp; Usage'!$P63*'Weekly Summary'!AU$53)+('Equipment List &amp; Usage'!$Q63*('Weekly Summary'!AU$52+'Weekly Summary'!AU$53))+('Equipment List &amp; Usage'!$R63*'Weekly Summary'!AU$64)+('Equipment List &amp; Usage'!$S63*'Weekly Summary'!AU$65)+('Equipment List &amp; Usage'!$T63*('Weekly Summary'!AU$64+'Weekly Summary'!AU$65))-SUM($I61:AZ61))),0)</f>
        <v>0</v>
      </c>
      <c r="BB61" s="1381">
        <f ca="1">MAX(IF($F61="No",('Equipment List &amp; Usage'!$O63*'Weekly Summary'!AV$52)+('Equipment List &amp; Usage'!$P63*'Weekly Summary'!AV$53)+('Equipment List &amp; Usage'!$Q63*('Weekly Summary'!AV$52+'Weekly Summary'!AV$53))+('Equipment List &amp; Usage'!$R63*'Weekly Summary'!AV$64)+('Equipment List &amp; Usage'!$S63*'Weekly Summary'!AV$65)+('Equipment List &amp; Usage'!$T63*('Weekly Summary'!AV$64+'Weekly Summary'!AV$65)),
IF(BB$10=0,('Equipment List &amp; Usage'!$O63*'Weekly Summary'!AV$52)+('Equipment List &amp; Usage'!$P63*'Weekly Summary'!AV$53)+('Equipment List &amp; Usage'!$Q63*('Weekly Summary'!AV$52+'Weekly Summary'!AV$53))+('Equipment List &amp; Usage'!$R63*'Weekly Summary'!AV$64)+('Equipment List &amp; Usage'!$S63*'Weekly Summary'!AV$65)+('Equipment List &amp; Usage'!$T63*('Weekly Summary'!AV$64+'Weekly Summary'!AV$65)),
('Equipment List &amp; Usage'!$O63*'Weekly Summary'!AV$52)+('Equipment List &amp; Usage'!$P63*'Weekly Summary'!AV$53)+('Equipment List &amp; Usage'!$Q63*('Weekly Summary'!AV$52+'Weekly Summary'!AV$53))+('Equipment List &amp; Usage'!$R63*'Weekly Summary'!AV$64)+('Equipment List &amp; Usage'!$S63*'Weekly Summary'!AV$65)+('Equipment List &amp; Usage'!$T63*('Weekly Summary'!AV$64+'Weekly Summary'!AV$65))-SUM($I61:BA61))),0)</f>
        <v>0</v>
      </c>
      <c r="BC61" s="1381">
        <f ca="1">MAX(IF($F61="No",('Equipment List &amp; Usage'!$O63*'Weekly Summary'!AW$52)+('Equipment List &amp; Usage'!$P63*'Weekly Summary'!AW$53)+('Equipment List &amp; Usage'!$Q63*('Weekly Summary'!AW$52+'Weekly Summary'!AW$53))+('Equipment List &amp; Usage'!$R63*'Weekly Summary'!AW$64)+('Equipment List &amp; Usage'!$S63*'Weekly Summary'!AW$65)+('Equipment List &amp; Usage'!$T63*('Weekly Summary'!AW$64+'Weekly Summary'!AW$65)),
IF(BC$10=0,('Equipment List &amp; Usage'!$O63*'Weekly Summary'!AW$52)+('Equipment List &amp; Usage'!$P63*'Weekly Summary'!AW$53)+('Equipment List &amp; Usage'!$Q63*('Weekly Summary'!AW$52+'Weekly Summary'!AW$53))+('Equipment List &amp; Usage'!$R63*'Weekly Summary'!AW$64)+('Equipment List &amp; Usage'!$S63*'Weekly Summary'!AW$65)+('Equipment List &amp; Usage'!$T63*('Weekly Summary'!AW$64+'Weekly Summary'!AW$65)),
('Equipment List &amp; Usage'!$O63*'Weekly Summary'!AW$52)+('Equipment List &amp; Usage'!$P63*'Weekly Summary'!AW$53)+('Equipment List &amp; Usage'!$Q63*('Weekly Summary'!AW$52+'Weekly Summary'!AW$53))+('Equipment List &amp; Usage'!$R63*'Weekly Summary'!AW$64)+('Equipment List &amp; Usage'!$S63*'Weekly Summary'!AW$65)+('Equipment List &amp; Usage'!$T63*('Weekly Summary'!AW$64+'Weekly Summary'!AW$65))-SUM($I61:BB61))),0)</f>
        <v>0</v>
      </c>
      <c r="BD61" s="1381">
        <f ca="1">MAX(IF($F61="No",('Equipment List &amp; Usage'!$O63*'Weekly Summary'!AX$52)+('Equipment List &amp; Usage'!$P63*'Weekly Summary'!AX$53)+('Equipment List &amp; Usage'!$Q63*('Weekly Summary'!AX$52+'Weekly Summary'!AX$53))+('Equipment List &amp; Usage'!$R63*'Weekly Summary'!AX$64)+('Equipment List &amp; Usage'!$S63*'Weekly Summary'!AX$65)+('Equipment List &amp; Usage'!$T63*('Weekly Summary'!AX$64+'Weekly Summary'!AX$65)),
IF(BD$10=0,('Equipment List &amp; Usage'!$O63*'Weekly Summary'!AX$52)+('Equipment List &amp; Usage'!$P63*'Weekly Summary'!AX$53)+('Equipment List &amp; Usage'!$Q63*('Weekly Summary'!AX$52+'Weekly Summary'!AX$53))+('Equipment List &amp; Usage'!$R63*'Weekly Summary'!AX$64)+('Equipment List &amp; Usage'!$S63*'Weekly Summary'!AX$65)+('Equipment List &amp; Usage'!$T63*('Weekly Summary'!AX$64+'Weekly Summary'!AX$65)),
('Equipment List &amp; Usage'!$O63*'Weekly Summary'!AX$52)+('Equipment List &amp; Usage'!$P63*'Weekly Summary'!AX$53)+('Equipment List &amp; Usage'!$Q63*('Weekly Summary'!AX$52+'Weekly Summary'!AX$53))+('Equipment List &amp; Usage'!$R63*'Weekly Summary'!AX$64)+('Equipment List &amp; Usage'!$S63*'Weekly Summary'!AX$65)+('Equipment List &amp; Usage'!$T63*('Weekly Summary'!AX$64+'Weekly Summary'!AX$65))-SUM($I61:BC61))),0)</f>
        <v>0</v>
      </c>
      <c r="BE61" s="1381">
        <f ca="1">MAX(IF($F61="No",('Equipment List &amp; Usage'!$O63*'Weekly Summary'!AY$52)+('Equipment List &amp; Usage'!$P63*'Weekly Summary'!AY$53)+('Equipment List &amp; Usage'!$Q63*('Weekly Summary'!AY$52+'Weekly Summary'!AY$53))+('Equipment List &amp; Usage'!$R63*'Weekly Summary'!AY$64)+('Equipment List &amp; Usage'!$S63*'Weekly Summary'!AY$65)+('Equipment List &amp; Usage'!$T63*('Weekly Summary'!AY$64+'Weekly Summary'!AY$65)),
IF(BE$10=0,('Equipment List &amp; Usage'!$O63*'Weekly Summary'!AY$52)+('Equipment List &amp; Usage'!$P63*'Weekly Summary'!AY$53)+('Equipment List &amp; Usage'!$Q63*('Weekly Summary'!AY$52+'Weekly Summary'!AY$53))+('Equipment List &amp; Usage'!$R63*'Weekly Summary'!AY$64)+('Equipment List &amp; Usage'!$S63*'Weekly Summary'!AY$65)+('Equipment List &amp; Usage'!$T63*('Weekly Summary'!AY$64+'Weekly Summary'!AY$65)),
('Equipment List &amp; Usage'!$O63*'Weekly Summary'!AY$52)+('Equipment List &amp; Usage'!$P63*'Weekly Summary'!AY$53)+('Equipment List &amp; Usage'!$Q63*('Weekly Summary'!AY$52+'Weekly Summary'!AY$53))+('Equipment List &amp; Usage'!$R63*'Weekly Summary'!AY$64)+('Equipment List &amp; Usage'!$S63*'Weekly Summary'!AY$65)+('Equipment List &amp; Usage'!$T63*('Weekly Summary'!AY$64+'Weekly Summary'!AY$65))-SUM($I61:BD61))),0)</f>
        <v>0</v>
      </c>
      <c r="BF61" s="1381">
        <f ca="1">MAX(IF($F61="No",('Equipment List &amp; Usage'!$O63*'Weekly Summary'!AZ$52)+('Equipment List &amp; Usage'!$P63*'Weekly Summary'!AZ$53)+('Equipment List &amp; Usage'!$Q63*('Weekly Summary'!AZ$52+'Weekly Summary'!AZ$53))+('Equipment List &amp; Usage'!$R63*'Weekly Summary'!AZ$64)+('Equipment List &amp; Usage'!$S63*'Weekly Summary'!AZ$65)+('Equipment List &amp; Usage'!$T63*('Weekly Summary'!AZ$64+'Weekly Summary'!AZ$65)),
IF(BF$10=0,('Equipment List &amp; Usage'!$O63*'Weekly Summary'!AZ$52)+('Equipment List &amp; Usage'!$P63*'Weekly Summary'!AZ$53)+('Equipment List &amp; Usage'!$Q63*('Weekly Summary'!AZ$52+'Weekly Summary'!AZ$53))+('Equipment List &amp; Usage'!$R63*'Weekly Summary'!AZ$64)+('Equipment List &amp; Usage'!$S63*'Weekly Summary'!AZ$65)+('Equipment List &amp; Usage'!$T63*('Weekly Summary'!AZ$64+'Weekly Summary'!AZ$65)),
('Equipment List &amp; Usage'!$O63*'Weekly Summary'!AZ$52)+('Equipment List &amp; Usage'!$P63*'Weekly Summary'!AZ$53)+('Equipment List &amp; Usage'!$Q63*('Weekly Summary'!AZ$52+'Weekly Summary'!AZ$53))+('Equipment List &amp; Usage'!$R63*'Weekly Summary'!AZ$64)+('Equipment List &amp; Usage'!$S63*'Weekly Summary'!AZ$65)+('Equipment List &amp; Usage'!$T63*('Weekly Summary'!AZ$64+'Weekly Summary'!AZ$65))-SUM($I61:BE61))),0)</f>
        <v>0</v>
      </c>
      <c r="BG61" s="1381">
        <f ca="1">MAX(IF($F61="No",('Equipment List &amp; Usage'!$O63*'Weekly Summary'!BA$52)+('Equipment List &amp; Usage'!$P63*'Weekly Summary'!BA$53)+('Equipment List &amp; Usage'!$Q63*('Weekly Summary'!BA$52+'Weekly Summary'!BA$53))+('Equipment List &amp; Usage'!$R63*'Weekly Summary'!BA$64)+('Equipment List &amp; Usage'!$S63*'Weekly Summary'!BA$65)+('Equipment List &amp; Usage'!$T63*('Weekly Summary'!BA$64+'Weekly Summary'!BA$65)),
IF(BG$10=0,('Equipment List &amp; Usage'!$O63*'Weekly Summary'!BA$52)+('Equipment List &amp; Usage'!$P63*'Weekly Summary'!BA$53)+('Equipment List &amp; Usage'!$Q63*('Weekly Summary'!BA$52+'Weekly Summary'!BA$53))+('Equipment List &amp; Usage'!$R63*'Weekly Summary'!BA$64)+('Equipment List &amp; Usage'!$S63*'Weekly Summary'!BA$65)+('Equipment List &amp; Usage'!$T63*('Weekly Summary'!BA$64+'Weekly Summary'!BA$65)),
('Equipment List &amp; Usage'!$O63*'Weekly Summary'!BA$52)+('Equipment List &amp; Usage'!$P63*'Weekly Summary'!BA$53)+('Equipment List &amp; Usage'!$Q63*('Weekly Summary'!BA$52+'Weekly Summary'!BA$53))+('Equipment List &amp; Usage'!$R63*'Weekly Summary'!BA$64)+('Equipment List &amp; Usage'!$S63*'Weekly Summary'!BA$65)+('Equipment List &amp; Usage'!$T63*('Weekly Summary'!BA$64+'Weekly Summary'!BA$65))-SUM($I61:BF61))),0)</f>
        <v>0</v>
      </c>
      <c r="BH61" s="1381">
        <f ca="1">MAX(IF($F61="No",('Equipment List &amp; Usage'!$O63*'Weekly Summary'!BB$52)+('Equipment List &amp; Usage'!$P63*'Weekly Summary'!BB$53)+('Equipment List &amp; Usage'!$Q63*('Weekly Summary'!BB$52+'Weekly Summary'!BB$53))+('Equipment List &amp; Usage'!$R63*'Weekly Summary'!BB$64)+('Equipment List &amp; Usage'!$S63*'Weekly Summary'!BB$65)+('Equipment List &amp; Usage'!$T63*('Weekly Summary'!BB$64+'Weekly Summary'!BB$65)),
IF(BH$10=0,('Equipment List &amp; Usage'!$O63*'Weekly Summary'!BB$52)+('Equipment List &amp; Usage'!$P63*'Weekly Summary'!BB$53)+('Equipment List &amp; Usage'!$Q63*('Weekly Summary'!BB$52+'Weekly Summary'!BB$53))+('Equipment List &amp; Usage'!$R63*'Weekly Summary'!BB$64)+('Equipment List &amp; Usage'!$S63*'Weekly Summary'!BB$65)+('Equipment List &amp; Usage'!$T63*('Weekly Summary'!BB$64+'Weekly Summary'!BB$65)),
('Equipment List &amp; Usage'!$O63*'Weekly Summary'!BB$52)+('Equipment List &amp; Usage'!$P63*'Weekly Summary'!BB$53)+('Equipment List &amp; Usage'!$Q63*('Weekly Summary'!BB$52+'Weekly Summary'!BB$53))+('Equipment List &amp; Usage'!$R63*'Weekly Summary'!BB$64)+('Equipment List &amp; Usage'!$S63*'Weekly Summary'!BB$65)+('Equipment List &amp; Usage'!$T63*('Weekly Summary'!BB$64+'Weekly Summary'!BB$65))-SUM($I61:BG61))),0)</f>
        <v>0</v>
      </c>
      <c r="BI61" s="1381">
        <f ca="1">MAX(IF($F61="No",('Equipment List &amp; Usage'!$O63*'Weekly Summary'!BC$52)+('Equipment List &amp; Usage'!$P63*'Weekly Summary'!BC$53)+('Equipment List &amp; Usage'!$Q63*('Weekly Summary'!BC$52+'Weekly Summary'!BC$53))+('Equipment List &amp; Usage'!$R63*'Weekly Summary'!BC$64)+('Equipment List &amp; Usage'!$S63*'Weekly Summary'!BC$65)+('Equipment List &amp; Usage'!$T63*('Weekly Summary'!BC$64+'Weekly Summary'!BC$65)),
IF(BI$10=0,('Equipment List &amp; Usage'!$O63*'Weekly Summary'!BC$52)+('Equipment List &amp; Usage'!$P63*'Weekly Summary'!BC$53)+('Equipment List &amp; Usage'!$Q63*('Weekly Summary'!BC$52+'Weekly Summary'!BC$53))+('Equipment List &amp; Usage'!$R63*'Weekly Summary'!BC$64)+('Equipment List &amp; Usage'!$S63*'Weekly Summary'!BC$65)+('Equipment List &amp; Usage'!$T63*('Weekly Summary'!BC$64+'Weekly Summary'!BC$65)),
('Equipment List &amp; Usage'!$O63*'Weekly Summary'!BC$52)+('Equipment List &amp; Usage'!$P63*'Weekly Summary'!BC$53)+('Equipment List &amp; Usage'!$Q63*('Weekly Summary'!BC$52+'Weekly Summary'!BC$53))+('Equipment List &amp; Usage'!$R63*'Weekly Summary'!BC$64)+('Equipment List &amp; Usage'!$S63*'Weekly Summary'!BC$65)+('Equipment List &amp; Usage'!$T63*('Weekly Summary'!BC$64+'Weekly Summary'!BC$65))-SUM($I61:BH61))),0)</f>
        <v>0</v>
      </c>
      <c r="BJ61" s="1382">
        <f ca="1">MAX(IF($F61="No",('Equipment List &amp; Usage'!$O63*'Weekly Summary'!BD$52)+('Equipment List &amp; Usage'!$P63*'Weekly Summary'!BD$53)+('Equipment List &amp; Usage'!$Q63*('Weekly Summary'!BD$52+'Weekly Summary'!BD$53))+('Equipment List &amp; Usage'!$R63*'Weekly Summary'!BD$64)+('Equipment List &amp; Usage'!$S63*'Weekly Summary'!BD$65)+('Equipment List &amp; Usage'!$T63*('Weekly Summary'!BD$64+'Weekly Summary'!BD$65)),
IF(BJ$10=0,('Equipment List &amp; Usage'!$O63*'Weekly Summary'!BD$52)+('Equipment List &amp; Usage'!$P63*'Weekly Summary'!BD$53)+('Equipment List &amp; Usage'!$Q63*('Weekly Summary'!BD$52+'Weekly Summary'!BD$53))+('Equipment List &amp; Usage'!$R63*'Weekly Summary'!BD$64)+('Equipment List &amp; Usage'!$S63*'Weekly Summary'!BD$65)+('Equipment List &amp; Usage'!$T63*('Weekly Summary'!BD$64+'Weekly Summary'!BD$65)),
('Equipment List &amp; Usage'!$O63*'Weekly Summary'!BD$52)+('Equipment List &amp; Usage'!$P63*'Weekly Summary'!BD$53)+('Equipment List &amp; Usage'!$Q63*('Weekly Summary'!BD$52+'Weekly Summary'!BD$53))+('Equipment List &amp; Usage'!$R63*'Weekly Summary'!BD$64)+('Equipment List &amp; Usage'!$S63*'Weekly Summary'!BD$65)+('Equipment List &amp; Usage'!$T63*('Weekly Summary'!BD$64+'Weekly Summary'!BD$65))-SUM($I61:BI61))),0)</f>
        <v>0</v>
      </c>
    </row>
    <row r="62" spans="2:62" ht="29" x14ac:dyDescent="0.35">
      <c r="B62" s="735" t="str">
        <f>'Equipment List &amp; Usage'!B64</f>
        <v>Case management - biomedical equipment</v>
      </c>
      <c r="C62" s="526" t="str">
        <f>'Equipment List &amp; Usage'!C64</f>
        <v>Blood Chemistry</v>
      </c>
      <c r="D62" s="526" t="str">
        <f>'Equipment List &amp; Usage'!D64</f>
        <v>Blood Gas Analyser, portable with cartridges and control solutions</v>
      </c>
      <c r="E62" s="526" t="str">
        <f>'Equipment List &amp; Usage'!E64</f>
        <v>Each</v>
      </c>
      <c r="F62" s="526" t="str">
        <f>'Equipment List &amp; Usage'!F64</f>
        <v>Yes</v>
      </c>
      <c r="G62" s="526" t="str">
        <f>'Equipment List &amp; Usage'!G64</f>
        <v>Supplied with one spare:
Rechargeable battery</v>
      </c>
      <c r="H62" s="1369">
        <f t="shared" ca="1" si="3"/>
        <v>7.6562112507380391</v>
      </c>
      <c r="J62" s="1344"/>
      <c r="K62" s="1381">
        <f ca="1">IF('User Dashboard'!$H$13=1,0,MAX(IF($F62="No",('Equipment List &amp; Usage'!$O64*'Weekly Summary'!E$52)+('Equipment List &amp; Usage'!$P64*'Weekly Summary'!E$53)+('Equipment List &amp; Usage'!$Q64*('Weekly Summary'!E$52+'Weekly Summary'!E$53))+('Equipment List &amp; Usage'!$R64*'Weekly Summary'!E$64)+('Equipment List &amp; Usage'!$S64*'Weekly Summary'!E$65)+('Equipment List &amp; Usage'!$T64*('Weekly Summary'!E$64+'Weekly Summary'!E$65)),
IF(K$10=0,('Equipment List &amp; Usage'!$O64*'Weekly Summary'!E$52)+('Equipment List &amp; Usage'!$P64*'Weekly Summary'!E$53)+('Equipment List &amp; Usage'!$Q64*('Weekly Summary'!E$52+'Weekly Summary'!E$53))+('Equipment List &amp; Usage'!$R64*'Weekly Summary'!E$64)+('Equipment List &amp; Usage'!$S64*'Weekly Summary'!E$65)+('Equipment List &amp; Usage'!$T64*('Weekly Summary'!E$64+'Weekly Summary'!E$65)),
('Equipment List &amp; Usage'!$O64*'Weekly Summary'!E$52)+('Equipment List &amp; Usage'!$P64*'Weekly Summary'!E$53)+('Equipment List &amp; Usage'!$Q64*('Weekly Summary'!E$52+'Weekly Summary'!E$53))+('Equipment List &amp; Usage'!$R64*'Weekly Summary'!E$64)+('Equipment List &amp; Usage'!$S64*'Weekly Summary'!E$65)+('Equipment List &amp; Usage'!$T64*('Weekly Summary'!E$64+'Weekly Summary'!E$65))-SUM($I62:I62))),0))</f>
        <v>1.6151937208404254E-2</v>
      </c>
      <c r="L62" s="1381">
        <f ca="1">MAX(IF($F62="No",('Equipment List &amp; Usage'!$O64*'Weekly Summary'!F$52)+('Equipment List &amp; Usage'!$P64*'Weekly Summary'!F$53)+('Equipment List &amp; Usage'!$Q64*('Weekly Summary'!F$52+'Weekly Summary'!F$53))+('Equipment List &amp; Usage'!$R64*'Weekly Summary'!F$64)+('Equipment List &amp; Usage'!$S64*'Weekly Summary'!F$65)+('Equipment List &amp; Usage'!$T64*('Weekly Summary'!F$64+'Weekly Summary'!F$65)),
IF(L$10=0,('Equipment List &amp; Usage'!$O64*'Weekly Summary'!F$52)+('Equipment List &amp; Usage'!$P64*'Weekly Summary'!F$53)+('Equipment List &amp; Usage'!$Q64*('Weekly Summary'!F$52+'Weekly Summary'!F$53))+('Equipment List &amp; Usage'!$R64*'Weekly Summary'!F$64)+('Equipment List &amp; Usage'!$S64*'Weekly Summary'!F$65)+('Equipment List &amp; Usage'!$T64*('Weekly Summary'!F$64+'Weekly Summary'!F$65)),
('Equipment List &amp; Usage'!$O64*'Weekly Summary'!F$52)+('Equipment List &amp; Usage'!$P64*'Weekly Summary'!F$53)+('Equipment List &amp; Usage'!$Q64*('Weekly Summary'!F$52+'Weekly Summary'!F$53))+('Equipment List &amp; Usage'!$R64*'Weekly Summary'!F$64)+('Equipment List &amp; Usage'!$S64*'Weekly Summary'!F$65)+('Equipment List &amp; Usage'!$T64*('Weekly Summary'!F$64+'Weekly Summary'!F$65))-SUM($I62:K62))),0)</f>
        <v>3.8784175441988034E-2</v>
      </c>
      <c r="M62" s="1381">
        <f ca="1">MAX(IF($F62="No",('Equipment List &amp; Usage'!$O64*'Weekly Summary'!G$52)+('Equipment List &amp; Usage'!$P64*'Weekly Summary'!G$53)+('Equipment List &amp; Usage'!$Q64*('Weekly Summary'!G$52+'Weekly Summary'!G$53))+('Equipment List &amp; Usage'!$R64*'Weekly Summary'!G$64)+('Equipment List &amp; Usage'!$S64*'Weekly Summary'!G$65)+('Equipment List &amp; Usage'!$T64*('Weekly Summary'!G$64+'Weekly Summary'!G$65)),
IF(M$10=0,('Equipment List &amp; Usage'!$O64*'Weekly Summary'!G$52)+('Equipment List &amp; Usage'!$P64*'Weekly Summary'!G$53)+('Equipment List &amp; Usage'!$Q64*('Weekly Summary'!G$52+'Weekly Summary'!G$53))+('Equipment List &amp; Usage'!$R64*'Weekly Summary'!G$64)+('Equipment List &amp; Usage'!$S64*'Weekly Summary'!G$65)+('Equipment List &amp; Usage'!$T64*('Weekly Summary'!G$64+'Weekly Summary'!G$65)),
('Equipment List &amp; Usage'!$O64*'Weekly Summary'!G$52)+('Equipment List &amp; Usage'!$P64*'Weekly Summary'!G$53)+('Equipment List &amp; Usage'!$Q64*('Weekly Summary'!G$52+'Weekly Summary'!G$53))+('Equipment List &amp; Usage'!$R64*'Weekly Summary'!G$64)+('Equipment List &amp; Usage'!$S64*'Weekly Summary'!G$65)+('Equipment List &amp; Usage'!$T64*('Weekly Summary'!G$64+'Weekly Summary'!G$65))-SUM($I62:L62))),0)</f>
        <v>0.13385058298589575</v>
      </c>
      <c r="N62" s="1381">
        <f ca="1">MAX(IF($F62="No",('Equipment List &amp; Usage'!$O64*'Weekly Summary'!H$52)+('Equipment List &amp; Usage'!$P64*'Weekly Summary'!H$53)+('Equipment List &amp; Usage'!$Q64*('Weekly Summary'!H$52+'Weekly Summary'!H$53))+('Equipment List &amp; Usage'!$R64*'Weekly Summary'!H$64)+('Equipment List &amp; Usage'!$S64*'Weekly Summary'!H$65)+('Equipment List &amp; Usage'!$T64*('Weekly Summary'!H$64+'Weekly Summary'!H$65)),
IF(N$10=0,('Equipment List &amp; Usage'!$O64*'Weekly Summary'!H$52)+('Equipment List &amp; Usage'!$P64*'Weekly Summary'!H$53)+('Equipment List &amp; Usage'!$Q64*('Weekly Summary'!H$52+'Weekly Summary'!H$53))+('Equipment List &amp; Usage'!$R64*'Weekly Summary'!H$64)+('Equipment List &amp; Usage'!$S64*'Weekly Summary'!H$65)+('Equipment List &amp; Usage'!$T64*('Weekly Summary'!H$64+'Weekly Summary'!H$65)),
('Equipment List &amp; Usage'!$O64*'Weekly Summary'!H$52)+('Equipment List &amp; Usage'!$P64*'Weekly Summary'!H$53)+('Equipment List &amp; Usage'!$Q64*('Weekly Summary'!H$52+'Weekly Summary'!H$53))+('Equipment List &amp; Usage'!$R64*'Weekly Summary'!H$64)+('Equipment List &amp; Usage'!$S64*'Weekly Summary'!H$65)+('Equipment List &amp; Usage'!$T64*('Weekly Summary'!H$64+'Weekly Summary'!H$65))-SUM($I62:M62))),0)</f>
        <v>0.45995394456098804</v>
      </c>
      <c r="O62" s="1381">
        <f ca="1">MAX(IF($F62="No",('Equipment List &amp; Usage'!$O64*'Weekly Summary'!I$52)+('Equipment List &amp; Usage'!$P64*'Weekly Summary'!I$53)+('Equipment List &amp; Usage'!$Q64*('Weekly Summary'!I$52+'Weekly Summary'!I$53))+('Equipment List &amp; Usage'!$R64*'Weekly Summary'!I$64)+('Equipment List &amp; Usage'!$S64*'Weekly Summary'!I$65)+('Equipment List &amp; Usage'!$T64*('Weekly Summary'!I$64+'Weekly Summary'!I$65)),
IF(O$10=0,('Equipment List &amp; Usage'!$O64*'Weekly Summary'!I$52)+('Equipment List &amp; Usage'!$P64*'Weekly Summary'!I$53)+('Equipment List &amp; Usage'!$Q64*('Weekly Summary'!I$52+'Weekly Summary'!I$53))+('Equipment List &amp; Usage'!$R64*'Weekly Summary'!I$64)+('Equipment List &amp; Usage'!$S64*'Weekly Summary'!I$65)+('Equipment List &amp; Usage'!$T64*('Weekly Summary'!I$64+'Weekly Summary'!I$65)),
('Equipment List &amp; Usage'!$O64*'Weekly Summary'!I$52)+('Equipment List &amp; Usage'!$P64*'Weekly Summary'!I$53)+('Equipment List &amp; Usage'!$Q64*('Weekly Summary'!I$52+'Weekly Summary'!I$53))+('Equipment List &amp; Usage'!$R64*'Weekly Summary'!I$64)+('Equipment List &amp; Usage'!$S64*'Weekly Summary'!I$65)+('Equipment List &amp; Usage'!$T64*('Weekly Summary'!I$64+'Weekly Summary'!I$65))-SUM($I62:N62))),0)</f>
        <v>1.580328866927458</v>
      </c>
      <c r="P62" s="1381">
        <f ca="1">MAX(IF($F62="No",('Equipment List &amp; Usage'!$O64*'Weekly Summary'!J$52)+('Equipment List &amp; Usage'!$P64*'Weekly Summary'!J$53)+('Equipment List &amp; Usage'!$Q64*('Weekly Summary'!J$52+'Weekly Summary'!J$53))+('Equipment List &amp; Usage'!$R64*'Weekly Summary'!J$64)+('Equipment List &amp; Usage'!$S64*'Weekly Summary'!J$65)+('Equipment List &amp; Usage'!$T64*('Weekly Summary'!J$64+'Weekly Summary'!J$65)),
IF(P$10=0,('Equipment List &amp; Usage'!$O64*'Weekly Summary'!J$52)+('Equipment List &amp; Usage'!$P64*'Weekly Summary'!J$53)+('Equipment List &amp; Usage'!$Q64*('Weekly Summary'!J$52+'Weekly Summary'!J$53))+('Equipment List &amp; Usage'!$R64*'Weekly Summary'!J$64)+('Equipment List &amp; Usage'!$S64*'Weekly Summary'!J$65)+('Equipment List &amp; Usage'!$T64*('Weekly Summary'!J$64+'Weekly Summary'!J$65)),
('Equipment List &amp; Usage'!$O64*'Weekly Summary'!J$52)+('Equipment List &amp; Usage'!$P64*'Weekly Summary'!J$53)+('Equipment List &amp; Usage'!$Q64*('Weekly Summary'!J$52+'Weekly Summary'!J$53))+('Equipment List &amp; Usage'!$R64*'Weekly Summary'!J$64)+('Equipment List &amp; Usage'!$S64*'Weekly Summary'!J$65)+('Equipment List &amp; Usage'!$T64*('Weekly Summary'!J$64+'Weekly Summary'!J$65))-SUM($I62:O62))),0)</f>
        <v>5.4271417436133049</v>
      </c>
      <c r="Q62" s="1381">
        <f ca="1">MAX(IF($F62="No",('Equipment List &amp; Usage'!$O64*'Weekly Summary'!K$52)+('Equipment List &amp; Usage'!$P64*'Weekly Summary'!K$53)+('Equipment List &amp; Usage'!$Q64*('Weekly Summary'!K$52+'Weekly Summary'!K$53))+('Equipment List &amp; Usage'!$R64*'Weekly Summary'!K$64)+('Equipment List &amp; Usage'!$S64*'Weekly Summary'!K$65)+('Equipment List &amp; Usage'!$T64*('Weekly Summary'!K$64+'Weekly Summary'!K$65)),
IF(Q$10=0,('Equipment List &amp; Usage'!$O64*'Weekly Summary'!K$52)+('Equipment List &amp; Usage'!$P64*'Weekly Summary'!K$53)+('Equipment List &amp; Usage'!$Q64*('Weekly Summary'!K$52+'Weekly Summary'!K$53))+('Equipment List &amp; Usage'!$R64*'Weekly Summary'!K$64)+('Equipment List &amp; Usage'!$S64*'Weekly Summary'!K$65)+('Equipment List &amp; Usage'!$T64*('Weekly Summary'!K$64+'Weekly Summary'!K$65)),
('Equipment List &amp; Usage'!$O64*'Weekly Summary'!K$52)+('Equipment List &amp; Usage'!$P64*'Weekly Summary'!K$53)+('Equipment List &amp; Usage'!$Q64*('Weekly Summary'!K$52+'Weekly Summary'!K$53))+('Equipment List &amp; Usage'!$R64*'Weekly Summary'!K$64)+('Equipment List &amp; Usage'!$S64*'Weekly Summary'!K$65)+('Equipment List &amp; Usage'!$T64*('Weekly Summary'!K$64+'Weekly Summary'!K$65))-SUM($I62:P62))),0)</f>
        <v>0</v>
      </c>
      <c r="R62" s="1381">
        <f ca="1">MAX(IF($F62="No",('Equipment List &amp; Usage'!$O64*'Weekly Summary'!L$52)+('Equipment List &amp; Usage'!$P64*'Weekly Summary'!L$53)+('Equipment List &amp; Usage'!$Q64*('Weekly Summary'!L$52+'Weekly Summary'!L$53))+('Equipment List &amp; Usage'!$R64*'Weekly Summary'!L$64)+('Equipment List &amp; Usage'!$S64*'Weekly Summary'!L$65)+('Equipment List &amp; Usage'!$T64*('Weekly Summary'!L$64+'Weekly Summary'!L$65)),
IF(R$10=0,('Equipment List &amp; Usage'!$O64*'Weekly Summary'!L$52)+('Equipment List &amp; Usage'!$P64*'Weekly Summary'!L$53)+('Equipment List &amp; Usage'!$Q64*('Weekly Summary'!L$52+'Weekly Summary'!L$53))+('Equipment List &amp; Usage'!$R64*'Weekly Summary'!L$64)+('Equipment List &amp; Usage'!$S64*'Weekly Summary'!L$65)+('Equipment List &amp; Usage'!$T64*('Weekly Summary'!L$64+'Weekly Summary'!L$65)),
('Equipment List &amp; Usage'!$O64*'Weekly Summary'!L$52)+('Equipment List &amp; Usage'!$P64*'Weekly Summary'!L$53)+('Equipment List &amp; Usage'!$Q64*('Weekly Summary'!L$52+'Weekly Summary'!L$53))+('Equipment List &amp; Usage'!$R64*'Weekly Summary'!L$64)+('Equipment List &amp; Usage'!$S64*'Weekly Summary'!L$65)+('Equipment List &amp; Usage'!$T64*('Weekly Summary'!L$64+'Weekly Summary'!L$65))-SUM($I62:Q62))),0)</f>
        <v>0</v>
      </c>
      <c r="S62" s="1381">
        <f ca="1">MAX(IF($F62="No",('Equipment List &amp; Usage'!$O64*'Weekly Summary'!M$52)+('Equipment List &amp; Usage'!$P64*'Weekly Summary'!M$53)+('Equipment List &amp; Usage'!$Q64*('Weekly Summary'!M$52+'Weekly Summary'!M$53))+('Equipment List &amp; Usage'!$R64*'Weekly Summary'!M$64)+('Equipment List &amp; Usage'!$S64*'Weekly Summary'!M$65)+('Equipment List &amp; Usage'!$T64*('Weekly Summary'!M$64+'Weekly Summary'!M$65)),
IF(S$10=0,('Equipment List &amp; Usage'!$O64*'Weekly Summary'!M$52)+('Equipment List &amp; Usage'!$P64*'Weekly Summary'!M$53)+('Equipment List &amp; Usage'!$Q64*('Weekly Summary'!M$52+'Weekly Summary'!M$53))+('Equipment List &amp; Usage'!$R64*'Weekly Summary'!M$64)+('Equipment List &amp; Usage'!$S64*'Weekly Summary'!M$65)+('Equipment List &amp; Usage'!$T64*('Weekly Summary'!M$64+'Weekly Summary'!M$65)),
('Equipment List &amp; Usage'!$O64*'Weekly Summary'!M$52)+('Equipment List &amp; Usage'!$P64*'Weekly Summary'!M$53)+('Equipment List &amp; Usage'!$Q64*('Weekly Summary'!M$52+'Weekly Summary'!M$53))+('Equipment List &amp; Usage'!$R64*'Weekly Summary'!M$64)+('Equipment List &amp; Usage'!$S64*'Weekly Summary'!M$65)+('Equipment List &amp; Usage'!$T64*('Weekly Summary'!M$64+'Weekly Summary'!M$65))-SUM($I62:R62))),0)</f>
        <v>0</v>
      </c>
      <c r="T62" s="1381">
        <f ca="1">MAX(IF($F62="No",('Equipment List &amp; Usage'!$O64*'Weekly Summary'!N$52)+('Equipment List &amp; Usage'!$P64*'Weekly Summary'!N$53)+('Equipment List &amp; Usage'!$Q64*('Weekly Summary'!N$52+'Weekly Summary'!N$53))+('Equipment List &amp; Usage'!$R64*'Weekly Summary'!N$64)+('Equipment List &amp; Usage'!$S64*'Weekly Summary'!N$65)+('Equipment List &amp; Usage'!$T64*('Weekly Summary'!N$64+'Weekly Summary'!N$65)),
IF(T$10=0,('Equipment List &amp; Usage'!$O64*'Weekly Summary'!N$52)+('Equipment List &amp; Usage'!$P64*'Weekly Summary'!N$53)+('Equipment List &amp; Usage'!$Q64*('Weekly Summary'!N$52+'Weekly Summary'!N$53))+('Equipment List &amp; Usage'!$R64*'Weekly Summary'!N$64)+('Equipment List &amp; Usage'!$S64*'Weekly Summary'!N$65)+('Equipment List &amp; Usage'!$T64*('Weekly Summary'!N$64+'Weekly Summary'!N$65)),
('Equipment List &amp; Usage'!$O64*'Weekly Summary'!N$52)+('Equipment List &amp; Usage'!$P64*'Weekly Summary'!N$53)+('Equipment List &amp; Usage'!$Q64*('Weekly Summary'!N$52+'Weekly Summary'!N$53))+('Equipment List &amp; Usage'!$R64*'Weekly Summary'!N$64)+('Equipment List &amp; Usage'!$S64*'Weekly Summary'!N$65)+('Equipment List &amp; Usage'!$T64*('Weekly Summary'!N$64+'Weekly Summary'!N$65))-SUM($I62:S62))),0)</f>
        <v>0</v>
      </c>
      <c r="U62" s="1381">
        <f ca="1">MAX(IF($F62="No",('Equipment List &amp; Usage'!$O64*'Weekly Summary'!O$52)+('Equipment List &amp; Usage'!$P64*'Weekly Summary'!O$53)+('Equipment List &amp; Usage'!$Q64*('Weekly Summary'!O$52+'Weekly Summary'!O$53))+('Equipment List &amp; Usage'!$R64*'Weekly Summary'!O$64)+('Equipment List &amp; Usage'!$S64*'Weekly Summary'!O$65)+('Equipment List &amp; Usage'!$T64*('Weekly Summary'!O$64+'Weekly Summary'!O$65)),
IF(U$10=0,('Equipment List &amp; Usage'!$O64*'Weekly Summary'!O$52)+('Equipment List &amp; Usage'!$P64*'Weekly Summary'!O$53)+('Equipment List &amp; Usage'!$Q64*('Weekly Summary'!O$52+'Weekly Summary'!O$53))+('Equipment List &amp; Usage'!$R64*'Weekly Summary'!O$64)+('Equipment List &amp; Usage'!$S64*'Weekly Summary'!O$65)+('Equipment List &amp; Usage'!$T64*('Weekly Summary'!O$64+'Weekly Summary'!O$65)),
('Equipment List &amp; Usage'!$O64*'Weekly Summary'!O$52)+('Equipment List &amp; Usage'!$P64*'Weekly Summary'!O$53)+('Equipment List &amp; Usage'!$Q64*('Weekly Summary'!O$52+'Weekly Summary'!O$53))+('Equipment List &amp; Usage'!$R64*'Weekly Summary'!O$64)+('Equipment List &amp; Usage'!$S64*'Weekly Summary'!O$65)+('Equipment List &amp; Usage'!$T64*('Weekly Summary'!O$64+'Weekly Summary'!O$65))-SUM($I62:T62))),0)</f>
        <v>0</v>
      </c>
      <c r="V62" s="1381">
        <f ca="1">MAX(IF($F62="No",('Equipment List &amp; Usage'!$O64*'Weekly Summary'!P$52)+('Equipment List &amp; Usage'!$P64*'Weekly Summary'!P$53)+('Equipment List &amp; Usage'!$Q64*('Weekly Summary'!P$52+'Weekly Summary'!P$53))+('Equipment List &amp; Usage'!$R64*'Weekly Summary'!P$64)+('Equipment List &amp; Usage'!$S64*'Weekly Summary'!P$65)+('Equipment List &amp; Usage'!$T64*('Weekly Summary'!P$64+'Weekly Summary'!P$65)),
IF(V$10=0,('Equipment List &amp; Usage'!$O64*'Weekly Summary'!P$52)+('Equipment List &amp; Usage'!$P64*'Weekly Summary'!P$53)+('Equipment List &amp; Usage'!$Q64*('Weekly Summary'!P$52+'Weekly Summary'!P$53))+('Equipment List &amp; Usage'!$R64*'Weekly Summary'!P$64)+('Equipment List &amp; Usage'!$S64*'Weekly Summary'!P$65)+('Equipment List &amp; Usage'!$T64*('Weekly Summary'!P$64+'Weekly Summary'!P$65)),
('Equipment List &amp; Usage'!$O64*'Weekly Summary'!P$52)+('Equipment List &amp; Usage'!$P64*'Weekly Summary'!P$53)+('Equipment List &amp; Usage'!$Q64*('Weekly Summary'!P$52+'Weekly Summary'!P$53))+('Equipment List &amp; Usage'!$R64*'Weekly Summary'!P$64)+('Equipment List &amp; Usage'!$S64*'Weekly Summary'!P$65)+('Equipment List &amp; Usage'!$T64*('Weekly Summary'!P$64+'Weekly Summary'!P$65))-SUM($I62:U62))),0)</f>
        <v>0</v>
      </c>
      <c r="W62" s="1381">
        <f ca="1">MAX(IF($F62="No",('Equipment List &amp; Usage'!$O64*'Weekly Summary'!Q$52)+('Equipment List &amp; Usage'!$P64*'Weekly Summary'!Q$53)+('Equipment List &amp; Usage'!$Q64*('Weekly Summary'!Q$52+'Weekly Summary'!Q$53))+('Equipment List &amp; Usage'!$R64*'Weekly Summary'!Q$64)+('Equipment List &amp; Usage'!$S64*'Weekly Summary'!Q$65)+('Equipment List &amp; Usage'!$T64*('Weekly Summary'!Q$64+'Weekly Summary'!Q$65)),
IF(W$10=0,('Equipment List &amp; Usage'!$O64*'Weekly Summary'!Q$52)+('Equipment List &amp; Usage'!$P64*'Weekly Summary'!Q$53)+('Equipment List &amp; Usage'!$Q64*('Weekly Summary'!Q$52+'Weekly Summary'!Q$53))+('Equipment List &amp; Usage'!$R64*'Weekly Summary'!Q$64)+('Equipment List &amp; Usage'!$S64*'Weekly Summary'!Q$65)+('Equipment List &amp; Usage'!$T64*('Weekly Summary'!Q$64+'Weekly Summary'!Q$65)),
('Equipment List &amp; Usage'!$O64*'Weekly Summary'!Q$52)+('Equipment List &amp; Usage'!$P64*'Weekly Summary'!Q$53)+('Equipment List &amp; Usage'!$Q64*('Weekly Summary'!Q$52+'Weekly Summary'!Q$53))+('Equipment List &amp; Usage'!$R64*'Weekly Summary'!Q$64)+('Equipment List &amp; Usage'!$S64*'Weekly Summary'!Q$65)+('Equipment List &amp; Usage'!$T64*('Weekly Summary'!Q$64+'Weekly Summary'!Q$65))-SUM($I62:V62))),0)</f>
        <v>0</v>
      </c>
      <c r="X62" s="1381">
        <f ca="1">MAX(IF($F62="No",('Equipment List &amp; Usage'!$O64*'Weekly Summary'!R$52)+('Equipment List &amp; Usage'!$P64*'Weekly Summary'!R$53)+('Equipment List &amp; Usage'!$Q64*('Weekly Summary'!R$52+'Weekly Summary'!R$53))+('Equipment List &amp; Usage'!$R64*'Weekly Summary'!R$64)+('Equipment List &amp; Usage'!$S64*'Weekly Summary'!R$65)+('Equipment List &amp; Usage'!$T64*('Weekly Summary'!R$64+'Weekly Summary'!R$65)),
IF(X$10=0,('Equipment List &amp; Usage'!$O64*'Weekly Summary'!R$52)+('Equipment List &amp; Usage'!$P64*'Weekly Summary'!R$53)+('Equipment List &amp; Usage'!$Q64*('Weekly Summary'!R$52+'Weekly Summary'!R$53))+('Equipment List &amp; Usage'!$R64*'Weekly Summary'!R$64)+('Equipment List &amp; Usage'!$S64*'Weekly Summary'!R$65)+('Equipment List &amp; Usage'!$T64*('Weekly Summary'!R$64+'Weekly Summary'!R$65)),
('Equipment List &amp; Usage'!$O64*'Weekly Summary'!R$52)+('Equipment List &amp; Usage'!$P64*'Weekly Summary'!R$53)+('Equipment List &amp; Usage'!$Q64*('Weekly Summary'!R$52+'Weekly Summary'!R$53))+('Equipment List &amp; Usage'!$R64*'Weekly Summary'!R$64)+('Equipment List &amp; Usage'!$S64*'Weekly Summary'!R$65)+('Equipment List &amp; Usage'!$T64*('Weekly Summary'!R$64+'Weekly Summary'!R$65))-SUM($I62:W62))),0)</f>
        <v>0</v>
      </c>
      <c r="Y62" s="1381">
        <f ca="1">MAX(IF($F62="No",('Equipment List &amp; Usage'!$O64*'Weekly Summary'!S$52)+('Equipment List &amp; Usage'!$P64*'Weekly Summary'!S$53)+('Equipment List &amp; Usage'!$Q64*('Weekly Summary'!S$52+'Weekly Summary'!S$53))+('Equipment List &amp; Usage'!$R64*'Weekly Summary'!S$64)+('Equipment List &amp; Usage'!$S64*'Weekly Summary'!S$65)+('Equipment List &amp; Usage'!$T64*('Weekly Summary'!S$64+'Weekly Summary'!S$65)),
IF(Y$10=0,('Equipment List &amp; Usage'!$O64*'Weekly Summary'!S$52)+('Equipment List &amp; Usage'!$P64*'Weekly Summary'!S$53)+('Equipment List &amp; Usage'!$Q64*('Weekly Summary'!S$52+'Weekly Summary'!S$53))+('Equipment List &amp; Usage'!$R64*'Weekly Summary'!S$64)+('Equipment List &amp; Usage'!$S64*'Weekly Summary'!S$65)+('Equipment List &amp; Usage'!$T64*('Weekly Summary'!S$64+'Weekly Summary'!S$65)),
('Equipment List &amp; Usage'!$O64*'Weekly Summary'!S$52)+('Equipment List &amp; Usage'!$P64*'Weekly Summary'!S$53)+('Equipment List &amp; Usage'!$Q64*('Weekly Summary'!S$52+'Weekly Summary'!S$53))+('Equipment List &amp; Usage'!$R64*'Weekly Summary'!S$64)+('Equipment List &amp; Usage'!$S64*'Weekly Summary'!S$65)+('Equipment List &amp; Usage'!$T64*('Weekly Summary'!S$64+'Weekly Summary'!S$65))-SUM($I62:X62))),0)</f>
        <v>0</v>
      </c>
      <c r="Z62" s="1381">
        <f ca="1">MAX(IF($F62="No",('Equipment List &amp; Usage'!$O64*'Weekly Summary'!T$52)+('Equipment List &amp; Usage'!$P64*'Weekly Summary'!T$53)+('Equipment List &amp; Usage'!$Q64*('Weekly Summary'!T$52+'Weekly Summary'!T$53))+('Equipment List &amp; Usage'!$R64*'Weekly Summary'!T$64)+('Equipment List &amp; Usage'!$S64*'Weekly Summary'!T$65)+('Equipment List &amp; Usage'!$T64*('Weekly Summary'!T$64+'Weekly Summary'!T$65)),
IF(Z$10=0,('Equipment List &amp; Usage'!$O64*'Weekly Summary'!T$52)+('Equipment List &amp; Usage'!$P64*'Weekly Summary'!T$53)+('Equipment List &amp; Usage'!$Q64*('Weekly Summary'!T$52+'Weekly Summary'!T$53))+('Equipment List &amp; Usage'!$R64*'Weekly Summary'!T$64)+('Equipment List &amp; Usage'!$S64*'Weekly Summary'!T$65)+('Equipment List &amp; Usage'!$T64*('Weekly Summary'!T$64+'Weekly Summary'!T$65)),
('Equipment List &amp; Usage'!$O64*'Weekly Summary'!T$52)+('Equipment List &amp; Usage'!$P64*'Weekly Summary'!T$53)+('Equipment List &amp; Usage'!$Q64*('Weekly Summary'!T$52+'Weekly Summary'!T$53))+('Equipment List &amp; Usage'!$R64*'Weekly Summary'!T$64)+('Equipment List &amp; Usage'!$S64*'Weekly Summary'!T$65)+('Equipment List &amp; Usage'!$T64*('Weekly Summary'!T$64+'Weekly Summary'!T$65))-SUM($I62:Y62))),0)</f>
        <v>0</v>
      </c>
      <c r="AA62" s="1381">
        <f ca="1">MAX(IF($F62="No",('Equipment List &amp; Usage'!$O64*'Weekly Summary'!U$52)+('Equipment List &amp; Usage'!$P64*'Weekly Summary'!U$53)+('Equipment List &amp; Usage'!$Q64*('Weekly Summary'!U$52+'Weekly Summary'!U$53))+('Equipment List &amp; Usage'!$R64*'Weekly Summary'!U$64)+('Equipment List &amp; Usage'!$S64*'Weekly Summary'!U$65)+('Equipment List &amp; Usage'!$T64*('Weekly Summary'!U$64+'Weekly Summary'!U$65)),
IF(AA$10=0,('Equipment List &amp; Usage'!$O64*'Weekly Summary'!U$52)+('Equipment List &amp; Usage'!$P64*'Weekly Summary'!U$53)+('Equipment List &amp; Usage'!$Q64*('Weekly Summary'!U$52+'Weekly Summary'!U$53))+('Equipment List &amp; Usage'!$R64*'Weekly Summary'!U$64)+('Equipment List &amp; Usage'!$S64*'Weekly Summary'!U$65)+('Equipment List &amp; Usage'!$T64*('Weekly Summary'!U$64+'Weekly Summary'!U$65)),
('Equipment List &amp; Usage'!$O64*'Weekly Summary'!U$52)+('Equipment List &amp; Usage'!$P64*'Weekly Summary'!U$53)+('Equipment List &amp; Usage'!$Q64*('Weekly Summary'!U$52+'Weekly Summary'!U$53))+('Equipment List &amp; Usage'!$R64*'Weekly Summary'!U$64)+('Equipment List &amp; Usage'!$S64*'Weekly Summary'!U$65)+('Equipment List &amp; Usage'!$T64*('Weekly Summary'!U$64+'Weekly Summary'!U$65))-SUM($I62:Z62))),0)</f>
        <v>0</v>
      </c>
      <c r="AB62" s="1381">
        <f ca="1">MAX(IF($F62="No",('Equipment List &amp; Usage'!$O64*'Weekly Summary'!V$52)+('Equipment List &amp; Usage'!$P64*'Weekly Summary'!V$53)+('Equipment List &amp; Usage'!$Q64*('Weekly Summary'!V$52+'Weekly Summary'!V$53))+('Equipment List &amp; Usage'!$R64*'Weekly Summary'!V$64)+('Equipment List &amp; Usage'!$S64*'Weekly Summary'!V$65)+('Equipment List &amp; Usage'!$T64*('Weekly Summary'!V$64+'Weekly Summary'!V$65)),
IF(AB$10=0,('Equipment List &amp; Usage'!$O64*'Weekly Summary'!V$52)+('Equipment List &amp; Usage'!$P64*'Weekly Summary'!V$53)+('Equipment List &amp; Usage'!$Q64*('Weekly Summary'!V$52+'Weekly Summary'!V$53))+('Equipment List &amp; Usage'!$R64*'Weekly Summary'!V$64)+('Equipment List &amp; Usage'!$S64*'Weekly Summary'!V$65)+('Equipment List &amp; Usage'!$T64*('Weekly Summary'!V$64+'Weekly Summary'!V$65)),
('Equipment List &amp; Usage'!$O64*'Weekly Summary'!V$52)+('Equipment List &amp; Usage'!$P64*'Weekly Summary'!V$53)+('Equipment List &amp; Usage'!$Q64*('Weekly Summary'!V$52+'Weekly Summary'!V$53))+('Equipment List &amp; Usage'!$R64*'Weekly Summary'!V$64)+('Equipment List &amp; Usage'!$S64*'Weekly Summary'!V$65)+('Equipment List &amp; Usage'!$T64*('Weekly Summary'!V$64+'Weekly Summary'!V$65))-SUM($I62:AA62))),0)</f>
        <v>0</v>
      </c>
      <c r="AC62" s="1381">
        <f ca="1">MAX(IF($F62="No",('Equipment List &amp; Usage'!$O64*'Weekly Summary'!W$52)+('Equipment List &amp; Usage'!$P64*'Weekly Summary'!W$53)+('Equipment List &amp; Usage'!$Q64*('Weekly Summary'!W$52+'Weekly Summary'!W$53))+('Equipment List &amp; Usage'!$R64*'Weekly Summary'!W$64)+('Equipment List &amp; Usage'!$S64*'Weekly Summary'!W$65)+('Equipment List &amp; Usage'!$T64*('Weekly Summary'!W$64+'Weekly Summary'!W$65)),
IF(AC$10=0,('Equipment List &amp; Usage'!$O64*'Weekly Summary'!W$52)+('Equipment List &amp; Usage'!$P64*'Weekly Summary'!W$53)+('Equipment List &amp; Usage'!$Q64*('Weekly Summary'!W$52+'Weekly Summary'!W$53))+('Equipment List &amp; Usage'!$R64*'Weekly Summary'!W$64)+('Equipment List &amp; Usage'!$S64*'Weekly Summary'!W$65)+('Equipment List &amp; Usage'!$T64*('Weekly Summary'!W$64+'Weekly Summary'!W$65)),
('Equipment List &amp; Usage'!$O64*'Weekly Summary'!W$52)+('Equipment List &amp; Usage'!$P64*'Weekly Summary'!W$53)+('Equipment List &amp; Usage'!$Q64*('Weekly Summary'!W$52+'Weekly Summary'!W$53))+('Equipment List &amp; Usage'!$R64*'Weekly Summary'!W$64)+('Equipment List &amp; Usage'!$S64*'Weekly Summary'!W$65)+('Equipment List &amp; Usage'!$T64*('Weekly Summary'!W$64+'Weekly Summary'!W$65))-SUM($I62:AB62))),0)</f>
        <v>0</v>
      </c>
      <c r="AD62" s="1381">
        <f ca="1">MAX(IF($F62="No",('Equipment List &amp; Usage'!$O64*'Weekly Summary'!X$52)+('Equipment List &amp; Usage'!$P64*'Weekly Summary'!X$53)+('Equipment List &amp; Usage'!$Q64*('Weekly Summary'!X$52+'Weekly Summary'!X$53))+('Equipment List &amp; Usage'!$R64*'Weekly Summary'!X$64)+('Equipment List &amp; Usage'!$S64*'Weekly Summary'!X$65)+('Equipment List &amp; Usage'!$T64*('Weekly Summary'!X$64+'Weekly Summary'!X$65)),
IF(AD$10=0,('Equipment List &amp; Usage'!$O64*'Weekly Summary'!X$52)+('Equipment List &amp; Usage'!$P64*'Weekly Summary'!X$53)+('Equipment List &amp; Usage'!$Q64*('Weekly Summary'!X$52+'Weekly Summary'!X$53))+('Equipment List &amp; Usage'!$R64*'Weekly Summary'!X$64)+('Equipment List &amp; Usage'!$S64*'Weekly Summary'!X$65)+('Equipment List &amp; Usage'!$T64*('Weekly Summary'!X$64+'Weekly Summary'!X$65)),
('Equipment List &amp; Usage'!$O64*'Weekly Summary'!X$52)+('Equipment List &amp; Usage'!$P64*'Weekly Summary'!X$53)+('Equipment List &amp; Usage'!$Q64*('Weekly Summary'!X$52+'Weekly Summary'!X$53))+('Equipment List &amp; Usage'!$R64*'Weekly Summary'!X$64)+('Equipment List &amp; Usage'!$S64*'Weekly Summary'!X$65)+('Equipment List &amp; Usage'!$T64*('Weekly Summary'!X$64+'Weekly Summary'!X$65))-SUM($I62:AC62))),0)</f>
        <v>0</v>
      </c>
      <c r="AE62" s="1381">
        <f ca="1">MAX(IF($F62="No",('Equipment List &amp; Usage'!$O64*'Weekly Summary'!Y$52)+('Equipment List &amp; Usage'!$P64*'Weekly Summary'!Y$53)+('Equipment List &amp; Usage'!$Q64*('Weekly Summary'!Y$52+'Weekly Summary'!Y$53))+('Equipment List &amp; Usage'!$R64*'Weekly Summary'!Y$64)+('Equipment List &amp; Usage'!$S64*'Weekly Summary'!Y$65)+('Equipment List &amp; Usage'!$T64*('Weekly Summary'!Y$64+'Weekly Summary'!Y$65)),
IF(AE$10=0,('Equipment List &amp; Usage'!$O64*'Weekly Summary'!Y$52)+('Equipment List &amp; Usage'!$P64*'Weekly Summary'!Y$53)+('Equipment List &amp; Usage'!$Q64*('Weekly Summary'!Y$52+'Weekly Summary'!Y$53))+('Equipment List &amp; Usage'!$R64*'Weekly Summary'!Y$64)+('Equipment List &amp; Usage'!$S64*'Weekly Summary'!Y$65)+('Equipment List &amp; Usage'!$T64*('Weekly Summary'!Y$64+'Weekly Summary'!Y$65)),
('Equipment List &amp; Usage'!$O64*'Weekly Summary'!Y$52)+('Equipment List &amp; Usage'!$P64*'Weekly Summary'!Y$53)+('Equipment List &amp; Usage'!$Q64*('Weekly Summary'!Y$52+'Weekly Summary'!Y$53))+('Equipment List &amp; Usage'!$R64*'Weekly Summary'!Y$64)+('Equipment List &amp; Usage'!$S64*'Weekly Summary'!Y$65)+('Equipment List &amp; Usage'!$T64*('Weekly Summary'!Y$64+'Weekly Summary'!Y$65))-SUM($I62:AD62))),0)</f>
        <v>0</v>
      </c>
      <c r="AF62" s="1381">
        <f ca="1">MAX(IF($F62="No",('Equipment List &amp; Usage'!$O64*'Weekly Summary'!Z$52)+('Equipment List &amp; Usage'!$P64*'Weekly Summary'!Z$53)+('Equipment List &amp; Usage'!$Q64*('Weekly Summary'!Z$52+'Weekly Summary'!Z$53))+('Equipment List &amp; Usage'!$R64*'Weekly Summary'!Z$64)+('Equipment List &amp; Usage'!$S64*'Weekly Summary'!Z$65)+('Equipment List &amp; Usage'!$T64*('Weekly Summary'!Z$64+'Weekly Summary'!Z$65)),
IF(AF$10=0,('Equipment List &amp; Usage'!$O64*'Weekly Summary'!Z$52)+('Equipment List &amp; Usage'!$P64*'Weekly Summary'!Z$53)+('Equipment List &amp; Usage'!$Q64*('Weekly Summary'!Z$52+'Weekly Summary'!Z$53))+('Equipment List &amp; Usage'!$R64*'Weekly Summary'!Z$64)+('Equipment List &amp; Usage'!$S64*'Weekly Summary'!Z$65)+('Equipment List &amp; Usage'!$T64*('Weekly Summary'!Z$64+'Weekly Summary'!Z$65)),
('Equipment List &amp; Usage'!$O64*'Weekly Summary'!Z$52)+('Equipment List &amp; Usage'!$P64*'Weekly Summary'!Z$53)+('Equipment List &amp; Usage'!$Q64*('Weekly Summary'!Z$52+'Weekly Summary'!Z$53))+('Equipment List &amp; Usage'!$R64*'Weekly Summary'!Z$64)+('Equipment List &amp; Usage'!$S64*'Weekly Summary'!Z$65)+('Equipment List &amp; Usage'!$T64*('Weekly Summary'!Z$64+'Weekly Summary'!Z$65))-SUM($I62:AE62))),0)</f>
        <v>0</v>
      </c>
      <c r="AG62" s="1381">
        <f ca="1">MAX(IF($F62="No",('Equipment List &amp; Usage'!$O64*'Weekly Summary'!AA$52)+('Equipment List &amp; Usage'!$P64*'Weekly Summary'!AA$53)+('Equipment List &amp; Usage'!$Q64*('Weekly Summary'!AA$52+'Weekly Summary'!AA$53))+('Equipment List &amp; Usage'!$R64*'Weekly Summary'!AA$64)+('Equipment List &amp; Usage'!$S64*'Weekly Summary'!AA$65)+('Equipment List &amp; Usage'!$T64*('Weekly Summary'!AA$64+'Weekly Summary'!AA$65)),
IF(AG$10=0,('Equipment List &amp; Usage'!$O64*'Weekly Summary'!AA$52)+('Equipment List &amp; Usage'!$P64*'Weekly Summary'!AA$53)+('Equipment List &amp; Usage'!$Q64*('Weekly Summary'!AA$52+'Weekly Summary'!AA$53))+('Equipment List &amp; Usage'!$R64*'Weekly Summary'!AA$64)+('Equipment List &amp; Usage'!$S64*'Weekly Summary'!AA$65)+('Equipment List &amp; Usage'!$T64*('Weekly Summary'!AA$64+'Weekly Summary'!AA$65)),
('Equipment List &amp; Usage'!$O64*'Weekly Summary'!AA$52)+('Equipment List &amp; Usage'!$P64*'Weekly Summary'!AA$53)+('Equipment List &amp; Usage'!$Q64*('Weekly Summary'!AA$52+'Weekly Summary'!AA$53))+('Equipment List &amp; Usage'!$R64*'Weekly Summary'!AA$64)+('Equipment List &amp; Usage'!$S64*'Weekly Summary'!AA$65)+('Equipment List &amp; Usage'!$T64*('Weekly Summary'!AA$64+'Weekly Summary'!AA$65))-SUM($I62:AF62))),0)</f>
        <v>0</v>
      </c>
      <c r="AH62" s="1381">
        <f ca="1">MAX(IF($F62="No",('Equipment List &amp; Usage'!$O64*'Weekly Summary'!AB$52)+('Equipment List &amp; Usage'!$P64*'Weekly Summary'!AB$53)+('Equipment List &amp; Usage'!$Q64*('Weekly Summary'!AB$52+'Weekly Summary'!AB$53))+('Equipment List &amp; Usage'!$R64*'Weekly Summary'!AB$64)+('Equipment List &amp; Usage'!$S64*'Weekly Summary'!AB$65)+('Equipment List &amp; Usage'!$T64*('Weekly Summary'!AB$64+'Weekly Summary'!AB$65)),
IF(AH$10=0,('Equipment List &amp; Usage'!$O64*'Weekly Summary'!AB$52)+('Equipment List &amp; Usage'!$P64*'Weekly Summary'!AB$53)+('Equipment List &amp; Usage'!$Q64*('Weekly Summary'!AB$52+'Weekly Summary'!AB$53))+('Equipment List &amp; Usage'!$R64*'Weekly Summary'!AB$64)+('Equipment List &amp; Usage'!$S64*'Weekly Summary'!AB$65)+('Equipment List &amp; Usage'!$T64*('Weekly Summary'!AB$64+'Weekly Summary'!AB$65)),
('Equipment List &amp; Usage'!$O64*'Weekly Summary'!AB$52)+('Equipment List &amp; Usage'!$P64*'Weekly Summary'!AB$53)+('Equipment List &amp; Usage'!$Q64*('Weekly Summary'!AB$52+'Weekly Summary'!AB$53))+('Equipment List &amp; Usage'!$R64*'Weekly Summary'!AB$64)+('Equipment List &amp; Usage'!$S64*'Weekly Summary'!AB$65)+('Equipment List &amp; Usage'!$T64*('Weekly Summary'!AB$64+'Weekly Summary'!AB$65))-SUM($I62:AG62))),0)</f>
        <v>0</v>
      </c>
      <c r="AI62" s="1381">
        <f ca="1">MAX(IF($F62="No",('Equipment List &amp; Usage'!$O64*'Weekly Summary'!AC$52)+('Equipment List &amp; Usage'!$P64*'Weekly Summary'!AC$53)+('Equipment List &amp; Usage'!$Q64*('Weekly Summary'!AC$52+'Weekly Summary'!AC$53))+('Equipment List &amp; Usage'!$R64*'Weekly Summary'!AC$64)+('Equipment List &amp; Usage'!$S64*'Weekly Summary'!AC$65)+('Equipment List &amp; Usage'!$T64*('Weekly Summary'!AC$64+'Weekly Summary'!AC$65)),
IF(AI$10=0,('Equipment List &amp; Usage'!$O64*'Weekly Summary'!AC$52)+('Equipment List &amp; Usage'!$P64*'Weekly Summary'!AC$53)+('Equipment List &amp; Usage'!$Q64*('Weekly Summary'!AC$52+'Weekly Summary'!AC$53))+('Equipment List &amp; Usage'!$R64*'Weekly Summary'!AC$64)+('Equipment List &amp; Usage'!$S64*'Weekly Summary'!AC$65)+('Equipment List &amp; Usage'!$T64*('Weekly Summary'!AC$64+'Weekly Summary'!AC$65)),
('Equipment List &amp; Usage'!$O64*'Weekly Summary'!AC$52)+('Equipment List &amp; Usage'!$P64*'Weekly Summary'!AC$53)+('Equipment List &amp; Usage'!$Q64*('Weekly Summary'!AC$52+'Weekly Summary'!AC$53))+('Equipment List &amp; Usage'!$R64*'Weekly Summary'!AC$64)+('Equipment List &amp; Usage'!$S64*'Weekly Summary'!AC$65)+('Equipment List &amp; Usage'!$T64*('Weekly Summary'!AC$64+'Weekly Summary'!AC$65))-SUM($I62:AH62))),0)</f>
        <v>0</v>
      </c>
      <c r="AJ62" s="1381">
        <f ca="1">MAX(IF($F62="No",('Equipment List &amp; Usage'!$O64*'Weekly Summary'!AD$52)+('Equipment List &amp; Usage'!$P64*'Weekly Summary'!AD$53)+('Equipment List &amp; Usage'!$Q64*('Weekly Summary'!AD$52+'Weekly Summary'!AD$53))+('Equipment List &amp; Usage'!$R64*'Weekly Summary'!AD$64)+('Equipment List &amp; Usage'!$S64*'Weekly Summary'!AD$65)+('Equipment List &amp; Usage'!$T64*('Weekly Summary'!AD$64+'Weekly Summary'!AD$65)),
IF(AJ$10=0,('Equipment List &amp; Usage'!$O64*'Weekly Summary'!AD$52)+('Equipment List &amp; Usage'!$P64*'Weekly Summary'!AD$53)+('Equipment List &amp; Usage'!$Q64*('Weekly Summary'!AD$52+'Weekly Summary'!AD$53))+('Equipment List &amp; Usage'!$R64*'Weekly Summary'!AD$64)+('Equipment List &amp; Usage'!$S64*'Weekly Summary'!AD$65)+('Equipment List &amp; Usage'!$T64*('Weekly Summary'!AD$64+'Weekly Summary'!AD$65)),
('Equipment List &amp; Usage'!$O64*'Weekly Summary'!AD$52)+('Equipment List &amp; Usage'!$P64*'Weekly Summary'!AD$53)+('Equipment List &amp; Usage'!$Q64*('Weekly Summary'!AD$52+'Weekly Summary'!AD$53))+('Equipment List &amp; Usage'!$R64*'Weekly Summary'!AD$64)+('Equipment List &amp; Usage'!$S64*'Weekly Summary'!AD$65)+('Equipment List &amp; Usage'!$T64*('Weekly Summary'!AD$64+'Weekly Summary'!AD$65))-SUM($I62:AI62))),0)</f>
        <v>0</v>
      </c>
      <c r="AK62" s="1381">
        <f ca="1">MAX(IF($F62="No",('Equipment List &amp; Usage'!$O64*'Weekly Summary'!AE$52)+('Equipment List &amp; Usage'!$P64*'Weekly Summary'!AE$53)+('Equipment List &amp; Usage'!$Q64*('Weekly Summary'!AE$52+'Weekly Summary'!AE$53))+('Equipment List &amp; Usage'!$R64*'Weekly Summary'!AE$64)+('Equipment List &amp; Usage'!$S64*'Weekly Summary'!AE$65)+('Equipment List &amp; Usage'!$T64*('Weekly Summary'!AE$64+'Weekly Summary'!AE$65)),
IF(AK$10=0,('Equipment List &amp; Usage'!$O64*'Weekly Summary'!AE$52)+('Equipment List &amp; Usage'!$P64*'Weekly Summary'!AE$53)+('Equipment List &amp; Usage'!$Q64*('Weekly Summary'!AE$52+'Weekly Summary'!AE$53))+('Equipment List &amp; Usage'!$R64*'Weekly Summary'!AE$64)+('Equipment List &amp; Usage'!$S64*'Weekly Summary'!AE$65)+('Equipment List &amp; Usage'!$T64*('Weekly Summary'!AE$64+'Weekly Summary'!AE$65)),
('Equipment List &amp; Usage'!$O64*'Weekly Summary'!AE$52)+('Equipment List &amp; Usage'!$P64*'Weekly Summary'!AE$53)+('Equipment List &amp; Usage'!$Q64*('Weekly Summary'!AE$52+'Weekly Summary'!AE$53))+('Equipment List &amp; Usage'!$R64*'Weekly Summary'!AE$64)+('Equipment List &amp; Usage'!$S64*'Weekly Summary'!AE$65)+('Equipment List &amp; Usage'!$T64*('Weekly Summary'!AE$64+'Weekly Summary'!AE$65))-SUM($I62:AJ62))),0)</f>
        <v>0</v>
      </c>
      <c r="AL62" s="1381">
        <f ca="1">MAX(IF($F62="No",('Equipment List &amp; Usage'!$O64*'Weekly Summary'!AF$52)+('Equipment List &amp; Usage'!$P64*'Weekly Summary'!AF$53)+('Equipment List &amp; Usage'!$Q64*('Weekly Summary'!AF$52+'Weekly Summary'!AF$53))+('Equipment List &amp; Usage'!$R64*'Weekly Summary'!AF$64)+('Equipment List &amp; Usage'!$S64*'Weekly Summary'!AF$65)+('Equipment List &amp; Usage'!$T64*('Weekly Summary'!AF$64+'Weekly Summary'!AF$65)),
IF(AL$10=0,('Equipment List &amp; Usage'!$O64*'Weekly Summary'!AF$52)+('Equipment List &amp; Usage'!$P64*'Weekly Summary'!AF$53)+('Equipment List &amp; Usage'!$Q64*('Weekly Summary'!AF$52+'Weekly Summary'!AF$53))+('Equipment List &amp; Usage'!$R64*'Weekly Summary'!AF$64)+('Equipment List &amp; Usage'!$S64*'Weekly Summary'!AF$65)+('Equipment List &amp; Usage'!$T64*('Weekly Summary'!AF$64+'Weekly Summary'!AF$65)),
('Equipment List &amp; Usage'!$O64*'Weekly Summary'!AF$52)+('Equipment List &amp; Usage'!$P64*'Weekly Summary'!AF$53)+('Equipment List &amp; Usage'!$Q64*('Weekly Summary'!AF$52+'Weekly Summary'!AF$53))+('Equipment List &amp; Usage'!$R64*'Weekly Summary'!AF$64)+('Equipment List &amp; Usage'!$S64*'Weekly Summary'!AF$65)+('Equipment List &amp; Usage'!$T64*('Weekly Summary'!AF$64+'Weekly Summary'!AF$65))-SUM($I62:AK62))),0)</f>
        <v>0</v>
      </c>
      <c r="AM62" s="1381">
        <f ca="1">MAX(IF($F62="No",('Equipment List &amp; Usage'!$O64*'Weekly Summary'!AG$52)+('Equipment List &amp; Usage'!$P64*'Weekly Summary'!AG$53)+('Equipment List &amp; Usage'!$Q64*('Weekly Summary'!AG$52+'Weekly Summary'!AG$53))+('Equipment List &amp; Usage'!$R64*'Weekly Summary'!AG$64)+('Equipment List &amp; Usage'!$S64*'Weekly Summary'!AG$65)+('Equipment List &amp; Usage'!$T64*('Weekly Summary'!AG$64+'Weekly Summary'!AG$65)),
IF(AM$10=0,('Equipment List &amp; Usage'!$O64*'Weekly Summary'!AG$52)+('Equipment List &amp; Usage'!$P64*'Weekly Summary'!AG$53)+('Equipment List &amp; Usage'!$Q64*('Weekly Summary'!AG$52+'Weekly Summary'!AG$53))+('Equipment List &amp; Usage'!$R64*'Weekly Summary'!AG$64)+('Equipment List &amp; Usage'!$S64*'Weekly Summary'!AG$65)+('Equipment List &amp; Usage'!$T64*('Weekly Summary'!AG$64+'Weekly Summary'!AG$65)),
('Equipment List &amp; Usage'!$O64*'Weekly Summary'!AG$52)+('Equipment List &amp; Usage'!$P64*'Weekly Summary'!AG$53)+('Equipment List &amp; Usage'!$Q64*('Weekly Summary'!AG$52+'Weekly Summary'!AG$53))+('Equipment List &amp; Usage'!$R64*'Weekly Summary'!AG$64)+('Equipment List &amp; Usage'!$S64*'Weekly Summary'!AG$65)+('Equipment List &amp; Usage'!$T64*('Weekly Summary'!AG$64+'Weekly Summary'!AG$65))-SUM($I62:AL62))),0)</f>
        <v>0</v>
      </c>
      <c r="AN62" s="1381">
        <f ca="1">MAX(IF($F62="No",('Equipment List &amp; Usage'!$O64*'Weekly Summary'!AH$52)+('Equipment List &amp; Usage'!$P64*'Weekly Summary'!AH$53)+('Equipment List &amp; Usage'!$Q64*('Weekly Summary'!AH$52+'Weekly Summary'!AH$53))+('Equipment List &amp; Usage'!$R64*'Weekly Summary'!AH$64)+('Equipment List &amp; Usage'!$S64*'Weekly Summary'!AH$65)+('Equipment List &amp; Usage'!$T64*('Weekly Summary'!AH$64+'Weekly Summary'!AH$65)),
IF(AN$10=0,('Equipment List &amp; Usage'!$O64*'Weekly Summary'!AH$52)+('Equipment List &amp; Usage'!$P64*'Weekly Summary'!AH$53)+('Equipment List &amp; Usage'!$Q64*('Weekly Summary'!AH$52+'Weekly Summary'!AH$53))+('Equipment List &amp; Usage'!$R64*'Weekly Summary'!AH$64)+('Equipment List &amp; Usage'!$S64*'Weekly Summary'!AH$65)+('Equipment List &amp; Usage'!$T64*('Weekly Summary'!AH$64+'Weekly Summary'!AH$65)),
('Equipment List &amp; Usage'!$O64*'Weekly Summary'!AH$52)+('Equipment List &amp; Usage'!$P64*'Weekly Summary'!AH$53)+('Equipment List &amp; Usage'!$Q64*('Weekly Summary'!AH$52+'Weekly Summary'!AH$53))+('Equipment List &amp; Usage'!$R64*'Weekly Summary'!AH$64)+('Equipment List &amp; Usage'!$S64*'Weekly Summary'!AH$65)+('Equipment List &amp; Usage'!$T64*('Weekly Summary'!AH$64+'Weekly Summary'!AH$65))-SUM($I62:AM62))),0)</f>
        <v>0</v>
      </c>
      <c r="AO62" s="1381">
        <f ca="1">MAX(IF($F62="No",('Equipment List &amp; Usage'!$O64*'Weekly Summary'!AI$52)+('Equipment List &amp; Usage'!$P64*'Weekly Summary'!AI$53)+('Equipment List &amp; Usage'!$Q64*('Weekly Summary'!AI$52+'Weekly Summary'!AI$53))+('Equipment List &amp; Usage'!$R64*'Weekly Summary'!AI$64)+('Equipment List &amp; Usage'!$S64*'Weekly Summary'!AI$65)+('Equipment List &amp; Usage'!$T64*('Weekly Summary'!AI$64+'Weekly Summary'!AI$65)),
IF(AO$10=0,('Equipment List &amp; Usage'!$O64*'Weekly Summary'!AI$52)+('Equipment List &amp; Usage'!$P64*'Weekly Summary'!AI$53)+('Equipment List &amp; Usage'!$Q64*('Weekly Summary'!AI$52+'Weekly Summary'!AI$53))+('Equipment List &amp; Usage'!$R64*'Weekly Summary'!AI$64)+('Equipment List &amp; Usage'!$S64*'Weekly Summary'!AI$65)+('Equipment List &amp; Usage'!$T64*('Weekly Summary'!AI$64+'Weekly Summary'!AI$65)),
('Equipment List &amp; Usage'!$O64*'Weekly Summary'!AI$52)+('Equipment List &amp; Usage'!$P64*'Weekly Summary'!AI$53)+('Equipment List &amp; Usage'!$Q64*('Weekly Summary'!AI$52+'Weekly Summary'!AI$53))+('Equipment List &amp; Usage'!$R64*'Weekly Summary'!AI$64)+('Equipment List &amp; Usage'!$S64*'Weekly Summary'!AI$65)+('Equipment List &amp; Usage'!$T64*('Weekly Summary'!AI$64+'Weekly Summary'!AI$65))-SUM($I62:AN62))),0)</f>
        <v>0</v>
      </c>
      <c r="AP62" s="1381">
        <f ca="1">MAX(IF($F62="No",('Equipment List &amp; Usage'!$O64*'Weekly Summary'!AJ$52)+('Equipment List &amp; Usage'!$P64*'Weekly Summary'!AJ$53)+('Equipment List &amp; Usage'!$Q64*('Weekly Summary'!AJ$52+'Weekly Summary'!AJ$53))+('Equipment List &amp; Usage'!$R64*'Weekly Summary'!AJ$64)+('Equipment List &amp; Usage'!$S64*'Weekly Summary'!AJ$65)+('Equipment List &amp; Usage'!$T64*('Weekly Summary'!AJ$64+'Weekly Summary'!AJ$65)),
IF(AP$10=0,('Equipment List &amp; Usage'!$O64*'Weekly Summary'!AJ$52)+('Equipment List &amp; Usage'!$P64*'Weekly Summary'!AJ$53)+('Equipment List &amp; Usage'!$Q64*('Weekly Summary'!AJ$52+'Weekly Summary'!AJ$53))+('Equipment List &amp; Usage'!$R64*'Weekly Summary'!AJ$64)+('Equipment List &amp; Usage'!$S64*'Weekly Summary'!AJ$65)+('Equipment List &amp; Usage'!$T64*('Weekly Summary'!AJ$64+'Weekly Summary'!AJ$65)),
('Equipment List &amp; Usage'!$O64*'Weekly Summary'!AJ$52)+('Equipment List &amp; Usage'!$P64*'Weekly Summary'!AJ$53)+('Equipment List &amp; Usage'!$Q64*('Weekly Summary'!AJ$52+'Weekly Summary'!AJ$53))+('Equipment List &amp; Usage'!$R64*'Weekly Summary'!AJ$64)+('Equipment List &amp; Usage'!$S64*'Weekly Summary'!AJ$65)+('Equipment List &amp; Usage'!$T64*('Weekly Summary'!AJ$64+'Weekly Summary'!AJ$65))-SUM($I62:AO62))),0)</f>
        <v>0</v>
      </c>
      <c r="AQ62" s="1381">
        <f ca="1">MAX(IF($F62="No",('Equipment List &amp; Usage'!$O64*'Weekly Summary'!AK$52)+('Equipment List &amp; Usage'!$P64*'Weekly Summary'!AK$53)+('Equipment List &amp; Usage'!$Q64*('Weekly Summary'!AK$52+'Weekly Summary'!AK$53))+('Equipment List &amp; Usage'!$R64*'Weekly Summary'!AK$64)+('Equipment List &amp; Usage'!$S64*'Weekly Summary'!AK$65)+('Equipment List &amp; Usage'!$T64*('Weekly Summary'!AK$64+'Weekly Summary'!AK$65)),
IF(AQ$10=0,('Equipment List &amp; Usage'!$O64*'Weekly Summary'!AK$52)+('Equipment List &amp; Usage'!$P64*'Weekly Summary'!AK$53)+('Equipment List &amp; Usage'!$Q64*('Weekly Summary'!AK$52+'Weekly Summary'!AK$53))+('Equipment List &amp; Usage'!$R64*'Weekly Summary'!AK$64)+('Equipment List &amp; Usage'!$S64*'Weekly Summary'!AK$65)+('Equipment List &amp; Usage'!$T64*('Weekly Summary'!AK$64+'Weekly Summary'!AK$65)),
('Equipment List &amp; Usage'!$O64*'Weekly Summary'!AK$52)+('Equipment List &amp; Usage'!$P64*'Weekly Summary'!AK$53)+('Equipment List &amp; Usage'!$Q64*('Weekly Summary'!AK$52+'Weekly Summary'!AK$53))+('Equipment List &amp; Usage'!$R64*'Weekly Summary'!AK$64)+('Equipment List &amp; Usage'!$S64*'Weekly Summary'!AK$65)+('Equipment List &amp; Usage'!$T64*('Weekly Summary'!AK$64+'Weekly Summary'!AK$65))-SUM($I62:AP62))),0)</f>
        <v>0</v>
      </c>
      <c r="AR62" s="1381">
        <f ca="1">MAX(IF($F62="No",('Equipment List &amp; Usage'!$O64*'Weekly Summary'!AL$52)+('Equipment List &amp; Usage'!$P64*'Weekly Summary'!AL$53)+('Equipment List &amp; Usage'!$Q64*('Weekly Summary'!AL$52+'Weekly Summary'!AL$53))+('Equipment List &amp; Usage'!$R64*'Weekly Summary'!AL$64)+('Equipment List &amp; Usage'!$S64*'Weekly Summary'!AL$65)+('Equipment List &amp; Usage'!$T64*('Weekly Summary'!AL$64+'Weekly Summary'!AL$65)),
IF(AR$10=0,('Equipment List &amp; Usage'!$O64*'Weekly Summary'!AL$52)+('Equipment List &amp; Usage'!$P64*'Weekly Summary'!AL$53)+('Equipment List &amp; Usage'!$Q64*('Weekly Summary'!AL$52+'Weekly Summary'!AL$53))+('Equipment List &amp; Usage'!$R64*'Weekly Summary'!AL$64)+('Equipment List &amp; Usage'!$S64*'Weekly Summary'!AL$65)+('Equipment List &amp; Usage'!$T64*('Weekly Summary'!AL$64+'Weekly Summary'!AL$65)),
('Equipment List &amp; Usage'!$O64*'Weekly Summary'!AL$52)+('Equipment List &amp; Usage'!$P64*'Weekly Summary'!AL$53)+('Equipment List &amp; Usage'!$Q64*('Weekly Summary'!AL$52+'Weekly Summary'!AL$53))+('Equipment List &amp; Usage'!$R64*'Weekly Summary'!AL$64)+('Equipment List &amp; Usage'!$S64*'Weekly Summary'!AL$65)+('Equipment List &amp; Usage'!$T64*('Weekly Summary'!AL$64+'Weekly Summary'!AL$65))-SUM($I62:AQ62))),0)</f>
        <v>0</v>
      </c>
      <c r="AS62" s="1381">
        <f ca="1">MAX(IF($F62="No",('Equipment List &amp; Usage'!$O64*'Weekly Summary'!AM$52)+('Equipment List &amp; Usage'!$P64*'Weekly Summary'!AM$53)+('Equipment List &amp; Usage'!$Q64*('Weekly Summary'!AM$52+'Weekly Summary'!AM$53))+('Equipment List &amp; Usage'!$R64*'Weekly Summary'!AM$64)+('Equipment List &amp; Usage'!$S64*'Weekly Summary'!AM$65)+('Equipment List &amp; Usage'!$T64*('Weekly Summary'!AM$64+'Weekly Summary'!AM$65)),
IF(AS$10=0,('Equipment List &amp; Usage'!$O64*'Weekly Summary'!AM$52)+('Equipment List &amp; Usage'!$P64*'Weekly Summary'!AM$53)+('Equipment List &amp; Usage'!$Q64*('Weekly Summary'!AM$52+'Weekly Summary'!AM$53))+('Equipment List &amp; Usage'!$R64*'Weekly Summary'!AM$64)+('Equipment List &amp; Usage'!$S64*'Weekly Summary'!AM$65)+('Equipment List &amp; Usage'!$T64*('Weekly Summary'!AM$64+'Weekly Summary'!AM$65)),
('Equipment List &amp; Usage'!$O64*'Weekly Summary'!AM$52)+('Equipment List &amp; Usage'!$P64*'Weekly Summary'!AM$53)+('Equipment List &amp; Usage'!$Q64*('Weekly Summary'!AM$52+'Weekly Summary'!AM$53))+('Equipment List &amp; Usage'!$R64*'Weekly Summary'!AM$64)+('Equipment List &amp; Usage'!$S64*'Weekly Summary'!AM$65)+('Equipment List &amp; Usage'!$T64*('Weekly Summary'!AM$64+'Weekly Summary'!AM$65))-SUM($I62:AR62))),0)</f>
        <v>0</v>
      </c>
      <c r="AT62" s="1381">
        <f ca="1">MAX(IF($F62="No",('Equipment List &amp; Usage'!$O64*'Weekly Summary'!AN$52)+('Equipment List &amp; Usage'!$P64*'Weekly Summary'!AN$53)+('Equipment List &amp; Usage'!$Q64*('Weekly Summary'!AN$52+'Weekly Summary'!AN$53))+('Equipment List &amp; Usage'!$R64*'Weekly Summary'!AN$64)+('Equipment List &amp; Usage'!$S64*'Weekly Summary'!AN$65)+('Equipment List &amp; Usage'!$T64*('Weekly Summary'!AN$64+'Weekly Summary'!AN$65)),
IF(AT$10=0,('Equipment List &amp; Usage'!$O64*'Weekly Summary'!AN$52)+('Equipment List &amp; Usage'!$P64*'Weekly Summary'!AN$53)+('Equipment List &amp; Usage'!$Q64*('Weekly Summary'!AN$52+'Weekly Summary'!AN$53))+('Equipment List &amp; Usage'!$R64*'Weekly Summary'!AN$64)+('Equipment List &amp; Usage'!$S64*'Weekly Summary'!AN$65)+('Equipment List &amp; Usage'!$T64*('Weekly Summary'!AN$64+'Weekly Summary'!AN$65)),
('Equipment List &amp; Usage'!$O64*'Weekly Summary'!AN$52)+('Equipment List &amp; Usage'!$P64*'Weekly Summary'!AN$53)+('Equipment List &amp; Usage'!$Q64*('Weekly Summary'!AN$52+'Weekly Summary'!AN$53))+('Equipment List &amp; Usage'!$R64*'Weekly Summary'!AN$64)+('Equipment List &amp; Usage'!$S64*'Weekly Summary'!AN$65)+('Equipment List &amp; Usage'!$T64*('Weekly Summary'!AN$64+'Weekly Summary'!AN$65))-SUM($I62:AS62))),0)</f>
        <v>0</v>
      </c>
      <c r="AU62" s="1381">
        <f ca="1">MAX(IF($F62="No",('Equipment List &amp; Usage'!$O64*'Weekly Summary'!AO$52)+('Equipment List &amp; Usage'!$P64*'Weekly Summary'!AO$53)+('Equipment List &amp; Usage'!$Q64*('Weekly Summary'!AO$52+'Weekly Summary'!AO$53))+('Equipment List &amp; Usage'!$R64*'Weekly Summary'!AO$64)+('Equipment List &amp; Usage'!$S64*'Weekly Summary'!AO$65)+('Equipment List &amp; Usage'!$T64*('Weekly Summary'!AO$64+'Weekly Summary'!AO$65)),
IF(AU$10=0,('Equipment List &amp; Usage'!$O64*'Weekly Summary'!AO$52)+('Equipment List &amp; Usage'!$P64*'Weekly Summary'!AO$53)+('Equipment List &amp; Usage'!$Q64*('Weekly Summary'!AO$52+'Weekly Summary'!AO$53))+('Equipment List &amp; Usage'!$R64*'Weekly Summary'!AO$64)+('Equipment List &amp; Usage'!$S64*'Weekly Summary'!AO$65)+('Equipment List &amp; Usage'!$T64*('Weekly Summary'!AO$64+'Weekly Summary'!AO$65)),
('Equipment List &amp; Usage'!$O64*'Weekly Summary'!AO$52)+('Equipment List &amp; Usage'!$P64*'Weekly Summary'!AO$53)+('Equipment List &amp; Usage'!$Q64*('Weekly Summary'!AO$52+'Weekly Summary'!AO$53))+('Equipment List &amp; Usage'!$R64*'Weekly Summary'!AO$64)+('Equipment List &amp; Usage'!$S64*'Weekly Summary'!AO$65)+('Equipment List &amp; Usage'!$T64*('Weekly Summary'!AO$64+'Weekly Summary'!AO$65))-SUM($I62:AT62))),0)</f>
        <v>0</v>
      </c>
      <c r="AV62" s="1381">
        <f ca="1">MAX(IF($F62="No",('Equipment List &amp; Usage'!$O64*'Weekly Summary'!AP$52)+('Equipment List &amp; Usage'!$P64*'Weekly Summary'!AP$53)+('Equipment List &amp; Usage'!$Q64*('Weekly Summary'!AP$52+'Weekly Summary'!AP$53))+('Equipment List &amp; Usage'!$R64*'Weekly Summary'!AP$64)+('Equipment List &amp; Usage'!$S64*'Weekly Summary'!AP$65)+('Equipment List &amp; Usage'!$T64*('Weekly Summary'!AP$64+'Weekly Summary'!AP$65)),
IF(AV$10=0,('Equipment List &amp; Usage'!$O64*'Weekly Summary'!AP$52)+('Equipment List &amp; Usage'!$P64*'Weekly Summary'!AP$53)+('Equipment List &amp; Usage'!$Q64*('Weekly Summary'!AP$52+'Weekly Summary'!AP$53))+('Equipment List &amp; Usage'!$R64*'Weekly Summary'!AP$64)+('Equipment List &amp; Usage'!$S64*'Weekly Summary'!AP$65)+('Equipment List &amp; Usage'!$T64*('Weekly Summary'!AP$64+'Weekly Summary'!AP$65)),
('Equipment List &amp; Usage'!$O64*'Weekly Summary'!AP$52)+('Equipment List &amp; Usage'!$P64*'Weekly Summary'!AP$53)+('Equipment List &amp; Usage'!$Q64*('Weekly Summary'!AP$52+'Weekly Summary'!AP$53))+('Equipment List &amp; Usage'!$R64*'Weekly Summary'!AP$64)+('Equipment List &amp; Usage'!$S64*'Weekly Summary'!AP$65)+('Equipment List &amp; Usage'!$T64*('Weekly Summary'!AP$64+'Weekly Summary'!AP$65))-SUM($I62:AU62))),0)</f>
        <v>0</v>
      </c>
      <c r="AW62" s="1381">
        <f ca="1">MAX(IF($F62="No",('Equipment List &amp; Usage'!$O64*'Weekly Summary'!AQ$52)+('Equipment List &amp; Usage'!$P64*'Weekly Summary'!AQ$53)+('Equipment List &amp; Usage'!$Q64*('Weekly Summary'!AQ$52+'Weekly Summary'!AQ$53))+('Equipment List &amp; Usage'!$R64*'Weekly Summary'!AQ$64)+('Equipment List &amp; Usage'!$S64*'Weekly Summary'!AQ$65)+('Equipment List &amp; Usage'!$T64*('Weekly Summary'!AQ$64+'Weekly Summary'!AQ$65)),
IF(AW$10=0,('Equipment List &amp; Usage'!$O64*'Weekly Summary'!AQ$52)+('Equipment List &amp; Usage'!$P64*'Weekly Summary'!AQ$53)+('Equipment List &amp; Usage'!$Q64*('Weekly Summary'!AQ$52+'Weekly Summary'!AQ$53))+('Equipment List &amp; Usage'!$R64*'Weekly Summary'!AQ$64)+('Equipment List &amp; Usage'!$S64*'Weekly Summary'!AQ$65)+('Equipment List &amp; Usage'!$T64*('Weekly Summary'!AQ$64+'Weekly Summary'!AQ$65)),
('Equipment List &amp; Usage'!$O64*'Weekly Summary'!AQ$52)+('Equipment List &amp; Usage'!$P64*'Weekly Summary'!AQ$53)+('Equipment List &amp; Usage'!$Q64*('Weekly Summary'!AQ$52+'Weekly Summary'!AQ$53))+('Equipment List &amp; Usage'!$R64*'Weekly Summary'!AQ$64)+('Equipment List &amp; Usage'!$S64*'Weekly Summary'!AQ$65)+('Equipment List &amp; Usage'!$T64*('Weekly Summary'!AQ$64+'Weekly Summary'!AQ$65))-SUM($I62:AV62))),0)</f>
        <v>0</v>
      </c>
      <c r="AX62" s="1381">
        <f ca="1">MAX(IF($F62="No",('Equipment List &amp; Usage'!$O64*'Weekly Summary'!AR$52)+('Equipment List &amp; Usage'!$P64*'Weekly Summary'!AR$53)+('Equipment List &amp; Usage'!$Q64*('Weekly Summary'!AR$52+'Weekly Summary'!AR$53))+('Equipment List &amp; Usage'!$R64*'Weekly Summary'!AR$64)+('Equipment List &amp; Usage'!$S64*'Weekly Summary'!AR$65)+('Equipment List &amp; Usage'!$T64*('Weekly Summary'!AR$64+'Weekly Summary'!AR$65)),
IF(AX$10=0,('Equipment List &amp; Usage'!$O64*'Weekly Summary'!AR$52)+('Equipment List &amp; Usage'!$P64*'Weekly Summary'!AR$53)+('Equipment List &amp; Usage'!$Q64*('Weekly Summary'!AR$52+'Weekly Summary'!AR$53))+('Equipment List &amp; Usage'!$R64*'Weekly Summary'!AR$64)+('Equipment List &amp; Usage'!$S64*'Weekly Summary'!AR$65)+('Equipment List &amp; Usage'!$T64*('Weekly Summary'!AR$64+'Weekly Summary'!AR$65)),
('Equipment List &amp; Usage'!$O64*'Weekly Summary'!AR$52)+('Equipment List &amp; Usage'!$P64*'Weekly Summary'!AR$53)+('Equipment List &amp; Usage'!$Q64*('Weekly Summary'!AR$52+'Weekly Summary'!AR$53))+('Equipment List &amp; Usage'!$R64*'Weekly Summary'!AR$64)+('Equipment List &amp; Usage'!$S64*'Weekly Summary'!AR$65)+('Equipment List &amp; Usage'!$T64*('Weekly Summary'!AR$64+'Weekly Summary'!AR$65))-SUM($I62:AW62))),0)</f>
        <v>0</v>
      </c>
      <c r="AY62" s="1381">
        <f ca="1">MAX(IF($F62="No",('Equipment List &amp; Usage'!$O64*'Weekly Summary'!AS$52)+('Equipment List &amp; Usage'!$P64*'Weekly Summary'!AS$53)+('Equipment List &amp; Usage'!$Q64*('Weekly Summary'!AS$52+'Weekly Summary'!AS$53))+('Equipment List &amp; Usage'!$R64*'Weekly Summary'!AS$64)+('Equipment List &amp; Usage'!$S64*'Weekly Summary'!AS$65)+('Equipment List &amp; Usage'!$T64*('Weekly Summary'!AS$64+'Weekly Summary'!AS$65)),
IF(AY$10=0,('Equipment List &amp; Usage'!$O64*'Weekly Summary'!AS$52)+('Equipment List &amp; Usage'!$P64*'Weekly Summary'!AS$53)+('Equipment List &amp; Usage'!$Q64*('Weekly Summary'!AS$52+'Weekly Summary'!AS$53))+('Equipment List &amp; Usage'!$R64*'Weekly Summary'!AS$64)+('Equipment List &amp; Usage'!$S64*'Weekly Summary'!AS$65)+('Equipment List &amp; Usage'!$T64*('Weekly Summary'!AS$64+'Weekly Summary'!AS$65)),
('Equipment List &amp; Usage'!$O64*'Weekly Summary'!AS$52)+('Equipment List &amp; Usage'!$P64*'Weekly Summary'!AS$53)+('Equipment List &amp; Usage'!$Q64*('Weekly Summary'!AS$52+'Weekly Summary'!AS$53))+('Equipment List &amp; Usage'!$R64*'Weekly Summary'!AS$64)+('Equipment List &amp; Usage'!$S64*'Weekly Summary'!AS$65)+('Equipment List &amp; Usage'!$T64*('Weekly Summary'!AS$64+'Weekly Summary'!AS$65))-SUM($I62:AX62))),0)</f>
        <v>0</v>
      </c>
      <c r="AZ62" s="1381">
        <f ca="1">MAX(IF($F62="No",('Equipment List &amp; Usage'!$O64*'Weekly Summary'!AT$52)+('Equipment List &amp; Usage'!$P64*'Weekly Summary'!AT$53)+('Equipment List &amp; Usage'!$Q64*('Weekly Summary'!AT$52+'Weekly Summary'!AT$53))+('Equipment List &amp; Usage'!$R64*'Weekly Summary'!AT$64)+('Equipment List &amp; Usage'!$S64*'Weekly Summary'!AT$65)+('Equipment List &amp; Usage'!$T64*('Weekly Summary'!AT$64+'Weekly Summary'!AT$65)),
IF(AZ$10=0,('Equipment List &amp; Usage'!$O64*'Weekly Summary'!AT$52)+('Equipment List &amp; Usage'!$P64*'Weekly Summary'!AT$53)+('Equipment List &amp; Usage'!$Q64*('Weekly Summary'!AT$52+'Weekly Summary'!AT$53))+('Equipment List &amp; Usage'!$R64*'Weekly Summary'!AT$64)+('Equipment List &amp; Usage'!$S64*'Weekly Summary'!AT$65)+('Equipment List &amp; Usage'!$T64*('Weekly Summary'!AT$64+'Weekly Summary'!AT$65)),
('Equipment List &amp; Usage'!$O64*'Weekly Summary'!AT$52)+('Equipment List &amp; Usage'!$P64*'Weekly Summary'!AT$53)+('Equipment List &amp; Usage'!$Q64*('Weekly Summary'!AT$52+'Weekly Summary'!AT$53))+('Equipment List &amp; Usage'!$R64*'Weekly Summary'!AT$64)+('Equipment List &amp; Usage'!$S64*'Weekly Summary'!AT$65)+('Equipment List &amp; Usage'!$T64*('Weekly Summary'!AT$64+'Weekly Summary'!AT$65))-SUM($I62:AY62))),0)</f>
        <v>0</v>
      </c>
      <c r="BA62" s="1381">
        <f ca="1">MAX(IF($F62="No",('Equipment List &amp; Usage'!$O64*'Weekly Summary'!AU$52)+('Equipment List &amp; Usage'!$P64*'Weekly Summary'!AU$53)+('Equipment List &amp; Usage'!$Q64*('Weekly Summary'!AU$52+'Weekly Summary'!AU$53))+('Equipment List &amp; Usage'!$R64*'Weekly Summary'!AU$64)+('Equipment List &amp; Usage'!$S64*'Weekly Summary'!AU$65)+('Equipment List &amp; Usage'!$T64*('Weekly Summary'!AU$64+'Weekly Summary'!AU$65)),
IF(BA$10=0,('Equipment List &amp; Usage'!$O64*'Weekly Summary'!AU$52)+('Equipment List &amp; Usage'!$P64*'Weekly Summary'!AU$53)+('Equipment List &amp; Usage'!$Q64*('Weekly Summary'!AU$52+'Weekly Summary'!AU$53))+('Equipment List &amp; Usage'!$R64*'Weekly Summary'!AU$64)+('Equipment List &amp; Usage'!$S64*'Weekly Summary'!AU$65)+('Equipment List &amp; Usage'!$T64*('Weekly Summary'!AU$64+'Weekly Summary'!AU$65)),
('Equipment List &amp; Usage'!$O64*'Weekly Summary'!AU$52)+('Equipment List &amp; Usage'!$P64*'Weekly Summary'!AU$53)+('Equipment List &amp; Usage'!$Q64*('Weekly Summary'!AU$52+'Weekly Summary'!AU$53))+('Equipment List &amp; Usage'!$R64*'Weekly Summary'!AU$64)+('Equipment List &amp; Usage'!$S64*'Weekly Summary'!AU$65)+('Equipment List &amp; Usage'!$T64*('Weekly Summary'!AU$64+'Weekly Summary'!AU$65))-SUM($I62:AZ62))),0)</f>
        <v>0</v>
      </c>
      <c r="BB62" s="1381">
        <f ca="1">MAX(IF($F62="No",('Equipment List &amp; Usage'!$O64*'Weekly Summary'!AV$52)+('Equipment List &amp; Usage'!$P64*'Weekly Summary'!AV$53)+('Equipment List &amp; Usage'!$Q64*('Weekly Summary'!AV$52+'Weekly Summary'!AV$53))+('Equipment List &amp; Usage'!$R64*'Weekly Summary'!AV$64)+('Equipment List &amp; Usage'!$S64*'Weekly Summary'!AV$65)+('Equipment List &amp; Usage'!$T64*('Weekly Summary'!AV$64+'Weekly Summary'!AV$65)),
IF(BB$10=0,('Equipment List &amp; Usage'!$O64*'Weekly Summary'!AV$52)+('Equipment List &amp; Usage'!$P64*'Weekly Summary'!AV$53)+('Equipment List &amp; Usage'!$Q64*('Weekly Summary'!AV$52+'Weekly Summary'!AV$53))+('Equipment List &amp; Usage'!$R64*'Weekly Summary'!AV$64)+('Equipment List &amp; Usage'!$S64*'Weekly Summary'!AV$65)+('Equipment List &amp; Usage'!$T64*('Weekly Summary'!AV$64+'Weekly Summary'!AV$65)),
('Equipment List &amp; Usage'!$O64*'Weekly Summary'!AV$52)+('Equipment List &amp; Usage'!$P64*'Weekly Summary'!AV$53)+('Equipment List &amp; Usage'!$Q64*('Weekly Summary'!AV$52+'Weekly Summary'!AV$53))+('Equipment List &amp; Usage'!$R64*'Weekly Summary'!AV$64)+('Equipment List &amp; Usage'!$S64*'Weekly Summary'!AV$65)+('Equipment List &amp; Usage'!$T64*('Weekly Summary'!AV$64+'Weekly Summary'!AV$65))-SUM($I62:BA62))),0)</f>
        <v>0</v>
      </c>
      <c r="BC62" s="1381">
        <f ca="1">MAX(IF($F62="No",('Equipment List &amp; Usage'!$O64*'Weekly Summary'!AW$52)+('Equipment List &amp; Usage'!$P64*'Weekly Summary'!AW$53)+('Equipment List &amp; Usage'!$Q64*('Weekly Summary'!AW$52+'Weekly Summary'!AW$53))+('Equipment List &amp; Usage'!$R64*'Weekly Summary'!AW$64)+('Equipment List &amp; Usage'!$S64*'Weekly Summary'!AW$65)+('Equipment List &amp; Usage'!$T64*('Weekly Summary'!AW$64+'Weekly Summary'!AW$65)),
IF(BC$10=0,('Equipment List &amp; Usage'!$O64*'Weekly Summary'!AW$52)+('Equipment List &amp; Usage'!$P64*'Weekly Summary'!AW$53)+('Equipment List &amp; Usage'!$Q64*('Weekly Summary'!AW$52+'Weekly Summary'!AW$53))+('Equipment List &amp; Usage'!$R64*'Weekly Summary'!AW$64)+('Equipment List &amp; Usage'!$S64*'Weekly Summary'!AW$65)+('Equipment List &amp; Usage'!$T64*('Weekly Summary'!AW$64+'Weekly Summary'!AW$65)),
('Equipment List &amp; Usage'!$O64*'Weekly Summary'!AW$52)+('Equipment List &amp; Usage'!$P64*'Weekly Summary'!AW$53)+('Equipment List &amp; Usage'!$Q64*('Weekly Summary'!AW$52+'Weekly Summary'!AW$53))+('Equipment List &amp; Usage'!$R64*'Weekly Summary'!AW$64)+('Equipment List &amp; Usage'!$S64*'Weekly Summary'!AW$65)+('Equipment List &amp; Usage'!$T64*('Weekly Summary'!AW$64+'Weekly Summary'!AW$65))-SUM($I62:BB62))),0)</f>
        <v>0</v>
      </c>
      <c r="BD62" s="1381">
        <f ca="1">MAX(IF($F62="No",('Equipment List &amp; Usage'!$O64*'Weekly Summary'!AX$52)+('Equipment List &amp; Usage'!$P64*'Weekly Summary'!AX$53)+('Equipment List &amp; Usage'!$Q64*('Weekly Summary'!AX$52+'Weekly Summary'!AX$53))+('Equipment List &amp; Usage'!$R64*'Weekly Summary'!AX$64)+('Equipment List &amp; Usage'!$S64*'Weekly Summary'!AX$65)+('Equipment List &amp; Usage'!$T64*('Weekly Summary'!AX$64+'Weekly Summary'!AX$65)),
IF(BD$10=0,('Equipment List &amp; Usage'!$O64*'Weekly Summary'!AX$52)+('Equipment List &amp; Usage'!$P64*'Weekly Summary'!AX$53)+('Equipment List &amp; Usage'!$Q64*('Weekly Summary'!AX$52+'Weekly Summary'!AX$53))+('Equipment List &amp; Usage'!$R64*'Weekly Summary'!AX$64)+('Equipment List &amp; Usage'!$S64*'Weekly Summary'!AX$65)+('Equipment List &amp; Usage'!$T64*('Weekly Summary'!AX$64+'Weekly Summary'!AX$65)),
('Equipment List &amp; Usage'!$O64*'Weekly Summary'!AX$52)+('Equipment List &amp; Usage'!$P64*'Weekly Summary'!AX$53)+('Equipment List &amp; Usage'!$Q64*('Weekly Summary'!AX$52+'Weekly Summary'!AX$53))+('Equipment List &amp; Usage'!$R64*'Weekly Summary'!AX$64)+('Equipment List &amp; Usage'!$S64*'Weekly Summary'!AX$65)+('Equipment List &amp; Usage'!$T64*('Weekly Summary'!AX$64+'Weekly Summary'!AX$65))-SUM($I62:BC62))),0)</f>
        <v>0</v>
      </c>
      <c r="BE62" s="1381">
        <f ca="1">MAX(IF($F62="No",('Equipment List &amp; Usage'!$O64*'Weekly Summary'!AY$52)+('Equipment List &amp; Usage'!$P64*'Weekly Summary'!AY$53)+('Equipment List &amp; Usage'!$Q64*('Weekly Summary'!AY$52+'Weekly Summary'!AY$53))+('Equipment List &amp; Usage'!$R64*'Weekly Summary'!AY$64)+('Equipment List &amp; Usage'!$S64*'Weekly Summary'!AY$65)+('Equipment List &amp; Usage'!$T64*('Weekly Summary'!AY$64+'Weekly Summary'!AY$65)),
IF(BE$10=0,('Equipment List &amp; Usage'!$O64*'Weekly Summary'!AY$52)+('Equipment List &amp; Usage'!$P64*'Weekly Summary'!AY$53)+('Equipment List &amp; Usage'!$Q64*('Weekly Summary'!AY$52+'Weekly Summary'!AY$53))+('Equipment List &amp; Usage'!$R64*'Weekly Summary'!AY$64)+('Equipment List &amp; Usage'!$S64*'Weekly Summary'!AY$65)+('Equipment List &amp; Usage'!$T64*('Weekly Summary'!AY$64+'Weekly Summary'!AY$65)),
('Equipment List &amp; Usage'!$O64*'Weekly Summary'!AY$52)+('Equipment List &amp; Usage'!$P64*'Weekly Summary'!AY$53)+('Equipment List &amp; Usage'!$Q64*('Weekly Summary'!AY$52+'Weekly Summary'!AY$53))+('Equipment List &amp; Usage'!$R64*'Weekly Summary'!AY$64)+('Equipment List &amp; Usage'!$S64*'Weekly Summary'!AY$65)+('Equipment List &amp; Usage'!$T64*('Weekly Summary'!AY$64+'Weekly Summary'!AY$65))-SUM($I62:BD62))),0)</f>
        <v>0</v>
      </c>
      <c r="BF62" s="1381">
        <f ca="1">MAX(IF($F62="No",('Equipment List &amp; Usage'!$O64*'Weekly Summary'!AZ$52)+('Equipment List &amp; Usage'!$P64*'Weekly Summary'!AZ$53)+('Equipment List &amp; Usage'!$Q64*('Weekly Summary'!AZ$52+'Weekly Summary'!AZ$53))+('Equipment List &amp; Usage'!$R64*'Weekly Summary'!AZ$64)+('Equipment List &amp; Usage'!$S64*'Weekly Summary'!AZ$65)+('Equipment List &amp; Usage'!$T64*('Weekly Summary'!AZ$64+'Weekly Summary'!AZ$65)),
IF(BF$10=0,('Equipment List &amp; Usage'!$O64*'Weekly Summary'!AZ$52)+('Equipment List &amp; Usage'!$P64*'Weekly Summary'!AZ$53)+('Equipment List &amp; Usage'!$Q64*('Weekly Summary'!AZ$52+'Weekly Summary'!AZ$53))+('Equipment List &amp; Usage'!$R64*'Weekly Summary'!AZ$64)+('Equipment List &amp; Usage'!$S64*'Weekly Summary'!AZ$65)+('Equipment List &amp; Usage'!$T64*('Weekly Summary'!AZ$64+'Weekly Summary'!AZ$65)),
('Equipment List &amp; Usage'!$O64*'Weekly Summary'!AZ$52)+('Equipment List &amp; Usage'!$P64*'Weekly Summary'!AZ$53)+('Equipment List &amp; Usage'!$Q64*('Weekly Summary'!AZ$52+'Weekly Summary'!AZ$53))+('Equipment List &amp; Usage'!$R64*'Weekly Summary'!AZ$64)+('Equipment List &amp; Usage'!$S64*'Weekly Summary'!AZ$65)+('Equipment List &amp; Usage'!$T64*('Weekly Summary'!AZ$64+'Weekly Summary'!AZ$65))-SUM($I62:BE62))),0)</f>
        <v>0</v>
      </c>
      <c r="BG62" s="1381">
        <f ca="1">MAX(IF($F62="No",('Equipment List &amp; Usage'!$O64*'Weekly Summary'!BA$52)+('Equipment List &amp; Usage'!$P64*'Weekly Summary'!BA$53)+('Equipment List &amp; Usage'!$Q64*('Weekly Summary'!BA$52+'Weekly Summary'!BA$53))+('Equipment List &amp; Usage'!$R64*'Weekly Summary'!BA$64)+('Equipment List &amp; Usage'!$S64*'Weekly Summary'!BA$65)+('Equipment List &amp; Usage'!$T64*('Weekly Summary'!BA$64+'Weekly Summary'!BA$65)),
IF(BG$10=0,('Equipment List &amp; Usage'!$O64*'Weekly Summary'!BA$52)+('Equipment List &amp; Usage'!$P64*'Weekly Summary'!BA$53)+('Equipment List &amp; Usage'!$Q64*('Weekly Summary'!BA$52+'Weekly Summary'!BA$53))+('Equipment List &amp; Usage'!$R64*'Weekly Summary'!BA$64)+('Equipment List &amp; Usage'!$S64*'Weekly Summary'!BA$65)+('Equipment List &amp; Usage'!$T64*('Weekly Summary'!BA$64+'Weekly Summary'!BA$65)),
('Equipment List &amp; Usage'!$O64*'Weekly Summary'!BA$52)+('Equipment List &amp; Usage'!$P64*'Weekly Summary'!BA$53)+('Equipment List &amp; Usage'!$Q64*('Weekly Summary'!BA$52+'Weekly Summary'!BA$53))+('Equipment List &amp; Usage'!$R64*'Weekly Summary'!BA$64)+('Equipment List &amp; Usage'!$S64*'Weekly Summary'!BA$65)+('Equipment List &amp; Usage'!$T64*('Weekly Summary'!BA$64+'Weekly Summary'!BA$65))-SUM($I62:BF62))),0)</f>
        <v>0</v>
      </c>
      <c r="BH62" s="1381">
        <f ca="1">MAX(IF($F62="No",('Equipment List &amp; Usage'!$O64*'Weekly Summary'!BB$52)+('Equipment List &amp; Usage'!$P64*'Weekly Summary'!BB$53)+('Equipment List &amp; Usage'!$Q64*('Weekly Summary'!BB$52+'Weekly Summary'!BB$53))+('Equipment List &amp; Usage'!$R64*'Weekly Summary'!BB$64)+('Equipment List &amp; Usage'!$S64*'Weekly Summary'!BB$65)+('Equipment List &amp; Usage'!$T64*('Weekly Summary'!BB$64+'Weekly Summary'!BB$65)),
IF(BH$10=0,('Equipment List &amp; Usage'!$O64*'Weekly Summary'!BB$52)+('Equipment List &amp; Usage'!$P64*'Weekly Summary'!BB$53)+('Equipment List &amp; Usage'!$Q64*('Weekly Summary'!BB$52+'Weekly Summary'!BB$53))+('Equipment List &amp; Usage'!$R64*'Weekly Summary'!BB$64)+('Equipment List &amp; Usage'!$S64*'Weekly Summary'!BB$65)+('Equipment List &amp; Usage'!$T64*('Weekly Summary'!BB$64+'Weekly Summary'!BB$65)),
('Equipment List &amp; Usage'!$O64*'Weekly Summary'!BB$52)+('Equipment List &amp; Usage'!$P64*'Weekly Summary'!BB$53)+('Equipment List &amp; Usage'!$Q64*('Weekly Summary'!BB$52+'Weekly Summary'!BB$53))+('Equipment List &amp; Usage'!$R64*'Weekly Summary'!BB$64)+('Equipment List &amp; Usage'!$S64*'Weekly Summary'!BB$65)+('Equipment List &amp; Usage'!$T64*('Weekly Summary'!BB$64+'Weekly Summary'!BB$65))-SUM($I62:BG62))),0)</f>
        <v>0</v>
      </c>
      <c r="BI62" s="1381">
        <f ca="1">MAX(IF($F62="No",('Equipment List &amp; Usage'!$O64*'Weekly Summary'!BC$52)+('Equipment List &amp; Usage'!$P64*'Weekly Summary'!BC$53)+('Equipment List &amp; Usage'!$Q64*('Weekly Summary'!BC$52+'Weekly Summary'!BC$53))+('Equipment List &amp; Usage'!$R64*'Weekly Summary'!BC$64)+('Equipment List &amp; Usage'!$S64*'Weekly Summary'!BC$65)+('Equipment List &amp; Usage'!$T64*('Weekly Summary'!BC$64+'Weekly Summary'!BC$65)),
IF(BI$10=0,('Equipment List &amp; Usage'!$O64*'Weekly Summary'!BC$52)+('Equipment List &amp; Usage'!$P64*'Weekly Summary'!BC$53)+('Equipment List &amp; Usage'!$Q64*('Weekly Summary'!BC$52+'Weekly Summary'!BC$53))+('Equipment List &amp; Usage'!$R64*'Weekly Summary'!BC$64)+('Equipment List &amp; Usage'!$S64*'Weekly Summary'!BC$65)+('Equipment List &amp; Usage'!$T64*('Weekly Summary'!BC$64+'Weekly Summary'!BC$65)),
('Equipment List &amp; Usage'!$O64*'Weekly Summary'!BC$52)+('Equipment List &amp; Usage'!$P64*'Weekly Summary'!BC$53)+('Equipment List &amp; Usage'!$Q64*('Weekly Summary'!BC$52+'Weekly Summary'!BC$53))+('Equipment List &amp; Usage'!$R64*'Weekly Summary'!BC$64)+('Equipment List &amp; Usage'!$S64*'Weekly Summary'!BC$65)+('Equipment List &amp; Usage'!$T64*('Weekly Summary'!BC$64+'Weekly Summary'!BC$65))-SUM($I62:BH62))),0)</f>
        <v>0</v>
      </c>
      <c r="BJ62" s="1382">
        <f ca="1">MAX(IF($F62="No",('Equipment List &amp; Usage'!$O64*'Weekly Summary'!BD$52)+('Equipment List &amp; Usage'!$P64*'Weekly Summary'!BD$53)+('Equipment List &amp; Usage'!$Q64*('Weekly Summary'!BD$52+'Weekly Summary'!BD$53))+('Equipment List &amp; Usage'!$R64*'Weekly Summary'!BD$64)+('Equipment List &amp; Usage'!$S64*'Weekly Summary'!BD$65)+('Equipment List &amp; Usage'!$T64*('Weekly Summary'!BD$64+'Weekly Summary'!BD$65)),
IF(BJ$10=0,('Equipment List &amp; Usage'!$O64*'Weekly Summary'!BD$52)+('Equipment List &amp; Usage'!$P64*'Weekly Summary'!BD$53)+('Equipment List &amp; Usage'!$Q64*('Weekly Summary'!BD$52+'Weekly Summary'!BD$53))+('Equipment List &amp; Usage'!$R64*'Weekly Summary'!BD$64)+('Equipment List &amp; Usage'!$S64*'Weekly Summary'!BD$65)+('Equipment List &amp; Usage'!$T64*('Weekly Summary'!BD$64+'Weekly Summary'!BD$65)),
('Equipment List &amp; Usage'!$O64*'Weekly Summary'!BD$52)+('Equipment List &amp; Usage'!$P64*'Weekly Summary'!BD$53)+('Equipment List &amp; Usage'!$Q64*('Weekly Summary'!BD$52+'Weekly Summary'!BD$53))+('Equipment List &amp; Usage'!$R64*'Weekly Summary'!BD$64)+('Equipment List &amp; Usage'!$S64*'Weekly Summary'!BD$65)+('Equipment List &amp; Usage'!$T64*('Weekly Summary'!BD$64+'Weekly Summary'!BD$65))-SUM($I62:BI62))),0)</f>
        <v>0</v>
      </c>
    </row>
    <row r="63" spans="2:62" ht="63.65" customHeight="1" x14ac:dyDescent="0.35">
      <c r="B63" s="735" t="str">
        <f>'Equipment List &amp; Usage'!B65</f>
        <v>Case management - biomedical equipment</v>
      </c>
      <c r="C63" s="526" t="str">
        <f>'Equipment List &amp; Usage'!C65</f>
        <v>Imaging</v>
      </c>
      <c r="D63" s="526" t="str">
        <f>'Equipment List &amp; Usage'!D65</f>
        <v>Ultrasound, portable, w/ transducers and trolley</v>
      </c>
      <c r="E63" s="526" t="str">
        <f>'Equipment List &amp; Usage'!E65</f>
        <v>Each</v>
      </c>
      <c r="F63" s="526" t="str">
        <f>'Equipment List &amp; Usage'!F65</f>
        <v>Yes</v>
      </c>
      <c r="G63" s="526" t="str">
        <f>'Equipment List &amp; Usage'!G65</f>
        <v>Supplied with one of:
LINEAR TRANSDUCER 5.0-7.5 MHz;
PHASED ARRAY CARDIAC TRANSDUCER 5.0-7.5 MHz</v>
      </c>
      <c r="H63" s="1369">
        <f t="shared" ca="1" si="3"/>
        <v>7.6562112507380391</v>
      </c>
      <c r="J63" s="1344"/>
      <c r="K63" s="1381">
        <f ca="1">IF('User Dashboard'!$H$13=1,0,MAX(IF($F63="No",('Equipment List &amp; Usage'!$O65*'Weekly Summary'!E$52)+('Equipment List &amp; Usage'!$P65*'Weekly Summary'!E$53)+('Equipment List &amp; Usage'!$Q65*('Weekly Summary'!E$52+'Weekly Summary'!E$53))+('Equipment List &amp; Usage'!$R65*'Weekly Summary'!E$64)+('Equipment List &amp; Usage'!$S65*'Weekly Summary'!E$65)+('Equipment List &amp; Usage'!$T65*('Weekly Summary'!E$64+'Weekly Summary'!E$65)),
IF(K$10=0,('Equipment List &amp; Usage'!$O65*'Weekly Summary'!E$52)+('Equipment List &amp; Usage'!$P65*'Weekly Summary'!E$53)+('Equipment List &amp; Usage'!$Q65*('Weekly Summary'!E$52+'Weekly Summary'!E$53))+('Equipment List &amp; Usage'!$R65*'Weekly Summary'!E$64)+('Equipment List &amp; Usage'!$S65*'Weekly Summary'!E$65)+('Equipment List &amp; Usage'!$T65*('Weekly Summary'!E$64+'Weekly Summary'!E$65)),
('Equipment List &amp; Usage'!$O65*'Weekly Summary'!E$52)+('Equipment List &amp; Usage'!$P65*'Weekly Summary'!E$53)+('Equipment List &amp; Usage'!$Q65*('Weekly Summary'!E$52+'Weekly Summary'!E$53))+('Equipment List &amp; Usage'!$R65*'Weekly Summary'!E$64)+('Equipment List &amp; Usage'!$S65*'Weekly Summary'!E$65)+('Equipment List &amp; Usage'!$T65*('Weekly Summary'!E$64+'Weekly Summary'!E$65))-SUM($I63:I63))),0))</f>
        <v>1.6151937208404254E-2</v>
      </c>
      <c r="L63" s="1381">
        <f ca="1">MAX(IF($F63="No",('Equipment List &amp; Usage'!$O65*'Weekly Summary'!F$52)+('Equipment List &amp; Usage'!$P65*'Weekly Summary'!F$53)+('Equipment List &amp; Usage'!$Q65*('Weekly Summary'!F$52+'Weekly Summary'!F$53))+('Equipment List &amp; Usage'!$R65*'Weekly Summary'!F$64)+('Equipment List &amp; Usage'!$S65*'Weekly Summary'!F$65)+('Equipment List &amp; Usage'!$T65*('Weekly Summary'!F$64+'Weekly Summary'!F$65)),
IF(L$10=0,('Equipment List &amp; Usage'!$O65*'Weekly Summary'!F$52)+('Equipment List &amp; Usage'!$P65*'Weekly Summary'!F$53)+('Equipment List &amp; Usage'!$Q65*('Weekly Summary'!F$52+'Weekly Summary'!F$53))+('Equipment List &amp; Usage'!$R65*'Weekly Summary'!F$64)+('Equipment List &amp; Usage'!$S65*'Weekly Summary'!F$65)+('Equipment List &amp; Usage'!$T65*('Weekly Summary'!F$64+'Weekly Summary'!F$65)),
('Equipment List &amp; Usage'!$O65*'Weekly Summary'!F$52)+('Equipment List &amp; Usage'!$P65*'Weekly Summary'!F$53)+('Equipment List &amp; Usage'!$Q65*('Weekly Summary'!F$52+'Weekly Summary'!F$53))+('Equipment List &amp; Usage'!$R65*'Weekly Summary'!F$64)+('Equipment List &amp; Usage'!$S65*'Weekly Summary'!F$65)+('Equipment List &amp; Usage'!$T65*('Weekly Summary'!F$64+'Weekly Summary'!F$65))-SUM($I63:K63))),0)</f>
        <v>3.8784175441988034E-2</v>
      </c>
      <c r="M63" s="1381">
        <f ca="1">MAX(IF($F63="No",('Equipment List &amp; Usage'!$O65*'Weekly Summary'!G$52)+('Equipment List &amp; Usage'!$P65*'Weekly Summary'!G$53)+('Equipment List &amp; Usage'!$Q65*('Weekly Summary'!G$52+'Weekly Summary'!G$53))+('Equipment List &amp; Usage'!$R65*'Weekly Summary'!G$64)+('Equipment List &amp; Usage'!$S65*'Weekly Summary'!G$65)+('Equipment List &amp; Usage'!$T65*('Weekly Summary'!G$64+'Weekly Summary'!G$65)),
IF(M$10=0,('Equipment List &amp; Usage'!$O65*'Weekly Summary'!G$52)+('Equipment List &amp; Usage'!$P65*'Weekly Summary'!G$53)+('Equipment List &amp; Usage'!$Q65*('Weekly Summary'!G$52+'Weekly Summary'!G$53))+('Equipment List &amp; Usage'!$R65*'Weekly Summary'!G$64)+('Equipment List &amp; Usage'!$S65*'Weekly Summary'!G$65)+('Equipment List &amp; Usage'!$T65*('Weekly Summary'!G$64+'Weekly Summary'!G$65)),
('Equipment List &amp; Usage'!$O65*'Weekly Summary'!G$52)+('Equipment List &amp; Usage'!$P65*'Weekly Summary'!G$53)+('Equipment List &amp; Usage'!$Q65*('Weekly Summary'!G$52+'Weekly Summary'!G$53))+('Equipment List &amp; Usage'!$R65*'Weekly Summary'!G$64)+('Equipment List &amp; Usage'!$S65*'Weekly Summary'!G$65)+('Equipment List &amp; Usage'!$T65*('Weekly Summary'!G$64+'Weekly Summary'!G$65))-SUM($I63:L63))),0)</f>
        <v>0.13385058298589575</v>
      </c>
      <c r="N63" s="1381">
        <f ca="1">MAX(IF($F63="No",('Equipment List &amp; Usage'!$O65*'Weekly Summary'!H$52)+('Equipment List &amp; Usage'!$P65*'Weekly Summary'!H$53)+('Equipment List &amp; Usage'!$Q65*('Weekly Summary'!H$52+'Weekly Summary'!H$53))+('Equipment List &amp; Usage'!$R65*'Weekly Summary'!H$64)+('Equipment List &amp; Usage'!$S65*'Weekly Summary'!H$65)+('Equipment List &amp; Usage'!$T65*('Weekly Summary'!H$64+'Weekly Summary'!H$65)),
IF(N$10=0,('Equipment List &amp; Usage'!$O65*'Weekly Summary'!H$52)+('Equipment List &amp; Usage'!$P65*'Weekly Summary'!H$53)+('Equipment List &amp; Usage'!$Q65*('Weekly Summary'!H$52+'Weekly Summary'!H$53))+('Equipment List &amp; Usage'!$R65*'Weekly Summary'!H$64)+('Equipment List &amp; Usage'!$S65*'Weekly Summary'!H$65)+('Equipment List &amp; Usage'!$T65*('Weekly Summary'!H$64+'Weekly Summary'!H$65)),
('Equipment List &amp; Usage'!$O65*'Weekly Summary'!H$52)+('Equipment List &amp; Usage'!$P65*'Weekly Summary'!H$53)+('Equipment List &amp; Usage'!$Q65*('Weekly Summary'!H$52+'Weekly Summary'!H$53))+('Equipment List &amp; Usage'!$R65*'Weekly Summary'!H$64)+('Equipment List &amp; Usage'!$S65*'Weekly Summary'!H$65)+('Equipment List &amp; Usage'!$T65*('Weekly Summary'!H$64+'Weekly Summary'!H$65))-SUM($I63:M63))),0)</f>
        <v>0.45995394456098804</v>
      </c>
      <c r="O63" s="1381">
        <f ca="1">MAX(IF($F63="No",('Equipment List &amp; Usage'!$O65*'Weekly Summary'!I$52)+('Equipment List &amp; Usage'!$P65*'Weekly Summary'!I$53)+('Equipment List &amp; Usage'!$Q65*('Weekly Summary'!I$52+'Weekly Summary'!I$53))+('Equipment List &amp; Usage'!$R65*'Weekly Summary'!I$64)+('Equipment List &amp; Usage'!$S65*'Weekly Summary'!I$65)+('Equipment List &amp; Usage'!$T65*('Weekly Summary'!I$64+'Weekly Summary'!I$65)),
IF(O$10=0,('Equipment List &amp; Usage'!$O65*'Weekly Summary'!I$52)+('Equipment List &amp; Usage'!$P65*'Weekly Summary'!I$53)+('Equipment List &amp; Usage'!$Q65*('Weekly Summary'!I$52+'Weekly Summary'!I$53))+('Equipment List &amp; Usage'!$R65*'Weekly Summary'!I$64)+('Equipment List &amp; Usage'!$S65*'Weekly Summary'!I$65)+('Equipment List &amp; Usage'!$T65*('Weekly Summary'!I$64+'Weekly Summary'!I$65)),
('Equipment List &amp; Usage'!$O65*'Weekly Summary'!I$52)+('Equipment List &amp; Usage'!$P65*'Weekly Summary'!I$53)+('Equipment List &amp; Usage'!$Q65*('Weekly Summary'!I$52+'Weekly Summary'!I$53))+('Equipment List &amp; Usage'!$R65*'Weekly Summary'!I$64)+('Equipment List &amp; Usage'!$S65*'Weekly Summary'!I$65)+('Equipment List &amp; Usage'!$T65*('Weekly Summary'!I$64+'Weekly Summary'!I$65))-SUM($I63:N63))),0)</f>
        <v>1.580328866927458</v>
      </c>
      <c r="P63" s="1381">
        <f ca="1">MAX(IF($F63="No",('Equipment List &amp; Usage'!$O65*'Weekly Summary'!J$52)+('Equipment List &amp; Usage'!$P65*'Weekly Summary'!J$53)+('Equipment List &amp; Usage'!$Q65*('Weekly Summary'!J$52+'Weekly Summary'!J$53))+('Equipment List &amp; Usage'!$R65*'Weekly Summary'!J$64)+('Equipment List &amp; Usage'!$S65*'Weekly Summary'!J$65)+('Equipment List &amp; Usage'!$T65*('Weekly Summary'!J$64+'Weekly Summary'!J$65)),
IF(P$10=0,('Equipment List &amp; Usage'!$O65*'Weekly Summary'!J$52)+('Equipment List &amp; Usage'!$P65*'Weekly Summary'!J$53)+('Equipment List &amp; Usage'!$Q65*('Weekly Summary'!J$52+'Weekly Summary'!J$53))+('Equipment List &amp; Usage'!$R65*'Weekly Summary'!J$64)+('Equipment List &amp; Usage'!$S65*'Weekly Summary'!J$65)+('Equipment List &amp; Usage'!$T65*('Weekly Summary'!J$64+'Weekly Summary'!J$65)),
('Equipment List &amp; Usage'!$O65*'Weekly Summary'!J$52)+('Equipment List &amp; Usage'!$P65*'Weekly Summary'!J$53)+('Equipment List &amp; Usage'!$Q65*('Weekly Summary'!J$52+'Weekly Summary'!J$53))+('Equipment List &amp; Usage'!$R65*'Weekly Summary'!J$64)+('Equipment List &amp; Usage'!$S65*'Weekly Summary'!J$65)+('Equipment List &amp; Usage'!$T65*('Weekly Summary'!J$64+'Weekly Summary'!J$65))-SUM($I63:O63))),0)</f>
        <v>5.4271417436133049</v>
      </c>
      <c r="Q63" s="1381">
        <f ca="1">MAX(IF($F63="No",('Equipment List &amp; Usage'!$O65*'Weekly Summary'!K$52)+('Equipment List &amp; Usage'!$P65*'Weekly Summary'!K$53)+('Equipment List &amp; Usage'!$Q65*('Weekly Summary'!K$52+'Weekly Summary'!K$53))+('Equipment List &amp; Usage'!$R65*'Weekly Summary'!K$64)+('Equipment List &amp; Usage'!$S65*'Weekly Summary'!K$65)+('Equipment List &amp; Usage'!$T65*('Weekly Summary'!K$64+'Weekly Summary'!K$65)),
IF(Q$10=0,('Equipment List &amp; Usage'!$O65*'Weekly Summary'!K$52)+('Equipment List &amp; Usage'!$P65*'Weekly Summary'!K$53)+('Equipment List &amp; Usage'!$Q65*('Weekly Summary'!K$52+'Weekly Summary'!K$53))+('Equipment List &amp; Usage'!$R65*'Weekly Summary'!K$64)+('Equipment List &amp; Usage'!$S65*'Weekly Summary'!K$65)+('Equipment List &amp; Usage'!$T65*('Weekly Summary'!K$64+'Weekly Summary'!K$65)),
('Equipment List &amp; Usage'!$O65*'Weekly Summary'!K$52)+('Equipment List &amp; Usage'!$P65*'Weekly Summary'!K$53)+('Equipment List &amp; Usage'!$Q65*('Weekly Summary'!K$52+'Weekly Summary'!K$53))+('Equipment List &amp; Usage'!$R65*'Weekly Summary'!K$64)+('Equipment List &amp; Usage'!$S65*'Weekly Summary'!K$65)+('Equipment List &amp; Usage'!$T65*('Weekly Summary'!K$64+'Weekly Summary'!K$65))-SUM($I63:P63))),0)</f>
        <v>0</v>
      </c>
      <c r="R63" s="1381">
        <f ca="1">MAX(IF($F63="No",('Equipment List &amp; Usage'!$O65*'Weekly Summary'!L$52)+('Equipment List &amp; Usage'!$P65*'Weekly Summary'!L$53)+('Equipment List &amp; Usage'!$Q65*('Weekly Summary'!L$52+'Weekly Summary'!L$53))+('Equipment List &amp; Usage'!$R65*'Weekly Summary'!L$64)+('Equipment List &amp; Usage'!$S65*'Weekly Summary'!L$65)+('Equipment List &amp; Usage'!$T65*('Weekly Summary'!L$64+'Weekly Summary'!L$65)),
IF(R$10=0,('Equipment List &amp; Usage'!$O65*'Weekly Summary'!L$52)+('Equipment List &amp; Usage'!$P65*'Weekly Summary'!L$53)+('Equipment List &amp; Usage'!$Q65*('Weekly Summary'!L$52+'Weekly Summary'!L$53))+('Equipment List &amp; Usage'!$R65*'Weekly Summary'!L$64)+('Equipment List &amp; Usage'!$S65*'Weekly Summary'!L$65)+('Equipment List &amp; Usage'!$T65*('Weekly Summary'!L$64+'Weekly Summary'!L$65)),
('Equipment List &amp; Usage'!$O65*'Weekly Summary'!L$52)+('Equipment List &amp; Usage'!$P65*'Weekly Summary'!L$53)+('Equipment List &amp; Usage'!$Q65*('Weekly Summary'!L$52+'Weekly Summary'!L$53))+('Equipment List &amp; Usage'!$R65*'Weekly Summary'!L$64)+('Equipment List &amp; Usage'!$S65*'Weekly Summary'!L$65)+('Equipment List &amp; Usage'!$T65*('Weekly Summary'!L$64+'Weekly Summary'!L$65))-SUM($I63:Q63))),0)</f>
        <v>0</v>
      </c>
      <c r="S63" s="1381">
        <f ca="1">MAX(IF($F63="No",('Equipment List &amp; Usage'!$O65*'Weekly Summary'!M$52)+('Equipment List &amp; Usage'!$P65*'Weekly Summary'!M$53)+('Equipment List &amp; Usage'!$Q65*('Weekly Summary'!M$52+'Weekly Summary'!M$53))+('Equipment List &amp; Usage'!$R65*'Weekly Summary'!M$64)+('Equipment List &amp; Usage'!$S65*'Weekly Summary'!M$65)+('Equipment List &amp; Usage'!$T65*('Weekly Summary'!M$64+'Weekly Summary'!M$65)),
IF(S$10=0,('Equipment List &amp; Usage'!$O65*'Weekly Summary'!M$52)+('Equipment List &amp; Usage'!$P65*'Weekly Summary'!M$53)+('Equipment List &amp; Usage'!$Q65*('Weekly Summary'!M$52+'Weekly Summary'!M$53))+('Equipment List &amp; Usage'!$R65*'Weekly Summary'!M$64)+('Equipment List &amp; Usage'!$S65*'Weekly Summary'!M$65)+('Equipment List &amp; Usage'!$T65*('Weekly Summary'!M$64+'Weekly Summary'!M$65)),
('Equipment List &amp; Usage'!$O65*'Weekly Summary'!M$52)+('Equipment List &amp; Usage'!$P65*'Weekly Summary'!M$53)+('Equipment List &amp; Usage'!$Q65*('Weekly Summary'!M$52+'Weekly Summary'!M$53))+('Equipment List &amp; Usage'!$R65*'Weekly Summary'!M$64)+('Equipment List &amp; Usage'!$S65*'Weekly Summary'!M$65)+('Equipment List &amp; Usage'!$T65*('Weekly Summary'!M$64+'Weekly Summary'!M$65))-SUM($I63:R63))),0)</f>
        <v>0</v>
      </c>
      <c r="T63" s="1381">
        <f ca="1">MAX(IF($F63="No",('Equipment List &amp; Usage'!$O65*'Weekly Summary'!N$52)+('Equipment List &amp; Usage'!$P65*'Weekly Summary'!N$53)+('Equipment List &amp; Usage'!$Q65*('Weekly Summary'!N$52+'Weekly Summary'!N$53))+('Equipment List &amp; Usage'!$R65*'Weekly Summary'!N$64)+('Equipment List &amp; Usage'!$S65*'Weekly Summary'!N$65)+('Equipment List &amp; Usage'!$T65*('Weekly Summary'!N$64+'Weekly Summary'!N$65)),
IF(T$10=0,('Equipment List &amp; Usage'!$O65*'Weekly Summary'!N$52)+('Equipment List &amp; Usage'!$P65*'Weekly Summary'!N$53)+('Equipment List &amp; Usage'!$Q65*('Weekly Summary'!N$52+'Weekly Summary'!N$53))+('Equipment List &amp; Usage'!$R65*'Weekly Summary'!N$64)+('Equipment List &amp; Usage'!$S65*'Weekly Summary'!N$65)+('Equipment List &amp; Usage'!$T65*('Weekly Summary'!N$64+'Weekly Summary'!N$65)),
('Equipment List &amp; Usage'!$O65*'Weekly Summary'!N$52)+('Equipment List &amp; Usage'!$P65*'Weekly Summary'!N$53)+('Equipment List &amp; Usage'!$Q65*('Weekly Summary'!N$52+'Weekly Summary'!N$53))+('Equipment List &amp; Usage'!$R65*'Weekly Summary'!N$64)+('Equipment List &amp; Usage'!$S65*'Weekly Summary'!N$65)+('Equipment List &amp; Usage'!$T65*('Weekly Summary'!N$64+'Weekly Summary'!N$65))-SUM($I63:S63))),0)</f>
        <v>0</v>
      </c>
      <c r="U63" s="1381">
        <f ca="1">MAX(IF($F63="No",('Equipment List &amp; Usage'!$O65*'Weekly Summary'!O$52)+('Equipment List &amp; Usage'!$P65*'Weekly Summary'!O$53)+('Equipment List &amp; Usage'!$Q65*('Weekly Summary'!O$52+'Weekly Summary'!O$53))+('Equipment List &amp; Usage'!$R65*'Weekly Summary'!O$64)+('Equipment List &amp; Usage'!$S65*'Weekly Summary'!O$65)+('Equipment List &amp; Usage'!$T65*('Weekly Summary'!O$64+'Weekly Summary'!O$65)),
IF(U$10=0,('Equipment List &amp; Usage'!$O65*'Weekly Summary'!O$52)+('Equipment List &amp; Usage'!$P65*'Weekly Summary'!O$53)+('Equipment List &amp; Usage'!$Q65*('Weekly Summary'!O$52+'Weekly Summary'!O$53))+('Equipment List &amp; Usage'!$R65*'Weekly Summary'!O$64)+('Equipment List &amp; Usage'!$S65*'Weekly Summary'!O$65)+('Equipment List &amp; Usage'!$T65*('Weekly Summary'!O$64+'Weekly Summary'!O$65)),
('Equipment List &amp; Usage'!$O65*'Weekly Summary'!O$52)+('Equipment List &amp; Usage'!$P65*'Weekly Summary'!O$53)+('Equipment List &amp; Usage'!$Q65*('Weekly Summary'!O$52+'Weekly Summary'!O$53))+('Equipment List &amp; Usage'!$R65*'Weekly Summary'!O$64)+('Equipment List &amp; Usage'!$S65*'Weekly Summary'!O$65)+('Equipment List &amp; Usage'!$T65*('Weekly Summary'!O$64+'Weekly Summary'!O$65))-SUM($I63:T63))),0)</f>
        <v>0</v>
      </c>
      <c r="V63" s="1381">
        <f ca="1">MAX(IF($F63="No",('Equipment List &amp; Usage'!$O65*'Weekly Summary'!P$52)+('Equipment List &amp; Usage'!$P65*'Weekly Summary'!P$53)+('Equipment List &amp; Usage'!$Q65*('Weekly Summary'!P$52+'Weekly Summary'!P$53))+('Equipment List &amp; Usage'!$R65*'Weekly Summary'!P$64)+('Equipment List &amp; Usage'!$S65*'Weekly Summary'!P$65)+('Equipment List &amp; Usage'!$T65*('Weekly Summary'!P$64+'Weekly Summary'!P$65)),
IF(V$10=0,('Equipment List &amp; Usage'!$O65*'Weekly Summary'!P$52)+('Equipment List &amp; Usage'!$P65*'Weekly Summary'!P$53)+('Equipment List &amp; Usage'!$Q65*('Weekly Summary'!P$52+'Weekly Summary'!P$53))+('Equipment List &amp; Usage'!$R65*'Weekly Summary'!P$64)+('Equipment List &amp; Usage'!$S65*'Weekly Summary'!P$65)+('Equipment List &amp; Usage'!$T65*('Weekly Summary'!P$64+'Weekly Summary'!P$65)),
('Equipment List &amp; Usage'!$O65*'Weekly Summary'!P$52)+('Equipment List &amp; Usage'!$P65*'Weekly Summary'!P$53)+('Equipment List &amp; Usage'!$Q65*('Weekly Summary'!P$52+'Weekly Summary'!P$53))+('Equipment List &amp; Usage'!$R65*'Weekly Summary'!P$64)+('Equipment List &amp; Usage'!$S65*'Weekly Summary'!P$65)+('Equipment List &amp; Usage'!$T65*('Weekly Summary'!P$64+'Weekly Summary'!P$65))-SUM($I63:U63))),0)</f>
        <v>0</v>
      </c>
      <c r="W63" s="1381">
        <f ca="1">MAX(IF($F63="No",('Equipment List &amp; Usage'!$O65*'Weekly Summary'!Q$52)+('Equipment List &amp; Usage'!$P65*'Weekly Summary'!Q$53)+('Equipment List &amp; Usage'!$Q65*('Weekly Summary'!Q$52+'Weekly Summary'!Q$53))+('Equipment List &amp; Usage'!$R65*'Weekly Summary'!Q$64)+('Equipment List &amp; Usage'!$S65*'Weekly Summary'!Q$65)+('Equipment List &amp; Usage'!$T65*('Weekly Summary'!Q$64+'Weekly Summary'!Q$65)),
IF(W$10=0,('Equipment List &amp; Usage'!$O65*'Weekly Summary'!Q$52)+('Equipment List &amp; Usage'!$P65*'Weekly Summary'!Q$53)+('Equipment List &amp; Usage'!$Q65*('Weekly Summary'!Q$52+'Weekly Summary'!Q$53))+('Equipment List &amp; Usage'!$R65*'Weekly Summary'!Q$64)+('Equipment List &amp; Usage'!$S65*'Weekly Summary'!Q$65)+('Equipment List &amp; Usage'!$T65*('Weekly Summary'!Q$64+'Weekly Summary'!Q$65)),
('Equipment List &amp; Usage'!$O65*'Weekly Summary'!Q$52)+('Equipment List &amp; Usage'!$P65*'Weekly Summary'!Q$53)+('Equipment List &amp; Usage'!$Q65*('Weekly Summary'!Q$52+'Weekly Summary'!Q$53))+('Equipment List &amp; Usage'!$R65*'Weekly Summary'!Q$64)+('Equipment List &amp; Usage'!$S65*'Weekly Summary'!Q$65)+('Equipment List &amp; Usage'!$T65*('Weekly Summary'!Q$64+'Weekly Summary'!Q$65))-SUM($I63:V63))),0)</f>
        <v>0</v>
      </c>
      <c r="X63" s="1381">
        <f ca="1">MAX(IF($F63="No",('Equipment List &amp; Usage'!$O65*'Weekly Summary'!R$52)+('Equipment List &amp; Usage'!$P65*'Weekly Summary'!R$53)+('Equipment List &amp; Usage'!$Q65*('Weekly Summary'!R$52+'Weekly Summary'!R$53))+('Equipment List &amp; Usage'!$R65*'Weekly Summary'!R$64)+('Equipment List &amp; Usage'!$S65*'Weekly Summary'!R$65)+('Equipment List &amp; Usage'!$T65*('Weekly Summary'!R$64+'Weekly Summary'!R$65)),
IF(X$10=0,('Equipment List &amp; Usage'!$O65*'Weekly Summary'!R$52)+('Equipment List &amp; Usage'!$P65*'Weekly Summary'!R$53)+('Equipment List &amp; Usage'!$Q65*('Weekly Summary'!R$52+'Weekly Summary'!R$53))+('Equipment List &amp; Usage'!$R65*'Weekly Summary'!R$64)+('Equipment List &amp; Usage'!$S65*'Weekly Summary'!R$65)+('Equipment List &amp; Usage'!$T65*('Weekly Summary'!R$64+'Weekly Summary'!R$65)),
('Equipment List &amp; Usage'!$O65*'Weekly Summary'!R$52)+('Equipment List &amp; Usage'!$P65*'Weekly Summary'!R$53)+('Equipment List &amp; Usage'!$Q65*('Weekly Summary'!R$52+'Weekly Summary'!R$53))+('Equipment List &amp; Usage'!$R65*'Weekly Summary'!R$64)+('Equipment List &amp; Usage'!$S65*'Weekly Summary'!R$65)+('Equipment List &amp; Usage'!$T65*('Weekly Summary'!R$64+'Weekly Summary'!R$65))-SUM($I63:W63))),0)</f>
        <v>0</v>
      </c>
      <c r="Y63" s="1381">
        <f ca="1">MAX(IF($F63="No",('Equipment List &amp; Usage'!$O65*'Weekly Summary'!S$52)+('Equipment List &amp; Usage'!$P65*'Weekly Summary'!S$53)+('Equipment List &amp; Usage'!$Q65*('Weekly Summary'!S$52+'Weekly Summary'!S$53))+('Equipment List &amp; Usage'!$R65*'Weekly Summary'!S$64)+('Equipment List &amp; Usage'!$S65*'Weekly Summary'!S$65)+('Equipment List &amp; Usage'!$T65*('Weekly Summary'!S$64+'Weekly Summary'!S$65)),
IF(Y$10=0,('Equipment List &amp; Usage'!$O65*'Weekly Summary'!S$52)+('Equipment List &amp; Usage'!$P65*'Weekly Summary'!S$53)+('Equipment List &amp; Usage'!$Q65*('Weekly Summary'!S$52+'Weekly Summary'!S$53))+('Equipment List &amp; Usage'!$R65*'Weekly Summary'!S$64)+('Equipment List &amp; Usage'!$S65*'Weekly Summary'!S$65)+('Equipment List &amp; Usage'!$T65*('Weekly Summary'!S$64+'Weekly Summary'!S$65)),
('Equipment List &amp; Usage'!$O65*'Weekly Summary'!S$52)+('Equipment List &amp; Usage'!$P65*'Weekly Summary'!S$53)+('Equipment List &amp; Usage'!$Q65*('Weekly Summary'!S$52+'Weekly Summary'!S$53))+('Equipment List &amp; Usage'!$R65*'Weekly Summary'!S$64)+('Equipment List &amp; Usage'!$S65*'Weekly Summary'!S$65)+('Equipment List &amp; Usage'!$T65*('Weekly Summary'!S$64+'Weekly Summary'!S$65))-SUM($I63:X63))),0)</f>
        <v>0</v>
      </c>
      <c r="Z63" s="1381">
        <f ca="1">MAX(IF($F63="No",('Equipment List &amp; Usage'!$O65*'Weekly Summary'!T$52)+('Equipment List &amp; Usage'!$P65*'Weekly Summary'!T$53)+('Equipment List &amp; Usage'!$Q65*('Weekly Summary'!T$52+'Weekly Summary'!T$53))+('Equipment List &amp; Usage'!$R65*'Weekly Summary'!T$64)+('Equipment List &amp; Usage'!$S65*'Weekly Summary'!T$65)+('Equipment List &amp; Usage'!$T65*('Weekly Summary'!T$64+'Weekly Summary'!T$65)),
IF(Z$10=0,('Equipment List &amp; Usage'!$O65*'Weekly Summary'!T$52)+('Equipment List &amp; Usage'!$P65*'Weekly Summary'!T$53)+('Equipment List &amp; Usage'!$Q65*('Weekly Summary'!T$52+'Weekly Summary'!T$53))+('Equipment List &amp; Usage'!$R65*'Weekly Summary'!T$64)+('Equipment List &amp; Usage'!$S65*'Weekly Summary'!T$65)+('Equipment List &amp; Usage'!$T65*('Weekly Summary'!T$64+'Weekly Summary'!T$65)),
('Equipment List &amp; Usage'!$O65*'Weekly Summary'!T$52)+('Equipment List &amp; Usage'!$P65*'Weekly Summary'!T$53)+('Equipment List &amp; Usage'!$Q65*('Weekly Summary'!T$52+'Weekly Summary'!T$53))+('Equipment List &amp; Usage'!$R65*'Weekly Summary'!T$64)+('Equipment List &amp; Usage'!$S65*'Weekly Summary'!T$65)+('Equipment List &amp; Usage'!$T65*('Weekly Summary'!T$64+'Weekly Summary'!T$65))-SUM($I63:Y63))),0)</f>
        <v>0</v>
      </c>
      <c r="AA63" s="1381">
        <f ca="1">MAX(IF($F63="No",('Equipment List &amp; Usage'!$O65*'Weekly Summary'!U$52)+('Equipment List &amp; Usage'!$P65*'Weekly Summary'!U$53)+('Equipment List &amp; Usage'!$Q65*('Weekly Summary'!U$52+'Weekly Summary'!U$53))+('Equipment List &amp; Usage'!$R65*'Weekly Summary'!U$64)+('Equipment List &amp; Usage'!$S65*'Weekly Summary'!U$65)+('Equipment List &amp; Usage'!$T65*('Weekly Summary'!U$64+'Weekly Summary'!U$65)),
IF(AA$10=0,('Equipment List &amp; Usage'!$O65*'Weekly Summary'!U$52)+('Equipment List &amp; Usage'!$P65*'Weekly Summary'!U$53)+('Equipment List &amp; Usage'!$Q65*('Weekly Summary'!U$52+'Weekly Summary'!U$53))+('Equipment List &amp; Usage'!$R65*'Weekly Summary'!U$64)+('Equipment List &amp; Usage'!$S65*'Weekly Summary'!U$65)+('Equipment List &amp; Usage'!$T65*('Weekly Summary'!U$64+'Weekly Summary'!U$65)),
('Equipment List &amp; Usage'!$O65*'Weekly Summary'!U$52)+('Equipment List &amp; Usage'!$P65*'Weekly Summary'!U$53)+('Equipment List &amp; Usage'!$Q65*('Weekly Summary'!U$52+'Weekly Summary'!U$53))+('Equipment List &amp; Usage'!$R65*'Weekly Summary'!U$64)+('Equipment List &amp; Usage'!$S65*'Weekly Summary'!U$65)+('Equipment List &amp; Usage'!$T65*('Weekly Summary'!U$64+'Weekly Summary'!U$65))-SUM($I63:Z63))),0)</f>
        <v>0</v>
      </c>
      <c r="AB63" s="1381">
        <f ca="1">MAX(IF($F63="No",('Equipment List &amp; Usage'!$O65*'Weekly Summary'!V$52)+('Equipment List &amp; Usage'!$P65*'Weekly Summary'!V$53)+('Equipment List &amp; Usage'!$Q65*('Weekly Summary'!V$52+'Weekly Summary'!V$53))+('Equipment List &amp; Usage'!$R65*'Weekly Summary'!V$64)+('Equipment List &amp; Usage'!$S65*'Weekly Summary'!V$65)+('Equipment List &amp; Usage'!$T65*('Weekly Summary'!V$64+'Weekly Summary'!V$65)),
IF(AB$10=0,('Equipment List &amp; Usage'!$O65*'Weekly Summary'!V$52)+('Equipment List &amp; Usage'!$P65*'Weekly Summary'!V$53)+('Equipment List &amp; Usage'!$Q65*('Weekly Summary'!V$52+'Weekly Summary'!V$53))+('Equipment List &amp; Usage'!$R65*'Weekly Summary'!V$64)+('Equipment List &amp; Usage'!$S65*'Weekly Summary'!V$65)+('Equipment List &amp; Usage'!$T65*('Weekly Summary'!V$64+'Weekly Summary'!V$65)),
('Equipment List &amp; Usage'!$O65*'Weekly Summary'!V$52)+('Equipment List &amp; Usage'!$P65*'Weekly Summary'!V$53)+('Equipment List &amp; Usage'!$Q65*('Weekly Summary'!V$52+'Weekly Summary'!V$53))+('Equipment List &amp; Usage'!$R65*'Weekly Summary'!V$64)+('Equipment List &amp; Usage'!$S65*'Weekly Summary'!V$65)+('Equipment List &amp; Usage'!$T65*('Weekly Summary'!V$64+'Weekly Summary'!V$65))-SUM($I63:AA63))),0)</f>
        <v>0</v>
      </c>
      <c r="AC63" s="1381">
        <f ca="1">MAX(IF($F63="No",('Equipment List &amp; Usage'!$O65*'Weekly Summary'!W$52)+('Equipment List &amp; Usage'!$P65*'Weekly Summary'!W$53)+('Equipment List &amp; Usage'!$Q65*('Weekly Summary'!W$52+'Weekly Summary'!W$53))+('Equipment List &amp; Usage'!$R65*'Weekly Summary'!W$64)+('Equipment List &amp; Usage'!$S65*'Weekly Summary'!W$65)+('Equipment List &amp; Usage'!$T65*('Weekly Summary'!W$64+'Weekly Summary'!W$65)),
IF(AC$10=0,('Equipment List &amp; Usage'!$O65*'Weekly Summary'!W$52)+('Equipment List &amp; Usage'!$P65*'Weekly Summary'!W$53)+('Equipment List &amp; Usage'!$Q65*('Weekly Summary'!W$52+'Weekly Summary'!W$53))+('Equipment List &amp; Usage'!$R65*'Weekly Summary'!W$64)+('Equipment List &amp; Usage'!$S65*'Weekly Summary'!W$65)+('Equipment List &amp; Usage'!$T65*('Weekly Summary'!W$64+'Weekly Summary'!W$65)),
('Equipment List &amp; Usage'!$O65*'Weekly Summary'!W$52)+('Equipment List &amp; Usage'!$P65*'Weekly Summary'!W$53)+('Equipment List &amp; Usage'!$Q65*('Weekly Summary'!W$52+'Weekly Summary'!W$53))+('Equipment List &amp; Usage'!$R65*'Weekly Summary'!W$64)+('Equipment List &amp; Usage'!$S65*'Weekly Summary'!W$65)+('Equipment List &amp; Usage'!$T65*('Weekly Summary'!W$64+'Weekly Summary'!W$65))-SUM($I63:AB63))),0)</f>
        <v>0</v>
      </c>
      <c r="AD63" s="1381">
        <f ca="1">MAX(IF($F63="No",('Equipment List &amp; Usage'!$O65*'Weekly Summary'!X$52)+('Equipment List &amp; Usage'!$P65*'Weekly Summary'!X$53)+('Equipment List &amp; Usage'!$Q65*('Weekly Summary'!X$52+'Weekly Summary'!X$53))+('Equipment List &amp; Usage'!$R65*'Weekly Summary'!X$64)+('Equipment List &amp; Usage'!$S65*'Weekly Summary'!X$65)+('Equipment List &amp; Usage'!$T65*('Weekly Summary'!X$64+'Weekly Summary'!X$65)),
IF(AD$10=0,('Equipment List &amp; Usage'!$O65*'Weekly Summary'!X$52)+('Equipment List &amp; Usage'!$P65*'Weekly Summary'!X$53)+('Equipment List &amp; Usage'!$Q65*('Weekly Summary'!X$52+'Weekly Summary'!X$53))+('Equipment List &amp; Usage'!$R65*'Weekly Summary'!X$64)+('Equipment List &amp; Usage'!$S65*'Weekly Summary'!X$65)+('Equipment List &amp; Usage'!$T65*('Weekly Summary'!X$64+'Weekly Summary'!X$65)),
('Equipment List &amp; Usage'!$O65*'Weekly Summary'!X$52)+('Equipment List &amp; Usage'!$P65*'Weekly Summary'!X$53)+('Equipment List &amp; Usage'!$Q65*('Weekly Summary'!X$52+'Weekly Summary'!X$53))+('Equipment List &amp; Usage'!$R65*'Weekly Summary'!X$64)+('Equipment List &amp; Usage'!$S65*'Weekly Summary'!X$65)+('Equipment List &amp; Usage'!$T65*('Weekly Summary'!X$64+'Weekly Summary'!X$65))-SUM($I63:AC63))),0)</f>
        <v>0</v>
      </c>
      <c r="AE63" s="1381">
        <f ca="1">MAX(IF($F63="No",('Equipment List &amp; Usage'!$O65*'Weekly Summary'!Y$52)+('Equipment List &amp; Usage'!$P65*'Weekly Summary'!Y$53)+('Equipment List &amp; Usage'!$Q65*('Weekly Summary'!Y$52+'Weekly Summary'!Y$53))+('Equipment List &amp; Usage'!$R65*'Weekly Summary'!Y$64)+('Equipment List &amp; Usage'!$S65*'Weekly Summary'!Y$65)+('Equipment List &amp; Usage'!$T65*('Weekly Summary'!Y$64+'Weekly Summary'!Y$65)),
IF(AE$10=0,('Equipment List &amp; Usage'!$O65*'Weekly Summary'!Y$52)+('Equipment List &amp; Usage'!$P65*'Weekly Summary'!Y$53)+('Equipment List &amp; Usage'!$Q65*('Weekly Summary'!Y$52+'Weekly Summary'!Y$53))+('Equipment List &amp; Usage'!$R65*'Weekly Summary'!Y$64)+('Equipment List &amp; Usage'!$S65*'Weekly Summary'!Y$65)+('Equipment List &amp; Usage'!$T65*('Weekly Summary'!Y$64+'Weekly Summary'!Y$65)),
('Equipment List &amp; Usage'!$O65*'Weekly Summary'!Y$52)+('Equipment List &amp; Usage'!$P65*'Weekly Summary'!Y$53)+('Equipment List &amp; Usage'!$Q65*('Weekly Summary'!Y$52+'Weekly Summary'!Y$53))+('Equipment List &amp; Usage'!$R65*'Weekly Summary'!Y$64)+('Equipment List &amp; Usage'!$S65*'Weekly Summary'!Y$65)+('Equipment List &amp; Usage'!$T65*('Weekly Summary'!Y$64+'Weekly Summary'!Y$65))-SUM($I63:AD63))),0)</f>
        <v>0</v>
      </c>
      <c r="AF63" s="1381">
        <f ca="1">MAX(IF($F63="No",('Equipment List &amp; Usage'!$O65*'Weekly Summary'!Z$52)+('Equipment List &amp; Usage'!$P65*'Weekly Summary'!Z$53)+('Equipment List &amp; Usage'!$Q65*('Weekly Summary'!Z$52+'Weekly Summary'!Z$53))+('Equipment List &amp; Usage'!$R65*'Weekly Summary'!Z$64)+('Equipment List &amp; Usage'!$S65*'Weekly Summary'!Z$65)+('Equipment List &amp; Usage'!$T65*('Weekly Summary'!Z$64+'Weekly Summary'!Z$65)),
IF(AF$10=0,('Equipment List &amp; Usage'!$O65*'Weekly Summary'!Z$52)+('Equipment List &amp; Usage'!$P65*'Weekly Summary'!Z$53)+('Equipment List &amp; Usage'!$Q65*('Weekly Summary'!Z$52+'Weekly Summary'!Z$53))+('Equipment List &amp; Usage'!$R65*'Weekly Summary'!Z$64)+('Equipment List &amp; Usage'!$S65*'Weekly Summary'!Z$65)+('Equipment List &amp; Usage'!$T65*('Weekly Summary'!Z$64+'Weekly Summary'!Z$65)),
('Equipment List &amp; Usage'!$O65*'Weekly Summary'!Z$52)+('Equipment List &amp; Usage'!$P65*'Weekly Summary'!Z$53)+('Equipment List &amp; Usage'!$Q65*('Weekly Summary'!Z$52+'Weekly Summary'!Z$53))+('Equipment List &amp; Usage'!$R65*'Weekly Summary'!Z$64)+('Equipment List &amp; Usage'!$S65*'Weekly Summary'!Z$65)+('Equipment List &amp; Usage'!$T65*('Weekly Summary'!Z$64+'Weekly Summary'!Z$65))-SUM($I63:AE63))),0)</f>
        <v>0</v>
      </c>
      <c r="AG63" s="1381">
        <f ca="1">MAX(IF($F63="No",('Equipment List &amp; Usage'!$O65*'Weekly Summary'!AA$52)+('Equipment List &amp; Usage'!$P65*'Weekly Summary'!AA$53)+('Equipment List &amp; Usage'!$Q65*('Weekly Summary'!AA$52+'Weekly Summary'!AA$53))+('Equipment List &amp; Usage'!$R65*'Weekly Summary'!AA$64)+('Equipment List &amp; Usage'!$S65*'Weekly Summary'!AA$65)+('Equipment List &amp; Usage'!$T65*('Weekly Summary'!AA$64+'Weekly Summary'!AA$65)),
IF(AG$10=0,('Equipment List &amp; Usage'!$O65*'Weekly Summary'!AA$52)+('Equipment List &amp; Usage'!$P65*'Weekly Summary'!AA$53)+('Equipment List &amp; Usage'!$Q65*('Weekly Summary'!AA$52+'Weekly Summary'!AA$53))+('Equipment List &amp; Usage'!$R65*'Weekly Summary'!AA$64)+('Equipment List &amp; Usage'!$S65*'Weekly Summary'!AA$65)+('Equipment List &amp; Usage'!$T65*('Weekly Summary'!AA$64+'Weekly Summary'!AA$65)),
('Equipment List &amp; Usage'!$O65*'Weekly Summary'!AA$52)+('Equipment List &amp; Usage'!$P65*'Weekly Summary'!AA$53)+('Equipment List &amp; Usage'!$Q65*('Weekly Summary'!AA$52+'Weekly Summary'!AA$53))+('Equipment List &amp; Usage'!$R65*'Weekly Summary'!AA$64)+('Equipment List &amp; Usage'!$S65*'Weekly Summary'!AA$65)+('Equipment List &amp; Usage'!$T65*('Weekly Summary'!AA$64+'Weekly Summary'!AA$65))-SUM($I63:AF63))),0)</f>
        <v>0</v>
      </c>
      <c r="AH63" s="1381">
        <f ca="1">MAX(IF($F63="No",('Equipment List &amp; Usage'!$O65*'Weekly Summary'!AB$52)+('Equipment List &amp; Usage'!$P65*'Weekly Summary'!AB$53)+('Equipment List &amp; Usage'!$Q65*('Weekly Summary'!AB$52+'Weekly Summary'!AB$53))+('Equipment List &amp; Usage'!$R65*'Weekly Summary'!AB$64)+('Equipment List &amp; Usage'!$S65*'Weekly Summary'!AB$65)+('Equipment List &amp; Usage'!$T65*('Weekly Summary'!AB$64+'Weekly Summary'!AB$65)),
IF(AH$10=0,('Equipment List &amp; Usage'!$O65*'Weekly Summary'!AB$52)+('Equipment List &amp; Usage'!$P65*'Weekly Summary'!AB$53)+('Equipment List &amp; Usage'!$Q65*('Weekly Summary'!AB$52+'Weekly Summary'!AB$53))+('Equipment List &amp; Usage'!$R65*'Weekly Summary'!AB$64)+('Equipment List &amp; Usage'!$S65*'Weekly Summary'!AB$65)+('Equipment List &amp; Usage'!$T65*('Weekly Summary'!AB$64+'Weekly Summary'!AB$65)),
('Equipment List &amp; Usage'!$O65*'Weekly Summary'!AB$52)+('Equipment List &amp; Usage'!$P65*'Weekly Summary'!AB$53)+('Equipment List &amp; Usage'!$Q65*('Weekly Summary'!AB$52+'Weekly Summary'!AB$53))+('Equipment List &amp; Usage'!$R65*'Weekly Summary'!AB$64)+('Equipment List &amp; Usage'!$S65*'Weekly Summary'!AB$65)+('Equipment List &amp; Usage'!$T65*('Weekly Summary'!AB$64+'Weekly Summary'!AB$65))-SUM($I63:AG63))),0)</f>
        <v>0</v>
      </c>
      <c r="AI63" s="1381">
        <f ca="1">MAX(IF($F63="No",('Equipment List &amp; Usage'!$O65*'Weekly Summary'!AC$52)+('Equipment List &amp; Usage'!$P65*'Weekly Summary'!AC$53)+('Equipment List &amp; Usage'!$Q65*('Weekly Summary'!AC$52+'Weekly Summary'!AC$53))+('Equipment List &amp; Usage'!$R65*'Weekly Summary'!AC$64)+('Equipment List &amp; Usage'!$S65*'Weekly Summary'!AC$65)+('Equipment List &amp; Usage'!$T65*('Weekly Summary'!AC$64+'Weekly Summary'!AC$65)),
IF(AI$10=0,('Equipment List &amp; Usage'!$O65*'Weekly Summary'!AC$52)+('Equipment List &amp; Usage'!$P65*'Weekly Summary'!AC$53)+('Equipment List &amp; Usage'!$Q65*('Weekly Summary'!AC$52+'Weekly Summary'!AC$53))+('Equipment List &amp; Usage'!$R65*'Weekly Summary'!AC$64)+('Equipment List &amp; Usage'!$S65*'Weekly Summary'!AC$65)+('Equipment List &amp; Usage'!$T65*('Weekly Summary'!AC$64+'Weekly Summary'!AC$65)),
('Equipment List &amp; Usage'!$O65*'Weekly Summary'!AC$52)+('Equipment List &amp; Usage'!$P65*'Weekly Summary'!AC$53)+('Equipment List &amp; Usage'!$Q65*('Weekly Summary'!AC$52+'Weekly Summary'!AC$53))+('Equipment List &amp; Usage'!$R65*'Weekly Summary'!AC$64)+('Equipment List &amp; Usage'!$S65*'Weekly Summary'!AC$65)+('Equipment List &amp; Usage'!$T65*('Weekly Summary'!AC$64+'Weekly Summary'!AC$65))-SUM($I63:AH63))),0)</f>
        <v>0</v>
      </c>
      <c r="AJ63" s="1381">
        <f ca="1">MAX(IF($F63="No",('Equipment List &amp; Usage'!$O65*'Weekly Summary'!AD$52)+('Equipment List &amp; Usage'!$P65*'Weekly Summary'!AD$53)+('Equipment List &amp; Usage'!$Q65*('Weekly Summary'!AD$52+'Weekly Summary'!AD$53))+('Equipment List &amp; Usage'!$R65*'Weekly Summary'!AD$64)+('Equipment List &amp; Usage'!$S65*'Weekly Summary'!AD$65)+('Equipment List &amp; Usage'!$T65*('Weekly Summary'!AD$64+'Weekly Summary'!AD$65)),
IF(AJ$10=0,('Equipment List &amp; Usage'!$O65*'Weekly Summary'!AD$52)+('Equipment List &amp; Usage'!$P65*'Weekly Summary'!AD$53)+('Equipment List &amp; Usage'!$Q65*('Weekly Summary'!AD$52+'Weekly Summary'!AD$53))+('Equipment List &amp; Usage'!$R65*'Weekly Summary'!AD$64)+('Equipment List &amp; Usage'!$S65*'Weekly Summary'!AD$65)+('Equipment List &amp; Usage'!$T65*('Weekly Summary'!AD$64+'Weekly Summary'!AD$65)),
('Equipment List &amp; Usage'!$O65*'Weekly Summary'!AD$52)+('Equipment List &amp; Usage'!$P65*'Weekly Summary'!AD$53)+('Equipment List &amp; Usage'!$Q65*('Weekly Summary'!AD$52+'Weekly Summary'!AD$53))+('Equipment List &amp; Usage'!$R65*'Weekly Summary'!AD$64)+('Equipment List &amp; Usage'!$S65*'Weekly Summary'!AD$65)+('Equipment List &amp; Usage'!$T65*('Weekly Summary'!AD$64+'Weekly Summary'!AD$65))-SUM($I63:AI63))),0)</f>
        <v>0</v>
      </c>
      <c r="AK63" s="1381">
        <f ca="1">MAX(IF($F63="No",('Equipment List &amp; Usage'!$O65*'Weekly Summary'!AE$52)+('Equipment List &amp; Usage'!$P65*'Weekly Summary'!AE$53)+('Equipment List &amp; Usage'!$Q65*('Weekly Summary'!AE$52+'Weekly Summary'!AE$53))+('Equipment List &amp; Usage'!$R65*'Weekly Summary'!AE$64)+('Equipment List &amp; Usage'!$S65*'Weekly Summary'!AE$65)+('Equipment List &amp; Usage'!$T65*('Weekly Summary'!AE$64+'Weekly Summary'!AE$65)),
IF(AK$10=0,('Equipment List &amp; Usage'!$O65*'Weekly Summary'!AE$52)+('Equipment List &amp; Usage'!$P65*'Weekly Summary'!AE$53)+('Equipment List &amp; Usage'!$Q65*('Weekly Summary'!AE$52+'Weekly Summary'!AE$53))+('Equipment List &amp; Usage'!$R65*'Weekly Summary'!AE$64)+('Equipment List &amp; Usage'!$S65*'Weekly Summary'!AE$65)+('Equipment List &amp; Usage'!$T65*('Weekly Summary'!AE$64+'Weekly Summary'!AE$65)),
('Equipment List &amp; Usage'!$O65*'Weekly Summary'!AE$52)+('Equipment List &amp; Usage'!$P65*'Weekly Summary'!AE$53)+('Equipment List &amp; Usage'!$Q65*('Weekly Summary'!AE$52+'Weekly Summary'!AE$53))+('Equipment List &amp; Usage'!$R65*'Weekly Summary'!AE$64)+('Equipment List &amp; Usage'!$S65*'Weekly Summary'!AE$65)+('Equipment List &amp; Usage'!$T65*('Weekly Summary'!AE$64+'Weekly Summary'!AE$65))-SUM($I63:AJ63))),0)</f>
        <v>0</v>
      </c>
      <c r="AL63" s="1381">
        <f ca="1">MAX(IF($F63="No",('Equipment List &amp; Usage'!$O65*'Weekly Summary'!AF$52)+('Equipment List &amp; Usage'!$P65*'Weekly Summary'!AF$53)+('Equipment List &amp; Usage'!$Q65*('Weekly Summary'!AF$52+'Weekly Summary'!AF$53))+('Equipment List &amp; Usage'!$R65*'Weekly Summary'!AF$64)+('Equipment List &amp; Usage'!$S65*'Weekly Summary'!AF$65)+('Equipment List &amp; Usage'!$T65*('Weekly Summary'!AF$64+'Weekly Summary'!AF$65)),
IF(AL$10=0,('Equipment List &amp; Usage'!$O65*'Weekly Summary'!AF$52)+('Equipment List &amp; Usage'!$P65*'Weekly Summary'!AF$53)+('Equipment List &amp; Usage'!$Q65*('Weekly Summary'!AF$52+'Weekly Summary'!AF$53))+('Equipment List &amp; Usage'!$R65*'Weekly Summary'!AF$64)+('Equipment List &amp; Usage'!$S65*'Weekly Summary'!AF$65)+('Equipment List &amp; Usage'!$T65*('Weekly Summary'!AF$64+'Weekly Summary'!AF$65)),
('Equipment List &amp; Usage'!$O65*'Weekly Summary'!AF$52)+('Equipment List &amp; Usage'!$P65*'Weekly Summary'!AF$53)+('Equipment List &amp; Usage'!$Q65*('Weekly Summary'!AF$52+'Weekly Summary'!AF$53))+('Equipment List &amp; Usage'!$R65*'Weekly Summary'!AF$64)+('Equipment List &amp; Usage'!$S65*'Weekly Summary'!AF$65)+('Equipment List &amp; Usage'!$T65*('Weekly Summary'!AF$64+'Weekly Summary'!AF$65))-SUM($I63:AK63))),0)</f>
        <v>0</v>
      </c>
      <c r="AM63" s="1381">
        <f ca="1">MAX(IF($F63="No",('Equipment List &amp; Usage'!$O65*'Weekly Summary'!AG$52)+('Equipment List &amp; Usage'!$P65*'Weekly Summary'!AG$53)+('Equipment List &amp; Usage'!$Q65*('Weekly Summary'!AG$52+'Weekly Summary'!AG$53))+('Equipment List &amp; Usage'!$R65*'Weekly Summary'!AG$64)+('Equipment List &amp; Usage'!$S65*'Weekly Summary'!AG$65)+('Equipment List &amp; Usage'!$T65*('Weekly Summary'!AG$64+'Weekly Summary'!AG$65)),
IF(AM$10=0,('Equipment List &amp; Usage'!$O65*'Weekly Summary'!AG$52)+('Equipment List &amp; Usage'!$P65*'Weekly Summary'!AG$53)+('Equipment List &amp; Usage'!$Q65*('Weekly Summary'!AG$52+'Weekly Summary'!AG$53))+('Equipment List &amp; Usage'!$R65*'Weekly Summary'!AG$64)+('Equipment List &amp; Usage'!$S65*'Weekly Summary'!AG$65)+('Equipment List &amp; Usage'!$T65*('Weekly Summary'!AG$64+'Weekly Summary'!AG$65)),
('Equipment List &amp; Usage'!$O65*'Weekly Summary'!AG$52)+('Equipment List &amp; Usage'!$P65*'Weekly Summary'!AG$53)+('Equipment List &amp; Usage'!$Q65*('Weekly Summary'!AG$52+'Weekly Summary'!AG$53))+('Equipment List &amp; Usage'!$R65*'Weekly Summary'!AG$64)+('Equipment List &amp; Usage'!$S65*'Weekly Summary'!AG$65)+('Equipment List &amp; Usage'!$T65*('Weekly Summary'!AG$64+'Weekly Summary'!AG$65))-SUM($I63:AL63))),0)</f>
        <v>0</v>
      </c>
      <c r="AN63" s="1381">
        <f ca="1">MAX(IF($F63="No",('Equipment List &amp; Usage'!$O65*'Weekly Summary'!AH$52)+('Equipment List &amp; Usage'!$P65*'Weekly Summary'!AH$53)+('Equipment List &amp; Usage'!$Q65*('Weekly Summary'!AH$52+'Weekly Summary'!AH$53))+('Equipment List &amp; Usage'!$R65*'Weekly Summary'!AH$64)+('Equipment List &amp; Usage'!$S65*'Weekly Summary'!AH$65)+('Equipment List &amp; Usage'!$T65*('Weekly Summary'!AH$64+'Weekly Summary'!AH$65)),
IF(AN$10=0,('Equipment List &amp; Usage'!$O65*'Weekly Summary'!AH$52)+('Equipment List &amp; Usage'!$P65*'Weekly Summary'!AH$53)+('Equipment List &amp; Usage'!$Q65*('Weekly Summary'!AH$52+'Weekly Summary'!AH$53))+('Equipment List &amp; Usage'!$R65*'Weekly Summary'!AH$64)+('Equipment List &amp; Usage'!$S65*'Weekly Summary'!AH$65)+('Equipment List &amp; Usage'!$T65*('Weekly Summary'!AH$64+'Weekly Summary'!AH$65)),
('Equipment List &amp; Usage'!$O65*'Weekly Summary'!AH$52)+('Equipment List &amp; Usage'!$P65*'Weekly Summary'!AH$53)+('Equipment List &amp; Usage'!$Q65*('Weekly Summary'!AH$52+'Weekly Summary'!AH$53))+('Equipment List &amp; Usage'!$R65*'Weekly Summary'!AH$64)+('Equipment List &amp; Usage'!$S65*'Weekly Summary'!AH$65)+('Equipment List &amp; Usage'!$T65*('Weekly Summary'!AH$64+'Weekly Summary'!AH$65))-SUM($I63:AM63))),0)</f>
        <v>0</v>
      </c>
      <c r="AO63" s="1381">
        <f ca="1">MAX(IF($F63="No",('Equipment List &amp; Usage'!$O65*'Weekly Summary'!AI$52)+('Equipment List &amp; Usage'!$P65*'Weekly Summary'!AI$53)+('Equipment List &amp; Usage'!$Q65*('Weekly Summary'!AI$52+'Weekly Summary'!AI$53))+('Equipment List &amp; Usage'!$R65*'Weekly Summary'!AI$64)+('Equipment List &amp; Usage'!$S65*'Weekly Summary'!AI$65)+('Equipment List &amp; Usage'!$T65*('Weekly Summary'!AI$64+'Weekly Summary'!AI$65)),
IF(AO$10=0,('Equipment List &amp; Usage'!$O65*'Weekly Summary'!AI$52)+('Equipment List &amp; Usage'!$P65*'Weekly Summary'!AI$53)+('Equipment List &amp; Usage'!$Q65*('Weekly Summary'!AI$52+'Weekly Summary'!AI$53))+('Equipment List &amp; Usage'!$R65*'Weekly Summary'!AI$64)+('Equipment List &amp; Usage'!$S65*'Weekly Summary'!AI$65)+('Equipment List &amp; Usage'!$T65*('Weekly Summary'!AI$64+'Weekly Summary'!AI$65)),
('Equipment List &amp; Usage'!$O65*'Weekly Summary'!AI$52)+('Equipment List &amp; Usage'!$P65*'Weekly Summary'!AI$53)+('Equipment List &amp; Usage'!$Q65*('Weekly Summary'!AI$52+'Weekly Summary'!AI$53))+('Equipment List &amp; Usage'!$R65*'Weekly Summary'!AI$64)+('Equipment List &amp; Usage'!$S65*'Weekly Summary'!AI$65)+('Equipment List &amp; Usage'!$T65*('Weekly Summary'!AI$64+'Weekly Summary'!AI$65))-SUM($I63:AN63))),0)</f>
        <v>0</v>
      </c>
      <c r="AP63" s="1381">
        <f ca="1">MAX(IF($F63="No",('Equipment List &amp; Usage'!$O65*'Weekly Summary'!AJ$52)+('Equipment List &amp; Usage'!$P65*'Weekly Summary'!AJ$53)+('Equipment List &amp; Usage'!$Q65*('Weekly Summary'!AJ$52+'Weekly Summary'!AJ$53))+('Equipment List &amp; Usage'!$R65*'Weekly Summary'!AJ$64)+('Equipment List &amp; Usage'!$S65*'Weekly Summary'!AJ$65)+('Equipment List &amp; Usage'!$T65*('Weekly Summary'!AJ$64+'Weekly Summary'!AJ$65)),
IF(AP$10=0,('Equipment List &amp; Usage'!$O65*'Weekly Summary'!AJ$52)+('Equipment List &amp; Usage'!$P65*'Weekly Summary'!AJ$53)+('Equipment List &amp; Usage'!$Q65*('Weekly Summary'!AJ$52+'Weekly Summary'!AJ$53))+('Equipment List &amp; Usage'!$R65*'Weekly Summary'!AJ$64)+('Equipment List &amp; Usage'!$S65*'Weekly Summary'!AJ$65)+('Equipment List &amp; Usage'!$T65*('Weekly Summary'!AJ$64+'Weekly Summary'!AJ$65)),
('Equipment List &amp; Usage'!$O65*'Weekly Summary'!AJ$52)+('Equipment List &amp; Usage'!$P65*'Weekly Summary'!AJ$53)+('Equipment List &amp; Usage'!$Q65*('Weekly Summary'!AJ$52+'Weekly Summary'!AJ$53))+('Equipment List &amp; Usage'!$R65*'Weekly Summary'!AJ$64)+('Equipment List &amp; Usage'!$S65*'Weekly Summary'!AJ$65)+('Equipment List &amp; Usage'!$T65*('Weekly Summary'!AJ$64+'Weekly Summary'!AJ$65))-SUM($I63:AO63))),0)</f>
        <v>0</v>
      </c>
      <c r="AQ63" s="1381">
        <f ca="1">MAX(IF($F63="No",('Equipment List &amp; Usage'!$O65*'Weekly Summary'!AK$52)+('Equipment List &amp; Usage'!$P65*'Weekly Summary'!AK$53)+('Equipment List &amp; Usage'!$Q65*('Weekly Summary'!AK$52+'Weekly Summary'!AK$53))+('Equipment List &amp; Usage'!$R65*'Weekly Summary'!AK$64)+('Equipment List &amp; Usage'!$S65*'Weekly Summary'!AK$65)+('Equipment List &amp; Usage'!$T65*('Weekly Summary'!AK$64+'Weekly Summary'!AK$65)),
IF(AQ$10=0,('Equipment List &amp; Usage'!$O65*'Weekly Summary'!AK$52)+('Equipment List &amp; Usage'!$P65*'Weekly Summary'!AK$53)+('Equipment List &amp; Usage'!$Q65*('Weekly Summary'!AK$52+'Weekly Summary'!AK$53))+('Equipment List &amp; Usage'!$R65*'Weekly Summary'!AK$64)+('Equipment List &amp; Usage'!$S65*'Weekly Summary'!AK$65)+('Equipment List &amp; Usage'!$T65*('Weekly Summary'!AK$64+'Weekly Summary'!AK$65)),
('Equipment List &amp; Usage'!$O65*'Weekly Summary'!AK$52)+('Equipment List &amp; Usage'!$P65*'Weekly Summary'!AK$53)+('Equipment List &amp; Usage'!$Q65*('Weekly Summary'!AK$52+'Weekly Summary'!AK$53))+('Equipment List &amp; Usage'!$R65*'Weekly Summary'!AK$64)+('Equipment List &amp; Usage'!$S65*'Weekly Summary'!AK$65)+('Equipment List &amp; Usage'!$T65*('Weekly Summary'!AK$64+'Weekly Summary'!AK$65))-SUM($I63:AP63))),0)</f>
        <v>0</v>
      </c>
      <c r="AR63" s="1381">
        <f ca="1">MAX(IF($F63="No",('Equipment List &amp; Usage'!$O65*'Weekly Summary'!AL$52)+('Equipment List &amp; Usage'!$P65*'Weekly Summary'!AL$53)+('Equipment List &amp; Usage'!$Q65*('Weekly Summary'!AL$52+'Weekly Summary'!AL$53))+('Equipment List &amp; Usage'!$R65*'Weekly Summary'!AL$64)+('Equipment List &amp; Usage'!$S65*'Weekly Summary'!AL$65)+('Equipment List &amp; Usage'!$T65*('Weekly Summary'!AL$64+'Weekly Summary'!AL$65)),
IF(AR$10=0,('Equipment List &amp; Usage'!$O65*'Weekly Summary'!AL$52)+('Equipment List &amp; Usage'!$P65*'Weekly Summary'!AL$53)+('Equipment List &amp; Usage'!$Q65*('Weekly Summary'!AL$52+'Weekly Summary'!AL$53))+('Equipment List &amp; Usage'!$R65*'Weekly Summary'!AL$64)+('Equipment List &amp; Usage'!$S65*'Weekly Summary'!AL$65)+('Equipment List &amp; Usage'!$T65*('Weekly Summary'!AL$64+'Weekly Summary'!AL$65)),
('Equipment List &amp; Usage'!$O65*'Weekly Summary'!AL$52)+('Equipment List &amp; Usage'!$P65*'Weekly Summary'!AL$53)+('Equipment List &amp; Usage'!$Q65*('Weekly Summary'!AL$52+'Weekly Summary'!AL$53))+('Equipment List &amp; Usage'!$R65*'Weekly Summary'!AL$64)+('Equipment List &amp; Usage'!$S65*'Weekly Summary'!AL$65)+('Equipment List &amp; Usage'!$T65*('Weekly Summary'!AL$64+'Weekly Summary'!AL$65))-SUM($I63:AQ63))),0)</f>
        <v>0</v>
      </c>
      <c r="AS63" s="1381">
        <f ca="1">MAX(IF($F63="No",('Equipment List &amp; Usage'!$O65*'Weekly Summary'!AM$52)+('Equipment List &amp; Usage'!$P65*'Weekly Summary'!AM$53)+('Equipment List &amp; Usage'!$Q65*('Weekly Summary'!AM$52+'Weekly Summary'!AM$53))+('Equipment List &amp; Usage'!$R65*'Weekly Summary'!AM$64)+('Equipment List &amp; Usage'!$S65*'Weekly Summary'!AM$65)+('Equipment List &amp; Usage'!$T65*('Weekly Summary'!AM$64+'Weekly Summary'!AM$65)),
IF(AS$10=0,('Equipment List &amp; Usage'!$O65*'Weekly Summary'!AM$52)+('Equipment List &amp; Usage'!$P65*'Weekly Summary'!AM$53)+('Equipment List &amp; Usage'!$Q65*('Weekly Summary'!AM$52+'Weekly Summary'!AM$53))+('Equipment List &amp; Usage'!$R65*'Weekly Summary'!AM$64)+('Equipment List &amp; Usage'!$S65*'Weekly Summary'!AM$65)+('Equipment List &amp; Usage'!$T65*('Weekly Summary'!AM$64+'Weekly Summary'!AM$65)),
('Equipment List &amp; Usage'!$O65*'Weekly Summary'!AM$52)+('Equipment List &amp; Usage'!$P65*'Weekly Summary'!AM$53)+('Equipment List &amp; Usage'!$Q65*('Weekly Summary'!AM$52+'Weekly Summary'!AM$53))+('Equipment List &amp; Usage'!$R65*'Weekly Summary'!AM$64)+('Equipment List &amp; Usage'!$S65*'Weekly Summary'!AM$65)+('Equipment List &amp; Usage'!$T65*('Weekly Summary'!AM$64+'Weekly Summary'!AM$65))-SUM($I63:AR63))),0)</f>
        <v>0</v>
      </c>
      <c r="AT63" s="1381">
        <f ca="1">MAX(IF($F63="No",('Equipment List &amp; Usage'!$O65*'Weekly Summary'!AN$52)+('Equipment List &amp; Usage'!$P65*'Weekly Summary'!AN$53)+('Equipment List &amp; Usage'!$Q65*('Weekly Summary'!AN$52+'Weekly Summary'!AN$53))+('Equipment List &amp; Usage'!$R65*'Weekly Summary'!AN$64)+('Equipment List &amp; Usage'!$S65*'Weekly Summary'!AN$65)+('Equipment List &amp; Usage'!$T65*('Weekly Summary'!AN$64+'Weekly Summary'!AN$65)),
IF(AT$10=0,('Equipment List &amp; Usage'!$O65*'Weekly Summary'!AN$52)+('Equipment List &amp; Usage'!$P65*'Weekly Summary'!AN$53)+('Equipment List &amp; Usage'!$Q65*('Weekly Summary'!AN$52+'Weekly Summary'!AN$53))+('Equipment List &amp; Usage'!$R65*'Weekly Summary'!AN$64)+('Equipment List &amp; Usage'!$S65*'Weekly Summary'!AN$65)+('Equipment List &amp; Usage'!$T65*('Weekly Summary'!AN$64+'Weekly Summary'!AN$65)),
('Equipment List &amp; Usage'!$O65*'Weekly Summary'!AN$52)+('Equipment List &amp; Usage'!$P65*'Weekly Summary'!AN$53)+('Equipment List &amp; Usage'!$Q65*('Weekly Summary'!AN$52+'Weekly Summary'!AN$53))+('Equipment List &amp; Usage'!$R65*'Weekly Summary'!AN$64)+('Equipment List &amp; Usage'!$S65*'Weekly Summary'!AN$65)+('Equipment List &amp; Usage'!$T65*('Weekly Summary'!AN$64+'Weekly Summary'!AN$65))-SUM($I63:AS63))),0)</f>
        <v>0</v>
      </c>
      <c r="AU63" s="1381">
        <f ca="1">MAX(IF($F63="No",('Equipment List &amp; Usage'!$O65*'Weekly Summary'!AO$52)+('Equipment List &amp; Usage'!$P65*'Weekly Summary'!AO$53)+('Equipment List &amp; Usage'!$Q65*('Weekly Summary'!AO$52+'Weekly Summary'!AO$53))+('Equipment List &amp; Usage'!$R65*'Weekly Summary'!AO$64)+('Equipment List &amp; Usage'!$S65*'Weekly Summary'!AO$65)+('Equipment List &amp; Usage'!$T65*('Weekly Summary'!AO$64+'Weekly Summary'!AO$65)),
IF(AU$10=0,('Equipment List &amp; Usage'!$O65*'Weekly Summary'!AO$52)+('Equipment List &amp; Usage'!$P65*'Weekly Summary'!AO$53)+('Equipment List &amp; Usage'!$Q65*('Weekly Summary'!AO$52+'Weekly Summary'!AO$53))+('Equipment List &amp; Usage'!$R65*'Weekly Summary'!AO$64)+('Equipment List &amp; Usage'!$S65*'Weekly Summary'!AO$65)+('Equipment List &amp; Usage'!$T65*('Weekly Summary'!AO$64+'Weekly Summary'!AO$65)),
('Equipment List &amp; Usage'!$O65*'Weekly Summary'!AO$52)+('Equipment List &amp; Usage'!$P65*'Weekly Summary'!AO$53)+('Equipment List &amp; Usage'!$Q65*('Weekly Summary'!AO$52+'Weekly Summary'!AO$53))+('Equipment List &amp; Usage'!$R65*'Weekly Summary'!AO$64)+('Equipment List &amp; Usage'!$S65*'Weekly Summary'!AO$65)+('Equipment List &amp; Usage'!$T65*('Weekly Summary'!AO$64+'Weekly Summary'!AO$65))-SUM($I63:AT63))),0)</f>
        <v>0</v>
      </c>
      <c r="AV63" s="1381">
        <f ca="1">MAX(IF($F63="No",('Equipment List &amp; Usage'!$O65*'Weekly Summary'!AP$52)+('Equipment List &amp; Usage'!$P65*'Weekly Summary'!AP$53)+('Equipment List &amp; Usage'!$Q65*('Weekly Summary'!AP$52+'Weekly Summary'!AP$53))+('Equipment List &amp; Usage'!$R65*'Weekly Summary'!AP$64)+('Equipment List &amp; Usage'!$S65*'Weekly Summary'!AP$65)+('Equipment List &amp; Usage'!$T65*('Weekly Summary'!AP$64+'Weekly Summary'!AP$65)),
IF(AV$10=0,('Equipment List &amp; Usage'!$O65*'Weekly Summary'!AP$52)+('Equipment List &amp; Usage'!$P65*'Weekly Summary'!AP$53)+('Equipment List &amp; Usage'!$Q65*('Weekly Summary'!AP$52+'Weekly Summary'!AP$53))+('Equipment List &amp; Usage'!$R65*'Weekly Summary'!AP$64)+('Equipment List &amp; Usage'!$S65*'Weekly Summary'!AP$65)+('Equipment List &amp; Usage'!$T65*('Weekly Summary'!AP$64+'Weekly Summary'!AP$65)),
('Equipment List &amp; Usage'!$O65*'Weekly Summary'!AP$52)+('Equipment List &amp; Usage'!$P65*'Weekly Summary'!AP$53)+('Equipment List &amp; Usage'!$Q65*('Weekly Summary'!AP$52+'Weekly Summary'!AP$53))+('Equipment List &amp; Usage'!$R65*'Weekly Summary'!AP$64)+('Equipment List &amp; Usage'!$S65*'Weekly Summary'!AP$65)+('Equipment List &amp; Usage'!$T65*('Weekly Summary'!AP$64+'Weekly Summary'!AP$65))-SUM($I63:AU63))),0)</f>
        <v>0</v>
      </c>
      <c r="AW63" s="1381">
        <f ca="1">MAX(IF($F63="No",('Equipment List &amp; Usage'!$O65*'Weekly Summary'!AQ$52)+('Equipment List &amp; Usage'!$P65*'Weekly Summary'!AQ$53)+('Equipment List &amp; Usage'!$Q65*('Weekly Summary'!AQ$52+'Weekly Summary'!AQ$53))+('Equipment List &amp; Usage'!$R65*'Weekly Summary'!AQ$64)+('Equipment List &amp; Usage'!$S65*'Weekly Summary'!AQ$65)+('Equipment List &amp; Usage'!$T65*('Weekly Summary'!AQ$64+'Weekly Summary'!AQ$65)),
IF(AW$10=0,('Equipment List &amp; Usage'!$O65*'Weekly Summary'!AQ$52)+('Equipment List &amp; Usage'!$P65*'Weekly Summary'!AQ$53)+('Equipment List &amp; Usage'!$Q65*('Weekly Summary'!AQ$52+'Weekly Summary'!AQ$53))+('Equipment List &amp; Usage'!$R65*'Weekly Summary'!AQ$64)+('Equipment List &amp; Usage'!$S65*'Weekly Summary'!AQ$65)+('Equipment List &amp; Usage'!$T65*('Weekly Summary'!AQ$64+'Weekly Summary'!AQ$65)),
('Equipment List &amp; Usage'!$O65*'Weekly Summary'!AQ$52)+('Equipment List &amp; Usage'!$P65*'Weekly Summary'!AQ$53)+('Equipment List &amp; Usage'!$Q65*('Weekly Summary'!AQ$52+'Weekly Summary'!AQ$53))+('Equipment List &amp; Usage'!$R65*'Weekly Summary'!AQ$64)+('Equipment List &amp; Usage'!$S65*'Weekly Summary'!AQ$65)+('Equipment List &amp; Usage'!$T65*('Weekly Summary'!AQ$64+'Weekly Summary'!AQ$65))-SUM($I63:AV63))),0)</f>
        <v>0</v>
      </c>
      <c r="AX63" s="1381">
        <f ca="1">MAX(IF($F63="No",('Equipment List &amp; Usage'!$O65*'Weekly Summary'!AR$52)+('Equipment List &amp; Usage'!$P65*'Weekly Summary'!AR$53)+('Equipment List &amp; Usage'!$Q65*('Weekly Summary'!AR$52+'Weekly Summary'!AR$53))+('Equipment List &amp; Usage'!$R65*'Weekly Summary'!AR$64)+('Equipment List &amp; Usage'!$S65*'Weekly Summary'!AR$65)+('Equipment List &amp; Usage'!$T65*('Weekly Summary'!AR$64+'Weekly Summary'!AR$65)),
IF(AX$10=0,('Equipment List &amp; Usage'!$O65*'Weekly Summary'!AR$52)+('Equipment List &amp; Usage'!$P65*'Weekly Summary'!AR$53)+('Equipment List &amp; Usage'!$Q65*('Weekly Summary'!AR$52+'Weekly Summary'!AR$53))+('Equipment List &amp; Usage'!$R65*'Weekly Summary'!AR$64)+('Equipment List &amp; Usage'!$S65*'Weekly Summary'!AR$65)+('Equipment List &amp; Usage'!$T65*('Weekly Summary'!AR$64+'Weekly Summary'!AR$65)),
('Equipment List &amp; Usage'!$O65*'Weekly Summary'!AR$52)+('Equipment List &amp; Usage'!$P65*'Weekly Summary'!AR$53)+('Equipment List &amp; Usage'!$Q65*('Weekly Summary'!AR$52+'Weekly Summary'!AR$53))+('Equipment List &amp; Usage'!$R65*'Weekly Summary'!AR$64)+('Equipment List &amp; Usage'!$S65*'Weekly Summary'!AR$65)+('Equipment List &amp; Usage'!$T65*('Weekly Summary'!AR$64+'Weekly Summary'!AR$65))-SUM($I63:AW63))),0)</f>
        <v>0</v>
      </c>
      <c r="AY63" s="1381">
        <f ca="1">MAX(IF($F63="No",('Equipment List &amp; Usage'!$O65*'Weekly Summary'!AS$52)+('Equipment List &amp; Usage'!$P65*'Weekly Summary'!AS$53)+('Equipment List &amp; Usage'!$Q65*('Weekly Summary'!AS$52+'Weekly Summary'!AS$53))+('Equipment List &amp; Usage'!$R65*'Weekly Summary'!AS$64)+('Equipment List &amp; Usage'!$S65*'Weekly Summary'!AS$65)+('Equipment List &amp; Usage'!$T65*('Weekly Summary'!AS$64+'Weekly Summary'!AS$65)),
IF(AY$10=0,('Equipment List &amp; Usage'!$O65*'Weekly Summary'!AS$52)+('Equipment List &amp; Usage'!$P65*'Weekly Summary'!AS$53)+('Equipment List &amp; Usage'!$Q65*('Weekly Summary'!AS$52+'Weekly Summary'!AS$53))+('Equipment List &amp; Usage'!$R65*'Weekly Summary'!AS$64)+('Equipment List &amp; Usage'!$S65*'Weekly Summary'!AS$65)+('Equipment List &amp; Usage'!$T65*('Weekly Summary'!AS$64+'Weekly Summary'!AS$65)),
('Equipment List &amp; Usage'!$O65*'Weekly Summary'!AS$52)+('Equipment List &amp; Usage'!$P65*'Weekly Summary'!AS$53)+('Equipment List &amp; Usage'!$Q65*('Weekly Summary'!AS$52+'Weekly Summary'!AS$53))+('Equipment List &amp; Usage'!$R65*'Weekly Summary'!AS$64)+('Equipment List &amp; Usage'!$S65*'Weekly Summary'!AS$65)+('Equipment List &amp; Usage'!$T65*('Weekly Summary'!AS$64+'Weekly Summary'!AS$65))-SUM($I63:AX63))),0)</f>
        <v>0</v>
      </c>
      <c r="AZ63" s="1381">
        <f ca="1">MAX(IF($F63="No",('Equipment List &amp; Usage'!$O65*'Weekly Summary'!AT$52)+('Equipment List &amp; Usage'!$P65*'Weekly Summary'!AT$53)+('Equipment List &amp; Usage'!$Q65*('Weekly Summary'!AT$52+'Weekly Summary'!AT$53))+('Equipment List &amp; Usage'!$R65*'Weekly Summary'!AT$64)+('Equipment List &amp; Usage'!$S65*'Weekly Summary'!AT$65)+('Equipment List &amp; Usage'!$T65*('Weekly Summary'!AT$64+'Weekly Summary'!AT$65)),
IF(AZ$10=0,('Equipment List &amp; Usage'!$O65*'Weekly Summary'!AT$52)+('Equipment List &amp; Usage'!$P65*'Weekly Summary'!AT$53)+('Equipment List &amp; Usage'!$Q65*('Weekly Summary'!AT$52+'Weekly Summary'!AT$53))+('Equipment List &amp; Usage'!$R65*'Weekly Summary'!AT$64)+('Equipment List &amp; Usage'!$S65*'Weekly Summary'!AT$65)+('Equipment List &amp; Usage'!$T65*('Weekly Summary'!AT$64+'Weekly Summary'!AT$65)),
('Equipment List &amp; Usage'!$O65*'Weekly Summary'!AT$52)+('Equipment List &amp; Usage'!$P65*'Weekly Summary'!AT$53)+('Equipment List &amp; Usage'!$Q65*('Weekly Summary'!AT$52+'Weekly Summary'!AT$53))+('Equipment List &amp; Usage'!$R65*'Weekly Summary'!AT$64)+('Equipment List &amp; Usage'!$S65*'Weekly Summary'!AT$65)+('Equipment List &amp; Usage'!$T65*('Weekly Summary'!AT$64+'Weekly Summary'!AT$65))-SUM($I63:AY63))),0)</f>
        <v>0</v>
      </c>
      <c r="BA63" s="1381">
        <f ca="1">MAX(IF($F63="No",('Equipment List &amp; Usage'!$O65*'Weekly Summary'!AU$52)+('Equipment List &amp; Usage'!$P65*'Weekly Summary'!AU$53)+('Equipment List &amp; Usage'!$Q65*('Weekly Summary'!AU$52+'Weekly Summary'!AU$53))+('Equipment List &amp; Usage'!$R65*'Weekly Summary'!AU$64)+('Equipment List &amp; Usage'!$S65*'Weekly Summary'!AU$65)+('Equipment List &amp; Usage'!$T65*('Weekly Summary'!AU$64+'Weekly Summary'!AU$65)),
IF(BA$10=0,('Equipment List &amp; Usage'!$O65*'Weekly Summary'!AU$52)+('Equipment List &amp; Usage'!$P65*'Weekly Summary'!AU$53)+('Equipment List &amp; Usage'!$Q65*('Weekly Summary'!AU$52+'Weekly Summary'!AU$53))+('Equipment List &amp; Usage'!$R65*'Weekly Summary'!AU$64)+('Equipment List &amp; Usage'!$S65*'Weekly Summary'!AU$65)+('Equipment List &amp; Usage'!$T65*('Weekly Summary'!AU$64+'Weekly Summary'!AU$65)),
('Equipment List &amp; Usage'!$O65*'Weekly Summary'!AU$52)+('Equipment List &amp; Usage'!$P65*'Weekly Summary'!AU$53)+('Equipment List &amp; Usage'!$Q65*('Weekly Summary'!AU$52+'Weekly Summary'!AU$53))+('Equipment List &amp; Usage'!$R65*'Weekly Summary'!AU$64)+('Equipment List &amp; Usage'!$S65*'Weekly Summary'!AU$65)+('Equipment List &amp; Usage'!$T65*('Weekly Summary'!AU$64+'Weekly Summary'!AU$65))-SUM($I63:AZ63))),0)</f>
        <v>0</v>
      </c>
      <c r="BB63" s="1381">
        <f ca="1">MAX(IF($F63="No",('Equipment List &amp; Usage'!$O65*'Weekly Summary'!AV$52)+('Equipment List &amp; Usage'!$P65*'Weekly Summary'!AV$53)+('Equipment List &amp; Usage'!$Q65*('Weekly Summary'!AV$52+'Weekly Summary'!AV$53))+('Equipment List &amp; Usage'!$R65*'Weekly Summary'!AV$64)+('Equipment List &amp; Usage'!$S65*'Weekly Summary'!AV$65)+('Equipment List &amp; Usage'!$T65*('Weekly Summary'!AV$64+'Weekly Summary'!AV$65)),
IF(BB$10=0,('Equipment List &amp; Usage'!$O65*'Weekly Summary'!AV$52)+('Equipment List &amp; Usage'!$P65*'Weekly Summary'!AV$53)+('Equipment List &amp; Usage'!$Q65*('Weekly Summary'!AV$52+'Weekly Summary'!AV$53))+('Equipment List &amp; Usage'!$R65*'Weekly Summary'!AV$64)+('Equipment List &amp; Usage'!$S65*'Weekly Summary'!AV$65)+('Equipment List &amp; Usage'!$T65*('Weekly Summary'!AV$64+'Weekly Summary'!AV$65)),
('Equipment List &amp; Usage'!$O65*'Weekly Summary'!AV$52)+('Equipment List &amp; Usage'!$P65*'Weekly Summary'!AV$53)+('Equipment List &amp; Usage'!$Q65*('Weekly Summary'!AV$52+'Weekly Summary'!AV$53))+('Equipment List &amp; Usage'!$R65*'Weekly Summary'!AV$64)+('Equipment List &amp; Usage'!$S65*'Weekly Summary'!AV$65)+('Equipment List &amp; Usage'!$T65*('Weekly Summary'!AV$64+'Weekly Summary'!AV$65))-SUM($I63:BA63))),0)</f>
        <v>0</v>
      </c>
      <c r="BC63" s="1381">
        <f ca="1">MAX(IF($F63="No",('Equipment List &amp; Usage'!$O65*'Weekly Summary'!AW$52)+('Equipment List &amp; Usage'!$P65*'Weekly Summary'!AW$53)+('Equipment List &amp; Usage'!$Q65*('Weekly Summary'!AW$52+'Weekly Summary'!AW$53))+('Equipment List &amp; Usage'!$R65*'Weekly Summary'!AW$64)+('Equipment List &amp; Usage'!$S65*'Weekly Summary'!AW$65)+('Equipment List &amp; Usage'!$T65*('Weekly Summary'!AW$64+'Weekly Summary'!AW$65)),
IF(BC$10=0,('Equipment List &amp; Usage'!$O65*'Weekly Summary'!AW$52)+('Equipment List &amp; Usage'!$P65*'Weekly Summary'!AW$53)+('Equipment List &amp; Usage'!$Q65*('Weekly Summary'!AW$52+'Weekly Summary'!AW$53))+('Equipment List &amp; Usage'!$R65*'Weekly Summary'!AW$64)+('Equipment List &amp; Usage'!$S65*'Weekly Summary'!AW$65)+('Equipment List &amp; Usage'!$T65*('Weekly Summary'!AW$64+'Weekly Summary'!AW$65)),
('Equipment List &amp; Usage'!$O65*'Weekly Summary'!AW$52)+('Equipment List &amp; Usage'!$P65*'Weekly Summary'!AW$53)+('Equipment List &amp; Usage'!$Q65*('Weekly Summary'!AW$52+'Weekly Summary'!AW$53))+('Equipment List &amp; Usage'!$R65*'Weekly Summary'!AW$64)+('Equipment List &amp; Usage'!$S65*'Weekly Summary'!AW$65)+('Equipment List &amp; Usage'!$T65*('Weekly Summary'!AW$64+'Weekly Summary'!AW$65))-SUM($I63:BB63))),0)</f>
        <v>0</v>
      </c>
      <c r="BD63" s="1381">
        <f ca="1">MAX(IF($F63="No",('Equipment List &amp; Usage'!$O65*'Weekly Summary'!AX$52)+('Equipment List &amp; Usage'!$P65*'Weekly Summary'!AX$53)+('Equipment List &amp; Usage'!$Q65*('Weekly Summary'!AX$52+'Weekly Summary'!AX$53))+('Equipment List &amp; Usage'!$R65*'Weekly Summary'!AX$64)+('Equipment List &amp; Usage'!$S65*'Weekly Summary'!AX$65)+('Equipment List &amp; Usage'!$T65*('Weekly Summary'!AX$64+'Weekly Summary'!AX$65)),
IF(BD$10=0,('Equipment List &amp; Usage'!$O65*'Weekly Summary'!AX$52)+('Equipment List &amp; Usage'!$P65*'Weekly Summary'!AX$53)+('Equipment List &amp; Usage'!$Q65*('Weekly Summary'!AX$52+'Weekly Summary'!AX$53))+('Equipment List &amp; Usage'!$R65*'Weekly Summary'!AX$64)+('Equipment List &amp; Usage'!$S65*'Weekly Summary'!AX$65)+('Equipment List &amp; Usage'!$T65*('Weekly Summary'!AX$64+'Weekly Summary'!AX$65)),
('Equipment List &amp; Usage'!$O65*'Weekly Summary'!AX$52)+('Equipment List &amp; Usage'!$P65*'Weekly Summary'!AX$53)+('Equipment List &amp; Usage'!$Q65*('Weekly Summary'!AX$52+'Weekly Summary'!AX$53))+('Equipment List &amp; Usage'!$R65*'Weekly Summary'!AX$64)+('Equipment List &amp; Usage'!$S65*'Weekly Summary'!AX$65)+('Equipment List &amp; Usage'!$T65*('Weekly Summary'!AX$64+'Weekly Summary'!AX$65))-SUM($I63:BC63))),0)</f>
        <v>0</v>
      </c>
      <c r="BE63" s="1381">
        <f ca="1">MAX(IF($F63="No",('Equipment List &amp; Usage'!$O65*'Weekly Summary'!AY$52)+('Equipment List &amp; Usage'!$P65*'Weekly Summary'!AY$53)+('Equipment List &amp; Usage'!$Q65*('Weekly Summary'!AY$52+'Weekly Summary'!AY$53))+('Equipment List &amp; Usage'!$R65*'Weekly Summary'!AY$64)+('Equipment List &amp; Usage'!$S65*'Weekly Summary'!AY$65)+('Equipment List &amp; Usage'!$T65*('Weekly Summary'!AY$64+'Weekly Summary'!AY$65)),
IF(BE$10=0,('Equipment List &amp; Usage'!$O65*'Weekly Summary'!AY$52)+('Equipment List &amp; Usage'!$P65*'Weekly Summary'!AY$53)+('Equipment List &amp; Usage'!$Q65*('Weekly Summary'!AY$52+'Weekly Summary'!AY$53))+('Equipment List &amp; Usage'!$R65*'Weekly Summary'!AY$64)+('Equipment List &amp; Usage'!$S65*'Weekly Summary'!AY$65)+('Equipment List &amp; Usage'!$T65*('Weekly Summary'!AY$64+'Weekly Summary'!AY$65)),
('Equipment List &amp; Usage'!$O65*'Weekly Summary'!AY$52)+('Equipment List &amp; Usage'!$P65*'Weekly Summary'!AY$53)+('Equipment List &amp; Usage'!$Q65*('Weekly Summary'!AY$52+'Weekly Summary'!AY$53))+('Equipment List &amp; Usage'!$R65*'Weekly Summary'!AY$64)+('Equipment List &amp; Usage'!$S65*'Weekly Summary'!AY$65)+('Equipment List &amp; Usage'!$T65*('Weekly Summary'!AY$64+'Weekly Summary'!AY$65))-SUM($I63:BD63))),0)</f>
        <v>0</v>
      </c>
      <c r="BF63" s="1381">
        <f ca="1">MAX(IF($F63="No",('Equipment List &amp; Usage'!$O65*'Weekly Summary'!AZ$52)+('Equipment List &amp; Usage'!$P65*'Weekly Summary'!AZ$53)+('Equipment List &amp; Usage'!$Q65*('Weekly Summary'!AZ$52+'Weekly Summary'!AZ$53))+('Equipment List &amp; Usage'!$R65*'Weekly Summary'!AZ$64)+('Equipment List &amp; Usage'!$S65*'Weekly Summary'!AZ$65)+('Equipment List &amp; Usage'!$T65*('Weekly Summary'!AZ$64+'Weekly Summary'!AZ$65)),
IF(BF$10=0,('Equipment List &amp; Usage'!$O65*'Weekly Summary'!AZ$52)+('Equipment List &amp; Usage'!$P65*'Weekly Summary'!AZ$53)+('Equipment List &amp; Usage'!$Q65*('Weekly Summary'!AZ$52+'Weekly Summary'!AZ$53))+('Equipment List &amp; Usage'!$R65*'Weekly Summary'!AZ$64)+('Equipment List &amp; Usage'!$S65*'Weekly Summary'!AZ$65)+('Equipment List &amp; Usage'!$T65*('Weekly Summary'!AZ$64+'Weekly Summary'!AZ$65)),
('Equipment List &amp; Usage'!$O65*'Weekly Summary'!AZ$52)+('Equipment List &amp; Usage'!$P65*'Weekly Summary'!AZ$53)+('Equipment List &amp; Usage'!$Q65*('Weekly Summary'!AZ$52+'Weekly Summary'!AZ$53))+('Equipment List &amp; Usage'!$R65*'Weekly Summary'!AZ$64)+('Equipment List &amp; Usage'!$S65*'Weekly Summary'!AZ$65)+('Equipment List &amp; Usage'!$T65*('Weekly Summary'!AZ$64+'Weekly Summary'!AZ$65))-SUM($I63:BE63))),0)</f>
        <v>0</v>
      </c>
      <c r="BG63" s="1381">
        <f ca="1">MAX(IF($F63="No",('Equipment List &amp; Usage'!$O65*'Weekly Summary'!BA$52)+('Equipment List &amp; Usage'!$P65*'Weekly Summary'!BA$53)+('Equipment List &amp; Usage'!$Q65*('Weekly Summary'!BA$52+'Weekly Summary'!BA$53))+('Equipment List &amp; Usage'!$R65*'Weekly Summary'!BA$64)+('Equipment List &amp; Usage'!$S65*'Weekly Summary'!BA$65)+('Equipment List &amp; Usage'!$T65*('Weekly Summary'!BA$64+'Weekly Summary'!BA$65)),
IF(BG$10=0,('Equipment List &amp; Usage'!$O65*'Weekly Summary'!BA$52)+('Equipment List &amp; Usage'!$P65*'Weekly Summary'!BA$53)+('Equipment List &amp; Usage'!$Q65*('Weekly Summary'!BA$52+'Weekly Summary'!BA$53))+('Equipment List &amp; Usage'!$R65*'Weekly Summary'!BA$64)+('Equipment List &amp; Usage'!$S65*'Weekly Summary'!BA$65)+('Equipment List &amp; Usage'!$T65*('Weekly Summary'!BA$64+'Weekly Summary'!BA$65)),
('Equipment List &amp; Usage'!$O65*'Weekly Summary'!BA$52)+('Equipment List &amp; Usage'!$P65*'Weekly Summary'!BA$53)+('Equipment List &amp; Usage'!$Q65*('Weekly Summary'!BA$52+'Weekly Summary'!BA$53))+('Equipment List &amp; Usage'!$R65*'Weekly Summary'!BA$64)+('Equipment List &amp; Usage'!$S65*'Weekly Summary'!BA$65)+('Equipment List &amp; Usage'!$T65*('Weekly Summary'!BA$64+'Weekly Summary'!BA$65))-SUM($I63:BF63))),0)</f>
        <v>0</v>
      </c>
      <c r="BH63" s="1381">
        <f ca="1">MAX(IF($F63="No",('Equipment List &amp; Usage'!$O65*'Weekly Summary'!BB$52)+('Equipment List &amp; Usage'!$P65*'Weekly Summary'!BB$53)+('Equipment List &amp; Usage'!$Q65*('Weekly Summary'!BB$52+'Weekly Summary'!BB$53))+('Equipment List &amp; Usage'!$R65*'Weekly Summary'!BB$64)+('Equipment List &amp; Usage'!$S65*'Weekly Summary'!BB$65)+('Equipment List &amp; Usage'!$T65*('Weekly Summary'!BB$64+'Weekly Summary'!BB$65)),
IF(BH$10=0,('Equipment List &amp; Usage'!$O65*'Weekly Summary'!BB$52)+('Equipment List &amp; Usage'!$P65*'Weekly Summary'!BB$53)+('Equipment List &amp; Usage'!$Q65*('Weekly Summary'!BB$52+'Weekly Summary'!BB$53))+('Equipment List &amp; Usage'!$R65*'Weekly Summary'!BB$64)+('Equipment List &amp; Usage'!$S65*'Weekly Summary'!BB$65)+('Equipment List &amp; Usage'!$T65*('Weekly Summary'!BB$64+'Weekly Summary'!BB$65)),
('Equipment List &amp; Usage'!$O65*'Weekly Summary'!BB$52)+('Equipment List &amp; Usage'!$P65*'Weekly Summary'!BB$53)+('Equipment List &amp; Usage'!$Q65*('Weekly Summary'!BB$52+'Weekly Summary'!BB$53))+('Equipment List &amp; Usage'!$R65*'Weekly Summary'!BB$64)+('Equipment List &amp; Usage'!$S65*'Weekly Summary'!BB$65)+('Equipment List &amp; Usage'!$T65*('Weekly Summary'!BB$64+'Weekly Summary'!BB$65))-SUM($I63:BG63))),0)</f>
        <v>0</v>
      </c>
      <c r="BI63" s="1381">
        <f ca="1">MAX(IF($F63="No",('Equipment List &amp; Usage'!$O65*'Weekly Summary'!BC$52)+('Equipment List &amp; Usage'!$P65*'Weekly Summary'!BC$53)+('Equipment List &amp; Usage'!$Q65*('Weekly Summary'!BC$52+'Weekly Summary'!BC$53))+('Equipment List &amp; Usage'!$R65*'Weekly Summary'!BC$64)+('Equipment List &amp; Usage'!$S65*'Weekly Summary'!BC$65)+('Equipment List &amp; Usage'!$T65*('Weekly Summary'!BC$64+'Weekly Summary'!BC$65)),
IF(BI$10=0,('Equipment List &amp; Usage'!$O65*'Weekly Summary'!BC$52)+('Equipment List &amp; Usage'!$P65*'Weekly Summary'!BC$53)+('Equipment List &amp; Usage'!$Q65*('Weekly Summary'!BC$52+'Weekly Summary'!BC$53))+('Equipment List &amp; Usage'!$R65*'Weekly Summary'!BC$64)+('Equipment List &amp; Usage'!$S65*'Weekly Summary'!BC$65)+('Equipment List &amp; Usage'!$T65*('Weekly Summary'!BC$64+'Weekly Summary'!BC$65)),
('Equipment List &amp; Usage'!$O65*'Weekly Summary'!BC$52)+('Equipment List &amp; Usage'!$P65*'Weekly Summary'!BC$53)+('Equipment List &amp; Usage'!$Q65*('Weekly Summary'!BC$52+'Weekly Summary'!BC$53))+('Equipment List &amp; Usage'!$R65*'Weekly Summary'!BC$64)+('Equipment List &amp; Usage'!$S65*'Weekly Summary'!BC$65)+('Equipment List &amp; Usage'!$T65*('Weekly Summary'!BC$64+'Weekly Summary'!BC$65))-SUM($I63:BH63))),0)</f>
        <v>0</v>
      </c>
      <c r="BJ63" s="1382">
        <f ca="1">MAX(IF($F63="No",('Equipment List &amp; Usage'!$O65*'Weekly Summary'!BD$52)+('Equipment List &amp; Usage'!$P65*'Weekly Summary'!BD$53)+('Equipment List &amp; Usage'!$Q65*('Weekly Summary'!BD$52+'Weekly Summary'!BD$53))+('Equipment List &amp; Usage'!$R65*'Weekly Summary'!BD$64)+('Equipment List &amp; Usage'!$S65*'Weekly Summary'!BD$65)+('Equipment List &amp; Usage'!$T65*('Weekly Summary'!BD$64+'Weekly Summary'!BD$65)),
IF(BJ$10=0,('Equipment List &amp; Usage'!$O65*'Weekly Summary'!BD$52)+('Equipment List &amp; Usage'!$P65*'Weekly Summary'!BD$53)+('Equipment List &amp; Usage'!$Q65*('Weekly Summary'!BD$52+'Weekly Summary'!BD$53))+('Equipment List &amp; Usage'!$R65*'Weekly Summary'!BD$64)+('Equipment List &amp; Usage'!$S65*'Weekly Summary'!BD$65)+('Equipment List &amp; Usage'!$T65*('Weekly Summary'!BD$64+'Weekly Summary'!BD$65)),
('Equipment List &amp; Usage'!$O65*'Weekly Summary'!BD$52)+('Equipment List &amp; Usage'!$P65*'Weekly Summary'!BD$53)+('Equipment List &amp; Usage'!$Q65*('Weekly Summary'!BD$52+'Weekly Summary'!BD$53))+('Equipment List &amp; Usage'!$R65*'Weekly Summary'!BD$64)+('Equipment List &amp; Usage'!$S65*'Weekly Summary'!BD$65)+('Equipment List &amp; Usage'!$T65*('Weekly Summary'!BD$64+'Weekly Summary'!BD$65))-SUM($I63:BI63))),0)</f>
        <v>0</v>
      </c>
    </row>
    <row r="64" spans="2:62" ht="63.65" customHeight="1" x14ac:dyDescent="0.35">
      <c r="B64" s="735" t="str">
        <f>'Equipment List &amp; Usage'!B66</f>
        <v>Case management - biomedical equipment</v>
      </c>
      <c r="C64" s="526" t="str">
        <f>'Equipment List &amp; Usage'!C66</f>
        <v>ICU</v>
      </c>
      <c r="D64" s="526" t="str">
        <f>'Equipment List &amp; Usage'!D66</f>
        <v>Drill, for vascular access, w/accessories, w/transport bag</v>
      </c>
      <c r="E64" s="526" t="str">
        <f>'Equipment List &amp; Usage'!E66</f>
        <v>Each</v>
      </c>
      <c r="F64" s="526" t="str">
        <f>'Equipment List &amp; Usage'!F66</f>
        <v>Yes</v>
      </c>
      <c r="G64" s="526" t="str">
        <f>'Equipment List &amp; Usage'!G66</f>
        <v>Supplied with one of:
Accessories for use with both adults and paediatrics
TRAINING KIT</v>
      </c>
      <c r="H64" s="1369">
        <f t="shared" ca="1" si="3"/>
        <v>7.6562112507380391</v>
      </c>
      <c r="J64" s="1344"/>
      <c r="K64" s="1381">
        <f ca="1">IF('User Dashboard'!$H$13=1,0,MAX(IF($F64="No",('Equipment List &amp; Usage'!$O66*'Weekly Summary'!E$52)+('Equipment List &amp; Usage'!$P66*'Weekly Summary'!E$53)+('Equipment List &amp; Usage'!$Q66*('Weekly Summary'!E$52+'Weekly Summary'!E$53))+('Equipment List &amp; Usage'!$R66*'Weekly Summary'!E$64)+('Equipment List &amp; Usage'!$S66*'Weekly Summary'!E$65)+('Equipment List &amp; Usage'!$T66*('Weekly Summary'!E$64+'Weekly Summary'!E$65)),
IF(K$10=0,('Equipment List &amp; Usage'!$O66*'Weekly Summary'!E$52)+('Equipment List &amp; Usage'!$P66*'Weekly Summary'!E$53)+('Equipment List &amp; Usage'!$Q66*('Weekly Summary'!E$52+'Weekly Summary'!E$53))+('Equipment List &amp; Usage'!$R66*'Weekly Summary'!E$64)+('Equipment List &amp; Usage'!$S66*'Weekly Summary'!E$65)+('Equipment List &amp; Usage'!$T66*('Weekly Summary'!E$64+'Weekly Summary'!E$65)),
('Equipment List &amp; Usage'!$O66*'Weekly Summary'!E$52)+('Equipment List &amp; Usage'!$P66*'Weekly Summary'!E$53)+('Equipment List &amp; Usage'!$Q66*('Weekly Summary'!E$52+'Weekly Summary'!E$53))+('Equipment List &amp; Usage'!$R66*'Weekly Summary'!E$64)+('Equipment List &amp; Usage'!$S66*'Weekly Summary'!E$65)+('Equipment List &amp; Usage'!$T66*('Weekly Summary'!E$64+'Weekly Summary'!E$65))-SUM($I64:I64))),0))</f>
        <v>1.6151937208404254E-2</v>
      </c>
      <c r="L64" s="1381">
        <f ca="1">MAX(IF($F64="No",('Equipment List &amp; Usage'!$O66*'Weekly Summary'!F$52)+('Equipment List &amp; Usage'!$P66*'Weekly Summary'!F$53)+('Equipment List &amp; Usage'!$Q66*('Weekly Summary'!F$52+'Weekly Summary'!F$53))+('Equipment List &amp; Usage'!$R66*'Weekly Summary'!F$64)+('Equipment List &amp; Usage'!$S66*'Weekly Summary'!F$65)+('Equipment List &amp; Usage'!$T66*('Weekly Summary'!F$64+'Weekly Summary'!F$65)),
IF(L$10=0,('Equipment List &amp; Usage'!$O66*'Weekly Summary'!F$52)+('Equipment List &amp; Usage'!$P66*'Weekly Summary'!F$53)+('Equipment List &amp; Usage'!$Q66*('Weekly Summary'!F$52+'Weekly Summary'!F$53))+('Equipment List &amp; Usage'!$R66*'Weekly Summary'!F$64)+('Equipment List &amp; Usage'!$S66*'Weekly Summary'!F$65)+('Equipment List &amp; Usage'!$T66*('Weekly Summary'!F$64+'Weekly Summary'!F$65)),
('Equipment List &amp; Usage'!$O66*'Weekly Summary'!F$52)+('Equipment List &amp; Usage'!$P66*'Weekly Summary'!F$53)+('Equipment List &amp; Usage'!$Q66*('Weekly Summary'!F$52+'Weekly Summary'!F$53))+('Equipment List &amp; Usage'!$R66*'Weekly Summary'!F$64)+('Equipment List &amp; Usage'!$S66*'Weekly Summary'!F$65)+('Equipment List &amp; Usage'!$T66*('Weekly Summary'!F$64+'Weekly Summary'!F$65))-SUM($I64:K64))),0)</f>
        <v>3.8784175441988034E-2</v>
      </c>
      <c r="M64" s="1381">
        <f ca="1">MAX(IF($F64="No",('Equipment List &amp; Usage'!$O66*'Weekly Summary'!G$52)+('Equipment List &amp; Usage'!$P66*'Weekly Summary'!G$53)+('Equipment List &amp; Usage'!$Q66*('Weekly Summary'!G$52+'Weekly Summary'!G$53))+('Equipment List &amp; Usage'!$R66*'Weekly Summary'!G$64)+('Equipment List &amp; Usage'!$S66*'Weekly Summary'!G$65)+('Equipment List &amp; Usage'!$T66*('Weekly Summary'!G$64+'Weekly Summary'!G$65)),
IF(M$10=0,('Equipment List &amp; Usage'!$O66*'Weekly Summary'!G$52)+('Equipment List &amp; Usage'!$P66*'Weekly Summary'!G$53)+('Equipment List &amp; Usage'!$Q66*('Weekly Summary'!G$52+'Weekly Summary'!G$53))+('Equipment List &amp; Usage'!$R66*'Weekly Summary'!G$64)+('Equipment List &amp; Usage'!$S66*'Weekly Summary'!G$65)+('Equipment List &amp; Usage'!$T66*('Weekly Summary'!G$64+'Weekly Summary'!G$65)),
('Equipment List &amp; Usage'!$O66*'Weekly Summary'!G$52)+('Equipment List &amp; Usage'!$P66*'Weekly Summary'!G$53)+('Equipment List &amp; Usage'!$Q66*('Weekly Summary'!G$52+'Weekly Summary'!G$53))+('Equipment List &amp; Usage'!$R66*'Weekly Summary'!G$64)+('Equipment List &amp; Usage'!$S66*'Weekly Summary'!G$65)+('Equipment List &amp; Usage'!$T66*('Weekly Summary'!G$64+'Weekly Summary'!G$65))-SUM($I64:L64))),0)</f>
        <v>0.13385058298589575</v>
      </c>
      <c r="N64" s="1381">
        <f ca="1">MAX(IF($F64="No",('Equipment List &amp; Usage'!$O66*'Weekly Summary'!H$52)+('Equipment List &amp; Usage'!$P66*'Weekly Summary'!H$53)+('Equipment List &amp; Usage'!$Q66*('Weekly Summary'!H$52+'Weekly Summary'!H$53))+('Equipment List &amp; Usage'!$R66*'Weekly Summary'!H$64)+('Equipment List &amp; Usage'!$S66*'Weekly Summary'!H$65)+('Equipment List &amp; Usage'!$T66*('Weekly Summary'!H$64+'Weekly Summary'!H$65)),
IF(N$10=0,('Equipment List &amp; Usage'!$O66*'Weekly Summary'!H$52)+('Equipment List &amp; Usage'!$P66*'Weekly Summary'!H$53)+('Equipment List &amp; Usage'!$Q66*('Weekly Summary'!H$52+'Weekly Summary'!H$53))+('Equipment List &amp; Usage'!$R66*'Weekly Summary'!H$64)+('Equipment List &amp; Usage'!$S66*'Weekly Summary'!H$65)+('Equipment List &amp; Usage'!$T66*('Weekly Summary'!H$64+'Weekly Summary'!H$65)),
('Equipment List &amp; Usage'!$O66*'Weekly Summary'!H$52)+('Equipment List &amp; Usage'!$P66*'Weekly Summary'!H$53)+('Equipment List &amp; Usage'!$Q66*('Weekly Summary'!H$52+'Weekly Summary'!H$53))+('Equipment List &amp; Usage'!$R66*'Weekly Summary'!H$64)+('Equipment List &amp; Usage'!$S66*'Weekly Summary'!H$65)+('Equipment List &amp; Usage'!$T66*('Weekly Summary'!H$64+'Weekly Summary'!H$65))-SUM($I64:M64))),0)</f>
        <v>0.45995394456098804</v>
      </c>
      <c r="O64" s="1381">
        <f ca="1">MAX(IF($F64="No",('Equipment List &amp; Usage'!$O66*'Weekly Summary'!I$52)+('Equipment List &amp; Usage'!$P66*'Weekly Summary'!I$53)+('Equipment List &amp; Usage'!$Q66*('Weekly Summary'!I$52+'Weekly Summary'!I$53))+('Equipment List &amp; Usage'!$R66*'Weekly Summary'!I$64)+('Equipment List &amp; Usage'!$S66*'Weekly Summary'!I$65)+('Equipment List &amp; Usage'!$T66*('Weekly Summary'!I$64+'Weekly Summary'!I$65)),
IF(O$10=0,('Equipment List &amp; Usage'!$O66*'Weekly Summary'!I$52)+('Equipment List &amp; Usage'!$P66*'Weekly Summary'!I$53)+('Equipment List &amp; Usage'!$Q66*('Weekly Summary'!I$52+'Weekly Summary'!I$53))+('Equipment List &amp; Usage'!$R66*'Weekly Summary'!I$64)+('Equipment List &amp; Usage'!$S66*'Weekly Summary'!I$65)+('Equipment List &amp; Usage'!$T66*('Weekly Summary'!I$64+'Weekly Summary'!I$65)),
('Equipment List &amp; Usage'!$O66*'Weekly Summary'!I$52)+('Equipment List &amp; Usage'!$P66*'Weekly Summary'!I$53)+('Equipment List &amp; Usage'!$Q66*('Weekly Summary'!I$52+'Weekly Summary'!I$53))+('Equipment List &amp; Usage'!$R66*'Weekly Summary'!I$64)+('Equipment List &amp; Usage'!$S66*'Weekly Summary'!I$65)+('Equipment List &amp; Usage'!$T66*('Weekly Summary'!I$64+'Weekly Summary'!I$65))-SUM($I64:N64))),0)</f>
        <v>1.580328866927458</v>
      </c>
      <c r="P64" s="1381">
        <f ca="1">MAX(IF($F64="No",('Equipment List &amp; Usage'!$O66*'Weekly Summary'!J$52)+('Equipment List &amp; Usage'!$P66*'Weekly Summary'!J$53)+('Equipment List &amp; Usage'!$Q66*('Weekly Summary'!J$52+'Weekly Summary'!J$53))+('Equipment List &amp; Usage'!$R66*'Weekly Summary'!J$64)+('Equipment List &amp; Usage'!$S66*'Weekly Summary'!J$65)+('Equipment List &amp; Usage'!$T66*('Weekly Summary'!J$64+'Weekly Summary'!J$65)),
IF(P$10=0,('Equipment List &amp; Usage'!$O66*'Weekly Summary'!J$52)+('Equipment List &amp; Usage'!$P66*'Weekly Summary'!J$53)+('Equipment List &amp; Usage'!$Q66*('Weekly Summary'!J$52+'Weekly Summary'!J$53))+('Equipment List &amp; Usage'!$R66*'Weekly Summary'!J$64)+('Equipment List &amp; Usage'!$S66*'Weekly Summary'!J$65)+('Equipment List &amp; Usage'!$T66*('Weekly Summary'!J$64+'Weekly Summary'!J$65)),
('Equipment List &amp; Usage'!$O66*'Weekly Summary'!J$52)+('Equipment List &amp; Usage'!$P66*'Weekly Summary'!J$53)+('Equipment List &amp; Usage'!$Q66*('Weekly Summary'!J$52+'Weekly Summary'!J$53))+('Equipment List &amp; Usage'!$R66*'Weekly Summary'!J$64)+('Equipment List &amp; Usage'!$S66*'Weekly Summary'!J$65)+('Equipment List &amp; Usage'!$T66*('Weekly Summary'!J$64+'Weekly Summary'!J$65))-SUM($I64:O64))),0)</f>
        <v>5.4271417436133049</v>
      </c>
      <c r="Q64" s="1381">
        <f ca="1">MAX(IF($F64="No",('Equipment List &amp; Usage'!$O66*'Weekly Summary'!K$52)+('Equipment List &amp; Usage'!$P66*'Weekly Summary'!K$53)+('Equipment List &amp; Usage'!$Q66*('Weekly Summary'!K$52+'Weekly Summary'!K$53))+('Equipment List &amp; Usage'!$R66*'Weekly Summary'!K$64)+('Equipment List &amp; Usage'!$S66*'Weekly Summary'!K$65)+('Equipment List &amp; Usage'!$T66*('Weekly Summary'!K$64+'Weekly Summary'!K$65)),
IF(Q$10=0,('Equipment List &amp; Usage'!$O66*'Weekly Summary'!K$52)+('Equipment List &amp; Usage'!$P66*'Weekly Summary'!K$53)+('Equipment List &amp; Usage'!$Q66*('Weekly Summary'!K$52+'Weekly Summary'!K$53))+('Equipment List &amp; Usage'!$R66*'Weekly Summary'!K$64)+('Equipment List &amp; Usage'!$S66*'Weekly Summary'!K$65)+('Equipment List &amp; Usage'!$T66*('Weekly Summary'!K$64+'Weekly Summary'!K$65)),
('Equipment List &amp; Usage'!$O66*'Weekly Summary'!K$52)+('Equipment List &amp; Usage'!$P66*'Weekly Summary'!K$53)+('Equipment List &amp; Usage'!$Q66*('Weekly Summary'!K$52+'Weekly Summary'!K$53))+('Equipment List &amp; Usage'!$R66*'Weekly Summary'!K$64)+('Equipment List &amp; Usage'!$S66*'Weekly Summary'!K$65)+('Equipment List &amp; Usage'!$T66*('Weekly Summary'!K$64+'Weekly Summary'!K$65))-SUM($I64:P64))),0)</f>
        <v>0</v>
      </c>
      <c r="R64" s="1381">
        <f ca="1">MAX(IF($F64="No",('Equipment List &amp; Usage'!$O66*'Weekly Summary'!L$52)+('Equipment List &amp; Usage'!$P66*'Weekly Summary'!L$53)+('Equipment List &amp; Usage'!$Q66*('Weekly Summary'!L$52+'Weekly Summary'!L$53))+('Equipment List &amp; Usage'!$R66*'Weekly Summary'!L$64)+('Equipment List &amp; Usage'!$S66*'Weekly Summary'!L$65)+('Equipment List &amp; Usage'!$T66*('Weekly Summary'!L$64+'Weekly Summary'!L$65)),
IF(R$10=0,('Equipment List &amp; Usage'!$O66*'Weekly Summary'!L$52)+('Equipment List &amp; Usage'!$P66*'Weekly Summary'!L$53)+('Equipment List &amp; Usage'!$Q66*('Weekly Summary'!L$52+'Weekly Summary'!L$53))+('Equipment List &amp; Usage'!$R66*'Weekly Summary'!L$64)+('Equipment List &amp; Usage'!$S66*'Weekly Summary'!L$65)+('Equipment List &amp; Usage'!$T66*('Weekly Summary'!L$64+'Weekly Summary'!L$65)),
('Equipment List &amp; Usage'!$O66*'Weekly Summary'!L$52)+('Equipment List &amp; Usage'!$P66*'Weekly Summary'!L$53)+('Equipment List &amp; Usage'!$Q66*('Weekly Summary'!L$52+'Weekly Summary'!L$53))+('Equipment List &amp; Usage'!$R66*'Weekly Summary'!L$64)+('Equipment List &amp; Usage'!$S66*'Weekly Summary'!L$65)+('Equipment List &amp; Usage'!$T66*('Weekly Summary'!L$64+'Weekly Summary'!L$65))-SUM($I64:Q64))),0)</f>
        <v>0</v>
      </c>
      <c r="S64" s="1381">
        <f ca="1">MAX(IF($F64="No",('Equipment List &amp; Usage'!$O66*'Weekly Summary'!M$52)+('Equipment List &amp; Usage'!$P66*'Weekly Summary'!M$53)+('Equipment List &amp; Usage'!$Q66*('Weekly Summary'!M$52+'Weekly Summary'!M$53))+('Equipment List &amp; Usage'!$R66*'Weekly Summary'!M$64)+('Equipment List &amp; Usage'!$S66*'Weekly Summary'!M$65)+('Equipment List &amp; Usage'!$T66*('Weekly Summary'!M$64+'Weekly Summary'!M$65)),
IF(S$10=0,('Equipment List &amp; Usage'!$O66*'Weekly Summary'!M$52)+('Equipment List &amp; Usage'!$P66*'Weekly Summary'!M$53)+('Equipment List &amp; Usage'!$Q66*('Weekly Summary'!M$52+'Weekly Summary'!M$53))+('Equipment List &amp; Usage'!$R66*'Weekly Summary'!M$64)+('Equipment List &amp; Usage'!$S66*'Weekly Summary'!M$65)+('Equipment List &amp; Usage'!$T66*('Weekly Summary'!M$64+'Weekly Summary'!M$65)),
('Equipment List &amp; Usage'!$O66*'Weekly Summary'!M$52)+('Equipment List &amp; Usage'!$P66*'Weekly Summary'!M$53)+('Equipment List &amp; Usage'!$Q66*('Weekly Summary'!M$52+'Weekly Summary'!M$53))+('Equipment List &amp; Usage'!$R66*'Weekly Summary'!M$64)+('Equipment List &amp; Usage'!$S66*'Weekly Summary'!M$65)+('Equipment List &amp; Usage'!$T66*('Weekly Summary'!M$64+'Weekly Summary'!M$65))-SUM($I64:R64))),0)</f>
        <v>0</v>
      </c>
      <c r="T64" s="1381">
        <f ca="1">MAX(IF($F64="No",('Equipment List &amp; Usage'!$O66*'Weekly Summary'!N$52)+('Equipment List &amp; Usage'!$P66*'Weekly Summary'!N$53)+('Equipment List &amp; Usage'!$Q66*('Weekly Summary'!N$52+'Weekly Summary'!N$53))+('Equipment List &amp; Usage'!$R66*'Weekly Summary'!N$64)+('Equipment List &amp; Usage'!$S66*'Weekly Summary'!N$65)+('Equipment List &amp; Usage'!$T66*('Weekly Summary'!N$64+'Weekly Summary'!N$65)),
IF(T$10=0,('Equipment List &amp; Usage'!$O66*'Weekly Summary'!N$52)+('Equipment List &amp; Usage'!$P66*'Weekly Summary'!N$53)+('Equipment List &amp; Usage'!$Q66*('Weekly Summary'!N$52+'Weekly Summary'!N$53))+('Equipment List &amp; Usage'!$R66*'Weekly Summary'!N$64)+('Equipment List &amp; Usage'!$S66*'Weekly Summary'!N$65)+('Equipment List &amp; Usage'!$T66*('Weekly Summary'!N$64+'Weekly Summary'!N$65)),
('Equipment List &amp; Usage'!$O66*'Weekly Summary'!N$52)+('Equipment List &amp; Usage'!$P66*'Weekly Summary'!N$53)+('Equipment List &amp; Usage'!$Q66*('Weekly Summary'!N$52+'Weekly Summary'!N$53))+('Equipment List &amp; Usage'!$R66*'Weekly Summary'!N$64)+('Equipment List &amp; Usage'!$S66*'Weekly Summary'!N$65)+('Equipment List &amp; Usage'!$T66*('Weekly Summary'!N$64+'Weekly Summary'!N$65))-SUM($I64:S64))),0)</f>
        <v>0</v>
      </c>
      <c r="U64" s="1381">
        <f ca="1">MAX(IF($F64="No",('Equipment List &amp; Usage'!$O66*'Weekly Summary'!O$52)+('Equipment List &amp; Usage'!$P66*'Weekly Summary'!O$53)+('Equipment List &amp; Usage'!$Q66*('Weekly Summary'!O$52+'Weekly Summary'!O$53))+('Equipment List &amp; Usage'!$R66*'Weekly Summary'!O$64)+('Equipment List &amp; Usage'!$S66*'Weekly Summary'!O$65)+('Equipment List &amp; Usage'!$T66*('Weekly Summary'!O$64+'Weekly Summary'!O$65)),
IF(U$10=0,('Equipment List &amp; Usage'!$O66*'Weekly Summary'!O$52)+('Equipment List &amp; Usage'!$P66*'Weekly Summary'!O$53)+('Equipment List &amp; Usage'!$Q66*('Weekly Summary'!O$52+'Weekly Summary'!O$53))+('Equipment List &amp; Usage'!$R66*'Weekly Summary'!O$64)+('Equipment List &amp; Usage'!$S66*'Weekly Summary'!O$65)+('Equipment List &amp; Usage'!$T66*('Weekly Summary'!O$64+'Weekly Summary'!O$65)),
('Equipment List &amp; Usage'!$O66*'Weekly Summary'!O$52)+('Equipment List &amp; Usage'!$P66*'Weekly Summary'!O$53)+('Equipment List &amp; Usage'!$Q66*('Weekly Summary'!O$52+'Weekly Summary'!O$53))+('Equipment List &amp; Usage'!$R66*'Weekly Summary'!O$64)+('Equipment List &amp; Usage'!$S66*'Weekly Summary'!O$65)+('Equipment List &amp; Usage'!$T66*('Weekly Summary'!O$64+'Weekly Summary'!O$65))-SUM($I64:T64))),0)</f>
        <v>0</v>
      </c>
      <c r="V64" s="1381">
        <f ca="1">MAX(IF($F64="No",('Equipment List &amp; Usage'!$O66*'Weekly Summary'!P$52)+('Equipment List &amp; Usage'!$P66*'Weekly Summary'!P$53)+('Equipment List &amp; Usage'!$Q66*('Weekly Summary'!P$52+'Weekly Summary'!P$53))+('Equipment List &amp; Usage'!$R66*'Weekly Summary'!P$64)+('Equipment List &amp; Usage'!$S66*'Weekly Summary'!P$65)+('Equipment List &amp; Usage'!$T66*('Weekly Summary'!P$64+'Weekly Summary'!P$65)),
IF(V$10=0,('Equipment List &amp; Usage'!$O66*'Weekly Summary'!P$52)+('Equipment List &amp; Usage'!$P66*'Weekly Summary'!P$53)+('Equipment List &amp; Usage'!$Q66*('Weekly Summary'!P$52+'Weekly Summary'!P$53))+('Equipment List &amp; Usage'!$R66*'Weekly Summary'!P$64)+('Equipment List &amp; Usage'!$S66*'Weekly Summary'!P$65)+('Equipment List &amp; Usage'!$T66*('Weekly Summary'!P$64+'Weekly Summary'!P$65)),
('Equipment List &amp; Usage'!$O66*'Weekly Summary'!P$52)+('Equipment List &amp; Usage'!$P66*'Weekly Summary'!P$53)+('Equipment List &amp; Usage'!$Q66*('Weekly Summary'!P$52+'Weekly Summary'!P$53))+('Equipment List &amp; Usage'!$R66*'Weekly Summary'!P$64)+('Equipment List &amp; Usage'!$S66*'Weekly Summary'!P$65)+('Equipment List &amp; Usage'!$T66*('Weekly Summary'!P$64+'Weekly Summary'!P$65))-SUM($I64:U64))),0)</f>
        <v>0</v>
      </c>
      <c r="W64" s="1381">
        <f ca="1">MAX(IF($F64="No",('Equipment List &amp; Usage'!$O66*'Weekly Summary'!Q$52)+('Equipment List &amp; Usage'!$P66*'Weekly Summary'!Q$53)+('Equipment List &amp; Usage'!$Q66*('Weekly Summary'!Q$52+'Weekly Summary'!Q$53))+('Equipment List &amp; Usage'!$R66*'Weekly Summary'!Q$64)+('Equipment List &amp; Usage'!$S66*'Weekly Summary'!Q$65)+('Equipment List &amp; Usage'!$T66*('Weekly Summary'!Q$64+'Weekly Summary'!Q$65)),
IF(W$10=0,('Equipment List &amp; Usage'!$O66*'Weekly Summary'!Q$52)+('Equipment List &amp; Usage'!$P66*'Weekly Summary'!Q$53)+('Equipment List &amp; Usage'!$Q66*('Weekly Summary'!Q$52+'Weekly Summary'!Q$53))+('Equipment List &amp; Usage'!$R66*'Weekly Summary'!Q$64)+('Equipment List &amp; Usage'!$S66*'Weekly Summary'!Q$65)+('Equipment List &amp; Usage'!$T66*('Weekly Summary'!Q$64+'Weekly Summary'!Q$65)),
('Equipment List &amp; Usage'!$O66*'Weekly Summary'!Q$52)+('Equipment List &amp; Usage'!$P66*'Weekly Summary'!Q$53)+('Equipment List &amp; Usage'!$Q66*('Weekly Summary'!Q$52+'Weekly Summary'!Q$53))+('Equipment List &amp; Usage'!$R66*'Weekly Summary'!Q$64)+('Equipment List &amp; Usage'!$S66*'Weekly Summary'!Q$65)+('Equipment List &amp; Usage'!$T66*('Weekly Summary'!Q$64+'Weekly Summary'!Q$65))-SUM($I64:V64))),0)</f>
        <v>0</v>
      </c>
      <c r="X64" s="1381">
        <f ca="1">MAX(IF($F64="No",('Equipment List &amp; Usage'!$O66*'Weekly Summary'!R$52)+('Equipment List &amp; Usage'!$P66*'Weekly Summary'!R$53)+('Equipment List &amp; Usage'!$Q66*('Weekly Summary'!R$52+'Weekly Summary'!R$53))+('Equipment List &amp; Usage'!$R66*'Weekly Summary'!R$64)+('Equipment List &amp; Usage'!$S66*'Weekly Summary'!R$65)+('Equipment List &amp; Usage'!$T66*('Weekly Summary'!R$64+'Weekly Summary'!R$65)),
IF(X$10=0,('Equipment List &amp; Usage'!$O66*'Weekly Summary'!R$52)+('Equipment List &amp; Usage'!$P66*'Weekly Summary'!R$53)+('Equipment List &amp; Usage'!$Q66*('Weekly Summary'!R$52+'Weekly Summary'!R$53))+('Equipment List &amp; Usage'!$R66*'Weekly Summary'!R$64)+('Equipment List &amp; Usage'!$S66*'Weekly Summary'!R$65)+('Equipment List &amp; Usage'!$T66*('Weekly Summary'!R$64+'Weekly Summary'!R$65)),
('Equipment List &amp; Usage'!$O66*'Weekly Summary'!R$52)+('Equipment List &amp; Usage'!$P66*'Weekly Summary'!R$53)+('Equipment List &amp; Usage'!$Q66*('Weekly Summary'!R$52+'Weekly Summary'!R$53))+('Equipment List &amp; Usage'!$R66*'Weekly Summary'!R$64)+('Equipment List &amp; Usage'!$S66*'Weekly Summary'!R$65)+('Equipment List &amp; Usage'!$T66*('Weekly Summary'!R$64+'Weekly Summary'!R$65))-SUM($I64:W64))),0)</f>
        <v>0</v>
      </c>
      <c r="Y64" s="1381">
        <f ca="1">MAX(IF($F64="No",('Equipment List &amp; Usage'!$O66*'Weekly Summary'!S$52)+('Equipment List &amp; Usage'!$P66*'Weekly Summary'!S$53)+('Equipment List &amp; Usage'!$Q66*('Weekly Summary'!S$52+'Weekly Summary'!S$53))+('Equipment List &amp; Usage'!$R66*'Weekly Summary'!S$64)+('Equipment List &amp; Usage'!$S66*'Weekly Summary'!S$65)+('Equipment List &amp; Usage'!$T66*('Weekly Summary'!S$64+'Weekly Summary'!S$65)),
IF(Y$10=0,('Equipment List &amp; Usage'!$O66*'Weekly Summary'!S$52)+('Equipment List &amp; Usage'!$P66*'Weekly Summary'!S$53)+('Equipment List &amp; Usage'!$Q66*('Weekly Summary'!S$52+'Weekly Summary'!S$53))+('Equipment List &amp; Usage'!$R66*'Weekly Summary'!S$64)+('Equipment List &amp; Usage'!$S66*'Weekly Summary'!S$65)+('Equipment List &amp; Usage'!$T66*('Weekly Summary'!S$64+'Weekly Summary'!S$65)),
('Equipment List &amp; Usage'!$O66*'Weekly Summary'!S$52)+('Equipment List &amp; Usage'!$P66*'Weekly Summary'!S$53)+('Equipment List &amp; Usage'!$Q66*('Weekly Summary'!S$52+'Weekly Summary'!S$53))+('Equipment List &amp; Usage'!$R66*'Weekly Summary'!S$64)+('Equipment List &amp; Usage'!$S66*'Weekly Summary'!S$65)+('Equipment List &amp; Usage'!$T66*('Weekly Summary'!S$64+'Weekly Summary'!S$65))-SUM($I64:X64))),0)</f>
        <v>0</v>
      </c>
      <c r="Z64" s="1381">
        <f ca="1">MAX(IF($F64="No",('Equipment List &amp; Usage'!$O66*'Weekly Summary'!T$52)+('Equipment List &amp; Usage'!$P66*'Weekly Summary'!T$53)+('Equipment List &amp; Usage'!$Q66*('Weekly Summary'!T$52+'Weekly Summary'!T$53))+('Equipment List &amp; Usage'!$R66*'Weekly Summary'!T$64)+('Equipment List &amp; Usage'!$S66*'Weekly Summary'!T$65)+('Equipment List &amp; Usage'!$T66*('Weekly Summary'!T$64+'Weekly Summary'!T$65)),
IF(Z$10=0,('Equipment List &amp; Usage'!$O66*'Weekly Summary'!T$52)+('Equipment List &amp; Usage'!$P66*'Weekly Summary'!T$53)+('Equipment List &amp; Usage'!$Q66*('Weekly Summary'!T$52+'Weekly Summary'!T$53))+('Equipment List &amp; Usage'!$R66*'Weekly Summary'!T$64)+('Equipment List &amp; Usage'!$S66*'Weekly Summary'!T$65)+('Equipment List &amp; Usage'!$T66*('Weekly Summary'!T$64+'Weekly Summary'!T$65)),
('Equipment List &amp; Usage'!$O66*'Weekly Summary'!T$52)+('Equipment List &amp; Usage'!$P66*'Weekly Summary'!T$53)+('Equipment List &amp; Usage'!$Q66*('Weekly Summary'!T$52+'Weekly Summary'!T$53))+('Equipment List &amp; Usage'!$R66*'Weekly Summary'!T$64)+('Equipment List &amp; Usage'!$S66*'Weekly Summary'!T$65)+('Equipment List &amp; Usage'!$T66*('Weekly Summary'!T$64+'Weekly Summary'!T$65))-SUM($I64:Y64))),0)</f>
        <v>0</v>
      </c>
      <c r="AA64" s="1381">
        <f ca="1">MAX(IF($F64="No",('Equipment List &amp; Usage'!$O66*'Weekly Summary'!U$52)+('Equipment List &amp; Usage'!$P66*'Weekly Summary'!U$53)+('Equipment List &amp; Usage'!$Q66*('Weekly Summary'!U$52+'Weekly Summary'!U$53))+('Equipment List &amp; Usage'!$R66*'Weekly Summary'!U$64)+('Equipment List &amp; Usage'!$S66*'Weekly Summary'!U$65)+('Equipment List &amp; Usage'!$T66*('Weekly Summary'!U$64+'Weekly Summary'!U$65)),
IF(AA$10=0,('Equipment List &amp; Usage'!$O66*'Weekly Summary'!U$52)+('Equipment List &amp; Usage'!$P66*'Weekly Summary'!U$53)+('Equipment List &amp; Usage'!$Q66*('Weekly Summary'!U$52+'Weekly Summary'!U$53))+('Equipment List &amp; Usage'!$R66*'Weekly Summary'!U$64)+('Equipment List &amp; Usage'!$S66*'Weekly Summary'!U$65)+('Equipment List &amp; Usage'!$T66*('Weekly Summary'!U$64+'Weekly Summary'!U$65)),
('Equipment List &amp; Usage'!$O66*'Weekly Summary'!U$52)+('Equipment List &amp; Usage'!$P66*'Weekly Summary'!U$53)+('Equipment List &amp; Usage'!$Q66*('Weekly Summary'!U$52+'Weekly Summary'!U$53))+('Equipment List &amp; Usage'!$R66*'Weekly Summary'!U$64)+('Equipment List &amp; Usage'!$S66*'Weekly Summary'!U$65)+('Equipment List &amp; Usage'!$T66*('Weekly Summary'!U$64+'Weekly Summary'!U$65))-SUM($I64:Z64))),0)</f>
        <v>0</v>
      </c>
      <c r="AB64" s="1381">
        <f ca="1">MAX(IF($F64="No",('Equipment List &amp; Usage'!$O66*'Weekly Summary'!V$52)+('Equipment List &amp; Usage'!$P66*'Weekly Summary'!V$53)+('Equipment List &amp; Usage'!$Q66*('Weekly Summary'!V$52+'Weekly Summary'!V$53))+('Equipment List &amp; Usage'!$R66*'Weekly Summary'!V$64)+('Equipment List &amp; Usage'!$S66*'Weekly Summary'!V$65)+('Equipment List &amp; Usage'!$T66*('Weekly Summary'!V$64+'Weekly Summary'!V$65)),
IF(AB$10=0,('Equipment List &amp; Usage'!$O66*'Weekly Summary'!V$52)+('Equipment List &amp; Usage'!$P66*'Weekly Summary'!V$53)+('Equipment List &amp; Usage'!$Q66*('Weekly Summary'!V$52+'Weekly Summary'!V$53))+('Equipment List &amp; Usage'!$R66*'Weekly Summary'!V$64)+('Equipment List &amp; Usage'!$S66*'Weekly Summary'!V$65)+('Equipment List &amp; Usage'!$T66*('Weekly Summary'!V$64+'Weekly Summary'!V$65)),
('Equipment List &amp; Usage'!$O66*'Weekly Summary'!V$52)+('Equipment List &amp; Usage'!$P66*'Weekly Summary'!V$53)+('Equipment List &amp; Usage'!$Q66*('Weekly Summary'!V$52+'Weekly Summary'!V$53))+('Equipment List &amp; Usage'!$R66*'Weekly Summary'!V$64)+('Equipment List &amp; Usage'!$S66*'Weekly Summary'!V$65)+('Equipment List &amp; Usage'!$T66*('Weekly Summary'!V$64+'Weekly Summary'!V$65))-SUM($I64:AA64))),0)</f>
        <v>0</v>
      </c>
      <c r="AC64" s="1381">
        <f ca="1">MAX(IF($F64="No",('Equipment List &amp; Usage'!$O66*'Weekly Summary'!W$52)+('Equipment List &amp; Usage'!$P66*'Weekly Summary'!W$53)+('Equipment List &amp; Usage'!$Q66*('Weekly Summary'!W$52+'Weekly Summary'!W$53))+('Equipment List &amp; Usage'!$R66*'Weekly Summary'!W$64)+('Equipment List &amp; Usage'!$S66*'Weekly Summary'!W$65)+('Equipment List &amp; Usage'!$T66*('Weekly Summary'!W$64+'Weekly Summary'!W$65)),
IF(AC$10=0,('Equipment List &amp; Usage'!$O66*'Weekly Summary'!W$52)+('Equipment List &amp; Usage'!$P66*'Weekly Summary'!W$53)+('Equipment List &amp; Usage'!$Q66*('Weekly Summary'!W$52+'Weekly Summary'!W$53))+('Equipment List &amp; Usage'!$R66*'Weekly Summary'!W$64)+('Equipment List &amp; Usage'!$S66*'Weekly Summary'!W$65)+('Equipment List &amp; Usage'!$T66*('Weekly Summary'!W$64+'Weekly Summary'!W$65)),
('Equipment List &amp; Usage'!$O66*'Weekly Summary'!W$52)+('Equipment List &amp; Usage'!$P66*'Weekly Summary'!W$53)+('Equipment List &amp; Usage'!$Q66*('Weekly Summary'!W$52+'Weekly Summary'!W$53))+('Equipment List &amp; Usage'!$R66*'Weekly Summary'!W$64)+('Equipment List &amp; Usage'!$S66*'Weekly Summary'!W$65)+('Equipment List &amp; Usage'!$T66*('Weekly Summary'!W$64+'Weekly Summary'!W$65))-SUM($I64:AB64))),0)</f>
        <v>0</v>
      </c>
      <c r="AD64" s="1381">
        <f ca="1">MAX(IF($F64="No",('Equipment List &amp; Usage'!$O66*'Weekly Summary'!X$52)+('Equipment List &amp; Usage'!$P66*'Weekly Summary'!X$53)+('Equipment List &amp; Usage'!$Q66*('Weekly Summary'!X$52+'Weekly Summary'!X$53))+('Equipment List &amp; Usage'!$R66*'Weekly Summary'!X$64)+('Equipment List &amp; Usage'!$S66*'Weekly Summary'!X$65)+('Equipment List &amp; Usage'!$T66*('Weekly Summary'!X$64+'Weekly Summary'!X$65)),
IF(AD$10=0,('Equipment List &amp; Usage'!$O66*'Weekly Summary'!X$52)+('Equipment List &amp; Usage'!$P66*'Weekly Summary'!X$53)+('Equipment List &amp; Usage'!$Q66*('Weekly Summary'!X$52+'Weekly Summary'!X$53))+('Equipment List &amp; Usage'!$R66*'Weekly Summary'!X$64)+('Equipment List &amp; Usage'!$S66*'Weekly Summary'!X$65)+('Equipment List &amp; Usage'!$T66*('Weekly Summary'!X$64+'Weekly Summary'!X$65)),
('Equipment List &amp; Usage'!$O66*'Weekly Summary'!X$52)+('Equipment List &amp; Usage'!$P66*'Weekly Summary'!X$53)+('Equipment List &amp; Usage'!$Q66*('Weekly Summary'!X$52+'Weekly Summary'!X$53))+('Equipment List &amp; Usage'!$R66*'Weekly Summary'!X$64)+('Equipment List &amp; Usage'!$S66*'Weekly Summary'!X$65)+('Equipment List &amp; Usage'!$T66*('Weekly Summary'!X$64+'Weekly Summary'!X$65))-SUM($I64:AC64))),0)</f>
        <v>0</v>
      </c>
      <c r="AE64" s="1381">
        <f ca="1">MAX(IF($F64="No",('Equipment List &amp; Usage'!$O66*'Weekly Summary'!Y$52)+('Equipment List &amp; Usage'!$P66*'Weekly Summary'!Y$53)+('Equipment List &amp; Usage'!$Q66*('Weekly Summary'!Y$52+'Weekly Summary'!Y$53))+('Equipment List &amp; Usage'!$R66*'Weekly Summary'!Y$64)+('Equipment List &amp; Usage'!$S66*'Weekly Summary'!Y$65)+('Equipment List &amp; Usage'!$T66*('Weekly Summary'!Y$64+'Weekly Summary'!Y$65)),
IF(AE$10=0,('Equipment List &amp; Usage'!$O66*'Weekly Summary'!Y$52)+('Equipment List &amp; Usage'!$P66*'Weekly Summary'!Y$53)+('Equipment List &amp; Usage'!$Q66*('Weekly Summary'!Y$52+'Weekly Summary'!Y$53))+('Equipment List &amp; Usage'!$R66*'Weekly Summary'!Y$64)+('Equipment List &amp; Usage'!$S66*'Weekly Summary'!Y$65)+('Equipment List &amp; Usage'!$T66*('Weekly Summary'!Y$64+'Weekly Summary'!Y$65)),
('Equipment List &amp; Usage'!$O66*'Weekly Summary'!Y$52)+('Equipment List &amp; Usage'!$P66*'Weekly Summary'!Y$53)+('Equipment List &amp; Usage'!$Q66*('Weekly Summary'!Y$52+'Weekly Summary'!Y$53))+('Equipment List &amp; Usage'!$R66*'Weekly Summary'!Y$64)+('Equipment List &amp; Usage'!$S66*'Weekly Summary'!Y$65)+('Equipment List &amp; Usage'!$T66*('Weekly Summary'!Y$64+'Weekly Summary'!Y$65))-SUM($I64:AD64))),0)</f>
        <v>0</v>
      </c>
      <c r="AF64" s="1381">
        <f ca="1">MAX(IF($F64="No",('Equipment List &amp; Usage'!$O66*'Weekly Summary'!Z$52)+('Equipment List &amp; Usage'!$P66*'Weekly Summary'!Z$53)+('Equipment List &amp; Usage'!$Q66*('Weekly Summary'!Z$52+'Weekly Summary'!Z$53))+('Equipment List &amp; Usage'!$R66*'Weekly Summary'!Z$64)+('Equipment List &amp; Usage'!$S66*'Weekly Summary'!Z$65)+('Equipment List &amp; Usage'!$T66*('Weekly Summary'!Z$64+'Weekly Summary'!Z$65)),
IF(AF$10=0,('Equipment List &amp; Usage'!$O66*'Weekly Summary'!Z$52)+('Equipment List &amp; Usage'!$P66*'Weekly Summary'!Z$53)+('Equipment List &amp; Usage'!$Q66*('Weekly Summary'!Z$52+'Weekly Summary'!Z$53))+('Equipment List &amp; Usage'!$R66*'Weekly Summary'!Z$64)+('Equipment List &amp; Usage'!$S66*'Weekly Summary'!Z$65)+('Equipment List &amp; Usage'!$T66*('Weekly Summary'!Z$64+'Weekly Summary'!Z$65)),
('Equipment List &amp; Usage'!$O66*'Weekly Summary'!Z$52)+('Equipment List &amp; Usage'!$P66*'Weekly Summary'!Z$53)+('Equipment List &amp; Usage'!$Q66*('Weekly Summary'!Z$52+'Weekly Summary'!Z$53))+('Equipment List &amp; Usage'!$R66*'Weekly Summary'!Z$64)+('Equipment List &amp; Usage'!$S66*'Weekly Summary'!Z$65)+('Equipment List &amp; Usage'!$T66*('Weekly Summary'!Z$64+'Weekly Summary'!Z$65))-SUM($I64:AE64))),0)</f>
        <v>0</v>
      </c>
      <c r="AG64" s="1381">
        <f ca="1">MAX(IF($F64="No",('Equipment List &amp; Usage'!$O66*'Weekly Summary'!AA$52)+('Equipment List &amp; Usage'!$P66*'Weekly Summary'!AA$53)+('Equipment List &amp; Usage'!$Q66*('Weekly Summary'!AA$52+'Weekly Summary'!AA$53))+('Equipment List &amp; Usage'!$R66*'Weekly Summary'!AA$64)+('Equipment List &amp; Usage'!$S66*'Weekly Summary'!AA$65)+('Equipment List &amp; Usage'!$T66*('Weekly Summary'!AA$64+'Weekly Summary'!AA$65)),
IF(AG$10=0,('Equipment List &amp; Usage'!$O66*'Weekly Summary'!AA$52)+('Equipment List &amp; Usage'!$P66*'Weekly Summary'!AA$53)+('Equipment List &amp; Usage'!$Q66*('Weekly Summary'!AA$52+'Weekly Summary'!AA$53))+('Equipment List &amp; Usage'!$R66*'Weekly Summary'!AA$64)+('Equipment List &amp; Usage'!$S66*'Weekly Summary'!AA$65)+('Equipment List &amp; Usage'!$T66*('Weekly Summary'!AA$64+'Weekly Summary'!AA$65)),
('Equipment List &amp; Usage'!$O66*'Weekly Summary'!AA$52)+('Equipment List &amp; Usage'!$P66*'Weekly Summary'!AA$53)+('Equipment List &amp; Usage'!$Q66*('Weekly Summary'!AA$52+'Weekly Summary'!AA$53))+('Equipment List &amp; Usage'!$R66*'Weekly Summary'!AA$64)+('Equipment List &amp; Usage'!$S66*'Weekly Summary'!AA$65)+('Equipment List &amp; Usage'!$T66*('Weekly Summary'!AA$64+'Weekly Summary'!AA$65))-SUM($I64:AF64))),0)</f>
        <v>0</v>
      </c>
      <c r="AH64" s="1381">
        <f ca="1">MAX(IF($F64="No",('Equipment List &amp; Usage'!$O66*'Weekly Summary'!AB$52)+('Equipment List &amp; Usage'!$P66*'Weekly Summary'!AB$53)+('Equipment List &amp; Usage'!$Q66*('Weekly Summary'!AB$52+'Weekly Summary'!AB$53))+('Equipment List &amp; Usage'!$R66*'Weekly Summary'!AB$64)+('Equipment List &amp; Usage'!$S66*'Weekly Summary'!AB$65)+('Equipment List &amp; Usage'!$T66*('Weekly Summary'!AB$64+'Weekly Summary'!AB$65)),
IF(AH$10=0,('Equipment List &amp; Usage'!$O66*'Weekly Summary'!AB$52)+('Equipment List &amp; Usage'!$P66*'Weekly Summary'!AB$53)+('Equipment List &amp; Usage'!$Q66*('Weekly Summary'!AB$52+'Weekly Summary'!AB$53))+('Equipment List &amp; Usage'!$R66*'Weekly Summary'!AB$64)+('Equipment List &amp; Usage'!$S66*'Weekly Summary'!AB$65)+('Equipment List &amp; Usage'!$T66*('Weekly Summary'!AB$64+'Weekly Summary'!AB$65)),
('Equipment List &amp; Usage'!$O66*'Weekly Summary'!AB$52)+('Equipment List &amp; Usage'!$P66*'Weekly Summary'!AB$53)+('Equipment List &amp; Usage'!$Q66*('Weekly Summary'!AB$52+'Weekly Summary'!AB$53))+('Equipment List &amp; Usage'!$R66*'Weekly Summary'!AB$64)+('Equipment List &amp; Usage'!$S66*'Weekly Summary'!AB$65)+('Equipment List &amp; Usage'!$T66*('Weekly Summary'!AB$64+'Weekly Summary'!AB$65))-SUM($I64:AG64))),0)</f>
        <v>0</v>
      </c>
      <c r="AI64" s="1381">
        <f ca="1">MAX(IF($F64="No",('Equipment List &amp; Usage'!$O66*'Weekly Summary'!AC$52)+('Equipment List &amp; Usage'!$P66*'Weekly Summary'!AC$53)+('Equipment List &amp; Usage'!$Q66*('Weekly Summary'!AC$52+'Weekly Summary'!AC$53))+('Equipment List &amp; Usage'!$R66*'Weekly Summary'!AC$64)+('Equipment List &amp; Usage'!$S66*'Weekly Summary'!AC$65)+('Equipment List &amp; Usage'!$T66*('Weekly Summary'!AC$64+'Weekly Summary'!AC$65)),
IF(AI$10=0,('Equipment List &amp; Usage'!$O66*'Weekly Summary'!AC$52)+('Equipment List &amp; Usage'!$P66*'Weekly Summary'!AC$53)+('Equipment List &amp; Usage'!$Q66*('Weekly Summary'!AC$52+'Weekly Summary'!AC$53))+('Equipment List &amp; Usage'!$R66*'Weekly Summary'!AC$64)+('Equipment List &amp; Usage'!$S66*'Weekly Summary'!AC$65)+('Equipment List &amp; Usage'!$T66*('Weekly Summary'!AC$64+'Weekly Summary'!AC$65)),
('Equipment List &amp; Usage'!$O66*'Weekly Summary'!AC$52)+('Equipment List &amp; Usage'!$P66*'Weekly Summary'!AC$53)+('Equipment List &amp; Usage'!$Q66*('Weekly Summary'!AC$52+'Weekly Summary'!AC$53))+('Equipment List &amp; Usage'!$R66*'Weekly Summary'!AC$64)+('Equipment List &amp; Usage'!$S66*'Weekly Summary'!AC$65)+('Equipment List &amp; Usage'!$T66*('Weekly Summary'!AC$64+'Weekly Summary'!AC$65))-SUM($I64:AH64))),0)</f>
        <v>0</v>
      </c>
      <c r="AJ64" s="1381">
        <f ca="1">MAX(IF($F64="No",('Equipment List &amp; Usage'!$O66*'Weekly Summary'!AD$52)+('Equipment List &amp; Usage'!$P66*'Weekly Summary'!AD$53)+('Equipment List &amp; Usage'!$Q66*('Weekly Summary'!AD$52+'Weekly Summary'!AD$53))+('Equipment List &amp; Usage'!$R66*'Weekly Summary'!AD$64)+('Equipment List &amp; Usage'!$S66*'Weekly Summary'!AD$65)+('Equipment List &amp; Usage'!$T66*('Weekly Summary'!AD$64+'Weekly Summary'!AD$65)),
IF(AJ$10=0,('Equipment List &amp; Usage'!$O66*'Weekly Summary'!AD$52)+('Equipment List &amp; Usage'!$P66*'Weekly Summary'!AD$53)+('Equipment List &amp; Usage'!$Q66*('Weekly Summary'!AD$52+'Weekly Summary'!AD$53))+('Equipment List &amp; Usage'!$R66*'Weekly Summary'!AD$64)+('Equipment List &amp; Usage'!$S66*'Weekly Summary'!AD$65)+('Equipment List &amp; Usage'!$T66*('Weekly Summary'!AD$64+'Weekly Summary'!AD$65)),
('Equipment List &amp; Usage'!$O66*'Weekly Summary'!AD$52)+('Equipment List &amp; Usage'!$P66*'Weekly Summary'!AD$53)+('Equipment List &amp; Usage'!$Q66*('Weekly Summary'!AD$52+'Weekly Summary'!AD$53))+('Equipment List &amp; Usage'!$R66*'Weekly Summary'!AD$64)+('Equipment List &amp; Usage'!$S66*'Weekly Summary'!AD$65)+('Equipment List &amp; Usage'!$T66*('Weekly Summary'!AD$64+'Weekly Summary'!AD$65))-SUM($I64:AI64))),0)</f>
        <v>0</v>
      </c>
      <c r="AK64" s="1381">
        <f ca="1">MAX(IF($F64="No",('Equipment List &amp; Usage'!$O66*'Weekly Summary'!AE$52)+('Equipment List &amp; Usage'!$P66*'Weekly Summary'!AE$53)+('Equipment List &amp; Usage'!$Q66*('Weekly Summary'!AE$52+'Weekly Summary'!AE$53))+('Equipment List &amp; Usage'!$R66*'Weekly Summary'!AE$64)+('Equipment List &amp; Usage'!$S66*'Weekly Summary'!AE$65)+('Equipment List &amp; Usage'!$T66*('Weekly Summary'!AE$64+'Weekly Summary'!AE$65)),
IF(AK$10=0,('Equipment List &amp; Usage'!$O66*'Weekly Summary'!AE$52)+('Equipment List &amp; Usage'!$P66*'Weekly Summary'!AE$53)+('Equipment List &amp; Usage'!$Q66*('Weekly Summary'!AE$52+'Weekly Summary'!AE$53))+('Equipment List &amp; Usage'!$R66*'Weekly Summary'!AE$64)+('Equipment List &amp; Usage'!$S66*'Weekly Summary'!AE$65)+('Equipment List &amp; Usage'!$T66*('Weekly Summary'!AE$64+'Weekly Summary'!AE$65)),
('Equipment List &amp; Usage'!$O66*'Weekly Summary'!AE$52)+('Equipment List &amp; Usage'!$P66*'Weekly Summary'!AE$53)+('Equipment List &amp; Usage'!$Q66*('Weekly Summary'!AE$52+'Weekly Summary'!AE$53))+('Equipment List &amp; Usage'!$R66*'Weekly Summary'!AE$64)+('Equipment List &amp; Usage'!$S66*'Weekly Summary'!AE$65)+('Equipment List &amp; Usage'!$T66*('Weekly Summary'!AE$64+'Weekly Summary'!AE$65))-SUM($I64:AJ64))),0)</f>
        <v>0</v>
      </c>
      <c r="AL64" s="1381">
        <f ca="1">MAX(IF($F64="No",('Equipment List &amp; Usage'!$O66*'Weekly Summary'!AF$52)+('Equipment List &amp; Usage'!$P66*'Weekly Summary'!AF$53)+('Equipment List &amp; Usage'!$Q66*('Weekly Summary'!AF$52+'Weekly Summary'!AF$53))+('Equipment List &amp; Usage'!$R66*'Weekly Summary'!AF$64)+('Equipment List &amp; Usage'!$S66*'Weekly Summary'!AF$65)+('Equipment List &amp; Usage'!$T66*('Weekly Summary'!AF$64+'Weekly Summary'!AF$65)),
IF(AL$10=0,('Equipment List &amp; Usage'!$O66*'Weekly Summary'!AF$52)+('Equipment List &amp; Usage'!$P66*'Weekly Summary'!AF$53)+('Equipment List &amp; Usage'!$Q66*('Weekly Summary'!AF$52+'Weekly Summary'!AF$53))+('Equipment List &amp; Usage'!$R66*'Weekly Summary'!AF$64)+('Equipment List &amp; Usage'!$S66*'Weekly Summary'!AF$65)+('Equipment List &amp; Usage'!$T66*('Weekly Summary'!AF$64+'Weekly Summary'!AF$65)),
('Equipment List &amp; Usage'!$O66*'Weekly Summary'!AF$52)+('Equipment List &amp; Usage'!$P66*'Weekly Summary'!AF$53)+('Equipment List &amp; Usage'!$Q66*('Weekly Summary'!AF$52+'Weekly Summary'!AF$53))+('Equipment List &amp; Usage'!$R66*'Weekly Summary'!AF$64)+('Equipment List &amp; Usage'!$S66*'Weekly Summary'!AF$65)+('Equipment List &amp; Usage'!$T66*('Weekly Summary'!AF$64+'Weekly Summary'!AF$65))-SUM($I64:AK64))),0)</f>
        <v>0</v>
      </c>
      <c r="AM64" s="1381">
        <f ca="1">MAX(IF($F64="No",('Equipment List &amp; Usage'!$O66*'Weekly Summary'!AG$52)+('Equipment List &amp; Usage'!$P66*'Weekly Summary'!AG$53)+('Equipment List &amp; Usage'!$Q66*('Weekly Summary'!AG$52+'Weekly Summary'!AG$53))+('Equipment List &amp; Usage'!$R66*'Weekly Summary'!AG$64)+('Equipment List &amp; Usage'!$S66*'Weekly Summary'!AG$65)+('Equipment List &amp; Usage'!$T66*('Weekly Summary'!AG$64+'Weekly Summary'!AG$65)),
IF(AM$10=0,('Equipment List &amp; Usage'!$O66*'Weekly Summary'!AG$52)+('Equipment List &amp; Usage'!$P66*'Weekly Summary'!AG$53)+('Equipment List &amp; Usage'!$Q66*('Weekly Summary'!AG$52+'Weekly Summary'!AG$53))+('Equipment List &amp; Usage'!$R66*'Weekly Summary'!AG$64)+('Equipment List &amp; Usage'!$S66*'Weekly Summary'!AG$65)+('Equipment List &amp; Usage'!$T66*('Weekly Summary'!AG$64+'Weekly Summary'!AG$65)),
('Equipment List &amp; Usage'!$O66*'Weekly Summary'!AG$52)+('Equipment List &amp; Usage'!$P66*'Weekly Summary'!AG$53)+('Equipment List &amp; Usage'!$Q66*('Weekly Summary'!AG$52+'Weekly Summary'!AG$53))+('Equipment List &amp; Usage'!$R66*'Weekly Summary'!AG$64)+('Equipment List &amp; Usage'!$S66*'Weekly Summary'!AG$65)+('Equipment List &amp; Usage'!$T66*('Weekly Summary'!AG$64+'Weekly Summary'!AG$65))-SUM($I64:AL64))),0)</f>
        <v>0</v>
      </c>
      <c r="AN64" s="1381">
        <f ca="1">MAX(IF($F64="No",('Equipment List &amp; Usage'!$O66*'Weekly Summary'!AH$52)+('Equipment List &amp; Usage'!$P66*'Weekly Summary'!AH$53)+('Equipment List &amp; Usage'!$Q66*('Weekly Summary'!AH$52+'Weekly Summary'!AH$53))+('Equipment List &amp; Usage'!$R66*'Weekly Summary'!AH$64)+('Equipment List &amp; Usage'!$S66*'Weekly Summary'!AH$65)+('Equipment List &amp; Usage'!$T66*('Weekly Summary'!AH$64+'Weekly Summary'!AH$65)),
IF(AN$10=0,('Equipment List &amp; Usage'!$O66*'Weekly Summary'!AH$52)+('Equipment List &amp; Usage'!$P66*'Weekly Summary'!AH$53)+('Equipment List &amp; Usage'!$Q66*('Weekly Summary'!AH$52+'Weekly Summary'!AH$53))+('Equipment List &amp; Usage'!$R66*'Weekly Summary'!AH$64)+('Equipment List &amp; Usage'!$S66*'Weekly Summary'!AH$65)+('Equipment List &amp; Usage'!$T66*('Weekly Summary'!AH$64+'Weekly Summary'!AH$65)),
('Equipment List &amp; Usage'!$O66*'Weekly Summary'!AH$52)+('Equipment List &amp; Usage'!$P66*'Weekly Summary'!AH$53)+('Equipment List &amp; Usage'!$Q66*('Weekly Summary'!AH$52+'Weekly Summary'!AH$53))+('Equipment List &amp; Usage'!$R66*'Weekly Summary'!AH$64)+('Equipment List &amp; Usage'!$S66*'Weekly Summary'!AH$65)+('Equipment List &amp; Usage'!$T66*('Weekly Summary'!AH$64+'Weekly Summary'!AH$65))-SUM($I64:AM64))),0)</f>
        <v>0</v>
      </c>
      <c r="AO64" s="1381">
        <f ca="1">MAX(IF($F64="No",('Equipment List &amp; Usage'!$O66*'Weekly Summary'!AI$52)+('Equipment List &amp; Usage'!$P66*'Weekly Summary'!AI$53)+('Equipment List &amp; Usage'!$Q66*('Weekly Summary'!AI$52+'Weekly Summary'!AI$53))+('Equipment List &amp; Usage'!$R66*'Weekly Summary'!AI$64)+('Equipment List &amp; Usage'!$S66*'Weekly Summary'!AI$65)+('Equipment List &amp; Usage'!$T66*('Weekly Summary'!AI$64+'Weekly Summary'!AI$65)),
IF(AO$10=0,('Equipment List &amp; Usage'!$O66*'Weekly Summary'!AI$52)+('Equipment List &amp; Usage'!$P66*'Weekly Summary'!AI$53)+('Equipment List &amp; Usage'!$Q66*('Weekly Summary'!AI$52+'Weekly Summary'!AI$53))+('Equipment List &amp; Usage'!$R66*'Weekly Summary'!AI$64)+('Equipment List &amp; Usage'!$S66*'Weekly Summary'!AI$65)+('Equipment List &amp; Usage'!$T66*('Weekly Summary'!AI$64+'Weekly Summary'!AI$65)),
('Equipment List &amp; Usage'!$O66*'Weekly Summary'!AI$52)+('Equipment List &amp; Usage'!$P66*'Weekly Summary'!AI$53)+('Equipment List &amp; Usage'!$Q66*('Weekly Summary'!AI$52+'Weekly Summary'!AI$53))+('Equipment List &amp; Usage'!$R66*'Weekly Summary'!AI$64)+('Equipment List &amp; Usage'!$S66*'Weekly Summary'!AI$65)+('Equipment List &amp; Usage'!$T66*('Weekly Summary'!AI$64+'Weekly Summary'!AI$65))-SUM($I64:AN64))),0)</f>
        <v>0</v>
      </c>
      <c r="AP64" s="1381">
        <f ca="1">MAX(IF($F64="No",('Equipment List &amp; Usage'!$O66*'Weekly Summary'!AJ$52)+('Equipment List &amp; Usage'!$P66*'Weekly Summary'!AJ$53)+('Equipment List &amp; Usage'!$Q66*('Weekly Summary'!AJ$52+'Weekly Summary'!AJ$53))+('Equipment List &amp; Usage'!$R66*'Weekly Summary'!AJ$64)+('Equipment List &amp; Usage'!$S66*'Weekly Summary'!AJ$65)+('Equipment List &amp; Usage'!$T66*('Weekly Summary'!AJ$64+'Weekly Summary'!AJ$65)),
IF(AP$10=0,('Equipment List &amp; Usage'!$O66*'Weekly Summary'!AJ$52)+('Equipment List &amp; Usage'!$P66*'Weekly Summary'!AJ$53)+('Equipment List &amp; Usage'!$Q66*('Weekly Summary'!AJ$52+'Weekly Summary'!AJ$53))+('Equipment List &amp; Usage'!$R66*'Weekly Summary'!AJ$64)+('Equipment List &amp; Usage'!$S66*'Weekly Summary'!AJ$65)+('Equipment List &amp; Usage'!$T66*('Weekly Summary'!AJ$64+'Weekly Summary'!AJ$65)),
('Equipment List &amp; Usage'!$O66*'Weekly Summary'!AJ$52)+('Equipment List &amp; Usage'!$P66*'Weekly Summary'!AJ$53)+('Equipment List &amp; Usage'!$Q66*('Weekly Summary'!AJ$52+'Weekly Summary'!AJ$53))+('Equipment List &amp; Usage'!$R66*'Weekly Summary'!AJ$64)+('Equipment List &amp; Usage'!$S66*'Weekly Summary'!AJ$65)+('Equipment List &amp; Usage'!$T66*('Weekly Summary'!AJ$64+'Weekly Summary'!AJ$65))-SUM($I64:AO64))),0)</f>
        <v>0</v>
      </c>
      <c r="AQ64" s="1381">
        <f ca="1">MAX(IF($F64="No",('Equipment List &amp; Usage'!$O66*'Weekly Summary'!AK$52)+('Equipment List &amp; Usage'!$P66*'Weekly Summary'!AK$53)+('Equipment List &amp; Usage'!$Q66*('Weekly Summary'!AK$52+'Weekly Summary'!AK$53))+('Equipment List &amp; Usage'!$R66*'Weekly Summary'!AK$64)+('Equipment List &amp; Usage'!$S66*'Weekly Summary'!AK$65)+('Equipment List &amp; Usage'!$T66*('Weekly Summary'!AK$64+'Weekly Summary'!AK$65)),
IF(AQ$10=0,('Equipment List &amp; Usage'!$O66*'Weekly Summary'!AK$52)+('Equipment List &amp; Usage'!$P66*'Weekly Summary'!AK$53)+('Equipment List &amp; Usage'!$Q66*('Weekly Summary'!AK$52+'Weekly Summary'!AK$53))+('Equipment List &amp; Usage'!$R66*'Weekly Summary'!AK$64)+('Equipment List &amp; Usage'!$S66*'Weekly Summary'!AK$65)+('Equipment List &amp; Usage'!$T66*('Weekly Summary'!AK$64+'Weekly Summary'!AK$65)),
('Equipment List &amp; Usage'!$O66*'Weekly Summary'!AK$52)+('Equipment List &amp; Usage'!$P66*'Weekly Summary'!AK$53)+('Equipment List &amp; Usage'!$Q66*('Weekly Summary'!AK$52+'Weekly Summary'!AK$53))+('Equipment List &amp; Usage'!$R66*'Weekly Summary'!AK$64)+('Equipment List &amp; Usage'!$S66*'Weekly Summary'!AK$65)+('Equipment List &amp; Usage'!$T66*('Weekly Summary'!AK$64+'Weekly Summary'!AK$65))-SUM($I64:AP64))),0)</f>
        <v>0</v>
      </c>
      <c r="AR64" s="1381">
        <f ca="1">MAX(IF($F64="No",('Equipment List &amp; Usage'!$O66*'Weekly Summary'!AL$52)+('Equipment List &amp; Usage'!$P66*'Weekly Summary'!AL$53)+('Equipment List &amp; Usage'!$Q66*('Weekly Summary'!AL$52+'Weekly Summary'!AL$53))+('Equipment List &amp; Usage'!$R66*'Weekly Summary'!AL$64)+('Equipment List &amp; Usage'!$S66*'Weekly Summary'!AL$65)+('Equipment List &amp; Usage'!$T66*('Weekly Summary'!AL$64+'Weekly Summary'!AL$65)),
IF(AR$10=0,('Equipment List &amp; Usage'!$O66*'Weekly Summary'!AL$52)+('Equipment List &amp; Usage'!$P66*'Weekly Summary'!AL$53)+('Equipment List &amp; Usage'!$Q66*('Weekly Summary'!AL$52+'Weekly Summary'!AL$53))+('Equipment List &amp; Usage'!$R66*'Weekly Summary'!AL$64)+('Equipment List &amp; Usage'!$S66*'Weekly Summary'!AL$65)+('Equipment List &amp; Usage'!$T66*('Weekly Summary'!AL$64+'Weekly Summary'!AL$65)),
('Equipment List &amp; Usage'!$O66*'Weekly Summary'!AL$52)+('Equipment List &amp; Usage'!$P66*'Weekly Summary'!AL$53)+('Equipment List &amp; Usage'!$Q66*('Weekly Summary'!AL$52+'Weekly Summary'!AL$53))+('Equipment List &amp; Usage'!$R66*'Weekly Summary'!AL$64)+('Equipment List &amp; Usage'!$S66*'Weekly Summary'!AL$65)+('Equipment List &amp; Usage'!$T66*('Weekly Summary'!AL$64+'Weekly Summary'!AL$65))-SUM($I64:AQ64))),0)</f>
        <v>0</v>
      </c>
      <c r="AS64" s="1381">
        <f ca="1">MAX(IF($F64="No",('Equipment List &amp; Usage'!$O66*'Weekly Summary'!AM$52)+('Equipment List &amp; Usage'!$P66*'Weekly Summary'!AM$53)+('Equipment List &amp; Usage'!$Q66*('Weekly Summary'!AM$52+'Weekly Summary'!AM$53))+('Equipment List &amp; Usage'!$R66*'Weekly Summary'!AM$64)+('Equipment List &amp; Usage'!$S66*'Weekly Summary'!AM$65)+('Equipment List &amp; Usage'!$T66*('Weekly Summary'!AM$64+'Weekly Summary'!AM$65)),
IF(AS$10=0,('Equipment List &amp; Usage'!$O66*'Weekly Summary'!AM$52)+('Equipment List &amp; Usage'!$P66*'Weekly Summary'!AM$53)+('Equipment List &amp; Usage'!$Q66*('Weekly Summary'!AM$52+'Weekly Summary'!AM$53))+('Equipment List &amp; Usage'!$R66*'Weekly Summary'!AM$64)+('Equipment List &amp; Usage'!$S66*'Weekly Summary'!AM$65)+('Equipment List &amp; Usage'!$T66*('Weekly Summary'!AM$64+'Weekly Summary'!AM$65)),
('Equipment List &amp; Usage'!$O66*'Weekly Summary'!AM$52)+('Equipment List &amp; Usage'!$P66*'Weekly Summary'!AM$53)+('Equipment List &amp; Usage'!$Q66*('Weekly Summary'!AM$52+'Weekly Summary'!AM$53))+('Equipment List &amp; Usage'!$R66*'Weekly Summary'!AM$64)+('Equipment List &amp; Usage'!$S66*'Weekly Summary'!AM$65)+('Equipment List &amp; Usage'!$T66*('Weekly Summary'!AM$64+'Weekly Summary'!AM$65))-SUM($I64:AR64))),0)</f>
        <v>0</v>
      </c>
      <c r="AT64" s="1381">
        <f ca="1">MAX(IF($F64="No",('Equipment List &amp; Usage'!$O66*'Weekly Summary'!AN$52)+('Equipment List &amp; Usage'!$P66*'Weekly Summary'!AN$53)+('Equipment List &amp; Usage'!$Q66*('Weekly Summary'!AN$52+'Weekly Summary'!AN$53))+('Equipment List &amp; Usage'!$R66*'Weekly Summary'!AN$64)+('Equipment List &amp; Usage'!$S66*'Weekly Summary'!AN$65)+('Equipment List &amp; Usage'!$T66*('Weekly Summary'!AN$64+'Weekly Summary'!AN$65)),
IF(AT$10=0,('Equipment List &amp; Usage'!$O66*'Weekly Summary'!AN$52)+('Equipment List &amp; Usage'!$P66*'Weekly Summary'!AN$53)+('Equipment List &amp; Usage'!$Q66*('Weekly Summary'!AN$52+'Weekly Summary'!AN$53))+('Equipment List &amp; Usage'!$R66*'Weekly Summary'!AN$64)+('Equipment List &amp; Usage'!$S66*'Weekly Summary'!AN$65)+('Equipment List &amp; Usage'!$T66*('Weekly Summary'!AN$64+'Weekly Summary'!AN$65)),
('Equipment List &amp; Usage'!$O66*'Weekly Summary'!AN$52)+('Equipment List &amp; Usage'!$P66*'Weekly Summary'!AN$53)+('Equipment List &amp; Usage'!$Q66*('Weekly Summary'!AN$52+'Weekly Summary'!AN$53))+('Equipment List &amp; Usage'!$R66*'Weekly Summary'!AN$64)+('Equipment List &amp; Usage'!$S66*'Weekly Summary'!AN$65)+('Equipment List &amp; Usage'!$T66*('Weekly Summary'!AN$64+'Weekly Summary'!AN$65))-SUM($I64:AS64))),0)</f>
        <v>0</v>
      </c>
      <c r="AU64" s="1381">
        <f ca="1">MAX(IF($F64="No",('Equipment List &amp; Usage'!$O66*'Weekly Summary'!AO$52)+('Equipment List &amp; Usage'!$P66*'Weekly Summary'!AO$53)+('Equipment List &amp; Usage'!$Q66*('Weekly Summary'!AO$52+'Weekly Summary'!AO$53))+('Equipment List &amp; Usage'!$R66*'Weekly Summary'!AO$64)+('Equipment List &amp; Usage'!$S66*'Weekly Summary'!AO$65)+('Equipment List &amp; Usage'!$T66*('Weekly Summary'!AO$64+'Weekly Summary'!AO$65)),
IF(AU$10=0,('Equipment List &amp; Usage'!$O66*'Weekly Summary'!AO$52)+('Equipment List &amp; Usage'!$P66*'Weekly Summary'!AO$53)+('Equipment List &amp; Usage'!$Q66*('Weekly Summary'!AO$52+'Weekly Summary'!AO$53))+('Equipment List &amp; Usage'!$R66*'Weekly Summary'!AO$64)+('Equipment List &amp; Usage'!$S66*'Weekly Summary'!AO$65)+('Equipment List &amp; Usage'!$T66*('Weekly Summary'!AO$64+'Weekly Summary'!AO$65)),
('Equipment List &amp; Usage'!$O66*'Weekly Summary'!AO$52)+('Equipment List &amp; Usage'!$P66*'Weekly Summary'!AO$53)+('Equipment List &amp; Usage'!$Q66*('Weekly Summary'!AO$52+'Weekly Summary'!AO$53))+('Equipment List &amp; Usage'!$R66*'Weekly Summary'!AO$64)+('Equipment List &amp; Usage'!$S66*'Weekly Summary'!AO$65)+('Equipment List &amp; Usage'!$T66*('Weekly Summary'!AO$64+'Weekly Summary'!AO$65))-SUM($I64:AT64))),0)</f>
        <v>0</v>
      </c>
      <c r="AV64" s="1381">
        <f ca="1">MAX(IF($F64="No",('Equipment List &amp; Usage'!$O66*'Weekly Summary'!AP$52)+('Equipment List &amp; Usage'!$P66*'Weekly Summary'!AP$53)+('Equipment List &amp; Usage'!$Q66*('Weekly Summary'!AP$52+'Weekly Summary'!AP$53))+('Equipment List &amp; Usage'!$R66*'Weekly Summary'!AP$64)+('Equipment List &amp; Usage'!$S66*'Weekly Summary'!AP$65)+('Equipment List &amp; Usage'!$T66*('Weekly Summary'!AP$64+'Weekly Summary'!AP$65)),
IF(AV$10=0,('Equipment List &amp; Usage'!$O66*'Weekly Summary'!AP$52)+('Equipment List &amp; Usage'!$P66*'Weekly Summary'!AP$53)+('Equipment List &amp; Usage'!$Q66*('Weekly Summary'!AP$52+'Weekly Summary'!AP$53))+('Equipment List &amp; Usage'!$R66*'Weekly Summary'!AP$64)+('Equipment List &amp; Usage'!$S66*'Weekly Summary'!AP$65)+('Equipment List &amp; Usage'!$T66*('Weekly Summary'!AP$64+'Weekly Summary'!AP$65)),
('Equipment List &amp; Usage'!$O66*'Weekly Summary'!AP$52)+('Equipment List &amp; Usage'!$P66*'Weekly Summary'!AP$53)+('Equipment List &amp; Usage'!$Q66*('Weekly Summary'!AP$52+'Weekly Summary'!AP$53))+('Equipment List &amp; Usage'!$R66*'Weekly Summary'!AP$64)+('Equipment List &amp; Usage'!$S66*'Weekly Summary'!AP$65)+('Equipment List &amp; Usage'!$T66*('Weekly Summary'!AP$64+'Weekly Summary'!AP$65))-SUM($I64:AU64))),0)</f>
        <v>0</v>
      </c>
      <c r="AW64" s="1381">
        <f ca="1">MAX(IF($F64="No",('Equipment List &amp; Usage'!$O66*'Weekly Summary'!AQ$52)+('Equipment List &amp; Usage'!$P66*'Weekly Summary'!AQ$53)+('Equipment List &amp; Usage'!$Q66*('Weekly Summary'!AQ$52+'Weekly Summary'!AQ$53))+('Equipment List &amp; Usage'!$R66*'Weekly Summary'!AQ$64)+('Equipment List &amp; Usage'!$S66*'Weekly Summary'!AQ$65)+('Equipment List &amp; Usage'!$T66*('Weekly Summary'!AQ$64+'Weekly Summary'!AQ$65)),
IF(AW$10=0,('Equipment List &amp; Usage'!$O66*'Weekly Summary'!AQ$52)+('Equipment List &amp; Usage'!$P66*'Weekly Summary'!AQ$53)+('Equipment List &amp; Usage'!$Q66*('Weekly Summary'!AQ$52+'Weekly Summary'!AQ$53))+('Equipment List &amp; Usage'!$R66*'Weekly Summary'!AQ$64)+('Equipment List &amp; Usage'!$S66*'Weekly Summary'!AQ$65)+('Equipment List &amp; Usage'!$T66*('Weekly Summary'!AQ$64+'Weekly Summary'!AQ$65)),
('Equipment List &amp; Usage'!$O66*'Weekly Summary'!AQ$52)+('Equipment List &amp; Usage'!$P66*'Weekly Summary'!AQ$53)+('Equipment List &amp; Usage'!$Q66*('Weekly Summary'!AQ$52+'Weekly Summary'!AQ$53))+('Equipment List &amp; Usage'!$R66*'Weekly Summary'!AQ$64)+('Equipment List &amp; Usage'!$S66*'Weekly Summary'!AQ$65)+('Equipment List &amp; Usage'!$T66*('Weekly Summary'!AQ$64+'Weekly Summary'!AQ$65))-SUM($I64:AV64))),0)</f>
        <v>0</v>
      </c>
      <c r="AX64" s="1381">
        <f ca="1">MAX(IF($F64="No",('Equipment List &amp; Usage'!$O66*'Weekly Summary'!AR$52)+('Equipment List &amp; Usage'!$P66*'Weekly Summary'!AR$53)+('Equipment List &amp; Usage'!$Q66*('Weekly Summary'!AR$52+'Weekly Summary'!AR$53))+('Equipment List &amp; Usage'!$R66*'Weekly Summary'!AR$64)+('Equipment List &amp; Usage'!$S66*'Weekly Summary'!AR$65)+('Equipment List &amp; Usage'!$T66*('Weekly Summary'!AR$64+'Weekly Summary'!AR$65)),
IF(AX$10=0,('Equipment List &amp; Usage'!$O66*'Weekly Summary'!AR$52)+('Equipment List &amp; Usage'!$P66*'Weekly Summary'!AR$53)+('Equipment List &amp; Usage'!$Q66*('Weekly Summary'!AR$52+'Weekly Summary'!AR$53))+('Equipment List &amp; Usage'!$R66*'Weekly Summary'!AR$64)+('Equipment List &amp; Usage'!$S66*'Weekly Summary'!AR$65)+('Equipment List &amp; Usage'!$T66*('Weekly Summary'!AR$64+'Weekly Summary'!AR$65)),
('Equipment List &amp; Usage'!$O66*'Weekly Summary'!AR$52)+('Equipment List &amp; Usage'!$P66*'Weekly Summary'!AR$53)+('Equipment List &amp; Usage'!$Q66*('Weekly Summary'!AR$52+'Weekly Summary'!AR$53))+('Equipment List &amp; Usage'!$R66*'Weekly Summary'!AR$64)+('Equipment List &amp; Usage'!$S66*'Weekly Summary'!AR$65)+('Equipment List &amp; Usage'!$T66*('Weekly Summary'!AR$64+'Weekly Summary'!AR$65))-SUM($I64:AW64))),0)</f>
        <v>0</v>
      </c>
      <c r="AY64" s="1381">
        <f ca="1">MAX(IF($F64="No",('Equipment List &amp; Usage'!$O66*'Weekly Summary'!AS$52)+('Equipment List &amp; Usage'!$P66*'Weekly Summary'!AS$53)+('Equipment List &amp; Usage'!$Q66*('Weekly Summary'!AS$52+'Weekly Summary'!AS$53))+('Equipment List &amp; Usage'!$R66*'Weekly Summary'!AS$64)+('Equipment List &amp; Usage'!$S66*'Weekly Summary'!AS$65)+('Equipment List &amp; Usage'!$T66*('Weekly Summary'!AS$64+'Weekly Summary'!AS$65)),
IF(AY$10=0,('Equipment List &amp; Usage'!$O66*'Weekly Summary'!AS$52)+('Equipment List &amp; Usage'!$P66*'Weekly Summary'!AS$53)+('Equipment List &amp; Usage'!$Q66*('Weekly Summary'!AS$52+'Weekly Summary'!AS$53))+('Equipment List &amp; Usage'!$R66*'Weekly Summary'!AS$64)+('Equipment List &amp; Usage'!$S66*'Weekly Summary'!AS$65)+('Equipment List &amp; Usage'!$T66*('Weekly Summary'!AS$64+'Weekly Summary'!AS$65)),
('Equipment List &amp; Usage'!$O66*'Weekly Summary'!AS$52)+('Equipment List &amp; Usage'!$P66*'Weekly Summary'!AS$53)+('Equipment List &amp; Usage'!$Q66*('Weekly Summary'!AS$52+'Weekly Summary'!AS$53))+('Equipment List &amp; Usage'!$R66*'Weekly Summary'!AS$64)+('Equipment List &amp; Usage'!$S66*'Weekly Summary'!AS$65)+('Equipment List &amp; Usage'!$T66*('Weekly Summary'!AS$64+'Weekly Summary'!AS$65))-SUM($I64:AX64))),0)</f>
        <v>0</v>
      </c>
      <c r="AZ64" s="1381">
        <f ca="1">MAX(IF($F64="No",('Equipment List &amp; Usage'!$O66*'Weekly Summary'!AT$52)+('Equipment List &amp; Usage'!$P66*'Weekly Summary'!AT$53)+('Equipment List &amp; Usage'!$Q66*('Weekly Summary'!AT$52+'Weekly Summary'!AT$53))+('Equipment List &amp; Usage'!$R66*'Weekly Summary'!AT$64)+('Equipment List &amp; Usage'!$S66*'Weekly Summary'!AT$65)+('Equipment List &amp; Usage'!$T66*('Weekly Summary'!AT$64+'Weekly Summary'!AT$65)),
IF(AZ$10=0,('Equipment List &amp; Usage'!$O66*'Weekly Summary'!AT$52)+('Equipment List &amp; Usage'!$P66*'Weekly Summary'!AT$53)+('Equipment List &amp; Usage'!$Q66*('Weekly Summary'!AT$52+'Weekly Summary'!AT$53))+('Equipment List &amp; Usage'!$R66*'Weekly Summary'!AT$64)+('Equipment List &amp; Usage'!$S66*'Weekly Summary'!AT$65)+('Equipment List &amp; Usage'!$T66*('Weekly Summary'!AT$64+'Weekly Summary'!AT$65)),
('Equipment List &amp; Usage'!$O66*'Weekly Summary'!AT$52)+('Equipment List &amp; Usage'!$P66*'Weekly Summary'!AT$53)+('Equipment List &amp; Usage'!$Q66*('Weekly Summary'!AT$52+'Weekly Summary'!AT$53))+('Equipment List &amp; Usage'!$R66*'Weekly Summary'!AT$64)+('Equipment List &amp; Usage'!$S66*'Weekly Summary'!AT$65)+('Equipment List &amp; Usage'!$T66*('Weekly Summary'!AT$64+'Weekly Summary'!AT$65))-SUM($I64:AY64))),0)</f>
        <v>0</v>
      </c>
      <c r="BA64" s="1381">
        <f ca="1">MAX(IF($F64="No",('Equipment List &amp; Usage'!$O66*'Weekly Summary'!AU$52)+('Equipment List &amp; Usage'!$P66*'Weekly Summary'!AU$53)+('Equipment List &amp; Usage'!$Q66*('Weekly Summary'!AU$52+'Weekly Summary'!AU$53))+('Equipment List &amp; Usage'!$R66*'Weekly Summary'!AU$64)+('Equipment List &amp; Usage'!$S66*'Weekly Summary'!AU$65)+('Equipment List &amp; Usage'!$T66*('Weekly Summary'!AU$64+'Weekly Summary'!AU$65)),
IF(BA$10=0,('Equipment List &amp; Usage'!$O66*'Weekly Summary'!AU$52)+('Equipment List &amp; Usage'!$P66*'Weekly Summary'!AU$53)+('Equipment List &amp; Usage'!$Q66*('Weekly Summary'!AU$52+'Weekly Summary'!AU$53))+('Equipment List &amp; Usage'!$R66*'Weekly Summary'!AU$64)+('Equipment List &amp; Usage'!$S66*'Weekly Summary'!AU$65)+('Equipment List &amp; Usage'!$T66*('Weekly Summary'!AU$64+'Weekly Summary'!AU$65)),
('Equipment List &amp; Usage'!$O66*'Weekly Summary'!AU$52)+('Equipment List &amp; Usage'!$P66*'Weekly Summary'!AU$53)+('Equipment List &amp; Usage'!$Q66*('Weekly Summary'!AU$52+'Weekly Summary'!AU$53))+('Equipment List &amp; Usage'!$R66*'Weekly Summary'!AU$64)+('Equipment List &amp; Usage'!$S66*'Weekly Summary'!AU$65)+('Equipment List &amp; Usage'!$T66*('Weekly Summary'!AU$64+'Weekly Summary'!AU$65))-SUM($I64:AZ64))),0)</f>
        <v>0</v>
      </c>
      <c r="BB64" s="1381">
        <f ca="1">MAX(IF($F64="No",('Equipment List &amp; Usage'!$O66*'Weekly Summary'!AV$52)+('Equipment List &amp; Usage'!$P66*'Weekly Summary'!AV$53)+('Equipment List &amp; Usage'!$Q66*('Weekly Summary'!AV$52+'Weekly Summary'!AV$53))+('Equipment List &amp; Usage'!$R66*'Weekly Summary'!AV$64)+('Equipment List &amp; Usage'!$S66*'Weekly Summary'!AV$65)+('Equipment List &amp; Usage'!$T66*('Weekly Summary'!AV$64+'Weekly Summary'!AV$65)),
IF(BB$10=0,('Equipment List &amp; Usage'!$O66*'Weekly Summary'!AV$52)+('Equipment List &amp; Usage'!$P66*'Weekly Summary'!AV$53)+('Equipment List &amp; Usage'!$Q66*('Weekly Summary'!AV$52+'Weekly Summary'!AV$53))+('Equipment List &amp; Usage'!$R66*'Weekly Summary'!AV$64)+('Equipment List &amp; Usage'!$S66*'Weekly Summary'!AV$65)+('Equipment List &amp; Usage'!$T66*('Weekly Summary'!AV$64+'Weekly Summary'!AV$65)),
('Equipment List &amp; Usage'!$O66*'Weekly Summary'!AV$52)+('Equipment List &amp; Usage'!$P66*'Weekly Summary'!AV$53)+('Equipment List &amp; Usage'!$Q66*('Weekly Summary'!AV$52+'Weekly Summary'!AV$53))+('Equipment List &amp; Usage'!$R66*'Weekly Summary'!AV$64)+('Equipment List &amp; Usage'!$S66*'Weekly Summary'!AV$65)+('Equipment List &amp; Usage'!$T66*('Weekly Summary'!AV$64+'Weekly Summary'!AV$65))-SUM($I64:BA64))),0)</f>
        <v>0</v>
      </c>
      <c r="BC64" s="1381">
        <f ca="1">MAX(IF($F64="No",('Equipment List &amp; Usage'!$O66*'Weekly Summary'!AW$52)+('Equipment List &amp; Usage'!$P66*'Weekly Summary'!AW$53)+('Equipment List &amp; Usage'!$Q66*('Weekly Summary'!AW$52+'Weekly Summary'!AW$53))+('Equipment List &amp; Usage'!$R66*'Weekly Summary'!AW$64)+('Equipment List &amp; Usage'!$S66*'Weekly Summary'!AW$65)+('Equipment List &amp; Usage'!$T66*('Weekly Summary'!AW$64+'Weekly Summary'!AW$65)),
IF(BC$10=0,('Equipment List &amp; Usage'!$O66*'Weekly Summary'!AW$52)+('Equipment List &amp; Usage'!$P66*'Weekly Summary'!AW$53)+('Equipment List &amp; Usage'!$Q66*('Weekly Summary'!AW$52+'Weekly Summary'!AW$53))+('Equipment List &amp; Usage'!$R66*'Weekly Summary'!AW$64)+('Equipment List &amp; Usage'!$S66*'Weekly Summary'!AW$65)+('Equipment List &amp; Usage'!$T66*('Weekly Summary'!AW$64+'Weekly Summary'!AW$65)),
('Equipment List &amp; Usage'!$O66*'Weekly Summary'!AW$52)+('Equipment List &amp; Usage'!$P66*'Weekly Summary'!AW$53)+('Equipment List &amp; Usage'!$Q66*('Weekly Summary'!AW$52+'Weekly Summary'!AW$53))+('Equipment List &amp; Usage'!$R66*'Weekly Summary'!AW$64)+('Equipment List &amp; Usage'!$S66*'Weekly Summary'!AW$65)+('Equipment List &amp; Usage'!$T66*('Weekly Summary'!AW$64+'Weekly Summary'!AW$65))-SUM($I64:BB64))),0)</f>
        <v>0</v>
      </c>
      <c r="BD64" s="1381">
        <f ca="1">MAX(IF($F64="No",('Equipment List &amp; Usage'!$O66*'Weekly Summary'!AX$52)+('Equipment List &amp; Usage'!$P66*'Weekly Summary'!AX$53)+('Equipment List &amp; Usage'!$Q66*('Weekly Summary'!AX$52+'Weekly Summary'!AX$53))+('Equipment List &amp; Usage'!$R66*'Weekly Summary'!AX$64)+('Equipment List &amp; Usage'!$S66*'Weekly Summary'!AX$65)+('Equipment List &amp; Usage'!$T66*('Weekly Summary'!AX$64+'Weekly Summary'!AX$65)),
IF(BD$10=0,('Equipment List &amp; Usage'!$O66*'Weekly Summary'!AX$52)+('Equipment List &amp; Usage'!$P66*'Weekly Summary'!AX$53)+('Equipment List &amp; Usage'!$Q66*('Weekly Summary'!AX$52+'Weekly Summary'!AX$53))+('Equipment List &amp; Usage'!$R66*'Weekly Summary'!AX$64)+('Equipment List &amp; Usage'!$S66*'Weekly Summary'!AX$65)+('Equipment List &amp; Usage'!$T66*('Weekly Summary'!AX$64+'Weekly Summary'!AX$65)),
('Equipment List &amp; Usage'!$O66*'Weekly Summary'!AX$52)+('Equipment List &amp; Usage'!$P66*'Weekly Summary'!AX$53)+('Equipment List &amp; Usage'!$Q66*('Weekly Summary'!AX$52+'Weekly Summary'!AX$53))+('Equipment List &amp; Usage'!$R66*'Weekly Summary'!AX$64)+('Equipment List &amp; Usage'!$S66*'Weekly Summary'!AX$65)+('Equipment List &amp; Usage'!$T66*('Weekly Summary'!AX$64+'Weekly Summary'!AX$65))-SUM($I64:BC64))),0)</f>
        <v>0</v>
      </c>
      <c r="BE64" s="1381">
        <f ca="1">MAX(IF($F64="No",('Equipment List &amp; Usage'!$O66*'Weekly Summary'!AY$52)+('Equipment List &amp; Usage'!$P66*'Weekly Summary'!AY$53)+('Equipment List &amp; Usage'!$Q66*('Weekly Summary'!AY$52+'Weekly Summary'!AY$53))+('Equipment List &amp; Usage'!$R66*'Weekly Summary'!AY$64)+('Equipment List &amp; Usage'!$S66*'Weekly Summary'!AY$65)+('Equipment List &amp; Usage'!$T66*('Weekly Summary'!AY$64+'Weekly Summary'!AY$65)),
IF(BE$10=0,('Equipment List &amp; Usage'!$O66*'Weekly Summary'!AY$52)+('Equipment List &amp; Usage'!$P66*'Weekly Summary'!AY$53)+('Equipment List &amp; Usage'!$Q66*('Weekly Summary'!AY$52+'Weekly Summary'!AY$53))+('Equipment List &amp; Usage'!$R66*'Weekly Summary'!AY$64)+('Equipment List &amp; Usage'!$S66*'Weekly Summary'!AY$65)+('Equipment List &amp; Usage'!$T66*('Weekly Summary'!AY$64+'Weekly Summary'!AY$65)),
('Equipment List &amp; Usage'!$O66*'Weekly Summary'!AY$52)+('Equipment List &amp; Usage'!$P66*'Weekly Summary'!AY$53)+('Equipment List &amp; Usage'!$Q66*('Weekly Summary'!AY$52+'Weekly Summary'!AY$53))+('Equipment List &amp; Usage'!$R66*'Weekly Summary'!AY$64)+('Equipment List &amp; Usage'!$S66*'Weekly Summary'!AY$65)+('Equipment List &amp; Usage'!$T66*('Weekly Summary'!AY$64+'Weekly Summary'!AY$65))-SUM($I64:BD64))),0)</f>
        <v>0</v>
      </c>
      <c r="BF64" s="1381">
        <f ca="1">MAX(IF($F64="No",('Equipment List &amp; Usage'!$O66*'Weekly Summary'!AZ$52)+('Equipment List &amp; Usage'!$P66*'Weekly Summary'!AZ$53)+('Equipment List &amp; Usage'!$Q66*('Weekly Summary'!AZ$52+'Weekly Summary'!AZ$53))+('Equipment List &amp; Usage'!$R66*'Weekly Summary'!AZ$64)+('Equipment List &amp; Usage'!$S66*'Weekly Summary'!AZ$65)+('Equipment List &amp; Usage'!$T66*('Weekly Summary'!AZ$64+'Weekly Summary'!AZ$65)),
IF(BF$10=0,('Equipment List &amp; Usage'!$O66*'Weekly Summary'!AZ$52)+('Equipment List &amp; Usage'!$P66*'Weekly Summary'!AZ$53)+('Equipment List &amp; Usage'!$Q66*('Weekly Summary'!AZ$52+'Weekly Summary'!AZ$53))+('Equipment List &amp; Usage'!$R66*'Weekly Summary'!AZ$64)+('Equipment List &amp; Usage'!$S66*'Weekly Summary'!AZ$65)+('Equipment List &amp; Usage'!$T66*('Weekly Summary'!AZ$64+'Weekly Summary'!AZ$65)),
('Equipment List &amp; Usage'!$O66*'Weekly Summary'!AZ$52)+('Equipment List &amp; Usage'!$P66*'Weekly Summary'!AZ$53)+('Equipment List &amp; Usage'!$Q66*('Weekly Summary'!AZ$52+'Weekly Summary'!AZ$53))+('Equipment List &amp; Usage'!$R66*'Weekly Summary'!AZ$64)+('Equipment List &amp; Usage'!$S66*'Weekly Summary'!AZ$65)+('Equipment List &amp; Usage'!$T66*('Weekly Summary'!AZ$64+'Weekly Summary'!AZ$65))-SUM($I64:BE64))),0)</f>
        <v>0</v>
      </c>
      <c r="BG64" s="1381">
        <f ca="1">MAX(IF($F64="No",('Equipment List &amp; Usage'!$O66*'Weekly Summary'!BA$52)+('Equipment List &amp; Usage'!$P66*'Weekly Summary'!BA$53)+('Equipment List &amp; Usage'!$Q66*('Weekly Summary'!BA$52+'Weekly Summary'!BA$53))+('Equipment List &amp; Usage'!$R66*'Weekly Summary'!BA$64)+('Equipment List &amp; Usage'!$S66*'Weekly Summary'!BA$65)+('Equipment List &amp; Usage'!$T66*('Weekly Summary'!BA$64+'Weekly Summary'!BA$65)),
IF(BG$10=0,('Equipment List &amp; Usage'!$O66*'Weekly Summary'!BA$52)+('Equipment List &amp; Usage'!$P66*'Weekly Summary'!BA$53)+('Equipment List &amp; Usage'!$Q66*('Weekly Summary'!BA$52+'Weekly Summary'!BA$53))+('Equipment List &amp; Usage'!$R66*'Weekly Summary'!BA$64)+('Equipment List &amp; Usage'!$S66*'Weekly Summary'!BA$65)+('Equipment List &amp; Usage'!$T66*('Weekly Summary'!BA$64+'Weekly Summary'!BA$65)),
('Equipment List &amp; Usage'!$O66*'Weekly Summary'!BA$52)+('Equipment List &amp; Usage'!$P66*'Weekly Summary'!BA$53)+('Equipment List &amp; Usage'!$Q66*('Weekly Summary'!BA$52+'Weekly Summary'!BA$53))+('Equipment List &amp; Usage'!$R66*'Weekly Summary'!BA$64)+('Equipment List &amp; Usage'!$S66*'Weekly Summary'!BA$65)+('Equipment List &amp; Usage'!$T66*('Weekly Summary'!BA$64+'Weekly Summary'!BA$65))-SUM($I64:BF64))),0)</f>
        <v>0</v>
      </c>
      <c r="BH64" s="1381">
        <f ca="1">MAX(IF($F64="No",('Equipment List &amp; Usage'!$O66*'Weekly Summary'!BB$52)+('Equipment List &amp; Usage'!$P66*'Weekly Summary'!BB$53)+('Equipment List &amp; Usage'!$Q66*('Weekly Summary'!BB$52+'Weekly Summary'!BB$53))+('Equipment List &amp; Usage'!$R66*'Weekly Summary'!BB$64)+('Equipment List &amp; Usage'!$S66*'Weekly Summary'!BB$65)+('Equipment List &amp; Usage'!$T66*('Weekly Summary'!BB$64+'Weekly Summary'!BB$65)),
IF(BH$10=0,('Equipment List &amp; Usage'!$O66*'Weekly Summary'!BB$52)+('Equipment List &amp; Usage'!$P66*'Weekly Summary'!BB$53)+('Equipment List &amp; Usage'!$Q66*('Weekly Summary'!BB$52+'Weekly Summary'!BB$53))+('Equipment List &amp; Usage'!$R66*'Weekly Summary'!BB$64)+('Equipment List &amp; Usage'!$S66*'Weekly Summary'!BB$65)+('Equipment List &amp; Usage'!$T66*('Weekly Summary'!BB$64+'Weekly Summary'!BB$65)),
('Equipment List &amp; Usage'!$O66*'Weekly Summary'!BB$52)+('Equipment List &amp; Usage'!$P66*'Weekly Summary'!BB$53)+('Equipment List &amp; Usage'!$Q66*('Weekly Summary'!BB$52+'Weekly Summary'!BB$53))+('Equipment List &amp; Usage'!$R66*'Weekly Summary'!BB$64)+('Equipment List &amp; Usage'!$S66*'Weekly Summary'!BB$65)+('Equipment List &amp; Usage'!$T66*('Weekly Summary'!BB$64+'Weekly Summary'!BB$65))-SUM($I64:BG64))),0)</f>
        <v>0</v>
      </c>
      <c r="BI64" s="1381">
        <f ca="1">MAX(IF($F64="No",('Equipment List &amp; Usage'!$O66*'Weekly Summary'!BC$52)+('Equipment List &amp; Usage'!$P66*'Weekly Summary'!BC$53)+('Equipment List &amp; Usage'!$Q66*('Weekly Summary'!BC$52+'Weekly Summary'!BC$53))+('Equipment List &amp; Usage'!$R66*'Weekly Summary'!BC$64)+('Equipment List &amp; Usage'!$S66*'Weekly Summary'!BC$65)+('Equipment List &amp; Usage'!$T66*('Weekly Summary'!BC$64+'Weekly Summary'!BC$65)),
IF(BI$10=0,('Equipment List &amp; Usage'!$O66*'Weekly Summary'!BC$52)+('Equipment List &amp; Usage'!$P66*'Weekly Summary'!BC$53)+('Equipment List &amp; Usage'!$Q66*('Weekly Summary'!BC$52+'Weekly Summary'!BC$53))+('Equipment List &amp; Usage'!$R66*'Weekly Summary'!BC$64)+('Equipment List &amp; Usage'!$S66*'Weekly Summary'!BC$65)+('Equipment List &amp; Usage'!$T66*('Weekly Summary'!BC$64+'Weekly Summary'!BC$65)),
('Equipment List &amp; Usage'!$O66*'Weekly Summary'!BC$52)+('Equipment List &amp; Usage'!$P66*'Weekly Summary'!BC$53)+('Equipment List &amp; Usage'!$Q66*('Weekly Summary'!BC$52+'Weekly Summary'!BC$53))+('Equipment List &amp; Usage'!$R66*'Weekly Summary'!BC$64)+('Equipment List &amp; Usage'!$S66*'Weekly Summary'!BC$65)+('Equipment List &amp; Usage'!$T66*('Weekly Summary'!BC$64+'Weekly Summary'!BC$65))-SUM($I64:BH64))),0)</f>
        <v>0</v>
      </c>
      <c r="BJ64" s="1382">
        <f ca="1">MAX(IF($F64="No",('Equipment List &amp; Usage'!$O66*'Weekly Summary'!BD$52)+('Equipment List &amp; Usage'!$P66*'Weekly Summary'!BD$53)+('Equipment List &amp; Usage'!$Q66*('Weekly Summary'!BD$52+'Weekly Summary'!BD$53))+('Equipment List &amp; Usage'!$R66*'Weekly Summary'!BD$64)+('Equipment List &amp; Usage'!$S66*'Weekly Summary'!BD$65)+('Equipment List &amp; Usage'!$T66*('Weekly Summary'!BD$64+'Weekly Summary'!BD$65)),
IF(BJ$10=0,('Equipment List &amp; Usage'!$O66*'Weekly Summary'!BD$52)+('Equipment List &amp; Usage'!$P66*'Weekly Summary'!BD$53)+('Equipment List &amp; Usage'!$Q66*('Weekly Summary'!BD$52+'Weekly Summary'!BD$53))+('Equipment List &amp; Usage'!$R66*'Weekly Summary'!BD$64)+('Equipment List &amp; Usage'!$S66*'Weekly Summary'!BD$65)+('Equipment List &amp; Usage'!$T66*('Weekly Summary'!BD$64+'Weekly Summary'!BD$65)),
('Equipment List &amp; Usage'!$O66*'Weekly Summary'!BD$52)+('Equipment List &amp; Usage'!$P66*'Weekly Summary'!BD$53)+('Equipment List &amp; Usage'!$Q66*('Weekly Summary'!BD$52+'Weekly Summary'!BD$53))+('Equipment List &amp; Usage'!$R66*'Weekly Summary'!BD$64)+('Equipment List &amp; Usage'!$S66*'Weekly Summary'!BD$65)+('Equipment List &amp; Usage'!$T66*('Weekly Summary'!BD$64+'Weekly Summary'!BD$65))-SUM($I64:BI64))),0)</f>
        <v>0</v>
      </c>
    </row>
    <row r="65" spans="2:62" ht="58.4" customHeight="1" x14ac:dyDescent="0.35">
      <c r="B65" s="735" t="str">
        <f>'Equipment List &amp; Usage'!B67</f>
        <v>Case management - biomedical equipment</v>
      </c>
      <c r="C65" s="526" t="str">
        <f>'Equipment List &amp; Usage'!C67</f>
        <v>ICU</v>
      </c>
      <c r="D65" s="526" t="str">
        <f>'Equipment List &amp; Usage'!D67</f>
        <v>Electrocardiograph, portable w/accessories</v>
      </c>
      <c r="E65" s="526" t="str">
        <f>'Equipment List &amp; Usage'!E67</f>
        <v>Each</v>
      </c>
      <c r="F65" s="526" t="str">
        <f>'Equipment List &amp; Usage'!F67</f>
        <v>Yes</v>
      </c>
      <c r="G65" s="526" t="str">
        <f>'Equipment List &amp; Usage'!G67</f>
        <v>Supplied with one of:
PATIENT CABLE 10 leads,
SET SUCTION ELECTRODES, reusable
ELECTRODES CLIP, limb, set 4 pcs/colours</v>
      </c>
      <c r="H65" s="1369">
        <f t="shared" ca="1" si="3"/>
        <v>7.6562112507380391</v>
      </c>
      <c r="J65" s="1344"/>
      <c r="K65" s="1381">
        <f ca="1">IF('User Dashboard'!$H$13=1,0,MAX(IF($F65="No",('Equipment List &amp; Usage'!$O67*'Weekly Summary'!E$52)+('Equipment List &amp; Usage'!$P67*'Weekly Summary'!E$53)+('Equipment List &amp; Usage'!$Q67*('Weekly Summary'!E$52+'Weekly Summary'!E$53))+('Equipment List &amp; Usage'!$R67*'Weekly Summary'!E$64)+('Equipment List &amp; Usage'!$S67*'Weekly Summary'!E$65)+('Equipment List &amp; Usage'!$T67*('Weekly Summary'!E$64+'Weekly Summary'!E$65)),
IF(K$10=0,('Equipment List &amp; Usage'!$O67*'Weekly Summary'!E$52)+('Equipment List &amp; Usage'!$P67*'Weekly Summary'!E$53)+('Equipment List &amp; Usage'!$Q67*('Weekly Summary'!E$52+'Weekly Summary'!E$53))+('Equipment List &amp; Usage'!$R67*'Weekly Summary'!E$64)+('Equipment List &amp; Usage'!$S67*'Weekly Summary'!E$65)+('Equipment List &amp; Usage'!$T67*('Weekly Summary'!E$64+'Weekly Summary'!E$65)),
('Equipment List &amp; Usage'!$O67*'Weekly Summary'!E$52)+('Equipment List &amp; Usage'!$P67*'Weekly Summary'!E$53)+('Equipment List &amp; Usage'!$Q67*('Weekly Summary'!E$52+'Weekly Summary'!E$53))+('Equipment List &amp; Usage'!$R67*'Weekly Summary'!E$64)+('Equipment List &amp; Usage'!$S67*'Weekly Summary'!E$65)+('Equipment List &amp; Usage'!$T67*('Weekly Summary'!E$64+'Weekly Summary'!E$65))-SUM($I65:I65))),0))</f>
        <v>1.6151937208404254E-2</v>
      </c>
      <c r="L65" s="1381">
        <f ca="1">MAX(IF($F65="No",('Equipment List &amp; Usage'!$O67*'Weekly Summary'!F$52)+('Equipment List &amp; Usage'!$P67*'Weekly Summary'!F$53)+('Equipment List &amp; Usage'!$Q67*('Weekly Summary'!F$52+'Weekly Summary'!F$53))+('Equipment List &amp; Usage'!$R67*'Weekly Summary'!F$64)+('Equipment List &amp; Usage'!$S67*'Weekly Summary'!F$65)+('Equipment List &amp; Usage'!$T67*('Weekly Summary'!F$64+'Weekly Summary'!F$65)),
IF(L$10=0,('Equipment List &amp; Usage'!$O67*'Weekly Summary'!F$52)+('Equipment List &amp; Usage'!$P67*'Weekly Summary'!F$53)+('Equipment List &amp; Usage'!$Q67*('Weekly Summary'!F$52+'Weekly Summary'!F$53))+('Equipment List &amp; Usage'!$R67*'Weekly Summary'!F$64)+('Equipment List &amp; Usage'!$S67*'Weekly Summary'!F$65)+('Equipment List &amp; Usage'!$T67*('Weekly Summary'!F$64+'Weekly Summary'!F$65)),
('Equipment List &amp; Usage'!$O67*'Weekly Summary'!F$52)+('Equipment List &amp; Usage'!$P67*'Weekly Summary'!F$53)+('Equipment List &amp; Usage'!$Q67*('Weekly Summary'!F$52+'Weekly Summary'!F$53))+('Equipment List &amp; Usage'!$R67*'Weekly Summary'!F$64)+('Equipment List &amp; Usage'!$S67*'Weekly Summary'!F$65)+('Equipment List &amp; Usage'!$T67*('Weekly Summary'!F$64+'Weekly Summary'!F$65))-SUM($I65:K65))),0)</f>
        <v>3.8784175441988034E-2</v>
      </c>
      <c r="M65" s="1381">
        <f ca="1">MAX(IF($F65="No",('Equipment List &amp; Usage'!$O67*'Weekly Summary'!G$52)+('Equipment List &amp; Usage'!$P67*'Weekly Summary'!G$53)+('Equipment List &amp; Usage'!$Q67*('Weekly Summary'!G$52+'Weekly Summary'!G$53))+('Equipment List &amp; Usage'!$R67*'Weekly Summary'!G$64)+('Equipment List &amp; Usage'!$S67*'Weekly Summary'!G$65)+('Equipment List &amp; Usage'!$T67*('Weekly Summary'!G$64+'Weekly Summary'!G$65)),
IF(M$10=0,('Equipment List &amp; Usage'!$O67*'Weekly Summary'!G$52)+('Equipment List &amp; Usage'!$P67*'Weekly Summary'!G$53)+('Equipment List &amp; Usage'!$Q67*('Weekly Summary'!G$52+'Weekly Summary'!G$53))+('Equipment List &amp; Usage'!$R67*'Weekly Summary'!G$64)+('Equipment List &amp; Usage'!$S67*'Weekly Summary'!G$65)+('Equipment List &amp; Usage'!$T67*('Weekly Summary'!G$64+'Weekly Summary'!G$65)),
('Equipment List &amp; Usage'!$O67*'Weekly Summary'!G$52)+('Equipment List &amp; Usage'!$P67*'Weekly Summary'!G$53)+('Equipment List &amp; Usage'!$Q67*('Weekly Summary'!G$52+'Weekly Summary'!G$53))+('Equipment List &amp; Usage'!$R67*'Weekly Summary'!G$64)+('Equipment List &amp; Usage'!$S67*'Weekly Summary'!G$65)+('Equipment List &amp; Usage'!$T67*('Weekly Summary'!G$64+'Weekly Summary'!G$65))-SUM($I65:L65))),0)</f>
        <v>0.13385058298589575</v>
      </c>
      <c r="N65" s="1381">
        <f ca="1">MAX(IF($F65="No",('Equipment List &amp; Usage'!$O67*'Weekly Summary'!H$52)+('Equipment List &amp; Usage'!$P67*'Weekly Summary'!H$53)+('Equipment List &amp; Usage'!$Q67*('Weekly Summary'!H$52+'Weekly Summary'!H$53))+('Equipment List &amp; Usage'!$R67*'Weekly Summary'!H$64)+('Equipment List &amp; Usage'!$S67*'Weekly Summary'!H$65)+('Equipment List &amp; Usage'!$T67*('Weekly Summary'!H$64+'Weekly Summary'!H$65)),
IF(N$10=0,('Equipment List &amp; Usage'!$O67*'Weekly Summary'!H$52)+('Equipment List &amp; Usage'!$P67*'Weekly Summary'!H$53)+('Equipment List &amp; Usage'!$Q67*('Weekly Summary'!H$52+'Weekly Summary'!H$53))+('Equipment List &amp; Usage'!$R67*'Weekly Summary'!H$64)+('Equipment List &amp; Usage'!$S67*'Weekly Summary'!H$65)+('Equipment List &amp; Usage'!$T67*('Weekly Summary'!H$64+'Weekly Summary'!H$65)),
('Equipment List &amp; Usage'!$O67*'Weekly Summary'!H$52)+('Equipment List &amp; Usage'!$P67*'Weekly Summary'!H$53)+('Equipment List &amp; Usage'!$Q67*('Weekly Summary'!H$52+'Weekly Summary'!H$53))+('Equipment List &amp; Usage'!$R67*'Weekly Summary'!H$64)+('Equipment List &amp; Usage'!$S67*'Weekly Summary'!H$65)+('Equipment List &amp; Usage'!$T67*('Weekly Summary'!H$64+'Weekly Summary'!H$65))-SUM($I65:M65))),0)</f>
        <v>0.45995394456098804</v>
      </c>
      <c r="O65" s="1381">
        <f ca="1">MAX(IF($F65="No",('Equipment List &amp; Usage'!$O67*'Weekly Summary'!I$52)+('Equipment List &amp; Usage'!$P67*'Weekly Summary'!I$53)+('Equipment List &amp; Usage'!$Q67*('Weekly Summary'!I$52+'Weekly Summary'!I$53))+('Equipment List &amp; Usage'!$R67*'Weekly Summary'!I$64)+('Equipment List &amp; Usage'!$S67*'Weekly Summary'!I$65)+('Equipment List &amp; Usage'!$T67*('Weekly Summary'!I$64+'Weekly Summary'!I$65)),
IF(O$10=0,('Equipment List &amp; Usage'!$O67*'Weekly Summary'!I$52)+('Equipment List &amp; Usage'!$P67*'Weekly Summary'!I$53)+('Equipment List &amp; Usage'!$Q67*('Weekly Summary'!I$52+'Weekly Summary'!I$53))+('Equipment List &amp; Usage'!$R67*'Weekly Summary'!I$64)+('Equipment List &amp; Usage'!$S67*'Weekly Summary'!I$65)+('Equipment List &amp; Usage'!$T67*('Weekly Summary'!I$64+'Weekly Summary'!I$65)),
('Equipment List &amp; Usage'!$O67*'Weekly Summary'!I$52)+('Equipment List &amp; Usage'!$P67*'Weekly Summary'!I$53)+('Equipment List &amp; Usage'!$Q67*('Weekly Summary'!I$52+'Weekly Summary'!I$53))+('Equipment List &amp; Usage'!$R67*'Weekly Summary'!I$64)+('Equipment List &amp; Usage'!$S67*'Weekly Summary'!I$65)+('Equipment List &amp; Usage'!$T67*('Weekly Summary'!I$64+'Weekly Summary'!I$65))-SUM($I65:N65))),0)</f>
        <v>1.580328866927458</v>
      </c>
      <c r="P65" s="1381">
        <f ca="1">MAX(IF($F65="No",('Equipment List &amp; Usage'!$O67*'Weekly Summary'!J$52)+('Equipment List &amp; Usage'!$P67*'Weekly Summary'!J$53)+('Equipment List &amp; Usage'!$Q67*('Weekly Summary'!J$52+'Weekly Summary'!J$53))+('Equipment List &amp; Usage'!$R67*'Weekly Summary'!J$64)+('Equipment List &amp; Usage'!$S67*'Weekly Summary'!J$65)+('Equipment List &amp; Usage'!$T67*('Weekly Summary'!J$64+'Weekly Summary'!J$65)),
IF(P$10=0,('Equipment List &amp; Usage'!$O67*'Weekly Summary'!J$52)+('Equipment List &amp; Usage'!$P67*'Weekly Summary'!J$53)+('Equipment List &amp; Usage'!$Q67*('Weekly Summary'!J$52+'Weekly Summary'!J$53))+('Equipment List &amp; Usage'!$R67*'Weekly Summary'!J$64)+('Equipment List &amp; Usage'!$S67*'Weekly Summary'!J$65)+('Equipment List &amp; Usage'!$T67*('Weekly Summary'!J$64+'Weekly Summary'!J$65)),
('Equipment List &amp; Usage'!$O67*'Weekly Summary'!J$52)+('Equipment List &amp; Usage'!$P67*'Weekly Summary'!J$53)+('Equipment List &amp; Usage'!$Q67*('Weekly Summary'!J$52+'Weekly Summary'!J$53))+('Equipment List &amp; Usage'!$R67*'Weekly Summary'!J$64)+('Equipment List &amp; Usage'!$S67*'Weekly Summary'!J$65)+('Equipment List &amp; Usage'!$T67*('Weekly Summary'!J$64+'Weekly Summary'!J$65))-SUM($I65:O65))),0)</f>
        <v>5.4271417436133049</v>
      </c>
      <c r="Q65" s="1381">
        <f ca="1">MAX(IF($F65="No",('Equipment List &amp; Usage'!$O67*'Weekly Summary'!K$52)+('Equipment List &amp; Usage'!$P67*'Weekly Summary'!K$53)+('Equipment List &amp; Usage'!$Q67*('Weekly Summary'!K$52+'Weekly Summary'!K$53))+('Equipment List &amp; Usage'!$R67*'Weekly Summary'!K$64)+('Equipment List &amp; Usage'!$S67*'Weekly Summary'!K$65)+('Equipment List &amp; Usage'!$T67*('Weekly Summary'!K$64+'Weekly Summary'!K$65)),
IF(Q$10=0,('Equipment List &amp; Usage'!$O67*'Weekly Summary'!K$52)+('Equipment List &amp; Usage'!$P67*'Weekly Summary'!K$53)+('Equipment List &amp; Usage'!$Q67*('Weekly Summary'!K$52+'Weekly Summary'!K$53))+('Equipment List &amp; Usage'!$R67*'Weekly Summary'!K$64)+('Equipment List &amp; Usage'!$S67*'Weekly Summary'!K$65)+('Equipment List &amp; Usage'!$T67*('Weekly Summary'!K$64+'Weekly Summary'!K$65)),
('Equipment List &amp; Usage'!$O67*'Weekly Summary'!K$52)+('Equipment List &amp; Usage'!$P67*'Weekly Summary'!K$53)+('Equipment List &amp; Usage'!$Q67*('Weekly Summary'!K$52+'Weekly Summary'!K$53))+('Equipment List &amp; Usage'!$R67*'Weekly Summary'!K$64)+('Equipment List &amp; Usage'!$S67*'Weekly Summary'!K$65)+('Equipment List &amp; Usage'!$T67*('Weekly Summary'!K$64+'Weekly Summary'!K$65))-SUM($I65:P65))),0)</f>
        <v>0</v>
      </c>
      <c r="R65" s="1381">
        <f ca="1">MAX(IF($F65="No",('Equipment List &amp; Usage'!$O67*'Weekly Summary'!L$52)+('Equipment List &amp; Usage'!$P67*'Weekly Summary'!L$53)+('Equipment List &amp; Usage'!$Q67*('Weekly Summary'!L$52+'Weekly Summary'!L$53))+('Equipment List &amp; Usage'!$R67*'Weekly Summary'!L$64)+('Equipment List &amp; Usage'!$S67*'Weekly Summary'!L$65)+('Equipment List &amp; Usage'!$T67*('Weekly Summary'!L$64+'Weekly Summary'!L$65)),
IF(R$10=0,('Equipment List &amp; Usage'!$O67*'Weekly Summary'!L$52)+('Equipment List &amp; Usage'!$P67*'Weekly Summary'!L$53)+('Equipment List &amp; Usage'!$Q67*('Weekly Summary'!L$52+'Weekly Summary'!L$53))+('Equipment List &amp; Usage'!$R67*'Weekly Summary'!L$64)+('Equipment List &amp; Usage'!$S67*'Weekly Summary'!L$65)+('Equipment List &amp; Usage'!$T67*('Weekly Summary'!L$64+'Weekly Summary'!L$65)),
('Equipment List &amp; Usage'!$O67*'Weekly Summary'!L$52)+('Equipment List &amp; Usage'!$P67*'Weekly Summary'!L$53)+('Equipment List &amp; Usage'!$Q67*('Weekly Summary'!L$52+'Weekly Summary'!L$53))+('Equipment List &amp; Usage'!$R67*'Weekly Summary'!L$64)+('Equipment List &amp; Usage'!$S67*'Weekly Summary'!L$65)+('Equipment List &amp; Usage'!$T67*('Weekly Summary'!L$64+'Weekly Summary'!L$65))-SUM($I65:Q65))),0)</f>
        <v>0</v>
      </c>
      <c r="S65" s="1381">
        <f ca="1">MAX(IF($F65="No",('Equipment List &amp; Usage'!$O67*'Weekly Summary'!M$52)+('Equipment List &amp; Usage'!$P67*'Weekly Summary'!M$53)+('Equipment List &amp; Usage'!$Q67*('Weekly Summary'!M$52+'Weekly Summary'!M$53))+('Equipment List &amp; Usage'!$R67*'Weekly Summary'!M$64)+('Equipment List &amp; Usage'!$S67*'Weekly Summary'!M$65)+('Equipment List &amp; Usage'!$T67*('Weekly Summary'!M$64+'Weekly Summary'!M$65)),
IF(S$10=0,('Equipment List &amp; Usage'!$O67*'Weekly Summary'!M$52)+('Equipment List &amp; Usage'!$P67*'Weekly Summary'!M$53)+('Equipment List &amp; Usage'!$Q67*('Weekly Summary'!M$52+'Weekly Summary'!M$53))+('Equipment List &amp; Usage'!$R67*'Weekly Summary'!M$64)+('Equipment List &amp; Usage'!$S67*'Weekly Summary'!M$65)+('Equipment List &amp; Usage'!$T67*('Weekly Summary'!M$64+'Weekly Summary'!M$65)),
('Equipment List &amp; Usage'!$O67*'Weekly Summary'!M$52)+('Equipment List &amp; Usage'!$P67*'Weekly Summary'!M$53)+('Equipment List &amp; Usage'!$Q67*('Weekly Summary'!M$52+'Weekly Summary'!M$53))+('Equipment List &amp; Usage'!$R67*'Weekly Summary'!M$64)+('Equipment List &amp; Usage'!$S67*'Weekly Summary'!M$65)+('Equipment List &amp; Usage'!$T67*('Weekly Summary'!M$64+'Weekly Summary'!M$65))-SUM($I65:R65))),0)</f>
        <v>0</v>
      </c>
      <c r="T65" s="1381">
        <f ca="1">MAX(IF($F65="No",('Equipment List &amp; Usage'!$O67*'Weekly Summary'!N$52)+('Equipment List &amp; Usage'!$P67*'Weekly Summary'!N$53)+('Equipment List &amp; Usage'!$Q67*('Weekly Summary'!N$52+'Weekly Summary'!N$53))+('Equipment List &amp; Usage'!$R67*'Weekly Summary'!N$64)+('Equipment List &amp; Usage'!$S67*'Weekly Summary'!N$65)+('Equipment List &amp; Usage'!$T67*('Weekly Summary'!N$64+'Weekly Summary'!N$65)),
IF(T$10=0,('Equipment List &amp; Usage'!$O67*'Weekly Summary'!N$52)+('Equipment List &amp; Usage'!$P67*'Weekly Summary'!N$53)+('Equipment List &amp; Usage'!$Q67*('Weekly Summary'!N$52+'Weekly Summary'!N$53))+('Equipment List &amp; Usage'!$R67*'Weekly Summary'!N$64)+('Equipment List &amp; Usage'!$S67*'Weekly Summary'!N$65)+('Equipment List &amp; Usage'!$T67*('Weekly Summary'!N$64+'Weekly Summary'!N$65)),
('Equipment List &amp; Usage'!$O67*'Weekly Summary'!N$52)+('Equipment List &amp; Usage'!$P67*'Weekly Summary'!N$53)+('Equipment List &amp; Usage'!$Q67*('Weekly Summary'!N$52+'Weekly Summary'!N$53))+('Equipment List &amp; Usage'!$R67*'Weekly Summary'!N$64)+('Equipment List &amp; Usage'!$S67*'Weekly Summary'!N$65)+('Equipment List &amp; Usage'!$T67*('Weekly Summary'!N$64+'Weekly Summary'!N$65))-SUM($I65:S65))),0)</f>
        <v>0</v>
      </c>
      <c r="U65" s="1381">
        <f ca="1">MAX(IF($F65="No",('Equipment List &amp; Usage'!$O67*'Weekly Summary'!O$52)+('Equipment List &amp; Usage'!$P67*'Weekly Summary'!O$53)+('Equipment List &amp; Usage'!$Q67*('Weekly Summary'!O$52+'Weekly Summary'!O$53))+('Equipment List &amp; Usage'!$R67*'Weekly Summary'!O$64)+('Equipment List &amp; Usage'!$S67*'Weekly Summary'!O$65)+('Equipment List &amp; Usage'!$T67*('Weekly Summary'!O$64+'Weekly Summary'!O$65)),
IF(U$10=0,('Equipment List &amp; Usage'!$O67*'Weekly Summary'!O$52)+('Equipment List &amp; Usage'!$P67*'Weekly Summary'!O$53)+('Equipment List &amp; Usage'!$Q67*('Weekly Summary'!O$52+'Weekly Summary'!O$53))+('Equipment List &amp; Usage'!$R67*'Weekly Summary'!O$64)+('Equipment List &amp; Usage'!$S67*'Weekly Summary'!O$65)+('Equipment List &amp; Usage'!$T67*('Weekly Summary'!O$64+'Weekly Summary'!O$65)),
('Equipment List &amp; Usage'!$O67*'Weekly Summary'!O$52)+('Equipment List &amp; Usage'!$P67*'Weekly Summary'!O$53)+('Equipment List &amp; Usage'!$Q67*('Weekly Summary'!O$52+'Weekly Summary'!O$53))+('Equipment List &amp; Usage'!$R67*'Weekly Summary'!O$64)+('Equipment List &amp; Usage'!$S67*'Weekly Summary'!O$65)+('Equipment List &amp; Usage'!$T67*('Weekly Summary'!O$64+'Weekly Summary'!O$65))-SUM($I65:T65))),0)</f>
        <v>0</v>
      </c>
      <c r="V65" s="1381">
        <f ca="1">MAX(IF($F65="No",('Equipment List &amp; Usage'!$O67*'Weekly Summary'!P$52)+('Equipment List &amp; Usage'!$P67*'Weekly Summary'!P$53)+('Equipment List &amp; Usage'!$Q67*('Weekly Summary'!P$52+'Weekly Summary'!P$53))+('Equipment List &amp; Usage'!$R67*'Weekly Summary'!P$64)+('Equipment List &amp; Usage'!$S67*'Weekly Summary'!P$65)+('Equipment List &amp; Usage'!$T67*('Weekly Summary'!P$64+'Weekly Summary'!P$65)),
IF(V$10=0,('Equipment List &amp; Usage'!$O67*'Weekly Summary'!P$52)+('Equipment List &amp; Usage'!$P67*'Weekly Summary'!P$53)+('Equipment List &amp; Usage'!$Q67*('Weekly Summary'!P$52+'Weekly Summary'!P$53))+('Equipment List &amp; Usage'!$R67*'Weekly Summary'!P$64)+('Equipment List &amp; Usage'!$S67*'Weekly Summary'!P$65)+('Equipment List &amp; Usage'!$T67*('Weekly Summary'!P$64+'Weekly Summary'!P$65)),
('Equipment List &amp; Usage'!$O67*'Weekly Summary'!P$52)+('Equipment List &amp; Usage'!$P67*'Weekly Summary'!P$53)+('Equipment List &amp; Usage'!$Q67*('Weekly Summary'!P$52+'Weekly Summary'!P$53))+('Equipment List &amp; Usage'!$R67*'Weekly Summary'!P$64)+('Equipment List &amp; Usage'!$S67*'Weekly Summary'!P$65)+('Equipment List &amp; Usage'!$T67*('Weekly Summary'!P$64+'Weekly Summary'!P$65))-SUM($I65:U65))),0)</f>
        <v>0</v>
      </c>
      <c r="W65" s="1381">
        <f ca="1">MAX(IF($F65="No",('Equipment List &amp; Usage'!$O67*'Weekly Summary'!Q$52)+('Equipment List &amp; Usage'!$P67*'Weekly Summary'!Q$53)+('Equipment List &amp; Usage'!$Q67*('Weekly Summary'!Q$52+'Weekly Summary'!Q$53))+('Equipment List &amp; Usage'!$R67*'Weekly Summary'!Q$64)+('Equipment List &amp; Usage'!$S67*'Weekly Summary'!Q$65)+('Equipment List &amp; Usage'!$T67*('Weekly Summary'!Q$64+'Weekly Summary'!Q$65)),
IF(W$10=0,('Equipment List &amp; Usage'!$O67*'Weekly Summary'!Q$52)+('Equipment List &amp; Usage'!$P67*'Weekly Summary'!Q$53)+('Equipment List &amp; Usage'!$Q67*('Weekly Summary'!Q$52+'Weekly Summary'!Q$53))+('Equipment List &amp; Usage'!$R67*'Weekly Summary'!Q$64)+('Equipment List &amp; Usage'!$S67*'Weekly Summary'!Q$65)+('Equipment List &amp; Usage'!$T67*('Weekly Summary'!Q$64+'Weekly Summary'!Q$65)),
('Equipment List &amp; Usage'!$O67*'Weekly Summary'!Q$52)+('Equipment List &amp; Usage'!$P67*'Weekly Summary'!Q$53)+('Equipment List &amp; Usage'!$Q67*('Weekly Summary'!Q$52+'Weekly Summary'!Q$53))+('Equipment List &amp; Usage'!$R67*'Weekly Summary'!Q$64)+('Equipment List &amp; Usage'!$S67*'Weekly Summary'!Q$65)+('Equipment List &amp; Usage'!$T67*('Weekly Summary'!Q$64+'Weekly Summary'!Q$65))-SUM($I65:V65))),0)</f>
        <v>0</v>
      </c>
      <c r="X65" s="1381">
        <f ca="1">MAX(IF($F65="No",('Equipment List &amp; Usage'!$O67*'Weekly Summary'!R$52)+('Equipment List &amp; Usage'!$P67*'Weekly Summary'!R$53)+('Equipment List &amp; Usage'!$Q67*('Weekly Summary'!R$52+'Weekly Summary'!R$53))+('Equipment List &amp; Usage'!$R67*'Weekly Summary'!R$64)+('Equipment List &amp; Usage'!$S67*'Weekly Summary'!R$65)+('Equipment List &amp; Usage'!$T67*('Weekly Summary'!R$64+'Weekly Summary'!R$65)),
IF(X$10=0,('Equipment List &amp; Usage'!$O67*'Weekly Summary'!R$52)+('Equipment List &amp; Usage'!$P67*'Weekly Summary'!R$53)+('Equipment List &amp; Usage'!$Q67*('Weekly Summary'!R$52+'Weekly Summary'!R$53))+('Equipment List &amp; Usage'!$R67*'Weekly Summary'!R$64)+('Equipment List &amp; Usage'!$S67*'Weekly Summary'!R$65)+('Equipment List &amp; Usage'!$T67*('Weekly Summary'!R$64+'Weekly Summary'!R$65)),
('Equipment List &amp; Usage'!$O67*'Weekly Summary'!R$52)+('Equipment List &amp; Usage'!$P67*'Weekly Summary'!R$53)+('Equipment List &amp; Usage'!$Q67*('Weekly Summary'!R$52+'Weekly Summary'!R$53))+('Equipment List &amp; Usage'!$R67*'Weekly Summary'!R$64)+('Equipment List &amp; Usage'!$S67*'Weekly Summary'!R$65)+('Equipment List &amp; Usage'!$T67*('Weekly Summary'!R$64+'Weekly Summary'!R$65))-SUM($I65:W65))),0)</f>
        <v>0</v>
      </c>
      <c r="Y65" s="1381">
        <f ca="1">MAX(IF($F65="No",('Equipment List &amp; Usage'!$O67*'Weekly Summary'!S$52)+('Equipment List &amp; Usage'!$P67*'Weekly Summary'!S$53)+('Equipment List &amp; Usage'!$Q67*('Weekly Summary'!S$52+'Weekly Summary'!S$53))+('Equipment List &amp; Usage'!$R67*'Weekly Summary'!S$64)+('Equipment List &amp; Usage'!$S67*'Weekly Summary'!S$65)+('Equipment List &amp; Usage'!$T67*('Weekly Summary'!S$64+'Weekly Summary'!S$65)),
IF(Y$10=0,('Equipment List &amp; Usage'!$O67*'Weekly Summary'!S$52)+('Equipment List &amp; Usage'!$P67*'Weekly Summary'!S$53)+('Equipment List &amp; Usage'!$Q67*('Weekly Summary'!S$52+'Weekly Summary'!S$53))+('Equipment List &amp; Usage'!$R67*'Weekly Summary'!S$64)+('Equipment List &amp; Usage'!$S67*'Weekly Summary'!S$65)+('Equipment List &amp; Usage'!$T67*('Weekly Summary'!S$64+'Weekly Summary'!S$65)),
('Equipment List &amp; Usage'!$O67*'Weekly Summary'!S$52)+('Equipment List &amp; Usage'!$P67*'Weekly Summary'!S$53)+('Equipment List &amp; Usage'!$Q67*('Weekly Summary'!S$52+'Weekly Summary'!S$53))+('Equipment List &amp; Usage'!$R67*'Weekly Summary'!S$64)+('Equipment List &amp; Usage'!$S67*'Weekly Summary'!S$65)+('Equipment List &amp; Usage'!$T67*('Weekly Summary'!S$64+'Weekly Summary'!S$65))-SUM($I65:X65))),0)</f>
        <v>0</v>
      </c>
      <c r="Z65" s="1381">
        <f ca="1">MAX(IF($F65="No",('Equipment List &amp; Usage'!$O67*'Weekly Summary'!T$52)+('Equipment List &amp; Usage'!$P67*'Weekly Summary'!T$53)+('Equipment List &amp; Usage'!$Q67*('Weekly Summary'!T$52+'Weekly Summary'!T$53))+('Equipment List &amp; Usage'!$R67*'Weekly Summary'!T$64)+('Equipment List &amp; Usage'!$S67*'Weekly Summary'!T$65)+('Equipment List &amp; Usage'!$T67*('Weekly Summary'!T$64+'Weekly Summary'!T$65)),
IF(Z$10=0,('Equipment List &amp; Usage'!$O67*'Weekly Summary'!T$52)+('Equipment List &amp; Usage'!$P67*'Weekly Summary'!T$53)+('Equipment List &amp; Usage'!$Q67*('Weekly Summary'!T$52+'Weekly Summary'!T$53))+('Equipment List &amp; Usage'!$R67*'Weekly Summary'!T$64)+('Equipment List &amp; Usage'!$S67*'Weekly Summary'!T$65)+('Equipment List &amp; Usage'!$T67*('Weekly Summary'!T$64+'Weekly Summary'!T$65)),
('Equipment List &amp; Usage'!$O67*'Weekly Summary'!T$52)+('Equipment List &amp; Usage'!$P67*'Weekly Summary'!T$53)+('Equipment List &amp; Usage'!$Q67*('Weekly Summary'!T$52+'Weekly Summary'!T$53))+('Equipment List &amp; Usage'!$R67*'Weekly Summary'!T$64)+('Equipment List &amp; Usage'!$S67*'Weekly Summary'!T$65)+('Equipment List &amp; Usage'!$T67*('Weekly Summary'!T$64+'Weekly Summary'!T$65))-SUM($I65:Y65))),0)</f>
        <v>0</v>
      </c>
      <c r="AA65" s="1381">
        <f ca="1">MAX(IF($F65="No",('Equipment List &amp; Usage'!$O67*'Weekly Summary'!U$52)+('Equipment List &amp; Usage'!$P67*'Weekly Summary'!U$53)+('Equipment List &amp; Usage'!$Q67*('Weekly Summary'!U$52+'Weekly Summary'!U$53))+('Equipment List &amp; Usage'!$R67*'Weekly Summary'!U$64)+('Equipment List &amp; Usage'!$S67*'Weekly Summary'!U$65)+('Equipment List &amp; Usage'!$T67*('Weekly Summary'!U$64+'Weekly Summary'!U$65)),
IF(AA$10=0,('Equipment List &amp; Usage'!$O67*'Weekly Summary'!U$52)+('Equipment List &amp; Usage'!$P67*'Weekly Summary'!U$53)+('Equipment List &amp; Usage'!$Q67*('Weekly Summary'!U$52+'Weekly Summary'!U$53))+('Equipment List &amp; Usage'!$R67*'Weekly Summary'!U$64)+('Equipment List &amp; Usage'!$S67*'Weekly Summary'!U$65)+('Equipment List &amp; Usage'!$T67*('Weekly Summary'!U$64+'Weekly Summary'!U$65)),
('Equipment List &amp; Usage'!$O67*'Weekly Summary'!U$52)+('Equipment List &amp; Usage'!$P67*'Weekly Summary'!U$53)+('Equipment List &amp; Usage'!$Q67*('Weekly Summary'!U$52+'Weekly Summary'!U$53))+('Equipment List &amp; Usage'!$R67*'Weekly Summary'!U$64)+('Equipment List &amp; Usage'!$S67*'Weekly Summary'!U$65)+('Equipment List &amp; Usage'!$T67*('Weekly Summary'!U$64+'Weekly Summary'!U$65))-SUM($I65:Z65))),0)</f>
        <v>0</v>
      </c>
      <c r="AB65" s="1381">
        <f ca="1">MAX(IF($F65="No",('Equipment List &amp; Usage'!$O67*'Weekly Summary'!V$52)+('Equipment List &amp; Usage'!$P67*'Weekly Summary'!V$53)+('Equipment List &amp; Usage'!$Q67*('Weekly Summary'!V$52+'Weekly Summary'!V$53))+('Equipment List &amp; Usage'!$R67*'Weekly Summary'!V$64)+('Equipment List &amp; Usage'!$S67*'Weekly Summary'!V$65)+('Equipment List &amp; Usage'!$T67*('Weekly Summary'!V$64+'Weekly Summary'!V$65)),
IF(AB$10=0,('Equipment List &amp; Usage'!$O67*'Weekly Summary'!V$52)+('Equipment List &amp; Usage'!$P67*'Weekly Summary'!V$53)+('Equipment List &amp; Usage'!$Q67*('Weekly Summary'!V$52+'Weekly Summary'!V$53))+('Equipment List &amp; Usage'!$R67*'Weekly Summary'!V$64)+('Equipment List &amp; Usage'!$S67*'Weekly Summary'!V$65)+('Equipment List &amp; Usage'!$T67*('Weekly Summary'!V$64+'Weekly Summary'!V$65)),
('Equipment List &amp; Usage'!$O67*'Weekly Summary'!V$52)+('Equipment List &amp; Usage'!$P67*'Weekly Summary'!V$53)+('Equipment List &amp; Usage'!$Q67*('Weekly Summary'!V$52+'Weekly Summary'!V$53))+('Equipment List &amp; Usage'!$R67*'Weekly Summary'!V$64)+('Equipment List &amp; Usage'!$S67*'Weekly Summary'!V$65)+('Equipment List &amp; Usage'!$T67*('Weekly Summary'!V$64+'Weekly Summary'!V$65))-SUM($I65:AA65))),0)</f>
        <v>0</v>
      </c>
      <c r="AC65" s="1381">
        <f ca="1">MAX(IF($F65="No",('Equipment List &amp; Usage'!$O67*'Weekly Summary'!W$52)+('Equipment List &amp; Usage'!$P67*'Weekly Summary'!W$53)+('Equipment List &amp; Usage'!$Q67*('Weekly Summary'!W$52+'Weekly Summary'!W$53))+('Equipment List &amp; Usage'!$R67*'Weekly Summary'!W$64)+('Equipment List &amp; Usage'!$S67*'Weekly Summary'!W$65)+('Equipment List &amp; Usage'!$T67*('Weekly Summary'!W$64+'Weekly Summary'!W$65)),
IF(AC$10=0,('Equipment List &amp; Usage'!$O67*'Weekly Summary'!W$52)+('Equipment List &amp; Usage'!$P67*'Weekly Summary'!W$53)+('Equipment List &amp; Usage'!$Q67*('Weekly Summary'!W$52+'Weekly Summary'!W$53))+('Equipment List &amp; Usage'!$R67*'Weekly Summary'!W$64)+('Equipment List &amp; Usage'!$S67*'Weekly Summary'!W$65)+('Equipment List &amp; Usage'!$T67*('Weekly Summary'!W$64+'Weekly Summary'!W$65)),
('Equipment List &amp; Usage'!$O67*'Weekly Summary'!W$52)+('Equipment List &amp; Usage'!$P67*'Weekly Summary'!W$53)+('Equipment List &amp; Usage'!$Q67*('Weekly Summary'!W$52+'Weekly Summary'!W$53))+('Equipment List &amp; Usage'!$R67*'Weekly Summary'!W$64)+('Equipment List &amp; Usage'!$S67*'Weekly Summary'!W$65)+('Equipment List &amp; Usage'!$T67*('Weekly Summary'!W$64+'Weekly Summary'!W$65))-SUM($I65:AB65))),0)</f>
        <v>0</v>
      </c>
      <c r="AD65" s="1381">
        <f ca="1">MAX(IF($F65="No",('Equipment List &amp; Usage'!$O67*'Weekly Summary'!X$52)+('Equipment List &amp; Usage'!$P67*'Weekly Summary'!X$53)+('Equipment List &amp; Usage'!$Q67*('Weekly Summary'!X$52+'Weekly Summary'!X$53))+('Equipment List &amp; Usage'!$R67*'Weekly Summary'!X$64)+('Equipment List &amp; Usage'!$S67*'Weekly Summary'!X$65)+('Equipment List &amp; Usage'!$T67*('Weekly Summary'!X$64+'Weekly Summary'!X$65)),
IF(AD$10=0,('Equipment List &amp; Usage'!$O67*'Weekly Summary'!X$52)+('Equipment List &amp; Usage'!$P67*'Weekly Summary'!X$53)+('Equipment List &amp; Usage'!$Q67*('Weekly Summary'!X$52+'Weekly Summary'!X$53))+('Equipment List &amp; Usage'!$R67*'Weekly Summary'!X$64)+('Equipment List &amp; Usage'!$S67*'Weekly Summary'!X$65)+('Equipment List &amp; Usage'!$T67*('Weekly Summary'!X$64+'Weekly Summary'!X$65)),
('Equipment List &amp; Usage'!$O67*'Weekly Summary'!X$52)+('Equipment List &amp; Usage'!$P67*'Weekly Summary'!X$53)+('Equipment List &amp; Usage'!$Q67*('Weekly Summary'!X$52+'Weekly Summary'!X$53))+('Equipment List &amp; Usage'!$R67*'Weekly Summary'!X$64)+('Equipment List &amp; Usage'!$S67*'Weekly Summary'!X$65)+('Equipment List &amp; Usage'!$T67*('Weekly Summary'!X$64+'Weekly Summary'!X$65))-SUM($I65:AC65))),0)</f>
        <v>0</v>
      </c>
      <c r="AE65" s="1381">
        <f ca="1">MAX(IF($F65="No",('Equipment List &amp; Usage'!$O67*'Weekly Summary'!Y$52)+('Equipment List &amp; Usage'!$P67*'Weekly Summary'!Y$53)+('Equipment List &amp; Usage'!$Q67*('Weekly Summary'!Y$52+'Weekly Summary'!Y$53))+('Equipment List &amp; Usage'!$R67*'Weekly Summary'!Y$64)+('Equipment List &amp; Usage'!$S67*'Weekly Summary'!Y$65)+('Equipment List &amp; Usage'!$T67*('Weekly Summary'!Y$64+'Weekly Summary'!Y$65)),
IF(AE$10=0,('Equipment List &amp; Usage'!$O67*'Weekly Summary'!Y$52)+('Equipment List &amp; Usage'!$P67*'Weekly Summary'!Y$53)+('Equipment List &amp; Usage'!$Q67*('Weekly Summary'!Y$52+'Weekly Summary'!Y$53))+('Equipment List &amp; Usage'!$R67*'Weekly Summary'!Y$64)+('Equipment List &amp; Usage'!$S67*'Weekly Summary'!Y$65)+('Equipment List &amp; Usage'!$T67*('Weekly Summary'!Y$64+'Weekly Summary'!Y$65)),
('Equipment List &amp; Usage'!$O67*'Weekly Summary'!Y$52)+('Equipment List &amp; Usage'!$P67*'Weekly Summary'!Y$53)+('Equipment List &amp; Usage'!$Q67*('Weekly Summary'!Y$52+'Weekly Summary'!Y$53))+('Equipment List &amp; Usage'!$R67*'Weekly Summary'!Y$64)+('Equipment List &amp; Usage'!$S67*'Weekly Summary'!Y$65)+('Equipment List &amp; Usage'!$T67*('Weekly Summary'!Y$64+'Weekly Summary'!Y$65))-SUM($I65:AD65))),0)</f>
        <v>0</v>
      </c>
      <c r="AF65" s="1381">
        <f ca="1">MAX(IF($F65="No",('Equipment List &amp; Usage'!$O67*'Weekly Summary'!Z$52)+('Equipment List &amp; Usage'!$P67*'Weekly Summary'!Z$53)+('Equipment List &amp; Usage'!$Q67*('Weekly Summary'!Z$52+'Weekly Summary'!Z$53))+('Equipment List &amp; Usage'!$R67*'Weekly Summary'!Z$64)+('Equipment List &amp; Usage'!$S67*'Weekly Summary'!Z$65)+('Equipment List &amp; Usage'!$T67*('Weekly Summary'!Z$64+'Weekly Summary'!Z$65)),
IF(AF$10=0,('Equipment List &amp; Usage'!$O67*'Weekly Summary'!Z$52)+('Equipment List &amp; Usage'!$P67*'Weekly Summary'!Z$53)+('Equipment List &amp; Usage'!$Q67*('Weekly Summary'!Z$52+'Weekly Summary'!Z$53))+('Equipment List &amp; Usage'!$R67*'Weekly Summary'!Z$64)+('Equipment List &amp; Usage'!$S67*'Weekly Summary'!Z$65)+('Equipment List &amp; Usage'!$T67*('Weekly Summary'!Z$64+'Weekly Summary'!Z$65)),
('Equipment List &amp; Usage'!$O67*'Weekly Summary'!Z$52)+('Equipment List &amp; Usage'!$P67*'Weekly Summary'!Z$53)+('Equipment List &amp; Usage'!$Q67*('Weekly Summary'!Z$52+'Weekly Summary'!Z$53))+('Equipment List &amp; Usage'!$R67*'Weekly Summary'!Z$64)+('Equipment List &amp; Usage'!$S67*'Weekly Summary'!Z$65)+('Equipment List &amp; Usage'!$T67*('Weekly Summary'!Z$64+'Weekly Summary'!Z$65))-SUM($I65:AE65))),0)</f>
        <v>0</v>
      </c>
      <c r="AG65" s="1381">
        <f ca="1">MAX(IF($F65="No",('Equipment List &amp; Usage'!$O67*'Weekly Summary'!AA$52)+('Equipment List &amp; Usage'!$P67*'Weekly Summary'!AA$53)+('Equipment List &amp; Usage'!$Q67*('Weekly Summary'!AA$52+'Weekly Summary'!AA$53))+('Equipment List &amp; Usage'!$R67*'Weekly Summary'!AA$64)+('Equipment List &amp; Usage'!$S67*'Weekly Summary'!AA$65)+('Equipment List &amp; Usage'!$T67*('Weekly Summary'!AA$64+'Weekly Summary'!AA$65)),
IF(AG$10=0,('Equipment List &amp; Usage'!$O67*'Weekly Summary'!AA$52)+('Equipment List &amp; Usage'!$P67*'Weekly Summary'!AA$53)+('Equipment List &amp; Usage'!$Q67*('Weekly Summary'!AA$52+'Weekly Summary'!AA$53))+('Equipment List &amp; Usage'!$R67*'Weekly Summary'!AA$64)+('Equipment List &amp; Usage'!$S67*'Weekly Summary'!AA$65)+('Equipment List &amp; Usage'!$T67*('Weekly Summary'!AA$64+'Weekly Summary'!AA$65)),
('Equipment List &amp; Usage'!$O67*'Weekly Summary'!AA$52)+('Equipment List &amp; Usage'!$P67*'Weekly Summary'!AA$53)+('Equipment List &amp; Usage'!$Q67*('Weekly Summary'!AA$52+'Weekly Summary'!AA$53))+('Equipment List &amp; Usage'!$R67*'Weekly Summary'!AA$64)+('Equipment List &amp; Usage'!$S67*'Weekly Summary'!AA$65)+('Equipment List &amp; Usage'!$T67*('Weekly Summary'!AA$64+'Weekly Summary'!AA$65))-SUM($I65:AF65))),0)</f>
        <v>0</v>
      </c>
      <c r="AH65" s="1381">
        <f ca="1">MAX(IF($F65="No",('Equipment List &amp; Usage'!$O67*'Weekly Summary'!AB$52)+('Equipment List &amp; Usage'!$P67*'Weekly Summary'!AB$53)+('Equipment List &amp; Usage'!$Q67*('Weekly Summary'!AB$52+'Weekly Summary'!AB$53))+('Equipment List &amp; Usage'!$R67*'Weekly Summary'!AB$64)+('Equipment List &amp; Usage'!$S67*'Weekly Summary'!AB$65)+('Equipment List &amp; Usage'!$T67*('Weekly Summary'!AB$64+'Weekly Summary'!AB$65)),
IF(AH$10=0,('Equipment List &amp; Usage'!$O67*'Weekly Summary'!AB$52)+('Equipment List &amp; Usage'!$P67*'Weekly Summary'!AB$53)+('Equipment List &amp; Usage'!$Q67*('Weekly Summary'!AB$52+'Weekly Summary'!AB$53))+('Equipment List &amp; Usage'!$R67*'Weekly Summary'!AB$64)+('Equipment List &amp; Usage'!$S67*'Weekly Summary'!AB$65)+('Equipment List &amp; Usage'!$T67*('Weekly Summary'!AB$64+'Weekly Summary'!AB$65)),
('Equipment List &amp; Usage'!$O67*'Weekly Summary'!AB$52)+('Equipment List &amp; Usage'!$P67*'Weekly Summary'!AB$53)+('Equipment List &amp; Usage'!$Q67*('Weekly Summary'!AB$52+'Weekly Summary'!AB$53))+('Equipment List &amp; Usage'!$R67*'Weekly Summary'!AB$64)+('Equipment List &amp; Usage'!$S67*'Weekly Summary'!AB$65)+('Equipment List &amp; Usage'!$T67*('Weekly Summary'!AB$64+'Weekly Summary'!AB$65))-SUM($I65:AG65))),0)</f>
        <v>0</v>
      </c>
      <c r="AI65" s="1381">
        <f ca="1">MAX(IF($F65="No",('Equipment List &amp; Usage'!$O67*'Weekly Summary'!AC$52)+('Equipment List &amp; Usage'!$P67*'Weekly Summary'!AC$53)+('Equipment List &amp; Usage'!$Q67*('Weekly Summary'!AC$52+'Weekly Summary'!AC$53))+('Equipment List &amp; Usage'!$R67*'Weekly Summary'!AC$64)+('Equipment List &amp; Usage'!$S67*'Weekly Summary'!AC$65)+('Equipment List &amp; Usage'!$T67*('Weekly Summary'!AC$64+'Weekly Summary'!AC$65)),
IF(AI$10=0,('Equipment List &amp; Usage'!$O67*'Weekly Summary'!AC$52)+('Equipment List &amp; Usage'!$P67*'Weekly Summary'!AC$53)+('Equipment List &amp; Usage'!$Q67*('Weekly Summary'!AC$52+'Weekly Summary'!AC$53))+('Equipment List &amp; Usage'!$R67*'Weekly Summary'!AC$64)+('Equipment List &amp; Usage'!$S67*'Weekly Summary'!AC$65)+('Equipment List &amp; Usage'!$T67*('Weekly Summary'!AC$64+'Weekly Summary'!AC$65)),
('Equipment List &amp; Usage'!$O67*'Weekly Summary'!AC$52)+('Equipment List &amp; Usage'!$P67*'Weekly Summary'!AC$53)+('Equipment List &amp; Usage'!$Q67*('Weekly Summary'!AC$52+'Weekly Summary'!AC$53))+('Equipment List &amp; Usage'!$R67*'Weekly Summary'!AC$64)+('Equipment List &amp; Usage'!$S67*'Weekly Summary'!AC$65)+('Equipment List &amp; Usage'!$T67*('Weekly Summary'!AC$64+'Weekly Summary'!AC$65))-SUM($I65:AH65))),0)</f>
        <v>0</v>
      </c>
      <c r="AJ65" s="1381">
        <f ca="1">MAX(IF($F65="No",('Equipment List &amp; Usage'!$O67*'Weekly Summary'!AD$52)+('Equipment List &amp; Usage'!$P67*'Weekly Summary'!AD$53)+('Equipment List &amp; Usage'!$Q67*('Weekly Summary'!AD$52+'Weekly Summary'!AD$53))+('Equipment List &amp; Usage'!$R67*'Weekly Summary'!AD$64)+('Equipment List &amp; Usage'!$S67*'Weekly Summary'!AD$65)+('Equipment List &amp; Usage'!$T67*('Weekly Summary'!AD$64+'Weekly Summary'!AD$65)),
IF(AJ$10=0,('Equipment List &amp; Usage'!$O67*'Weekly Summary'!AD$52)+('Equipment List &amp; Usage'!$P67*'Weekly Summary'!AD$53)+('Equipment List &amp; Usage'!$Q67*('Weekly Summary'!AD$52+'Weekly Summary'!AD$53))+('Equipment List &amp; Usage'!$R67*'Weekly Summary'!AD$64)+('Equipment List &amp; Usage'!$S67*'Weekly Summary'!AD$65)+('Equipment List &amp; Usage'!$T67*('Weekly Summary'!AD$64+'Weekly Summary'!AD$65)),
('Equipment List &amp; Usage'!$O67*'Weekly Summary'!AD$52)+('Equipment List &amp; Usage'!$P67*'Weekly Summary'!AD$53)+('Equipment List &amp; Usage'!$Q67*('Weekly Summary'!AD$52+'Weekly Summary'!AD$53))+('Equipment List &amp; Usage'!$R67*'Weekly Summary'!AD$64)+('Equipment List &amp; Usage'!$S67*'Weekly Summary'!AD$65)+('Equipment List &amp; Usage'!$T67*('Weekly Summary'!AD$64+'Weekly Summary'!AD$65))-SUM($I65:AI65))),0)</f>
        <v>0</v>
      </c>
      <c r="AK65" s="1381">
        <f ca="1">MAX(IF($F65="No",('Equipment List &amp; Usage'!$O67*'Weekly Summary'!AE$52)+('Equipment List &amp; Usage'!$P67*'Weekly Summary'!AE$53)+('Equipment List &amp; Usage'!$Q67*('Weekly Summary'!AE$52+'Weekly Summary'!AE$53))+('Equipment List &amp; Usage'!$R67*'Weekly Summary'!AE$64)+('Equipment List &amp; Usage'!$S67*'Weekly Summary'!AE$65)+('Equipment List &amp; Usage'!$T67*('Weekly Summary'!AE$64+'Weekly Summary'!AE$65)),
IF(AK$10=0,('Equipment List &amp; Usage'!$O67*'Weekly Summary'!AE$52)+('Equipment List &amp; Usage'!$P67*'Weekly Summary'!AE$53)+('Equipment List &amp; Usage'!$Q67*('Weekly Summary'!AE$52+'Weekly Summary'!AE$53))+('Equipment List &amp; Usage'!$R67*'Weekly Summary'!AE$64)+('Equipment List &amp; Usage'!$S67*'Weekly Summary'!AE$65)+('Equipment List &amp; Usage'!$T67*('Weekly Summary'!AE$64+'Weekly Summary'!AE$65)),
('Equipment List &amp; Usage'!$O67*'Weekly Summary'!AE$52)+('Equipment List &amp; Usage'!$P67*'Weekly Summary'!AE$53)+('Equipment List &amp; Usage'!$Q67*('Weekly Summary'!AE$52+'Weekly Summary'!AE$53))+('Equipment List &amp; Usage'!$R67*'Weekly Summary'!AE$64)+('Equipment List &amp; Usage'!$S67*'Weekly Summary'!AE$65)+('Equipment List &amp; Usage'!$T67*('Weekly Summary'!AE$64+'Weekly Summary'!AE$65))-SUM($I65:AJ65))),0)</f>
        <v>0</v>
      </c>
      <c r="AL65" s="1381">
        <f ca="1">MAX(IF($F65="No",('Equipment List &amp; Usage'!$O67*'Weekly Summary'!AF$52)+('Equipment List &amp; Usage'!$P67*'Weekly Summary'!AF$53)+('Equipment List &amp; Usage'!$Q67*('Weekly Summary'!AF$52+'Weekly Summary'!AF$53))+('Equipment List &amp; Usage'!$R67*'Weekly Summary'!AF$64)+('Equipment List &amp; Usage'!$S67*'Weekly Summary'!AF$65)+('Equipment List &amp; Usage'!$T67*('Weekly Summary'!AF$64+'Weekly Summary'!AF$65)),
IF(AL$10=0,('Equipment List &amp; Usage'!$O67*'Weekly Summary'!AF$52)+('Equipment List &amp; Usage'!$P67*'Weekly Summary'!AF$53)+('Equipment List &amp; Usage'!$Q67*('Weekly Summary'!AF$52+'Weekly Summary'!AF$53))+('Equipment List &amp; Usage'!$R67*'Weekly Summary'!AF$64)+('Equipment List &amp; Usage'!$S67*'Weekly Summary'!AF$65)+('Equipment List &amp; Usage'!$T67*('Weekly Summary'!AF$64+'Weekly Summary'!AF$65)),
('Equipment List &amp; Usage'!$O67*'Weekly Summary'!AF$52)+('Equipment List &amp; Usage'!$P67*'Weekly Summary'!AF$53)+('Equipment List &amp; Usage'!$Q67*('Weekly Summary'!AF$52+'Weekly Summary'!AF$53))+('Equipment List &amp; Usage'!$R67*'Weekly Summary'!AF$64)+('Equipment List &amp; Usage'!$S67*'Weekly Summary'!AF$65)+('Equipment List &amp; Usage'!$T67*('Weekly Summary'!AF$64+'Weekly Summary'!AF$65))-SUM($I65:AK65))),0)</f>
        <v>0</v>
      </c>
      <c r="AM65" s="1381">
        <f ca="1">MAX(IF($F65="No",('Equipment List &amp; Usage'!$O67*'Weekly Summary'!AG$52)+('Equipment List &amp; Usage'!$P67*'Weekly Summary'!AG$53)+('Equipment List &amp; Usage'!$Q67*('Weekly Summary'!AG$52+'Weekly Summary'!AG$53))+('Equipment List &amp; Usage'!$R67*'Weekly Summary'!AG$64)+('Equipment List &amp; Usage'!$S67*'Weekly Summary'!AG$65)+('Equipment List &amp; Usage'!$T67*('Weekly Summary'!AG$64+'Weekly Summary'!AG$65)),
IF(AM$10=0,('Equipment List &amp; Usage'!$O67*'Weekly Summary'!AG$52)+('Equipment List &amp; Usage'!$P67*'Weekly Summary'!AG$53)+('Equipment List &amp; Usage'!$Q67*('Weekly Summary'!AG$52+'Weekly Summary'!AG$53))+('Equipment List &amp; Usage'!$R67*'Weekly Summary'!AG$64)+('Equipment List &amp; Usage'!$S67*'Weekly Summary'!AG$65)+('Equipment List &amp; Usage'!$T67*('Weekly Summary'!AG$64+'Weekly Summary'!AG$65)),
('Equipment List &amp; Usage'!$O67*'Weekly Summary'!AG$52)+('Equipment List &amp; Usage'!$P67*'Weekly Summary'!AG$53)+('Equipment List &amp; Usage'!$Q67*('Weekly Summary'!AG$52+'Weekly Summary'!AG$53))+('Equipment List &amp; Usage'!$R67*'Weekly Summary'!AG$64)+('Equipment List &amp; Usage'!$S67*'Weekly Summary'!AG$65)+('Equipment List &amp; Usage'!$T67*('Weekly Summary'!AG$64+'Weekly Summary'!AG$65))-SUM($I65:AL65))),0)</f>
        <v>0</v>
      </c>
      <c r="AN65" s="1381">
        <f ca="1">MAX(IF($F65="No",('Equipment List &amp; Usage'!$O67*'Weekly Summary'!AH$52)+('Equipment List &amp; Usage'!$P67*'Weekly Summary'!AH$53)+('Equipment List &amp; Usage'!$Q67*('Weekly Summary'!AH$52+'Weekly Summary'!AH$53))+('Equipment List &amp; Usage'!$R67*'Weekly Summary'!AH$64)+('Equipment List &amp; Usage'!$S67*'Weekly Summary'!AH$65)+('Equipment List &amp; Usage'!$T67*('Weekly Summary'!AH$64+'Weekly Summary'!AH$65)),
IF(AN$10=0,('Equipment List &amp; Usage'!$O67*'Weekly Summary'!AH$52)+('Equipment List &amp; Usage'!$P67*'Weekly Summary'!AH$53)+('Equipment List &amp; Usage'!$Q67*('Weekly Summary'!AH$52+'Weekly Summary'!AH$53))+('Equipment List &amp; Usage'!$R67*'Weekly Summary'!AH$64)+('Equipment List &amp; Usage'!$S67*'Weekly Summary'!AH$65)+('Equipment List &amp; Usage'!$T67*('Weekly Summary'!AH$64+'Weekly Summary'!AH$65)),
('Equipment List &amp; Usage'!$O67*'Weekly Summary'!AH$52)+('Equipment List &amp; Usage'!$P67*'Weekly Summary'!AH$53)+('Equipment List &amp; Usage'!$Q67*('Weekly Summary'!AH$52+'Weekly Summary'!AH$53))+('Equipment List &amp; Usage'!$R67*'Weekly Summary'!AH$64)+('Equipment List &amp; Usage'!$S67*'Weekly Summary'!AH$65)+('Equipment List &amp; Usage'!$T67*('Weekly Summary'!AH$64+'Weekly Summary'!AH$65))-SUM($I65:AM65))),0)</f>
        <v>0</v>
      </c>
      <c r="AO65" s="1381">
        <f ca="1">MAX(IF($F65="No",('Equipment List &amp; Usage'!$O67*'Weekly Summary'!AI$52)+('Equipment List &amp; Usage'!$P67*'Weekly Summary'!AI$53)+('Equipment List &amp; Usage'!$Q67*('Weekly Summary'!AI$52+'Weekly Summary'!AI$53))+('Equipment List &amp; Usage'!$R67*'Weekly Summary'!AI$64)+('Equipment List &amp; Usage'!$S67*'Weekly Summary'!AI$65)+('Equipment List &amp; Usage'!$T67*('Weekly Summary'!AI$64+'Weekly Summary'!AI$65)),
IF(AO$10=0,('Equipment List &amp; Usage'!$O67*'Weekly Summary'!AI$52)+('Equipment List &amp; Usage'!$P67*'Weekly Summary'!AI$53)+('Equipment List &amp; Usage'!$Q67*('Weekly Summary'!AI$52+'Weekly Summary'!AI$53))+('Equipment List &amp; Usage'!$R67*'Weekly Summary'!AI$64)+('Equipment List &amp; Usage'!$S67*'Weekly Summary'!AI$65)+('Equipment List &amp; Usage'!$T67*('Weekly Summary'!AI$64+'Weekly Summary'!AI$65)),
('Equipment List &amp; Usage'!$O67*'Weekly Summary'!AI$52)+('Equipment List &amp; Usage'!$P67*'Weekly Summary'!AI$53)+('Equipment List &amp; Usage'!$Q67*('Weekly Summary'!AI$52+'Weekly Summary'!AI$53))+('Equipment List &amp; Usage'!$R67*'Weekly Summary'!AI$64)+('Equipment List &amp; Usage'!$S67*'Weekly Summary'!AI$65)+('Equipment List &amp; Usage'!$T67*('Weekly Summary'!AI$64+'Weekly Summary'!AI$65))-SUM($I65:AN65))),0)</f>
        <v>0</v>
      </c>
      <c r="AP65" s="1381">
        <f ca="1">MAX(IF($F65="No",('Equipment List &amp; Usage'!$O67*'Weekly Summary'!AJ$52)+('Equipment List &amp; Usage'!$P67*'Weekly Summary'!AJ$53)+('Equipment List &amp; Usage'!$Q67*('Weekly Summary'!AJ$52+'Weekly Summary'!AJ$53))+('Equipment List &amp; Usage'!$R67*'Weekly Summary'!AJ$64)+('Equipment List &amp; Usage'!$S67*'Weekly Summary'!AJ$65)+('Equipment List &amp; Usage'!$T67*('Weekly Summary'!AJ$64+'Weekly Summary'!AJ$65)),
IF(AP$10=0,('Equipment List &amp; Usage'!$O67*'Weekly Summary'!AJ$52)+('Equipment List &amp; Usage'!$P67*'Weekly Summary'!AJ$53)+('Equipment List &amp; Usage'!$Q67*('Weekly Summary'!AJ$52+'Weekly Summary'!AJ$53))+('Equipment List &amp; Usage'!$R67*'Weekly Summary'!AJ$64)+('Equipment List &amp; Usage'!$S67*'Weekly Summary'!AJ$65)+('Equipment List &amp; Usage'!$T67*('Weekly Summary'!AJ$64+'Weekly Summary'!AJ$65)),
('Equipment List &amp; Usage'!$O67*'Weekly Summary'!AJ$52)+('Equipment List &amp; Usage'!$P67*'Weekly Summary'!AJ$53)+('Equipment List &amp; Usage'!$Q67*('Weekly Summary'!AJ$52+'Weekly Summary'!AJ$53))+('Equipment List &amp; Usage'!$R67*'Weekly Summary'!AJ$64)+('Equipment List &amp; Usage'!$S67*'Weekly Summary'!AJ$65)+('Equipment List &amp; Usage'!$T67*('Weekly Summary'!AJ$64+'Weekly Summary'!AJ$65))-SUM($I65:AO65))),0)</f>
        <v>0</v>
      </c>
      <c r="AQ65" s="1381">
        <f ca="1">MAX(IF($F65="No",('Equipment List &amp; Usage'!$O67*'Weekly Summary'!AK$52)+('Equipment List &amp; Usage'!$P67*'Weekly Summary'!AK$53)+('Equipment List &amp; Usage'!$Q67*('Weekly Summary'!AK$52+'Weekly Summary'!AK$53))+('Equipment List &amp; Usage'!$R67*'Weekly Summary'!AK$64)+('Equipment List &amp; Usage'!$S67*'Weekly Summary'!AK$65)+('Equipment List &amp; Usage'!$T67*('Weekly Summary'!AK$64+'Weekly Summary'!AK$65)),
IF(AQ$10=0,('Equipment List &amp; Usage'!$O67*'Weekly Summary'!AK$52)+('Equipment List &amp; Usage'!$P67*'Weekly Summary'!AK$53)+('Equipment List &amp; Usage'!$Q67*('Weekly Summary'!AK$52+'Weekly Summary'!AK$53))+('Equipment List &amp; Usage'!$R67*'Weekly Summary'!AK$64)+('Equipment List &amp; Usage'!$S67*'Weekly Summary'!AK$65)+('Equipment List &amp; Usage'!$T67*('Weekly Summary'!AK$64+'Weekly Summary'!AK$65)),
('Equipment List &amp; Usage'!$O67*'Weekly Summary'!AK$52)+('Equipment List &amp; Usage'!$P67*'Weekly Summary'!AK$53)+('Equipment List &amp; Usage'!$Q67*('Weekly Summary'!AK$52+'Weekly Summary'!AK$53))+('Equipment List &amp; Usage'!$R67*'Weekly Summary'!AK$64)+('Equipment List &amp; Usage'!$S67*'Weekly Summary'!AK$65)+('Equipment List &amp; Usage'!$T67*('Weekly Summary'!AK$64+'Weekly Summary'!AK$65))-SUM($I65:AP65))),0)</f>
        <v>0</v>
      </c>
      <c r="AR65" s="1381">
        <f ca="1">MAX(IF($F65="No",('Equipment List &amp; Usage'!$O67*'Weekly Summary'!AL$52)+('Equipment List &amp; Usage'!$P67*'Weekly Summary'!AL$53)+('Equipment List &amp; Usage'!$Q67*('Weekly Summary'!AL$52+'Weekly Summary'!AL$53))+('Equipment List &amp; Usage'!$R67*'Weekly Summary'!AL$64)+('Equipment List &amp; Usage'!$S67*'Weekly Summary'!AL$65)+('Equipment List &amp; Usage'!$T67*('Weekly Summary'!AL$64+'Weekly Summary'!AL$65)),
IF(AR$10=0,('Equipment List &amp; Usage'!$O67*'Weekly Summary'!AL$52)+('Equipment List &amp; Usage'!$P67*'Weekly Summary'!AL$53)+('Equipment List &amp; Usage'!$Q67*('Weekly Summary'!AL$52+'Weekly Summary'!AL$53))+('Equipment List &amp; Usage'!$R67*'Weekly Summary'!AL$64)+('Equipment List &amp; Usage'!$S67*'Weekly Summary'!AL$65)+('Equipment List &amp; Usage'!$T67*('Weekly Summary'!AL$64+'Weekly Summary'!AL$65)),
('Equipment List &amp; Usage'!$O67*'Weekly Summary'!AL$52)+('Equipment List &amp; Usage'!$P67*'Weekly Summary'!AL$53)+('Equipment List &amp; Usage'!$Q67*('Weekly Summary'!AL$52+'Weekly Summary'!AL$53))+('Equipment List &amp; Usage'!$R67*'Weekly Summary'!AL$64)+('Equipment List &amp; Usage'!$S67*'Weekly Summary'!AL$65)+('Equipment List &amp; Usage'!$T67*('Weekly Summary'!AL$64+'Weekly Summary'!AL$65))-SUM($I65:AQ65))),0)</f>
        <v>0</v>
      </c>
      <c r="AS65" s="1381">
        <f ca="1">MAX(IF($F65="No",('Equipment List &amp; Usage'!$O67*'Weekly Summary'!AM$52)+('Equipment List &amp; Usage'!$P67*'Weekly Summary'!AM$53)+('Equipment List &amp; Usage'!$Q67*('Weekly Summary'!AM$52+'Weekly Summary'!AM$53))+('Equipment List &amp; Usage'!$R67*'Weekly Summary'!AM$64)+('Equipment List &amp; Usage'!$S67*'Weekly Summary'!AM$65)+('Equipment List &amp; Usage'!$T67*('Weekly Summary'!AM$64+'Weekly Summary'!AM$65)),
IF(AS$10=0,('Equipment List &amp; Usage'!$O67*'Weekly Summary'!AM$52)+('Equipment List &amp; Usage'!$P67*'Weekly Summary'!AM$53)+('Equipment List &amp; Usage'!$Q67*('Weekly Summary'!AM$52+'Weekly Summary'!AM$53))+('Equipment List &amp; Usage'!$R67*'Weekly Summary'!AM$64)+('Equipment List &amp; Usage'!$S67*'Weekly Summary'!AM$65)+('Equipment List &amp; Usage'!$T67*('Weekly Summary'!AM$64+'Weekly Summary'!AM$65)),
('Equipment List &amp; Usage'!$O67*'Weekly Summary'!AM$52)+('Equipment List &amp; Usage'!$P67*'Weekly Summary'!AM$53)+('Equipment List &amp; Usage'!$Q67*('Weekly Summary'!AM$52+'Weekly Summary'!AM$53))+('Equipment List &amp; Usage'!$R67*'Weekly Summary'!AM$64)+('Equipment List &amp; Usage'!$S67*'Weekly Summary'!AM$65)+('Equipment List &amp; Usage'!$T67*('Weekly Summary'!AM$64+'Weekly Summary'!AM$65))-SUM($I65:AR65))),0)</f>
        <v>0</v>
      </c>
      <c r="AT65" s="1381">
        <f ca="1">MAX(IF($F65="No",('Equipment List &amp; Usage'!$O67*'Weekly Summary'!AN$52)+('Equipment List &amp; Usage'!$P67*'Weekly Summary'!AN$53)+('Equipment List &amp; Usage'!$Q67*('Weekly Summary'!AN$52+'Weekly Summary'!AN$53))+('Equipment List &amp; Usage'!$R67*'Weekly Summary'!AN$64)+('Equipment List &amp; Usage'!$S67*'Weekly Summary'!AN$65)+('Equipment List &amp; Usage'!$T67*('Weekly Summary'!AN$64+'Weekly Summary'!AN$65)),
IF(AT$10=0,('Equipment List &amp; Usage'!$O67*'Weekly Summary'!AN$52)+('Equipment List &amp; Usage'!$P67*'Weekly Summary'!AN$53)+('Equipment List &amp; Usage'!$Q67*('Weekly Summary'!AN$52+'Weekly Summary'!AN$53))+('Equipment List &amp; Usage'!$R67*'Weekly Summary'!AN$64)+('Equipment List &amp; Usage'!$S67*'Weekly Summary'!AN$65)+('Equipment List &amp; Usage'!$T67*('Weekly Summary'!AN$64+'Weekly Summary'!AN$65)),
('Equipment List &amp; Usage'!$O67*'Weekly Summary'!AN$52)+('Equipment List &amp; Usage'!$P67*'Weekly Summary'!AN$53)+('Equipment List &amp; Usage'!$Q67*('Weekly Summary'!AN$52+'Weekly Summary'!AN$53))+('Equipment List &amp; Usage'!$R67*'Weekly Summary'!AN$64)+('Equipment List &amp; Usage'!$S67*'Weekly Summary'!AN$65)+('Equipment List &amp; Usage'!$T67*('Weekly Summary'!AN$64+'Weekly Summary'!AN$65))-SUM($I65:AS65))),0)</f>
        <v>0</v>
      </c>
      <c r="AU65" s="1381">
        <f ca="1">MAX(IF($F65="No",('Equipment List &amp; Usage'!$O67*'Weekly Summary'!AO$52)+('Equipment List &amp; Usage'!$P67*'Weekly Summary'!AO$53)+('Equipment List &amp; Usage'!$Q67*('Weekly Summary'!AO$52+'Weekly Summary'!AO$53))+('Equipment List &amp; Usage'!$R67*'Weekly Summary'!AO$64)+('Equipment List &amp; Usage'!$S67*'Weekly Summary'!AO$65)+('Equipment List &amp; Usage'!$T67*('Weekly Summary'!AO$64+'Weekly Summary'!AO$65)),
IF(AU$10=0,('Equipment List &amp; Usage'!$O67*'Weekly Summary'!AO$52)+('Equipment List &amp; Usage'!$P67*'Weekly Summary'!AO$53)+('Equipment List &amp; Usage'!$Q67*('Weekly Summary'!AO$52+'Weekly Summary'!AO$53))+('Equipment List &amp; Usage'!$R67*'Weekly Summary'!AO$64)+('Equipment List &amp; Usage'!$S67*'Weekly Summary'!AO$65)+('Equipment List &amp; Usage'!$T67*('Weekly Summary'!AO$64+'Weekly Summary'!AO$65)),
('Equipment List &amp; Usage'!$O67*'Weekly Summary'!AO$52)+('Equipment List &amp; Usage'!$P67*'Weekly Summary'!AO$53)+('Equipment List &amp; Usage'!$Q67*('Weekly Summary'!AO$52+'Weekly Summary'!AO$53))+('Equipment List &amp; Usage'!$R67*'Weekly Summary'!AO$64)+('Equipment List &amp; Usage'!$S67*'Weekly Summary'!AO$65)+('Equipment List &amp; Usage'!$T67*('Weekly Summary'!AO$64+'Weekly Summary'!AO$65))-SUM($I65:AT65))),0)</f>
        <v>0</v>
      </c>
      <c r="AV65" s="1381">
        <f ca="1">MAX(IF($F65="No",('Equipment List &amp; Usage'!$O67*'Weekly Summary'!AP$52)+('Equipment List &amp; Usage'!$P67*'Weekly Summary'!AP$53)+('Equipment List &amp; Usage'!$Q67*('Weekly Summary'!AP$52+'Weekly Summary'!AP$53))+('Equipment List &amp; Usage'!$R67*'Weekly Summary'!AP$64)+('Equipment List &amp; Usage'!$S67*'Weekly Summary'!AP$65)+('Equipment List &amp; Usage'!$T67*('Weekly Summary'!AP$64+'Weekly Summary'!AP$65)),
IF(AV$10=0,('Equipment List &amp; Usage'!$O67*'Weekly Summary'!AP$52)+('Equipment List &amp; Usage'!$P67*'Weekly Summary'!AP$53)+('Equipment List &amp; Usage'!$Q67*('Weekly Summary'!AP$52+'Weekly Summary'!AP$53))+('Equipment List &amp; Usage'!$R67*'Weekly Summary'!AP$64)+('Equipment List &amp; Usage'!$S67*'Weekly Summary'!AP$65)+('Equipment List &amp; Usage'!$T67*('Weekly Summary'!AP$64+'Weekly Summary'!AP$65)),
('Equipment List &amp; Usage'!$O67*'Weekly Summary'!AP$52)+('Equipment List &amp; Usage'!$P67*'Weekly Summary'!AP$53)+('Equipment List &amp; Usage'!$Q67*('Weekly Summary'!AP$52+'Weekly Summary'!AP$53))+('Equipment List &amp; Usage'!$R67*'Weekly Summary'!AP$64)+('Equipment List &amp; Usage'!$S67*'Weekly Summary'!AP$65)+('Equipment List &amp; Usage'!$T67*('Weekly Summary'!AP$64+'Weekly Summary'!AP$65))-SUM($I65:AU65))),0)</f>
        <v>0</v>
      </c>
      <c r="AW65" s="1381">
        <f ca="1">MAX(IF($F65="No",('Equipment List &amp; Usage'!$O67*'Weekly Summary'!AQ$52)+('Equipment List &amp; Usage'!$P67*'Weekly Summary'!AQ$53)+('Equipment List &amp; Usage'!$Q67*('Weekly Summary'!AQ$52+'Weekly Summary'!AQ$53))+('Equipment List &amp; Usage'!$R67*'Weekly Summary'!AQ$64)+('Equipment List &amp; Usage'!$S67*'Weekly Summary'!AQ$65)+('Equipment List &amp; Usage'!$T67*('Weekly Summary'!AQ$64+'Weekly Summary'!AQ$65)),
IF(AW$10=0,('Equipment List &amp; Usage'!$O67*'Weekly Summary'!AQ$52)+('Equipment List &amp; Usage'!$P67*'Weekly Summary'!AQ$53)+('Equipment List &amp; Usage'!$Q67*('Weekly Summary'!AQ$52+'Weekly Summary'!AQ$53))+('Equipment List &amp; Usage'!$R67*'Weekly Summary'!AQ$64)+('Equipment List &amp; Usage'!$S67*'Weekly Summary'!AQ$65)+('Equipment List &amp; Usage'!$T67*('Weekly Summary'!AQ$64+'Weekly Summary'!AQ$65)),
('Equipment List &amp; Usage'!$O67*'Weekly Summary'!AQ$52)+('Equipment List &amp; Usage'!$P67*'Weekly Summary'!AQ$53)+('Equipment List &amp; Usage'!$Q67*('Weekly Summary'!AQ$52+'Weekly Summary'!AQ$53))+('Equipment List &amp; Usage'!$R67*'Weekly Summary'!AQ$64)+('Equipment List &amp; Usage'!$S67*'Weekly Summary'!AQ$65)+('Equipment List &amp; Usage'!$T67*('Weekly Summary'!AQ$64+'Weekly Summary'!AQ$65))-SUM($I65:AV65))),0)</f>
        <v>0</v>
      </c>
      <c r="AX65" s="1381">
        <f ca="1">MAX(IF($F65="No",('Equipment List &amp; Usage'!$O67*'Weekly Summary'!AR$52)+('Equipment List &amp; Usage'!$P67*'Weekly Summary'!AR$53)+('Equipment List &amp; Usage'!$Q67*('Weekly Summary'!AR$52+'Weekly Summary'!AR$53))+('Equipment List &amp; Usage'!$R67*'Weekly Summary'!AR$64)+('Equipment List &amp; Usage'!$S67*'Weekly Summary'!AR$65)+('Equipment List &amp; Usage'!$T67*('Weekly Summary'!AR$64+'Weekly Summary'!AR$65)),
IF(AX$10=0,('Equipment List &amp; Usage'!$O67*'Weekly Summary'!AR$52)+('Equipment List &amp; Usage'!$P67*'Weekly Summary'!AR$53)+('Equipment List &amp; Usage'!$Q67*('Weekly Summary'!AR$52+'Weekly Summary'!AR$53))+('Equipment List &amp; Usage'!$R67*'Weekly Summary'!AR$64)+('Equipment List &amp; Usage'!$S67*'Weekly Summary'!AR$65)+('Equipment List &amp; Usage'!$T67*('Weekly Summary'!AR$64+'Weekly Summary'!AR$65)),
('Equipment List &amp; Usage'!$O67*'Weekly Summary'!AR$52)+('Equipment List &amp; Usage'!$P67*'Weekly Summary'!AR$53)+('Equipment List &amp; Usage'!$Q67*('Weekly Summary'!AR$52+'Weekly Summary'!AR$53))+('Equipment List &amp; Usage'!$R67*'Weekly Summary'!AR$64)+('Equipment List &amp; Usage'!$S67*'Weekly Summary'!AR$65)+('Equipment List &amp; Usage'!$T67*('Weekly Summary'!AR$64+'Weekly Summary'!AR$65))-SUM($I65:AW65))),0)</f>
        <v>0</v>
      </c>
      <c r="AY65" s="1381">
        <f ca="1">MAX(IF($F65="No",('Equipment List &amp; Usage'!$O67*'Weekly Summary'!AS$52)+('Equipment List &amp; Usage'!$P67*'Weekly Summary'!AS$53)+('Equipment List &amp; Usage'!$Q67*('Weekly Summary'!AS$52+'Weekly Summary'!AS$53))+('Equipment List &amp; Usage'!$R67*'Weekly Summary'!AS$64)+('Equipment List &amp; Usage'!$S67*'Weekly Summary'!AS$65)+('Equipment List &amp; Usage'!$T67*('Weekly Summary'!AS$64+'Weekly Summary'!AS$65)),
IF(AY$10=0,('Equipment List &amp; Usage'!$O67*'Weekly Summary'!AS$52)+('Equipment List &amp; Usage'!$P67*'Weekly Summary'!AS$53)+('Equipment List &amp; Usage'!$Q67*('Weekly Summary'!AS$52+'Weekly Summary'!AS$53))+('Equipment List &amp; Usage'!$R67*'Weekly Summary'!AS$64)+('Equipment List &amp; Usage'!$S67*'Weekly Summary'!AS$65)+('Equipment List &amp; Usage'!$T67*('Weekly Summary'!AS$64+'Weekly Summary'!AS$65)),
('Equipment List &amp; Usage'!$O67*'Weekly Summary'!AS$52)+('Equipment List &amp; Usage'!$P67*'Weekly Summary'!AS$53)+('Equipment List &amp; Usage'!$Q67*('Weekly Summary'!AS$52+'Weekly Summary'!AS$53))+('Equipment List &amp; Usage'!$R67*'Weekly Summary'!AS$64)+('Equipment List &amp; Usage'!$S67*'Weekly Summary'!AS$65)+('Equipment List &amp; Usage'!$T67*('Weekly Summary'!AS$64+'Weekly Summary'!AS$65))-SUM($I65:AX65))),0)</f>
        <v>0</v>
      </c>
      <c r="AZ65" s="1381">
        <f ca="1">MAX(IF($F65="No",('Equipment List &amp; Usage'!$O67*'Weekly Summary'!AT$52)+('Equipment List &amp; Usage'!$P67*'Weekly Summary'!AT$53)+('Equipment List &amp; Usage'!$Q67*('Weekly Summary'!AT$52+'Weekly Summary'!AT$53))+('Equipment List &amp; Usage'!$R67*'Weekly Summary'!AT$64)+('Equipment List &amp; Usage'!$S67*'Weekly Summary'!AT$65)+('Equipment List &amp; Usage'!$T67*('Weekly Summary'!AT$64+'Weekly Summary'!AT$65)),
IF(AZ$10=0,('Equipment List &amp; Usage'!$O67*'Weekly Summary'!AT$52)+('Equipment List &amp; Usage'!$P67*'Weekly Summary'!AT$53)+('Equipment List &amp; Usage'!$Q67*('Weekly Summary'!AT$52+'Weekly Summary'!AT$53))+('Equipment List &amp; Usage'!$R67*'Weekly Summary'!AT$64)+('Equipment List &amp; Usage'!$S67*'Weekly Summary'!AT$65)+('Equipment List &amp; Usage'!$T67*('Weekly Summary'!AT$64+'Weekly Summary'!AT$65)),
('Equipment List &amp; Usage'!$O67*'Weekly Summary'!AT$52)+('Equipment List &amp; Usage'!$P67*'Weekly Summary'!AT$53)+('Equipment List &amp; Usage'!$Q67*('Weekly Summary'!AT$52+'Weekly Summary'!AT$53))+('Equipment List &amp; Usage'!$R67*'Weekly Summary'!AT$64)+('Equipment List &amp; Usage'!$S67*'Weekly Summary'!AT$65)+('Equipment List &amp; Usage'!$T67*('Weekly Summary'!AT$64+'Weekly Summary'!AT$65))-SUM($I65:AY65))),0)</f>
        <v>0</v>
      </c>
      <c r="BA65" s="1381">
        <f ca="1">MAX(IF($F65="No",('Equipment List &amp; Usage'!$O67*'Weekly Summary'!AU$52)+('Equipment List &amp; Usage'!$P67*'Weekly Summary'!AU$53)+('Equipment List &amp; Usage'!$Q67*('Weekly Summary'!AU$52+'Weekly Summary'!AU$53))+('Equipment List &amp; Usage'!$R67*'Weekly Summary'!AU$64)+('Equipment List &amp; Usage'!$S67*'Weekly Summary'!AU$65)+('Equipment List &amp; Usage'!$T67*('Weekly Summary'!AU$64+'Weekly Summary'!AU$65)),
IF(BA$10=0,('Equipment List &amp; Usage'!$O67*'Weekly Summary'!AU$52)+('Equipment List &amp; Usage'!$P67*'Weekly Summary'!AU$53)+('Equipment List &amp; Usage'!$Q67*('Weekly Summary'!AU$52+'Weekly Summary'!AU$53))+('Equipment List &amp; Usage'!$R67*'Weekly Summary'!AU$64)+('Equipment List &amp; Usage'!$S67*'Weekly Summary'!AU$65)+('Equipment List &amp; Usage'!$T67*('Weekly Summary'!AU$64+'Weekly Summary'!AU$65)),
('Equipment List &amp; Usage'!$O67*'Weekly Summary'!AU$52)+('Equipment List &amp; Usage'!$P67*'Weekly Summary'!AU$53)+('Equipment List &amp; Usage'!$Q67*('Weekly Summary'!AU$52+'Weekly Summary'!AU$53))+('Equipment List &amp; Usage'!$R67*'Weekly Summary'!AU$64)+('Equipment List &amp; Usage'!$S67*'Weekly Summary'!AU$65)+('Equipment List &amp; Usage'!$T67*('Weekly Summary'!AU$64+'Weekly Summary'!AU$65))-SUM($I65:AZ65))),0)</f>
        <v>0</v>
      </c>
      <c r="BB65" s="1381">
        <f ca="1">MAX(IF($F65="No",('Equipment List &amp; Usage'!$O67*'Weekly Summary'!AV$52)+('Equipment List &amp; Usage'!$P67*'Weekly Summary'!AV$53)+('Equipment List &amp; Usage'!$Q67*('Weekly Summary'!AV$52+'Weekly Summary'!AV$53))+('Equipment List &amp; Usage'!$R67*'Weekly Summary'!AV$64)+('Equipment List &amp; Usage'!$S67*'Weekly Summary'!AV$65)+('Equipment List &amp; Usage'!$T67*('Weekly Summary'!AV$64+'Weekly Summary'!AV$65)),
IF(BB$10=0,('Equipment List &amp; Usage'!$O67*'Weekly Summary'!AV$52)+('Equipment List &amp; Usage'!$P67*'Weekly Summary'!AV$53)+('Equipment List &amp; Usage'!$Q67*('Weekly Summary'!AV$52+'Weekly Summary'!AV$53))+('Equipment List &amp; Usage'!$R67*'Weekly Summary'!AV$64)+('Equipment List &amp; Usage'!$S67*'Weekly Summary'!AV$65)+('Equipment List &amp; Usage'!$T67*('Weekly Summary'!AV$64+'Weekly Summary'!AV$65)),
('Equipment List &amp; Usage'!$O67*'Weekly Summary'!AV$52)+('Equipment List &amp; Usage'!$P67*'Weekly Summary'!AV$53)+('Equipment List &amp; Usage'!$Q67*('Weekly Summary'!AV$52+'Weekly Summary'!AV$53))+('Equipment List &amp; Usage'!$R67*'Weekly Summary'!AV$64)+('Equipment List &amp; Usage'!$S67*'Weekly Summary'!AV$65)+('Equipment List &amp; Usage'!$T67*('Weekly Summary'!AV$64+'Weekly Summary'!AV$65))-SUM($I65:BA65))),0)</f>
        <v>0</v>
      </c>
      <c r="BC65" s="1381">
        <f ca="1">MAX(IF($F65="No",('Equipment List &amp; Usage'!$O67*'Weekly Summary'!AW$52)+('Equipment List &amp; Usage'!$P67*'Weekly Summary'!AW$53)+('Equipment List &amp; Usage'!$Q67*('Weekly Summary'!AW$52+'Weekly Summary'!AW$53))+('Equipment List &amp; Usage'!$R67*'Weekly Summary'!AW$64)+('Equipment List &amp; Usage'!$S67*'Weekly Summary'!AW$65)+('Equipment List &amp; Usage'!$T67*('Weekly Summary'!AW$64+'Weekly Summary'!AW$65)),
IF(BC$10=0,('Equipment List &amp; Usage'!$O67*'Weekly Summary'!AW$52)+('Equipment List &amp; Usage'!$P67*'Weekly Summary'!AW$53)+('Equipment List &amp; Usage'!$Q67*('Weekly Summary'!AW$52+'Weekly Summary'!AW$53))+('Equipment List &amp; Usage'!$R67*'Weekly Summary'!AW$64)+('Equipment List &amp; Usage'!$S67*'Weekly Summary'!AW$65)+('Equipment List &amp; Usage'!$T67*('Weekly Summary'!AW$64+'Weekly Summary'!AW$65)),
('Equipment List &amp; Usage'!$O67*'Weekly Summary'!AW$52)+('Equipment List &amp; Usage'!$P67*'Weekly Summary'!AW$53)+('Equipment List &amp; Usage'!$Q67*('Weekly Summary'!AW$52+'Weekly Summary'!AW$53))+('Equipment List &amp; Usage'!$R67*'Weekly Summary'!AW$64)+('Equipment List &amp; Usage'!$S67*'Weekly Summary'!AW$65)+('Equipment List &amp; Usage'!$T67*('Weekly Summary'!AW$64+'Weekly Summary'!AW$65))-SUM($I65:BB65))),0)</f>
        <v>0</v>
      </c>
      <c r="BD65" s="1381">
        <f ca="1">MAX(IF($F65="No",('Equipment List &amp; Usage'!$O67*'Weekly Summary'!AX$52)+('Equipment List &amp; Usage'!$P67*'Weekly Summary'!AX$53)+('Equipment List &amp; Usage'!$Q67*('Weekly Summary'!AX$52+'Weekly Summary'!AX$53))+('Equipment List &amp; Usage'!$R67*'Weekly Summary'!AX$64)+('Equipment List &amp; Usage'!$S67*'Weekly Summary'!AX$65)+('Equipment List &amp; Usage'!$T67*('Weekly Summary'!AX$64+'Weekly Summary'!AX$65)),
IF(BD$10=0,('Equipment List &amp; Usage'!$O67*'Weekly Summary'!AX$52)+('Equipment List &amp; Usage'!$P67*'Weekly Summary'!AX$53)+('Equipment List &amp; Usage'!$Q67*('Weekly Summary'!AX$52+'Weekly Summary'!AX$53))+('Equipment List &amp; Usage'!$R67*'Weekly Summary'!AX$64)+('Equipment List &amp; Usage'!$S67*'Weekly Summary'!AX$65)+('Equipment List &amp; Usage'!$T67*('Weekly Summary'!AX$64+'Weekly Summary'!AX$65)),
('Equipment List &amp; Usage'!$O67*'Weekly Summary'!AX$52)+('Equipment List &amp; Usage'!$P67*'Weekly Summary'!AX$53)+('Equipment List &amp; Usage'!$Q67*('Weekly Summary'!AX$52+'Weekly Summary'!AX$53))+('Equipment List &amp; Usage'!$R67*'Weekly Summary'!AX$64)+('Equipment List &amp; Usage'!$S67*'Weekly Summary'!AX$65)+('Equipment List &amp; Usage'!$T67*('Weekly Summary'!AX$64+'Weekly Summary'!AX$65))-SUM($I65:BC65))),0)</f>
        <v>0</v>
      </c>
      <c r="BE65" s="1381">
        <f ca="1">MAX(IF($F65="No",('Equipment List &amp; Usage'!$O67*'Weekly Summary'!AY$52)+('Equipment List &amp; Usage'!$P67*'Weekly Summary'!AY$53)+('Equipment List &amp; Usage'!$Q67*('Weekly Summary'!AY$52+'Weekly Summary'!AY$53))+('Equipment List &amp; Usage'!$R67*'Weekly Summary'!AY$64)+('Equipment List &amp; Usage'!$S67*'Weekly Summary'!AY$65)+('Equipment List &amp; Usage'!$T67*('Weekly Summary'!AY$64+'Weekly Summary'!AY$65)),
IF(BE$10=0,('Equipment List &amp; Usage'!$O67*'Weekly Summary'!AY$52)+('Equipment List &amp; Usage'!$P67*'Weekly Summary'!AY$53)+('Equipment List &amp; Usage'!$Q67*('Weekly Summary'!AY$52+'Weekly Summary'!AY$53))+('Equipment List &amp; Usage'!$R67*'Weekly Summary'!AY$64)+('Equipment List &amp; Usage'!$S67*'Weekly Summary'!AY$65)+('Equipment List &amp; Usage'!$T67*('Weekly Summary'!AY$64+'Weekly Summary'!AY$65)),
('Equipment List &amp; Usage'!$O67*'Weekly Summary'!AY$52)+('Equipment List &amp; Usage'!$P67*'Weekly Summary'!AY$53)+('Equipment List &amp; Usage'!$Q67*('Weekly Summary'!AY$52+'Weekly Summary'!AY$53))+('Equipment List &amp; Usage'!$R67*'Weekly Summary'!AY$64)+('Equipment List &amp; Usage'!$S67*'Weekly Summary'!AY$65)+('Equipment List &amp; Usage'!$T67*('Weekly Summary'!AY$64+'Weekly Summary'!AY$65))-SUM($I65:BD65))),0)</f>
        <v>0</v>
      </c>
      <c r="BF65" s="1381">
        <f ca="1">MAX(IF($F65="No",('Equipment List &amp; Usage'!$O67*'Weekly Summary'!AZ$52)+('Equipment List &amp; Usage'!$P67*'Weekly Summary'!AZ$53)+('Equipment List &amp; Usage'!$Q67*('Weekly Summary'!AZ$52+'Weekly Summary'!AZ$53))+('Equipment List &amp; Usage'!$R67*'Weekly Summary'!AZ$64)+('Equipment List &amp; Usage'!$S67*'Weekly Summary'!AZ$65)+('Equipment List &amp; Usage'!$T67*('Weekly Summary'!AZ$64+'Weekly Summary'!AZ$65)),
IF(BF$10=0,('Equipment List &amp; Usage'!$O67*'Weekly Summary'!AZ$52)+('Equipment List &amp; Usage'!$P67*'Weekly Summary'!AZ$53)+('Equipment List &amp; Usage'!$Q67*('Weekly Summary'!AZ$52+'Weekly Summary'!AZ$53))+('Equipment List &amp; Usage'!$R67*'Weekly Summary'!AZ$64)+('Equipment List &amp; Usage'!$S67*'Weekly Summary'!AZ$65)+('Equipment List &amp; Usage'!$T67*('Weekly Summary'!AZ$64+'Weekly Summary'!AZ$65)),
('Equipment List &amp; Usage'!$O67*'Weekly Summary'!AZ$52)+('Equipment List &amp; Usage'!$P67*'Weekly Summary'!AZ$53)+('Equipment List &amp; Usage'!$Q67*('Weekly Summary'!AZ$52+'Weekly Summary'!AZ$53))+('Equipment List &amp; Usage'!$R67*'Weekly Summary'!AZ$64)+('Equipment List &amp; Usage'!$S67*'Weekly Summary'!AZ$65)+('Equipment List &amp; Usage'!$T67*('Weekly Summary'!AZ$64+'Weekly Summary'!AZ$65))-SUM($I65:BE65))),0)</f>
        <v>0</v>
      </c>
      <c r="BG65" s="1381">
        <f ca="1">MAX(IF($F65="No",('Equipment List &amp; Usage'!$O67*'Weekly Summary'!BA$52)+('Equipment List &amp; Usage'!$P67*'Weekly Summary'!BA$53)+('Equipment List &amp; Usage'!$Q67*('Weekly Summary'!BA$52+'Weekly Summary'!BA$53))+('Equipment List &amp; Usage'!$R67*'Weekly Summary'!BA$64)+('Equipment List &amp; Usage'!$S67*'Weekly Summary'!BA$65)+('Equipment List &amp; Usage'!$T67*('Weekly Summary'!BA$64+'Weekly Summary'!BA$65)),
IF(BG$10=0,('Equipment List &amp; Usage'!$O67*'Weekly Summary'!BA$52)+('Equipment List &amp; Usage'!$P67*'Weekly Summary'!BA$53)+('Equipment List &amp; Usage'!$Q67*('Weekly Summary'!BA$52+'Weekly Summary'!BA$53))+('Equipment List &amp; Usage'!$R67*'Weekly Summary'!BA$64)+('Equipment List &amp; Usage'!$S67*'Weekly Summary'!BA$65)+('Equipment List &amp; Usage'!$T67*('Weekly Summary'!BA$64+'Weekly Summary'!BA$65)),
('Equipment List &amp; Usage'!$O67*'Weekly Summary'!BA$52)+('Equipment List &amp; Usage'!$P67*'Weekly Summary'!BA$53)+('Equipment List &amp; Usage'!$Q67*('Weekly Summary'!BA$52+'Weekly Summary'!BA$53))+('Equipment List &amp; Usage'!$R67*'Weekly Summary'!BA$64)+('Equipment List &amp; Usage'!$S67*'Weekly Summary'!BA$65)+('Equipment List &amp; Usage'!$T67*('Weekly Summary'!BA$64+'Weekly Summary'!BA$65))-SUM($I65:BF65))),0)</f>
        <v>0</v>
      </c>
      <c r="BH65" s="1381">
        <f ca="1">MAX(IF($F65="No",('Equipment List &amp; Usage'!$O67*'Weekly Summary'!BB$52)+('Equipment List &amp; Usage'!$P67*'Weekly Summary'!BB$53)+('Equipment List &amp; Usage'!$Q67*('Weekly Summary'!BB$52+'Weekly Summary'!BB$53))+('Equipment List &amp; Usage'!$R67*'Weekly Summary'!BB$64)+('Equipment List &amp; Usage'!$S67*'Weekly Summary'!BB$65)+('Equipment List &amp; Usage'!$T67*('Weekly Summary'!BB$64+'Weekly Summary'!BB$65)),
IF(BH$10=0,('Equipment List &amp; Usage'!$O67*'Weekly Summary'!BB$52)+('Equipment List &amp; Usage'!$P67*'Weekly Summary'!BB$53)+('Equipment List &amp; Usage'!$Q67*('Weekly Summary'!BB$52+'Weekly Summary'!BB$53))+('Equipment List &amp; Usage'!$R67*'Weekly Summary'!BB$64)+('Equipment List &amp; Usage'!$S67*'Weekly Summary'!BB$65)+('Equipment List &amp; Usage'!$T67*('Weekly Summary'!BB$64+'Weekly Summary'!BB$65)),
('Equipment List &amp; Usage'!$O67*'Weekly Summary'!BB$52)+('Equipment List &amp; Usage'!$P67*'Weekly Summary'!BB$53)+('Equipment List &amp; Usage'!$Q67*('Weekly Summary'!BB$52+'Weekly Summary'!BB$53))+('Equipment List &amp; Usage'!$R67*'Weekly Summary'!BB$64)+('Equipment List &amp; Usage'!$S67*'Weekly Summary'!BB$65)+('Equipment List &amp; Usage'!$T67*('Weekly Summary'!BB$64+'Weekly Summary'!BB$65))-SUM($I65:BG65))),0)</f>
        <v>0</v>
      </c>
      <c r="BI65" s="1381">
        <f ca="1">MAX(IF($F65="No",('Equipment List &amp; Usage'!$O67*'Weekly Summary'!BC$52)+('Equipment List &amp; Usage'!$P67*'Weekly Summary'!BC$53)+('Equipment List &amp; Usage'!$Q67*('Weekly Summary'!BC$52+'Weekly Summary'!BC$53))+('Equipment List &amp; Usage'!$R67*'Weekly Summary'!BC$64)+('Equipment List &amp; Usage'!$S67*'Weekly Summary'!BC$65)+('Equipment List &amp; Usage'!$T67*('Weekly Summary'!BC$64+'Weekly Summary'!BC$65)),
IF(BI$10=0,('Equipment List &amp; Usage'!$O67*'Weekly Summary'!BC$52)+('Equipment List &amp; Usage'!$P67*'Weekly Summary'!BC$53)+('Equipment List &amp; Usage'!$Q67*('Weekly Summary'!BC$52+'Weekly Summary'!BC$53))+('Equipment List &amp; Usage'!$R67*'Weekly Summary'!BC$64)+('Equipment List &amp; Usage'!$S67*'Weekly Summary'!BC$65)+('Equipment List &amp; Usage'!$T67*('Weekly Summary'!BC$64+'Weekly Summary'!BC$65)),
('Equipment List &amp; Usage'!$O67*'Weekly Summary'!BC$52)+('Equipment List &amp; Usage'!$P67*'Weekly Summary'!BC$53)+('Equipment List &amp; Usage'!$Q67*('Weekly Summary'!BC$52+'Weekly Summary'!BC$53))+('Equipment List &amp; Usage'!$R67*'Weekly Summary'!BC$64)+('Equipment List &amp; Usage'!$S67*'Weekly Summary'!BC$65)+('Equipment List &amp; Usage'!$T67*('Weekly Summary'!BC$64+'Weekly Summary'!BC$65))-SUM($I65:BH65))),0)</f>
        <v>0</v>
      </c>
      <c r="BJ65" s="1382">
        <f ca="1">MAX(IF($F65="No",('Equipment List &amp; Usage'!$O67*'Weekly Summary'!BD$52)+('Equipment List &amp; Usage'!$P67*'Weekly Summary'!BD$53)+('Equipment List &amp; Usage'!$Q67*('Weekly Summary'!BD$52+'Weekly Summary'!BD$53))+('Equipment List &amp; Usage'!$R67*'Weekly Summary'!BD$64)+('Equipment List &amp; Usage'!$S67*'Weekly Summary'!BD$65)+('Equipment List &amp; Usage'!$T67*('Weekly Summary'!BD$64+'Weekly Summary'!BD$65)),
IF(BJ$10=0,('Equipment List &amp; Usage'!$O67*'Weekly Summary'!BD$52)+('Equipment List &amp; Usage'!$P67*'Weekly Summary'!BD$53)+('Equipment List &amp; Usage'!$Q67*('Weekly Summary'!BD$52+'Weekly Summary'!BD$53))+('Equipment List &amp; Usage'!$R67*'Weekly Summary'!BD$64)+('Equipment List &amp; Usage'!$S67*'Weekly Summary'!BD$65)+('Equipment List &amp; Usage'!$T67*('Weekly Summary'!BD$64+'Weekly Summary'!BD$65)),
('Equipment List &amp; Usage'!$O67*'Weekly Summary'!BD$52)+('Equipment List &amp; Usage'!$P67*'Weekly Summary'!BD$53)+('Equipment List &amp; Usage'!$Q67*('Weekly Summary'!BD$52+'Weekly Summary'!BD$53))+('Equipment List &amp; Usage'!$R67*'Weekly Summary'!BD$64)+('Equipment List &amp; Usage'!$S67*'Weekly Summary'!BD$65)+('Equipment List &amp; Usage'!$T67*('Weekly Summary'!BD$64+'Weekly Summary'!BD$65))-SUM($I65:BI65))),0)</f>
        <v>0</v>
      </c>
    </row>
    <row r="66" spans="2:62" s="15" customFormat="1" ht="31.4" customHeight="1" collapsed="1" x14ac:dyDescent="0.35">
      <c r="B66" s="735" t="str">
        <f>'Equipment List &amp; Usage'!B68</f>
        <v>Case management - biomedical equipment</v>
      </c>
      <c r="C66" s="526" t="str">
        <f>'Equipment List &amp; Usage'!C68</f>
        <v>ICU</v>
      </c>
      <c r="D66" s="526" t="str">
        <f>'Equipment List &amp; Usage'!D68</f>
        <v>Suction pump</v>
      </c>
      <c r="E66" s="526" t="str">
        <f>'Equipment List &amp; Usage'!E68</f>
        <v>Each</v>
      </c>
      <c r="F66" s="526" t="str">
        <f>'Equipment List &amp; Usage'!F68</f>
        <v>Yes</v>
      </c>
      <c r="G66" s="526" t="str">
        <f>'Equipment List &amp; Usage'!G68</f>
        <v xml:space="preserve">Tubing and bottles according to type of pump (mechanical or electric).
</v>
      </c>
      <c r="H66" s="1369">
        <f t="shared" ca="1" si="3"/>
        <v>145.67179072876735</v>
      </c>
      <c r="I66" s="909"/>
      <c r="J66" s="1344"/>
      <c r="K66" s="1381">
        <f ca="1">IF('User Dashboard'!$H$13=1,0,MAX(IF($F66="No",('Equipment List &amp; Usage'!$O68*'Weekly Summary'!E$52)+('Equipment List &amp; Usage'!$P68*'Weekly Summary'!E$53)+('Equipment List &amp; Usage'!$Q68*('Weekly Summary'!E$52+'Weekly Summary'!E$53))+('Equipment List &amp; Usage'!$R68*'Weekly Summary'!E$64)+('Equipment List &amp; Usage'!$S68*'Weekly Summary'!E$65)+('Equipment List &amp; Usage'!$T68*('Weekly Summary'!E$64+'Weekly Summary'!E$65)),
IF(K$10=0,('Equipment List &amp; Usage'!$O68*'Weekly Summary'!E$52)+('Equipment List &amp; Usage'!$P68*'Weekly Summary'!E$53)+('Equipment List &amp; Usage'!$Q68*('Weekly Summary'!E$52+'Weekly Summary'!E$53))+('Equipment List &amp; Usage'!$R68*'Weekly Summary'!E$64)+('Equipment List &amp; Usage'!$S68*'Weekly Summary'!E$65)+('Equipment List &amp; Usage'!$T68*('Weekly Summary'!E$64+'Weekly Summary'!E$65)),
('Equipment List &amp; Usage'!$O68*'Weekly Summary'!E$52)+('Equipment List &amp; Usage'!$P68*'Weekly Summary'!E$53)+('Equipment List &amp; Usage'!$Q68*('Weekly Summary'!E$52+'Weekly Summary'!E$53))+('Equipment List &amp; Usage'!$R68*'Weekly Summary'!E$64)+('Equipment List &amp; Usage'!$S68*'Weekly Summary'!E$65)+('Equipment List &amp; Usage'!$T68*('Weekly Summary'!E$64+'Weekly Summary'!E$65))-SUM($I66:I66))),0))</f>
        <v>0.31078390114707449</v>
      </c>
      <c r="L66" s="1381">
        <f ca="1">MAX(IF($F66="No",('Equipment List &amp; Usage'!$O68*'Weekly Summary'!F$52)+('Equipment List &amp; Usage'!$P68*'Weekly Summary'!F$53)+('Equipment List &amp; Usage'!$Q68*('Weekly Summary'!F$52+'Weekly Summary'!F$53))+('Equipment List &amp; Usage'!$R68*'Weekly Summary'!F$64)+('Equipment List &amp; Usage'!$S68*'Weekly Summary'!F$65)+('Equipment List &amp; Usage'!$T68*('Weekly Summary'!F$64+'Weekly Summary'!F$65)),
IF(L$10=0,('Equipment List &amp; Usage'!$O68*'Weekly Summary'!F$52)+('Equipment List &amp; Usage'!$P68*'Weekly Summary'!F$53)+('Equipment List &amp; Usage'!$Q68*('Weekly Summary'!F$52+'Weekly Summary'!F$53))+('Equipment List &amp; Usage'!$R68*'Weekly Summary'!F$64)+('Equipment List &amp; Usage'!$S68*'Weekly Summary'!F$65)+('Equipment List &amp; Usage'!$T68*('Weekly Summary'!F$64+'Weekly Summary'!F$65)),
('Equipment List &amp; Usage'!$O68*'Weekly Summary'!F$52)+('Equipment List &amp; Usage'!$P68*'Weekly Summary'!F$53)+('Equipment List &amp; Usage'!$Q68*('Weekly Summary'!F$52+'Weekly Summary'!F$53))+('Equipment List &amp; Usage'!$R68*'Weekly Summary'!F$64)+('Equipment List &amp; Usage'!$S68*'Weekly Summary'!F$65)+('Equipment List &amp; Usage'!$T68*('Weekly Summary'!F$64+'Weekly Summary'!F$65))-SUM($I66:K66))),0)</f>
        <v>0.73442146703206435</v>
      </c>
      <c r="M66" s="1381">
        <f ca="1">MAX(IF($F66="No",('Equipment List &amp; Usage'!$O68*'Weekly Summary'!G$52)+('Equipment List &amp; Usage'!$P68*'Weekly Summary'!G$53)+('Equipment List &amp; Usage'!$Q68*('Weekly Summary'!G$52+'Weekly Summary'!G$53))+('Equipment List &amp; Usage'!$R68*'Weekly Summary'!G$64)+('Equipment List &amp; Usage'!$S68*'Weekly Summary'!G$65)+('Equipment List &amp; Usage'!$T68*('Weekly Summary'!G$64+'Weekly Summary'!G$65)),
IF(M$10=0,('Equipment List &amp; Usage'!$O68*'Weekly Summary'!G$52)+('Equipment List &amp; Usage'!$P68*'Weekly Summary'!G$53)+('Equipment List &amp; Usage'!$Q68*('Weekly Summary'!G$52+'Weekly Summary'!G$53))+('Equipment List &amp; Usage'!$R68*'Weekly Summary'!G$64)+('Equipment List &amp; Usage'!$S68*'Weekly Summary'!G$65)+('Equipment List &amp; Usage'!$T68*('Weekly Summary'!G$64+'Weekly Summary'!G$65)),
('Equipment List &amp; Usage'!$O68*'Weekly Summary'!G$52)+('Equipment List &amp; Usage'!$P68*'Weekly Summary'!G$53)+('Equipment List &amp; Usage'!$Q68*('Weekly Summary'!G$52+'Weekly Summary'!G$53))+('Equipment List &amp; Usage'!$R68*'Weekly Summary'!G$64)+('Equipment List &amp; Usage'!$S68*'Weekly Summary'!G$65)+('Equipment List &amp; Usage'!$T68*('Weekly Summary'!G$64+'Weekly Summary'!G$65))-SUM($I66:L66))),0)</f>
        <v>2.5466215899150395</v>
      </c>
      <c r="N66" s="1381">
        <f ca="1">MAX(IF($F66="No",('Equipment List &amp; Usage'!$O68*'Weekly Summary'!H$52)+('Equipment List &amp; Usage'!$P68*'Weekly Summary'!H$53)+('Equipment List &amp; Usage'!$Q68*('Weekly Summary'!H$52+'Weekly Summary'!H$53))+('Equipment List &amp; Usage'!$R68*'Weekly Summary'!H$64)+('Equipment List &amp; Usage'!$S68*'Weekly Summary'!H$65)+('Equipment List &amp; Usage'!$T68*('Weekly Summary'!H$64+'Weekly Summary'!H$65)),
IF(N$10=0,('Equipment List &amp; Usage'!$O68*'Weekly Summary'!H$52)+('Equipment List &amp; Usage'!$P68*'Weekly Summary'!H$53)+('Equipment List &amp; Usage'!$Q68*('Weekly Summary'!H$52+'Weekly Summary'!H$53))+('Equipment List &amp; Usage'!$R68*'Weekly Summary'!H$64)+('Equipment List &amp; Usage'!$S68*'Weekly Summary'!H$65)+('Equipment List &amp; Usage'!$T68*('Weekly Summary'!H$64+'Weekly Summary'!H$65)),
('Equipment List &amp; Usage'!$O68*'Weekly Summary'!H$52)+('Equipment List &amp; Usage'!$P68*'Weekly Summary'!H$53)+('Equipment List &amp; Usage'!$Q68*('Weekly Summary'!H$52+'Weekly Summary'!H$53))+('Equipment List &amp; Usage'!$R68*'Weekly Summary'!H$64)+('Equipment List &amp; Usage'!$S68*'Weekly Summary'!H$65)+('Equipment List &amp; Usage'!$T68*('Weekly Summary'!H$64+'Weekly Summary'!H$65))-SUM($I66:M66))),0)</f>
        <v>8.7510444621974877</v>
      </c>
      <c r="O66" s="1381">
        <f ca="1">MAX(IF($F66="No",('Equipment List &amp; Usage'!$O68*'Weekly Summary'!I$52)+('Equipment List &amp; Usage'!$P68*'Weekly Summary'!I$53)+('Equipment List &amp; Usage'!$Q68*('Weekly Summary'!I$52+'Weekly Summary'!I$53))+('Equipment List &amp; Usage'!$R68*'Weekly Summary'!I$64)+('Equipment List &amp; Usage'!$S68*'Weekly Summary'!I$65)+('Equipment List &amp; Usage'!$T68*('Weekly Summary'!I$64+'Weekly Summary'!I$65)),
IF(O$10=0,('Equipment List &amp; Usage'!$O68*'Weekly Summary'!I$52)+('Equipment List &amp; Usage'!$P68*'Weekly Summary'!I$53)+('Equipment List &amp; Usage'!$Q68*('Weekly Summary'!I$52+'Weekly Summary'!I$53))+('Equipment List &amp; Usage'!$R68*'Weekly Summary'!I$64)+('Equipment List &amp; Usage'!$S68*'Weekly Summary'!I$65)+('Equipment List &amp; Usage'!$T68*('Weekly Summary'!I$64+'Weekly Summary'!I$65)),
('Equipment List &amp; Usage'!$O68*'Weekly Summary'!I$52)+('Equipment List &amp; Usage'!$P68*'Weekly Summary'!I$53)+('Equipment List &amp; Usage'!$Q68*('Weekly Summary'!I$52+'Weekly Summary'!I$53))+('Equipment List &amp; Usage'!$R68*'Weekly Summary'!I$64)+('Equipment List &amp; Usage'!$S68*'Weekly Summary'!I$65)+('Equipment List &amp; Usage'!$T68*('Weekly Summary'!I$64+'Weekly Summary'!I$65))-SUM($I66:N66))),0)</f>
        <v>30.067533501291031</v>
      </c>
      <c r="P66" s="1381">
        <f ca="1">MAX(IF($F66="No",('Equipment List &amp; Usage'!$O68*'Weekly Summary'!J$52)+('Equipment List &amp; Usage'!$P68*'Weekly Summary'!J$53)+('Equipment List &amp; Usage'!$Q68*('Weekly Summary'!J$52+'Weekly Summary'!J$53))+('Equipment List &amp; Usage'!$R68*'Weekly Summary'!J$64)+('Equipment List &amp; Usage'!$S68*'Weekly Summary'!J$65)+('Equipment List &amp; Usage'!$T68*('Weekly Summary'!J$64+'Weekly Summary'!J$65)),
IF(P$10=0,('Equipment List &amp; Usage'!$O68*'Weekly Summary'!J$52)+('Equipment List &amp; Usage'!$P68*'Weekly Summary'!J$53)+('Equipment List &amp; Usage'!$Q68*('Weekly Summary'!J$52+'Weekly Summary'!J$53))+('Equipment List &amp; Usage'!$R68*'Weekly Summary'!J$64)+('Equipment List &amp; Usage'!$S68*'Weekly Summary'!J$65)+('Equipment List &amp; Usage'!$T68*('Weekly Summary'!J$64+'Weekly Summary'!J$65)),
('Equipment List &amp; Usage'!$O68*'Weekly Summary'!J$52)+('Equipment List &amp; Usage'!$P68*'Weekly Summary'!J$53)+('Equipment List &amp; Usage'!$Q68*('Weekly Summary'!J$52+'Weekly Summary'!J$53))+('Equipment List &amp; Usage'!$R68*'Weekly Summary'!J$64)+('Equipment List &amp; Usage'!$S68*'Weekly Summary'!J$65)+('Equipment List &amp; Usage'!$T68*('Weekly Summary'!J$64+'Weekly Summary'!J$65))-SUM($I66:O66))),0)</f>
        <v>103.26138580718465</v>
      </c>
      <c r="Q66" s="1381">
        <f ca="1">MAX(IF($F66="No",('Equipment List &amp; Usage'!$O68*'Weekly Summary'!K$52)+('Equipment List &amp; Usage'!$P68*'Weekly Summary'!K$53)+('Equipment List &amp; Usage'!$Q68*('Weekly Summary'!K$52+'Weekly Summary'!K$53))+('Equipment List &amp; Usage'!$R68*'Weekly Summary'!K$64)+('Equipment List &amp; Usage'!$S68*'Weekly Summary'!K$65)+('Equipment List &amp; Usage'!$T68*('Weekly Summary'!K$64+'Weekly Summary'!K$65)),
IF(Q$10=0,('Equipment List &amp; Usage'!$O68*'Weekly Summary'!K$52)+('Equipment List &amp; Usage'!$P68*'Weekly Summary'!K$53)+('Equipment List &amp; Usage'!$Q68*('Weekly Summary'!K$52+'Weekly Summary'!K$53))+('Equipment List &amp; Usage'!$R68*'Weekly Summary'!K$64)+('Equipment List &amp; Usage'!$S68*'Weekly Summary'!K$65)+('Equipment List &amp; Usage'!$T68*('Weekly Summary'!K$64+'Weekly Summary'!K$65)),
('Equipment List &amp; Usage'!$O68*'Weekly Summary'!K$52)+('Equipment List &amp; Usage'!$P68*'Weekly Summary'!K$53)+('Equipment List &amp; Usage'!$Q68*('Weekly Summary'!K$52+'Weekly Summary'!K$53))+('Equipment List &amp; Usage'!$R68*'Weekly Summary'!K$64)+('Equipment List &amp; Usage'!$S68*'Weekly Summary'!K$65)+('Equipment List &amp; Usage'!$T68*('Weekly Summary'!K$64+'Weekly Summary'!K$65))-SUM($I66:P66))),0)</f>
        <v>0</v>
      </c>
      <c r="R66" s="1381">
        <f ca="1">MAX(IF($F66="No",('Equipment List &amp; Usage'!$O68*'Weekly Summary'!L$52)+('Equipment List &amp; Usage'!$P68*'Weekly Summary'!L$53)+('Equipment List &amp; Usage'!$Q68*('Weekly Summary'!L$52+'Weekly Summary'!L$53))+('Equipment List &amp; Usage'!$R68*'Weekly Summary'!L$64)+('Equipment List &amp; Usage'!$S68*'Weekly Summary'!L$65)+('Equipment List &amp; Usage'!$T68*('Weekly Summary'!L$64+'Weekly Summary'!L$65)),
IF(R$10=0,('Equipment List &amp; Usage'!$O68*'Weekly Summary'!L$52)+('Equipment List &amp; Usage'!$P68*'Weekly Summary'!L$53)+('Equipment List &amp; Usage'!$Q68*('Weekly Summary'!L$52+'Weekly Summary'!L$53))+('Equipment List &amp; Usage'!$R68*'Weekly Summary'!L$64)+('Equipment List &amp; Usage'!$S68*'Weekly Summary'!L$65)+('Equipment List &amp; Usage'!$T68*('Weekly Summary'!L$64+'Weekly Summary'!L$65)),
('Equipment List &amp; Usage'!$O68*'Weekly Summary'!L$52)+('Equipment List &amp; Usage'!$P68*'Weekly Summary'!L$53)+('Equipment List &amp; Usage'!$Q68*('Weekly Summary'!L$52+'Weekly Summary'!L$53))+('Equipment List &amp; Usage'!$R68*'Weekly Summary'!L$64)+('Equipment List &amp; Usage'!$S68*'Weekly Summary'!L$65)+('Equipment List &amp; Usage'!$T68*('Weekly Summary'!L$64+'Weekly Summary'!L$65))-SUM($I66:Q66))),0)</f>
        <v>0</v>
      </c>
      <c r="S66" s="1381">
        <f ca="1">MAX(IF($F66="No",('Equipment List &amp; Usage'!$O68*'Weekly Summary'!M$52)+('Equipment List &amp; Usage'!$P68*'Weekly Summary'!M$53)+('Equipment List &amp; Usage'!$Q68*('Weekly Summary'!M$52+'Weekly Summary'!M$53))+('Equipment List &amp; Usage'!$R68*'Weekly Summary'!M$64)+('Equipment List &amp; Usage'!$S68*'Weekly Summary'!M$65)+('Equipment List &amp; Usage'!$T68*('Weekly Summary'!M$64+'Weekly Summary'!M$65)),
IF(S$10=0,('Equipment List &amp; Usage'!$O68*'Weekly Summary'!M$52)+('Equipment List &amp; Usage'!$P68*'Weekly Summary'!M$53)+('Equipment List &amp; Usage'!$Q68*('Weekly Summary'!M$52+'Weekly Summary'!M$53))+('Equipment List &amp; Usage'!$R68*'Weekly Summary'!M$64)+('Equipment List &amp; Usage'!$S68*'Weekly Summary'!M$65)+('Equipment List &amp; Usage'!$T68*('Weekly Summary'!M$64+'Weekly Summary'!M$65)),
('Equipment List &amp; Usage'!$O68*'Weekly Summary'!M$52)+('Equipment List &amp; Usage'!$P68*'Weekly Summary'!M$53)+('Equipment List &amp; Usage'!$Q68*('Weekly Summary'!M$52+'Weekly Summary'!M$53))+('Equipment List &amp; Usage'!$R68*'Weekly Summary'!M$64)+('Equipment List &amp; Usage'!$S68*'Weekly Summary'!M$65)+('Equipment List &amp; Usage'!$T68*('Weekly Summary'!M$64+'Weekly Summary'!M$65))-SUM($I66:R66))),0)</f>
        <v>0</v>
      </c>
      <c r="T66" s="1381">
        <f ca="1">MAX(IF($F66="No",('Equipment List &amp; Usage'!$O68*'Weekly Summary'!N$52)+('Equipment List &amp; Usage'!$P68*'Weekly Summary'!N$53)+('Equipment List &amp; Usage'!$Q68*('Weekly Summary'!N$52+'Weekly Summary'!N$53))+('Equipment List &amp; Usage'!$R68*'Weekly Summary'!N$64)+('Equipment List &amp; Usage'!$S68*'Weekly Summary'!N$65)+('Equipment List &amp; Usage'!$T68*('Weekly Summary'!N$64+'Weekly Summary'!N$65)),
IF(T$10=0,('Equipment List &amp; Usage'!$O68*'Weekly Summary'!N$52)+('Equipment List &amp; Usage'!$P68*'Weekly Summary'!N$53)+('Equipment List &amp; Usage'!$Q68*('Weekly Summary'!N$52+'Weekly Summary'!N$53))+('Equipment List &amp; Usage'!$R68*'Weekly Summary'!N$64)+('Equipment List &amp; Usage'!$S68*'Weekly Summary'!N$65)+('Equipment List &amp; Usage'!$T68*('Weekly Summary'!N$64+'Weekly Summary'!N$65)),
('Equipment List &amp; Usage'!$O68*'Weekly Summary'!N$52)+('Equipment List &amp; Usage'!$P68*'Weekly Summary'!N$53)+('Equipment List &amp; Usage'!$Q68*('Weekly Summary'!N$52+'Weekly Summary'!N$53))+('Equipment List &amp; Usage'!$R68*'Weekly Summary'!N$64)+('Equipment List &amp; Usage'!$S68*'Weekly Summary'!N$65)+('Equipment List &amp; Usage'!$T68*('Weekly Summary'!N$64+'Weekly Summary'!N$65))-SUM($I66:S66))),0)</f>
        <v>0</v>
      </c>
      <c r="U66" s="1381">
        <f ca="1">MAX(IF($F66="No",('Equipment List &amp; Usage'!$O68*'Weekly Summary'!O$52)+('Equipment List &amp; Usage'!$P68*'Weekly Summary'!O$53)+('Equipment List &amp; Usage'!$Q68*('Weekly Summary'!O$52+'Weekly Summary'!O$53))+('Equipment List &amp; Usage'!$R68*'Weekly Summary'!O$64)+('Equipment List &amp; Usage'!$S68*'Weekly Summary'!O$65)+('Equipment List &amp; Usage'!$T68*('Weekly Summary'!O$64+'Weekly Summary'!O$65)),
IF(U$10=0,('Equipment List &amp; Usage'!$O68*'Weekly Summary'!O$52)+('Equipment List &amp; Usage'!$P68*'Weekly Summary'!O$53)+('Equipment List &amp; Usage'!$Q68*('Weekly Summary'!O$52+'Weekly Summary'!O$53))+('Equipment List &amp; Usage'!$R68*'Weekly Summary'!O$64)+('Equipment List &amp; Usage'!$S68*'Weekly Summary'!O$65)+('Equipment List &amp; Usage'!$T68*('Weekly Summary'!O$64+'Weekly Summary'!O$65)),
('Equipment List &amp; Usage'!$O68*'Weekly Summary'!O$52)+('Equipment List &amp; Usage'!$P68*'Weekly Summary'!O$53)+('Equipment List &amp; Usage'!$Q68*('Weekly Summary'!O$52+'Weekly Summary'!O$53))+('Equipment List &amp; Usage'!$R68*'Weekly Summary'!O$64)+('Equipment List &amp; Usage'!$S68*'Weekly Summary'!O$65)+('Equipment List &amp; Usage'!$T68*('Weekly Summary'!O$64+'Weekly Summary'!O$65))-SUM($I66:T66))),0)</f>
        <v>0</v>
      </c>
      <c r="V66" s="1381">
        <f ca="1">MAX(IF($F66="No",('Equipment List &amp; Usage'!$O68*'Weekly Summary'!P$52)+('Equipment List &amp; Usage'!$P68*'Weekly Summary'!P$53)+('Equipment List &amp; Usage'!$Q68*('Weekly Summary'!P$52+'Weekly Summary'!P$53))+('Equipment List &amp; Usage'!$R68*'Weekly Summary'!P$64)+('Equipment List &amp; Usage'!$S68*'Weekly Summary'!P$65)+('Equipment List &amp; Usage'!$T68*('Weekly Summary'!P$64+'Weekly Summary'!P$65)),
IF(V$10=0,('Equipment List &amp; Usage'!$O68*'Weekly Summary'!P$52)+('Equipment List &amp; Usage'!$P68*'Weekly Summary'!P$53)+('Equipment List &amp; Usage'!$Q68*('Weekly Summary'!P$52+'Weekly Summary'!P$53))+('Equipment List &amp; Usage'!$R68*'Weekly Summary'!P$64)+('Equipment List &amp; Usage'!$S68*'Weekly Summary'!P$65)+('Equipment List &amp; Usage'!$T68*('Weekly Summary'!P$64+'Weekly Summary'!P$65)),
('Equipment List &amp; Usage'!$O68*'Weekly Summary'!P$52)+('Equipment List &amp; Usage'!$P68*'Weekly Summary'!P$53)+('Equipment List &amp; Usage'!$Q68*('Weekly Summary'!P$52+'Weekly Summary'!P$53))+('Equipment List &amp; Usage'!$R68*'Weekly Summary'!P$64)+('Equipment List &amp; Usage'!$S68*'Weekly Summary'!P$65)+('Equipment List &amp; Usage'!$T68*('Weekly Summary'!P$64+'Weekly Summary'!P$65))-SUM($I66:U66))),0)</f>
        <v>0</v>
      </c>
      <c r="W66" s="1381">
        <f ca="1">MAX(IF($F66="No",('Equipment List &amp; Usage'!$O68*'Weekly Summary'!Q$52)+('Equipment List &amp; Usage'!$P68*'Weekly Summary'!Q$53)+('Equipment List &amp; Usage'!$Q68*('Weekly Summary'!Q$52+'Weekly Summary'!Q$53))+('Equipment List &amp; Usage'!$R68*'Weekly Summary'!Q$64)+('Equipment List &amp; Usage'!$S68*'Weekly Summary'!Q$65)+('Equipment List &amp; Usage'!$T68*('Weekly Summary'!Q$64+'Weekly Summary'!Q$65)),
IF(W$10=0,('Equipment List &amp; Usage'!$O68*'Weekly Summary'!Q$52)+('Equipment List &amp; Usage'!$P68*'Weekly Summary'!Q$53)+('Equipment List &amp; Usage'!$Q68*('Weekly Summary'!Q$52+'Weekly Summary'!Q$53))+('Equipment List &amp; Usage'!$R68*'Weekly Summary'!Q$64)+('Equipment List &amp; Usage'!$S68*'Weekly Summary'!Q$65)+('Equipment List &amp; Usage'!$T68*('Weekly Summary'!Q$64+'Weekly Summary'!Q$65)),
('Equipment List &amp; Usage'!$O68*'Weekly Summary'!Q$52)+('Equipment List &amp; Usage'!$P68*'Weekly Summary'!Q$53)+('Equipment List &amp; Usage'!$Q68*('Weekly Summary'!Q$52+'Weekly Summary'!Q$53))+('Equipment List &amp; Usage'!$R68*'Weekly Summary'!Q$64)+('Equipment List &amp; Usage'!$S68*'Weekly Summary'!Q$65)+('Equipment List &amp; Usage'!$T68*('Weekly Summary'!Q$64+'Weekly Summary'!Q$65))-SUM($I66:V66))),0)</f>
        <v>0</v>
      </c>
      <c r="X66" s="1381">
        <f ca="1">MAX(IF($F66="No",('Equipment List &amp; Usage'!$O68*'Weekly Summary'!R$52)+('Equipment List &amp; Usage'!$P68*'Weekly Summary'!R$53)+('Equipment List &amp; Usage'!$Q68*('Weekly Summary'!R$52+'Weekly Summary'!R$53))+('Equipment List &amp; Usage'!$R68*'Weekly Summary'!R$64)+('Equipment List &amp; Usage'!$S68*'Weekly Summary'!R$65)+('Equipment List &amp; Usage'!$T68*('Weekly Summary'!R$64+'Weekly Summary'!R$65)),
IF(X$10=0,('Equipment List &amp; Usage'!$O68*'Weekly Summary'!R$52)+('Equipment List &amp; Usage'!$P68*'Weekly Summary'!R$53)+('Equipment List &amp; Usage'!$Q68*('Weekly Summary'!R$52+'Weekly Summary'!R$53))+('Equipment List &amp; Usage'!$R68*'Weekly Summary'!R$64)+('Equipment List &amp; Usage'!$S68*'Weekly Summary'!R$65)+('Equipment List &amp; Usage'!$T68*('Weekly Summary'!R$64+'Weekly Summary'!R$65)),
('Equipment List &amp; Usage'!$O68*'Weekly Summary'!R$52)+('Equipment List &amp; Usage'!$P68*'Weekly Summary'!R$53)+('Equipment List &amp; Usage'!$Q68*('Weekly Summary'!R$52+'Weekly Summary'!R$53))+('Equipment List &amp; Usage'!$R68*'Weekly Summary'!R$64)+('Equipment List &amp; Usage'!$S68*'Weekly Summary'!R$65)+('Equipment List &amp; Usage'!$T68*('Weekly Summary'!R$64+'Weekly Summary'!R$65))-SUM($I66:W66))),0)</f>
        <v>0</v>
      </c>
      <c r="Y66" s="1381">
        <f ca="1">MAX(IF($F66="No",('Equipment List &amp; Usage'!$O68*'Weekly Summary'!S$52)+('Equipment List &amp; Usage'!$P68*'Weekly Summary'!S$53)+('Equipment List &amp; Usage'!$Q68*('Weekly Summary'!S$52+'Weekly Summary'!S$53))+('Equipment List &amp; Usage'!$R68*'Weekly Summary'!S$64)+('Equipment List &amp; Usage'!$S68*'Weekly Summary'!S$65)+('Equipment List &amp; Usage'!$T68*('Weekly Summary'!S$64+'Weekly Summary'!S$65)),
IF(Y$10=0,('Equipment List &amp; Usage'!$O68*'Weekly Summary'!S$52)+('Equipment List &amp; Usage'!$P68*'Weekly Summary'!S$53)+('Equipment List &amp; Usage'!$Q68*('Weekly Summary'!S$52+'Weekly Summary'!S$53))+('Equipment List &amp; Usage'!$R68*'Weekly Summary'!S$64)+('Equipment List &amp; Usage'!$S68*'Weekly Summary'!S$65)+('Equipment List &amp; Usage'!$T68*('Weekly Summary'!S$64+'Weekly Summary'!S$65)),
('Equipment List &amp; Usage'!$O68*'Weekly Summary'!S$52)+('Equipment List &amp; Usage'!$P68*'Weekly Summary'!S$53)+('Equipment List &amp; Usage'!$Q68*('Weekly Summary'!S$52+'Weekly Summary'!S$53))+('Equipment List &amp; Usage'!$R68*'Weekly Summary'!S$64)+('Equipment List &amp; Usage'!$S68*'Weekly Summary'!S$65)+('Equipment List &amp; Usage'!$T68*('Weekly Summary'!S$64+'Weekly Summary'!S$65))-SUM($I66:X66))),0)</f>
        <v>0</v>
      </c>
      <c r="Z66" s="1381">
        <f ca="1">MAX(IF($F66="No",('Equipment List &amp; Usage'!$O68*'Weekly Summary'!T$52)+('Equipment List &amp; Usage'!$P68*'Weekly Summary'!T$53)+('Equipment List &amp; Usage'!$Q68*('Weekly Summary'!T$52+'Weekly Summary'!T$53))+('Equipment List &amp; Usage'!$R68*'Weekly Summary'!T$64)+('Equipment List &amp; Usage'!$S68*'Weekly Summary'!T$65)+('Equipment List &amp; Usage'!$T68*('Weekly Summary'!T$64+'Weekly Summary'!T$65)),
IF(Z$10=0,('Equipment List &amp; Usage'!$O68*'Weekly Summary'!T$52)+('Equipment List &amp; Usage'!$P68*'Weekly Summary'!T$53)+('Equipment List &amp; Usage'!$Q68*('Weekly Summary'!T$52+'Weekly Summary'!T$53))+('Equipment List &amp; Usage'!$R68*'Weekly Summary'!T$64)+('Equipment List &amp; Usage'!$S68*'Weekly Summary'!T$65)+('Equipment List &amp; Usage'!$T68*('Weekly Summary'!T$64+'Weekly Summary'!T$65)),
('Equipment List &amp; Usage'!$O68*'Weekly Summary'!T$52)+('Equipment List &amp; Usage'!$P68*'Weekly Summary'!T$53)+('Equipment List &amp; Usage'!$Q68*('Weekly Summary'!T$52+'Weekly Summary'!T$53))+('Equipment List &amp; Usage'!$R68*'Weekly Summary'!T$64)+('Equipment List &amp; Usage'!$S68*'Weekly Summary'!T$65)+('Equipment List &amp; Usage'!$T68*('Weekly Summary'!T$64+'Weekly Summary'!T$65))-SUM($I66:Y66))),0)</f>
        <v>0</v>
      </c>
      <c r="AA66" s="1381">
        <f ca="1">MAX(IF($F66="No",('Equipment List &amp; Usage'!$O68*'Weekly Summary'!U$52)+('Equipment List &amp; Usage'!$P68*'Weekly Summary'!U$53)+('Equipment List &amp; Usage'!$Q68*('Weekly Summary'!U$52+'Weekly Summary'!U$53))+('Equipment List &amp; Usage'!$R68*'Weekly Summary'!U$64)+('Equipment List &amp; Usage'!$S68*'Weekly Summary'!U$65)+('Equipment List &amp; Usage'!$T68*('Weekly Summary'!U$64+'Weekly Summary'!U$65)),
IF(AA$10=0,('Equipment List &amp; Usage'!$O68*'Weekly Summary'!U$52)+('Equipment List &amp; Usage'!$P68*'Weekly Summary'!U$53)+('Equipment List &amp; Usage'!$Q68*('Weekly Summary'!U$52+'Weekly Summary'!U$53))+('Equipment List &amp; Usage'!$R68*'Weekly Summary'!U$64)+('Equipment List &amp; Usage'!$S68*'Weekly Summary'!U$65)+('Equipment List &amp; Usage'!$T68*('Weekly Summary'!U$64+'Weekly Summary'!U$65)),
('Equipment List &amp; Usage'!$O68*'Weekly Summary'!U$52)+('Equipment List &amp; Usage'!$P68*'Weekly Summary'!U$53)+('Equipment List &amp; Usage'!$Q68*('Weekly Summary'!U$52+'Weekly Summary'!U$53))+('Equipment List &amp; Usage'!$R68*'Weekly Summary'!U$64)+('Equipment List &amp; Usage'!$S68*'Weekly Summary'!U$65)+('Equipment List &amp; Usage'!$T68*('Weekly Summary'!U$64+'Weekly Summary'!U$65))-SUM($I66:Z66))),0)</f>
        <v>0</v>
      </c>
      <c r="AB66" s="1381">
        <f ca="1">MAX(IF($F66="No",('Equipment List &amp; Usage'!$O68*'Weekly Summary'!V$52)+('Equipment List &amp; Usage'!$P68*'Weekly Summary'!V$53)+('Equipment List &amp; Usage'!$Q68*('Weekly Summary'!V$52+'Weekly Summary'!V$53))+('Equipment List &amp; Usage'!$R68*'Weekly Summary'!V$64)+('Equipment List &amp; Usage'!$S68*'Weekly Summary'!V$65)+('Equipment List &amp; Usage'!$T68*('Weekly Summary'!V$64+'Weekly Summary'!V$65)),
IF(AB$10=0,('Equipment List &amp; Usage'!$O68*'Weekly Summary'!V$52)+('Equipment List &amp; Usage'!$P68*'Weekly Summary'!V$53)+('Equipment List &amp; Usage'!$Q68*('Weekly Summary'!V$52+'Weekly Summary'!V$53))+('Equipment List &amp; Usage'!$R68*'Weekly Summary'!V$64)+('Equipment List &amp; Usage'!$S68*'Weekly Summary'!V$65)+('Equipment List &amp; Usage'!$T68*('Weekly Summary'!V$64+'Weekly Summary'!V$65)),
('Equipment List &amp; Usage'!$O68*'Weekly Summary'!V$52)+('Equipment List &amp; Usage'!$P68*'Weekly Summary'!V$53)+('Equipment List &amp; Usage'!$Q68*('Weekly Summary'!V$52+'Weekly Summary'!V$53))+('Equipment List &amp; Usage'!$R68*'Weekly Summary'!V$64)+('Equipment List &amp; Usage'!$S68*'Weekly Summary'!V$65)+('Equipment List &amp; Usage'!$T68*('Weekly Summary'!V$64+'Weekly Summary'!V$65))-SUM($I66:AA66))),0)</f>
        <v>0</v>
      </c>
      <c r="AC66" s="1381">
        <f ca="1">MAX(IF($F66="No",('Equipment List &amp; Usage'!$O68*'Weekly Summary'!W$52)+('Equipment List &amp; Usage'!$P68*'Weekly Summary'!W$53)+('Equipment List &amp; Usage'!$Q68*('Weekly Summary'!W$52+'Weekly Summary'!W$53))+('Equipment List &amp; Usage'!$R68*'Weekly Summary'!W$64)+('Equipment List &amp; Usage'!$S68*'Weekly Summary'!W$65)+('Equipment List &amp; Usage'!$T68*('Weekly Summary'!W$64+'Weekly Summary'!W$65)),
IF(AC$10=0,('Equipment List &amp; Usage'!$O68*'Weekly Summary'!W$52)+('Equipment List &amp; Usage'!$P68*'Weekly Summary'!W$53)+('Equipment List &amp; Usage'!$Q68*('Weekly Summary'!W$52+'Weekly Summary'!W$53))+('Equipment List &amp; Usage'!$R68*'Weekly Summary'!W$64)+('Equipment List &amp; Usage'!$S68*'Weekly Summary'!W$65)+('Equipment List &amp; Usage'!$T68*('Weekly Summary'!W$64+'Weekly Summary'!W$65)),
('Equipment List &amp; Usage'!$O68*'Weekly Summary'!W$52)+('Equipment List &amp; Usage'!$P68*'Weekly Summary'!W$53)+('Equipment List &amp; Usage'!$Q68*('Weekly Summary'!W$52+'Weekly Summary'!W$53))+('Equipment List &amp; Usage'!$R68*'Weekly Summary'!W$64)+('Equipment List &amp; Usage'!$S68*'Weekly Summary'!W$65)+('Equipment List &amp; Usage'!$T68*('Weekly Summary'!W$64+'Weekly Summary'!W$65))-SUM($I66:AB66))),0)</f>
        <v>0</v>
      </c>
      <c r="AD66" s="1381">
        <f ca="1">MAX(IF($F66="No",('Equipment List &amp; Usage'!$O68*'Weekly Summary'!X$52)+('Equipment List &amp; Usage'!$P68*'Weekly Summary'!X$53)+('Equipment List &amp; Usage'!$Q68*('Weekly Summary'!X$52+'Weekly Summary'!X$53))+('Equipment List &amp; Usage'!$R68*'Weekly Summary'!X$64)+('Equipment List &amp; Usage'!$S68*'Weekly Summary'!X$65)+('Equipment List &amp; Usage'!$T68*('Weekly Summary'!X$64+'Weekly Summary'!X$65)),
IF(AD$10=0,('Equipment List &amp; Usage'!$O68*'Weekly Summary'!X$52)+('Equipment List &amp; Usage'!$P68*'Weekly Summary'!X$53)+('Equipment List &amp; Usage'!$Q68*('Weekly Summary'!X$52+'Weekly Summary'!X$53))+('Equipment List &amp; Usage'!$R68*'Weekly Summary'!X$64)+('Equipment List &amp; Usage'!$S68*'Weekly Summary'!X$65)+('Equipment List &amp; Usage'!$T68*('Weekly Summary'!X$64+'Weekly Summary'!X$65)),
('Equipment List &amp; Usage'!$O68*'Weekly Summary'!X$52)+('Equipment List &amp; Usage'!$P68*'Weekly Summary'!X$53)+('Equipment List &amp; Usage'!$Q68*('Weekly Summary'!X$52+'Weekly Summary'!X$53))+('Equipment List &amp; Usage'!$R68*'Weekly Summary'!X$64)+('Equipment List &amp; Usage'!$S68*'Weekly Summary'!X$65)+('Equipment List &amp; Usage'!$T68*('Weekly Summary'!X$64+'Weekly Summary'!X$65))-SUM($I66:AC66))),0)</f>
        <v>0</v>
      </c>
      <c r="AE66" s="1381">
        <f ca="1">MAX(IF($F66="No",('Equipment List &amp; Usage'!$O68*'Weekly Summary'!Y$52)+('Equipment List &amp; Usage'!$P68*'Weekly Summary'!Y$53)+('Equipment List &amp; Usage'!$Q68*('Weekly Summary'!Y$52+'Weekly Summary'!Y$53))+('Equipment List &amp; Usage'!$R68*'Weekly Summary'!Y$64)+('Equipment List &amp; Usage'!$S68*'Weekly Summary'!Y$65)+('Equipment List &amp; Usage'!$T68*('Weekly Summary'!Y$64+'Weekly Summary'!Y$65)),
IF(AE$10=0,('Equipment List &amp; Usage'!$O68*'Weekly Summary'!Y$52)+('Equipment List &amp; Usage'!$P68*'Weekly Summary'!Y$53)+('Equipment List &amp; Usage'!$Q68*('Weekly Summary'!Y$52+'Weekly Summary'!Y$53))+('Equipment List &amp; Usage'!$R68*'Weekly Summary'!Y$64)+('Equipment List &amp; Usage'!$S68*'Weekly Summary'!Y$65)+('Equipment List &amp; Usage'!$T68*('Weekly Summary'!Y$64+'Weekly Summary'!Y$65)),
('Equipment List &amp; Usage'!$O68*'Weekly Summary'!Y$52)+('Equipment List &amp; Usage'!$P68*'Weekly Summary'!Y$53)+('Equipment List &amp; Usage'!$Q68*('Weekly Summary'!Y$52+'Weekly Summary'!Y$53))+('Equipment List &amp; Usage'!$R68*'Weekly Summary'!Y$64)+('Equipment List &amp; Usage'!$S68*'Weekly Summary'!Y$65)+('Equipment List &amp; Usage'!$T68*('Weekly Summary'!Y$64+'Weekly Summary'!Y$65))-SUM($I66:AD66))),0)</f>
        <v>0</v>
      </c>
      <c r="AF66" s="1381">
        <f ca="1">MAX(IF($F66="No",('Equipment List &amp; Usage'!$O68*'Weekly Summary'!Z$52)+('Equipment List &amp; Usage'!$P68*'Weekly Summary'!Z$53)+('Equipment List &amp; Usage'!$Q68*('Weekly Summary'!Z$52+'Weekly Summary'!Z$53))+('Equipment List &amp; Usage'!$R68*'Weekly Summary'!Z$64)+('Equipment List &amp; Usage'!$S68*'Weekly Summary'!Z$65)+('Equipment List &amp; Usage'!$T68*('Weekly Summary'!Z$64+'Weekly Summary'!Z$65)),
IF(AF$10=0,('Equipment List &amp; Usage'!$O68*'Weekly Summary'!Z$52)+('Equipment List &amp; Usage'!$P68*'Weekly Summary'!Z$53)+('Equipment List &amp; Usage'!$Q68*('Weekly Summary'!Z$52+'Weekly Summary'!Z$53))+('Equipment List &amp; Usage'!$R68*'Weekly Summary'!Z$64)+('Equipment List &amp; Usage'!$S68*'Weekly Summary'!Z$65)+('Equipment List &amp; Usage'!$T68*('Weekly Summary'!Z$64+'Weekly Summary'!Z$65)),
('Equipment List &amp; Usage'!$O68*'Weekly Summary'!Z$52)+('Equipment List &amp; Usage'!$P68*'Weekly Summary'!Z$53)+('Equipment List &amp; Usage'!$Q68*('Weekly Summary'!Z$52+'Weekly Summary'!Z$53))+('Equipment List &amp; Usage'!$R68*'Weekly Summary'!Z$64)+('Equipment List &amp; Usage'!$S68*'Weekly Summary'!Z$65)+('Equipment List &amp; Usage'!$T68*('Weekly Summary'!Z$64+'Weekly Summary'!Z$65))-SUM($I66:AE66))),0)</f>
        <v>0</v>
      </c>
      <c r="AG66" s="1381">
        <f ca="1">MAX(IF($F66="No",('Equipment List &amp; Usage'!$O68*'Weekly Summary'!AA$52)+('Equipment List &amp; Usage'!$P68*'Weekly Summary'!AA$53)+('Equipment List &amp; Usage'!$Q68*('Weekly Summary'!AA$52+'Weekly Summary'!AA$53))+('Equipment List &amp; Usage'!$R68*'Weekly Summary'!AA$64)+('Equipment List &amp; Usage'!$S68*'Weekly Summary'!AA$65)+('Equipment List &amp; Usage'!$T68*('Weekly Summary'!AA$64+'Weekly Summary'!AA$65)),
IF(AG$10=0,('Equipment List &amp; Usage'!$O68*'Weekly Summary'!AA$52)+('Equipment List &amp; Usage'!$P68*'Weekly Summary'!AA$53)+('Equipment List &amp; Usage'!$Q68*('Weekly Summary'!AA$52+'Weekly Summary'!AA$53))+('Equipment List &amp; Usage'!$R68*'Weekly Summary'!AA$64)+('Equipment List &amp; Usage'!$S68*'Weekly Summary'!AA$65)+('Equipment List &amp; Usage'!$T68*('Weekly Summary'!AA$64+'Weekly Summary'!AA$65)),
('Equipment List &amp; Usage'!$O68*'Weekly Summary'!AA$52)+('Equipment List &amp; Usage'!$P68*'Weekly Summary'!AA$53)+('Equipment List &amp; Usage'!$Q68*('Weekly Summary'!AA$52+'Weekly Summary'!AA$53))+('Equipment List &amp; Usage'!$R68*'Weekly Summary'!AA$64)+('Equipment List &amp; Usage'!$S68*'Weekly Summary'!AA$65)+('Equipment List &amp; Usage'!$T68*('Weekly Summary'!AA$64+'Weekly Summary'!AA$65))-SUM($I66:AF66))),0)</f>
        <v>0</v>
      </c>
      <c r="AH66" s="1381">
        <f ca="1">MAX(IF($F66="No",('Equipment List &amp; Usage'!$O68*'Weekly Summary'!AB$52)+('Equipment List &amp; Usage'!$P68*'Weekly Summary'!AB$53)+('Equipment List &amp; Usage'!$Q68*('Weekly Summary'!AB$52+'Weekly Summary'!AB$53))+('Equipment List &amp; Usage'!$R68*'Weekly Summary'!AB$64)+('Equipment List &amp; Usage'!$S68*'Weekly Summary'!AB$65)+('Equipment List &amp; Usage'!$T68*('Weekly Summary'!AB$64+'Weekly Summary'!AB$65)),
IF(AH$10=0,('Equipment List &amp; Usage'!$O68*'Weekly Summary'!AB$52)+('Equipment List &amp; Usage'!$P68*'Weekly Summary'!AB$53)+('Equipment List &amp; Usage'!$Q68*('Weekly Summary'!AB$52+'Weekly Summary'!AB$53))+('Equipment List &amp; Usage'!$R68*'Weekly Summary'!AB$64)+('Equipment List &amp; Usage'!$S68*'Weekly Summary'!AB$65)+('Equipment List &amp; Usage'!$T68*('Weekly Summary'!AB$64+'Weekly Summary'!AB$65)),
('Equipment List &amp; Usage'!$O68*'Weekly Summary'!AB$52)+('Equipment List &amp; Usage'!$P68*'Weekly Summary'!AB$53)+('Equipment List &amp; Usage'!$Q68*('Weekly Summary'!AB$52+'Weekly Summary'!AB$53))+('Equipment List &amp; Usage'!$R68*'Weekly Summary'!AB$64)+('Equipment List &amp; Usage'!$S68*'Weekly Summary'!AB$65)+('Equipment List &amp; Usage'!$T68*('Weekly Summary'!AB$64+'Weekly Summary'!AB$65))-SUM($I66:AG66))),0)</f>
        <v>0</v>
      </c>
      <c r="AI66" s="1381">
        <f ca="1">MAX(IF($F66="No",('Equipment List &amp; Usage'!$O68*'Weekly Summary'!AC$52)+('Equipment List &amp; Usage'!$P68*'Weekly Summary'!AC$53)+('Equipment List &amp; Usage'!$Q68*('Weekly Summary'!AC$52+'Weekly Summary'!AC$53))+('Equipment List &amp; Usage'!$R68*'Weekly Summary'!AC$64)+('Equipment List &amp; Usage'!$S68*'Weekly Summary'!AC$65)+('Equipment List &amp; Usage'!$T68*('Weekly Summary'!AC$64+'Weekly Summary'!AC$65)),
IF(AI$10=0,('Equipment List &amp; Usage'!$O68*'Weekly Summary'!AC$52)+('Equipment List &amp; Usage'!$P68*'Weekly Summary'!AC$53)+('Equipment List &amp; Usage'!$Q68*('Weekly Summary'!AC$52+'Weekly Summary'!AC$53))+('Equipment List &amp; Usage'!$R68*'Weekly Summary'!AC$64)+('Equipment List &amp; Usage'!$S68*'Weekly Summary'!AC$65)+('Equipment List &amp; Usage'!$T68*('Weekly Summary'!AC$64+'Weekly Summary'!AC$65)),
('Equipment List &amp; Usage'!$O68*'Weekly Summary'!AC$52)+('Equipment List &amp; Usage'!$P68*'Weekly Summary'!AC$53)+('Equipment List &amp; Usage'!$Q68*('Weekly Summary'!AC$52+'Weekly Summary'!AC$53))+('Equipment List &amp; Usage'!$R68*'Weekly Summary'!AC$64)+('Equipment List &amp; Usage'!$S68*'Weekly Summary'!AC$65)+('Equipment List &amp; Usage'!$T68*('Weekly Summary'!AC$64+'Weekly Summary'!AC$65))-SUM($I66:AH66))),0)</f>
        <v>0</v>
      </c>
      <c r="AJ66" s="1381">
        <f ca="1">MAX(IF($F66="No",('Equipment List &amp; Usage'!$O68*'Weekly Summary'!AD$52)+('Equipment List &amp; Usage'!$P68*'Weekly Summary'!AD$53)+('Equipment List &amp; Usage'!$Q68*('Weekly Summary'!AD$52+'Weekly Summary'!AD$53))+('Equipment List &amp; Usage'!$R68*'Weekly Summary'!AD$64)+('Equipment List &amp; Usage'!$S68*'Weekly Summary'!AD$65)+('Equipment List &amp; Usage'!$T68*('Weekly Summary'!AD$64+'Weekly Summary'!AD$65)),
IF(AJ$10=0,('Equipment List &amp; Usage'!$O68*'Weekly Summary'!AD$52)+('Equipment List &amp; Usage'!$P68*'Weekly Summary'!AD$53)+('Equipment List &amp; Usage'!$Q68*('Weekly Summary'!AD$52+'Weekly Summary'!AD$53))+('Equipment List &amp; Usage'!$R68*'Weekly Summary'!AD$64)+('Equipment List &amp; Usage'!$S68*'Weekly Summary'!AD$65)+('Equipment List &amp; Usage'!$T68*('Weekly Summary'!AD$64+'Weekly Summary'!AD$65)),
('Equipment List &amp; Usage'!$O68*'Weekly Summary'!AD$52)+('Equipment List &amp; Usage'!$P68*'Weekly Summary'!AD$53)+('Equipment List &amp; Usage'!$Q68*('Weekly Summary'!AD$52+'Weekly Summary'!AD$53))+('Equipment List &amp; Usage'!$R68*'Weekly Summary'!AD$64)+('Equipment List &amp; Usage'!$S68*'Weekly Summary'!AD$65)+('Equipment List &amp; Usage'!$T68*('Weekly Summary'!AD$64+'Weekly Summary'!AD$65))-SUM($I66:AI66))),0)</f>
        <v>0</v>
      </c>
      <c r="AK66" s="1381">
        <f ca="1">MAX(IF($F66="No",('Equipment List &amp; Usage'!$O68*'Weekly Summary'!AE$52)+('Equipment List &amp; Usage'!$P68*'Weekly Summary'!AE$53)+('Equipment List &amp; Usage'!$Q68*('Weekly Summary'!AE$52+'Weekly Summary'!AE$53))+('Equipment List &amp; Usage'!$R68*'Weekly Summary'!AE$64)+('Equipment List &amp; Usage'!$S68*'Weekly Summary'!AE$65)+('Equipment List &amp; Usage'!$T68*('Weekly Summary'!AE$64+'Weekly Summary'!AE$65)),
IF(AK$10=0,('Equipment List &amp; Usage'!$O68*'Weekly Summary'!AE$52)+('Equipment List &amp; Usage'!$P68*'Weekly Summary'!AE$53)+('Equipment List &amp; Usage'!$Q68*('Weekly Summary'!AE$52+'Weekly Summary'!AE$53))+('Equipment List &amp; Usage'!$R68*'Weekly Summary'!AE$64)+('Equipment List &amp; Usage'!$S68*'Weekly Summary'!AE$65)+('Equipment List &amp; Usage'!$T68*('Weekly Summary'!AE$64+'Weekly Summary'!AE$65)),
('Equipment List &amp; Usage'!$O68*'Weekly Summary'!AE$52)+('Equipment List &amp; Usage'!$P68*'Weekly Summary'!AE$53)+('Equipment List &amp; Usage'!$Q68*('Weekly Summary'!AE$52+'Weekly Summary'!AE$53))+('Equipment List &amp; Usage'!$R68*'Weekly Summary'!AE$64)+('Equipment List &amp; Usage'!$S68*'Weekly Summary'!AE$65)+('Equipment List &amp; Usage'!$T68*('Weekly Summary'!AE$64+'Weekly Summary'!AE$65))-SUM($I66:AJ66))),0)</f>
        <v>0</v>
      </c>
      <c r="AL66" s="1381">
        <f ca="1">MAX(IF($F66="No",('Equipment List &amp; Usage'!$O68*'Weekly Summary'!AF$52)+('Equipment List &amp; Usage'!$P68*'Weekly Summary'!AF$53)+('Equipment List &amp; Usage'!$Q68*('Weekly Summary'!AF$52+'Weekly Summary'!AF$53))+('Equipment List &amp; Usage'!$R68*'Weekly Summary'!AF$64)+('Equipment List &amp; Usage'!$S68*'Weekly Summary'!AF$65)+('Equipment List &amp; Usage'!$T68*('Weekly Summary'!AF$64+'Weekly Summary'!AF$65)),
IF(AL$10=0,('Equipment List &amp; Usage'!$O68*'Weekly Summary'!AF$52)+('Equipment List &amp; Usage'!$P68*'Weekly Summary'!AF$53)+('Equipment List &amp; Usage'!$Q68*('Weekly Summary'!AF$52+'Weekly Summary'!AF$53))+('Equipment List &amp; Usage'!$R68*'Weekly Summary'!AF$64)+('Equipment List &amp; Usage'!$S68*'Weekly Summary'!AF$65)+('Equipment List &amp; Usage'!$T68*('Weekly Summary'!AF$64+'Weekly Summary'!AF$65)),
('Equipment List &amp; Usage'!$O68*'Weekly Summary'!AF$52)+('Equipment List &amp; Usage'!$P68*'Weekly Summary'!AF$53)+('Equipment List &amp; Usage'!$Q68*('Weekly Summary'!AF$52+'Weekly Summary'!AF$53))+('Equipment List &amp; Usage'!$R68*'Weekly Summary'!AF$64)+('Equipment List &amp; Usage'!$S68*'Weekly Summary'!AF$65)+('Equipment List &amp; Usage'!$T68*('Weekly Summary'!AF$64+'Weekly Summary'!AF$65))-SUM($I66:AK66))),0)</f>
        <v>0</v>
      </c>
      <c r="AM66" s="1381">
        <f ca="1">MAX(IF($F66="No",('Equipment List &amp; Usage'!$O68*'Weekly Summary'!AG$52)+('Equipment List &amp; Usage'!$P68*'Weekly Summary'!AG$53)+('Equipment List &amp; Usage'!$Q68*('Weekly Summary'!AG$52+'Weekly Summary'!AG$53))+('Equipment List &amp; Usage'!$R68*'Weekly Summary'!AG$64)+('Equipment List &amp; Usage'!$S68*'Weekly Summary'!AG$65)+('Equipment List &amp; Usage'!$T68*('Weekly Summary'!AG$64+'Weekly Summary'!AG$65)),
IF(AM$10=0,('Equipment List &amp; Usage'!$O68*'Weekly Summary'!AG$52)+('Equipment List &amp; Usage'!$P68*'Weekly Summary'!AG$53)+('Equipment List &amp; Usage'!$Q68*('Weekly Summary'!AG$52+'Weekly Summary'!AG$53))+('Equipment List &amp; Usage'!$R68*'Weekly Summary'!AG$64)+('Equipment List &amp; Usage'!$S68*'Weekly Summary'!AG$65)+('Equipment List &amp; Usage'!$T68*('Weekly Summary'!AG$64+'Weekly Summary'!AG$65)),
('Equipment List &amp; Usage'!$O68*'Weekly Summary'!AG$52)+('Equipment List &amp; Usage'!$P68*'Weekly Summary'!AG$53)+('Equipment List &amp; Usage'!$Q68*('Weekly Summary'!AG$52+'Weekly Summary'!AG$53))+('Equipment List &amp; Usage'!$R68*'Weekly Summary'!AG$64)+('Equipment List &amp; Usage'!$S68*'Weekly Summary'!AG$65)+('Equipment List &amp; Usage'!$T68*('Weekly Summary'!AG$64+'Weekly Summary'!AG$65))-SUM($I66:AL66))),0)</f>
        <v>0</v>
      </c>
      <c r="AN66" s="1381">
        <f ca="1">MAX(IF($F66="No",('Equipment List &amp; Usage'!$O68*'Weekly Summary'!AH$52)+('Equipment List &amp; Usage'!$P68*'Weekly Summary'!AH$53)+('Equipment List &amp; Usage'!$Q68*('Weekly Summary'!AH$52+'Weekly Summary'!AH$53))+('Equipment List &amp; Usage'!$R68*'Weekly Summary'!AH$64)+('Equipment List &amp; Usage'!$S68*'Weekly Summary'!AH$65)+('Equipment List &amp; Usage'!$T68*('Weekly Summary'!AH$64+'Weekly Summary'!AH$65)),
IF(AN$10=0,('Equipment List &amp; Usage'!$O68*'Weekly Summary'!AH$52)+('Equipment List &amp; Usage'!$P68*'Weekly Summary'!AH$53)+('Equipment List &amp; Usage'!$Q68*('Weekly Summary'!AH$52+'Weekly Summary'!AH$53))+('Equipment List &amp; Usage'!$R68*'Weekly Summary'!AH$64)+('Equipment List &amp; Usage'!$S68*'Weekly Summary'!AH$65)+('Equipment List &amp; Usage'!$T68*('Weekly Summary'!AH$64+'Weekly Summary'!AH$65)),
('Equipment List &amp; Usage'!$O68*'Weekly Summary'!AH$52)+('Equipment List &amp; Usage'!$P68*'Weekly Summary'!AH$53)+('Equipment List &amp; Usage'!$Q68*('Weekly Summary'!AH$52+'Weekly Summary'!AH$53))+('Equipment List &amp; Usage'!$R68*'Weekly Summary'!AH$64)+('Equipment List &amp; Usage'!$S68*'Weekly Summary'!AH$65)+('Equipment List &amp; Usage'!$T68*('Weekly Summary'!AH$64+'Weekly Summary'!AH$65))-SUM($I66:AM66))),0)</f>
        <v>0</v>
      </c>
      <c r="AO66" s="1381">
        <f ca="1">MAX(IF($F66="No",('Equipment List &amp; Usage'!$O68*'Weekly Summary'!AI$52)+('Equipment List &amp; Usage'!$P68*'Weekly Summary'!AI$53)+('Equipment List &amp; Usage'!$Q68*('Weekly Summary'!AI$52+'Weekly Summary'!AI$53))+('Equipment List &amp; Usage'!$R68*'Weekly Summary'!AI$64)+('Equipment List &amp; Usage'!$S68*'Weekly Summary'!AI$65)+('Equipment List &amp; Usage'!$T68*('Weekly Summary'!AI$64+'Weekly Summary'!AI$65)),
IF(AO$10=0,('Equipment List &amp; Usage'!$O68*'Weekly Summary'!AI$52)+('Equipment List &amp; Usage'!$P68*'Weekly Summary'!AI$53)+('Equipment List &amp; Usage'!$Q68*('Weekly Summary'!AI$52+'Weekly Summary'!AI$53))+('Equipment List &amp; Usage'!$R68*'Weekly Summary'!AI$64)+('Equipment List &amp; Usage'!$S68*'Weekly Summary'!AI$65)+('Equipment List &amp; Usage'!$T68*('Weekly Summary'!AI$64+'Weekly Summary'!AI$65)),
('Equipment List &amp; Usage'!$O68*'Weekly Summary'!AI$52)+('Equipment List &amp; Usage'!$P68*'Weekly Summary'!AI$53)+('Equipment List &amp; Usage'!$Q68*('Weekly Summary'!AI$52+'Weekly Summary'!AI$53))+('Equipment List &amp; Usage'!$R68*'Weekly Summary'!AI$64)+('Equipment List &amp; Usage'!$S68*'Weekly Summary'!AI$65)+('Equipment List &amp; Usage'!$T68*('Weekly Summary'!AI$64+'Weekly Summary'!AI$65))-SUM($I66:AN66))),0)</f>
        <v>0</v>
      </c>
      <c r="AP66" s="1381">
        <f ca="1">MAX(IF($F66="No",('Equipment List &amp; Usage'!$O68*'Weekly Summary'!AJ$52)+('Equipment List &amp; Usage'!$P68*'Weekly Summary'!AJ$53)+('Equipment List &amp; Usage'!$Q68*('Weekly Summary'!AJ$52+'Weekly Summary'!AJ$53))+('Equipment List &amp; Usage'!$R68*'Weekly Summary'!AJ$64)+('Equipment List &amp; Usage'!$S68*'Weekly Summary'!AJ$65)+('Equipment List &amp; Usage'!$T68*('Weekly Summary'!AJ$64+'Weekly Summary'!AJ$65)),
IF(AP$10=0,('Equipment List &amp; Usage'!$O68*'Weekly Summary'!AJ$52)+('Equipment List &amp; Usage'!$P68*'Weekly Summary'!AJ$53)+('Equipment List &amp; Usage'!$Q68*('Weekly Summary'!AJ$52+'Weekly Summary'!AJ$53))+('Equipment List &amp; Usage'!$R68*'Weekly Summary'!AJ$64)+('Equipment List &amp; Usage'!$S68*'Weekly Summary'!AJ$65)+('Equipment List &amp; Usage'!$T68*('Weekly Summary'!AJ$64+'Weekly Summary'!AJ$65)),
('Equipment List &amp; Usage'!$O68*'Weekly Summary'!AJ$52)+('Equipment List &amp; Usage'!$P68*'Weekly Summary'!AJ$53)+('Equipment List &amp; Usage'!$Q68*('Weekly Summary'!AJ$52+'Weekly Summary'!AJ$53))+('Equipment List &amp; Usage'!$R68*'Weekly Summary'!AJ$64)+('Equipment List &amp; Usage'!$S68*'Weekly Summary'!AJ$65)+('Equipment List &amp; Usage'!$T68*('Weekly Summary'!AJ$64+'Weekly Summary'!AJ$65))-SUM($I66:AO66))),0)</f>
        <v>0</v>
      </c>
      <c r="AQ66" s="1381">
        <f ca="1">MAX(IF($F66="No",('Equipment List &amp; Usage'!$O68*'Weekly Summary'!AK$52)+('Equipment List &amp; Usage'!$P68*'Weekly Summary'!AK$53)+('Equipment List &amp; Usage'!$Q68*('Weekly Summary'!AK$52+'Weekly Summary'!AK$53))+('Equipment List &amp; Usage'!$R68*'Weekly Summary'!AK$64)+('Equipment List &amp; Usage'!$S68*'Weekly Summary'!AK$65)+('Equipment List &amp; Usage'!$T68*('Weekly Summary'!AK$64+'Weekly Summary'!AK$65)),
IF(AQ$10=0,('Equipment List &amp; Usage'!$O68*'Weekly Summary'!AK$52)+('Equipment List &amp; Usage'!$P68*'Weekly Summary'!AK$53)+('Equipment List &amp; Usage'!$Q68*('Weekly Summary'!AK$52+'Weekly Summary'!AK$53))+('Equipment List &amp; Usage'!$R68*'Weekly Summary'!AK$64)+('Equipment List &amp; Usage'!$S68*'Weekly Summary'!AK$65)+('Equipment List &amp; Usage'!$T68*('Weekly Summary'!AK$64+'Weekly Summary'!AK$65)),
('Equipment List &amp; Usage'!$O68*'Weekly Summary'!AK$52)+('Equipment List &amp; Usage'!$P68*'Weekly Summary'!AK$53)+('Equipment List &amp; Usage'!$Q68*('Weekly Summary'!AK$52+'Weekly Summary'!AK$53))+('Equipment List &amp; Usage'!$R68*'Weekly Summary'!AK$64)+('Equipment List &amp; Usage'!$S68*'Weekly Summary'!AK$65)+('Equipment List &amp; Usage'!$T68*('Weekly Summary'!AK$64+'Weekly Summary'!AK$65))-SUM($I66:AP66))),0)</f>
        <v>0</v>
      </c>
      <c r="AR66" s="1381">
        <f ca="1">MAX(IF($F66="No",('Equipment List &amp; Usage'!$O68*'Weekly Summary'!AL$52)+('Equipment List &amp; Usage'!$P68*'Weekly Summary'!AL$53)+('Equipment List &amp; Usage'!$Q68*('Weekly Summary'!AL$52+'Weekly Summary'!AL$53))+('Equipment List &amp; Usage'!$R68*'Weekly Summary'!AL$64)+('Equipment List &amp; Usage'!$S68*'Weekly Summary'!AL$65)+('Equipment List &amp; Usage'!$T68*('Weekly Summary'!AL$64+'Weekly Summary'!AL$65)),
IF(AR$10=0,('Equipment List &amp; Usage'!$O68*'Weekly Summary'!AL$52)+('Equipment List &amp; Usage'!$P68*'Weekly Summary'!AL$53)+('Equipment List &amp; Usage'!$Q68*('Weekly Summary'!AL$52+'Weekly Summary'!AL$53))+('Equipment List &amp; Usage'!$R68*'Weekly Summary'!AL$64)+('Equipment List &amp; Usage'!$S68*'Weekly Summary'!AL$65)+('Equipment List &amp; Usage'!$T68*('Weekly Summary'!AL$64+'Weekly Summary'!AL$65)),
('Equipment List &amp; Usage'!$O68*'Weekly Summary'!AL$52)+('Equipment List &amp; Usage'!$P68*'Weekly Summary'!AL$53)+('Equipment List &amp; Usage'!$Q68*('Weekly Summary'!AL$52+'Weekly Summary'!AL$53))+('Equipment List &amp; Usage'!$R68*'Weekly Summary'!AL$64)+('Equipment List &amp; Usage'!$S68*'Weekly Summary'!AL$65)+('Equipment List &amp; Usage'!$T68*('Weekly Summary'!AL$64+'Weekly Summary'!AL$65))-SUM($I66:AQ66))),0)</f>
        <v>0</v>
      </c>
      <c r="AS66" s="1381">
        <f ca="1">MAX(IF($F66="No",('Equipment List &amp; Usage'!$O68*'Weekly Summary'!AM$52)+('Equipment List &amp; Usage'!$P68*'Weekly Summary'!AM$53)+('Equipment List &amp; Usage'!$Q68*('Weekly Summary'!AM$52+'Weekly Summary'!AM$53))+('Equipment List &amp; Usage'!$R68*'Weekly Summary'!AM$64)+('Equipment List &amp; Usage'!$S68*'Weekly Summary'!AM$65)+('Equipment List &amp; Usage'!$T68*('Weekly Summary'!AM$64+'Weekly Summary'!AM$65)),
IF(AS$10=0,('Equipment List &amp; Usage'!$O68*'Weekly Summary'!AM$52)+('Equipment List &amp; Usage'!$P68*'Weekly Summary'!AM$53)+('Equipment List &amp; Usage'!$Q68*('Weekly Summary'!AM$52+'Weekly Summary'!AM$53))+('Equipment List &amp; Usage'!$R68*'Weekly Summary'!AM$64)+('Equipment List &amp; Usage'!$S68*'Weekly Summary'!AM$65)+('Equipment List &amp; Usage'!$T68*('Weekly Summary'!AM$64+'Weekly Summary'!AM$65)),
('Equipment List &amp; Usage'!$O68*'Weekly Summary'!AM$52)+('Equipment List &amp; Usage'!$P68*'Weekly Summary'!AM$53)+('Equipment List &amp; Usage'!$Q68*('Weekly Summary'!AM$52+'Weekly Summary'!AM$53))+('Equipment List &amp; Usage'!$R68*'Weekly Summary'!AM$64)+('Equipment List &amp; Usage'!$S68*'Weekly Summary'!AM$65)+('Equipment List &amp; Usage'!$T68*('Weekly Summary'!AM$64+'Weekly Summary'!AM$65))-SUM($I66:AR66))),0)</f>
        <v>0</v>
      </c>
      <c r="AT66" s="1381">
        <f ca="1">MAX(IF($F66="No",('Equipment List &amp; Usage'!$O68*'Weekly Summary'!AN$52)+('Equipment List &amp; Usage'!$P68*'Weekly Summary'!AN$53)+('Equipment List &amp; Usage'!$Q68*('Weekly Summary'!AN$52+'Weekly Summary'!AN$53))+('Equipment List &amp; Usage'!$R68*'Weekly Summary'!AN$64)+('Equipment List &amp; Usage'!$S68*'Weekly Summary'!AN$65)+('Equipment List &amp; Usage'!$T68*('Weekly Summary'!AN$64+'Weekly Summary'!AN$65)),
IF(AT$10=0,('Equipment List &amp; Usage'!$O68*'Weekly Summary'!AN$52)+('Equipment List &amp; Usage'!$P68*'Weekly Summary'!AN$53)+('Equipment List &amp; Usage'!$Q68*('Weekly Summary'!AN$52+'Weekly Summary'!AN$53))+('Equipment List &amp; Usage'!$R68*'Weekly Summary'!AN$64)+('Equipment List &amp; Usage'!$S68*'Weekly Summary'!AN$65)+('Equipment List &amp; Usage'!$T68*('Weekly Summary'!AN$64+'Weekly Summary'!AN$65)),
('Equipment List &amp; Usage'!$O68*'Weekly Summary'!AN$52)+('Equipment List &amp; Usage'!$P68*'Weekly Summary'!AN$53)+('Equipment List &amp; Usage'!$Q68*('Weekly Summary'!AN$52+'Weekly Summary'!AN$53))+('Equipment List &amp; Usage'!$R68*'Weekly Summary'!AN$64)+('Equipment List &amp; Usage'!$S68*'Weekly Summary'!AN$65)+('Equipment List &amp; Usage'!$T68*('Weekly Summary'!AN$64+'Weekly Summary'!AN$65))-SUM($I66:AS66))),0)</f>
        <v>0</v>
      </c>
      <c r="AU66" s="1381">
        <f ca="1">MAX(IF($F66="No",('Equipment List &amp; Usage'!$O68*'Weekly Summary'!AO$52)+('Equipment List &amp; Usage'!$P68*'Weekly Summary'!AO$53)+('Equipment List &amp; Usage'!$Q68*('Weekly Summary'!AO$52+'Weekly Summary'!AO$53))+('Equipment List &amp; Usage'!$R68*'Weekly Summary'!AO$64)+('Equipment List &amp; Usage'!$S68*'Weekly Summary'!AO$65)+('Equipment List &amp; Usage'!$T68*('Weekly Summary'!AO$64+'Weekly Summary'!AO$65)),
IF(AU$10=0,('Equipment List &amp; Usage'!$O68*'Weekly Summary'!AO$52)+('Equipment List &amp; Usage'!$P68*'Weekly Summary'!AO$53)+('Equipment List &amp; Usage'!$Q68*('Weekly Summary'!AO$52+'Weekly Summary'!AO$53))+('Equipment List &amp; Usage'!$R68*'Weekly Summary'!AO$64)+('Equipment List &amp; Usage'!$S68*'Weekly Summary'!AO$65)+('Equipment List &amp; Usage'!$T68*('Weekly Summary'!AO$64+'Weekly Summary'!AO$65)),
('Equipment List &amp; Usage'!$O68*'Weekly Summary'!AO$52)+('Equipment List &amp; Usage'!$P68*'Weekly Summary'!AO$53)+('Equipment List &amp; Usage'!$Q68*('Weekly Summary'!AO$52+'Weekly Summary'!AO$53))+('Equipment List &amp; Usage'!$R68*'Weekly Summary'!AO$64)+('Equipment List &amp; Usage'!$S68*'Weekly Summary'!AO$65)+('Equipment List &amp; Usage'!$T68*('Weekly Summary'!AO$64+'Weekly Summary'!AO$65))-SUM($I66:AT66))),0)</f>
        <v>0</v>
      </c>
      <c r="AV66" s="1381">
        <f ca="1">MAX(IF($F66="No",('Equipment List &amp; Usage'!$O68*'Weekly Summary'!AP$52)+('Equipment List &amp; Usage'!$P68*'Weekly Summary'!AP$53)+('Equipment List &amp; Usage'!$Q68*('Weekly Summary'!AP$52+'Weekly Summary'!AP$53))+('Equipment List &amp; Usage'!$R68*'Weekly Summary'!AP$64)+('Equipment List &amp; Usage'!$S68*'Weekly Summary'!AP$65)+('Equipment List &amp; Usage'!$T68*('Weekly Summary'!AP$64+'Weekly Summary'!AP$65)),
IF(AV$10=0,('Equipment List &amp; Usage'!$O68*'Weekly Summary'!AP$52)+('Equipment List &amp; Usage'!$P68*'Weekly Summary'!AP$53)+('Equipment List &amp; Usage'!$Q68*('Weekly Summary'!AP$52+'Weekly Summary'!AP$53))+('Equipment List &amp; Usage'!$R68*'Weekly Summary'!AP$64)+('Equipment List &amp; Usage'!$S68*'Weekly Summary'!AP$65)+('Equipment List &amp; Usage'!$T68*('Weekly Summary'!AP$64+'Weekly Summary'!AP$65)),
('Equipment List &amp; Usage'!$O68*'Weekly Summary'!AP$52)+('Equipment List &amp; Usage'!$P68*'Weekly Summary'!AP$53)+('Equipment List &amp; Usage'!$Q68*('Weekly Summary'!AP$52+'Weekly Summary'!AP$53))+('Equipment List &amp; Usage'!$R68*'Weekly Summary'!AP$64)+('Equipment List &amp; Usage'!$S68*'Weekly Summary'!AP$65)+('Equipment List &amp; Usage'!$T68*('Weekly Summary'!AP$64+'Weekly Summary'!AP$65))-SUM($I66:AU66))),0)</f>
        <v>0</v>
      </c>
      <c r="AW66" s="1381">
        <f ca="1">MAX(IF($F66="No",('Equipment List &amp; Usage'!$O68*'Weekly Summary'!AQ$52)+('Equipment List &amp; Usage'!$P68*'Weekly Summary'!AQ$53)+('Equipment List &amp; Usage'!$Q68*('Weekly Summary'!AQ$52+'Weekly Summary'!AQ$53))+('Equipment List &amp; Usage'!$R68*'Weekly Summary'!AQ$64)+('Equipment List &amp; Usage'!$S68*'Weekly Summary'!AQ$65)+('Equipment List &amp; Usage'!$T68*('Weekly Summary'!AQ$64+'Weekly Summary'!AQ$65)),
IF(AW$10=0,('Equipment List &amp; Usage'!$O68*'Weekly Summary'!AQ$52)+('Equipment List &amp; Usage'!$P68*'Weekly Summary'!AQ$53)+('Equipment List &amp; Usage'!$Q68*('Weekly Summary'!AQ$52+'Weekly Summary'!AQ$53))+('Equipment List &amp; Usage'!$R68*'Weekly Summary'!AQ$64)+('Equipment List &amp; Usage'!$S68*'Weekly Summary'!AQ$65)+('Equipment List &amp; Usage'!$T68*('Weekly Summary'!AQ$64+'Weekly Summary'!AQ$65)),
('Equipment List &amp; Usage'!$O68*'Weekly Summary'!AQ$52)+('Equipment List &amp; Usage'!$P68*'Weekly Summary'!AQ$53)+('Equipment List &amp; Usage'!$Q68*('Weekly Summary'!AQ$52+'Weekly Summary'!AQ$53))+('Equipment List &amp; Usage'!$R68*'Weekly Summary'!AQ$64)+('Equipment List &amp; Usage'!$S68*'Weekly Summary'!AQ$65)+('Equipment List &amp; Usage'!$T68*('Weekly Summary'!AQ$64+'Weekly Summary'!AQ$65))-SUM($I66:AV66))),0)</f>
        <v>0</v>
      </c>
      <c r="AX66" s="1381">
        <f ca="1">MAX(IF($F66="No",('Equipment List &amp; Usage'!$O68*'Weekly Summary'!AR$52)+('Equipment List &amp; Usage'!$P68*'Weekly Summary'!AR$53)+('Equipment List &amp; Usage'!$Q68*('Weekly Summary'!AR$52+'Weekly Summary'!AR$53))+('Equipment List &amp; Usage'!$R68*'Weekly Summary'!AR$64)+('Equipment List &amp; Usage'!$S68*'Weekly Summary'!AR$65)+('Equipment List &amp; Usage'!$T68*('Weekly Summary'!AR$64+'Weekly Summary'!AR$65)),
IF(AX$10=0,('Equipment List &amp; Usage'!$O68*'Weekly Summary'!AR$52)+('Equipment List &amp; Usage'!$P68*'Weekly Summary'!AR$53)+('Equipment List &amp; Usage'!$Q68*('Weekly Summary'!AR$52+'Weekly Summary'!AR$53))+('Equipment List &amp; Usage'!$R68*'Weekly Summary'!AR$64)+('Equipment List &amp; Usage'!$S68*'Weekly Summary'!AR$65)+('Equipment List &amp; Usage'!$T68*('Weekly Summary'!AR$64+'Weekly Summary'!AR$65)),
('Equipment List &amp; Usage'!$O68*'Weekly Summary'!AR$52)+('Equipment List &amp; Usage'!$P68*'Weekly Summary'!AR$53)+('Equipment List &amp; Usage'!$Q68*('Weekly Summary'!AR$52+'Weekly Summary'!AR$53))+('Equipment List &amp; Usage'!$R68*'Weekly Summary'!AR$64)+('Equipment List &amp; Usage'!$S68*'Weekly Summary'!AR$65)+('Equipment List &amp; Usage'!$T68*('Weekly Summary'!AR$64+'Weekly Summary'!AR$65))-SUM($I66:AW66))),0)</f>
        <v>0</v>
      </c>
      <c r="AY66" s="1381">
        <f ca="1">MAX(IF($F66="No",('Equipment List &amp; Usage'!$O68*'Weekly Summary'!AS$52)+('Equipment List &amp; Usage'!$P68*'Weekly Summary'!AS$53)+('Equipment List &amp; Usage'!$Q68*('Weekly Summary'!AS$52+'Weekly Summary'!AS$53))+('Equipment List &amp; Usage'!$R68*'Weekly Summary'!AS$64)+('Equipment List &amp; Usage'!$S68*'Weekly Summary'!AS$65)+('Equipment List &amp; Usage'!$T68*('Weekly Summary'!AS$64+'Weekly Summary'!AS$65)),
IF(AY$10=0,('Equipment List &amp; Usage'!$O68*'Weekly Summary'!AS$52)+('Equipment List &amp; Usage'!$P68*'Weekly Summary'!AS$53)+('Equipment List &amp; Usage'!$Q68*('Weekly Summary'!AS$52+'Weekly Summary'!AS$53))+('Equipment List &amp; Usage'!$R68*'Weekly Summary'!AS$64)+('Equipment List &amp; Usage'!$S68*'Weekly Summary'!AS$65)+('Equipment List &amp; Usage'!$T68*('Weekly Summary'!AS$64+'Weekly Summary'!AS$65)),
('Equipment List &amp; Usage'!$O68*'Weekly Summary'!AS$52)+('Equipment List &amp; Usage'!$P68*'Weekly Summary'!AS$53)+('Equipment List &amp; Usage'!$Q68*('Weekly Summary'!AS$52+'Weekly Summary'!AS$53))+('Equipment List &amp; Usage'!$R68*'Weekly Summary'!AS$64)+('Equipment List &amp; Usage'!$S68*'Weekly Summary'!AS$65)+('Equipment List &amp; Usage'!$T68*('Weekly Summary'!AS$64+'Weekly Summary'!AS$65))-SUM($I66:AX66))),0)</f>
        <v>0</v>
      </c>
      <c r="AZ66" s="1381">
        <f ca="1">MAX(IF($F66="No",('Equipment List &amp; Usage'!$O68*'Weekly Summary'!AT$52)+('Equipment List &amp; Usage'!$P68*'Weekly Summary'!AT$53)+('Equipment List &amp; Usage'!$Q68*('Weekly Summary'!AT$52+'Weekly Summary'!AT$53))+('Equipment List &amp; Usage'!$R68*'Weekly Summary'!AT$64)+('Equipment List &amp; Usage'!$S68*'Weekly Summary'!AT$65)+('Equipment List &amp; Usage'!$T68*('Weekly Summary'!AT$64+'Weekly Summary'!AT$65)),
IF(AZ$10=0,('Equipment List &amp; Usage'!$O68*'Weekly Summary'!AT$52)+('Equipment List &amp; Usage'!$P68*'Weekly Summary'!AT$53)+('Equipment List &amp; Usage'!$Q68*('Weekly Summary'!AT$52+'Weekly Summary'!AT$53))+('Equipment List &amp; Usage'!$R68*'Weekly Summary'!AT$64)+('Equipment List &amp; Usage'!$S68*'Weekly Summary'!AT$65)+('Equipment List &amp; Usage'!$T68*('Weekly Summary'!AT$64+'Weekly Summary'!AT$65)),
('Equipment List &amp; Usage'!$O68*'Weekly Summary'!AT$52)+('Equipment List &amp; Usage'!$P68*'Weekly Summary'!AT$53)+('Equipment List &amp; Usage'!$Q68*('Weekly Summary'!AT$52+'Weekly Summary'!AT$53))+('Equipment List &amp; Usage'!$R68*'Weekly Summary'!AT$64)+('Equipment List &amp; Usage'!$S68*'Weekly Summary'!AT$65)+('Equipment List &amp; Usage'!$T68*('Weekly Summary'!AT$64+'Weekly Summary'!AT$65))-SUM($I66:AY66))),0)</f>
        <v>0</v>
      </c>
      <c r="BA66" s="1381">
        <f ca="1">MAX(IF($F66="No",('Equipment List &amp; Usage'!$O68*'Weekly Summary'!AU$52)+('Equipment List &amp; Usage'!$P68*'Weekly Summary'!AU$53)+('Equipment List &amp; Usage'!$Q68*('Weekly Summary'!AU$52+'Weekly Summary'!AU$53))+('Equipment List &amp; Usage'!$R68*'Weekly Summary'!AU$64)+('Equipment List &amp; Usage'!$S68*'Weekly Summary'!AU$65)+('Equipment List &amp; Usage'!$T68*('Weekly Summary'!AU$64+'Weekly Summary'!AU$65)),
IF(BA$10=0,('Equipment List &amp; Usage'!$O68*'Weekly Summary'!AU$52)+('Equipment List &amp; Usage'!$P68*'Weekly Summary'!AU$53)+('Equipment List &amp; Usage'!$Q68*('Weekly Summary'!AU$52+'Weekly Summary'!AU$53))+('Equipment List &amp; Usage'!$R68*'Weekly Summary'!AU$64)+('Equipment List &amp; Usage'!$S68*'Weekly Summary'!AU$65)+('Equipment List &amp; Usage'!$T68*('Weekly Summary'!AU$64+'Weekly Summary'!AU$65)),
('Equipment List &amp; Usage'!$O68*'Weekly Summary'!AU$52)+('Equipment List &amp; Usage'!$P68*'Weekly Summary'!AU$53)+('Equipment List &amp; Usage'!$Q68*('Weekly Summary'!AU$52+'Weekly Summary'!AU$53))+('Equipment List &amp; Usage'!$R68*'Weekly Summary'!AU$64)+('Equipment List &amp; Usage'!$S68*'Weekly Summary'!AU$65)+('Equipment List &amp; Usage'!$T68*('Weekly Summary'!AU$64+'Weekly Summary'!AU$65))-SUM($I66:AZ66))),0)</f>
        <v>0</v>
      </c>
      <c r="BB66" s="1381">
        <f ca="1">MAX(IF($F66="No",('Equipment List &amp; Usage'!$O68*'Weekly Summary'!AV$52)+('Equipment List &amp; Usage'!$P68*'Weekly Summary'!AV$53)+('Equipment List &amp; Usage'!$Q68*('Weekly Summary'!AV$52+'Weekly Summary'!AV$53))+('Equipment List &amp; Usage'!$R68*'Weekly Summary'!AV$64)+('Equipment List &amp; Usage'!$S68*'Weekly Summary'!AV$65)+('Equipment List &amp; Usage'!$T68*('Weekly Summary'!AV$64+'Weekly Summary'!AV$65)),
IF(BB$10=0,('Equipment List &amp; Usage'!$O68*'Weekly Summary'!AV$52)+('Equipment List &amp; Usage'!$P68*'Weekly Summary'!AV$53)+('Equipment List &amp; Usage'!$Q68*('Weekly Summary'!AV$52+'Weekly Summary'!AV$53))+('Equipment List &amp; Usage'!$R68*'Weekly Summary'!AV$64)+('Equipment List &amp; Usage'!$S68*'Weekly Summary'!AV$65)+('Equipment List &amp; Usage'!$T68*('Weekly Summary'!AV$64+'Weekly Summary'!AV$65)),
('Equipment List &amp; Usage'!$O68*'Weekly Summary'!AV$52)+('Equipment List &amp; Usage'!$P68*'Weekly Summary'!AV$53)+('Equipment List &amp; Usage'!$Q68*('Weekly Summary'!AV$52+'Weekly Summary'!AV$53))+('Equipment List &amp; Usage'!$R68*'Weekly Summary'!AV$64)+('Equipment List &amp; Usage'!$S68*'Weekly Summary'!AV$65)+('Equipment List &amp; Usage'!$T68*('Weekly Summary'!AV$64+'Weekly Summary'!AV$65))-SUM($I66:BA66))),0)</f>
        <v>0</v>
      </c>
      <c r="BC66" s="1381">
        <f ca="1">MAX(IF($F66="No",('Equipment List &amp; Usage'!$O68*'Weekly Summary'!AW$52)+('Equipment List &amp; Usage'!$P68*'Weekly Summary'!AW$53)+('Equipment List &amp; Usage'!$Q68*('Weekly Summary'!AW$52+'Weekly Summary'!AW$53))+('Equipment List &amp; Usage'!$R68*'Weekly Summary'!AW$64)+('Equipment List &amp; Usage'!$S68*'Weekly Summary'!AW$65)+('Equipment List &amp; Usage'!$T68*('Weekly Summary'!AW$64+'Weekly Summary'!AW$65)),
IF(BC$10=0,('Equipment List &amp; Usage'!$O68*'Weekly Summary'!AW$52)+('Equipment List &amp; Usage'!$P68*'Weekly Summary'!AW$53)+('Equipment List &amp; Usage'!$Q68*('Weekly Summary'!AW$52+'Weekly Summary'!AW$53))+('Equipment List &amp; Usage'!$R68*'Weekly Summary'!AW$64)+('Equipment List &amp; Usage'!$S68*'Weekly Summary'!AW$65)+('Equipment List &amp; Usage'!$T68*('Weekly Summary'!AW$64+'Weekly Summary'!AW$65)),
('Equipment List &amp; Usage'!$O68*'Weekly Summary'!AW$52)+('Equipment List &amp; Usage'!$P68*'Weekly Summary'!AW$53)+('Equipment List &amp; Usage'!$Q68*('Weekly Summary'!AW$52+'Weekly Summary'!AW$53))+('Equipment List &amp; Usage'!$R68*'Weekly Summary'!AW$64)+('Equipment List &amp; Usage'!$S68*'Weekly Summary'!AW$65)+('Equipment List &amp; Usage'!$T68*('Weekly Summary'!AW$64+'Weekly Summary'!AW$65))-SUM($I66:BB66))),0)</f>
        <v>0</v>
      </c>
      <c r="BD66" s="1381">
        <f ca="1">MAX(IF($F66="No",('Equipment List &amp; Usage'!$O68*'Weekly Summary'!AX$52)+('Equipment List &amp; Usage'!$P68*'Weekly Summary'!AX$53)+('Equipment List &amp; Usage'!$Q68*('Weekly Summary'!AX$52+'Weekly Summary'!AX$53))+('Equipment List &amp; Usage'!$R68*'Weekly Summary'!AX$64)+('Equipment List &amp; Usage'!$S68*'Weekly Summary'!AX$65)+('Equipment List &amp; Usage'!$T68*('Weekly Summary'!AX$64+'Weekly Summary'!AX$65)),
IF(BD$10=0,('Equipment List &amp; Usage'!$O68*'Weekly Summary'!AX$52)+('Equipment List &amp; Usage'!$P68*'Weekly Summary'!AX$53)+('Equipment List &amp; Usage'!$Q68*('Weekly Summary'!AX$52+'Weekly Summary'!AX$53))+('Equipment List &amp; Usage'!$R68*'Weekly Summary'!AX$64)+('Equipment List &amp; Usage'!$S68*'Weekly Summary'!AX$65)+('Equipment List &amp; Usage'!$T68*('Weekly Summary'!AX$64+'Weekly Summary'!AX$65)),
('Equipment List &amp; Usage'!$O68*'Weekly Summary'!AX$52)+('Equipment List &amp; Usage'!$P68*'Weekly Summary'!AX$53)+('Equipment List &amp; Usage'!$Q68*('Weekly Summary'!AX$52+'Weekly Summary'!AX$53))+('Equipment List &amp; Usage'!$R68*'Weekly Summary'!AX$64)+('Equipment List &amp; Usage'!$S68*'Weekly Summary'!AX$65)+('Equipment List &amp; Usage'!$T68*('Weekly Summary'!AX$64+'Weekly Summary'!AX$65))-SUM($I66:BC66))),0)</f>
        <v>0</v>
      </c>
      <c r="BE66" s="1381">
        <f ca="1">MAX(IF($F66="No",('Equipment List &amp; Usage'!$O68*'Weekly Summary'!AY$52)+('Equipment List &amp; Usage'!$P68*'Weekly Summary'!AY$53)+('Equipment List &amp; Usage'!$Q68*('Weekly Summary'!AY$52+'Weekly Summary'!AY$53))+('Equipment List &amp; Usage'!$R68*'Weekly Summary'!AY$64)+('Equipment List &amp; Usage'!$S68*'Weekly Summary'!AY$65)+('Equipment List &amp; Usage'!$T68*('Weekly Summary'!AY$64+'Weekly Summary'!AY$65)),
IF(BE$10=0,('Equipment List &amp; Usage'!$O68*'Weekly Summary'!AY$52)+('Equipment List &amp; Usage'!$P68*'Weekly Summary'!AY$53)+('Equipment List &amp; Usage'!$Q68*('Weekly Summary'!AY$52+'Weekly Summary'!AY$53))+('Equipment List &amp; Usage'!$R68*'Weekly Summary'!AY$64)+('Equipment List &amp; Usage'!$S68*'Weekly Summary'!AY$65)+('Equipment List &amp; Usage'!$T68*('Weekly Summary'!AY$64+'Weekly Summary'!AY$65)),
('Equipment List &amp; Usage'!$O68*'Weekly Summary'!AY$52)+('Equipment List &amp; Usage'!$P68*'Weekly Summary'!AY$53)+('Equipment List &amp; Usage'!$Q68*('Weekly Summary'!AY$52+'Weekly Summary'!AY$53))+('Equipment List &amp; Usage'!$R68*'Weekly Summary'!AY$64)+('Equipment List &amp; Usage'!$S68*'Weekly Summary'!AY$65)+('Equipment List &amp; Usage'!$T68*('Weekly Summary'!AY$64+'Weekly Summary'!AY$65))-SUM($I66:BD66))),0)</f>
        <v>0</v>
      </c>
      <c r="BF66" s="1381">
        <f ca="1">MAX(IF($F66="No",('Equipment List &amp; Usage'!$O68*'Weekly Summary'!AZ$52)+('Equipment List &amp; Usage'!$P68*'Weekly Summary'!AZ$53)+('Equipment List &amp; Usage'!$Q68*('Weekly Summary'!AZ$52+'Weekly Summary'!AZ$53))+('Equipment List &amp; Usage'!$R68*'Weekly Summary'!AZ$64)+('Equipment List &amp; Usage'!$S68*'Weekly Summary'!AZ$65)+('Equipment List &amp; Usage'!$T68*('Weekly Summary'!AZ$64+'Weekly Summary'!AZ$65)),
IF(BF$10=0,('Equipment List &amp; Usage'!$O68*'Weekly Summary'!AZ$52)+('Equipment List &amp; Usage'!$P68*'Weekly Summary'!AZ$53)+('Equipment List &amp; Usage'!$Q68*('Weekly Summary'!AZ$52+'Weekly Summary'!AZ$53))+('Equipment List &amp; Usage'!$R68*'Weekly Summary'!AZ$64)+('Equipment List &amp; Usage'!$S68*'Weekly Summary'!AZ$65)+('Equipment List &amp; Usage'!$T68*('Weekly Summary'!AZ$64+'Weekly Summary'!AZ$65)),
('Equipment List &amp; Usage'!$O68*'Weekly Summary'!AZ$52)+('Equipment List &amp; Usage'!$P68*'Weekly Summary'!AZ$53)+('Equipment List &amp; Usage'!$Q68*('Weekly Summary'!AZ$52+'Weekly Summary'!AZ$53))+('Equipment List &amp; Usage'!$R68*'Weekly Summary'!AZ$64)+('Equipment List &amp; Usage'!$S68*'Weekly Summary'!AZ$65)+('Equipment List &amp; Usage'!$T68*('Weekly Summary'!AZ$64+'Weekly Summary'!AZ$65))-SUM($I66:BE66))),0)</f>
        <v>0</v>
      </c>
      <c r="BG66" s="1381">
        <f ca="1">MAX(IF($F66="No",('Equipment List &amp; Usage'!$O68*'Weekly Summary'!BA$52)+('Equipment List &amp; Usage'!$P68*'Weekly Summary'!BA$53)+('Equipment List &amp; Usage'!$Q68*('Weekly Summary'!BA$52+'Weekly Summary'!BA$53))+('Equipment List &amp; Usage'!$R68*'Weekly Summary'!BA$64)+('Equipment List &amp; Usage'!$S68*'Weekly Summary'!BA$65)+('Equipment List &amp; Usage'!$T68*('Weekly Summary'!BA$64+'Weekly Summary'!BA$65)),
IF(BG$10=0,('Equipment List &amp; Usage'!$O68*'Weekly Summary'!BA$52)+('Equipment List &amp; Usage'!$P68*'Weekly Summary'!BA$53)+('Equipment List &amp; Usage'!$Q68*('Weekly Summary'!BA$52+'Weekly Summary'!BA$53))+('Equipment List &amp; Usage'!$R68*'Weekly Summary'!BA$64)+('Equipment List &amp; Usage'!$S68*'Weekly Summary'!BA$65)+('Equipment List &amp; Usage'!$T68*('Weekly Summary'!BA$64+'Weekly Summary'!BA$65)),
('Equipment List &amp; Usage'!$O68*'Weekly Summary'!BA$52)+('Equipment List &amp; Usage'!$P68*'Weekly Summary'!BA$53)+('Equipment List &amp; Usage'!$Q68*('Weekly Summary'!BA$52+'Weekly Summary'!BA$53))+('Equipment List &amp; Usage'!$R68*'Weekly Summary'!BA$64)+('Equipment List &amp; Usage'!$S68*'Weekly Summary'!BA$65)+('Equipment List &amp; Usage'!$T68*('Weekly Summary'!BA$64+'Weekly Summary'!BA$65))-SUM($I66:BF66))),0)</f>
        <v>0</v>
      </c>
      <c r="BH66" s="1381">
        <f ca="1">MAX(IF($F66="No",('Equipment List &amp; Usage'!$O68*'Weekly Summary'!BB$52)+('Equipment List &amp; Usage'!$P68*'Weekly Summary'!BB$53)+('Equipment List &amp; Usage'!$Q68*('Weekly Summary'!BB$52+'Weekly Summary'!BB$53))+('Equipment List &amp; Usage'!$R68*'Weekly Summary'!BB$64)+('Equipment List &amp; Usage'!$S68*'Weekly Summary'!BB$65)+('Equipment List &amp; Usage'!$T68*('Weekly Summary'!BB$64+'Weekly Summary'!BB$65)),
IF(BH$10=0,('Equipment List &amp; Usage'!$O68*'Weekly Summary'!BB$52)+('Equipment List &amp; Usage'!$P68*'Weekly Summary'!BB$53)+('Equipment List &amp; Usage'!$Q68*('Weekly Summary'!BB$52+'Weekly Summary'!BB$53))+('Equipment List &amp; Usage'!$R68*'Weekly Summary'!BB$64)+('Equipment List &amp; Usage'!$S68*'Weekly Summary'!BB$65)+('Equipment List &amp; Usage'!$T68*('Weekly Summary'!BB$64+'Weekly Summary'!BB$65)),
('Equipment List &amp; Usage'!$O68*'Weekly Summary'!BB$52)+('Equipment List &amp; Usage'!$P68*'Weekly Summary'!BB$53)+('Equipment List &amp; Usage'!$Q68*('Weekly Summary'!BB$52+'Weekly Summary'!BB$53))+('Equipment List &amp; Usage'!$R68*'Weekly Summary'!BB$64)+('Equipment List &amp; Usage'!$S68*'Weekly Summary'!BB$65)+('Equipment List &amp; Usage'!$T68*('Weekly Summary'!BB$64+'Weekly Summary'!BB$65))-SUM($I66:BG66))),0)</f>
        <v>0</v>
      </c>
      <c r="BI66" s="1381">
        <f ca="1">MAX(IF($F66="No",('Equipment List &amp; Usage'!$O68*'Weekly Summary'!BC$52)+('Equipment List &amp; Usage'!$P68*'Weekly Summary'!BC$53)+('Equipment List &amp; Usage'!$Q68*('Weekly Summary'!BC$52+'Weekly Summary'!BC$53))+('Equipment List &amp; Usage'!$R68*'Weekly Summary'!BC$64)+('Equipment List &amp; Usage'!$S68*'Weekly Summary'!BC$65)+('Equipment List &amp; Usage'!$T68*('Weekly Summary'!BC$64+'Weekly Summary'!BC$65)),
IF(BI$10=0,('Equipment List &amp; Usage'!$O68*'Weekly Summary'!BC$52)+('Equipment List &amp; Usage'!$P68*'Weekly Summary'!BC$53)+('Equipment List &amp; Usage'!$Q68*('Weekly Summary'!BC$52+'Weekly Summary'!BC$53))+('Equipment List &amp; Usage'!$R68*'Weekly Summary'!BC$64)+('Equipment List &amp; Usage'!$S68*'Weekly Summary'!BC$65)+('Equipment List &amp; Usage'!$T68*('Weekly Summary'!BC$64+'Weekly Summary'!BC$65)),
('Equipment List &amp; Usage'!$O68*'Weekly Summary'!BC$52)+('Equipment List &amp; Usage'!$P68*'Weekly Summary'!BC$53)+('Equipment List &amp; Usage'!$Q68*('Weekly Summary'!BC$52+'Weekly Summary'!BC$53))+('Equipment List &amp; Usage'!$R68*'Weekly Summary'!BC$64)+('Equipment List &amp; Usage'!$S68*'Weekly Summary'!BC$65)+('Equipment List &amp; Usage'!$T68*('Weekly Summary'!BC$64+'Weekly Summary'!BC$65))-SUM($I66:BH66))),0)</f>
        <v>0</v>
      </c>
      <c r="BJ66" s="1382">
        <f ca="1">MAX(IF($F66="No",('Equipment List &amp; Usage'!$O68*'Weekly Summary'!BD$52)+('Equipment List &amp; Usage'!$P68*'Weekly Summary'!BD$53)+('Equipment List &amp; Usage'!$Q68*('Weekly Summary'!BD$52+'Weekly Summary'!BD$53))+('Equipment List &amp; Usage'!$R68*'Weekly Summary'!BD$64)+('Equipment List &amp; Usage'!$S68*'Weekly Summary'!BD$65)+('Equipment List &amp; Usage'!$T68*('Weekly Summary'!BD$64+'Weekly Summary'!BD$65)),
IF(BJ$10=0,('Equipment List &amp; Usage'!$O68*'Weekly Summary'!BD$52)+('Equipment List &amp; Usage'!$P68*'Weekly Summary'!BD$53)+('Equipment List &amp; Usage'!$Q68*('Weekly Summary'!BD$52+'Weekly Summary'!BD$53))+('Equipment List &amp; Usage'!$R68*'Weekly Summary'!BD$64)+('Equipment List &amp; Usage'!$S68*'Weekly Summary'!BD$65)+('Equipment List &amp; Usage'!$T68*('Weekly Summary'!BD$64+'Weekly Summary'!BD$65)),
('Equipment List &amp; Usage'!$O68*'Weekly Summary'!BD$52)+('Equipment List &amp; Usage'!$P68*'Weekly Summary'!BD$53)+('Equipment List &amp; Usage'!$Q68*('Weekly Summary'!BD$52+'Weekly Summary'!BD$53))+('Equipment List &amp; Usage'!$R68*'Weekly Summary'!BD$64)+('Equipment List &amp; Usage'!$S68*'Weekly Summary'!BD$65)+('Equipment List &amp; Usage'!$T68*('Weekly Summary'!BD$64+'Weekly Summary'!BD$65))-SUM($I66:BI66))),0)</f>
        <v>0</v>
      </c>
    </row>
    <row r="67" spans="2:62" ht="29" collapsed="1" x14ac:dyDescent="0.35">
      <c r="B67" s="735" t="str">
        <f>'Equipment List &amp; Usage'!B69</f>
        <v>Case management - biomedical equipment</v>
      </c>
      <c r="C67" s="526" t="str">
        <f>'Equipment List &amp; Usage'!C69</f>
        <v>Oxygen therapy</v>
      </c>
      <c r="D67" s="526" t="str">
        <f>'Equipment List &amp; Usage'!D69</f>
        <v>Bubble humidifier, non-heated</v>
      </c>
      <c r="E67" s="526" t="str">
        <f>'Equipment List &amp; Usage'!E69</f>
        <v>Each</v>
      </c>
      <c r="F67" s="526" t="str">
        <f>'Equipment List &amp; Usage'!F69</f>
        <v>Yes</v>
      </c>
      <c r="G67" s="526" t="str">
        <f>'Equipment List &amp; Usage'!G69</f>
        <v>Supplied with connector to oxygen source.</v>
      </c>
      <c r="H67" s="1369">
        <f t="shared" ca="1" si="3"/>
        <v>235.51243364110618</v>
      </c>
      <c r="J67" s="1344"/>
      <c r="K67" s="1381">
        <f ca="1">IF('User Dashboard'!$H$13=1,0,MAX(IF($F67="No",('Equipment List &amp; Usage'!$O69*'Weekly Summary'!E$52)+('Equipment List &amp; Usage'!$P69*'Weekly Summary'!E$53)+('Equipment List &amp; Usage'!$Q69*('Weekly Summary'!E$52+'Weekly Summary'!E$53))+('Equipment List &amp; Usage'!$R69*'Weekly Summary'!E$64)+('Equipment List &amp; Usage'!$S69*'Weekly Summary'!E$65)+('Equipment List &amp; Usage'!$T69*('Weekly Summary'!E$64+'Weekly Summary'!E$65)),
IF(K$10=0,('Equipment List &amp; Usage'!$O69*'Weekly Summary'!E$52)+('Equipment List &amp; Usage'!$P69*'Weekly Summary'!E$53)+('Equipment List &amp; Usage'!$Q69*('Weekly Summary'!E$52+'Weekly Summary'!E$53))+('Equipment List &amp; Usage'!$R69*'Weekly Summary'!E$64)+('Equipment List &amp; Usage'!$S69*'Weekly Summary'!E$65)+('Equipment List &amp; Usage'!$T69*('Weekly Summary'!E$64+'Weekly Summary'!E$65)),
('Equipment List &amp; Usage'!$O69*'Weekly Summary'!E$52)+('Equipment List &amp; Usage'!$P69*'Weekly Summary'!E$53)+('Equipment List &amp; Usage'!$Q69*('Weekly Summary'!E$52+'Weekly Summary'!E$53))+('Equipment List &amp; Usage'!$R69*'Weekly Summary'!E$64)+('Equipment List &amp; Usage'!$S69*'Weekly Summary'!E$65)+('Equipment List &amp; Usage'!$T69*('Weekly Summary'!E$64+'Weekly Summary'!E$65))-SUM($I67:I67))),0))</f>
        <v>0.49176392787734047</v>
      </c>
      <c r="L67" s="1381">
        <f ca="1">MAX(IF($F67="No",('Equipment List &amp; Usage'!$O69*'Weekly Summary'!F$52)+('Equipment List &amp; Usage'!$P69*'Weekly Summary'!F$53)+('Equipment List &amp; Usage'!$Q69*('Weekly Summary'!F$52+'Weekly Summary'!F$53))+('Equipment List &amp; Usage'!$R69*'Weekly Summary'!F$64)+('Equipment List &amp; Usage'!$S69*'Weekly Summary'!F$65)+('Equipment List &amp; Usage'!$T69*('Weekly Summary'!F$64+'Weekly Summary'!F$65)),
IF(L$10=0,('Equipment List &amp; Usage'!$O69*'Weekly Summary'!F$52)+('Equipment List &amp; Usage'!$P69*'Weekly Summary'!F$53)+('Equipment List &amp; Usage'!$Q69*('Weekly Summary'!F$52+'Weekly Summary'!F$53))+('Equipment List &amp; Usage'!$R69*'Weekly Summary'!F$64)+('Equipment List &amp; Usage'!$S69*'Weekly Summary'!F$65)+('Equipment List &amp; Usage'!$T69*('Weekly Summary'!F$64+'Weekly Summary'!F$65)),
('Equipment List &amp; Usage'!$O69*'Weekly Summary'!F$52)+('Equipment List &amp; Usage'!$P69*'Weekly Summary'!F$53)+('Equipment List &amp; Usage'!$Q69*('Weekly Summary'!F$52+'Weekly Summary'!F$53))+('Equipment List &amp; Usage'!$R69*'Weekly Summary'!F$64)+('Equipment List &amp; Usage'!$S69*'Weekly Summary'!F$65)+('Equipment List &amp; Usage'!$T69*('Weekly Summary'!F$64+'Weekly Summary'!F$65))-SUM($I67:K67))),0)</f>
        <v>1.1981868076162703</v>
      </c>
      <c r="M67" s="1381">
        <f ca="1">MAX(IF($F67="No",('Equipment List &amp; Usage'!$O69*'Weekly Summary'!G$52)+('Equipment List &amp; Usage'!$P69*'Weekly Summary'!G$53)+('Equipment List &amp; Usage'!$Q69*('Weekly Summary'!G$52+'Weekly Summary'!G$53))+('Equipment List &amp; Usage'!$R69*'Weekly Summary'!G$64)+('Equipment List &amp; Usage'!$S69*'Weekly Summary'!G$65)+('Equipment List &amp; Usage'!$T69*('Weekly Summary'!G$64+'Weekly Summary'!G$65)),
IF(M$10=0,('Equipment List &amp; Usage'!$O69*'Weekly Summary'!G$52)+('Equipment List &amp; Usage'!$P69*'Weekly Summary'!G$53)+('Equipment List &amp; Usage'!$Q69*('Weekly Summary'!G$52+'Weekly Summary'!G$53))+('Equipment List &amp; Usage'!$R69*'Weekly Summary'!G$64)+('Equipment List &amp; Usage'!$S69*'Weekly Summary'!G$65)+('Equipment List &amp; Usage'!$T69*('Weekly Summary'!G$64+'Weekly Summary'!G$65)),
('Equipment List &amp; Usage'!$O69*'Weekly Summary'!G$52)+('Equipment List &amp; Usage'!$P69*'Weekly Summary'!G$53)+('Equipment List &amp; Usage'!$Q69*('Weekly Summary'!G$52+'Weekly Summary'!G$53))+('Equipment List &amp; Usage'!$R69*'Weekly Summary'!G$64)+('Equipment List &amp; Usage'!$S69*'Weekly Summary'!G$65)+('Equipment List &amp; Usage'!$T69*('Weekly Summary'!G$64+'Weekly Summary'!G$65))-SUM($I67:L67))),0)</f>
        <v>4.1175225366304922</v>
      </c>
      <c r="N67" s="1381">
        <f ca="1">MAX(IF($F67="No",('Equipment List &amp; Usage'!$O69*'Weekly Summary'!H$52)+('Equipment List &amp; Usage'!$P69*'Weekly Summary'!H$53)+('Equipment List &amp; Usage'!$Q69*('Weekly Summary'!H$52+'Weekly Summary'!H$53))+('Equipment List &amp; Usage'!$R69*'Weekly Summary'!H$64)+('Equipment List &amp; Usage'!$S69*'Weekly Summary'!H$65)+('Equipment List &amp; Usage'!$T69*('Weekly Summary'!H$64+'Weekly Summary'!H$65)),
IF(N$10=0,('Equipment List &amp; Usage'!$O69*'Weekly Summary'!H$52)+('Equipment List &amp; Usage'!$P69*'Weekly Summary'!H$53)+('Equipment List &amp; Usage'!$Q69*('Weekly Summary'!H$52+'Weekly Summary'!H$53))+('Equipment List &amp; Usage'!$R69*'Weekly Summary'!H$64)+('Equipment List &amp; Usage'!$S69*'Weekly Summary'!H$65)+('Equipment List &amp; Usage'!$T69*('Weekly Summary'!H$64+'Weekly Summary'!H$65)),
('Equipment List &amp; Usage'!$O69*'Weekly Summary'!H$52)+('Equipment List &amp; Usage'!$P69*'Weekly Summary'!H$53)+('Equipment List &amp; Usage'!$Q69*('Weekly Summary'!H$52+'Weekly Summary'!H$53))+('Equipment List &amp; Usage'!$R69*'Weekly Summary'!H$64)+('Equipment List &amp; Usage'!$S69*'Weekly Summary'!H$65)+('Equipment List &amp; Usage'!$T69*('Weekly Summary'!H$64+'Weekly Summary'!H$65))-SUM($I67:M67))),0)</f>
        <v>14.149099536354981</v>
      </c>
      <c r="O67" s="1381">
        <f ca="1">MAX(IF($F67="No",('Equipment List &amp; Usage'!$O69*'Weekly Summary'!I$52)+('Equipment List &amp; Usage'!$P69*'Weekly Summary'!I$53)+('Equipment List &amp; Usage'!$Q69*('Weekly Summary'!I$52+'Weekly Summary'!I$53))+('Equipment List &amp; Usage'!$R69*'Weekly Summary'!I$64)+('Equipment List &amp; Usage'!$S69*'Weekly Summary'!I$65)+('Equipment List &amp; Usage'!$T69*('Weekly Summary'!I$64+'Weekly Summary'!I$65)),
IF(O$10=0,('Equipment List &amp; Usage'!$O69*'Weekly Summary'!I$52)+('Equipment List &amp; Usage'!$P69*'Weekly Summary'!I$53)+('Equipment List &amp; Usage'!$Q69*('Weekly Summary'!I$52+'Weekly Summary'!I$53))+('Equipment List &amp; Usage'!$R69*'Weekly Summary'!I$64)+('Equipment List &amp; Usage'!$S69*'Weekly Summary'!I$65)+('Equipment List &amp; Usage'!$T69*('Weekly Summary'!I$64+'Weekly Summary'!I$65)),
('Equipment List &amp; Usage'!$O69*'Weekly Summary'!I$52)+('Equipment List &amp; Usage'!$P69*'Weekly Summary'!I$53)+('Equipment List &amp; Usage'!$Q69*('Weekly Summary'!I$52+'Weekly Summary'!I$53))+('Equipment List &amp; Usage'!$R69*'Weekly Summary'!I$64)+('Equipment List &amp; Usage'!$S69*'Weekly Summary'!I$65)+('Equipment List &amp; Usage'!$T69*('Weekly Summary'!I$64+'Weekly Summary'!I$65))-SUM($I67:N67))),0)</f>
        <v>48.61357772451737</v>
      </c>
      <c r="P67" s="1381">
        <f ca="1">MAX(IF($F67="No",('Equipment List &amp; Usage'!$O69*'Weekly Summary'!J$52)+('Equipment List &amp; Usage'!$P69*'Weekly Summary'!J$53)+('Equipment List &amp; Usage'!$Q69*('Weekly Summary'!J$52+'Weekly Summary'!J$53))+('Equipment List &amp; Usage'!$R69*'Weekly Summary'!J$64)+('Equipment List &amp; Usage'!$S69*'Weekly Summary'!J$65)+('Equipment List &amp; Usage'!$T69*('Weekly Summary'!J$64+'Weekly Summary'!J$65)),
IF(P$10=0,('Equipment List &amp; Usage'!$O69*'Weekly Summary'!J$52)+('Equipment List &amp; Usage'!$P69*'Weekly Summary'!J$53)+('Equipment List &amp; Usage'!$Q69*('Weekly Summary'!J$52+'Weekly Summary'!J$53))+('Equipment List &amp; Usage'!$R69*'Weekly Summary'!J$64)+('Equipment List &amp; Usage'!$S69*'Weekly Summary'!J$65)+('Equipment List &amp; Usage'!$T69*('Weekly Summary'!J$64+'Weekly Summary'!J$65)),
('Equipment List &amp; Usage'!$O69*'Weekly Summary'!J$52)+('Equipment List &amp; Usage'!$P69*'Weekly Summary'!J$53)+('Equipment List &amp; Usage'!$Q69*('Weekly Summary'!J$52+'Weekly Summary'!J$53))+('Equipment List &amp; Usage'!$R69*'Weekly Summary'!J$64)+('Equipment List &amp; Usage'!$S69*'Weekly Summary'!J$65)+('Equipment List &amp; Usage'!$T69*('Weekly Summary'!J$64+'Weekly Summary'!J$65))-SUM($I67:O67))),0)</f>
        <v>166.94228310810973</v>
      </c>
      <c r="Q67" s="1381">
        <f ca="1">MAX(IF($F67="No",('Equipment List &amp; Usage'!$O69*'Weekly Summary'!K$52)+('Equipment List &amp; Usage'!$P69*'Weekly Summary'!K$53)+('Equipment List &amp; Usage'!$Q69*('Weekly Summary'!K$52+'Weekly Summary'!K$53))+('Equipment List &amp; Usage'!$R69*'Weekly Summary'!K$64)+('Equipment List &amp; Usage'!$S69*'Weekly Summary'!K$65)+('Equipment List &amp; Usage'!$T69*('Weekly Summary'!K$64+'Weekly Summary'!K$65)),
IF(Q$10=0,('Equipment List &amp; Usage'!$O69*'Weekly Summary'!K$52)+('Equipment List &amp; Usage'!$P69*'Weekly Summary'!K$53)+('Equipment List &amp; Usage'!$Q69*('Weekly Summary'!K$52+'Weekly Summary'!K$53))+('Equipment List &amp; Usage'!$R69*'Weekly Summary'!K$64)+('Equipment List &amp; Usage'!$S69*'Weekly Summary'!K$65)+('Equipment List &amp; Usage'!$T69*('Weekly Summary'!K$64+'Weekly Summary'!K$65)),
('Equipment List &amp; Usage'!$O69*'Weekly Summary'!K$52)+('Equipment List &amp; Usage'!$P69*'Weekly Summary'!K$53)+('Equipment List &amp; Usage'!$Q69*('Weekly Summary'!K$52+'Weekly Summary'!K$53))+('Equipment List &amp; Usage'!$R69*'Weekly Summary'!K$64)+('Equipment List &amp; Usage'!$S69*'Weekly Summary'!K$65)+('Equipment List &amp; Usage'!$T69*('Weekly Summary'!K$64+'Weekly Summary'!K$65))-SUM($I67:P67))),0)</f>
        <v>0</v>
      </c>
      <c r="R67" s="1381">
        <f ca="1">MAX(IF($F67="No",('Equipment List &amp; Usage'!$O69*'Weekly Summary'!L$52)+('Equipment List &amp; Usage'!$P69*'Weekly Summary'!L$53)+('Equipment List &amp; Usage'!$Q69*('Weekly Summary'!L$52+'Weekly Summary'!L$53))+('Equipment List &amp; Usage'!$R69*'Weekly Summary'!L$64)+('Equipment List &amp; Usage'!$S69*'Weekly Summary'!L$65)+('Equipment List &amp; Usage'!$T69*('Weekly Summary'!L$64+'Weekly Summary'!L$65)),
IF(R$10=0,('Equipment List &amp; Usage'!$O69*'Weekly Summary'!L$52)+('Equipment List &amp; Usage'!$P69*'Weekly Summary'!L$53)+('Equipment List &amp; Usage'!$Q69*('Weekly Summary'!L$52+'Weekly Summary'!L$53))+('Equipment List &amp; Usage'!$R69*'Weekly Summary'!L$64)+('Equipment List &amp; Usage'!$S69*'Weekly Summary'!L$65)+('Equipment List &amp; Usage'!$T69*('Weekly Summary'!L$64+'Weekly Summary'!L$65)),
('Equipment List &amp; Usage'!$O69*'Weekly Summary'!L$52)+('Equipment List &amp; Usage'!$P69*'Weekly Summary'!L$53)+('Equipment List &amp; Usage'!$Q69*('Weekly Summary'!L$52+'Weekly Summary'!L$53))+('Equipment List &amp; Usage'!$R69*'Weekly Summary'!L$64)+('Equipment List &amp; Usage'!$S69*'Weekly Summary'!L$65)+('Equipment List &amp; Usage'!$T69*('Weekly Summary'!L$64+'Weekly Summary'!L$65))-SUM($I67:Q67))),0)</f>
        <v>0</v>
      </c>
      <c r="S67" s="1381">
        <f ca="1">MAX(IF($F67="No",('Equipment List &amp; Usage'!$O69*'Weekly Summary'!M$52)+('Equipment List &amp; Usage'!$P69*'Weekly Summary'!M$53)+('Equipment List &amp; Usage'!$Q69*('Weekly Summary'!M$52+'Weekly Summary'!M$53))+('Equipment List &amp; Usage'!$R69*'Weekly Summary'!M$64)+('Equipment List &amp; Usage'!$S69*'Weekly Summary'!M$65)+('Equipment List &amp; Usage'!$T69*('Weekly Summary'!M$64+'Weekly Summary'!M$65)),
IF(S$10=0,('Equipment List &amp; Usage'!$O69*'Weekly Summary'!M$52)+('Equipment List &amp; Usage'!$P69*'Weekly Summary'!M$53)+('Equipment List &amp; Usage'!$Q69*('Weekly Summary'!M$52+'Weekly Summary'!M$53))+('Equipment List &amp; Usage'!$R69*'Weekly Summary'!M$64)+('Equipment List &amp; Usage'!$S69*'Weekly Summary'!M$65)+('Equipment List &amp; Usage'!$T69*('Weekly Summary'!M$64+'Weekly Summary'!M$65)),
('Equipment List &amp; Usage'!$O69*'Weekly Summary'!M$52)+('Equipment List &amp; Usage'!$P69*'Weekly Summary'!M$53)+('Equipment List &amp; Usage'!$Q69*('Weekly Summary'!M$52+'Weekly Summary'!M$53))+('Equipment List &amp; Usage'!$R69*'Weekly Summary'!M$64)+('Equipment List &amp; Usage'!$S69*'Weekly Summary'!M$65)+('Equipment List &amp; Usage'!$T69*('Weekly Summary'!M$64+'Weekly Summary'!M$65))-SUM($I67:R67))),0)</f>
        <v>0</v>
      </c>
      <c r="T67" s="1381">
        <f ca="1">MAX(IF($F67="No",('Equipment List &amp; Usage'!$O69*'Weekly Summary'!N$52)+('Equipment List &amp; Usage'!$P69*'Weekly Summary'!N$53)+('Equipment List &amp; Usage'!$Q69*('Weekly Summary'!N$52+'Weekly Summary'!N$53))+('Equipment List &amp; Usage'!$R69*'Weekly Summary'!N$64)+('Equipment List &amp; Usage'!$S69*'Weekly Summary'!N$65)+('Equipment List &amp; Usage'!$T69*('Weekly Summary'!N$64+'Weekly Summary'!N$65)),
IF(T$10=0,('Equipment List &amp; Usage'!$O69*'Weekly Summary'!N$52)+('Equipment List &amp; Usage'!$P69*'Weekly Summary'!N$53)+('Equipment List &amp; Usage'!$Q69*('Weekly Summary'!N$52+'Weekly Summary'!N$53))+('Equipment List &amp; Usage'!$R69*'Weekly Summary'!N$64)+('Equipment List &amp; Usage'!$S69*'Weekly Summary'!N$65)+('Equipment List &amp; Usage'!$T69*('Weekly Summary'!N$64+'Weekly Summary'!N$65)),
('Equipment List &amp; Usage'!$O69*'Weekly Summary'!N$52)+('Equipment List &amp; Usage'!$P69*'Weekly Summary'!N$53)+('Equipment List &amp; Usage'!$Q69*('Weekly Summary'!N$52+'Weekly Summary'!N$53))+('Equipment List &amp; Usage'!$R69*'Weekly Summary'!N$64)+('Equipment List &amp; Usage'!$S69*'Weekly Summary'!N$65)+('Equipment List &amp; Usage'!$T69*('Weekly Summary'!N$64+'Weekly Summary'!N$65))-SUM($I67:S67))),0)</f>
        <v>0</v>
      </c>
      <c r="U67" s="1381">
        <f ca="1">MAX(IF($F67="No",('Equipment List &amp; Usage'!$O69*'Weekly Summary'!O$52)+('Equipment List &amp; Usage'!$P69*'Weekly Summary'!O$53)+('Equipment List &amp; Usage'!$Q69*('Weekly Summary'!O$52+'Weekly Summary'!O$53))+('Equipment List &amp; Usage'!$R69*'Weekly Summary'!O$64)+('Equipment List &amp; Usage'!$S69*'Weekly Summary'!O$65)+('Equipment List &amp; Usage'!$T69*('Weekly Summary'!O$64+'Weekly Summary'!O$65)),
IF(U$10=0,('Equipment List &amp; Usage'!$O69*'Weekly Summary'!O$52)+('Equipment List &amp; Usage'!$P69*'Weekly Summary'!O$53)+('Equipment List &amp; Usage'!$Q69*('Weekly Summary'!O$52+'Weekly Summary'!O$53))+('Equipment List &amp; Usage'!$R69*'Weekly Summary'!O$64)+('Equipment List &amp; Usage'!$S69*'Weekly Summary'!O$65)+('Equipment List &amp; Usage'!$T69*('Weekly Summary'!O$64+'Weekly Summary'!O$65)),
('Equipment List &amp; Usage'!$O69*'Weekly Summary'!O$52)+('Equipment List &amp; Usage'!$P69*'Weekly Summary'!O$53)+('Equipment List &amp; Usage'!$Q69*('Weekly Summary'!O$52+'Weekly Summary'!O$53))+('Equipment List &amp; Usage'!$R69*'Weekly Summary'!O$64)+('Equipment List &amp; Usage'!$S69*'Weekly Summary'!O$65)+('Equipment List &amp; Usage'!$T69*('Weekly Summary'!O$64+'Weekly Summary'!O$65))-SUM($I67:T67))),0)</f>
        <v>0</v>
      </c>
      <c r="V67" s="1381">
        <f ca="1">MAX(IF($F67="No",('Equipment List &amp; Usage'!$O69*'Weekly Summary'!P$52)+('Equipment List &amp; Usage'!$P69*'Weekly Summary'!P$53)+('Equipment List &amp; Usage'!$Q69*('Weekly Summary'!P$52+'Weekly Summary'!P$53))+('Equipment List &amp; Usage'!$R69*'Weekly Summary'!P$64)+('Equipment List &amp; Usage'!$S69*'Weekly Summary'!P$65)+('Equipment List &amp; Usage'!$T69*('Weekly Summary'!P$64+'Weekly Summary'!P$65)),
IF(V$10=0,('Equipment List &amp; Usage'!$O69*'Weekly Summary'!P$52)+('Equipment List &amp; Usage'!$P69*'Weekly Summary'!P$53)+('Equipment List &amp; Usage'!$Q69*('Weekly Summary'!P$52+'Weekly Summary'!P$53))+('Equipment List &amp; Usage'!$R69*'Weekly Summary'!P$64)+('Equipment List &amp; Usage'!$S69*'Weekly Summary'!P$65)+('Equipment List &amp; Usage'!$T69*('Weekly Summary'!P$64+'Weekly Summary'!P$65)),
('Equipment List &amp; Usage'!$O69*'Weekly Summary'!P$52)+('Equipment List &amp; Usage'!$P69*'Weekly Summary'!P$53)+('Equipment List &amp; Usage'!$Q69*('Weekly Summary'!P$52+'Weekly Summary'!P$53))+('Equipment List &amp; Usage'!$R69*'Weekly Summary'!P$64)+('Equipment List &amp; Usage'!$S69*'Weekly Summary'!P$65)+('Equipment List &amp; Usage'!$T69*('Weekly Summary'!P$64+'Weekly Summary'!P$65))-SUM($I67:U67))),0)</f>
        <v>0</v>
      </c>
      <c r="W67" s="1381">
        <f ca="1">MAX(IF($F67="No",('Equipment List &amp; Usage'!$O69*'Weekly Summary'!Q$52)+('Equipment List &amp; Usage'!$P69*'Weekly Summary'!Q$53)+('Equipment List &amp; Usage'!$Q69*('Weekly Summary'!Q$52+'Weekly Summary'!Q$53))+('Equipment List &amp; Usage'!$R69*'Weekly Summary'!Q$64)+('Equipment List &amp; Usage'!$S69*'Weekly Summary'!Q$65)+('Equipment List &amp; Usage'!$T69*('Weekly Summary'!Q$64+'Weekly Summary'!Q$65)),
IF(W$10=0,('Equipment List &amp; Usage'!$O69*'Weekly Summary'!Q$52)+('Equipment List &amp; Usage'!$P69*'Weekly Summary'!Q$53)+('Equipment List &amp; Usage'!$Q69*('Weekly Summary'!Q$52+'Weekly Summary'!Q$53))+('Equipment List &amp; Usage'!$R69*'Weekly Summary'!Q$64)+('Equipment List &amp; Usage'!$S69*'Weekly Summary'!Q$65)+('Equipment List &amp; Usage'!$T69*('Weekly Summary'!Q$64+'Weekly Summary'!Q$65)),
('Equipment List &amp; Usage'!$O69*'Weekly Summary'!Q$52)+('Equipment List &amp; Usage'!$P69*'Weekly Summary'!Q$53)+('Equipment List &amp; Usage'!$Q69*('Weekly Summary'!Q$52+'Weekly Summary'!Q$53))+('Equipment List &amp; Usage'!$R69*'Weekly Summary'!Q$64)+('Equipment List &amp; Usage'!$S69*'Weekly Summary'!Q$65)+('Equipment List &amp; Usage'!$T69*('Weekly Summary'!Q$64+'Weekly Summary'!Q$65))-SUM($I67:V67))),0)</f>
        <v>0</v>
      </c>
      <c r="X67" s="1381">
        <f ca="1">MAX(IF($F67="No",('Equipment List &amp; Usage'!$O69*'Weekly Summary'!R$52)+('Equipment List &amp; Usage'!$P69*'Weekly Summary'!R$53)+('Equipment List &amp; Usage'!$Q69*('Weekly Summary'!R$52+'Weekly Summary'!R$53))+('Equipment List &amp; Usage'!$R69*'Weekly Summary'!R$64)+('Equipment List &amp; Usage'!$S69*'Weekly Summary'!R$65)+('Equipment List &amp; Usage'!$T69*('Weekly Summary'!R$64+'Weekly Summary'!R$65)),
IF(X$10=0,('Equipment List &amp; Usage'!$O69*'Weekly Summary'!R$52)+('Equipment List &amp; Usage'!$P69*'Weekly Summary'!R$53)+('Equipment List &amp; Usage'!$Q69*('Weekly Summary'!R$52+'Weekly Summary'!R$53))+('Equipment List &amp; Usage'!$R69*'Weekly Summary'!R$64)+('Equipment List &amp; Usage'!$S69*'Weekly Summary'!R$65)+('Equipment List &amp; Usage'!$T69*('Weekly Summary'!R$64+'Weekly Summary'!R$65)),
('Equipment List &amp; Usage'!$O69*'Weekly Summary'!R$52)+('Equipment List &amp; Usage'!$P69*'Weekly Summary'!R$53)+('Equipment List &amp; Usage'!$Q69*('Weekly Summary'!R$52+'Weekly Summary'!R$53))+('Equipment List &amp; Usage'!$R69*'Weekly Summary'!R$64)+('Equipment List &amp; Usage'!$S69*'Weekly Summary'!R$65)+('Equipment List &amp; Usage'!$T69*('Weekly Summary'!R$64+'Weekly Summary'!R$65))-SUM($I67:W67))),0)</f>
        <v>0</v>
      </c>
      <c r="Y67" s="1381">
        <f ca="1">MAX(IF($F67="No",('Equipment List &amp; Usage'!$O69*'Weekly Summary'!S$52)+('Equipment List &amp; Usage'!$P69*'Weekly Summary'!S$53)+('Equipment List &amp; Usage'!$Q69*('Weekly Summary'!S$52+'Weekly Summary'!S$53))+('Equipment List &amp; Usage'!$R69*'Weekly Summary'!S$64)+('Equipment List &amp; Usage'!$S69*'Weekly Summary'!S$65)+('Equipment List &amp; Usage'!$T69*('Weekly Summary'!S$64+'Weekly Summary'!S$65)),
IF(Y$10=0,('Equipment List &amp; Usage'!$O69*'Weekly Summary'!S$52)+('Equipment List &amp; Usage'!$P69*'Weekly Summary'!S$53)+('Equipment List &amp; Usage'!$Q69*('Weekly Summary'!S$52+'Weekly Summary'!S$53))+('Equipment List &amp; Usage'!$R69*'Weekly Summary'!S$64)+('Equipment List &amp; Usage'!$S69*'Weekly Summary'!S$65)+('Equipment List &amp; Usage'!$T69*('Weekly Summary'!S$64+'Weekly Summary'!S$65)),
('Equipment List &amp; Usage'!$O69*'Weekly Summary'!S$52)+('Equipment List &amp; Usage'!$P69*'Weekly Summary'!S$53)+('Equipment List &amp; Usage'!$Q69*('Weekly Summary'!S$52+'Weekly Summary'!S$53))+('Equipment List &amp; Usage'!$R69*'Weekly Summary'!S$64)+('Equipment List &amp; Usage'!$S69*'Weekly Summary'!S$65)+('Equipment List &amp; Usage'!$T69*('Weekly Summary'!S$64+'Weekly Summary'!S$65))-SUM($I67:X67))),0)</f>
        <v>0</v>
      </c>
      <c r="Z67" s="1381">
        <f ca="1">MAX(IF($F67="No",('Equipment List &amp; Usage'!$O69*'Weekly Summary'!T$52)+('Equipment List &amp; Usage'!$P69*'Weekly Summary'!T$53)+('Equipment List &amp; Usage'!$Q69*('Weekly Summary'!T$52+'Weekly Summary'!T$53))+('Equipment List &amp; Usage'!$R69*'Weekly Summary'!T$64)+('Equipment List &amp; Usage'!$S69*'Weekly Summary'!T$65)+('Equipment List &amp; Usage'!$T69*('Weekly Summary'!T$64+'Weekly Summary'!T$65)),
IF(Z$10=0,('Equipment List &amp; Usage'!$O69*'Weekly Summary'!T$52)+('Equipment List &amp; Usage'!$P69*'Weekly Summary'!T$53)+('Equipment List &amp; Usage'!$Q69*('Weekly Summary'!T$52+'Weekly Summary'!T$53))+('Equipment List &amp; Usage'!$R69*'Weekly Summary'!T$64)+('Equipment List &amp; Usage'!$S69*'Weekly Summary'!T$65)+('Equipment List &amp; Usage'!$T69*('Weekly Summary'!T$64+'Weekly Summary'!T$65)),
('Equipment List &amp; Usage'!$O69*'Weekly Summary'!T$52)+('Equipment List &amp; Usage'!$P69*'Weekly Summary'!T$53)+('Equipment List &amp; Usage'!$Q69*('Weekly Summary'!T$52+'Weekly Summary'!T$53))+('Equipment List &amp; Usage'!$R69*'Weekly Summary'!T$64)+('Equipment List &amp; Usage'!$S69*'Weekly Summary'!T$65)+('Equipment List &amp; Usage'!$T69*('Weekly Summary'!T$64+'Weekly Summary'!T$65))-SUM($I67:Y67))),0)</f>
        <v>0</v>
      </c>
      <c r="AA67" s="1381">
        <f ca="1">MAX(IF($F67="No",('Equipment List &amp; Usage'!$O69*'Weekly Summary'!U$52)+('Equipment List &amp; Usage'!$P69*'Weekly Summary'!U$53)+('Equipment List &amp; Usage'!$Q69*('Weekly Summary'!U$52+'Weekly Summary'!U$53))+('Equipment List &amp; Usage'!$R69*'Weekly Summary'!U$64)+('Equipment List &amp; Usage'!$S69*'Weekly Summary'!U$65)+('Equipment List &amp; Usage'!$T69*('Weekly Summary'!U$64+'Weekly Summary'!U$65)),
IF(AA$10=0,('Equipment List &amp; Usage'!$O69*'Weekly Summary'!U$52)+('Equipment List &amp; Usage'!$P69*'Weekly Summary'!U$53)+('Equipment List &amp; Usage'!$Q69*('Weekly Summary'!U$52+'Weekly Summary'!U$53))+('Equipment List &amp; Usage'!$R69*'Weekly Summary'!U$64)+('Equipment List &amp; Usage'!$S69*'Weekly Summary'!U$65)+('Equipment List &amp; Usage'!$T69*('Weekly Summary'!U$64+'Weekly Summary'!U$65)),
('Equipment List &amp; Usage'!$O69*'Weekly Summary'!U$52)+('Equipment List &amp; Usage'!$P69*'Weekly Summary'!U$53)+('Equipment List &amp; Usage'!$Q69*('Weekly Summary'!U$52+'Weekly Summary'!U$53))+('Equipment List &amp; Usage'!$R69*'Weekly Summary'!U$64)+('Equipment List &amp; Usage'!$S69*'Weekly Summary'!U$65)+('Equipment List &amp; Usage'!$T69*('Weekly Summary'!U$64+'Weekly Summary'!U$65))-SUM($I67:Z67))),0)</f>
        <v>0</v>
      </c>
      <c r="AB67" s="1381">
        <f ca="1">MAX(IF($F67="No",('Equipment List &amp; Usage'!$O69*'Weekly Summary'!V$52)+('Equipment List &amp; Usage'!$P69*'Weekly Summary'!V$53)+('Equipment List &amp; Usage'!$Q69*('Weekly Summary'!V$52+'Weekly Summary'!V$53))+('Equipment List &amp; Usage'!$R69*'Weekly Summary'!V$64)+('Equipment List &amp; Usage'!$S69*'Weekly Summary'!V$65)+('Equipment List &amp; Usage'!$T69*('Weekly Summary'!V$64+'Weekly Summary'!V$65)),
IF(AB$10=0,('Equipment List &amp; Usage'!$O69*'Weekly Summary'!V$52)+('Equipment List &amp; Usage'!$P69*'Weekly Summary'!V$53)+('Equipment List &amp; Usage'!$Q69*('Weekly Summary'!V$52+'Weekly Summary'!V$53))+('Equipment List &amp; Usage'!$R69*'Weekly Summary'!V$64)+('Equipment List &amp; Usage'!$S69*'Weekly Summary'!V$65)+('Equipment List &amp; Usage'!$T69*('Weekly Summary'!V$64+'Weekly Summary'!V$65)),
('Equipment List &amp; Usage'!$O69*'Weekly Summary'!V$52)+('Equipment List &amp; Usage'!$P69*'Weekly Summary'!V$53)+('Equipment List &amp; Usage'!$Q69*('Weekly Summary'!V$52+'Weekly Summary'!V$53))+('Equipment List &amp; Usage'!$R69*'Weekly Summary'!V$64)+('Equipment List &amp; Usage'!$S69*'Weekly Summary'!V$65)+('Equipment List &amp; Usage'!$T69*('Weekly Summary'!V$64+'Weekly Summary'!V$65))-SUM($I67:AA67))),0)</f>
        <v>0</v>
      </c>
      <c r="AC67" s="1381">
        <f ca="1">MAX(IF($F67="No",('Equipment List &amp; Usage'!$O69*'Weekly Summary'!W$52)+('Equipment List &amp; Usage'!$P69*'Weekly Summary'!W$53)+('Equipment List &amp; Usage'!$Q69*('Weekly Summary'!W$52+'Weekly Summary'!W$53))+('Equipment List &amp; Usage'!$R69*'Weekly Summary'!W$64)+('Equipment List &amp; Usage'!$S69*'Weekly Summary'!W$65)+('Equipment List &amp; Usage'!$T69*('Weekly Summary'!W$64+'Weekly Summary'!W$65)),
IF(AC$10=0,('Equipment List &amp; Usage'!$O69*'Weekly Summary'!W$52)+('Equipment List &amp; Usage'!$P69*'Weekly Summary'!W$53)+('Equipment List &amp; Usage'!$Q69*('Weekly Summary'!W$52+'Weekly Summary'!W$53))+('Equipment List &amp; Usage'!$R69*'Weekly Summary'!W$64)+('Equipment List &amp; Usage'!$S69*'Weekly Summary'!W$65)+('Equipment List &amp; Usage'!$T69*('Weekly Summary'!W$64+'Weekly Summary'!W$65)),
('Equipment List &amp; Usage'!$O69*'Weekly Summary'!W$52)+('Equipment List &amp; Usage'!$P69*'Weekly Summary'!W$53)+('Equipment List &amp; Usage'!$Q69*('Weekly Summary'!W$52+'Weekly Summary'!W$53))+('Equipment List &amp; Usage'!$R69*'Weekly Summary'!W$64)+('Equipment List &amp; Usage'!$S69*'Weekly Summary'!W$65)+('Equipment List &amp; Usage'!$T69*('Weekly Summary'!W$64+'Weekly Summary'!W$65))-SUM($I67:AB67))),0)</f>
        <v>0</v>
      </c>
      <c r="AD67" s="1381">
        <f ca="1">MAX(IF($F67="No",('Equipment List &amp; Usage'!$O69*'Weekly Summary'!X$52)+('Equipment List &amp; Usage'!$P69*'Weekly Summary'!X$53)+('Equipment List &amp; Usage'!$Q69*('Weekly Summary'!X$52+'Weekly Summary'!X$53))+('Equipment List &amp; Usage'!$R69*'Weekly Summary'!X$64)+('Equipment List &amp; Usage'!$S69*'Weekly Summary'!X$65)+('Equipment List &amp; Usage'!$T69*('Weekly Summary'!X$64+'Weekly Summary'!X$65)),
IF(AD$10=0,('Equipment List &amp; Usage'!$O69*'Weekly Summary'!X$52)+('Equipment List &amp; Usage'!$P69*'Weekly Summary'!X$53)+('Equipment List &amp; Usage'!$Q69*('Weekly Summary'!X$52+'Weekly Summary'!X$53))+('Equipment List &amp; Usage'!$R69*'Weekly Summary'!X$64)+('Equipment List &amp; Usage'!$S69*'Weekly Summary'!X$65)+('Equipment List &amp; Usage'!$T69*('Weekly Summary'!X$64+'Weekly Summary'!X$65)),
('Equipment List &amp; Usage'!$O69*'Weekly Summary'!X$52)+('Equipment List &amp; Usage'!$P69*'Weekly Summary'!X$53)+('Equipment List &amp; Usage'!$Q69*('Weekly Summary'!X$52+'Weekly Summary'!X$53))+('Equipment List &amp; Usage'!$R69*'Weekly Summary'!X$64)+('Equipment List &amp; Usage'!$S69*'Weekly Summary'!X$65)+('Equipment List &amp; Usage'!$T69*('Weekly Summary'!X$64+'Weekly Summary'!X$65))-SUM($I67:AC67))),0)</f>
        <v>0</v>
      </c>
      <c r="AE67" s="1381">
        <f ca="1">MAX(IF($F67="No",('Equipment List &amp; Usage'!$O69*'Weekly Summary'!Y$52)+('Equipment List &amp; Usage'!$P69*'Weekly Summary'!Y$53)+('Equipment List &amp; Usage'!$Q69*('Weekly Summary'!Y$52+'Weekly Summary'!Y$53))+('Equipment List &amp; Usage'!$R69*'Weekly Summary'!Y$64)+('Equipment List &amp; Usage'!$S69*'Weekly Summary'!Y$65)+('Equipment List &amp; Usage'!$T69*('Weekly Summary'!Y$64+'Weekly Summary'!Y$65)),
IF(AE$10=0,('Equipment List &amp; Usage'!$O69*'Weekly Summary'!Y$52)+('Equipment List &amp; Usage'!$P69*'Weekly Summary'!Y$53)+('Equipment List &amp; Usage'!$Q69*('Weekly Summary'!Y$52+'Weekly Summary'!Y$53))+('Equipment List &amp; Usage'!$R69*'Weekly Summary'!Y$64)+('Equipment List &amp; Usage'!$S69*'Weekly Summary'!Y$65)+('Equipment List &amp; Usage'!$T69*('Weekly Summary'!Y$64+'Weekly Summary'!Y$65)),
('Equipment List &amp; Usage'!$O69*'Weekly Summary'!Y$52)+('Equipment List &amp; Usage'!$P69*'Weekly Summary'!Y$53)+('Equipment List &amp; Usage'!$Q69*('Weekly Summary'!Y$52+'Weekly Summary'!Y$53))+('Equipment List &amp; Usage'!$R69*'Weekly Summary'!Y$64)+('Equipment List &amp; Usage'!$S69*'Weekly Summary'!Y$65)+('Equipment List &amp; Usage'!$T69*('Weekly Summary'!Y$64+'Weekly Summary'!Y$65))-SUM($I67:AD67))),0)</f>
        <v>0</v>
      </c>
      <c r="AF67" s="1381">
        <f ca="1">MAX(IF($F67="No",('Equipment List &amp; Usage'!$O69*'Weekly Summary'!Z$52)+('Equipment List &amp; Usage'!$P69*'Weekly Summary'!Z$53)+('Equipment List &amp; Usage'!$Q69*('Weekly Summary'!Z$52+'Weekly Summary'!Z$53))+('Equipment List &amp; Usage'!$R69*'Weekly Summary'!Z$64)+('Equipment List &amp; Usage'!$S69*'Weekly Summary'!Z$65)+('Equipment List &amp; Usage'!$T69*('Weekly Summary'!Z$64+'Weekly Summary'!Z$65)),
IF(AF$10=0,('Equipment List &amp; Usage'!$O69*'Weekly Summary'!Z$52)+('Equipment List &amp; Usage'!$P69*'Weekly Summary'!Z$53)+('Equipment List &amp; Usage'!$Q69*('Weekly Summary'!Z$52+'Weekly Summary'!Z$53))+('Equipment List &amp; Usage'!$R69*'Weekly Summary'!Z$64)+('Equipment List &amp; Usage'!$S69*'Weekly Summary'!Z$65)+('Equipment List &amp; Usage'!$T69*('Weekly Summary'!Z$64+'Weekly Summary'!Z$65)),
('Equipment List &amp; Usage'!$O69*'Weekly Summary'!Z$52)+('Equipment List &amp; Usage'!$P69*'Weekly Summary'!Z$53)+('Equipment List &amp; Usage'!$Q69*('Weekly Summary'!Z$52+'Weekly Summary'!Z$53))+('Equipment List &amp; Usage'!$R69*'Weekly Summary'!Z$64)+('Equipment List &amp; Usage'!$S69*'Weekly Summary'!Z$65)+('Equipment List &amp; Usage'!$T69*('Weekly Summary'!Z$64+'Weekly Summary'!Z$65))-SUM($I67:AE67))),0)</f>
        <v>0</v>
      </c>
      <c r="AG67" s="1381">
        <f ca="1">MAX(IF($F67="No",('Equipment List &amp; Usage'!$O69*'Weekly Summary'!AA$52)+('Equipment List &amp; Usage'!$P69*'Weekly Summary'!AA$53)+('Equipment List &amp; Usage'!$Q69*('Weekly Summary'!AA$52+'Weekly Summary'!AA$53))+('Equipment List &amp; Usage'!$R69*'Weekly Summary'!AA$64)+('Equipment List &amp; Usage'!$S69*'Weekly Summary'!AA$65)+('Equipment List &amp; Usage'!$T69*('Weekly Summary'!AA$64+'Weekly Summary'!AA$65)),
IF(AG$10=0,('Equipment List &amp; Usage'!$O69*'Weekly Summary'!AA$52)+('Equipment List &amp; Usage'!$P69*'Weekly Summary'!AA$53)+('Equipment List &amp; Usage'!$Q69*('Weekly Summary'!AA$52+'Weekly Summary'!AA$53))+('Equipment List &amp; Usage'!$R69*'Weekly Summary'!AA$64)+('Equipment List &amp; Usage'!$S69*'Weekly Summary'!AA$65)+('Equipment List &amp; Usage'!$T69*('Weekly Summary'!AA$64+'Weekly Summary'!AA$65)),
('Equipment List &amp; Usage'!$O69*'Weekly Summary'!AA$52)+('Equipment List &amp; Usage'!$P69*'Weekly Summary'!AA$53)+('Equipment List &amp; Usage'!$Q69*('Weekly Summary'!AA$52+'Weekly Summary'!AA$53))+('Equipment List &amp; Usage'!$R69*'Weekly Summary'!AA$64)+('Equipment List &amp; Usage'!$S69*'Weekly Summary'!AA$65)+('Equipment List &amp; Usage'!$T69*('Weekly Summary'!AA$64+'Weekly Summary'!AA$65))-SUM($I67:AF67))),0)</f>
        <v>0</v>
      </c>
      <c r="AH67" s="1381">
        <f ca="1">MAX(IF($F67="No",('Equipment List &amp; Usage'!$O69*'Weekly Summary'!AB$52)+('Equipment List &amp; Usage'!$P69*'Weekly Summary'!AB$53)+('Equipment List &amp; Usage'!$Q69*('Weekly Summary'!AB$52+'Weekly Summary'!AB$53))+('Equipment List &amp; Usage'!$R69*'Weekly Summary'!AB$64)+('Equipment List &amp; Usage'!$S69*'Weekly Summary'!AB$65)+('Equipment List &amp; Usage'!$T69*('Weekly Summary'!AB$64+'Weekly Summary'!AB$65)),
IF(AH$10=0,('Equipment List &amp; Usage'!$O69*'Weekly Summary'!AB$52)+('Equipment List &amp; Usage'!$P69*'Weekly Summary'!AB$53)+('Equipment List &amp; Usage'!$Q69*('Weekly Summary'!AB$52+'Weekly Summary'!AB$53))+('Equipment List &amp; Usage'!$R69*'Weekly Summary'!AB$64)+('Equipment List &amp; Usage'!$S69*'Weekly Summary'!AB$65)+('Equipment List &amp; Usage'!$T69*('Weekly Summary'!AB$64+'Weekly Summary'!AB$65)),
('Equipment List &amp; Usage'!$O69*'Weekly Summary'!AB$52)+('Equipment List &amp; Usage'!$P69*'Weekly Summary'!AB$53)+('Equipment List &amp; Usage'!$Q69*('Weekly Summary'!AB$52+'Weekly Summary'!AB$53))+('Equipment List &amp; Usage'!$R69*'Weekly Summary'!AB$64)+('Equipment List &amp; Usage'!$S69*'Weekly Summary'!AB$65)+('Equipment List &amp; Usage'!$T69*('Weekly Summary'!AB$64+'Weekly Summary'!AB$65))-SUM($I67:AG67))),0)</f>
        <v>0</v>
      </c>
      <c r="AI67" s="1381">
        <f ca="1">MAX(IF($F67="No",('Equipment List &amp; Usage'!$O69*'Weekly Summary'!AC$52)+('Equipment List &amp; Usage'!$P69*'Weekly Summary'!AC$53)+('Equipment List &amp; Usage'!$Q69*('Weekly Summary'!AC$52+'Weekly Summary'!AC$53))+('Equipment List &amp; Usage'!$R69*'Weekly Summary'!AC$64)+('Equipment List &amp; Usage'!$S69*'Weekly Summary'!AC$65)+('Equipment List &amp; Usage'!$T69*('Weekly Summary'!AC$64+'Weekly Summary'!AC$65)),
IF(AI$10=0,('Equipment List &amp; Usage'!$O69*'Weekly Summary'!AC$52)+('Equipment List &amp; Usage'!$P69*'Weekly Summary'!AC$53)+('Equipment List &amp; Usage'!$Q69*('Weekly Summary'!AC$52+'Weekly Summary'!AC$53))+('Equipment List &amp; Usage'!$R69*'Weekly Summary'!AC$64)+('Equipment List &amp; Usage'!$S69*'Weekly Summary'!AC$65)+('Equipment List &amp; Usage'!$T69*('Weekly Summary'!AC$64+'Weekly Summary'!AC$65)),
('Equipment List &amp; Usage'!$O69*'Weekly Summary'!AC$52)+('Equipment List &amp; Usage'!$P69*'Weekly Summary'!AC$53)+('Equipment List &amp; Usage'!$Q69*('Weekly Summary'!AC$52+'Weekly Summary'!AC$53))+('Equipment List &amp; Usage'!$R69*'Weekly Summary'!AC$64)+('Equipment List &amp; Usage'!$S69*'Weekly Summary'!AC$65)+('Equipment List &amp; Usage'!$T69*('Weekly Summary'!AC$64+'Weekly Summary'!AC$65))-SUM($I67:AH67))),0)</f>
        <v>0</v>
      </c>
      <c r="AJ67" s="1381">
        <f ca="1">MAX(IF($F67="No",('Equipment List &amp; Usage'!$O69*'Weekly Summary'!AD$52)+('Equipment List &amp; Usage'!$P69*'Weekly Summary'!AD$53)+('Equipment List &amp; Usage'!$Q69*('Weekly Summary'!AD$52+'Weekly Summary'!AD$53))+('Equipment List &amp; Usage'!$R69*'Weekly Summary'!AD$64)+('Equipment List &amp; Usage'!$S69*'Weekly Summary'!AD$65)+('Equipment List &amp; Usage'!$T69*('Weekly Summary'!AD$64+'Weekly Summary'!AD$65)),
IF(AJ$10=0,('Equipment List &amp; Usage'!$O69*'Weekly Summary'!AD$52)+('Equipment List &amp; Usage'!$P69*'Weekly Summary'!AD$53)+('Equipment List &amp; Usage'!$Q69*('Weekly Summary'!AD$52+'Weekly Summary'!AD$53))+('Equipment List &amp; Usage'!$R69*'Weekly Summary'!AD$64)+('Equipment List &amp; Usage'!$S69*'Weekly Summary'!AD$65)+('Equipment List &amp; Usage'!$T69*('Weekly Summary'!AD$64+'Weekly Summary'!AD$65)),
('Equipment List &amp; Usage'!$O69*'Weekly Summary'!AD$52)+('Equipment List &amp; Usage'!$P69*'Weekly Summary'!AD$53)+('Equipment List &amp; Usage'!$Q69*('Weekly Summary'!AD$52+'Weekly Summary'!AD$53))+('Equipment List &amp; Usage'!$R69*'Weekly Summary'!AD$64)+('Equipment List &amp; Usage'!$S69*'Weekly Summary'!AD$65)+('Equipment List &amp; Usage'!$T69*('Weekly Summary'!AD$64+'Weekly Summary'!AD$65))-SUM($I67:AI67))),0)</f>
        <v>0</v>
      </c>
      <c r="AK67" s="1381">
        <f ca="1">MAX(IF($F67="No",('Equipment List &amp; Usage'!$O69*'Weekly Summary'!AE$52)+('Equipment List &amp; Usage'!$P69*'Weekly Summary'!AE$53)+('Equipment List &amp; Usage'!$Q69*('Weekly Summary'!AE$52+'Weekly Summary'!AE$53))+('Equipment List &amp; Usage'!$R69*'Weekly Summary'!AE$64)+('Equipment List &amp; Usage'!$S69*'Weekly Summary'!AE$65)+('Equipment List &amp; Usage'!$T69*('Weekly Summary'!AE$64+'Weekly Summary'!AE$65)),
IF(AK$10=0,('Equipment List &amp; Usage'!$O69*'Weekly Summary'!AE$52)+('Equipment List &amp; Usage'!$P69*'Weekly Summary'!AE$53)+('Equipment List &amp; Usage'!$Q69*('Weekly Summary'!AE$52+'Weekly Summary'!AE$53))+('Equipment List &amp; Usage'!$R69*'Weekly Summary'!AE$64)+('Equipment List &amp; Usage'!$S69*'Weekly Summary'!AE$65)+('Equipment List &amp; Usage'!$T69*('Weekly Summary'!AE$64+'Weekly Summary'!AE$65)),
('Equipment List &amp; Usage'!$O69*'Weekly Summary'!AE$52)+('Equipment List &amp; Usage'!$P69*'Weekly Summary'!AE$53)+('Equipment List &amp; Usage'!$Q69*('Weekly Summary'!AE$52+'Weekly Summary'!AE$53))+('Equipment List &amp; Usage'!$R69*'Weekly Summary'!AE$64)+('Equipment List &amp; Usage'!$S69*'Weekly Summary'!AE$65)+('Equipment List &amp; Usage'!$T69*('Weekly Summary'!AE$64+'Weekly Summary'!AE$65))-SUM($I67:AJ67))),0)</f>
        <v>0</v>
      </c>
      <c r="AL67" s="1381">
        <f ca="1">MAX(IF($F67="No",('Equipment List &amp; Usage'!$O69*'Weekly Summary'!AF$52)+('Equipment List &amp; Usage'!$P69*'Weekly Summary'!AF$53)+('Equipment List &amp; Usage'!$Q69*('Weekly Summary'!AF$52+'Weekly Summary'!AF$53))+('Equipment List &amp; Usage'!$R69*'Weekly Summary'!AF$64)+('Equipment List &amp; Usage'!$S69*'Weekly Summary'!AF$65)+('Equipment List &amp; Usage'!$T69*('Weekly Summary'!AF$64+'Weekly Summary'!AF$65)),
IF(AL$10=0,('Equipment List &amp; Usage'!$O69*'Weekly Summary'!AF$52)+('Equipment List &amp; Usage'!$P69*'Weekly Summary'!AF$53)+('Equipment List &amp; Usage'!$Q69*('Weekly Summary'!AF$52+'Weekly Summary'!AF$53))+('Equipment List &amp; Usage'!$R69*'Weekly Summary'!AF$64)+('Equipment List &amp; Usage'!$S69*'Weekly Summary'!AF$65)+('Equipment List &amp; Usage'!$T69*('Weekly Summary'!AF$64+'Weekly Summary'!AF$65)),
('Equipment List &amp; Usage'!$O69*'Weekly Summary'!AF$52)+('Equipment List &amp; Usage'!$P69*'Weekly Summary'!AF$53)+('Equipment List &amp; Usage'!$Q69*('Weekly Summary'!AF$52+'Weekly Summary'!AF$53))+('Equipment List &amp; Usage'!$R69*'Weekly Summary'!AF$64)+('Equipment List &amp; Usage'!$S69*'Weekly Summary'!AF$65)+('Equipment List &amp; Usage'!$T69*('Weekly Summary'!AF$64+'Weekly Summary'!AF$65))-SUM($I67:AK67))),0)</f>
        <v>0</v>
      </c>
      <c r="AM67" s="1381">
        <f ca="1">MAX(IF($F67="No",('Equipment List &amp; Usage'!$O69*'Weekly Summary'!AG$52)+('Equipment List &amp; Usage'!$P69*'Weekly Summary'!AG$53)+('Equipment List &amp; Usage'!$Q69*('Weekly Summary'!AG$52+'Weekly Summary'!AG$53))+('Equipment List &amp; Usage'!$R69*'Weekly Summary'!AG$64)+('Equipment List &amp; Usage'!$S69*'Weekly Summary'!AG$65)+('Equipment List &amp; Usage'!$T69*('Weekly Summary'!AG$64+'Weekly Summary'!AG$65)),
IF(AM$10=0,('Equipment List &amp; Usage'!$O69*'Weekly Summary'!AG$52)+('Equipment List &amp; Usage'!$P69*'Weekly Summary'!AG$53)+('Equipment List &amp; Usage'!$Q69*('Weekly Summary'!AG$52+'Weekly Summary'!AG$53))+('Equipment List &amp; Usage'!$R69*'Weekly Summary'!AG$64)+('Equipment List &amp; Usage'!$S69*'Weekly Summary'!AG$65)+('Equipment List &amp; Usage'!$T69*('Weekly Summary'!AG$64+'Weekly Summary'!AG$65)),
('Equipment List &amp; Usage'!$O69*'Weekly Summary'!AG$52)+('Equipment List &amp; Usage'!$P69*'Weekly Summary'!AG$53)+('Equipment List &amp; Usage'!$Q69*('Weekly Summary'!AG$52+'Weekly Summary'!AG$53))+('Equipment List &amp; Usage'!$R69*'Weekly Summary'!AG$64)+('Equipment List &amp; Usage'!$S69*'Weekly Summary'!AG$65)+('Equipment List &amp; Usage'!$T69*('Weekly Summary'!AG$64+'Weekly Summary'!AG$65))-SUM($I67:AL67))),0)</f>
        <v>0</v>
      </c>
      <c r="AN67" s="1381">
        <f ca="1">MAX(IF($F67="No",('Equipment List &amp; Usage'!$O69*'Weekly Summary'!AH$52)+('Equipment List &amp; Usage'!$P69*'Weekly Summary'!AH$53)+('Equipment List &amp; Usage'!$Q69*('Weekly Summary'!AH$52+'Weekly Summary'!AH$53))+('Equipment List &amp; Usage'!$R69*'Weekly Summary'!AH$64)+('Equipment List &amp; Usage'!$S69*'Weekly Summary'!AH$65)+('Equipment List &amp; Usage'!$T69*('Weekly Summary'!AH$64+'Weekly Summary'!AH$65)),
IF(AN$10=0,('Equipment List &amp; Usage'!$O69*'Weekly Summary'!AH$52)+('Equipment List &amp; Usage'!$P69*'Weekly Summary'!AH$53)+('Equipment List &amp; Usage'!$Q69*('Weekly Summary'!AH$52+'Weekly Summary'!AH$53))+('Equipment List &amp; Usage'!$R69*'Weekly Summary'!AH$64)+('Equipment List &amp; Usage'!$S69*'Weekly Summary'!AH$65)+('Equipment List &amp; Usage'!$T69*('Weekly Summary'!AH$64+'Weekly Summary'!AH$65)),
('Equipment List &amp; Usage'!$O69*'Weekly Summary'!AH$52)+('Equipment List &amp; Usage'!$P69*'Weekly Summary'!AH$53)+('Equipment List &amp; Usage'!$Q69*('Weekly Summary'!AH$52+'Weekly Summary'!AH$53))+('Equipment List &amp; Usage'!$R69*'Weekly Summary'!AH$64)+('Equipment List &amp; Usage'!$S69*'Weekly Summary'!AH$65)+('Equipment List &amp; Usage'!$T69*('Weekly Summary'!AH$64+'Weekly Summary'!AH$65))-SUM($I67:AM67))),0)</f>
        <v>0</v>
      </c>
      <c r="AO67" s="1381">
        <f ca="1">MAX(IF($F67="No",('Equipment List &amp; Usage'!$O69*'Weekly Summary'!AI$52)+('Equipment List &amp; Usage'!$P69*'Weekly Summary'!AI$53)+('Equipment List &amp; Usage'!$Q69*('Weekly Summary'!AI$52+'Weekly Summary'!AI$53))+('Equipment List &amp; Usage'!$R69*'Weekly Summary'!AI$64)+('Equipment List &amp; Usage'!$S69*'Weekly Summary'!AI$65)+('Equipment List &amp; Usage'!$T69*('Weekly Summary'!AI$64+'Weekly Summary'!AI$65)),
IF(AO$10=0,('Equipment List &amp; Usage'!$O69*'Weekly Summary'!AI$52)+('Equipment List &amp; Usage'!$P69*'Weekly Summary'!AI$53)+('Equipment List &amp; Usage'!$Q69*('Weekly Summary'!AI$52+'Weekly Summary'!AI$53))+('Equipment List &amp; Usage'!$R69*'Weekly Summary'!AI$64)+('Equipment List &amp; Usage'!$S69*'Weekly Summary'!AI$65)+('Equipment List &amp; Usage'!$T69*('Weekly Summary'!AI$64+'Weekly Summary'!AI$65)),
('Equipment List &amp; Usage'!$O69*'Weekly Summary'!AI$52)+('Equipment List &amp; Usage'!$P69*'Weekly Summary'!AI$53)+('Equipment List &amp; Usage'!$Q69*('Weekly Summary'!AI$52+'Weekly Summary'!AI$53))+('Equipment List &amp; Usage'!$R69*'Weekly Summary'!AI$64)+('Equipment List &amp; Usage'!$S69*'Weekly Summary'!AI$65)+('Equipment List &amp; Usage'!$T69*('Weekly Summary'!AI$64+'Weekly Summary'!AI$65))-SUM($I67:AN67))),0)</f>
        <v>0</v>
      </c>
      <c r="AP67" s="1381">
        <f ca="1">MAX(IF($F67="No",('Equipment List &amp; Usage'!$O69*'Weekly Summary'!AJ$52)+('Equipment List &amp; Usage'!$P69*'Weekly Summary'!AJ$53)+('Equipment List &amp; Usage'!$Q69*('Weekly Summary'!AJ$52+'Weekly Summary'!AJ$53))+('Equipment List &amp; Usage'!$R69*'Weekly Summary'!AJ$64)+('Equipment List &amp; Usage'!$S69*'Weekly Summary'!AJ$65)+('Equipment List &amp; Usage'!$T69*('Weekly Summary'!AJ$64+'Weekly Summary'!AJ$65)),
IF(AP$10=0,('Equipment List &amp; Usage'!$O69*'Weekly Summary'!AJ$52)+('Equipment List &amp; Usage'!$P69*'Weekly Summary'!AJ$53)+('Equipment List &amp; Usage'!$Q69*('Weekly Summary'!AJ$52+'Weekly Summary'!AJ$53))+('Equipment List &amp; Usage'!$R69*'Weekly Summary'!AJ$64)+('Equipment List &amp; Usage'!$S69*'Weekly Summary'!AJ$65)+('Equipment List &amp; Usage'!$T69*('Weekly Summary'!AJ$64+'Weekly Summary'!AJ$65)),
('Equipment List &amp; Usage'!$O69*'Weekly Summary'!AJ$52)+('Equipment List &amp; Usage'!$P69*'Weekly Summary'!AJ$53)+('Equipment List &amp; Usage'!$Q69*('Weekly Summary'!AJ$52+'Weekly Summary'!AJ$53))+('Equipment List &amp; Usage'!$R69*'Weekly Summary'!AJ$64)+('Equipment List &amp; Usage'!$S69*'Weekly Summary'!AJ$65)+('Equipment List &amp; Usage'!$T69*('Weekly Summary'!AJ$64+'Weekly Summary'!AJ$65))-SUM($I67:AO67))),0)</f>
        <v>0</v>
      </c>
      <c r="AQ67" s="1381">
        <f ca="1">MAX(IF($F67="No",('Equipment List &amp; Usage'!$O69*'Weekly Summary'!AK$52)+('Equipment List &amp; Usage'!$P69*'Weekly Summary'!AK$53)+('Equipment List &amp; Usage'!$Q69*('Weekly Summary'!AK$52+'Weekly Summary'!AK$53))+('Equipment List &amp; Usage'!$R69*'Weekly Summary'!AK$64)+('Equipment List &amp; Usage'!$S69*'Weekly Summary'!AK$65)+('Equipment List &amp; Usage'!$T69*('Weekly Summary'!AK$64+'Weekly Summary'!AK$65)),
IF(AQ$10=0,('Equipment List &amp; Usage'!$O69*'Weekly Summary'!AK$52)+('Equipment List &amp; Usage'!$P69*'Weekly Summary'!AK$53)+('Equipment List &amp; Usage'!$Q69*('Weekly Summary'!AK$52+'Weekly Summary'!AK$53))+('Equipment List &amp; Usage'!$R69*'Weekly Summary'!AK$64)+('Equipment List &amp; Usage'!$S69*'Weekly Summary'!AK$65)+('Equipment List &amp; Usage'!$T69*('Weekly Summary'!AK$64+'Weekly Summary'!AK$65)),
('Equipment List &amp; Usage'!$O69*'Weekly Summary'!AK$52)+('Equipment List &amp; Usage'!$P69*'Weekly Summary'!AK$53)+('Equipment List &amp; Usage'!$Q69*('Weekly Summary'!AK$52+'Weekly Summary'!AK$53))+('Equipment List &amp; Usage'!$R69*'Weekly Summary'!AK$64)+('Equipment List &amp; Usage'!$S69*'Weekly Summary'!AK$65)+('Equipment List &amp; Usage'!$T69*('Weekly Summary'!AK$64+'Weekly Summary'!AK$65))-SUM($I67:AP67))),0)</f>
        <v>0</v>
      </c>
      <c r="AR67" s="1381">
        <f ca="1">MAX(IF($F67="No",('Equipment List &amp; Usage'!$O69*'Weekly Summary'!AL$52)+('Equipment List &amp; Usage'!$P69*'Weekly Summary'!AL$53)+('Equipment List &amp; Usage'!$Q69*('Weekly Summary'!AL$52+'Weekly Summary'!AL$53))+('Equipment List &amp; Usage'!$R69*'Weekly Summary'!AL$64)+('Equipment List &amp; Usage'!$S69*'Weekly Summary'!AL$65)+('Equipment List &amp; Usage'!$T69*('Weekly Summary'!AL$64+'Weekly Summary'!AL$65)),
IF(AR$10=0,('Equipment List &amp; Usage'!$O69*'Weekly Summary'!AL$52)+('Equipment List &amp; Usage'!$P69*'Weekly Summary'!AL$53)+('Equipment List &amp; Usage'!$Q69*('Weekly Summary'!AL$52+'Weekly Summary'!AL$53))+('Equipment List &amp; Usage'!$R69*'Weekly Summary'!AL$64)+('Equipment List &amp; Usage'!$S69*'Weekly Summary'!AL$65)+('Equipment List &amp; Usage'!$T69*('Weekly Summary'!AL$64+'Weekly Summary'!AL$65)),
('Equipment List &amp; Usage'!$O69*'Weekly Summary'!AL$52)+('Equipment List &amp; Usage'!$P69*'Weekly Summary'!AL$53)+('Equipment List &amp; Usage'!$Q69*('Weekly Summary'!AL$52+'Weekly Summary'!AL$53))+('Equipment List &amp; Usage'!$R69*'Weekly Summary'!AL$64)+('Equipment List &amp; Usage'!$S69*'Weekly Summary'!AL$65)+('Equipment List &amp; Usage'!$T69*('Weekly Summary'!AL$64+'Weekly Summary'!AL$65))-SUM($I67:AQ67))),0)</f>
        <v>0</v>
      </c>
      <c r="AS67" s="1381">
        <f ca="1">MAX(IF($F67="No",('Equipment List &amp; Usage'!$O69*'Weekly Summary'!AM$52)+('Equipment List &amp; Usage'!$P69*'Weekly Summary'!AM$53)+('Equipment List &amp; Usage'!$Q69*('Weekly Summary'!AM$52+'Weekly Summary'!AM$53))+('Equipment List &amp; Usage'!$R69*'Weekly Summary'!AM$64)+('Equipment List &amp; Usage'!$S69*'Weekly Summary'!AM$65)+('Equipment List &amp; Usage'!$T69*('Weekly Summary'!AM$64+'Weekly Summary'!AM$65)),
IF(AS$10=0,('Equipment List &amp; Usage'!$O69*'Weekly Summary'!AM$52)+('Equipment List &amp; Usage'!$P69*'Weekly Summary'!AM$53)+('Equipment List &amp; Usage'!$Q69*('Weekly Summary'!AM$52+'Weekly Summary'!AM$53))+('Equipment List &amp; Usage'!$R69*'Weekly Summary'!AM$64)+('Equipment List &amp; Usage'!$S69*'Weekly Summary'!AM$65)+('Equipment List &amp; Usage'!$T69*('Weekly Summary'!AM$64+'Weekly Summary'!AM$65)),
('Equipment List &amp; Usage'!$O69*'Weekly Summary'!AM$52)+('Equipment List &amp; Usage'!$P69*'Weekly Summary'!AM$53)+('Equipment List &amp; Usage'!$Q69*('Weekly Summary'!AM$52+'Weekly Summary'!AM$53))+('Equipment List &amp; Usage'!$R69*'Weekly Summary'!AM$64)+('Equipment List &amp; Usage'!$S69*'Weekly Summary'!AM$65)+('Equipment List &amp; Usage'!$T69*('Weekly Summary'!AM$64+'Weekly Summary'!AM$65))-SUM($I67:AR67))),0)</f>
        <v>0</v>
      </c>
      <c r="AT67" s="1381">
        <f ca="1">MAX(IF($F67="No",('Equipment List &amp; Usage'!$O69*'Weekly Summary'!AN$52)+('Equipment List &amp; Usage'!$P69*'Weekly Summary'!AN$53)+('Equipment List &amp; Usage'!$Q69*('Weekly Summary'!AN$52+'Weekly Summary'!AN$53))+('Equipment List &amp; Usage'!$R69*'Weekly Summary'!AN$64)+('Equipment List &amp; Usage'!$S69*'Weekly Summary'!AN$65)+('Equipment List &amp; Usage'!$T69*('Weekly Summary'!AN$64+'Weekly Summary'!AN$65)),
IF(AT$10=0,('Equipment List &amp; Usage'!$O69*'Weekly Summary'!AN$52)+('Equipment List &amp; Usage'!$P69*'Weekly Summary'!AN$53)+('Equipment List &amp; Usage'!$Q69*('Weekly Summary'!AN$52+'Weekly Summary'!AN$53))+('Equipment List &amp; Usage'!$R69*'Weekly Summary'!AN$64)+('Equipment List &amp; Usage'!$S69*'Weekly Summary'!AN$65)+('Equipment List &amp; Usage'!$T69*('Weekly Summary'!AN$64+'Weekly Summary'!AN$65)),
('Equipment List &amp; Usage'!$O69*'Weekly Summary'!AN$52)+('Equipment List &amp; Usage'!$P69*'Weekly Summary'!AN$53)+('Equipment List &amp; Usage'!$Q69*('Weekly Summary'!AN$52+'Weekly Summary'!AN$53))+('Equipment List &amp; Usage'!$R69*'Weekly Summary'!AN$64)+('Equipment List &amp; Usage'!$S69*'Weekly Summary'!AN$65)+('Equipment List &amp; Usage'!$T69*('Weekly Summary'!AN$64+'Weekly Summary'!AN$65))-SUM($I67:AS67))),0)</f>
        <v>0</v>
      </c>
      <c r="AU67" s="1381">
        <f ca="1">MAX(IF($F67="No",('Equipment List &amp; Usage'!$O69*'Weekly Summary'!AO$52)+('Equipment List &amp; Usage'!$P69*'Weekly Summary'!AO$53)+('Equipment List &amp; Usage'!$Q69*('Weekly Summary'!AO$52+'Weekly Summary'!AO$53))+('Equipment List &amp; Usage'!$R69*'Weekly Summary'!AO$64)+('Equipment List &amp; Usage'!$S69*'Weekly Summary'!AO$65)+('Equipment List &amp; Usage'!$T69*('Weekly Summary'!AO$64+'Weekly Summary'!AO$65)),
IF(AU$10=0,('Equipment List &amp; Usage'!$O69*'Weekly Summary'!AO$52)+('Equipment List &amp; Usage'!$P69*'Weekly Summary'!AO$53)+('Equipment List &amp; Usage'!$Q69*('Weekly Summary'!AO$52+'Weekly Summary'!AO$53))+('Equipment List &amp; Usage'!$R69*'Weekly Summary'!AO$64)+('Equipment List &amp; Usage'!$S69*'Weekly Summary'!AO$65)+('Equipment List &amp; Usage'!$T69*('Weekly Summary'!AO$64+'Weekly Summary'!AO$65)),
('Equipment List &amp; Usage'!$O69*'Weekly Summary'!AO$52)+('Equipment List &amp; Usage'!$P69*'Weekly Summary'!AO$53)+('Equipment List &amp; Usage'!$Q69*('Weekly Summary'!AO$52+'Weekly Summary'!AO$53))+('Equipment List &amp; Usage'!$R69*'Weekly Summary'!AO$64)+('Equipment List &amp; Usage'!$S69*'Weekly Summary'!AO$65)+('Equipment List &amp; Usage'!$T69*('Weekly Summary'!AO$64+'Weekly Summary'!AO$65))-SUM($I67:AT67))),0)</f>
        <v>0</v>
      </c>
      <c r="AV67" s="1381">
        <f ca="1">MAX(IF($F67="No",('Equipment List &amp; Usage'!$O69*'Weekly Summary'!AP$52)+('Equipment List &amp; Usage'!$P69*'Weekly Summary'!AP$53)+('Equipment List &amp; Usage'!$Q69*('Weekly Summary'!AP$52+'Weekly Summary'!AP$53))+('Equipment List &amp; Usage'!$R69*'Weekly Summary'!AP$64)+('Equipment List &amp; Usage'!$S69*'Weekly Summary'!AP$65)+('Equipment List &amp; Usage'!$T69*('Weekly Summary'!AP$64+'Weekly Summary'!AP$65)),
IF(AV$10=0,('Equipment List &amp; Usage'!$O69*'Weekly Summary'!AP$52)+('Equipment List &amp; Usage'!$P69*'Weekly Summary'!AP$53)+('Equipment List &amp; Usage'!$Q69*('Weekly Summary'!AP$52+'Weekly Summary'!AP$53))+('Equipment List &amp; Usage'!$R69*'Weekly Summary'!AP$64)+('Equipment List &amp; Usage'!$S69*'Weekly Summary'!AP$65)+('Equipment List &amp; Usage'!$T69*('Weekly Summary'!AP$64+'Weekly Summary'!AP$65)),
('Equipment List &amp; Usage'!$O69*'Weekly Summary'!AP$52)+('Equipment List &amp; Usage'!$P69*'Weekly Summary'!AP$53)+('Equipment List &amp; Usage'!$Q69*('Weekly Summary'!AP$52+'Weekly Summary'!AP$53))+('Equipment List &amp; Usage'!$R69*'Weekly Summary'!AP$64)+('Equipment List &amp; Usage'!$S69*'Weekly Summary'!AP$65)+('Equipment List &amp; Usage'!$T69*('Weekly Summary'!AP$64+'Weekly Summary'!AP$65))-SUM($I67:AU67))),0)</f>
        <v>0</v>
      </c>
      <c r="AW67" s="1381">
        <f ca="1">MAX(IF($F67="No",('Equipment List &amp; Usage'!$O69*'Weekly Summary'!AQ$52)+('Equipment List &amp; Usage'!$P69*'Weekly Summary'!AQ$53)+('Equipment List &amp; Usage'!$Q69*('Weekly Summary'!AQ$52+'Weekly Summary'!AQ$53))+('Equipment List &amp; Usage'!$R69*'Weekly Summary'!AQ$64)+('Equipment List &amp; Usage'!$S69*'Weekly Summary'!AQ$65)+('Equipment List &amp; Usage'!$T69*('Weekly Summary'!AQ$64+'Weekly Summary'!AQ$65)),
IF(AW$10=0,('Equipment List &amp; Usage'!$O69*'Weekly Summary'!AQ$52)+('Equipment List &amp; Usage'!$P69*'Weekly Summary'!AQ$53)+('Equipment List &amp; Usage'!$Q69*('Weekly Summary'!AQ$52+'Weekly Summary'!AQ$53))+('Equipment List &amp; Usage'!$R69*'Weekly Summary'!AQ$64)+('Equipment List &amp; Usage'!$S69*'Weekly Summary'!AQ$65)+('Equipment List &amp; Usage'!$T69*('Weekly Summary'!AQ$64+'Weekly Summary'!AQ$65)),
('Equipment List &amp; Usage'!$O69*'Weekly Summary'!AQ$52)+('Equipment List &amp; Usage'!$P69*'Weekly Summary'!AQ$53)+('Equipment List &amp; Usage'!$Q69*('Weekly Summary'!AQ$52+'Weekly Summary'!AQ$53))+('Equipment List &amp; Usage'!$R69*'Weekly Summary'!AQ$64)+('Equipment List &amp; Usage'!$S69*'Weekly Summary'!AQ$65)+('Equipment List &amp; Usage'!$T69*('Weekly Summary'!AQ$64+'Weekly Summary'!AQ$65))-SUM($I67:AV67))),0)</f>
        <v>0</v>
      </c>
      <c r="AX67" s="1381">
        <f ca="1">MAX(IF($F67="No",('Equipment List &amp; Usage'!$O69*'Weekly Summary'!AR$52)+('Equipment List &amp; Usage'!$P69*'Weekly Summary'!AR$53)+('Equipment List &amp; Usage'!$Q69*('Weekly Summary'!AR$52+'Weekly Summary'!AR$53))+('Equipment List &amp; Usage'!$R69*'Weekly Summary'!AR$64)+('Equipment List &amp; Usage'!$S69*'Weekly Summary'!AR$65)+('Equipment List &amp; Usage'!$T69*('Weekly Summary'!AR$64+'Weekly Summary'!AR$65)),
IF(AX$10=0,('Equipment List &amp; Usage'!$O69*'Weekly Summary'!AR$52)+('Equipment List &amp; Usage'!$P69*'Weekly Summary'!AR$53)+('Equipment List &amp; Usage'!$Q69*('Weekly Summary'!AR$52+'Weekly Summary'!AR$53))+('Equipment List &amp; Usage'!$R69*'Weekly Summary'!AR$64)+('Equipment List &amp; Usage'!$S69*'Weekly Summary'!AR$65)+('Equipment List &amp; Usage'!$T69*('Weekly Summary'!AR$64+'Weekly Summary'!AR$65)),
('Equipment List &amp; Usage'!$O69*'Weekly Summary'!AR$52)+('Equipment List &amp; Usage'!$P69*'Weekly Summary'!AR$53)+('Equipment List &amp; Usage'!$Q69*('Weekly Summary'!AR$52+'Weekly Summary'!AR$53))+('Equipment List &amp; Usage'!$R69*'Weekly Summary'!AR$64)+('Equipment List &amp; Usage'!$S69*'Weekly Summary'!AR$65)+('Equipment List &amp; Usage'!$T69*('Weekly Summary'!AR$64+'Weekly Summary'!AR$65))-SUM($I67:AW67))),0)</f>
        <v>0</v>
      </c>
      <c r="AY67" s="1381">
        <f ca="1">MAX(IF($F67="No",('Equipment List &amp; Usage'!$O69*'Weekly Summary'!AS$52)+('Equipment List &amp; Usage'!$P69*'Weekly Summary'!AS$53)+('Equipment List &amp; Usage'!$Q69*('Weekly Summary'!AS$52+'Weekly Summary'!AS$53))+('Equipment List &amp; Usage'!$R69*'Weekly Summary'!AS$64)+('Equipment List &amp; Usage'!$S69*'Weekly Summary'!AS$65)+('Equipment List &amp; Usage'!$T69*('Weekly Summary'!AS$64+'Weekly Summary'!AS$65)),
IF(AY$10=0,('Equipment List &amp; Usage'!$O69*'Weekly Summary'!AS$52)+('Equipment List &amp; Usage'!$P69*'Weekly Summary'!AS$53)+('Equipment List &amp; Usage'!$Q69*('Weekly Summary'!AS$52+'Weekly Summary'!AS$53))+('Equipment List &amp; Usage'!$R69*'Weekly Summary'!AS$64)+('Equipment List &amp; Usage'!$S69*'Weekly Summary'!AS$65)+('Equipment List &amp; Usage'!$T69*('Weekly Summary'!AS$64+'Weekly Summary'!AS$65)),
('Equipment List &amp; Usage'!$O69*'Weekly Summary'!AS$52)+('Equipment List &amp; Usage'!$P69*'Weekly Summary'!AS$53)+('Equipment List &amp; Usage'!$Q69*('Weekly Summary'!AS$52+'Weekly Summary'!AS$53))+('Equipment List &amp; Usage'!$R69*'Weekly Summary'!AS$64)+('Equipment List &amp; Usage'!$S69*'Weekly Summary'!AS$65)+('Equipment List &amp; Usage'!$T69*('Weekly Summary'!AS$64+'Weekly Summary'!AS$65))-SUM($I67:AX67))),0)</f>
        <v>0</v>
      </c>
      <c r="AZ67" s="1381">
        <f ca="1">MAX(IF($F67="No",('Equipment List &amp; Usage'!$O69*'Weekly Summary'!AT$52)+('Equipment List &amp; Usage'!$P69*'Weekly Summary'!AT$53)+('Equipment List &amp; Usage'!$Q69*('Weekly Summary'!AT$52+'Weekly Summary'!AT$53))+('Equipment List &amp; Usage'!$R69*'Weekly Summary'!AT$64)+('Equipment List &amp; Usage'!$S69*'Weekly Summary'!AT$65)+('Equipment List &amp; Usage'!$T69*('Weekly Summary'!AT$64+'Weekly Summary'!AT$65)),
IF(AZ$10=0,('Equipment List &amp; Usage'!$O69*'Weekly Summary'!AT$52)+('Equipment List &amp; Usage'!$P69*'Weekly Summary'!AT$53)+('Equipment List &amp; Usage'!$Q69*('Weekly Summary'!AT$52+'Weekly Summary'!AT$53))+('Equipment List &amp; Usage'!$R69*'Weekly Summary'!AT$64)+('Equipment List &amp; Usage'!$S69*'Weekly Summary'!AT$65)+('Equipment List &amp; Usage'!$T69*('Weekly Summary'!AT$64+'Weekly Summary'!AT$65)),
('Equipment List &amp; Usage'!$O69*'Weekly Summary'!AT$52)+('Equipment List &amp; Usage'!$P69*'Weekly Summary'!AT$53)+('Equipment List &amp; Usage'!$Q69*('Weekly Summary'!AT$52+'Weekly Summary'!AT$53))+('Equipment List &amp; Usage'!$R69*'Weekly Summary'!AT$64)+('Equipment List &amp; Usage'!$S69*'Weekly Summary'!AT$65)+('Equipment List &amp; Usage'!$T69*('Weekly Summary'!AT$64+'Weekly Summary'!AT$65))-SUM($I67:AY67))),0)</f>
        <v>0</v>
      </c>
      <c r="BA67" s="1381">
        <f ca="1">MAX(IF($F67="No",('Equipment List &amp; Usage'!$O69*'Weekly Summary'!AU$52)+('Equipment List &amp; Usage'!$P69*'Weekly Summary'!AU$53)+('Equipment List &amp; Usage'!$Q69*('Weekly Summary'!AU$52+'Weekly Summary'!AU$53))+('Equipment List &amp; Usage'!$R69*'Weekly Summary'!AU$64)+('Equipment List &amp; Usage'!$S69*'Weekly Summary'!AU$65)+('Equipment List &amp; Usage'!$T69*('Weekly Summary'!AU$64+'Weekly Summary'!AU$65)),
IF(BA$10=0,('Equipment List &amp; Usage'!$O69*'Weekly Summary'!AU$52)+('Equipment List &amp; Usage'!$P69*'Weekly Summary'!AU$53)+('Equipment List &amp; Usage'!$Q69*('Weekly Summary'!AU$52+'Weekly Summary'!AU$53))+('Equipment List &amp; Usage'!$R69*'Weekly Summary'!AU$64)+('Equipment List &amp; Usage'!$S69*'Weekly Summary'!AU$65)+('Equipment List &amp; Usage'!$T69*('Weekly Summary'!AU$64+'Weekly Summary'!AU$65)),
('Equipment List &amp; Usage'!$O69*'Weekly Summary'!AU$52)+('Equipment List &amp; Usage'!$P69*'Weekly Summary'!AU$53)+('Equipment List &amp; Usage'!$Q69*('Weekly Summary'!AU$52+'Weekly Summary'!AU$53))+('Equipment List &amp; Usage'!$R69*'Weekly Summary'!AU$64)+('Equipment List &amp; Usage'!$S69*'Weekly Summary'!AU$65)+('Equipment List &amp; Usage'!$T69*('Weekly Summary'!AU$64+'Weekly Summary'!AU$65))-SUM($I67:AZ67))),0)</f>
        <v>0</v>
      </c>
      <c r="BB67" s="1381">
        <f ca="1">MAX(IF($F67="No",('Equipment List &amp; Usage'!$O69*'Weekly Summary'!AV$52)+('Equipment List &amp; Usage'!$P69*'Weekly Summary'!AV$53)+('Equipment List &amp; Usage'!$Q69*('Weekly Summary'!AV$52+'Weekly Summary'!AV$53))+('Equipment List &amp; Usage'!$R69*'Weekly Summary'!AV$64)+('Equipment List &amp; Usage'!$S69*'Weekly Summary'!AV$65)+('Equipment List &amp; Usage'!$T69*('Weekly Summary'!AV$64+'Weekly Summary'!AV$65)),
IF(BB$10=0,('Equipment List &amp; Usage'!$O69*'Weekly Summary'!AV$52)+('Equipment List &amp; Usage'!$P69*'Weekly Summary'!AV$53)+('Equipment List &amp; Usage'!$Q69*('Weekly Summary'!AV$52+'Weekly Summary'!AV$53))+('Equipment List &amp; Usage'!$R69*'Weekly Summary'!AV$64)+('Equipment List &amp; Usage'!$S69*'Weekly Summary'!AV$65)+('Equipment List &amp; Usage'!$T69*('Weekly Summary'!AV$64+'Weekly Summary'!AV$65)),
('Equipment List &amp; Usage'!$O69*'Weekly Summary'!AV$52)+('Equipment List &amp; Usage'!$P69*'Weekly Summary'!AV$53)+('Equipment List &amp; Usage'!$Q69*('Weekly Summary'!AV$52+'Weekly Summary'!AV$53))+('Equipment List &amp; Usage'!$R69*'Weekly Summary'!AV$64)+('Equipment List &amp; Usage'!$S69*'Weekly Summary'!AV$65)+('Equipment List &amp; Usage'!$T69*('Weekly Summary'!AV$64+'Weekly Summary'!AV$65))-SUM($I67:BA67))),0)</f>
        <v>0</v>
      </c>
      <c r="BC67" s="1381">
        <f ca="1">MAX(IF($F67="No",('Equipment List &amp; Usage'!$O69*'Weekly Summary'!AW$52)+('Equipment List &amp; Usage'!$P69*'Weekly Summary'!AW$53)+('Equipment List &amp; Usage'!$Q69*('Weekly Summary'!AW$52+'Weekly Summary'!AW$53))+('Equipment List &amp; Usage'!$R69*'Weekly Summary'!AW$64)+('Equipment List &amp; Usage'!$S69*'Weekly Summary'!AW$65)+('Equipment List &amp; Usage'!$T69*('Weekly Summary'!AW$64+'Weekly Summary'!AW$65)),
IF(BC$10=0,('Equipment List &amp; Usage'!$O69*'Weekly Summary'!AW$52)+('Equipment List &amp; Usage'!$P69*'Weekly Summary'!AW$53)+('Equipment List &amp; Usage'!$Q69*('Weekly Summary'!AW$52+'Weekly Summary'!AW$53))+('Equipment List &amp; Usage'!$R69*'Weekly Summary'!AW$64)+('Equipment List &amp; Usage'!$S69*'Weekly Summary'!AW$65)+('Equipment List &amp; Usage'!$T69*('Weekly Summary'!AW$64+'Weekly Summary'!AW$65)),
('Equipment List &amp; Usage'!$O69*'Weekly Summary'!AW$52)+('Equipment List &amp; Usage'!$P69*'Weekly Summary'!AW$53)+('Equipment List &amp; Usage'!$Q69*('Weekly Summary'!AW$52+'Weekly Summary'!AW$53))+('Equipment List &amp; Usage'!$R69*'Weekly Summary'!AW$64)+('Equipment List &amp; Usage'!$S69*'Weekly Summary'!AW$65)+('Equipment List &amp; Usage'!$T69*('Weekly Summary'!AW$64+'Weekly Summary'!AW$65))-SUM($I67:BB67))),0)</f>
        <v>0</v>
      </c>
      <c r="BD67" s="1381">
        <f ca="1">MAX(IF($F67="No",('Equipment List &amp; Usage'!$O69*'Weekly Summary'!AX$52)+('Equipment List &amp; Usage'!$P69*'Weekly Summary'!AX$53)+('Equipment List &amp; Usage'!$Q69*('Weekly Summary'!AX$52+'Weekly Summary'!AX$53))+('Equipment List &amp; Usage'!$R69*'Weekly Summary'!AX$64)+('Equipment List &amp; Usage'!$S69*'Weekly Summary'!AX$65)+('Equipment List &amp; Usage'!$T69*('Weekly Summary'!AX$64+'Weekly Summary'!AX$65)),
IF(BD$10=0,('Equipment List &amp; Usage'!$O69*'Weekly Summary'!AX$52)+('Equipment List &amp; Usage'!$P69*'Weekly Summary'!AX$53)+('Equipment List &amp; Usage'!$Q69*('Weekly Summary'!AX$52+'Weekly Summary'!AX$53))+('Equipment List &amp; Usage'!$R69*'Weekly Summary'!AX$64)+('Equipment List &amp; Usage'!$S69*'Weekly Summary'!AX$65)+('Equipment List &amp; Usage'!$T69*('Weekly Summary'!AX$64+'Weekly Summary'!AX$65)),
('Equipment List &amp; Usage'!$O69*'Weekly Summary'!AX$52)+('Equipment List &amp; Usage'!$P69*'Weekly Summary'!AX$53)+('Equipment List &amp; Usage'!$Q69*('Weekly Summary'!AX$52+'Weekly Summary'!AX$53))+('Equipment List &amp; Usage'!$R69*'Weekly Summary'!AX$64)+('Equipment List &amp; Usage'!$S69*'Weekly Summary'!AX$65)+('Equipment List &amp; Usage'!$T69*('Weekly Summary'!AX$64+'Weekly Summary'!AX$65))-SUM($I67:BC67))),0)</f>
        <v>0</v>
      </c>
      <c r="BE67" s="1381">
        <f ca="1">MAX(IF($F67="No",('Equipment List &amp; Usage'!$O69*'Weekly Summary'!AY$52)+('Equipment List &amp; Usage'!$P69*'Weekly Summary'!AY$53)+('Equipment List &amp; Usage'!$Q69*('Weekly Summary'!AY$52+'Weekly Summary'!AY$53))+('Equipment List &amp; Usage'!$R69*'Weekly Summary'!AY$64)+('Equipment List &amp; Usage'!$S69*'Weekly Summary'!AY$65)+('Equipment List &amp; Usage'!$T69*('Weekly Summary'!AY$64+'Weekly Summary'!AY$65)),
IF(BE$10=0,('Equipment List &amp; Usage'!$O69*'Weekly Summary'!AY$52)+('Equipment List &amp; Usage'!$P69*'Weekly Summary'!AY$53)+('Equipment List &amp; Usage'!$Q69*('Weekly Summary'!AY$52+'Weekly Summary'!AY$53))+('Equipment List &amp; Usage'!$R69*'Weekly Summary'!AY$64)+('Equipment List &amp; Usage'!$S69*'Weekly Summary'!AY$65)+('Equipment List &amp; Usage'!$T69*('Weekly Summary'!AY$64+'Weekly Summary'!AY$65)),
('Equipment List &amp; Usage'!$O69*'Weekly Summary'!AY$52)+('Equipment List &amp; Usage'!$P69*'Weekly Summary'!AY$53)+('Equipment List &amp; Usage'!$Q69*('Weekly Summary'!AY$52+'Weekly Summary'!AY$53))+('Equipment List &amp; Usage'!$R69*'Weekly Summary'!AY$64)+('Equipment List &amp; Usage'!$S69*'Weekly Summary'!AY$65)+('Equipment List &amp; Usage'!$T69*('Weekly Summary'!AY$64+'Weekly Summary'!AY$65))-SUM($I67:BD67))),0)</f>
        <v>0</v>
      </c>
      <c r="BF67" s="1381">
        <f ca="1">MAX(IF($F67="No",('Equipment List &amp; Usage'!$O69*'Weekly Summary'!AZ$52)+('Equipment List &amp; Usage'!$P69*'Weekly Summary'!AZ$53)+('Equipment List &amp; Usage'!$Q69*('Weekly Summary'!AZ$52+'Weekly Summary'!AZ$53))+('Equipment List &amp; Usage'!$R69*'Weekly Summary'!AZ$64)+('Equipment List &amp; Usage'!$S69*'Weekly Summary'!AZ$65)+('Equipment List &amp; Usage'!$T69*('Weekly Summary'!AZ$64+'Weekly Summary'!AZ$65)),
IF(BF$10=0,('Equipment List &amp; Usage'!$O69*'Weekly Summary'!AZ$52)+('Equipment List &amp; Usage'!$P69*'Weekly Summary'!AZ$53)+('Equipment List &amp; Usage'!$Q69*('Weekly Summary'!AZ$52+'Weekly Summary'!AZ$53))+('Equipment List &amp; Usage'!$R69*'Weekly Summary'!AZ$64)+('Equipment List &amp; Usage'!$S69*'Weekly Summary'!AZ$65)+('Equipment List &amp; Usage'!$T69*('Weekly Summary'!AZ$64+'Weekly Summary'!AZ$65)),
('Equipment List &amp; Usage'!$O69*'Weekly Summary'!AZ$52)+('Equipment List &amp; Usage'!$P69*'Weekly Summary'!AZ$53)+('Equipment List &amp; Usage'!$Q69*('Weekly Summary'!AZ$52+'Weekly Summary'!AZ$53))+('Equipment List &amp; Usage'!$R69*'Weekly Summary'!AZ$64)+('Equipment List &amp; Usage'!$S69*'Weekly Summary'!AZ$65)+('Equipment List &amp; Usage'!$T69*('Weekly Summary'!AZ$64+'Weekly Summary'!AZ$65))-SUM($I67:BE67))),0)</f>
        <v>0</v>
      </c>
      <c r="BG67" s="1381">
        <f ca="1">MAX(IF($F67="No",('Equipment List &amp; Usage'!$O69*'Weekly Summary'!BA$52)+('Equipment List &amp; Usage'!$P69*'Weekly Summary'!BA$53)+('Equipment List &amp; Usage'!$Q69*('Weekly Summary'!BA$52+'Weekly Summary'!BA$53))+('Equipment List &amp; Usage'!$R69*'Weekly Summary'!BA$64)+('Equipment List &amp; Usage'!$S69*'Weekly Summary'!BA$65)+('Equipment List &amp; Usage'!$T69*('Weekly Summary'!BA$64+'Weekly Summary'!BA$65)),
IF(BG$10=0,('Equipment List &amp; Usage'!$O69*'Weekly Summary'!BA$52)+('Equipment List &amp; Usage'!$P69*'Weekly Summary'!BA$53)+('Equipment List &amp; Usage'!$Q69*('Weekly Summary'!BA$52+'Weekly Summary'!BA$53))+('Equipment List &amp; Usage'!$R69*'Weekly Summary'!BA$64)+('Equipment List &amp; Usage'!$S69*'Weekly Summary'!BA$65)+('Equipment List &amp; Usage'!$T69*('Weekly Summary'!BA$64+'Weekly Summary'!BA$65)),
('Equipment List &amp; Usage'!$O69*'Weekly Summary'!BA$52)+('Equipment List &amp; Usage'!$P69*'Weekly Summary'!BA$53)+('Equipment List &amp; Usage'!$Q69*('Weekly Summary'!BA$52+'Weekly Summary'!BA$53))+('Equipment List &amp; Usage'!$R69*'Weekly Summary'!BA$64)+('Equipment List &amp; Usage'!$S69*'Weekly Summary'!BA$65)+('Equipment List &amp; Usage'!$T69*('Weekly Summary'!BA$64+'Weekly Summary'!BA$65))-SUM($I67:BF67))),0)</f>
        <v>0</v>
      </c>
      <c r="BH67" s="1381">
        <f ca="1">MAX(IF($F67="No",('Equipment List &amp; Usage'!$O69*'Weekly Summary'!BB$52)+('Equipment List &amp; Usage'!$P69*'Weekly Summary'!BB$53)+('Equipment List &amp; Usage'!$Q69*('Weekly Summary'!BB$52+'Weekly Summary'!BB$53))+('Equipment List &amp; Usage'!$R69*'Weekly Summary'!BB$64)+('Equipment List &amp; Usage'!$S69*'Weekly Summary'!BB$65)+('Equipment List &amp; Usage'!$T69*('Weekly Summary'!BB$64+'Weekly Summary'!BB$65)),
IF(BH$10=0,('Equipment List &amp; Usage'!$O69*'Weekly Summary'!BB$52)+('Equipment List &amp; Usage'!$P69*'Weekly Summary'!BB$53)+('Equipment List &amp; Usage'!$Q69*('Weekly Summary'!BB$52+'Weekly Summary'!BB$53))+('Equipment List &amp; Usage'!$R69*'Weekly Summary'!BB$64)+('Equipment List &amp; Usage'!$S69*'Weekly Summary'!BB$65)+('Equipment List &amp; Usage'!$T69*('Weekly Summary'!BB$64+'Weekly Summary'!BB$65)),
('Equipment List &amp; Usage'!$O69*'Weekly Summary'!BB$52)+('Equipment List &amp; Usage'!$P69*'Weekly Summary'!BB$53)+('Equipment List &amp; Usage'!$Q69*('Weekly Summary'!BB$52+'Weekly Summary'!BB$53))+('Equipment List &amp; Usage'!$R69*'Weekly Summary'!BB$64)+('Equipment List &amp; Usage'!$S69*'Weekly Summary'!BB$65)+('Equipment List &amp; Usage'!$T69*('Weekly Summary'!BB$64+'Weekly Summary'!BB$65))-SUM($I67:BG67))),0)</f>
        <v>0</v>
      </c>
      <c r="BI67" s="1381">
        <f ca="1">MAX(IF($F67="No",('Equipment List &amp; Usage'!$O69*'Weekly Summary'!BC$52)+('Equipment List &amp; Usage'!$P69*'Weekly Summary'!BC$53)+('Equipment List &amp; Usage'!$Q69*('Weekly Summary'!BC$52+'Weekly Summary'!BC$53))+('Equipment List &amp; Usage'!$R69*'Weekly Summary'!BC$64)+('Equipment List &amp; Usage'!$S69*'Weekly Summary'!BC$65)+('Equipment List &amp; Usage'!$T69*('Weekly Summary'!BC$64+'Weekly Summary'!BC$65)),
IF(BI$10=0,('Equipment List &amp; Usage'!$O69*'Weekly Summary'!BC$52)+('Equipment List &amp; Usage'!$P69*'Weekly Summary'!BC$53)+('Equipment List &amp; Usage'!$Q69*('Weekly Summary'!BC$52+'Weekly Summary'!BC$53))+('Equipment List &amp; Usage'!$R69*'Weekly Summary'!BC$64)+('Equipment List &amp; Usage'!$S69*'Weekly Summary'!BC$65)+('Equipment List &amp; Usage'!$T69*('Weekly Summary'!BC$64+'Weekly Summary'!BC$65)),
('Equipment List &amp; Usage'!$O69*'Weekly Summary'!BC$52)+('Equipment List &amp; Usage'!$P69*'Weekly Summary'!BC$53)+('Equipment List &amp; Usage'!$Q69*('Weekly Summary'!BC$52+'Weekly Summary'!BC$53))+('Equipment List &amp; Usage'!$R69*'Weekly Summary'!BC$64)+('Equipment List &amp; Usage'!$S69*'Weekly Summary'!BC$65)+('Equipment List &amp; Usage'!$T69*('Weekly Summary'!BC$64+'Weekly Summary'!BC$65))-SUM($I67:BH67))),0)</f>
        <v>0</v>
      </c>
      <c r="BJ67" s="1382">
        <f ca="1">MAX(IF($F67="No",('Equipment List &amp; Usage'!$O69*'Weekly Summary'!BD$52)+('Equipment List &amp; Usage'!$P69*'Weekly Summary'!BD$53)+('Equipment List &amp; Usage'!$Q69*('Weekly Summary'!BD$52+'Weekly Summary'!BD$53))+('Equipment List &amp; Usage'!$R69*'Weekly Summary'!BD$64)+('Equipment List &amp; Usage'!$S69*'Weekly Summary'!BD$65)+('Equipment List &amp; Usage'!$T69*('Weekly Summary'!BD$64+'Weekly Summary'!BD$65)),
IF(BJ$10=0,('Equipment List &amp; Usage'!$O69*'Weekly Summary'!BD$52)+('Equipment List &amp; Usage'!$P69*'Weekly Summary'!BD$53)+('Equipment List &amp; Usage'!$Q69*('Weekly Summary'!BD$52+'Weekly Summary'!BD$53))+('Equipment List &amp; Usage'!$R69*'Weekly Summary'!BD$64)+('Equipment List &amp; Usage'!$S69*'Weekly Summary'!BD$65)+('Equipment List &amp; Usage'!$T69*('Weekly Summary'!BD$64+'Weekly Summary'!BD$65)),
('Equipment List &amp; Usage'!$O69*'Weekly Summary'!BD$52)+('Equipment List &amp; Usage'!$P69*'Weekly Summary'!BD$53)+('Equipment List &amp; Usage'!$Q69*('Weekly Summary'!BD$52+'Weekly Summary'!BD$53))+('Equipment List &amp; Usage'!$R69*'Weekly Summary'!BD$64)+('Equipment List &amp; Usage'!$S69*'Weekly Summary'!BD$65)+('Equipment List &amp; Usage'!$T69*('Weekly Summary'!BD$64+'Weekly Summary'!BD$65))-SUM($I67:BI67))),0)</f>
        <v>0</v>
      </c>
    </row>
    <row r="68" spans="2:62" ht="43.5" x14ac:dyDescent="0.35">
      <c r="B68" s="735" t="str">
        <f>'Equipment List &amp; Usage'!B70</f>
        <v>Case management - accessories &amp; consumables</v>
      </c>
      <c r="C68" s="526" t="str">
        <f>'Equipment List &amp; Usage'!C70</f>
        <v>Oxygen therapy</v>
      </c>
      <c r="D68" s="526" t="str">
        <f>'Equipment List &amp; Usage'!D70</f>
        <v>Tubing, medical gases, int. diam. 5 mm</v>
      </c>
      <c r="E68" s="526" t="str">
        <f>'Equipment List &amp; Usage'!E70</f>
        <v>Each</v>
      </c>
      <c r="F68" s="526" t="str">
        <f>'Equipment List &amp; Usage'!F70</f>
        <v>Yes</v>
      </c>
      <c r="G68" s="526" t="str">
        <f>'Equipment List &amp; Usage'!G70</f>
        <v>Pediatric O2</v>
      </c>
      <c r="H68" s="1369">
        <f t="shared" ca="1" si="3"/>
        <v>7.6562112507380391</v>
      </c>
      <c r="J68" s="1344"/>
      <c r="K68" s="1381">
        <f ca="1">IF('User Dashboard'!$H$13=1,0,MAX(IF($F68="No",('Equipment List &amp; Usage'!$O70*'Weekly Summary'!E$52)+('Equipment List &amp; Usage'!$P70*'Weekly Summary'!E$53)+('Equipment List &amp; Usage'!$Q70*('Weekly Summary'!E$52+'Weekly Summary'!E$53))+('Equipment List &amp; Usage'!$R70*'Weekly Summary'!E$64)+('Equipment List &amp; Usage'!$S70*'Weekly Summary'!E$65)+('Equipment List &amp; Usage'!$T70*('Weekly Summary'!E$64+'Weekly Summary'!E$65)),
IF(K$10=0,('Equipment List &amp; Usage'!$O70*'Weekly Summary'!E$52)+('Equipment List &amp; Usage'!$P70*'Weekly Summary'!E$53)+('Equipment List &amp; Usage'!$Q70*('Weekly Summary'!E$52+'Weekly Summary'!E$53))+('Equipment List &amp; Usage'!$R70*'Weekly Summary'!E$64)+('Equipment List &amp; Usage'!$S70*'Weekly Summary'!E$65)+('Equipment List &amp; Usage'!$T70*('Weekly Summary'!E$64+'Weekly Summary'!E$65)),
('Equipment List &amp; Usage'!$O70*'Weekly Summary'!E$52)+('Equipment List &amp; Usage'!$P70*'Weekly Summary'!E$53)+('Equipment List &amp; Usage'!$Q70*('Weekly Summary'!E$52+'Weekly Summary'!E$53))+('Equipment List &amp; Usage'!$R70*'Weekly Summary'!E$64)+('Equipment List &amp; Usage'!$S70*'Weekly Summary'!E$65)+('Equipment List &amp; Usage'!$T70*('Weekly Summary'!E$64+'Weekly Summary'!E$65))-SUM($I68:I68))),0))</f>
        <v>1.6151937208404254E-2</v>
      </c>
      <c r="L68" s="1381">
        <f ca="1">MAX(IF($F68="No",('Equipment List &amp; Usage'!$O70*'Weekly Summary'!F$52)+('Equipment List &amp; Usage'!$P70*'Weekly Summary'!F$53)+('Equipment List &amp; Usage'!$Q70*('Weekly Summary'!F$52+'Weekly Summary'!F$53))+('Equipment List &amp; Usage'!$R70*'Weekly Summary'!F$64)+('Equipment List &amp; Usage'!$S70*'Weekly Summary'!F$65)+('Equipment List &amp; Usage'!$T70*('Weekly Summary'!F$64+'Weekly Summary'!F$65)),
IF(L$10=0,('Equipment List &amp; Usage'!$O70*'Weekly Summary'!F$52)+('Equipment List &amp; Usage'!$P70*'Weekly Summary'!F$53)+('Equipment List &amp; Usage'!$Q70*('Weekly Summary'!F$52+'Weekly Summary'!F$53))+('Equipment List &amp; Usage'!$R70*'Weekly Summary'!F$64)+('Equipment List &amp; Usage'!$S70*'Weekly Summary'!F$65)+('Equipment List &amp; Usage'!$T70*('Weekly Summary'!F$64+'Weekly Summary'!F$65)),
('Equipment List &amp; Usage'!$O70*'Weekly Summary'!F$52)+('Equipment List &amp; Usage'!$P70*'Weekly Summary'!F$53)+('Equipment List &amp; Usage'!$Q70*('Weekly Summary'!F$52+'Weekly Summary'!F$53))+('Equipment List &amp; Usage'!$R70*'Weekly Summary'!F$64)+('Equipment List &amp; Usage'!$S70*'Weekly Summary'!F$65)+('Equipment List &amp; Usage'!$T70*('Weekly Summary'!F$64+'Weekly Summary'!F$65))-SUM($I68:K68))),0)</f>
        <v>3.8784175441988034E-2</v>
      </c>
      <c r="M68" s="1381">
        <f ca="1">MAX(IF($F68="No",('Equipment List &amp; Usage'!$O70*'Weekly Summary'!G$52)+('Equipment List &amp; Usage'!$P70*'Weekly Summary'!G$53)+('Equipment List &amp; Usage'!$Q70*('Weekly Summary'!G$52+'Weekly Summary'!G$53))+('Equipment List &amp; Usage'!$R70*'Weekly Summary'!G$64)+('Equipment List &amp; Usage'!$S70*'Weekly Summary'!G$65)+('Equipment List &amp; Usage'!$T70*('Weekly Summary'!G$64+'Weekly Summary'!G$65)),
IF(M$10=0,('Equipment List &amp; Usage'!$O70*'Weekly Summary'!G$52)+('Equipment List &amp; Usage'!$P70*'Weekly Summary'!G$53)+('Equipment List &amp; Usage'!$Q70*('Weekly Summary'!G$52+'Weekly Summary'!G$53))+('Equipment List &amp; Usage'!$R70*'Weekly Summary'!G$64)+('Equipment List &amp; Usage'!$S70*'Weekly Summary'!G$65)+('Equipment List &amp; Usage'!$T70*('Weekly Summary'!G$64+'Weekly Summary'!G$65)),
('Equipment List &amp; Usage'!$O70*'Weekly Summary'!G$52)+('Equipment List &amp; Usage'!$P70*'Weekly Summary'!G$53)+('Equipment List &amp; Usage'!$Q70*('Weekly Summary'!G$52+'Weekly Summary'!G$53))+('Equipment List &amp; Usage'!$R70*'Weekly Summary'!G$64)+('Equipment List &amp; Usage'!$S70*'Weekly Summary'!G$65)+('Equipment List &amp; Usage'!$T70*('Weekly Summary'!G$64+'Weekly Summary'!G$65))-SUM($I68:L68))),0)</f>
        <v>0.13385058298589575</v>
      </c>
      <c r="N68" s="1381">
        <f ca="1">MAX(IF($F68="No",('Equipment List &amp; Usage'!$O70*'Weekly Summary'!H$52)+('Equipment List &amp; Usage'!$P70*'Weekly Summary'!H$53)+('Equipment List &amp; Usage'!$Q70*('Weekly Summary'!H$52+'Weekly Summary'!H$53))+('Equipment List &amp; Usage'!$R70*'Weekly Summary'!H$64)+('Equipment List &amp; Usage'!$S70*'Weekly Summary'!H$65)+('Equipment List &amp; Usage'!$T70*('Weekly Summary'!H$64+'Weekly Summary'!H$65)),
IF(N$10=0,('Equipment List &amp; Usage'!$O70*'Weekly Summary'!H$52)+('Equipment List &amp; Usage'!$P70*'Weekly Summary'!H$53)+('Equipment List &amp; Usage'!$Q70*('Weekly Summary'!H$52+'Weekly Summary'!H$53))+('Equipment List &amp; Usage'!$R70*'Weekly Summary'!H$64)+('Equipment List &amp; Usage'!$S70*'Weekly Summary'!H$65)+('Equipment List &amp; Usage'!$T70*('Weekly Summary'!H$64+'Weekly Summary'!H$65)),
('Equipment List &amp; Usage'!$O70*'Weekly Summary'!H$52)+('Equipment List &amp; Usage'!$P70*'Weekly Summary'!H$53)+('Equipment List &amp; Usage'!$Q70*('Weekly Summary'!H$52+'Weekly Summary'!H$53))+('Equipment List &amp; Usage'!$R70*'Weekly Summary'!H$64)+('Equipment List &amp; Usage'!$S70*'Weekly Summary'!H$65)+('Equipment List &amp; Usage'!$T70*('Weekly Summary'!H$64+'Weekly Summary'!H$65))-SUM($I68:M68))),0)</f>
        <v>0.45995394456098804</v>
      </c>
      <c r="O68" s="1381">
        <f ca="1">MAX(IF($F68="No",('Equipment List &amp; Usage'!$O70*'Weekly Summary'!I$52)+('Equipment List &amp; Usage'!$P70*'Weekly Summary'!I$53)+('Equipment List &amp; Usage'!$Q70*('Weekly Summary'!I$52+'Weekly Summary'!I$53))+('Equipment List &amp; Usage'!$R70*'Weekly Summary'!I$64)+('Equipment List &amp; Usage'!$S70*'Weekly Summary'!I$65)+('Equipment List &amp; Usage'!$T70*('Weekly Summary'!I$64+'Weekly Summary'!I$65)),
IF(O$10=0,('Equipment List &amp; Usage'!$O70*'Weekly Summary'!I$52)+('Equipment List &amp; Usage'!$P70*'Weekly Summary'!I$53)+('Equipment List &amp; Usage'!$Q70*('Weekly Summary'!I$52+'Weekly Summary'!I$53))+('Equipment List &amp; Usage'!$R70*'Weekly Summary'!I$64)+('Equipment List &amp; Usage'!$S70*'Weekly Summary'!I$65)+('Equipment List &amp; Usage'!$T70*('Weekly Summary'!I$64+'Weekly Summary'!I$65)),
('Equipment List &amp; Usage'!$O70*'Weekly Summary'!I$52)+('Equipment List &amp; Usage'!$P70*'Weekly Summary'!I$53)+('Equipment List &amp; Usage'!$Q70*('Weekly Summary'!I$52+'Weekly Summary'!I$53))+('Equipment List &amp; Usage'!$R70*'Weekly Summary'!I$64)+('Equipment List &amp; Usage'!$S70*'Weekly Summary'!I$65)+('Equipment List &amp; Usage'!$T70*('Weekly Summary'!I$64+'Weekly Summary'!I$65))-SUM($I68:N68))),0)</f>
        <v>1.580328866927458</v>
      </c>
      <c r="P68" s="1381">
        <f ca="1">MAX(IF($F68="No",('Equipment List &amp; Usage'!$O70*'Weekly Summary'!J$52)+('Equipment List &amp; Usage'!$P70*'Weekly Summary'!J$53)+('Equipment List &amp; Usage'!$Q70*('Weekly Summary'!J$52+'Weekly Summary'!J$53))+('Equipment List &amp; Usage'!$R70*'Weekly Summary'!J$64)+('Equipment List &amp; Usage'!$S70*'Weekly Summary'!J$65)+('Equipment List &amp; Usage'!$T70*('Weekly Summary'!J$64+'Weekly Summary'!J$65)),
IF(P$10=0,('Equipment List &amp; Usage'!$O70*'Weekly Summary'!J$52)+('Equipment List &amp; Usage'!$P70*'Weekly Summary'!J$53)+('Equipment List &amp; Usage'!$Q70*('Weekly Summary'!J$52+'Weekly Summary'!J$53))+('Equipment List &amp; Usage'!$R70*'Weekly Summary'!J$64)+('Equipment List &amp; Usage'!$S70*'Weekly Summary'!J$65)+('Equipment List &amp; Usage'!$T70*('Weekly Summary'!J$64+'Weekly Summary'!J$65)),
('Equipment List &amp; Usage'!$O70*'Weekly Summary'!J$52)+('Equipment List &amp; Usage'!$P70*'Weekly Summary'!J$53)+('Equipment List &amp; Usage'!$Q70*('Weekly Summary'!J$52+'Weekly Summary'!J$53))+('Equipment List &amp; Usage'!$R70*'Weekly Summary'!J$64)+('Equipment List &amp; Usage'!$S70*'Weekly Summary'!J$65)+('Equipment List &amp; Usage'!$T70*('Weekly Summary'!J$64+'Weekly Summary'!J$65))-SUM($I68:O68))),0)</f>
        <v>5.4271417436133049</v>
      </c>
      <c r="Q68" s="1381">
        <f ca="1">MAX(IF($F68="No",('Equipment List &amp; Usage'!$O70*'Weekly Summary'!K$52)+('Equipment List &amp; Usage'!$P70*'Weekly Summary'!K$53)+('Equipment List &amp; Usage'!$Q70*('Weekly Summary'!K$52+'Weekly Summary'!K$53))+('Equipment List &amp; Usage'!$R70*'Weekly Summary'!K$64)+('Equipment List &amp; Usage'!$S70*'Weekly Summary'!K$65)+('Equipment List &amp; Usage'!$T70*('Weekly Summary'!K$64+'Weekly Summary'!K$65)),
IF(Q$10=0,('Equipment List &amp; Usage'!$O70*'Weekly Summary'!K$52)+('Equipment List &amp; Usage'!$P70*'Weekly Summary'!K$53)+('Equipment List &amp; Usage'!$Q70*('Weekly Summary'!K$52+'Weekly Summary'!K$53))+('Equipment List &amp; Usage'!$R70*'Weekly Summary'!K$64)+('Equipment List &amp; Usage'!$S70*'Weekly Summary'!K$65)+('Equipment List &amp; Usage'!$T70*('Weekly Summary'!K$64+'Weekly Summary'!K$65)),
('Equipment List &amp; Usage'!$O70*'Weekly Summary'!K$52)+('Equipment List &amp; Usage'!$P70*'Weekly Summary'!K$53)+('Equipment List &amp; Usage'!$Q70*('Weekly Summary'!K$52+'Weekly Summary'!K$53))+('Equipment List &amp; Usage'!$R70*'Weekly Summary'!K$64)+('Equipment List &amp; Usage'!$S70*'Weekly Summary'!K$65)+('Equipment List &amp; Usage'!$T70*('Weekly Summary'!K$64+'Weekly Summary'!K$65))-SUM($I68:P68))),0)</f>
        <v>0</v>
      </c>
      <c r="R68" s="1381">
        <f ca="1">MAX(IF($F68="No",('Equipment List &amp; Usage'!$O70*'Weekly Summary'!L$52)+('Equipment List &amp; Usage'!$P70*'Weekly Summary'!L$53)+('Equipment List &amp; Usage'!$Q70*('Weekly Summary'!L$52+'Weekly Summary'!L$53))+('Equipment List &amp; Usage'!$R70*'Weekly Summary'!L$64)+('Equipment List &amp; Usage'!$S70*'Weekly Summary'!L$65)+('Equipment List &amp; Usage'!$T70*('Weekly Summary'!L$64+'Weekly Summary'!L$65)),
IF(R$10=0,('Equipment List &amp; Usage'!$O70*'Weekly Summary'!L$52)+('Equipment List &amp; Usage'!$P70*'Weekly Summary'!L$53)+('Equipment List &amp; Usage'!$Q70*('Weekly Summary'!L$52+'Weekly Summary'!L$53))+('Equipment List &amp; Usage'!$R70*'Weekly Summary'!L$64)+('Equipment List &amp; Usage'!$S70*'Weekly Summary'!L$65)+('Equipment List &amp; Usage'!$T70*('Weekly Summary'!L$64+'Weekly Summary'!L$65)),
('Equipment List &amp; Usage'!$O70*'Weekly Summary'!L$52)+('Equipment List &amp; Usage'!$P70*'Weekly Summary'!L$53)+('Equipment List &amp; Usage'!$Q70*('Weekly Summary'!L$52+'Weekly Summary'!L$53))+('Equipment List &amp; Usage'!$R70*'Weekly Summary'!L$64)+('Equipment List &amp; Usage'!$S70*'Weekly Summary'!L$65)+('Equipment List &amp; Usage'!$T70*('Weekly Summary'!L$64+'Weekly Summary'!L$65))-SUM($I68:Q68))),0)</f>
        <v>0</v>
      </c>
      <c r="S68" s="1381">
        <f ca="1">MAX(IF($F68="No",('Equipment List &amp; Usage'!$O70*'Weekly Summary'!M$52)+('Equipment List &amp; Usage'!$P70*'Weekly Summary'!M$53)+('Equipment List &amp; Usage'!$Q70*('Weekly Summary'!M$52+'Weekly Summary'!M$53))+('Equipment List &amp; Usage'!$R70*'Weekly Summary'!M$64)+('Equipment List &amp; Usage'!$S70*'Weekly Summary'!M$65)+('Equipment List &amp; Usage'!$T70*('Weekly Summary'!M$64+'Weekly Summary'!M$65)),
IF(S$10=0,('Equipment List &amp; Usage'!$O70*'Weekly Summary'!M$52)+('Equipment List &amp; Usage'!$P70*'Weekly Summary'!M$53)+('Equipment List &amp; Usage'!$Q70*('Weekly Summary'!M$52+'Weekly Summary'!M$53))+('Equipment List &amp; Usage'!$R70*'Weekly Summary'!M$64)+('Equipment List &amp; Usage'!$S70*'Weekly Summary'!M$65)+('Equipment List &amp; Usage'!$T70*('Weekly Summary'!M$64+'Weekly Summary'!M$65)),
('Equipment List &amp; Usage'!$O70*'Weekly Summary'!M$52)+('Equipment List &amp; Usage'!$P70*'Weekly Summary'!M$53)+('Equipment List &amp; Usage'!$Q70*('Weekly Summary'!M$52+'Weekly Summary'!M$53))+('Equipment List &amp; Usage'!$R70*'Weekly Summary'!M$64)+('Equipment List &amp; Usage'!$S70*'Weekly Summary'!M$65)+('Equipment List &amp; Usage'!$T70*('Weekly Summary'!M$64+'Weekly Summary'!M$65))-SUM($I68:R68))),0)</f>
        <v>0</v>
      </c>
      <c r="T68" s="1381">
        <f ca="1">MAX(IF($F68="No",('Equipment List &amp; Usage'!$O70*'Weekly Summary'!N$52)+('Equipment List &amp; Usage'!$P70*'Weekly Summary'!N$53)+('Equipment List &amp; Usage'!$Q70*('Weekly Summary'!N$52+'Weekly Summary'!N$53))+('Equipment List &amp; Usage'!$R70*'Weekly Summary'!N$64)+('Equipment List &amp; Usage'!$S70*'Weekly Summary'!N$65)+('Equipment List &amp; Usage'!$T70*('Weekly Summary'!N$64+'Weekly Summary'!N$65)),
IF(T$10=0,('Equipment List &amp; Usage'!$O70*'Weekly Summary'!N$52)+('Equipment List &amp; Usage'!$P70*'Weekly Summary'!N$53)+('Equipment List &amp; Usage'!$Q70*('Weekly Summary'!N$52+'Weekly Summary'!N$53))+('Equipment List &amp; Usage'!$R70*'Weekly Summary'!N$64)+('Equipment List &amp; Usage'!$S70*'Weekly Summary'!N$65)+('Equipment List &amp; Usage'!$T70*('Weekly Summary'!N$64+'Weekly Summary'!N$65)),
('Equipment List &amp; Usage'!$O70*'Weekly Summary'!N$52)+('Equipment List &amp; Usage'!$P70*'Weekly Summary'!N$53)+('Equipment List &amp; Usage'!$Q70*('Weekly Summary'!N$52+'Weekly Summary'!N$53))+('Equipment List &amp; Usage'!$R70*'Weekly Summary'!N$64)+('Equipment List &amp; Usage'!$S70*'Weekly Summary'!N$65)+('Equipment List &amp; Usage'!$T70*('Weekly Summary'!N$64+'Weekly Summary'!N$65))-SUM($I68:S68))),0)</f>
        <v>0</v>
      </c>
      <c r="U68" s="1381">
        <f ca="1">MAX(IF($F68="No",('Equipment List &amp; Usage'!$O70*'Weekly Summary'!O$52)+('Equipment List &amp; Usage'!$P70*'Weekly Summary'!O$53)+('Equipment List &amp; Usage'!$Q70*('Weekly Summary'!O$52+'Weekly Summary'!O$53))+('Equipment List &amp; Usage'!$R70*'Weekly Summary'!O$64)+('Equipment List &amp; Usage'!$S70*'Weekly Summary'!O$65)+('Equipment List &amp; Usage'!$T70*('Weekly Summary'!O$64+'Weekly Summary'!O$65)),
IF(U$10=0,('Equipment List &amp; Usage'!$O70*'Weekly Summary'!O$52)+('Equipment List &amp; Usage'!$P70*'Weekly Summary'!O$53)+('Equipment List &amp; Usage'!$Q70*('Weekly Summary'!O$52+'Weekly Summary'!O$53))+('Equipment List &amp; Usage'!$R70*'Weekly Summary'!O$64)+('Equipment List &amp; Usage'!$S70*'Weekly Summary'!O$65)+('Equipment List &amp; Usage'!$T70*('Weekly Summary'!O$64+'Weekly Summary'!O$65)),
('Equipment List &amp; Usage'!$O70*'Weekly Summary'!O$52)+('Equipment List &amp; Usage'!$P70*'Weekly Summary'!O$53)+('Equipment List &amp; Usage'!$Q70*('Weekly Summary'!O$52+'Weekly Summary'!O$53))+('Equipment List &amp; Usage'!$R70*'Weekly Summary'!O$64)+('Equipment List &amp; Usage'!$S70*'Weekly Summary'!O$65)+('Equipment List &amp; Usage'!$T70*('Weekly Summary'!O$64+'Weekly Summary'!O$65))-SUM($I68:T68))),0)</f>
        <v>0</v>
      </c>
      <c r="V68" s="1381">
        <f ca="1">MAX(IF($F68="No",('Equipment List &amp; Usage'!$O70*'Weekly Summary'!P$52)+('Equipment List &amp; Usage'!$P70*'Weekly Summary'!P$53)+('Equipment List &amp; Usage'!$Q70*('Weekly Summary'!P$52+'Weekly Summary'!P$53))+('Equipment List &amp; Usage'!$R70*'Weekly Summary'!P$64)+('Equipment List &amp; Usage'!$S70*'Weekly Summary'!P$65)+('Equipment List &amp; Usage'!$T70*('Weekly Summary'!P$64+'Weekly Summary'!P$65)),
IF(V$10=0,('Equipment List &amp; Usage'!$O70*'Weekly Summary'!P$52)+('Equipment List &amp; Usage'!$P70*'Weekly Summary'!P$53)+('Equipment List &amp; Usage'!$Q70*('Weekly Summary'!P$52+'Weekly Summary'!P$53))+('Equipment List &amp; Usage'!$R70*'Weekly Summary'!P$64)+('Equipment List &amp; Usage'!$S70*'Weekly Summary'!P$65)+('Equipment List &amp; Usage'!$T70*('Weekly Summary'!P$64+'Weekly Summary'!P$65)),
('Equipment List &amp; Usage'!$O70*'Weekly Summary'!P$52)+('Equipment List &amp; Usage'!$P70*'Weekly Summary'!P$53)+('Equipment List &amp; Usage'!$Q70*('Weekly Summary'!P$52+'Weekly Summary'!P$53))+('Equipment List &amp; Usage'!$R70*'Weekly Summary'!P$64)+('Equipment List &amp; Usage'!$S70*'Weekly Summary'!P$65)+('Equipment List &amp; Usage'!$T70*('Weekly Summary'!P$64+'Weekly Summary'!P$65))-SUM($I68:U68))),0)</f>
        <v>0</v>
      </c>
      <c r="W68" s="1381">
        <f ca="1">MAX(IF($F68="No",('Equipment List &amp; Usage'!$O70*'Weekly Summary'!Q$52)+('Equipment List &amp; Usage'!$P70*'Weekly Summary'!Q$53)+('Equipment List &amp; Usage'!$Q70*('Weekly Summary'!Q$52+'Weekly Summary'!Q$53))+('Equipment List &amp; Usage'!$R70*'Weekly Summary'!Q$64)+('Equipment List &amp; Usage'!$S70*'Weekly Summary'!Q$65)+('Equipment List &amp; Usage'!$T70*('Weekly Summary'!Q$64+'Weekly Summary'!Q$65)),
IF(W$10=0,('Equipment List &amp; Usage'!$O70*'Weekly Summary'!Q$52)+('Equipment List &amp; Usage'!$P70*'Weekly Summary'!Q$53)+('Equipment List &amp; Usage'!$Q70*('Weekly Summary'!Q$52+'Weekly Summary'!Q$53))+('Equipment List &amp; Usage'!$R70*'Weekly Summary'!Q$64)+('Equipment List &amp; Usage'!$S70*'Weekly Summary'!Q$65)+('Equipment List &amp; Usage'!$T70*('Weekly Summary'!Q$64+'Weekly Summary'!Q$65)),
('Equipment List &amp; Usage'!$O70*'Weekly Summary'!Q$52)+('Equipment List &amp; Usage'!$P70*'Weekly Summary'!Q$53)+('Equipment List &amp; Usage'!$Q70*('Weekly Summary'!Q$52+'Weekly Summary'!Q$53))+('Equipment List &amp; Usage'!$R70*'Weekly Summary'!Q$64)+('Equipment List &amp; Usage'!$S70*'Weekly Summary'!Q$65)+('Equipment List &amp; Usage'!$T70*('Weekly Summary'!Q$64+'Weekly Summary'!Q$65))-SUM($I68:V68))),0)</f>
        <v>0</v>
      </c>
      <c r="X68" s="1381">
        <f ca="1">MAX(IF($F68="No",('Equipment List &amp; Usage'!$O70*'Weekly Summary'!R$52)+('Equipment List &amp; Usage'!$P70*'Weekly Summary'!R$53)+('Equipment List &amp; Usage'!$Q70*('Weekly Summary'!R$52+'Weekly Summary'!R$53))+('Equipment List &amp; Usage'!$R70*'Weekly Summary'!R$64)+('Equipment List &amp; Usage'!$S70*'Weekly Summary'!R$65)+('Equipment List &amp; Usage'!$T70*('Weekly Summary'!R$64+'Weekly Summary'!R$65)),
IF(X$10=0,('Equipment List &amp; Usage'!$O70*'Weekly Summary'!R$52)+('Equipment List &amp; Usage'!$P70*'Weekly Summary'!R$53)+('Equipment List &amp; Usage'!$Q70*('Weekly Summary'!R$52+'Weekly Summary'!R$53))+('Equipment List &amp; Usage'!$R70*'Weekly Summary'!R$64)+('Equipment List &amp; Usage'!$S70*'Weekly Summary'!R$65)+('Equipment List &amp; Usage'!$T70*('Weekly Summary'!R$64+'Weekly Summary'!R$65)),
('Equipment List &amp; Usage'!$O70*'Weekly Summary'!R$52)+('Equipment List &amp; Usage'!$P70*'Weekly Summary'!R$53)+('Equipment List &amp; Usage'!$Q70*('Weekly Summary'!R$52+'Weekly Summary'!R$53))+('Equipment List &amp; Usage'!$R70*'Weekly Summary'!R$64)+('Equipment List &amp; Usage'!$S70*'Weekly Summary'!R$65)+('Equipment List &amp; Usage'!$T70*('Weekly Summary'!R$64+'Weekly Summary'!R$65))-SUM($I68:W68))),0)</f>
        <v>0</v>
      </c>
      <c r="Y68" s="1381">
        <f ca="1">MAX(IF($F68="No",('Equipment List &amp; Usage'!$O70*'Weekly Summary'!S$52)+('Equipment List &amp; Usage'!$P70*'Weekly Summary'!S$53)+('Equipment List &amp; Usage'!$Q70*('Weekly Summary'!S$52+'Weekly Summary'!S$53))+('Equipment List &amp; Usage'!$R70*'Weekly Summary'!S$64)+('Equipment List &amp; Usage'!$S70*'Weekly Summary'!S$65)+('Equipment List &amp; Usage'!$T70*('Weekly Summary'!S$64+'Weekly Summary'!S$65)),
IF(Y$10=0,('Equipment List &amp; Usage'!$O70*'Weekly Summary'!S$52)+('Equipment List &amp; Usage'!$P70*'Weekly Summary'!S$53)+('Equipment List &amp; Usage'!$Q70*('Weekly Summary'!S$52+'Weekly Summary'!S$53))+('Equipment List &amp; Usage'!$R70*'Weekly Summary'!S$64)+('Equipment List &amp; Usage'!$S70*'Weekly Summary'!S$65)+('Equipment List &amp; Usage'!$T70*('Weekly Summary'!S$64+'Weekly Summary'!S$65)),
('Equipment List &amp; Usage'!$O70*'Weekly Summary'!S$52)+('Equipment List &amp; Usage'!$P70*'Weekly Summary'!S$53)+('Equipment List &amp; Usage'!$Q70*('Weekly Summary'!S$52+'Weekly Summary'!S$53))+('Equipment List &amp; Usage'!$R70*'Weekly Summary'!S$64)+('Equipment List &amp; Usage'!$S70*'Weekly Summary'!S$65)+('Equipment List &amp; Usage'!$T70*('Weekly Summary'!S$64+'Weekly Summary'!S$65))-SUM($I68:X68))),0)</f>
        <v>0</v>
      </c>
      <c r="Z68" s="1381">
        <f ca="1">MAX(IF($F68="No",('Equipment List &amp; Usage'!$O70*'Weekly Summary'!T$52)+('Equipment List &amp; Usage'!$P70*'Weekly Summary'!T$53)+('Equipment List &amp; Usage'!$Q70*('Weekly Summary'!T$52+'Weekly Summary'!T$53))+('Equipment List &amp; Usage'!$R70*'Weekly Summary'!T$64)+('Equipment List &amp; Usage'!$S70*'Weekly Summary'!T$65)+('Equipment List &amp; Usage'!$T70*('Weekly Summary'!T$64+'Weekly Summary'!T$65)),
IF(Z$10=0,('Equipment List &amp; Usage'!$O70*'Weekly Summary'!T$52)+('Equipment List &amp; Usage'!$P70*'Weekly Summary'!T$53)+('Equipment List &amp; Usage'!$Q70*('Weekly Summary'!T$52+'Weekly Summary'!T$53))+('Equipment List &amp; Usage'!$R70*'Weekly Summary'!T$64)+('Equipment List &amp; Usage'!$S70*'Weekly Summary'!T$65)+('Equipment List &amp; Usage'!$T70*('Weekly Summary'!T$64+'Weekly Summary'!T$65)),
('Equipment List &amp; Usage'!$O70*'Weekly Summary'!T$52)+('Equipment List &amp; Usage'!$P70*'Weekly Summary'!T$53)+('Equipment List &amp; Usage'!$Q70*('Weekly Summary'!T$52+'Weekly Summary'!T$53))+('Equipment List &amp; Usage'!$R70*'Weekly Summary'!T$64)+('Equipment List &amp; Usage'!$S70*'Weekly Summary'!T$65)+('Equipment List &amp; Usage'!$T70*('Weekly Summary'!T$64+'Weekly Summary'!T$65))-SUM($I68:Y68))),0)</f>
        <v>0</v>
      </c>
      <c r="AA68" s="1381">
        <f ca="1">MAX(IF($F68="No",('Equipment List &amp; Usage'!$O70*'Weekly Summary'!U$52)+('Equipment List &amp; Usage'!$P70*'Weekly Summary'!U$53)+('Equipment List &amp; Usage'!$Q70*('Weekly Summary'!U$52+'Weekly Summary'!U$53))+('Equipment List &amp; Usage'!$R70*'Weekly Summary'!U$64)+('Equipment List &amp; Usage'!$S70*'Weekly Summary'!U$65)+('Equipment List &amp; Usage'!$T70*('Weekly Summary'!U$64+'Weekly Summary'!U$65)),
IF(AA$10=0,('Equipment List &amp; Usage'!$O70*'Weekly Summary'!U$52)+('Equipment List &amp; Usage'!$P70*'Weekly Summary'!U$53)+('Equipment List &amp; Usage'!$Q70*('Weekly Summary'!U$52+'Weekly Summary'!U$53))+('Equipment List &amp; Usage'!$R70*'Weekly Summary'!U$64)+('Equipment List &amp; Usage'!$S70*'Weekly Summary'!U$65)+('Equipment List &amp; Usage'!$T70*('Weekly Summary'!U$64+'Weekly Summary'!U$65)),
('Equipment List &amp; Usage'!$O70*'Weekly Summary'!U$52)+('Equipment List &amp; Usage'!$P70*'Weekly Summary'!U$53)+('Equipment List &amp; Usage'!$Q70*('Weekly Summary'!U$52+'Weekly Summary'!U$53))+('Equipment List &amp; Usage'!$R70*'Weekly Summary'!U$64)+('Equipment List &amp; Usage'!$S70*'Weekly Summary'!U$65)+('Equipment List &amp; Usage'!$T70*('Weekly Summary'!U$64+'Weekly Summary'!U$65))-SUM($I68:Z68))),0)</f>
        <v>0</v>
      </c>
      <c r="AB68" s="1381">
        <f ca="1">MAX(IF($F68="No",('Equipment List &amp; Usage'!$O70*'Weekly Summary'!V$52)+('Equipment List &amp; Usage'!$P70*'Weekly Summary'!V$53)+('Equipment List &amp; Usage'!$Q70*('Weekly Summary'!V$52+'Weekly Summary'!V$53))+('Equipment List &amp; Usage'!$R70*'Weekly Summary'!V$64)+('Equipment List &amp; Usage'!$S70*'Weekly Summary'!V$65)+('Equipment List &amp; Usage'!$T70*('Weekly Summary'!V$64+'Weekly Summary'!V$65)),
IF(AB$10=0,('Equipment List &amp; Usage'!$O70*'Weekly Summary'!V$52)+('Equipment List &amp; Usage'!$P70*'Weekly Summary'!V$53)+('Equipment List &amp; Usage'!$Q70*('Weekly Summary'!V$52+'Weekly Summary'!V$53))+('Equipment List &amp; Usage'!$R70*'Weekly Summary'!V$64)+('Equipment List &amp; Usage'!$S70*'Weekly Summary'!V$65)+('Equipment List &amp; Usage'!$T70*('Weekly Summary'!V$64+'Weekly Summary'!V$65)),
('Equipment List &amp; Usage'!$O70*'Weekly Summary'!V$52)+('Equipment List &amp; Usage'!$P70*'Weekly Summary'!V$53)+('Equipment List &amp; Usage'!$Q70*('Weekly Summary'!V$52+'Weekly Summary'!V$53))+('Equipment List &amp; Usage'!$R70*'Weekly Summary'!V$64)+('Equipment List &amp; Usage'!$S70*'Weekly Summary'!V$65)+('Equipment List &amp; Usage'!$T70*('Weekly Summary'!V$64+'Weekly Summary'!V$65))-SUM($I68:AA68))),0)</f>
        <v>0</v>
      </c>
      <c r="AC68" s="1381">
        <f ca="1">MAX(IF($F68="No",('Equipment List &amp; Usage'!$O70*'Weekly Summary'!W$52)+('Equipment List &amp; Usage'!$P70*'Weekly Summary'!W$53)+('Equipment List &amp; Usage'!$Q70*('Weekly Summary'!W$52+'Weekly Summary'!W$53))+('Equipment List &amp; Usage'!$R70*'Weekly Summary'!W$64)+('Equipment List &amp; Usage'!$S70*'Weekly Summary'!W$65)+('Equipment List &amp; Usage'!$T70*('Weekly Summary'!W$64+'Weekly Summary'!W$65)),
IF(AC$10=0,('Equipment List &amp; Usage'!$O70*'Weekly Summary'!W$52)+('Equipment List &amp; Usage'!$P70*'Weekly Summary'!W$53)+('Equipment List &amp; Usage'!$Q70*('Weekly Summary'!W$52+'Weekly Summary'!W$53))+('Equipment List &amp; Usage'!$R70*'Weekly Summary'!W$64)+('Equipment List &amp; Usage'!$S70*'Weekly Summary'!W$65)+('Equipment List &amp; Usage'!$T70*('Weekly Summary'!W$64+'Weekly Summary'!W$65)),
('Equipment List &amp; Usage'!$O70*'Weekly Summary'!W$52)+('Equipment List &amp; Usage'!$P70*'Weekly Summary'!W$53)+('Equipment List &amp; Usage'!$Q70*('Weekly Summary'!W$52+'Weekly Summary'!W$53))+('Equipment List &amp; Usage'!$R70*'Weekly Summary'!W$64)+('Equipment List &amp; Usage'!$S70*'Weekly Summary'!W$65)+('Equipment List &amp; Usage'!$T70*('Weekly Summary'!W$64+'Weekly Summary'!W$65))-SUM($I68:AB68))),0)</f>
        <v>0</v>
      </c>
      <c r="AD68" s="1381">
        <f ca="1">MAX(IF($F68="No",('Equipment List &amp; Usage'!$O70*'Weekly Summary'!X$52)+('Equipment List &amp; Usage'!$P70*'Weekly Summary'!X$53)+('Equipment List &amp; Usage'!$Q70*('Weekly Summary'!X$52+'Weekly Summary'!X$53))+('Equipment List &amp; Usage'!$R70*'Weekly Summary'!X$64)+('Equipment List &amp; Usage'!$S70*'Weekly Summary'!X$65)+('Equipment List &amp; Usage'!$T70*('Weekly Summary'!X$64+'Weekly Summary'!X$65)),
IF(AD$10=0,('Equipment List &amp; Usage'!$O70*'Weekly Summary'!X$52)+('Equipment List &amp; Usage'!$P70*'Weekly Summary'!X$53)+('Equipment List &amp; Usage'!$Q70*('Weekly Summary'!X$52+'Weekly Summary'!X$53))+('Equipment List &amp; Usage'!$R70*'Weekly Summary'!X$64)+('Equipment List &amp; Usage'!$S70*'Weekly Summary'!X$65)+('Equipment List &amp; Usage'!$T70*('Weekly Summary'!X$64+'Weekly Summary'!X$65)),
('Equipment List &amp; Usage'!$O70*'Weekly Summary'!X$52)+('Equipment List &amp; Usage'!$P70*'Weekly Summary'!X$53)+('Equipment List &amp; Usage'!$Q70*('Weekly Summary'!X$52+'Weekly Summary'!X$53))+('Equipment List &amp; Usage'!$R70*'Weekly Summary'!X$64)+('Equipment List &amp; Usage'!$S70*'Weekly Summary'!X$65)+('Equipment List &amp; Usage'!$T70*('Weekly Summary'!X$64+'Weekly Summary'!X$65))-SUM($I68:AC68))),0)</f>
        <v>0</v>
      </c>
      <c r="AE68" s="1381">
        <f ca="1">MAX(IF($F68="No",('Equipment List &amp; Usage'!$O70*'Weekly Summary'!Y$52)+('Equipment List &amp; Usage'!$P70*'Weekly Summary'!Y$53)+('Equipment List &amp; Usage'!$Q70*('Weekly Summary'!Y$52+'Weekly Summary'!Y$53))+('Equipment List &amp; Usage'!$R70*'Weekly Summary'!Y$64)+('Equipment List &amp; Usage'!$S70*'Weekly Summary'!Y$65)+('Equipment List &amp; Usage'!$T70*('Weekly Summary'!Y$64+'Weekly Summary'!Y$65)),
IF(AE$10=0,('Equipment List &amp; Usage'!$O70*'Weekly Summary'!Y$52)+('Equipment List &amp; Usage'!$P70*'Weekly Summary'!Y$53)+('Equipment List &amp; Usage'!$Q70*('Weekly Summary'!Y$52+'Weekly Summary'!Y$53))+('Equipment List &amp; Usage'!$R70*'Weekly Summary'!Y$64)+('Equipment List &amp; Usage'!$S70*'Weekly Summary'!Y$65)+('Equipment List &amp; Usage'!$T70*('Weekly Summary'!Y$64+'Weekly Summary'!Y$65)),
('Equipment List &amp; Usage'!$O70*'Weekly Summary'!Y$52)+('Equipment List &amp; Usage'!$P70*'Weekly Summary'!Y$53)+('Equipment List &amp; Usage'!$Q70*('Weekly Summary'!Y$52+'Weekly Summary'!Y$53))+('Equipment List &amp; Usage'!$R70*'Weekly Summary'!Y$64)+('Equipment List &amp; Usage'!$S70*'Weekly Summary'!Y$65)+('Equipment List &amp; Usage'!$T70*('Weekly Summary'!Y$64+'Weekly Summary'!Y$65))-SUM($I68:AD68))),0)</f>
        <v>0</v>
      </c>
      <c r="AF68" s="1381">
        <f ca="1">MAX(IF($F68="No",('Equipment List &amp; Usage'!$O70*'Weekly Summary'!Z$52)+('Equipment List &amp; Usage'!$P70*'Weekly Summary'!Z$53)+('Equipment List &amp; Usage'!$Q70*('Weekly Summary'!Z$52+'Weekly Summary'!Z$53))+('Equipment List &amp; Usage'!$R70*'Weekly Summary'!Z$64)+('Equipment List &amp; Usage'!$S70*'Weekly Summary'!Z$65)+('Equipment List &amp; Usage'!$T70*('Weekly Summary'!Z$64+'Weekly Summary'!Z$65)),
IF(AF$10=0,('Equipment List &amp; Usage'!$O70*'Weekly Summary'!Z$52)+('Equipment List &amp; Usage'!$P70*'Weekly Summary'!Z$53)+('Equipment List &amp; Usage'!$Q70*('Weekly Summary'!Z$52+'Weekly Summary'!Z$53))+('Equipment List &amp; Usage'!$R70*'Weekly Summary'!Z$64)+('Equipment List &amp; Usage'!$S70*'Weekly Summary'!Z$65)+('Equipment List &amp; Usage'!$T70*('Weekly Summary'!Z$64+'Weekly Summary'!Z$65)),
('Equipment List &amp; Usage'!$O70*'Weekly Summary'!Z$52)+('Equipment List &amp; Usage'!$P70*'Weekly Summary'!Z$53)+('Equipment List &amp; Usage'!$Q70*('Weekly Summary'!Z$52+'Weekly Summary'!Z$53))+('Equipment List &amp; Usage'!$R70*'Weekly Summary'!Z$64)+('Equipment List &amp; Usage'!$S70*'Weekly Summary'!Z$65)+('Equipment List &amp; Usage'!$T70*('Weekly Summary'!Z$64+'Weekly Summary'!Z$65))-SUM($I68:AE68))),0)</f>
        <v>0</v>
      </c>
      <c r="AG68" s="1381">
        <f ca="1">MAX(IF($F68="No",('Equipment List &amp; Usage'!$O70*'Weekly Summary'!AA$52)+('Equipment List &amp; Usage'!$P70*'Weekly Summary'!AA$53)+('Equipment List &amp; Usage'!$Q70*('Weekly Summary'!AA$52+'Weekly Summary'!AA$53))+('Equipment List &amp; Usage'!$R70*'Weekly Summary'!AA$64)+('Equipment List &amp; Usage'!$S70*'Weekly Summary'!AA$65)+('Equipment List &amp; Usage'!$T70*('Weekly Summary'!AA$64+'Weekly Summary'!AA$65)),
IF(AG$10=0,('Equipment List &amp; Usage'!$O70*'Weekly Summary'!AA$52)+('Equipment List &amp; Usage'!$P70*'Weekly Summary'!AA$53)+('Equipment List &amp; Usage'!$Q70*('Weekly Summary'!AA$52+'Weekly Summary'!AA$53))+('Equipment List &amp; Usage'!$R70*'Weekly Summary'!AA$64)+('Equipment List &amp; Usage'!$S70*'Weekly Summary'!AA$65)+('Equipment List &amp; Usage'!$T70*('Weekly Summary'!AA$64+'Weekly Summary'!AA$65)),
('Equipment List &amp; Usage'!$O70*'Weekly Summary'!AA$52)+('Equipment List &amp; Usage'!$P70*'Weekly Summary'!AA$53)+('Equipment List &amp; Usage'!$Q70*('Weekly Summary'!AA$52+'Weekly Summary'!AA$53))+('Equipment List &amp; Usage'!$R70*'Weekly Summary'!AA$64)+('Equipment List &amp; Usage'!$S70*'Weekly Summary'!AA$65)+('Equipment List &amp; Usage'!$T70*('Weekly Summary'!AA$64+'Weekly Summary'!AA$65))-SUM($I68:AF68))),0)</f>
        <v>0</v>
      </c>
      <c r="AH68" s="1381">
        <f ca="1">MAX(IF($F68="No",('Equipment List &amp; Usage'!$O70*'Weekly Summary'!AB$52)+('Equipment List &amp; Usage'!$P70*'Weekly Summary'!AB$53)+('Equipment List &amp; Usage'!$Q70*('Weekly Summary'!AB$52+'Weekly Summary'!AB$53))+('Equipment List &amp; Usage'!$R70*'Weekly Summary'!AB$64)+('Equipment List &amp; Usage'!$S70*'Weekly Summary'!AB$65)+('Equipment List &amp; Usage'!$T70*('Weekly Summary'!AB$64+'Weekly Summary'!AB$65)),
IF(AH$10=0,('Equipment List &amp; Usage'!$O70*'Weekly Summary'!AB$52)+('Equipment List &amp; Usage'!$P70*'Weekly Summary'!AB$53)+('Equipment List &amp; Usage'!$Q70*('Weekly Summary'!AB$52+'Weekly Summary'!AB$53))+('Equipment List &amp; Usage'!$R70*'Weekly Summary'!AB$64)+('Equipment List &amp; Usage'!$S70*'Weekly Summary'!AB$65)+('Equipment List &amp; Usage'!$T70*('Weekly Summary'!AB$64+'Weekly Summary'!AB$65)),
('Equipment List &amp; Usage'!$O70*'Weekly Summary'!AB$52)+('Equipment List &amp; Usage'!$P70*'Weekly Summary'!AB$53)+('Equipment List &amp; Usage'!$Q70*('Weekly Summary'!AB$52+'Weekly Summary'!AB$53))+('Equipment List &amp; Usage'!$R70*'Weekly Summary'!AB$64)+('Equipment List &amp; Usage'!$S70*'Weekly Summary'!AB$65)+('Equipment List &amp; Usage'!$T70*('Weekly Summary'!AB$64+'Weekly Summary'!AB$65))-SUM($I68:AG68))),0)</f>
        <v>0</v>
      </c>
      <c r="AI68" s="1381">
        <f ca="1">MAX(IF($F68="No",('Equipment List &amp; Usage'!$O70*'Weekly Summary'!AC$52)+('Equipment List &amp; Usage'!$P70*'Weekly Summary'!AC$53)+('Equipment List &amp; Usage'!$Q70*('Weekly Summary'!AC$52+'Weekly Summary'!AC$53))+('Equipment List &amp; Usage'!$R70*'Weekly Summary'!AC$64)+('Equipment List &amp; Usage'!$S70*'Weekly Summary'!AC$65)+('Equipment List &amp; Usage'!$T70*('Weekly Summary'!AC$64+'Weekly Summary'!AC$65)),
IF(AI$10=0,('Equipment List &amp; Usage'!$O70*'Weekly Summary'!AC$52)+('Equipment List &amp; Usage'!$P70*'Weekly Summary'!AC$53)+('Equipment List &amp; Usage'!$Q70*('Weekly Summary'!AC$52+'Weekly Summary'!AC$53))+('Equipment List &amp; Usage'!$R70*'Weekly Summary'!AC$64)+('Equipment List &amp; Usage'!$S70*'Weekly Summary'!AC$65)+('Equipment List &amp; Usage'!$T70*('Weekly Summary'!AC$64+'Weekly Summary'!AC$65)),
('Equipment List &amp; Usage'!$O70*'Weekly Summary'!AC$52)+('Equipment List &amp; Usage'!$P70*'Weekly Summary'!AC$53)+('Equipment List &amp; Usage'!$Q70*('Weekly Summary'!AC$52+'Weekly Summary'!AC$53))+('Equipment List &amp; Usage'!$R70*'Weekly Summary'!AC$64)+('Equipment List &amp; Usage'!$S70*'Weekly Summary'!AC$65)+('Equipment List &amp; Usage'!$T70*('Weekly Summary'!AC$64+'Weekly Summary'!AC$65))-SUM($I68:AH68))),0)</f>
        <v>0</v>
      </c>
      <c r="AJ68" s="1381">
        <f ca="1">MAX(IF($F68="No",('Equipment List &amp; Usage'!$O70*'Weekly Summary'!AD$52)+('Equipment List &amp; Usage'!$P70*'Weekly Summary'!AD$53)+('Equipment List &amp; Usage'!$Q70*('Weekly Summary'!AD$52+'Weekly Summary'!AD$53))+('Equipment List &amp; Usage'!$R70*'Weekly Summary'!AD$64)+('Equipment List &amp; Usage'!$S70*'Weekly Summary'!AD$65)+('Equipment List &amp; Usage'!$T70*('Weekly Summary'!AD$64+'Weekly Summary'!AD$65)),
IF(AJ$10=0,('Equipment List &amp; Usage'!$O70*'Weekly Summary'!AD$52)+('Equipment List &amp; Usage'!$P70*'Weekly Summary'!AD$53)+('Equipment List &amp; Usage'!$Q70*('Weekly Summary'!AD$52+'Weekly Summary'!AD$53))+('Equipment List &amp; Usage'!$R70*'Weekly Summary'!AD$64)+('Equipment List &amp; Usage'!$S70*'Weekly Summary'!AD$65)+('Equipment List &amp; Usage'!$T70*('Weekly Summary'!AD$64+'Weekly Summary'!AD$65)),
('Equipment List &amp; Usage'!$O70*'Weekly Summary'!AD$52)+('Equipment List &amp; Usage'!$P70*'Weekly Summary'!AD$53)+('Equipment List &amp; Usage'!$Q70*('Weekly Summary'!AD$52+'Weekly Summary'!AD$53))+('Equipment List &amp; Usage'!$R70*'Weekly Summary'!AD$64)+('Equipment List &amp; Usage'!$S70*'Weekly Summary'!AD$65)+('Equipment List &amp; Usage'!$T70*('Weekly Summary'!AD$64+'Weekly Summary'!AD$65))-SUM($I68:AI68))),0)</f>
        <v>0</v>
      </c>
      <c r="AK68" s="1381">
        <f ca="1">MAX(IF($F68="No",('Equipment List &amp; Usage'!$O70*'Weekly Summary'!AE$52)+('Equipment List &amp; Usage'!$P70*'Weekly Summary'!AE$53)+('Equipment List &amp; Usage'!$Q70*('Weekly Summary'!AE$52+'Weekly Summary'!AE$53))+('Equipment List &amp; Usage'!$R70*'Weekly Summary'!AE$64)+('Equipment List &amp; Usage'!$S70*'Weekly Summary'!AE$65)+('Equipment List &amp; Usage'!$T70*('Weekly Summary'!AE$64+'Weekly Summary'!AE$65)),
IF(AK$10=0,('Equipment List &amp; Usage'!$O70*'Weekly Summary'!AE$52)+('Equipment List &amp; Usage'!$P70*'Weekly Summary'!AE$53)+('Equipment List &amp; Usage'!$Q70*('Weekly Summary'!AE$52+'Weekly Summary'!AE$53))+('Equipment List &amp; Usage'!$R70*'Weekly Summary'!AE$64)+('Equipment List &amp; Usage'!$S70*'Weekly Summary'!AE$65)+('Equipment List &amp; Usage'!$T70*('Weekly Summary'!AE$64+'Weekly Summary'!AE$65)),
('Equipment List &amp; Usage'!$O70*'Weekly Summary'!AE$52)+('Equipment List &amp; Usage'!$P70*'Weekly Summary'!AE$53)+('Equipment List &amp; Usage'!$Q70*('Weekly Summary'!AE$52+'Weekly Summary'!AE$53))+('Equipment List &amp; Usage'!$R70*'Weekly Summary'!AE$64)+('Equipment List &amp; Usage'!$S70*'Weekly Summary'!AE$65)+('Equipment List &amp; Usage'!$T70*('Weekly Summary'!AE$64+'Weekly Summary'!AE$65))-SUM($I68:AJ68))),0)</f>
        <v>0</v>
      </c>
      <c r="AL68" s="1381">
        <f ca="1">MAX(IF($F68="No",('Equipment List &amp; Usage'!$O70*'Weekly Summary'!AF$52)+('Equipment List &amp; Usage'!$P70*'Weekly Summary'!AF$53)+('Equipment List &amp; Usage'!$Q70*('Weekly Summary'!AF$52+'Weekly Summary'!AF$53))+('Equipment List &amp; Usage'!$R70*'Weekly Summary'!AF$64)+('Equipment List &amp; Usage'!$S70*'Weekly Summary'!AF$65)+('Equipment List &amp; Usage'!$T70*('Weekly Summary'!AF$64+'Weekly Summary'!AF$65)),
IF(AL$10=0,('Equipment List &amp; Usage'!$O70*'Weekly Summary'!AF$52)+('Equipment List &amp; Usage'!$P70*'Weekly Summary'!AF$53)+('Equipment List &amp; Usage'!$Q70*('Weekly Summary'!AF$52+'Weekly Summary'!AF$53))+('Equipment List &amp; Usage'!$R70*'Weekly Summary'!AF$64)+('Equipment List &amp; Usage'!$S70*'Weekly Summary'!AF$65)+('Equipment List &amp; Usage'!$T70*('Weekly Summary'!AF$64+'Weekly Summary'!AF$65)),
('Equipment List &amp; Usage'!$O70*'Weekly Summary'!AF$52)+('Equipment List &amp; Usage'!$P70*'Weekly Summary'!AF$53)+('Equipment List &amp; Usage'!$Q70*('Weekly Summary'!AF$52+'Weekly Summary'!AF$53))+('Equipment List &amp; Usage'!$R70*'Weekly Summary'!AF$64)+('Equipment List &amp; Usage'!$S70*'Weekly Summary'!AF$65)+('Equipment List &amp; Usage'!$T70*('Weekly Summary'!AF$64+'Weekly Summary'!AF$65))-SUM($I68:AK68))),0)</f>
        <v>0</v>
      </c>
      <c r="AM68" s="1381">
        <f ca="1">MAX(IF($F68="No",('Equipment List &amp; Usage'!$O70*'Weekly Summary'!AG$52)+('Equipment List &amp; Usage'!$P70*'Weekly Summary'!AG$53)+('Equipment List &amp; Usage'!$Q70*('Weekly Summary'!AG$52+'Weekly Summary'!AG$53))+('Equipment List &amp; Usage'!$R70*'Weekly Summary'!AG$64)+('Equipment List &amp; Usage'!$S70*'Weekly Summary'!AG$65)+('Equipment List &amp; Usage'!$T70*('Weekly Summary'!AG$64+'Weekly Summary'!AG$65)),
IF(AM$10=0,('Equipment List &amp; Usage'!$O70*'Weekly Summary'!AG$52)+('Equipment List &amp; Usage'!$P70*'Weekly Summary'!AG$53)+('Equipment List &amp; Usage'!$Q70*('Weekly Summary'!AG$52+'Weekly Summary'!AG$53))+('Equipment List &amp; Usage'!$R70*'Weekly Summary'!AG$64)+('Equipment List &amp; Usage'!$S70*'Weekly Summary'!AG$65)+('Equipment List &amp; Usage'!$T70*('Weekly Summary'!AG$64+'Weekly Summary'!AG$65)),
('Equipment List &amp; Usage'!$O70*'Weekly Summary'!AG$52)+('Equipment List &amp; Usage'!$P70*'Weekly Summary'!AG$53)+('Equipment List &amp; Usage'!$Q70*('Weekly Summary'!AG$52+'Weekly Summary'!AG$53))+('Equipment List &amp; Usage'!$R70*'Weekly Summary'!AG$64)+('Equipment List &amp; Usage'!$S70*'Weekly Summary'!AG$65)+('Equipment List &amp; Usage'!$T70*('Weekly Summary'!AG$64+'Weekly Summary'!AG$65))-SUM($I68:AL68))),0)</f>
        <v>0</v>
      </c>
      <c r="AN68" s="1381">
        <f ca="1">MAX(IF($F68="No",('Equipment List &amp; Usage'!$O70*'Weekly Summary'!AH$52)+('Equipment List &amp; Usage'!$P70*'Weekly Summary'!AH$53)+('Equipment List &amp; Usage'!$Q70*('Weekly Summary'!AH$52+'Weekly Summary'!AH$53))+('Equipment List &amp; Usage'!$R70*'Weekly Summary'!AH$64)+('Equipment List &amp; Usage'!$S70*'Weekly Summary'!AH$65)+('Equipment List &amp; Usage'!$T70*('Weekly Summary'!AH$64+'Weekly Summary'!AH$65)),
IF(AN$10=0,('Equipment List &amp; Usage'!$O70*'Weekly Summary'!AH$52)+('Equipment List &amp; Usage'!$P70*'Weekly Summary'!AH$53)+('Equipment List &amp; Usage'!$Q70*('Weekly Summary'!AH$52+'Weekly Summary'!AH$53))+('Equipment List &amp; Usage'!$R70*'Weekly Summary'!AH$64)+('Equipment List &amp; Usage'!$S70*'Weekly Summary'!AH$65)+('Equipment List &amp; Usage'!$T70*('Weekly Summary'!AH$64+'Weekly Summary'!AH$65)),
('Equipment List &amp; Usage'!$O70*'Weekly Summary'!AH$52)+('Equipment List &amp; Usage'!$P70*'Weekly Summary'!AH$53)+('Equipment List &amp; Usage'!$Q70*('Weekly Summary'!AH$52+'Weekly Summary'!AH$53))+('Equipment List &amp; Usage'!$R70*'Weekly Summary'!AH$64)+('Equipment List &amp; Usage'!$S70*'Weekly Summary'!AH$65)+('Equipment List &amp; Usage'!$T70*('Weekly Summary'!AH$64+'Weekly Summary'!AH$65))-SUM($I68:AM68))),0)</f>
        <v>0</v>
      </c>
      <c r="AO68" s="1381">
        <f ca="1">MAX(IF($F68="No",('Equipment List &amp; Usage'!$O70*'Weekly Summary'!AI$52)+('Equipment List &amp; Usage'!$P70*'Weekly Summary'!AI$53)+('Equipment List &amp; Usage'!$Q70*('Weekly Summary'!AI$52+'Weekly Summary'!AI$53))+('Equipment List &amp; Usage'!$R70*'Weekly Summary'!AI$64)+('Equipment List &amp; Usage'!$S70*'Weekly Summary'!AI$65)+('Equipment List &amp; Usage'!$T70*('Weekly Summary'!AI$64+'Weekly Summary'!AI$65)),
IF(AO$10=0,('Equipment List &amp; Usage'!$O70*'Weekly Summary'!AI$52)+('Equipment List &amp; Usage'!$P70*'Weekly Summary'!AI$53)+('Equipment List &amp; Usage'!$Q70*('Weekly Summary'!AI$52+'Weekly Summary'!AI$53))+('Equipment List &amp; Usage'!$R70*'Weekly Summary'!AI$64)+('Equipment List &amp; Usage'!$S70*'Weekly Summary'!AI$65)+('Equipment List &amp; Usage'!$T70*('Weekly Summary'!AI$64+'Weekly Summary'!AI$65)),
('Equipment List &amp; Usage'!$O70*'Weekly Summary'!AI$52)+('Equipment List &amp; Usage'!$P70*'Weekly Summary'!AI$53)+('Equipment List &amp; Usage'!$Q70*('Weekly Summary'!AI$52+'Weekly Summary'!AI$53))+('Equipment List &amp; Usage'!$R70*'Weekly Summary'!AI$64)+('Equipment List &amp; Usage'!$S70*'Weekly Summary'!AI$65)+('Equipment List &amp; Usage'!$T70*('Weekly Summary'!AI$64+'Weekly Summary'!AI$65))-SUM($I68:AN68))),0)</f>
        <v>0</v>
      </c>
      <c r="AP68" s="1381">
        <f ca="1">MAX(IF($F68="No",('Equipment List &amp; Usage'!$O70*'Weekly Summary'!AJ$52)+('Equipment List &amp; Usage'!$P70*'Weekly Summary'!AJ$53)+('Equipment List &amp; Usage'!$Q70*('Weekly Summary'!AJ$52+'Weekly Summary'!AJ$53))+('Equipment List &amp; Usage'!$R70*'Weekly Summary'!AJ$64)+('Equipment List &amp; Usage'!$S70*'Weekly Summary'!AJ$65)+('Equipment List &amp; Usage'!$T70*('Weekly Summary'!AJ$64+'Weekly Summary'!AJ$65)),
IF(AP$10=0,('Equipment List &amp; Usage'!$O70*'Weekly Summary'!AJ$52)+('Equipment List &amp; Usage'!$P70*'Weekly Summary'!AJ$53)+('Equipment List &amp; Usage'!$Q70*('Weekly Summary'!AJ$52+'Weekly Summary'!AJ$53))+('Equipment List &amp; Usage'!$R70*'Weekly Summary'!AJ$64)+('Equipment List &amp; Usage'!$S70*'Weekly Summary'!AJ$65)+('Equipment List &amp; Usage'!$T70*('Weekly Summary'!AJ$64+'Weekly Summary'!AJ$65)),
('Equipment List &amp; Usage'!$O70*'Weekly Summary'!AJ$52)+('Equipment List &amp; Usage'!$P70*'Weekly Summary'!AJ$53)+('Equipment List &amp; Usage'!$Q70*('Weekly Summary'!AJ$52+'Weekly Summary'!AJ$53))+('Equipment List &amp; Usage'!$R70*'Weekly Summary'!AJ$64)+('Equipment List &amp; Usage'!$S70*'Weekly Summary'!AJ$65)+('Equipment List &amp; Usage'!$T70*('Weekly Summary'!AJ$64+'Weekly Summary'!AJ$65))-SUM($I68:AO68))),0)</f>
        <v>0</v>
      </c>
      <c r="AQ68" s="1381">
        <f ca="1">MAX(IF($F68="No",('Equipment List &amp; Usage'!$O70*'Weekly Summary'!AK$52)+('Equipment List &amp; Usage'!$P70*'Weekly Summary'!AK$53)+('Equipment List &amp; Usage'!$Q70*('Weekly Summary'!AK$52+'Weekly Summary'!AK$53))+('Equipment List &amp; Usage'!$R70*'Weekly Summary'!AK$64)+('Equipment List &amp; Usage'!$S70*'Weekly Summary'!AK$65)+('Equipment List &amp; Usage'!$T70*('Weekly Summary'!AK$64+'Weekly Summary'!AK$65)),
IF(AQ$10=0,('Equipment List &amp; Usage'!$O70*'Weekly Summary'!AK$52)+('Equipment List &amp; Usage'!$P70*'Weekly Summary'!AK$53)+('Equipment List &amp; Usage'!$Q70*('Weekly Summary'!AK$52+'Weekly Summary'!AK$53))+('Equipment List &amp; Usage'!$R70*'Weekly Summary'!AK$64)+('Equipment List &amp; Usage'!$S70*'Weekly Summary'!AK$65)+('Equipment List &amp; Usage'!$T70*('Weekly Summary'!AK$64+'Weekly Summary'!AK$65)),
('Equipment List &amp; Usage'!$O70*'Weekly Summary'!AK$52)+('Equipment List &amp; Usage'!$P70*'Weekly Summary'!AK$53)+('Equipment List &amp; Usage'!$Q70*('Weekly Summary'!AK$52+'Weekly Summary'!AK$53))+('Equipment List &amp; Usage'!$R70*'Weekly Summary'!AK$64)+('Equipment List &amp; Usage'!$S70*'Weekly Summary'!AK$65)+('Equipment List &amp; Usage'!$T70*('Weekly Summary'!AK$64+'Weekly Summary'!AK$65))-SUM($I68:AP68))),0)</f>
        <v>0</v>
      </c>
      <c r="AR68" s="1381">
        <f ca="1">MAX(IF($F68="No",('Equipment List &amp; Usage'!$O70*'Weekly Summary'!AL$52)+('Equipment List &amp; Usage'!$P70*'Weekly Summary'!AL$53)+('Equipment List &amp; Usage'!$Q70*('Weekly Summary'!AL$52+'Weekly Summary'!AL$53))+('Equipment List &amp; Usage'!$R70*'Weekly Summary'!AL$64)+('Equipment List &amp; Usage'!$S70*'Weekly Summary'!AL$65)+('Equipment List &amp; Usage'!$T70*('Weekly Summary'!AL$64+'Weekly Summary'!AL$65)),
IF(AR$10=0,('Equipment List &amp; Usage'!$O70*'Weekly Summary'!AL$52)+('Equipment List &amp; Usage'!$P70*'Weekly Summary'!AL$53)+('Equipment List &amp; Usage'!$Q70*('Weekly Summary'!AL$52+'Weekly Summary'!AL$53))+('Equipment List &amp; Usage'!$R70*'Weekly Summary'!AL$64)+('Equipment List &amp; Usage'!$S70*'Weekly Summary'!AL$65)+('Equipment List &amp; Usage'!$T70*('Weekly Summary'!AL$64+'Weekly Summary'!AL$65)),
('Equipment List &amp; Usage'!$O70*'Weekly Summary'!AL$52)+('Equipment List &amp; Usage'!$P70*'Weekly Summary'!AL$53)+('Equipment List &amp; Usage'!$Q70*('Weekly Summary'!AL$52+'Weekly Summary'!AL$53))+('Equipment List &amp; Usage'!$R70*'Weekly Summary'!AL$64)+('Equipment List &amp; Usage'!$S70*'Weekly Summary'!AL$65)+('Equipment List &amp; Usage'!$T70*('Weekly Summary'!AL$64+'Weekly Summary'!AL$65))-SUM($I68:AQ68))),0)</f>
        <v>0</v>
      </c>
      <c r="AS68" s="1381">
        <f ca="1">MAX(IF($F68="No",('Equipment List &amp; Usage'!$O70*'Weekly Summary'!AM$52)+('Equipment List &amp; Usage'!$P70*'Weekly Summary'!AM$53)+('Equipment List &amp; Usage'!$Q70*('Weekly Summary'!AM$52+'Weekly Summary'!AM$53))+('Equipment List &amp; Usage'!$R70*'Weekly Summary'!AM$64)+('Equipment List &amp; Usage'!$S70*'Weekly Summary'!AM$65)+('Equipment List &amp; Usage'!$T70*('Weekly Summary'!AM$64+'Weekly Summary'!AM$65)),
IF(AS$10=0,('Equipment List &amp; Usage'!$O70*'Weekly Summary'!AM$52)+('Equipment List &amp; Usage'!$P70*'Weekly Summary'!AM$53)+('Equipment List &amp; Usage'!$Q70*('Weekly Summary'!AM$52+'Weekly Summary'!AM$53))+('Equipment List &amp; Usage'!$R70*'Weekly Summary'!AM$64)+('Equipment List &amp; Usage'!$S70*'Weekly Summary'!AM$65)+('Equipment List &amp; Usage'!$T70*('Weekly Summary'!AM$64+'Weekly Summary'!AM$65)),
('Equipment List &amp; Usage'!$O70*'Weekly Summary'!AM$52)+('Equipment List &amp; Usage'!$P70*'Weekly Summary'!AM$53)+('Equipment List &amp; Usage'!$Q70*('Weekly Summary'!AM$52+'Weekly Summary'!AM$53))+('Equipment List &amp; Usage'!$R70*'Weekly Summary'!AM$64)+('Equipment List &amp; Usage'!$S70*'Weekly Summary'!AM$65)+('Equipment List &amp; Usage'!$T70*('Weekly Summary'!AM$64+'Weekly Summary'!AM$65))-SUM($I68:AR68))),0)</f>
        <v>0</v>
      </c>
      <c r="AT68" s="1381">
        <f ca="1">MAX(IF($F68="No",('Equipment List &amp; Usage'!$O70*'Weekly Summary'!AN$52)+('Equipment List &amp; Usage'!$P70*'Weekly Summary'!AN$53)+('Equipment List &amp; Usage'!$Q70*('Weekly Summary'!AN$52+'Weekly Summary'!AN$53))+('Equipment List &amp; Usage'!$R70*'Weekly Summary'!AN$64)+('Equipment List &amp; Usage'!$S70*'Weekly Summary'!AN$65)+('Equipment List &amp; Usage'!$T70*('Weekly Summary'!AN$64+'Weekly Summary'!AN$65)),
IF(AT$10=0,('Equipment List &amp; Usage'!$O70*'Weekly Summary'!AN$52)+('Equipment List &amp; Usage'!$P70*'Weekly Summary'!AN$53)+('Equipment List &amp; Usage'!$Q70*('Weekly Summary'!AN$52+'Weekly Summary'!AN$53))+('Equipment List &amp; Usage'!$R70*'Weekly Summary'!AN$64)+('Equipment List &amp; Usage'!$S70*'Weekly Summary'!AN$65)+('Equipment List &amp; Usage'!$T70*('Weekly Summary'!AN$64+'Weekly Summary'!AN$65)),
('Equipment List &amp; Usage'!$O70*'Weekly Summary'!AN$52)+('Equipment List &amp; Usage'!$P70*'Weekly Summary'!AN$53)+('Equipment List &amp; Usage'!$Q70*('Weekly Summary'!AN$52+'Weekly Summary'!AN$53))+('Equipment List &amp; Usage'!$R70*'Weekly Summary'!AN$64)+('Equipment List &amp; Usage'!$S70*'Weekly Summary'!AN$65)+('Equipment List &amp; Usage'!$T70*('Weekly Summary'!AN$64+'Weekly Summary'!AN$65))-SUM($I68:AS68))),0)</f>
        <v>0</v>
      </c>
      <c r="AU68" s="1381">
        <f ca="1">MAX(IF($F68="No",('Equipment List &amp; Usage'!$O70*'Weekly Summary'!AO$52)+('Equipment List &amp; Usage'!$P70*'Weekly Summary'!AO$53)+('Equipment List &amp; Usage'!$Q70*('Weekly Summary'!AO$52+'Weekly Summary'!AO$53))+('Equipment List &amp; Usage'!$R70*'Weekly Summary'!AO$64)+('Equipment List &amp; Usage'!$S70*'Weekly Summary'!AO$65)+('Equipment List &amp; Usage'!$T70*('Weekly Summary'!AO$64+'Weekly Summary'!AO$65)),
IF(AU$10=0,('Equipment List &amp; Usage'!$O70*'Weekly Summary'!AO$52)+('Equipment List &amp; Usage'!$P70*'Weekly Summary'!AO$53)+('Equipment List &amp; Usage'!$Q70*('Weekly Summary'!AO$52+'Weekly Summary'!AO$53))+('Equipment List &amp; Usage'!$R70*'Weekly Summary'!AO$64)+('Equipment List &amp; Usage'!$S70*'Weekly Summary'!AO$65)+('Equipment List &amp; Usage'!$T70*('Weekly Summary'!AO$64+'Weekly Summary'!AO$65)),
('Equipment List &amp; Usage'!$O70*'Weekly Summary'!AO$52)+('Equipment List &amp; Usage'!$P70*'Weekly Summary'!AO$53)+('Equipment List &amp; Usage'!$Q70*('Weekly Summary'!AO$52+'Weekly Summary'!AO$53))+('Equipment List &amp; Usage'!$R70*'Weekly Summary'!AO$64)+('Equipment List &amp; Usage'!$S70*'Weekly Summary'!AO$65)+('Equipment List &amp; Usage'!$T70*('Weekly Summary'!AO$64+'Weekly Summary'!AO$65))-SUM($I68:AT68))),0)</f>
        <v>0</v>
      </c>
      <c r="AV68" s="1381">
        <f ca="1">MAX(IF($F68="No",('Equipment List &amp; Usage'!$O70*'Weekly Summary'!AP$52)+('Equipment List &amp; Usage'!$P70*'Weekly Summary'!AP$53)+('Equipment List &amp; Usage'!$Q70*('Weekly Summary'!AP$52+'Weekly Summary'!AP$53))+('Equipment List &amp; Usage'!$R70*'Weekly Summary'!AP$64)+('Equipment List &amp; Usage'!$S70*'Weekly Summary'!AP$65)+('Equipment List &amp; Usage'!$T70*('Weekly Summary'!AP$64+'Weekly Summary'!AP$65)),
IF(AV$10=0,('Equipment List &amp; Usage'!$O70*'Weekly Summary'!AP$52)+('Equipment List &amp; Usage'!$P70*'Weekly Summary'!AP$53)+('Equipment List &amp; Usage'!$Q70*('Weekly Summary'!AP$52+'Weekly Summary'!AP$53))+('Equipment List &amp; Usage'!$R70*'Weekly Summary'!AP$64)+('Equipment List &amp; Usage'!$S70*'Weekly Summary'!AP$65)+('Equipment List &amp; Usage'!$T70*('Weekly Summary'!AP$64+'Weekly Summary'!AP$65)),
('Equipment List &amp; Usage'!$O70*'Weekly Summary'!AP$52)+('Equipment List &amp; Usage'!$P70*'Weekly Summary'!AP$53)+('Equipment List &amp; Usage'!$Q70*('Weekly Summary'!AP$52+'Weekly Summary'!AP$53))+('Equipment List &amp; Usage'!$R70*'Weekly Summary'!AP$64)+('Equipment List &amp; Usage'!$S70*'Weekly Summary'!AP$65)+('Equipment List &amp; Usage'!$T70*('Weekly Summary'!AP$64+'Weekly Summary'!AP$65))-SUM($I68:AU68))),0)</f>
        <v>0</v>
      </c>
      <c r="AW68" s="1381">
        <f ca="1">MAX(IF($F68="No",('Equipment List &amp; Usage'!$O70*'Weekly Summary'!AQ$52)+('Equipment List &amp; Usage'!$P70*'Weekly Summary'!AQ$53)+('Equipment List &amp; Usage'!$Q70*('Weekly Summary'!AQ$52+'Weekly Summary'!AQ$53))+('Equipment List &amp; Usage'!$R70*'Weekly Summary'!AQ$64)+('Equipment List &amp; Usage'!$S70*'Weekly Summary'!AQ$65)+('Equipment List &amp; Usage'!$T70*('Weekly Summary'!AQ$64+'Weekly Summary'!AQ$65)),
IF(AW$10=0,('Equipment List &amp; Usage'!$O70*'Weekly Summary'!AQ$52)+('Equipment List &amp; Usage'!$P70*'Weekly Summary'!AQ$53)+('Equipment List &amp; Usage'!$Q70*('Weekly Summary'!AQ$52+'Weekly Summary'!AQ$53))+('Equipment List &amp; Usage'!$R70*'Weekly Summary'!AQ$64)+('Equipment List &amp; Usage'!$S70*'Weekly Summary'!AQ$65)+('Equipment List &amp; Usage'!$T70*('Weekly Summary'!AQ$64+'Weekly Summary'!AQ$65)),
('Equipment List &amp; Usage'!$O70*'Weekly Summary'!AQ$52)+('Equipment List &amp; Usage'!$P70*'Weekly Summary'!AQ$53)+('Equipment List &amp; Usage'!$Q70*('Weekly Summary'!AQ$52+'Weekly Summary'!AQ$53))+('Equipment List &amp; Usage'!$R70*'Weekly Summary'!AQ$64)+('Equipment List &amp; Usage'!$S70*'Weekly Summary'!AQ$65)+('Equipment List &amp; Usage'!$T70*('Weekly Summary'!AQ$64+'Weekly Summary'!AQ$65))-SUM($I68:AV68))),0)</f>
        <v>0</v>
      </c>
      <c r="AX68" s="1381">
        <f ca="1">MAX(IF($F68="No",('Equipment List &amp; Usage'!$O70*'Weekly Summary'!AR$52)+('Equipment List &amp; Usage'!$P70*'Weekly Summary'!AR$53)+('Equipment List &amp; Usage'!$Q70*('Weekly Summary'!AR$52+'Weekly Summary'!AR$53))+('Equipment List &amp; Usage'!$R70*'Weekly Summary'!AR$64)+('Equipment List &amp; Usage'!$S70*'Weekly Summary'!AR$65)+('Equipment List &amp; Usage'!$T70*('Weekly Summary'!AR$64+'Weekly Summary'!AR$65)),
IF(AX$10=0,('Equipment List &amp; Usage'!$O70*'Weekly Summary'!AR$52)+('Equipment List &amp; Usage'!$P70*'Weekly Summary'!AR$53)+('Equipment List &amp; Usage'!$Q70*('Weekly Summary'!AR$52+'Weekly Summary'!AR$53))+('Equipment List &amp; Usage'!$R70*'Weekly Summary'!AR$64)+('Equipment List &amp; Usage'!$S70*'Weekly Summary'!AR$65)+('Equipment List &amp; Usage'!$T70*('Weekly Summary'!AR$64+'Weekly Summary'!AR$65)),
('Equipment List &amp; Usage'!$O70*'Weekly Summary'!AR$52)+('Equipment List &amp; Usage'!$P70*'Weekly Summary'!AR$53)+('Equipment List &amp; Usage'!$Q70*('Weekly Summary'!AR$52+'Weekly Summary'!AR$53))+('Equipment List &amp; Usage'!$R70*'Weekly Summary'!AR$64)+('Equipment List &amp; Usage'!$S70*'Weekly Summary'!AR$65)+('Equipment List &amp; Usage'!$T70*('Weekly Summary'!AR$64+'Weekly Summary'!AR$65))-SUM($I68:AW68))),0)</f>
        <v>0</v>
      </c>
      <c r="AY68" s="1381">
        <f ca="1">MAX(IF($F68="No",('Equipment List &amp; Usage'!$O70*'Weekly Summary'!AS$52)+('Equipment List &amp; Usage'!$P70*'Weekly Summary'!AS$53)+('Equipment List &amp; Usage'!$Q70*('Weekly Summary'!AS$52+'Weekly Summary'!AS$53))+('Equipment List &amp; Usage'!$R70*'Weekly Summary'!AS$64)+('Equipment List &amp; Usage'!$S70*'Weekly Summary'!AS$65)+('Equipment List &amp; Usage'!$T70*('Weekly Summary'!AS$64+'Weekly Summary'!AS$65)),
IF(AY$10=0,('Equipment List &amp; Usage'!$O70*'Weekly Summary'!AS$52)+('Equipment List &amp; Usage'!$P70*'Weekly Summary'!AS$53)+('Equipment List &amp; Usage'!$Q70*('Weekly Summary'!AS$52+'Weekly Summary'!AS$53))+('Equipment List &amp; Usage'!$R70*'Weekly Summary'!AS$64)+('Equipment List &amp; Usage'!$S70*'Weekly Summary'!AS$65)+('Equipment List &amp; Usage'!$T70*('Weekly Summary'!AS$64+'Weekly Summary'!AS$65)),
('Equipment List &amp; Usage'!$O70*'Weekly Summary'!AS$52)+('Equipment List &amp; Usage'!$P70*'Weekly Summary'!AS$53)+('Equipment List &amp; Usage'!$Q70*('Weekly Summary'!AS$52+'Weekly Summary'!AS$53))+('Equipment List &amp; Usage'!$R70*'Weekly Summary'!AS$64)+('Equipment List &amp; Usage'!$S70*'Weekly Summary'!AS$65)+('Equipment List &amp; Usage'!$T70*('Weekly Summary'!AS$64+'Weekly Summary'!AS$65))-SUM($I68:AX68))),0)</f>
        <v>0</v>
      </c>
      <c r="AZ68" s="1381">
        <f ca="1">MAX(IF($F68="No",('Equipment List &amp; Usage'!$O70*'Weekly Summary'!AT$52)+('Equipment List &amp; Usage'!$P70*'Weekly Summary'!AT$53)+('Equipment List &amp; Usage'!$Q70*('Weekly Summary'!AT$52+'Weekly Summary'!AT$53))+('Equipment List &amp; Usage'!$R70*'Weekly Summary'!AT$64)+('Equipment List &amp; Usage'!$S70*'Weekly Summary'!AT$65)+('Equipment List &amp; Usage'!$T70*('Weekly Summary'!AT$64+'Weekly Summary'!AT$65)),
IF(AZ$10=0,('Equipment List &amp; Usage'!$O70*'Weekly Summary'!AT$52)+('Equipment List &amp; Usage'!$P70*'Weekly Summary'!AT$53)+('Equipment List &amp; Usage'!$Q70*('Weekly Summary'!AT$52+'Weekly Summary'!AT$53))+('Equipment List &amp; Usage'!$R70*'Weekly Summary'!AT$64)+('Equipment List &amp; Usage'!$S70*'Weekly Summary'!AT$65)+('Equipment List &amp; Usage'!$T70*('Weekly Summary'!AT$64+'Weekly Summary'!AT$65)),
('Equipment List &amp; Usage'!$O70*'Weekly Summary'!AT$52)+('Equipment List &amp; Usage'!$P70*'Weekly Summary'!AT$53)+('Equipment List &amp; Usage'!$Q70*('Weekly Summary'!AT$52+'Weekly Summary'!AT$53))+('Equipment List &amp; Usage'!$R70*'Weekly Summary'!AT$64)+('Equipment List &amp; Usage'!$S70*'Weekly Summary'!AT$65)+('Equipment List &amp; Usage'!$T70*('Weekly Summary'!AT$64+'Weekly Summary'!AT$65))-SUM($I68:AY68))),0)</f>
        <v>0</v>
      </c>
      <c r="BA68" s="1381">
        <f ca="1">MAX(IF($F68="No",('Equipment List &amp; Usage'!$O70*'Weekly Summary'!AU$52)+('Equipment List &amp; Usage'!$P70*'Weekly Summary'!AU$53)+('Equipment List &amp; Usage'!$Q70*('Weekly Summary'!AU$52+'Weekly Summary'!AU$53))+('Equipment List &amp; Usage'!$R70*'Weekly Summary'!AU$64)+('Equipment List &amp; Usage'!$S70*'Weekly Summary'!AU$65)+('Equipment List &amp; Usage'!$T70*('Weekly Summary'!AU$64+'Weekly Summary'!AU$65)),
IF(BA$10=0,('Equipment List &amp; Usage'!$O70*'Weekly Summary'!AU$52)+('Equipment List &amp; Usage'!$P70*'Weekly Summary'!AU$53)+('Equipment List &amp; Usage'!$Q70*('Weekly Summary'!AU$52+'Weekly Summary'!AU$53))+('Equipment List &amp; Usage'!$R70*'Weekly Summary'!AU$64)+('Equipment List &amp; Usage'!$S70*'Weekly Summary'!AU$65)+('Equipment List &amp; Usage'!$T70*('Weekly Summary'!AU$64+'Weekly Summary'!AU$65)),
('Equipment List &amp; Usage'!$O70*'Weekly Summary'!AU$52)+('Equipment List &amp; Usage'!$P70*'Weekly Summary'!AU$53)+('Equipment List &amp; Usage'!$Q70*('Weekly Summary'!AU$52+'Weekly Summary'!AU$53))+('Equipment List &amp; Usage'!$R70*'Weekly Summary'!AU$64)+('Equipment List &amp; Usage'!$S70*'Weekly Summary'!AU$65)+('Equipment List &amp; Usage'!$T70*('Weekly Summary'!AU$64+'Weekly Summary'!AU$65))-SUM($I68:AZ68))),0)</f>
        <v>0</v>
      </c>
      <c r="BB68" s="1381">
        <f ca="1">MAX(IF($F68="No",('Equipment List &amp; Usage'!$O70*'Weekly Summary'!AV$52)+('Equipment List &amp; Usage'!$P70*'Weekly Summary'!AV$53)+('Equipment List &amp; Usage'!$Q70*('Weekly Summary'!AV$52+'Weekly Summary'!AV$53))+('Equipment List &amp; Usage'!$R70*'Weekly Summary'!AV$64)+('Equipment List &amp; Usage'!$S70*'Weekly Summary'!AV$65)+('Equipment List &amp; Usage'!$T70*('Weekly Summary'!AV$64+'Weekly Summary'!AV$65)),
IF(BB$10=0,('Equipment List &amp; Usage'!$O70*'Weekly Summary'!AV$52)+('Equipment List &amp; Usage'!$P70*'Weekly Summary'!AV$53)+('Equipment List &amp; Usage'!$Q70*('Weekly Summary'!AV$52+'Weekly Summary'!AV$53))+('Equipment List &amp; Usage'!$R70*'Weekly Summary'!AV$64)+('Equipment List &amp; Usage'!$S70*'Weekly Summary'!AV$65)+('Equipment List &amp; Usage'!$T70*('Weekly Summary'!AV$64+'Weekly Summary'!AV$65)),
('Equipment List &amp; Usage'!$O70*'Weekly Summary'!AV$52)+('Equipment List &amp; Usage'!$P70*'Weekly Summary'!AV$53)+('Equipment List &amp; Usage'!$Q70*('Weekly Summary'!AV$52+'Weekly Summary'!AV$53))+('Equipment List &amp; Usage'!$R70*'Weekly Summary'!AV$64)+('Equipment List &amp; Usage'!$S70*'Weekly Summary'!AV$65)+('Equipment List &amp; Usage'!$T70*('Weekly Summary'!AV$64+'Weekly Summary'!AV$65))-SUM($I68:BA68))),0)</f>
        <v>0</v>
      </c>
      <c r="BC68" s="1381">
        <f ca="1">MAX(IF($F68="No",('Equipment List &amp; Usage'!$O70*'Weekly Summary'!AW$52)+('Equipment List &amp; Usage'!$P70*'Weekly Summary'!AW$53)+('Equipment List &amp; Usage'!$Q70*('Weekly Summary'!AW$52+'Weekly Summary'!AW$53))+('Equipment List &amp; Usage'!$R70*'Weekly Summary'!AW$64)+('Equipment List &amp; Usage'!$S70*'Weekly Summary'!AW$65)+('Equipment List &amp; Usage'!$T70*('Weekly Summary'!AW$64+'Weekly Summary'!AW$65)),
IF(BC$10=0,('Equipment List &amp; Usage'!$O70*'Weekly Summary'!AW$52)+('Equipment List &amp; Usage'!$P70*'Weekly Summary'!AW$53)+('Equipment List &amp; Usage'!$Q70*('Weekly Summary'!AW$52+'Weekly Summary'!AW$53))+('Equipment List &amp; Usage'!$R70*'Weekly Summary'!AW$64)+('Equipment List &amp; Usage'!$S70*'Weekly Summary'!AW$65)+('Equipment List &amp; Usage'!$T70*('Weekly Summary'!AW$64+'Weekly Summary'!AW$65)),
('Equipment List &amp; Usage'!$O70*'Weekly Summary'!AW$52)+('Equipment List &amp; Usage'!$P70*'Weekly Summary'!AW$53)+('Equipment List &amp; Usage'!$Q70*('Weekly Summary'!AW$52+'Weekly Summary'!AW$53))+('Equipment List &amp; Usage'!$R70*'Weekly Summary'!AW$64)+('Equipment List &amp; Usage'!$S70*'Weekly Summary'!AW$65)+('Equipment List &amp; Usage'!$T70*('Weekly Summary'!AW$64+'Weekly Summary'!AW$65))-SUM($I68:BB68))),0)</f>
        <v>0</v>
      </c>
      <c r="BD68" s="1381">
        <f ca="1">MAX(IF($F68="No",('Equipment List &amp; Usage'!$O70*'Weekly Summary'!AX$52)+('Equipment List &amp; Usage'!$P70*'Weekly Summary'!AX$53)+('Equipment List &amp; Usage'!$Q70*('Weekly Summary'!AX$52+'Weekly Summary'!AX$53))+('Equipment List &amp; Usage'!$R70*'Weekly Summary'!AX$64)+('Equipment List &amp; Usage'!$S70*'Weekly Summary'!AX$65)+('Equipment List &amp; Usage'!$T70*('Weekly Summary'!AX$64+'Weekly Summary'!AX$65)),
IF(BD$10=0,('Equipment List &amp; Usage'!$O70*'Weekly Summary'!AX$52)+('Equipment List &amp; Usage'!$P70*'Weekly Summary'!AX$53)+('Equipment List &amp; Usage'!$Q70*('Weekly Summary'!AX$52+'Weekly Summary'!AX$53))+('Equipment List &amp; Usage'!$R70*'Weekly Summary'!AX$64)+('Equipment List &amp; Usage'!$S70*'Weekly Summary'!AX$65)+('Equipment List &amp; Usage'!$T70*('Weekly Summary'!AX$64+'Weekly Summary'!AX$65)),
('Equipment List &amp; Usage'!$O70*'Weekly Summary'!AX$52)+('Equipment List &amp; Usage'!$P70*'Weekly Summary'!AX$53)+('Equipment List &amp; Usage'!$Q70*('Weekly Summary'!AX$52+'Weekly Summary'!AX$53))+('Equipment List &amp; Usage'!$R70*'Weekly Summary'!AX$64)+('Equipment List &amp; Usage'!$S70*'Weekly Summary'!AX$65)+('Equipment List &amp; Usage'!$T70*('Weekly Summary'!AX$64+'Weekly Summary'!AX$65))-SUM($I68:BC68))),0)</f>
        <v>0</v>
      </c>
      <c r="BE68" s="1381">
        <f ca="1">MAX(IF($F68="No",('Equipment List &amp; Usage'!$O70*'Weekly Summary'!AY$52)+('Equipment List &amp; Usage'!$P70*'Weekly Summary'!AY$53)+('Equipment List &amp; Usage'!$Q70*('Weekly Summary'!AY$52+'Weekly Summary'!AY$53))+('Equipment List &amp; Usage'!$R70*'Weekly Summary'!AY$64)+('Equipment List &amp; Usage'!$S70*'Weekly Summary'!AY$65)+('Equipment List &amp; Usage'!$T70*('Weekly Summary'!AY$64+'Weekly Summary'!AY$65)),
IF(BE$10=0,('Equipment List &amp; Usage'!$O70*'Weekly Summary'!AY$52)+('Equipment List &amp; Usage'!$P70*'Weekly Summary'!AY$53)+('Equipment List &amp; Usage'!$Q70*('Weekly Summary'!AY$52+'Weekly Summary'!AY$53))+('Equipment List &amp; Usage'!$R70*'Weekly Summary'!AY$64)+('Equipment List &amp; Usage'!$S70*'Weekly Summary'!AY$65)+('Equipment List &amp; Usage'!$T70*('Weekly Summary'!AY$64+'Weekly Summary'!AY$65)),
('Equipment List &amp; Usage'!$O70*'Weekly Summary'!AY$52)+('Equipment List &amp; Usage'!$P70*'Weekly Summary'!AY$53)+('Equipment List &amp; Usage'!$Q70*('Weekly Summary'!AY$52+'Weekly Summary'!AY$53))+('Equipment List &amp; Usage'!$R70*'Weekly Summary'!AY$64)+('Equipment List &amp; Usage'!$S70*'Weekly Summary'!AY$65)+('Equipment List &amp; Usage'!$T70*('Weekly Summary'!AY$64+'Weekly Summary'!AY$65))-SUM($I68:BD68))),0)</f>
        <v>0</v>
      </c>
      <c r="BF68" s="1381">
        <f ca="1">MAX(IF($F68="No",('Equipment List &amp; Usage'!$O70*'Weekly Summary'!AZ$52)+('Equipment List &amp; Usage'!$P70*'Weekly Summary'!AZ$53)+('Equipment List &amp; Usage'!$Q70*('Weekly Summary'!AZ$52+'Weekly Summary'!AZ$53))+('Equipment List &amp; Usage'!$R70*'Weekly Summary'!AZ$64)+('Equipment List &amp; Usage'!$S70*'Weekly Summary'!AZ$65)+('Equipment List &amp; Usage'!$T70*('Weekly Summary'!AZ$64+'Weekly Summary'!AZ$65)),
IF(BF$10=0,('Equipment List &amp; Usage'!$O70*'Weekly Summary'!AZ$52)+('Equipment List &amp; Usage'!$P70*'Weekly Summary'!AZ$53)+('Equipment List &amp; Usage'!$Q70*('Weekly Summary'!AZ$52+'Weekly Summary'!AZ$53))+('Equipment List &amp; Usage'!$R70*'Weekly Summary'!AZ$64)+('Equipment List &amp; Usage'!$S70*'Weekly Summary'!AZ$65)+('Equipment List &amp; Usage'!$T70*('Weekly Summary'!AZ$64+'Weekly Summary'!AZ$65)),
('Equipment List &amp; Usage'!$O70*'Weekly Summary'!AZ$52)+('Equipment List &amp; Usage'!$P70*'Weekly Summary'!AZ$53)+('Equipment List &amp; Usage'!$Q70*('Weekly Summary'!AZ$52+'Weekly Summary'!AZ$53))+('Equipment List &amp; Usage'!$R70*'Weekly Summary'!AZ$64)+('Equipment List &amp; Usage'!$S70*'Weekly Summary'!AZ$65)+('Equipment List &amp; Usage'!$T70*('Weekly Summary'!AZ$64+'Weekly Summary'!AZ$65))-SUM($I68:BE68))),0)</f>
        <v>0</v>
      </c>
      <c r="BG68" s="1381">
        <f ca="1">MAX(IF($F68="No",('Equipment List &amp; Usage'!$O70*'Weekly Summary'!BA$52)+('Equipment List &amp; Usage'!$P70*'Weekly Summary'!BA$53)+('Equipment List &amp; Usage'!$Q70*('Weekly Summary'!BA$52+'Weekly Summary'!BA$53))+('Equipment List &amp; Usage'!$R70*'Weekly Summary'!BA$64)+('Equipment List &amp; Usage'!$S70*'Weekly Summary'!BA$65)+('Equipment List &amp; Usage'!$T70*('Weekly Summary'!BA$64+'Weekly Summary'!BA$65)),
IF(BG$10=0,('Equipment List &amp; Usage'!$O70*'Weekly Summary'!BA$52)+('Equipment List &amp; Usage'!$P70*'Weekly Summary'!BA$53)+('Equipment List &amp; Usage'!$Q70*('Weekly Summary'!BA$52+'Weekly Summary'!BA$53))+('Equipment List &amp; Usage'!$R70*'Weekly Summary'!BA$64)+('Equipment List &amp; Usage'!$S70*'Weekly Summary'!BA$65)+('Equipment List &amp; Usage'!$T70*('Weekly Summary'!BA$64+'Weekly Summary'!BA$65)),
('Equipment List &amp; Usage'!$O70*'Weekly Summary'!BA$52)+('Equipment List &amp; Usage'!$P70*'Weekly Summary'!BA$53)+('Equipment List &amp; Usage'!$Q70*('Weekly Summary'!BA$52+'Weekly Summary'!BA$53))+('Equipment List &amp; Usage'!$R70*'Weekly Summary'!BA$64)+('Equipment List &amp; Usage'!$S70*'Weekly Summary'!BA$65)+('Equipment List &amp; Usage'!$T70*('Weekly Summary'!BA$64+'Weekly Summary'!BA$65))-SUM($I68:BF68))),0)</f>
        <v>0</v>
      </c>
      <c r="BH68" s="1381">
        <f ca="1">MAX(IF($F68="No",('Equipment List &amp; Usage'!$O70*'Weekly Summary'!BB$52)+('Equipment List &amp; Usage'!$P70*'Weekly Summary'!BB$53)+('Equipment List &amp; Usage'!$Q70*('Weekly Summary'!BB$52+'Weekly Summary'!BB$53))+('Equipment List &amp; Usage'!$R70*'Weekly Summary'!BB$64)+('Equipment List &amp; Usage'!$S70*'Weekly Summary'!BB$65)+('Equipment List &amp; Usage'!$T70*('Weekly Summary'!BB$64+'Weekly Summary'!BB$65)),
IF(BH$10=0,('Equipment List &amp; Usage'!$O70*'Weekly Summary'!BB$52)+('Equipment List &amp; Usage'!$P70*'Weekly Summary'!BB$53)+('Equipment List &amp; Usage'!$Q70*('Weekly Summary'!BB$52+'Weekly Summary'!BB$53))+('Equipment List &amp; Usage'!$R70*'Weekly Summary'!BB$64)+('Equipment List &amp; Usage'!$S70*'Weekly Summary'!BB$65)+('Equipment List &amp; Usage'!$T70*('Weekly Summary'!BB$64+'Weekly Summary'!BB$65)),
('Equipment List &amp; Usage'!$O70*'Weekly Summary'!BB$52)+('Equipment List &amp; Usage'!$P70*'Weekly Summary'!BB$53)+('Equipment List &amp; Usage'!$Q70*('Weekly Summary'!BB$52+'Weekly Summary'!BB$53))+('Equipment List &amp; Usage'!$R70*'Weekly Summary'!BB$64)+('Equipment List &amp; Usage'!$S70*'Weekly Summary'!BB$65)+('Equipment List &amp; Usage'!$T70*('Weekly Summary'!BB$64+'Weekly Summary'!BB$65))-SUM($I68:BG68))),0)</f>
        <v>0</v>
      </c>
      <c r="BI68" s="1381">
        <f ca="1">MAX(IF($F68="No",('Equipment List &amp; Usage'!$O70*'Weekly Summary'!BC$52)+('Equipment List &amp; Usage'!$P70*'Weekly Summary'!BC$53)+('Equipment List &amp; Usage'!$Q70*('Weekly Summary'!BC$52+'Weekly Summary'!BC$53))+('Equipment List &amp; Usage'!$R70*'Weekly Summary'!BC$64)+('Equipment List &amp; Usage'!$S70*'Weekly Summary'!BC$65)+('Equipment List &amp; Usage'!$T70*('Weekly Summary'!BC$64+'Weekly Summary'!BC$65)),
IF(BI$10=0,('Equipment List &amp; Usage'!$O70*'Weekly Summary'!BC$52)+('Equipment List &amp; Usage'!$P70*'Weekly Summary'!BC$53)+('Equipment List &amp; Usage'!$Q70*('Weekly Summary'!BC$52+'Weekly Summary'!BC$53))+('Equipment List &amp; Usage'!$R70*'Weekly Summary'!BC$64)+('Equipment List &amp; Usage'!$S70*'Weekly Summary'!BC$65)+('Equipment List &amp; Usage'!$T70*('Weekly Summary'!BC$64+'Weekly Summary'!BC$65)),
('Equipment List &amp; Usage'!$O70*'Weekly Summary'!BC$52)+('Equipment List &amp; Usage'!$P70*'Weekly Summary'!BC$53)+('Equipment List &amp; Usage'!$Q70*('Weekly Summary'!BC$52+'Weekly Summary'!BC$53))+('Equipment List &amp; Usage'!$R70*'Weekly Summary'!BC$64)+('Equipment List &amp; Usage'!$S70*'Weekly Summary'!BC$65)+('Equipment List &amp; Usage'!$T70*('Weekly Summary'!BC$64+'Weekly Summary'!BC$65))-SUM($I68:BH68))),0)</f>
        <v>0</v>
      </c>
      <c r="BJ68" s="1382">
        <f ca="1">MAX(IF($F68="No",('Equipment List &amp; Usage'!$O70*'Weekly Summary'!BD$52)+('Equipment List &amp; Usage'!$P70*'Weekly Summary'!BD$53)+('Equipment List &amp; Usage'!$Q70*('Weekly Summary'!BD$52+'Weekly Summary'!BD$53))+('Equipment List &amp; Usage'!$R70*'Weekly Summary'!BD$64)+('Equipment List &amp; Usage'!$S70*'Weekly Summary'!BD$65)+('Equipment List &amp; Usage'!$T70*('Weekly Summary'!BD$64+'Weekly Summary'!BD$65)),
IF(BJ$10=0,('Equipment List &amp; Usage'!$O70*'Weekly Summary'!BD$52)+('Equipment List &amp; Usage'!$P70*'Weekly Summary'!BD$53)+('Equipment List &amp; Usage'!$Q70*('Weekly Summary'!BD$52+'Weekly Summary'!BD$53))+('Equipment List &amp; Usage'!$R70*'Weekly Summary'!BD$64)+('Equipment List &amp; Usage'!$S70*'Weekly Summary'!BD$65)+('Equipment List &amp; Usage'!$T70*('Weekly Summary'!BD$64+'Weekly Summary'!BD$65)),
('Equipment List &amp; Usage'!$O70*'Weekly Summary'!BD$52)+('Equipment List &amp; Usage'!$P70*'Weekly Summary'!BD$53)+('Equipment List &amp; Usage'!$Q70*('Weekly Summary'!BD$52+'Weekly Summary'!BD$53))+('Equipment List &amp; Usage'!$R70*'Weekly Summary'!BD$64)+('Equipment List &amp; Usage'!$S70*'Weekly Summary'!BD$65)+('Equipment List &amp; Usage'!$T70*('Weekly Summary'!BD$64+'Weekly Summary'!BD$65))-SUM($I68:BI68))),0)</f>
        <v>0</v>
      </c>
    </row>
    <row r="69" spans="2:62" ht="43.5" x14ac:dyDescent="0.35">
      <c r="B69" s="735" t="str">
        <f>'Equipment List &amp; Usage'!B71</f>
        <v>Case management - accessories &amp; consumables</v>
      </c>
      <c r="C69" s="526" t="str">
        <f>'Equipment List &amp; Usage'!C71</f>
        <v>Oxygen therapy</v>
      </c>
      <c r="D69" s="526" t="str">
        <f>'Equipment List &amp; Usage'!D71</f>
        <v>Flow splitter, 5 flowmeters 0-2 L/min, for paediatric use</v>
      </c>
      <c r="E69" s="526" t="str">
        <f>'Equipment List &amp; Usage'!E71</f>
        <v>Each</v>
      </c>
      <c r="F69" s="526" t="str">
        <f>'Equipment List &amp; Usage'!F71</f>
        <v>Yes</v>
      </c>
      <c r="G69" s="526" t="str">
        <f>'Equipment List &amp; Usage'!G71</f>
        <v>Pediatric O2</v>
      </c>
      <c r="H69" s="1369">
        <f t="shared" ca="1" si="3"/>
        <v>7.6562112507380391</v>
      </c>
      <c r="J69" s="1344"/>
      <c r="K69" s="1381">
        <f ca="1">IF('User Dashboard'!$H$13=1,0,MAX(IF($F69="No",('Equipment List &amp; Usage'!$O71*'Weekly Summary'!E$52)+('Equipment List &amp; Usage'!$P71*'Weekly Summary'!E$53)+('Equipment List &amp; Usage'!$Q71*('Weekly Summary'!E$52+'Weekly Summary'!E$53))+('Equipment List &amp; Usage'!$R71*'Weekly Summary'!E$64)+('Equipment List &amp; Usage'!$S71*'Weekly Summary'!E$65)+('Equipment List &amp; Usage'!$T71*('Weekly Summary'!E$64+'Weekly Summary'!E$65)),
IF(K$10=0,('Equipment List &amp; Usage'!$O71*'Weekly Summary'!E$52)+('Equipment List &amp; Usage'!$P71*'Weekly Summary'!E$53)+('Equipment List &amp; Usage'!$Q71*('Weekly Summary'!E$52+'Weekly Summary'!E$53))+('Equipment List &amp; Usage'!$R71*'Weekly Summary'!E$64)+('Equipment List &amp; Usage'!$S71*'Weekly Summary'!E$65)+('Equipment List &amp; Usage'!$T71*('Weekly Summary'!E$64+'Weekly Summary'!E$65)),
('Equipment List &amp; Usage'!$O71*'Weekly Summary'!E$52)+('Equipment List &amp; Usage'!$P71*'Weekly Summary'!E$53)+('Equipment List &amp; Usage'!$Q71*('Weekly Summary'!E$52+'Weekly Summary'!E$53))+('Equipment List &amp; Usage'!$R71*'Weekly Summary'!E$64)+('Equipment List &amp; Usage'!$S71*'Weekly Summary'!E$65)+('Equipment List &amp; Usage'!$T71*('Weekly Summary'!E$64+'Weekly Summary'!E$65))-SUM($I69:I69))),0))</f>
        <v>1.6151937208404254E-2</v>
      </c>
      <c r="L69" s="1381">
        <f ca="1">MAX(IF($F69="No",('Equipment List &amp; Usage'!$O71*'Weekly Summary'!F$52)+('Equipment List &amp; Usage'!$P71*'Weekly Summary'!F$53)+('Equipment List &amp; Usage'!$Q71*('Weekly Summary'!F$52+'Weekly Summary'!F$53))+('Equipment List &amp; Usage'!$R71*'Weekly Summary'!F$64)+('Equipment List &amp; Usage'!$S71*'Weekly Summary'!F$65)+('Equipment List &amp; Usage'!$T71*('Weekly Summary'!F$64+'Weekly Summary'!F$65)),
IF(L$10=0,('Equipment List &amp; Usage'!$O71*'Weekly Summary'!F$52)+('Equipment List &amp; Usage'!$P71*'Weekly Summary'!F$53)+('Equipment List &amp; Usage'!$Q71*('Weekly Summary'!F$52+'Weekly Summary'!F$53))+('Equipment List &amp; Usage'!$R71*'Weekly Summary'!F$64)+('Equipment List &amp; Usage'!$S71*'Weekly Summary'!F$65)+('Equipment List &amp; Usage'!$T71*('Weekly Summary'!F$64+'Weekly Summary'!F$65)),
('Equipment List &amp; Usage'!$O71*'Weekly Summary'!F$52)+('Equipment List &amp; Usage'!$P71*'Weekly Summary'!F$53)+('Equipment List &amp; Usage'!$Q71*('Weekly Summary'!F$52+'Weekly Summary'!F$53))+('Equipment List &amp; Usage'!$R71*'Weekly Summary'!F$64)+('Equipment List &amp; Usage'!$S71*'Weekly Summary'!F$65)+('Equipment List &amp; Usage'!$T71*('Weekly Summary'!F$64+'Weekly Summary'!F$65))-SUM($I69:K69))),0)</f>
        <v>3.8784175441988034E-2</v>
      </c>
      <c r="M69" s="1381">
        <f ca="1">MAX(IF($F69="No",('Equipment List &amp; Usage'!$O71*'Weekly Summary'!G$52)+('Equipment List &amp; Usage'!$P71*'Weekly Summary'!G$53)+('Equipment List &amp; Usage'!$Q71*('Weekly Summary'!G$52+'Weekly Summary'!G$53))+('Equipment List &amp; Usage'!$R71*'Weekly Summary'!G$64)+('Equipment List &amp; Usage'!$S71*'Weekly Summary'!G$65)+('Equipment List &amp; Usage'!$T71*('Weekly Summary'!G$64+'Weekly Summary'!G$65)),
IF(M$10=0,('Equipment List &amp; Usage'!$O71*'Weekly Summary'!G$52)+('Equipment List &amp; Usage'!$P71*'Weekly Summary'!G$53)+('Equipment List &amp; Usage'!$Q71*('Weekly Summary'!G$52+'Weekly Summary'!G$53))+('Equipment List &amp; Usage'!$R71*'Weekly Summary'!G$64)+('Equipment List &amp; Usage'!$S71*'Weekly Summary'!G$65)+('Equipment List &amp; Usage'!$T71*('Weekly Summary'!G$64+'Weekly Summary'!G$65)),
('Equipment List &amp; Usage'!$O71*'Weekly Summary'!G$52)+('Equipment List &amp; Usage'!$P71*'Weekly Summary'!G$53)+('Equipment List &amp; Usage'!$Q71*('Weekly Summary'!G$52+'Weekly Summary'!G$53))+('Equipment List &amp; Usage'!$R71*'Weekly Summary'!G$64)+('Equipment List &amp; Usage'!$S71*'Weekly Summary'!G$65)+('Equipment List &amp; Usage'!$T71*('Weekly Summary'!G$64+'Weekly Summary'!G$65))-SUM($I69:L69))),0)</f>
        <v>0.13385058298589575</v>
      </c>
      <c r="N69" s="1381">
        <f ca="1">MAX(IF($F69="No",('Equipment List &amp; Usage'!$O71*'Weekly Summary'!H$52)+('Equipment List &amp; Usage'!$P71*'Weekly Summary'!H$53)+('Equipment List &amp; Usage'!$Q71*('Weekly Summary'!H$52+'Weekly Summary'!H$53))+('Equipment List &amp; Usage'!$R71*'Weekly Summary'!H$64)+('Equipment List &amp; Usage'!$S71*'Weekly Summary'!H$65)+('Equipment List &amp; Usage'!$T71*('Weekly Summary'!H$64+'Weekly Summary'!H$65)),
IF(N$10=0,('Equipment List &amp; Usage'!$O71*'Weekly Summary'!H$52)+('Equipment List &amp; Usage'!$P71*'Weekly Summary'!H$53)+('Equipment List &amp; Usage'!$Q71*('Weekly Summary'!H$52+'Weekly Summary'!H$53))+('Equipment List &amp; Usage'!$R71*'Weekly Summary'!H$64)+('Equipment List &amp; Usage'!$S71*'Weekly Summary'!H$65)+('Equipment List &amp; Usage'!$T71*('Weekly Summary'!H$64+'Weekly Summary'!H$65)),
('Equipment List &amp; Usage'!$O71*'Weekly Summary'!H$52)+('Equipment List &amp; Usage'!$P71*'Weekly Summary'!H$53)+('Equipment List &amp; Usage'!$Q71*('Weekly Summary'!H$52+'Weekly Summary'!H$53))+('Equipment List &amp; Usage'!$R71*'Weekly Summary'!H$64)+('Equipment List &amp; Usage'!$S71*'Weekly Summary'!H$65)+('Equipment List &amp; Usage'!$T71*('Weekly Summary'!H$64+'Weekly Summary'!H$65))-SUM($I69:M69))),0)</f>
        <v>0.45995394456098804</v>
      </c>
      <c r="O69" s="1381">
        <f ca="1">MAX(IF($F69="No",('Equipment List &amp; Usage'!$O71*'Weekly Summary'!I$52)+('Equipment List &amp; Usage'!$P71*'Weekly Summary'!I$53)+('Equipment List &amp; Usage'!$Q71*('Weekly Summary'!I$52+'Weekly Summary'!I$53))+('Equipment List &amp; Usage'!$R71*'Weekly Summary'!I$64)+('Equipment List &amp; Usage'!$S71*'Weekly Summary'!I$65)+('Equipment List &amp; Usage'!$T71*('Weekly Summary'!I$64+'Weekly Summary'!I$65)),
IF(O$10=0,('Equipment List &amp; Usage'!$O71*'Weekly Summary'!I$52)+('Equipment List &amp; Usage'!$P71*'Weekly Summary'!I$53)+('Equipment List &amp; Usage'!$Q71*('Weekly Summary'!I$52+'Weekly Summary'!I$53))+('Equipment List &amp; Usage'!$R71*'Weekly Summary'!I$64)+('Equipment List &amp; Usage'!$S71*'Weekly Summary'!I$65)+('Equipment List &amp; Usage'!$T71*('Weekly Summary'!I$64+'Weekly Summary'!I$65)),
('Equipment List &amp; Usage'!$O71*'Weekly Summary'!I$52)+('Equipment List &amp; Usage'!$P71*'Weekly Summary'!I$53)+('Equipment List &amp; Usage'!$Q71*('Weekly Summary'!I$52+'Weekly Summary'!I$53))+('Equipment List &amp; Usage'!$R71*'Weekly Summary'!I$64)+('Equipment List &amp; Usage'!$S71*'Weekly Summary'!I$65)+('Equipment List &amp; Usage'!$T71*('Weekly Summary'!I$64+'Weekly Summary'!I$65))-SUM($I69:N69))),0)</f>
        <v>1.580328866927458</v>
      </c>
      <c r="P69" s="1381">
        <f ca="1">MAX(IF($F69="No",('Equipment List &amp; Usage'!$O71*'Weekly Summary'!J$52)+('Equipment List &amp; Usage'!$P71*'Weekly Summary'!J$53)+('Equipment List &amp; Usage'!$Q71*('Weekly Summary'!J$52+'Weekly Summary'!J$53))+('Equipment List &amp; Usage'!$R71*'Weekly Summary'!J$64)+('Equipment List &amp; Usage'!$S71*'Weekly Summary'!J$65)+('Equipment List &amp; Usage'!$T71*('Weekly Summary'!J$64+'Weekly Summary'!J$65)),
IF(P$10=0,('Equipment List &amp; Usage'!$O71*'Weekly Summary'!J$52)+('Equipment List &amp; Usage'!$P71*'Weekly Summary'!J$53)+('Equipment List &amp; Usage'!$Q71*('Weekly Summary'!J$52+'Weekly Summary'!J$53))+('Equipment List &amp; Usage'!$R71*'Weekly Summary'!J$64)+('Equipment List &amp; Usage'!$S71*'Weekly Summary'!J$65)+('Equipment List &amp; Usage'!$T71*('Weekly Summary'!J$64+'Weekly Summary'!J$65)),
('Equipment List &amp; Usage'!$O71*'Weekly Summary'!J$52)+('Equipment List &amp; Usage'!$P71*'Weekly Summary'!J$53)+('Equipment List &amp; Usage'!$Q71*('Weekly Summary'!J$52+'Weekly Summary'!J$53))+('Equipment List &amp; Usage'!$R71*'Weekly Summary'!J$64)+('Equipment List &amp; Usage'!$S71*'Weekly Summary'!J$65)+('Equipment List &amp; Usage'!$T71*('Weekly Summary'!J$64+'Weekly Summary'!J$65))-SUM($I69:O69))),0)</f>
        <v>5.4271417436133049</v>
      </c>
      <c r="Q69" s="1381">
        <f ca="1">MAX(IF($F69="No",('Equipment List &amp; Usage'!$O71*'Weekly Summary'!K$52)+('Equipment List &amp; Usage'!$P71*'Weekly Summary'!K$53)+('Equipment List &amp; Usage'!$Q71*('Weekly Summary'!K$52+'Weekly Summary'!K$53))+('Equipment List &amp; Usage'!$R71*'Weekly Summary'!K$64)+('Equipment List &amp; Usage'!$S71*'Weekly Summary'!K$65)+('Equipment List &amp; Usage'!$T71*('Weekly Summary'!K$64+'Weekly Summary'!K$65)),
IF(Q$10=0,('Equipment List &amp; Usage'!$O71*'Weekly Summary'!K$52)+('Equipment List &amp; Usage'!$P71*'Weekly Summary'!K$53)+('Equipment List &amp; Usage'!$Q71*('Weekly Summary'!K$52+'Weekly Summary'!K$53))+('Equipment List &amp; Usage'!$R71*'Weekly Summary'!K$64)+('Equipment List &amp; Usage'!$S71*'Weekly Summary'!K$65)+('Equipment List &amp; Usage'!$T71*('Weekly Summary'!K$64+'Weekly Summary'!K$65)),
('Equipment List &amp; Usage'!$O71*'Weekly Summary'!K$52)+('Equipment List &amp; Usage'!$P71*'Weekly Summary'!K$53)+('Equipment List &amp; Usage'!$Q71*('Weekly Summary'!K$52+'Weekly Summary'!K$53))+('Equipment List &amp; Usage'!$R71*'Weekly Summary'!K$64)+('Equipment List &amp; Usage'!$S71*'Weekly Summary'!K$65)+('Equipment List &amp; Usage'!$T71*('Weekly Summary'!K$64+'Weekly Summary'!K$65))-SUM($I69:P69))),0)</f>
        <v>0</v>
      </c>
      <c r="R69" s="1381">
        <f ca="1">MAX(IF($F69="No",('Equipment List &amp; Usage'!$O71*'Weekly Summary'!L$52)+('Equipment List &amp; Usage'!$P71*'Weekly Summary'!L$53)+('Equipment List &amp; Usage'!$Q71*('Weekly Summary'!L$52+'Weekly Summary'!L$53))+('Equipment List &amp; Usage'!$R71*'Weekly Summary'!L$64)+('Equipment List &amp; Usage'!$S71*'Weekly Summary'!L$65)+('Equipment List &amp; Usage'!$T71*('Weekly Summary'!L$64+'Weekly Summary'!L$65)),
IF(R$10=0,('Equipment List &amp; Usage'!$O71*'Weekly Summary'!L$52)+('Equipment List &amp; Usage'!$P71*'Weekly Summary'!L$53)+('Equipment List &amp; Usage'!$Q71*('Weekly Summary'!L$52+'Weekly Summary'!L$53))+('Equipment List &amp; Usage'!$R71*'Weekly Summary'!L$64)+('Equipment List &amp; Usage'!$S71*'Weekly Summary'!L$65)+('Equipment List &amp; Usage'!$T71*('Weekly Summary'!L$64+'Weekly Summary'!L$65)),
('Equipment List &amp; Usage'!$O71*'Weekly Summary'!L$52)+('Equipment List &amp; Usage'!$P71*'Weekly Summary'!L$53)+('Equipment List &amp; Usage'!$Q71*('Weekly Summary'!L$52+'Weekly Summary'!L$53))+('Equipment List &amp; Usage'!$R71*'Weekly Summary'!L$64)+('Equipment List &amp; Usage'!$S71*'Weekly Summary'!L$65)+('Equipment List &amp; Usage'!$T71*('Weekly Summary'!L$64+'Weekly Summary'!L$65))-SUM($I69:Q69))),0)</f>
        <v>0</v>
      </c>
      <c r="S69" s="1381">
        <f ca="1">MAX(IF($F69="No",('Equipment List &amp; Usage'!$O71*'Weekly Summary'!M$52)+('Equipment List &amp; Usage'!$P71*'Weekly Summary'!M$53)+('Equipment List &amp; Usage'!$Q71*('Weekly Summary'!M$52+'Weekly Summary'!M$53))+('Equipment List &amp; Usage'!$R71*'Weekly Summary'!M$64)+('Equipment List &amp; Usage'!$S71*'Weekly Summary'!M$65)+('Equipment List &amp; Usage'!$T71*('Weekly Summary'!M$64+'Weekly Summary'!M$65)),
IF(S$10=0,('Equipment List &amp; Usage'!$O71*'Weekly Summary'!M$52)+('Equipment List &amp; Usage'!$P71*'Weekly Summary'!M$53)+('Equipment List &amp; Usage'!$Q71*('Weekly Summary'!M$52+'Weekly Summary'!M$53))+('Equipment List &amp; Usage'!$R71*'Weekly Summary'!M$64)+('Equipment List &amp; Usage'!$S71*'Weekly Summary'!M$65)+('Equipment List &amp; Usage'!$T71*('Weekly Summary'!M$64+'Weekly Summary'!M$65)),
('Equipment List &amp; Usage'!$O71*'Weekly Summary'!M$52)+('Equipment List &amp; Usage'!$P71*'Weekly Summary'!M$53)+('Equipment List &amp; Usage'!$Q71*('Weekly Summary'!M$52+'Weekly Summary'!M$53))+('Equipment List &amp; Usage'!$R71*'Weekly Summary'!M$64)+('Equipment List &amp; Usage'!$S71*'Weekly Summary'!M$65)+('Equipment List &amp; Usage'!$T71*('Weekly Summary'!M$64+'Weekly Summary'!M$65))-SUM($I69:R69))),0)</f>
        <v>0</v>
      </c>
      <c r="T69" s="1381">
        <f ca="1">MAX(IF($F69="No",('Equipment List &amp; Usage'!$O71*'Weekly Summary'!N$52)+('Equipment List &amp; Usage'!$P71*'Weekly Summary'!N$53)+('Equipment List &amp; Usage'!$Q71*('Weekly Summary'!N$52+'Weekly Summary'!N$53))+('Equipment List &amp; Usage'!$R71*'Weekly Summary'!N$64)+('Equipment List &amp; Usage'!$S71*'Weekly Summary'!N$65)+('Equipment List &amp; Usage'!$T71*('Weekly Summary'!N$64+'Weekly Summary'!N$65)),
IF(T$10=0,('Equipment List &amp; Usage'!$O71*'Weekly Summary'!N$52)+('Equipment List &amp; Usage'!$P71*'Weekly Summary'!N$53)+('Equipment List &amp; Usage'!$Q71*('Weekly Summary'!N$52+'Weekly Summary'!N$53))+('Equipment List &amp; Usage'!$R71*'Weekly Summary'!N$64)+('Equipment List &amp; Usage'!$S71*'Weekly Summary'!N$65)+('Equipment List &amp; Usage'!$T71*('Weekly Summary'!N$64+'Weekly Summary'!N$65)),
('Equipment List &amp; Usage'!$O71*'Weekly Summary'!N$52)+('Equipment List &amp; Usage'!$P71*'Weekly Summary'!N$53)+('Equipment List &amp; Usage'!$Q71*('Weekly Summary'!N$52+'Weekly Summary'!N$53))+('Equipment List &amp; Usage'!$R71*'Weekly Summary'!N$64)+('Equipment List &amp; Usage'!$S71*'Weekly Summary'!N$65)+('Equipment List &amp; Usage'!$T71*('Weekly Summary'!N$64+'Weekly Summary'!N$65))-SUM($I69:S69))),0)</f>
        <v>0</v>
      </c>
      <c r="U69" s="1381">
        <f ca="1">MAX(IF($F69="No",('Equipment List &amp; Usage'!$O71*'Weekly Summary'!O$52)+('Equipment List &amp; Usage'!$P71*'Weekly Summary'!O$53)+('Equipment List &amp; Usage'!$Q71*('Weekly Summary'!O$52+'Weekly Summary'!O$53))+('Equipment List &amp; Usage'!$R71*'Weekly Summary'!O$64)+('Equipment List &amp; Usage'!$S71*'Weekly Summary'!O$65)+('Equipment List &amp; Usage'!$T71*('Weekly Summary'!O$64+'Weekly Summary'!O$65)),
IF(U$10=0,('Equipment List &amp; Usage'!$O71*'Weekly Summary'!O$52)+('Equipment List &amp; Usage'!$P71*'Weekly Summary'!O$53)+('Equipment List &amp; Usage'!$Q71*('Weekly Summary'!O$52+'Weekly Summary'!O$53))+('Equipment List &amp; Usage'!$R71*'Weekly Summary'!O$64)+('Equipment List &amp; Usage'!$S71*'Weekly Summary'!O$65)+('Equipment List &amp; Usage'!$T71*('Weekly Summary'!O$64+'Weekly Summary'!O$65)),
('Equipment List &amp; Usage'!$O71*'Weekly Summary'!O$52)+('Equipment List &amp; Usage'!$P71*'Weekly Summary'!O$53)+('Equipment List &amp; Usage'!$Q71*('Weekly Summary'!O$52+'Weekly Summary'!O$53))+('Equipment List &amp; Usage'!$R71*'Weekly Summary'!O$64)+('Equipment List &amp; Usage'!$S71*'Weekly Summary'!O$65)+('Equipment List &amp; Usage'!$T71*('Weekly Summary'!O$64+'Weekly Summary'!O$65))-SUM($I69:T69))),0)</f>
        <v>0</v>
      </c>
      <c r="V69" s="1381">
        <f ca="1">MAX(IF($F69="No",('Equipment List &amp; Usage'!$O71*'Weekly Summary'!P$52)+('Equipment List &amp; Usage'!$P71*'Weekly Summary'!P$53)+('Equipment List &amp; Usage'!$Q71*('Weekly Summary'!P$52+'Weekly Summary'!P$53))+('Equipment List &amp; Usage'!$R71*'Weekly Summary'!P$64)+('Equipment List &amp; Usage'!$S71*'Weekly Summary'!P$65)+('Equipment List &amp; Usage'!$T71*('Weekly Summary'!P$64+'Weekly Summary'!P$65)),
IF(V$10=0,('Equipment List &amp; Usage'!$O71*'Weekly Summary'!P$52)+('Equipment List &amp; Usage'!$P71*'Weekly Summary'!P$53)+('Equipment List &amp; Usage'!$Q71*('Weekly Summary'!P$52+'Weekly Summary'!P$53))+('Equipment List &amp; Usage'!$R71*'Weekly Summary'!P$64)+('Equipment List &amp; Usage'!$S71*'Weekly Summary'!P$65)+('Equipment List &amp; Usage'!$T71*('Weekly Summary'!P$64+'Weekly Summary'!P$65)),
('Equipment List &amp; Usage'!$O71*'Weekly Summary'!P$52)+('Equipment List &amp; Usage'!$P71*'Weekly Summary'!P$53)+('Equipment List &amp; Usage'!$Q71*('Weekly Summary'!P$52+'Weekly Summary'!P$53))+('Equipment List &amp; Usage'!$R71*'Weekly Summary'!P$64)+('Equipment List &amp; Usage'!$S71*'Weekly Summary'!P$65)+('Equipment List &amp; Usage'!$T71*('Weekly Summary'!P$64+'Weekly Summary'!P$65))-SUM($I69:U69))),0)</f>
        <v>0</v>
      </c>
      <c r="W69" s="1381">
        <f ca="1">MAX(IF($F69="No",('Equipment List &amp; Usage'!$O71*'Weekly Summary'!Q$52)+('Equipment List &amp; Usage'!$P71*'Weekly Summary'!Q$53)+('Equipment List &amp; Usage'!$Q71*('Weekly Summary'!Q$52+'Weekly Summary'!Q$53))+('Equipment List &amp; Usage'!$R71*'Weekly Summary'!Q$64)+('Equipment List &amp; Usage'!$S71*'Weekly Summary'!Q$65)+('Equipment List &amp; Usage'!$T71*('Weekly Summary'!Q$64+'Weekly Summary'!Q$65)),
IF(W$10=0,('Equipment List &amp; Usage'!$O71*'Weekly Summary'!Q$52)+('Equipment List &amp; Usage'!$P71*'Weekly Summary'!Q$53)+('Equipment List &amp; Usage'!$Q71*('Weekly Summary'!Q$52+'Weekly Summary'!Q$53))+('Equipment List &amp; Usage'!$R71*'Weekly Summary'!Q$64)+('Equipment List &amp; Usage'!$S71*'Weekly Summary'!Q$65)+('Equipment List &amp; Usage'!$T71*('Weekly Summary'!Q$64+'Weekly Summary'!Q$65)),
('Equipment List &amp; Usage'!$O71*'Weekly Summary'!Q$52)+('Equipment List &amp; Usage'!$P71*'Weekly Summary'!Q$53)+('Equipment List &amp; Usage'!$Q71*('Weekly Summary'!Q$52+'Weekly Summary'!Q$53))+('Equipment List &amp; Usage'!$R71*'Weekly Summary'!Q$64)+('Equipment List &amp; Usage'!$S71*'Weekly Summary'!Q$65)+('Equipment List &amp; Usage'!$T71*('Weekly Summary'!Q$64+'Weekly Summary'!Q$65))-SUM($I69:V69))),0)</f>
        <v>0</v>
      </c>
      <c r="X69" s="1381">
        <f ca="1">MAX(IF($F69="No",('Equipment List &amp; Usage'!$O71*'Weekly Summary'!R$52)+('Equipment List &amp; Usage'!$P71*'Weekly Summary'!R$53)+('Equipment List &amp; Usage'!$Q71*('Weekly Summary'!R$52+'Weekly Summary'!R$53))+('Equipment List &amp; Usage'!$R71*'Weekly Summary'!R$64)+('Equipment List &amp; Usage'!$S71*'Weekly Summary'!R$65)+('Equipment List &amp; Usage'!$T71*('Weekly Summary'!R$64+'Weekly Summary'!R$65)),
IF(X$10=0,('Equipment List &amp; Usage'!$O71*'Weekly Summary'!R$52)+('Equipment List &amp; Usage'!$P71*'Weekly Summary'!R$53)+('Equipment List &amp; Usage'!$Q71*('Weekly Summary'!R$52+'Weekly Summary'!R$53))+('Equipment List &amp; Usage'!$R71*'Weekly Summary'!R$64)+('Equipment List &amp; Usage'!$S71*'Weekly Summary'!R$65)+('Equipment List &amp; Usage'!$T71*('Weekly Summary'!R$64+'Weekly Summary'!R$65)),
('Equipment List &amp; Usage'!$O71*'Weekly Summary'!R$52)+('Equipment List &amp; Usage'!$P71*'Weekly Summary'!R$53)+('Equipment List &amp; Usage'!$Q71*('Weekly Summary'!R$52+'Weekly Summary'!R$53))+('Equipment List &amp; Usage'!$R71*'Weekly Summary'!R$64)+('Equipment List &amp; Usage'!$S71*'Weekly Summary'!R$65)+('Equipment List &amp; Usage'!$T71*('Weekly Summary'!R$64+'Weekly Summary'!R$65))-SUM($I69:W69))),0)</f>
        <v>0</v>
      </c>
      <c r="Y69" s="1381">
        <f ca="1">MAX(IF($F69="No",('Equipment List &amp; Usage'!$O71*'Weekly Summary'!S$52)+('Equipment List &amp; Usage'!$P71*'Weekly Summary'!S$53)+('Equipment List &amp; Usage'!$Q71*('Weekly Summary'!S$52+'Weekly Summary'!S$53))+('Equipment List &amp; Usage'!$R71*'Weekly Summary'!S$64)+('Equipment List &amp; Usage'!$S71*'Weekly Summary'!S$65)+('Equipment List &amp; Usage'!$T71*('Weekly Summary'!S$64+'Weekly Summary'!S$65)),
IF(Y$10=0,('Equipment List &amp; Usage'!$O71*'Weekly Summary'!S$52)+('Equipment List &amp; Usage'!$P71*'Weekly Summary'!S$53)+('Equipment List &amp; Usage'!$Q71*('Weekly Summary'!S$52+'Weekly Summary'!S$53))+('Equipment List &amp; Usage'!$R71*'Weekly Summary'!S$64)+('Equipment List &amp; Usage'!$S71*'Weekly Summary'!S$65)+('Equipment List &amp; Usage'!$T71*('Weekly Summary'!S$64+'Weekly Summary'!S$65)),
('Equipment List &amp; Usage'!$O71*'Weekly Summary'!S$52)+('Equipment List &amp; Usage'!$P71*'Weekly Summary'!S$53)+('Equipment List &amp; Usage'!$Q71*('Weekly Summary'!S$52+'Weekly Summary'!S$53))+('Equipment List &amp; Usage'!$R71*'Weekly Summary'!S$64)+('Equipment List &amp; Usage'!$S71*'Weekly Summary'!S$65)+('Equipment List &amp; Usage'!$T71*('Weekly Summary'!S$64+'Weekly Summary'!S$65))-SUM($I69:X69))),0)</f>
        <v>0</v>
      </c>
      <c r="Z69" s="1381">
        <f ca="1">MAX(IF($F69="No",('Equipment List &amp; Usage'!$O71*'Weekly Summary'!T$52)+('Equipment List &amp; Usage'!$P71*'Weekly Summary'!T$53)+('Equipment List &amp; Usage'!$Q71*('Weekly Summary'!T$52+'Weekly Summary'!T$53))+('Equipment List &amp; Usage'!$R71*'Weekly Summary'!T$64)+('Equipment List &amp; Usage'!$S71*'Weekly Summary'!T$65)+('Equipment List &amp; Usage'!$T71*('Weekly Summary'!T$64+'Weekly Summary'!T$65)),
IF(Z$10=0,('Equipment List &amp; Usage'!$O71*'Weekly Summary'!T$52)+('Equipment List &amp; Usage'!$P71*'Weekly Summary'!T$53)+('Equipment List &amp; Usage'!$Q71*('Weekly Summary'!T$52+'Weekly Summary'!T$53))+('Equipment List &amp; Usage'!$R71*'Weekly Summary'!T$64)+('Equipment List &amp; Usage'!$S71*'Weekly Summary'!T$65)+('Equipment List &amp; Usage'!$T71*('Weekly Summary'!T$64+'Weekly Summary'!T$65)),
('Equipment List &amp; Usage'!$O71*'Weekly Summary'!T$52)+('Equipment List &amp; Usage'!$P71*'Weekly Summary'!T$53)+('Equipment List &amp; Usage'!$Q71*('Weekly Summary'!T$52+'Weekly Summary'!T$53))+('Equipment List &amp; Usage'!$R71*'Weekly Summary'!T$64)+('Equipment List &amp; Usage'!$S71*'Weekly Summary'!T$65)+('Equipment List &amp; Usage'!$T71*('Weekly Summary'!T$64+'Weekly Summary'!T$65))-SUM($I69:Y69))),0)</f>
        <v>0</v>
      </c>
      <c r="AA69" s="1381">
        <f ca="1">MAX(IF($F69="No",('Equipment List &amp; Usage'!$O71*'Weekly Summary'!U$52)+('Equipment List &amp; Usage'!$P71*'Weekly Summary'!U$53)+('Equipment List &amp; Usage'!$Q71*('Weekly Summary'!U$52+'Weekly Summary'!U$53))+('Equipment List &amp; Usage'!$R71*'Weekly Summary'!U$64)+('Equipment List &amp; Usage'!$S71*'Weekly Summary'!U$65)+('Equipment List &amp; Usage'!$T71*('Weekly Summary'!U$64+'Weekly Summary'!U$65)),
IF(AA$10=0,('Equipment List &amp; Usage'!$O71*'Weekly Summary'!U$52)+('Equipment List &amp; Usage'!$P71*'Weekly Summary'!U$53)+('Equipment List &amp; Usage'!$Q71*('Weekly Summary'!U$52+'Weekly Summary'!U$53))+('Equipment List &amp; Usage'!$R71*'Weekly Summary'!U$64)+('Equipment List &amp; Usage'!$S71*'Weekly Summary'!U$65)+('Equipment List &amp; Usage'!$T71*('Weekly Summary'!U$64+'Weekly Summary'!U$65)),
('Equipment List &amp; Usage'!$O71*'Weekly Summary'!U$52)+('Equipment List &amp; Usage'!$P71*'Weekly Summary'!U$53)+('Equipment List &amp; Usage'!$Q71*('Weekly Summary'!U$52+'Weekly Summary'!U$53))+('Equipment List &amp; Usage'!$R71*'Weekly Summary'!U$64)+('Equipment List &amp; Usage'!$S71*'Weekly Summary'!U$65)+('Equipment List &amp; Usage'!$T71*('Weekly Summary'!U$64+'Weekly Summary'!U$65))-SUM($I69:Z69))),0)</f>
        <v>0</v>
      </c>
      <c r="AB69" s="1381">
        <f ca="1">MAX(IF($F69="No",('Equipment List &amp; Usage'!$O71*'Weekly Summary'!V$52)+('Equipment List &amp; Usage'!$P71*'Weekly Summary'!V$53)+('Equipment List &amp; Usage'!$Q71*('Weekly Summary'!V$52+'Weekly Summary'!V$53))+('Equipment List &amp; Usage'!$R71*'Weekly Summary'!V$64)+('Equipment List &amp; Usage'!$S71*'Weekly Summary'!V$65)+('Equipment List &amp; Usage'!$T71*('Weekly Summary'!V$64+'Weekly Summary'!V$65)),
IF(AB$10=0,('Equipment List &amp; Usage'!$O71*'Weekly Summary'!V$52)+('Equipment List &amp; Usage'!$P71*'Weekly Summary'!V$53)+('Equipment List &amp; Usage'!$Q71*('Weekly Summary'!V$52+'Weekly Summary'!V$53))+('Equipment List &amp; Usage'!$R71*'Weekly Summary'!V$64)+('Equipment List &amp; Usage'!$S71*'Weekly Summary'!V$65)+('Equipment List &amp; Usage'!$T71*('Weekly Summary'!V$64+'Weekly Summary'!V$65)),
('Equipment List &amp; Usage'!$O71*'Weekly Summary'!V$52)+('Equipment List &amp; Usage'!$P71*'Weekly Summary'!V$53)+('Equipment List &amp; Usage'!$Q71*('Weekly Summary'!V$52+'Weekly Summary'!V$53))+('Equipment List &amp; Usage'!$R71*'Weekly Summary'!V$64)+('Equipment List &amp; Usage'!$S71*'Weekly Summary'!V$65)+('Equipment List &amp; Usage'!$T71*('Weekly Summary'!V$64+'Weekly Summary'!V$65))-SUM($I69:AA69))),0)</f>
        <v>0</v>
      </c>
      <c r="AC69" s="1381">
        <f ca="1">MAX(IF($F69="No",('Equipment List &amp; Usage'!$O71*'Weekly Summary'!W$52)+('Equipment List &amp; Usage'!$P71*'Weekly Summary'!W$53)+('Equipment List &amp; Usage'!$Q71*('Weekly Summary'!W$52+'Weekly Summary'!W$53))+('Equipment List &amp; Usage'!$R71*'Weekly Summary'!W$64)+('Equipment List &amp; Usage'!$S71*'Weekly Summary'!W$65)+('Equipment List &amp; Usage'!$T71*('Weekly Summary'!W$64+'Weekly Summary'!W$65)),
IF(AC$10=0,('Equipment List &amp; Usage'!$O71*'Weekly Summary'!W$52)+('Equipment List &amp; Usage'!$P71*'Weekly Summary'!W$53)+('Equipment List &amp; Usage'!$Q71*('Weekly Summary'!W$52+'Weekly Summary'!W$53))+('Equipment List &amp; Usage'!$R71*'Weekly Summary'!W$64)+('Equipment List &amp; Usage'!$S71*'Weekly Summary'!W$65)+('Equipment List &amp; Usage'!$T71*('Weekly Summary'!W$64+'Weekly Summary'!W$65)),
('Equipment List &amp; Usage'!$O71*'Weekly Summary'!W$52)+('Equipment List &amp; Usage'!$P71*'Weekly Summary'!W$53)+('Equipment List &amp; Usage'!$Q71*('Weekly Summary'!W$52+'Weekly Summary'!W$53))+('Equipment List &amp; Usage'!$R71*'Weekly Summary'!W$64)+('Equipment List &amp; Usage'!$S71*'Weekly Summary'!W$65)+('Equipment List &amp; Usage'!$T71*('Weekly Summary'!W$64+'Weekly Summary'!W$65))-SUM($I69:AB69))),0)</f>
        <v>0</v>
      </c>
      <c r="AD69" s="1381">
        <f ca="1">MAX(IF($F69="No",('Equipment List &amp; Usage'!$O71*'Weekly Summary'!X$52)+('Equipment List &amp; Usage'!$P71*'Weekly Summary'!X$53)+('Equipment List &amp; Usage'!$Q71*('Weekly Summary'!X$52+'Weekly Summary'!X$53))+('Equipment List &amp; Usage'!$R71*'Weekly Summary'!X$64)+('Equipment List &amp; Usage'!$S71*'Weekly Summary'!X$65)+('Equipment List &amp; Usage'!$T71*('Weekly Summary'!X$64+'Weekly Summary'!X$65)),
IF(AD$10=0,('Equipment List &amp; Usage'!$O71*'Weekly Summary'!X$52)+('Equipment List &amp; Usage'!$P71*'Weekly Summary'!X$53)+('Equipment List &amp; Usage'!$Q71*('Weekly Summary'!X$52+'Weekly Summary'!X$53))+('Equipment List &amp; Usage'!$R71*'Weekly Summary'!X$64)+('Equipment List &amp; Usage'!$S71*'Weekly Summary'!X$65)+('Equipment List &amp; Usage'!$T71*('Weekly Summary'!X$64+'Weekly Summary'!X$65)),
('Equipment List &amp; Usage'!$O71*'Weekly Summary'!X$52)+('Equipment List &amp; Usage'!$P71*'Weekly Summary'!X$53)+('Equipment List &amp; Usage'!$Q71*('Weekly Summary'!X$52+'Weekly Summary'!X$53))+('Equipment List &amp; Usage'!$R71*'Weekly Summary'!X$64)+('Equipment List &amp; Usage'!$S71*'Weekly Summary'!X$65)+('Equipment List &amp; Usage'!$T71*('Weekly Summary'!X$64+'Weekly Summary'!X$65))-SUM($I69:AC69))),0)</f>
        <v>0</v>
      </c>
      <c r="AE69" s="1381">
        <f ca="1">MAX(IF($F69="No",('Equipment List &amp; Usage'!$O71*'Weekly Summary'!Y$52)+('Equipment List &amp; Usage'!$P71*'Weekly Summary'!Y$53)+('Equipment List &amp; Usage'!$Q71*('Weekly Summary'!Y$52+'Weekly Summary'!Y$53))+('Equipment List &amp; Usage'!$R71*'Weekly Summary'!Y$64)+('Equipment List &amp; Usage'!$S71*'Weekly Summary'!Y$65)+('Equipment List &amp; Usage'!$T71*('Weekly Summary'!Y$64+'Weekly Summary'!Y$65)),
IF(AE$10=0,('Equipment List &amp; Usage'!$O71*'Weekly Summary'!Y$52)+('Equipment List &amp; Usage'!$P71*'Weekly Summary'!Y$53)+('Equipment List &amp; Usage'!$Q71*('Weekly Summary'!Y$52+'Weekly Summary'!Y$53))+('Equipment List &amp; Usage'!$R71*'Weekly Summary'!Y$64)+('Equipment List &amp; Usage'!$S71*'Weekly Summary'!Y$65)+('Equipment List &amp; Usage'!$T71*('Weekly Summary'!Y$64+'Weekly Summary'!Y$65)),
('Equipment List &amp; Usage'!$O71*'Weekly Summary'!Y$52)+('Equipment List &amp; Usage'!$P71*'Weekly Summary'!Y$53)+('Equipment List &amp; Usage'!$Q71*('Weekly Summary'!Y$52+'Weekly Summary'!Y$53))+('Equipment List &amp; Usage'!$R71*'Weekly Summary'!Y$64)+('Equipment List &amp; Usage'!$S71*'Weekly Summary'!Y$65)+('Equipment List &amp; Usage'!$T71*('Weekly Summary'!Y$64+'Weekly Summary'!Y$65))-SUM($I69:AD69))),0)</f>
        <v>0</v>
      </c>
      <c r="AF69" s="1381">
        <f ca="1">MAX(IF($F69="No",('Equipment List &amp; Usage'!$O71*'Weekly Summary'!Z$52)+('Equipment List &amp; Usage'!$P71*'Weekly Summary'!Z$53)+('Equipment List &amp; Usage'!$Q71*('Weekly Summary'!Z$52+'Weekly Summary'!Z$53))+('Equipment List &amp; Usage'!$R71*'Weekly Summary'!Z$64)+('Equipment List &amp; Usage'!$S71*'Weekly Summary'!Z$65)+('Equipment List &amp; Usage'!$T71*('Weekly Summary'!Z$64+'Weekly Summary'!Z$65)),
IF(AF$10=0,('Equipment List &amp; Usage'!$O71*'Weekly Summary'!Z$52)+('Equipment List &amp; Usage'!$P71*'Weekly Summary'!Z$53)+('Equipment List &amp; Usage'!$Q71*('Weekly Summary'!Z$52+'Weekly Summary'!Z$53))+('Equipment List &amp; Usage'!$R71*'Weekly Summary'!Z$64)+('Equipment List &amp; Usage'!$S71*'Weekly Summary'!Z$65)+('Equipment List &amp; Usage'!$T71*('Weekly Summary'!Z$64+'Weekly Summary'!Z$65)),
('Equipment List &amp; Usage'!$O71*'Weekly Summary'!Z$52)+('Equipment List &amp; Usage'!$P71*'Weekly Summary'!Z$53)+('Equipment List &amp; Usage'!$Q71*('Weekly Summary'!Z$52+'Weekly Summary'!Z$53))+('Equipment List &amp; Usage'!$R71*'Weekly Summary'!Z$64)+('Equipment List &amp; Usage'!$S71*'Weekly Summary'!Z$65)+('Equipment List &amp; Usage'!$T71*('Weekly Summary'!Z$64+'Weekly Summary'!Z$65))-SUM($I69:AE69))),0)</f>
        <v>0</v>
      </c>
      <c r="AG69" s="1381">
        <f ca="1">MAX(IF($F69="No",('Equipment List &amp; Usage'!$O71*'Weekly Summary'!AA$52)+('Equipment List &amp; Usage'!$P71*'Weekly Summary'!AA$53)+('Equipment List &amp; Usage'!$Q71*('Weekly Summary'!AA$52+'Weekly Summary'!AA$53))+('Equipment List &amp; Usage'!$R71*'Weekly Summary'!AA$64)+('Equipment List &amp; Usage'!$S71*'Weekly Summary'!AA$65)+('Equipment List &amp; Usage'!$T71*('Weekly Summary'!AA$64+'Weekly Summary'!AA$65)),
IF(AG$10=0,('Equipment List &amp; Usage'!$O71*'Weekly Summary'!AA$52)+('Equipment List &amp; Usage'!$P71*'Weekly Summary'!AA$53)+('Equipment List &amp; Usage'!$Q71*('Weekly Summary'!AA$52+'Weekly Summary'!AA$53))+('Equipment List &amp; Usage'!$R71*'Weekly Summary'!AA$64)+('Equipment List &amp; Usage'!$S71*'Weekly Summary'!AA$65)+('Equipment List &amp; Usage'!$T71*('Weekly Summary'!AA$64+'Weekly Summary'!AA$65)),
('Equipment List &amp; Usage'!$O71*'Weekly Summary'!AA$52)+('Equipment List &amp; Usage'!$P71*'Weekly Summary'!AA$53)+('Equipment List &amp; Usage'!$Q71*('Weekly Summary'!AA$52+'Weekly Summary'!AA$53))+('Equipment List &amp; Usage'!$R71*'Weekly Summary'!AA$64)+('Equipment List &amp; Usage'!$S71*'Weekly Summary'!AA$65)+('Equipment List &amp; Usage'!$T71*('Weekly Summary'!AA$64+'Weekly Summary'!AA$65))-SUM($I69:AF69))),0)</f>
        <v>0</v>
      </c>
      <c r="AH69" s="1381">
        <f ca="1">MAX(IF($F69="No",('Equipment List &amp; Usage'!$O71*'Weekly Summary'!AB$52)+('Equipment List &amp; Usage'!$P71*'Weekly Summary'!AB$53)+('Equipment List &amp; Usage'!$Q71*('Weekly Summary'!AB$52+'Weekly Summary'!AB$53))+('Equipment List &amp; Usage'!$R71*'Weekly Summary'!AB$64)+('Equipment List &amp; Usage'!$S71*'Weekly Summary'!AB$65)+('Equipment List &amp; Usage'!$T71*('Weekly Summary'!AB$64+'Weekly Summary'!AB$65)),
IF(AH$10=0,('Equipment List &amp; Usage'!$O71*'Weekly Summary'!AB$52)+('Equipment List &amp; Usage'!$P71*'Weekly Summary'!AB$53)+('Equipment List &amp; Usage'!$Q71*('Weekly Summary'!AB$52+'Weekly Summary'!AB$53))+('Equipment List &amp; Usage'!$R71*'Weekly Summary'!AB$64)+('Equipment List &amp; Usage'!$S71*'Weekly Summary'!AB$65)+('Equipment List &amp; Usage'!$T71*('Weekly Summary'!AB$64+'Weekly Summary'!AB$65)),
('Equipment List &amp; Usage'!$O71*'Weekly Summary'!AB$52)+('Equipment List &amp; Usage'!$P71*'Weekly Summary'!AB$53)+('Equipment List &amp; Usage'!$Q71*('Weekly Summary'!AB$52+'Weekly Summary'!AB$53))+('Equipment List &amp; Usage'!$R71*'Weekly Summary'!AB$64)+('Equipment List &amp; Usage'!$S71*'Weekly Summary'!AB$65)+('Equipment List &amp; Usage'!$T71*('Weekly Summary'!AB$64+'Weekly Summary'!AB$65))-SUM($I69:AG69))),0)</f>
        <v>0</v>
      </c>
      <c r="AI69" s="1381">
        <f ca="1">MAX(IF($F69="No",('Equipment List &amp; Usage'!$O71*'Weekly Summary'!AC$52)+('Equipment List &amp; Usage'!$P71*'Weekly Summary'!AC$53)+('Equipment List &amp; Usage'!$Q71*('Weekly Summary'!AC$52+'Weekly Summary'!AC$53))+('Equipment List &amp; Usage'!$R71*'Weekly Summary'!AC$64)+('Equipment List &amp; Usage'!$S71*'Weekly Summary'!AC$65)+('Equipment List &amp; Usage'!$T71*('Weekly Summary'!AC$64+'Weekly Summary'!AC$65)),
IF(AI$10=0,('Equipment List &amp; Usage'!$O71*'Weekly Summary'!AC$52)+('Equipment List &amp; Usage'!$P71*'Weekly Summary'!AC$53)+('Equipment List &amp; Usage'!$Q71*('Weekly Summary'!AC$52+'Weekly Summary'!AC$53))+('Equipment List &amp; Usage'!$R71*'Weekly Summary'!AC$64)+('Equipment List &amp; Usage'!$S71*'Weekly Summary'!AC$65)+('Equipment List &amp; Usage'!$T71*('Weekly Summary'!AC$64+'Weekly Summary'!AC$65)),
('Equipment List &amp; Usage'!$O71*'Weekly Summary'!AC$52)+('Equipment List &amp; Usage'!$P71*'Weekly Summary'!AC$53)+('Equipment List &amp; Usage'!$Q71*('Weekly Summary'!AC$52+'Weekly Summary'!AC$53))+('Equipment List &amp; Usage'!$R71*'Weekly Summary'!AC$64)+('Equipment List &amp; Usage'!$S71*'Weekly Summary'!AC$65)+('Equipment List &amp; Usage'!$T71*('Weekly Summary'!AC$64+'Weekly Summary'!AC$65))-SUM($I69:AH69))),0)</f>
        <v>0</v>
      </c>
      <c r="AJ69" s="1381">
        <f ca="1">MAX(IF($F69="No",('Equipment List &amp; Usage'!$O71*'Weekly Summary'!AD$52)+('Equipment List &amp; Usage'!$P71*'Weekly Summary'!AD$53)+('Equipment List &amp; Usage'!$Q71*('Weekly Summary'!AD$52+'Weekly Summary'!AD$53))+('Equipment List &amp; Usage'!$R71*'Weekly Summary'!AD$64)+('Equipment List &amp; Usage'!$S71*'Weekly Summary'!AD$65)+('Equipment List &amp; Usage'!$T71*('Weekly Summary'!AD$64+'Weekly Summary'!AD$65)),
IF(AJ$10=0,('Equipment List &amp; Usage'!$O71*'Weekly Summary'!AD$52)+('Equipment List &amp; Usage'!$P71*'Weekly Summary'!AD$53)+('Equipment List &amp; Usage'!$Q71*('Weekly Summary'!AD$52+'Weekly Summary'!AD$53))+('Equipment List &amp; Usage'!$R71*'Weekly Summary'!AD$64)+('Equipment List &amp; Usage'!$S71*'Weekly Summary'!AD$65)+('Equipment List &amp; Usage'!$T71*('Weekly Summary'!AD$64+'Weekly Summary'!AD$65)),
('Equipment List &amp; Usage'!$O71*'Weekly Summary'!AD$52)+('Equipment List &amp; Usage'!$P71*'Weekly Summary'!AD$53)+('Equipment List &amp; Usage'!$Q71*('Weekly Summary'!AD$52+'Weekly Summary'!AD$53))+('Equipment List &amp; Usage'!$R71*'Weekly Summary'!AD$64)+('Equipment List &amp; Usage'!$S71*'Weekly Summary'!AD$65)+('Equipment List &amp; Usage'!$T71*('Weekly Summary'!AD$64+'Weekly Summary'!AD$65))-SUM($I69:AI69))),0)</f>
        <v>0</v>
      </c>
      <c r="AK69" s="1381">
        <f ca="1">MAX(IF($F69="No",('Equipment List &amp; Usage'!$O71*'Weekly Summary'!AE$52)+('Equipment List &amp; Usage'!$P71*'Weekly Summary'!AE$53)+('Equipment List &amp; Usage'!$Q71*('Weekly Summary'!AE$52+'Weekly Summary'!AE$53))+('Equipment List &amp; Usage'!$R71*'Weekly Summary'!AE$64)+('Equipment List &amp; Usage'!$S71*'Weekly Summary'!AE$65)+('Equipment List &amp; Usage'!$T71*('Weekly Summary'!AE$64+'Weekly Summary'!AE$65)),
IF(AK$10=0,('Equipment List &amp; Usage'!$O71*'Weekly Summary'!AE$52)+('Equipment List &amp; Usage'!$P71*'Weekly Summary'!AE$53)+('Equipment List &amp; Usage'!$Q71*('Weekly Summary'!AE$52+'Weekly Summary'!AE$53))+('Equipment List &amp; Usage'!$R71*'Weekly Summary'!AE$64)+('Equipment List &amp; Usage'!$S71*'Weekly Summary'!AE$65)+('Equipment List &amp; Usage'!$T71*('Weekly Summary'!AE$64+'Weekly Summary'!AE$65)),
('Equipment List &amp; Usage'!$O71*'Weekly Summary'!AE$52)+('Equipment List &amp; Usage'!$P71*'Weekly Summary'!AE$53)+('Equipment List &amp; Usage'!$Q71*('Weekly Summary'!AE$52+'Weekly Summary'!AE$53))+('Equipment List &amp; Usage'!$R71*'Weekly Summary'!AE$64)+('Equipment List &amp; Usage'!$S71*'Weekly Summary'!AE$65)+('Equipment List &amp; Usage'!$T71*('Weekly Summary'!AE$64+'Weekly Summary'!AE$65))-SUM($I69:AJ69))),0)</f>
        <v>0</v>
      </c>
      <c r="AL69" s="1381">
        <f ca="1">MAX(IF($F69="No",('Equipment List &amp; Usage'!$O71*'Weekly Summary'!AF$52)+('Equipment List &amp; Usage'!$P71*'Weekly Summary'!AF$53)+('Equipment List &amp; Usage'!$Q71*('Weekly Summary'!AF$52+'Weekly Summary'!AF$53))+('Equipment List &amp; Usage'!$R71*'Weekly Summary'!AF$64)+('Equipment List &amp; Usage'!$S71*'Weekly Summary'!AF$65)+('Equipment List &amp; Usage'!$T71*('Weekly Summary'!AF$64+'Weekly Summary'!AF$65)),
IF(AL$10=0,('Equipment List &amp; Usage'!$O71*'Weekly Summary'!AF$52)+('Equipment List &amp; Usage'!$P71*'Weekly Summary'!AF$53)+('Equipment List &amp; Usage'!$Q71*('Weekly Summary'!AF$52+'Weekly Summary'!AF$53))+('Equipment List &amp; Usage'!$R71*'Weekly Summary'!AF$64)+('Equipment List &amp; Usage'!$S71*'Weekly Summary'!AF$65)+('Equipment List &amp; Usage'!$T71*('Weekly Summary'!AF$64+'Weekly Summary'!AF$65)),
('Equipment List &amp; Usage'!$O71*'Weekly Summary'!AF$52)+('Equipment List &amp; Usage'!$P71*'Weekly Summary'!AF$53)+('Equipment List &amp; Usage'!$Q71*('Weekly Summary'!AF$52+'Weekly Summary'!AF$53))+('Equipment List &amp; Usage'!$R71*'Weekly Summary'!AF$64)+('Equipment List &amp; Usage'!$S71*'Weekly Summary'!AF$65)+('Equipment List &amp; Usage'!$T71*('Weekly Summary'!AF$64+'Weekly Summary'!AF$65))-SUM($I69:AK69))),0)</f>
        <v>0</v>
      </c>
      <c r="AM69" s="1381">
        <f ca="1">MAX(IF($F69="No",('Equipment List &amp; Usage'!$O71*'Weekly Summary'!AG$52)+('Equipment List &amp; Usage'!$P71*'Weekly Summary'!AG$53)+('Equipment List &amp; Usage'!$Q71*('Weekly Summary'!AG$52+'Weekly Summary'!AG$53))+('Equipment List &amp; Usage'!$R71*'Weekly Summary'!AG$64)+('Equipment List &amp; Usage'!$S71*'Weekly Summary'!AG$65)+('Equipment List &amp; Usage'!$T71*('Weekly Summary'!AG$64+'Weekly Summary'!AG$65)),
IF(AM$10=0,('Equipment List &amp; Usage'!$O71*'Weekly Summary'!AG$52)+('Equipment List &amp; Usage'!$P71*'Weekly Summary'!AG$53)+('Equipment List &amp; Usage'!$Q71*('Weekly Summary'!AG$52+'Weekly Summary'!AG$53))+('Equipment List &amp; Usage'!$R71*'Weekly Summary'!AG$64)+('Equipment List &amp; Usage'!$S71*'Weekly Summary'!AG$65)+('Equipment List &amp; Usage'!$T71*('Weekly Summary'!AG$64+'Weekly Summary'!AG$65)),
('Equipment List &amp; Usage'!$O71*'Weekly Summary'!AG$52)+('Equipment List &amp; Usage'!$P71*'Weekly Summary'!AG$53)+('Equipment List &amp; Usage'!$Q71*('Weekly Summary'!AG$52+'Weekly Summary'!AG$53))+('Equipment List &amp; Usage'!$R71*'Weekly Summary'!AG$64)+('Equipment List &amp; Usage'!$S71*'Weekly Summary'!AG$65)+('Equipment List &amp; Usage'!$T71*('Weekly Summary'!AG$64+'Weekly Summary'!AG$65))-SUM($I69:AL69))),0)</f>
        <v>0</v>
      </c>
      <c r="AN69" s="1381">
        <f ca="1">MAX(IF($F69="No",('Equipment List &amp; Usage'!$O71*'Weekly Summary'!AH$52)+('Equipment List &amp; Usage'!$P71*'Weekly Summary'!AH$53)+('Equipment List &amp; Usage'!$Q71*('Weekly Summary'!AH$52+'Weekly Summary'!AH$53))+('Equipment List &amp; Usage'!$R71*'Weekly Summary'!AH$64)+('Equipment List &amp; Usage'!$S71*'Weekly Summary'!AH$65)+('Equipment List &amp; Usage'!$T71*('Weekly Summary'!AH$64+'Weekly Summary'!AH$65)),
IF(AN$10=0,('Equipment List &amp; Usage'!$O71*'Weekly Summary'!AH$52)+('Equipment List &amp; Usage'!$P71*'Weekly Summary'!AH$53)+('Equipment List &amp; Usage'!$Q71*('Weekly Summary'!AH$52+'Weekly Summary'!AH$53))+('Equipment List &amp; Usage'!$R71*'Weekly Summary'!AH$64)+('Equipment List &amp; Usage'!$S71*'Weekly Summary'!AH$65)+('Equipment List &amp; Usage'!$T71*('Weekly Summary'!AH$64+'Weekly Summary'!AH$65)),
('Equipment List &amp; Usage'!$O71*'Weekly Summary'!AH$52)+('Equipment List &amp; Usage'!$P71*'Weekly Summary'!AH$53)+('Equipment List &amp; Usage'!$Q71*('Weekly Summary'!AH$52+'Weekly Summary'!AH$53))+('Equipment List &amp; Usage'!$R71*'Weekly Summary'!AH$64)+('Equipment List &amp; Usage'!$S71*'Weekly Summary'!AH$65)+('Equipment List &amp; Usage'!$T71*('Weekly Summary'!AH$64+'Weekly Summary'!AH$65))-SUM($I69:AM69))),0)</f>
        <v>0</v>
      </c>
      <c r="AO69" s="1381">
        <f ca="1">MAX(IF($F69="No",('Equipment List &amp; Usage'!$O71*'Weekly Summary'!AI$52)+('Equipment List &amp; Usage'!$P71*'Weekly Summary'!AI$53)+('Equipment List &amp; Usage'!$Q71*('Weekly Summary'!AI$52+'Weekly Summary'!AI$53))+('Equipment List &amp; Usage'!$R71*'Weekly Summary'!AI$64)+('Equipment List &amp; Usage'!$S71*'Weekly Summary'!AI$65)+('Equipment List &amp; Usage'!$T71*('Weekly Summary'!AI$64+'Weekly Summary'!AI$65)),
IF(AO$10=0,('Equipment List &amp; Usage'!$O71*'Weekly Summary'!AI$52)+('Equipment List &amp; Usage'!$P71*'Weekly Summary'!AI$53)+('Equipment List &amp; Usage'!$Q71*('Weekly Summary'!AI$52+'Weekly Summary'!AI$53))+('Equipment List &amp; Usage'!$R71*'Weekly Summary'!AI$64)+('Equipment List &amp; Usage'!$S71*'Weekly Summary'!AI$65)+('Equipment List &amp; Usage'!$T71*('Weekly Summary'!AI$64+'Weekly Summary'!AI$65)),
('Equipment List &amp; Usage'!$O71*'Weekly Summary'!AI$52)+('Equipment List &amp; Usage'!$P71*'Weekly Summary'!AI$53)+('Equipment List &amp; Usage'!$Q71*('Weekly Summary'!AI$52+'Weekly Summary'!AI$53))+('Equipment List &amp; Usage'!$R71*'Weekly Summary'!AI$64)+('Equipment List &amp; Usage'!$S71*'Weekly Summary'!AI$65)+('Equipment List &amp; Usage'!$T71*('Weekly Summary'!AI$64+'Weekly Summary'!AI$65))-SUM($I69:AN69))),0)</f>
        <v>0</v>
      </c>
      <c r="AP69" s="1381">
        <f ca="1">MAX(IF($F69="No",('Equipment List &amp; Usage'!$O71*'Weekly Summary'!AJ$52)+('Equipment List &amp; Usage'!$P71*'Weekly Summary'!AJ$53)+('Equipment List &amp; Usage'!$Q71*('Weekly Summary'!AJ$52+'Weekly Summary'!AJ$53))+('Equipment List &amp; Usage'!$R71*'Weekly Summary'!AJ$64)+('Equipment List &amp; Usage'!$S71*'Weekly Summary'!AJ$65)+('Equipment List &amp; Usage'!$T71*('Weekly Summary'!AJ$64+'Weekly Summary'!AJ$65)),
IF(AP$10=0,('Equipment List &amp; Usage'!$O71*'Weekly Summary'!AJ$52)+('Equipment List &amp; Usage'!$P71*'Weekly Summary'!AJ$53)+('Equipment List &amp; Usage'!$Q71*('Weekly Summary'!AJ$52+'Weekly Summary'!AJ$53))+('Equipment List &amp; Usage'!$R71*'Weekly Summary'!AJ$64)+('Equipment List &amp; Usage'!$S71*'Weekly Summary'!AJ$65)+('Equipment List &amp; Usage'!$T71*('Weekly Summary'!AJ$64+'Weekly Summary'!AJ$65)),
('Equipment List &amp; Usage'!$O71*'Weekly Summary'!AJ$52)+('Equipment List &amp; Usage'!$P71*'Weekly Summary'!AJ$53)+('Equipment List &amp; Usage'!$Q71*('Weekly Summary'!AJ$52+'Weekly Summary'!AJ$53))+('Equipment List &amp; Usage'!$R71*'Weekly Summary'!AJ$64)+('Equipment List &amp; Usage'!$S71*'Weekly Summary'!AJ$65)+('Equipment List &amp; Usage'!$T71*('Weekly Summary'!AJ$64+'Weekly Summary'!AJ$65))-SUM($I69:AO69))),0)</f>
        <v>0</v>
      </c>
      <c r="AQ69" s="1381">
        <f ca="1">MAX(IF($F69="No",('Equipment List &amp; Usage'!$O71*'Weekly Summary'!AK$52)+('Equipment List &amp; Usage'!$P71*'Weekly Summary'!AK$53)+('Equipment List &amp; Usage'!$Q71*('Weekly Summary'!AK$52+'Weekly Summary'!AK$53))+('Equipment List &amp; Usage'!$R71*'Weekly Summary'!AK$64)+('Equipment List &amp; Usage'!$S71*'Weekly Summary'!AK$65)+('Equipment List &amp; Usage'!$T71*('Weekly Summary'!AK$64+'Weekly Summary'!AK$65)),
IF(AQ$10=0,('Equipment List &amp; Usage'!$O71*'Weekly Summary'!AK$52)+('Equipment List &amp; Usage'!$P71*'Weekly Summary'!AK$53)+('Equipment List &amp; Usage'!$Q71*('Weekly Summary'!AK$52+'Weekly Summary'!AK$53))+('Equipment List &amp; Usage'!$R71*'Weekly Summary'!AK$64)+('Equipment List &amp; Usage'!$S71*'Weekly Summary'!AK$65)+('Equipment List &amp; Usage'!$T71*('Weekly Summary'!AK$64+'Weekly Summary'!AK$65)),
('Equipment List &amp; Usage'!$O71*'Weekly Summary'!AK$52)+('Equipment List &amp; Usage'!$P71*'Weekly Summary'!AK$53)+('Equipment List &amp; Usage'!$Q71*('Weekly Summary'!AK$52+'Weekly Summary'!AK$53))+('Equipment List &amp; Usage'!$R71*'Weekly Summary'!AK$64)+('Equipment List &amp; Usage'!$S71*'Weekly Summary'!AK$65)+('Equipment List &amp; Usage'!$T71*('Weekly Summary'!AK$64+'Weekly Summary'!AK$65))-SUM($I69:AP69))),0)</f>
        <v>0</v>
      </c>
      <c r="AR69" s="1381">
        <f ca="1">MAX(IF($F69="No",('Equipment List &amp; Usage'!$O71*'Weekly Summary'!AL$52)+('Equipment List &amp; Usage'!$P71*'Weekly Summary'!AL$53)+('Equipment List &amp; Usage'!$Q71*('Weekly Summary'!AL$52+'Weekly Summary'!AL$53))+('Equipment List &amp; Usage'!$R71*'Weekly Summary'!AL$64)+('Equipment List &amp; Usage'!$S71*'Weekly Summary'!AL$65)+('Equipment List &amp; Usage'!$T71*('Weekly Summary'!AL$64+'Weekly Summary'!AL$65)),
IF(AR$10=0,('Equipment List &amp; Usage'!$O71*'Weekly Summary'!AL$52)+('Equipment List &amp; Usage'!$P71*'Weekly Summary'!AL$53)+('Equipment List &amp; Usage'!$Q71*('Weekly Summary'!AL$52+'Weekly Summary'!AL$53))+('Equipment List &amp; Usage'!$R71*'Weekly Summary'!AL$64)+('Equipment List &amp; Usage'!$S71*'Weekly Summary'!AL$65)+('Equipment List &amp; Usage'!$T71*('Weekly Summary'!AL$64+'Weekly Summary'!AL$65)),
('Equipment List &amp; Usage'!$O71*'Weekly Summary'!AL$52)+('Equipment List &amp; Usage'!$P71*'Weekly Summary'!AL$53)+('Equipment List &amp; Usage'!$Q71*('Weekly Summary'!AL$52+'Weekly Summary'!AL$53))+('Equipment List &amp; Usage'!$R71*'Weekly Summary'!AL$64)+('Equipment List &amp; Usage'!$S71*'Weekly Summary'!AL$65)+('Equipment List &amp; Usage'!$T71*('Weekly Summary'!AL$64+'Weekly Summary'!AL$65))-SUM($I69:AQ69))),0)</f>
        <v>0</v>
      </c>
      <c r="AS69" s="1381">
        <f ca="1">MAX(IF($F69="No",('Equipment List &amp; Usage'!$O71*'Weekly Summary'!AM$52)+('Equipment List &amp; Usage'!$P71*'Weekly Summary'!AM$53)+('Equipment List &amp; Usage'!$Q71*('Weekly Summary'!AM$52+'Weekly Summary'!AM$53))+('Equipment List &amp; Usage'!$R71*'Weekly Summary'!AM$64)+('Equipment List &amp; Usage'!$S71*'Weekly Summary'!AM$65)+('Equipment List &amp; Usage'!$T71*('Weekly Summary'!AM$64+'Weekly Summary'!AM$65)),
IF(AS$10=0,('Equipment List &amp; Usage'!$O71*'Weekly Summary'!AM$52)+('Equipment List &amp; Usage'!$P71*'Weekly Summary'!AM$53)+('Equipment List &amp; Usage'!$Q71*('Weekly Summary'!AM$52+'Weekly Summary'!AM$53))+('Equipment List &amp; Usage'!$R71*'Weekly Summary'!AM$64)+('Equipment List &amp; Usage'!$S71*'Weekly Summary'!AM$65)+('Equipment List &amp; Usage'!$T71*('Weekly Summary'!AM$64+'Weekly Summary'!AM$65)),
('Equipment List &amp; Usage'!$O71*'Weekly Summary'!AM$52)+('Equipment List &amp; Usage'!$P71*'Weekly Summary'!AM$53)+('Equipment List &amp; Usage'!$Q71*('Weekly Summary'!AM$52+'Weekly Summary'!AM$53))+('Equipment List &amp; Usage'!$R71*'Weekly Summary'!AM$64)+('Equipment List &amp; Usage'!$S71*'Weekly Summary'!AM$65)+('Equipment List &amp; Usage'!$T71*('Weekly Summary'!AM$64+'Weekly Summary'!AM$65))-SUM($I69:AR69))),0)</f>
        <v>0</v>
      </c>
      <c r="AT69" s="1381">
        <f ca="1">MAX(IF($F69="No",('Equipment List &amp; Usage'!$O71*'Weekly Summary'!AN$52)+('Equipment List &amp; Usage'!$P71*'Weekly Summary'!AN$53)+('Equipment List &amp; Usage'!$Q71*('Weekly Summary'!AN$52+'Weekly Summary'!AN$53))+('Equipment List &amp; Usage'!$R71*'Weekly Summary'!AN$64)+('Equipment List &amp; Usage'!$S71*'Weekly Summary'!AN$65)+('Equipment List &amp; Usage'!$T71*('Weekly Summary'!AN$64+'Weekly Summary'!AN$65)),
IF(AT$10=0,('Equipment List &amp; Usage'!$O71*'Weekly Summary'!AN$52)+('Equipment List &amp; Usage'!$P71*'Weekly Summary'!AN$53)+('Equipment List &amp; Usage'!$Q71*('Weekly Summary'!AN$52+'Weekly Summary'!AN$53))+('Equipment List &amp; Usage'!$R71*'Weekly Summary'!AN$64)+('Equipment List &amp; Usage'!$S71*'Weekly Summary'!AN$65)+('Equipment List &amp; Usage'!$T71*('Weekly Summary'!AN$64+'Weekly Summary'!AN$65)),
('Equipment List &amp; Usage'!$O71*'Weekly Summary'!AN$52)+('Equipment List &amp; Usage'!$P71*'Weekly Summary'!AN$53)+('Equipment List &amp; Usage'!$Q71*('Weekly Summary'!AN$52+'Weekly Summary'!AN$53))+('Equipment List &amp; Usage'!$R71*'Weekly Summary'!AN$64)+('Equipment List &amp; Usage'!$S71*'Weekly Summary'!AN$65)+('Equipment List &amp; Usage'!$T71*('Weekly Summary'!AN$64+'Weekly Summary'!AN$65))-SUM($I69:AS69))),0)</f>
        <v>0</v>
      </c>
      <c r="AU69" s="1381">
        <f ca="1">MAX(IF($F69="No",('Equipment List &amp; Usage'!$O71*'Weekly Summary'!AO$52)+('Equipment List &amp; Usage'!$P71*'Weekly Summary'!AO$53)+('Equipment List &amp; Usage'!$Q71*('Weekly Summary'!AO$52+'Weekly Summary'!AO$53))+('Equipment List &amp; Usage'!$R71*'Weekly Summary'!AO$64)+('Equipment List &amp; Usage'!$S71*'Weekly Summary'!AO$65)+('Equipment List &amp; Usage'!$T71*('Weekly Summary'!AO$64+'Weekly Summary'!AO$65)),
IF(AU$10=0,('Equipment List &amp; Usage'!$O71*'Weekly Summary'!AO$52)+('Equipment List &amp; Usage'!$P71*'Weekly Summary'!AO$53)+('Equipment List &amp; Usage'!$Q71*('Weekly Summary'!AO$52+'Weekly Summary'!AO$53))+('Equipment List &amp; Usage'!$R71*'Weekly Summary'!AO$64)+('Equipment List &amp; Usage'!$S71*'Weekly Summary'!AO$65)+('Equipment List &amp; Usage'!$T71*('Weekly Summary'!AO$64+'Weekly Summary'!AO$65)),
('Equipment List &amp; Usage'!$O71*'Weekly Summary'!AO$52)+('Equipment List &amp; Usage'!$P71*'Weekly Summary'!AO$53)+('Equipment List &amp; Usage'!$Q71*('Weekly Summary'!AO$52+'Weekly Summary'!AO$53))+('Equipment List &amp; Usage'!$R71*'Weekly Summary'!AO$64)+('Equipment List &amp; Usage'!$S71*'Weekly Summary'!AO$65)+('Equipment List &amp; Usage'!$T71*('Weekly Summary'!AO$64+'Weekly Summary'!AO$65))-SUM($I69:AT69))),0)</f>
        <v>0</v>
      </c>
      <c r="AV69" s="1381">
        <f ca="1">MAX(IF($F69="No",('Equipment List &amp; Usage'!$O71*'Weekly Summary'!AP$52)+('Equipment List &amp; Usage'!$P71*'Weekly Summary'!AP$53)+('Equipment List &amp; Usage'!$Q71*('Weekly Summary'!AP$52+'Weekly Summary'!AP$53))+('Equipment List &amp; Usage'!$R71*'Weekly Summary'!AP$64)+('Equipment List &amp; Usage'!$S71*'Weekly Summary'!AP$65)+('Equipment List &amp; Usage'!$T71*('Weekly Summary'!AP$64+'Weekly Summary'!AP$65)),
IF(AV$10=0,('Equipment List &amp; Usage'!$O71*'Weekly Summary'!AP$52)+('Equipment List &amp; Usage'!$P71*'Weekly Summary'!AP$53)+('Equipment List &amp; Usage'!$Q71*('Weekly Summary'!AP$52+'Weekly Summary'!AP$53))+('Equipment List &amp; Usage'!$R71*'Weekly Summary'!AP$64)+('Equipment List &amp; Usage'!$S71*'Weekly Summary'!AP$65)+('Equipment List &amp; Usage'!$T71*('Weekly Summary'!AP$64+'Weekly Summary'!AP$65)),
('Equipment List &amp; Usage'!$O71*'Weekly Summary'!AP$52)+('Equipment List &amp; Usage'!$P71*'Weekly Summary'!AP$53)+('Equipment List &amp; Usage'!$Q71*('Weekly Summary'!AP$52+'Weekly Summary'!AP$53))+('Equipment List &amp; Usage'!$R71*'Weekly Summary'!AP$64)+('Equipment List &amp; Usage'!$S71*'Weekly Summary'!AP$65)+('Equipment List &amp; Usage'!$T71*('Weekly Summary'!AP$64+'Weekly Summary'!AP$65))-SUM($I69:AU69))),0)</f>
        <v>0</v>
      </c>
      <c r="AW69" s="1381">
        <f ca="1">MAX(IF($F69="No",('Equipment List &amp; Usage'!$O71*'Weekly Summary'!AQ$52)+('Equipment List &amp; Usage'!$P71*'Weekly Summary'!AQ$53)+('Equipment List &amp; Usage'!$Q71*('Weekly Summary'!AQ$52+'Weekly Summary'!AQ$53))+('Equipment List &amp; Usage'!$R71*'Weekly Summary'!AQ$64)+('Equipment List &amp; Usage'!$S71*'Weekly Summary'!AQ$65)+('Equipment List &amp; Usage'!$T71*('Weekly Summary'!AQ$64+'Weekly Summary'!AQ$65)),
IF(AW$10=0,('Equipment List &amp; Usage'!$O71*'Weekly Summary'!AQ$52)+('Equipment List &amp; Usage'!$P71*'Weekly Summary'!AQ$53)+('Equipment List &amp; Usage'!$Q71*('Weekly Summary'!AQ$52+'Weekly Summary'!AQ$53))+('Equipment List &amp; Usage'!$R71*'Weekly Summary'!AQ$64)+('Equipment List &amp; Usage'!$S71*'Weekly Summary'!AQ$65)+('Equipment List &amp; Usage'!$T71*('Weekly Summary'!AQ$64+'Weekly Summary'!AQ$65)),
('Equipment List &amp; Usage'!$O71*'Weekly Summary'!AQ$52)+('Equipment List &amp; Usage'!$P71*'Weekly Summary'!AQ$53)+('Equipment List &amp; Usage'!$Q71*('Weekly Summary'!AQ$52+'Weekly Summary'!AQ$53))+('Equipment List &amp; Usage'!$R71*'Weekly Summary'!AQ$64)+('Equipment List &amp; Usage'!$S71*'Weekly Summary'!AQ$65)+('Equipment List &amp; Usage'!$T71*('Weekly Summary'!AQ$64+'Weekly Summary'!AQ$65))-SUM($I69:AV69))),0)</f>
        <v>0</v>
      </c>
      <c r="AX69" s="1381">
        <f ca="1">MAX(IF($F69="No",('Equipment List &amp; Usage'!$O71*'Weekly Summary'!AR$52)+('Equipment List &amp; Usage'!$P71*'Weekly Summary'!AR$53)+('Equipment List &amp; Usage'!$Q71*('Weekly Summary'!AR$52+'Weekly Summary'!AR$53))+('Equipment List &amp; Usage'!$R71*'Weekly Summary'!AR$64)+('Equipment List &amp; Usage'!$S71*'Weekly Summary'!AR$65)+('Equipment List &amp; Usage'!$T71*('Weekly Summary'!AR$64+'Weekly Summary'!AR$65)),
IF(AX$10=0,('Equipment List &amp; Usage'!$O71*'Weekly Summary'!AR$52)+('Equipment List &amp; Usage'!$P71*'Weekly Summary'!AR$53)+('Equipment List &amp; Usage'!$Q71*('Weekly Summary'!AR$52+'Weekly Summary'!AR$53))+('Equipment List &amp; Usage'!$R71*'Weekly Summary'!AR$64)+('Equipment List &amp; Usage'!$S71*'Weekly Summary'!AR$65)+('Equipment List &amp; Usage'!$T71*('Weekly Summary'!AR$64+'Weekly Summary'!AR$65)),
('Equipment List &amp; Usage'!$O71*'Weekly Summary'!AR$52)+('Equipment List &amp; Usage'!$P71*'Weekly Summary'!AR$53)+('Equipment List &amp; Usage'!$Q71*('Weekly Summary'!AR$52+'Weekly Summary'!AR$53))+('Equipment List &amp; Usage'!$R71*'Weekly Summary'!AR$64)+('Equipment List &amp; Usage'!$S71*'Weekly Summary'!AR$65)+('Equipment List &amp; Usage'!$T71*('Weekly Summary'!AR$64+'Weekly Summary'!AR$65))-SUM($I69:AW69))),0)</f>
        <v>0</v>
      </c>
      <c r="AY69" s="1381">
        <f ca="1">MAX(IF($F69="No",('Equipment List &amp; Usage'!$O71*'Weekly Summary'!AS$52)+('Equipment List &amp; Usage'!$P71*'Weekly Summary'!AS$53)+('Equipment List &amp; Usage'!$Q71*('Weekly Summary'!AS$52+'Weekly Summary'!AS$53))+('Equipment List &amp; Usage'!$R71*'Weekly Summary'!AS$64)+('Equipment List &amp; Usage'!$S71*'Weekly Summary'!AS$65)+('Equipment List &amp; Usage'!$T71*('Weekly Summary'!AS$64+'Weekly Summary'!AS$65)),
IF(AY$10=0,('Equipment List &amp; Usage'!$O71*'Weekly Summary'!AS$52)+('Equipment List &amp; Usage'!$P71*'Weekly Summary'!AS$53)+('Equipment List &amp; Usage'!$Q71*('Weekly Summary'!AS$52+'Weekly Summary'!AS$53))+('Equipment List &amp; Usage'!$R71*'Weekly Summary'!AS$64)+('Equipment List &amp; Usage'!$S71*'Weekly Summary'!AS$65)+('Equipment List &amp; Usage'!$T71*('Weekly Summary'!AS$64+'Weekly Summary'!AS$65)),
('Equipment List &amp; Usage'!$O71*'Weekly Summary'!AS$52)+('Equipment List &amp; Usage'!$P71*'Weekly Summary'!AS$53)+('Equipment List &amp; Usage'!$Q71*('Weekly Summary'!AS$52+'Weekly Summary'!AS$53))+('Equipment List &amp; Usage'!$R71*'Weekly Summary'!AS$64)+('Equipment List &amp; Usage'!$S71*'Weekly Summary'!AS$65)+('Equipment List &amp; Usage'!$T71*('Weekly Summary'!AS$64+'Weekly Summary'!AS$65))-SUM($I69:AX69))),0)</f>
        <v>0</v>
      </c>
      <c r="AZ69" s="1381">
        <f ca="1">MAX(IF($F69="No",('Equipment List &amp; Usage'!$O71*'Weekly Summary'!AT$52)+('Equipment List &amp; Usage'!$P71*'Weekly Summary'!AT$53)+('Equipment List &amp; Usage'!$Q71*('Weekly Summary'!AT$52+'Weekly Summary'!AT$53))+('Equipment List &amp; Usage'!$R71*'Weekly Summary'!AT$64)+('Equipment List &amp; Usage'!$S71*'Weekly Summary'!AT$65)+('Equipment List &amp; Usage'!$T71*('Weekly Summary'!AT$64+'Weekly Summary'!AT$65)),
IF(AZ$10=0,('Equipment List &amp; Usage'!$O71*'Weekly Summary'!AT$52)+('Equipment List &amp; Usage'!$P71*'Weekly Summary'!AT$53)+('Equipment List &amp; Usage'!$Q71*('Weekly Summary'!AT$52+'Weekly Summary'!AT$53))+('Equipment List &amp; Usage'!$R71*'Weekly Summary'!AT$64)+('Equipment List &amp; Usage'!$S71*'Weekly Summary'!AT$65)+('Equipment List &amp; Usage'!$T71*('Weekly Summary'!AT$64+'Weekly Summary'!AT$65)),
('Equipment List &amp; Usage'!$O71*'Weekly Summary'!AT$52)+('Equipment List &amp; Usage'!$P71*'Weekly Summary'!AT$53)+('Equipment List &amp; Usage'!$Q71*('Weekly Summary'!AT$52+'Weekly Summary'!AT$53))+('Equipment List &amp; Usage'!$R71*'Weekly Summary'!AT$64)+('Equipment List &amp; Usage'!$S71*'Weekly Summary'!AT$65)+('Equipment List &amp; Usage'!$T71*('Weekly Summary'!AT$64+'Weekly Summary'!AT$65))-SUM($I69:AY69))),0)</f>
        <v>0</v>
      </c>
      <c r="BA69" s="1381">
        <f ca="1">MAX(IF($F69="No",('Equipment List &amp; Usage'!$O71*'Weekly Summary'!AU$52)+('Equipment List &amp; Usage'!$P71*'Weekly Summary'!AU$53)+('Equipment List &amp; Usage'!$Q71*('Weekly Summary'!AU$52+'Weekly Summary'!AU$53))+('Equipment List &amp; Usage'!$R71*'Weekly Summary'!AU$64)+('Equipment List &amp; Usage'!$S71*'Weekly Summary'!AU$65)+('Equipment List &amp; Usage'!$T71*('Weekly Summary'!AU$64+'Weekly Summary'!AU$65)),
IF(BA$10=0,('Equipment List &amp; Usage'!$O71*'Weekly Summary'!AU$52)+('Equipment List &amp; Usage'!$P71*'Weekly Summary'!AU$53)+('Equipment List &amp; Usage'!$Q71*('Weekly Summary'!AU$52+'Weekly Summary'!AU$53))+('Equipment List &amp; Usage'!$R71*'Weekly Summary'!AU$64)+('Equipment List &amp; Usage'!$S71*'Weekly Summary'!AU$65)+('Equipment List &amp; Usage'!$T71*('Weekly Summary'!AU$64+'Weekly Summary'!AU$65)),
('Equipment List &amp; Usage'!$O71*'Weekly Summary'!AU$52)+('Equipment List &amp; Usage'!$P71*'Weekly Summary'!AU$53)+('Equipment List &amp; Usage'!$Q71*('Weekly Summary'!AU$52+'Weekly Summary'!AU$53))+('Equipment List &amp; Usage'!$R71*'Weekly Summary'!AU$64)+('Equipment List &amp; Usage'!$S71*'Weekly Summary'!AU$65)+('Equipment List &amp; Usage'!$T71*('Weekly Summary'!AU$64+'Weekly Summary'!AU$65))-SUM($I69:AZ69))),0)</f>
        <v>0</v>
      </c>
      <c r="BB69" s="1381">
        <f ca="1">MAX(IF($F69="No",('Equipment List &amp; Usage'!$O71*'Weekly Summary'!AV$52)+('Equipment List &amp; Usage'!$P71*'Weekly Summary'!AV$53)+('Equipment List &amp; Usage'!$Q71*('Weekly Summary'!AV$52+'Weekly Summary'!AV$53))+('Equipment List &amp; Usage'!$R71*'Weekly Summary'!AV$64)+('Equipment List &amp; Usage'!$S71*'Weekly Summary'!AV$65)+('Equipment List &amp; Usage'!$T71*('Weekly Summary'!AV$64+'Weekly Summary'!AV$65)),
IF(BB$10=0,('Equipment List &amp; Usage'!$O71*'Weekly Summary'!AV$52)+('Equipment List &amp; Usage'!$P71*'Weekly Summary'!AV$53)+('Equipment List &amp; Usage'!$Q71*('Weekly Summary'!AV$52+'Weekly Summary'!AV$53))+('Equipment List &amp; Usage'!$R71*'Weekly Summary'!AV$64)+('Equipment List &amp; Usage'!$S71*'Weekly Summary'!AV$65)+('Equipment List &amp; Usage'!$T71*('Weekly Summary'!AV$64+'Weekly Summary'!AV$65)),
('Equipment List &amp; Usage'!$O71*'Weekly Summary'!AV$52)+('Equipment List &amp; Usage'!$P71*'Weekly Summary'!AV$53)+('Equipment List &amp; Usage'!$Q71*('Weekly Summary'!AV$52+'Weekly Summary'!AV$53))+('Equipment List &amp; Usage'!$R71*'Weekly Summary'!AV$64)+('Equipment List &amp; Usage'!$S71*'Weekly Summary'!AV$65)+('Equipment List &amp; Usage'!$T71*('Weekly Summary'!AV$64+'Weekly Summary'!AV$65))-SUM($I69:BA69))),0)</f>
        <v>0</v>
      </c>
      <c r="BC69" s="1381">
        <f ca="1">MAX(IF($F69="No",('Equipment List &amp; Usage'!$O71*'Weekly Summary'!AW$52)+('Equipment List &amp; Usage'!$P71*'Weekly Summary'!AW$53)+('Equipment List &amp; Usage'!$Q71*('Weekly Summary'!AW$52+'Weekly Summary'!AW$53))+('Equipment List &amp; Usage'!$R71*'Weekly Summary'!AW$64)+('Equipment List &amp; Usage'!$S71*'Weekly Summary'!AW$65)+('Equipment List &amp; Usage'!$T71*('Weekly Summary'!AW$64+'Weekly Summary'!AW$65)),
IF(BC$10=0,('Equipment List &amp; Usage'!$O71*'Weekly Summary'!AW$52)+('Equipment List &amp; Usage'!$P71*'Weekly Summary'!AW$53)+('Equipment List &amp; Usage'!$Q71*('Weekly Summary'!AW$52+'Weekly Summary'!AW$53))+('Equipment List &amp; Usage'!$R71*'Weekly Summary'!AW$64)+('Equipment List &amp; Usage'!$S71*'Weekly Summary'!AW$65)+('Equipment List &amp; Usage'!$T71*('Weekly Summary'!AW$64+'Weekly Summary'!AW$65)),
('Equipment List &amp; Usage'!$O71*'Weekly Summary'!AW$52)+('Equipment List &amp; Usage'!$P71*'Weekly Summary'!AW$53)+('Equipment List &amp; Usage'!$Q71*('Weekly Summary'!AW$52+'Weekly Summary'!AW$53))+('Equipment List &amp; Usage'!$R71*'Weekly Summary'!AW$64)+('Equipment List &amp; Usage'!$S71*'Weekly Summary'!AW$65)+('Equipment List &amp; Usage'!$T71*('Weekly Summary'!AW$64+'Weekly Summary'!AW$65))-SUM($I69:BB69))),0)</f>
        <v>0</v>
      </c>
      <c r="BD69" s="1381">
        <f ca="1">MAX(IF($F69="No",('Equipment List &amp; Usage'!$O71*'Weekly Summary'!AX$52)+('Equipment List &amp; Usage'!$P71*'Weekly Summary'!AX$53)+('Equipment List &amp; Usage'!$Q71*('Weekly Summary'!AX$52+'Weekly Summary'!AX$53))+('Equipment List &amp; Usage'!$R71*'Weekly Summary'!AX$64)+('Equipment List &amp; Usage'!$S71*'Weekly Summary'!AX$65)+('Equipment List &amp; Usage'!$T71*('Weekly Summary'!AX$64+'Weekly Summary'!AX$65)),
IF(BD$10=0,('Equipment List &amp; Usage'!$O71*'Weekly Summary'!AX$52)+('Equipment List &amp; Usage'!$P71*'Weekly Summary'!AX$53)+('Equipment List &amp; Usage'!$Q71*('Weekly Summary'!AX$52+'Weekly Summary'!AX$53))+('Equipment List &amp; Usage'!$R71*'Weekly Summary'!AX$64)+('Equipment List &amp; Usage'!$S71*'Weekly Summary'!AX$65)+('Equipment List &amp; Usage'!$T71*('Weekly Summary'!AX$64+'Weekly Summary'!AX$65)),
('Equipment List &amp; Usage'!$O71*'Weekly Summary'!AX$52)+('Equipment List &amp; Usage'!$P71*'Weekly Summary'!AX$53)+('Equipment List &amp; Usage'!$Q71*('Weekly Summary'!AX$52+'Weekly Summary'!AX$53))+('Equipment List &amp; Usage'!$R71*'Weekly Summary'!AX$64)+('Equipment List &amp; Usage'!$S71*'Weekly Summary'!AX$65)+('Equipment List &amp; Usage'!$T71*('Weekly Summary'!AX$64+'Weekly Summary'!AX$65))-SUM($I69:BC69))),0)</f>
        <v>0</v>
      </c>
      <c r="BE69" s="1381">
        <f ca="1">MAX(IF($F69="No",('Equipment List &amp; Usage'!$O71*'Weekly Summary'!AY$52)+('Equipment List &amp; Usage'!$P71*'Weekly Summary'!AY$53)+('Equipment List &amp; Usage'!$Q71*('Weekly Summary'!AY$52+'Weekly Summary'!AY$53))+('Equipment List &amp; Usage'!$R71*'Weekly Summary'!AY$64)+('Equipment List &amp; Usage'!$S71*'Weekly Summary'!AY$65)+('Equipment List &amp; Usage'!$T71*('Weekly Summary'!AY$64+'Weekly Summary'!AY$65)),
IF(BE$10=0,('Equipment List &amp; Usage'!$O71*'Weekly Summary'!AY$52)+('Equipment List &amp; Usage'!$P71*'Weekly Summary'!AY$53)+('Equipment List &amp; Usage'!$Q71*('Weekly Summary'!AY$52+'Weekly Summary'!AY$53))+('Equipment List &amp; Usage'!$R71*'Weekly Summary'!AY$64)+('Equipment List &amp; Usage'!$S71*'Weekly Summary'!AY$65)+('Equipment List &amp; Usage'!$T71*('Weekly Summary'!AY$64+'Weekly Summary'!AY$65)),
('Equipment List &amp; Usage'!$O71*'Weekly Summary'!AY$52)+('Equipment List &amp; Usage'!$P71*'Weekly Summary'!AY$53)+('Equipment List &amp; Usage'!$Q71*('Weekly Summary'!AY$52+'Weekly Summary'!AY$53))+('Equipment List &amp; Usage'!$R71*'Weekly Summary'!AY$64)+('Equipment List &amp; Usage'!$S71*'Weekly Summary'!AY$65)+('Equipment List &amp; Usage'!$T71*('Weekly Summary'!AY$64+'Weekly Summary'!AY$65))-SUM($I69:BD69))),0)</f>
        <v>0</v>
      </c>
      <c r="BF69" s="1381">
        <f ca="1">MAX(IF($F69="No",('Equipment List &amp; Usage'!$O71*'Weekly Summary'!AZ$52)+('Equipment List &amp; Usage'!$P71*'Weekly Summary'!AZ$53)+('Equipment List &amp; Usage'!$Q71*('Weekly Summary'!AZ$52+'Weekly Summary'!AZ$53))+('Equipment List &amp; Usage'!$R71*'Weekly Summary'!AZ$64)+('Equipment List &amp; Usage'!$S71*'Weekly Summary'!AZ$65)+('Equipment List &amp; Usage'!$T71*('Weekly Summary'!AZ$64+'Weekly Summary'!AZ$65)),
IF(BF$10=0,('Equipment List &amp; Usage'!$O71*'Weekly Summary'!AZ$52)+('Equipment List &amp; Usage'!$P71*'Weekly Summary'!AZ$53)+('Equipment List &amp; Usage'!$Q71*('Weekly Summary'!AZ$52+'Weekly Summary'!AZ$53))+('Equipment List &amp; Usage'!$R71*'Weekly Summary'!AZ$64)+('Equipment List &amp; Usage'!$S71*'Weekly Summary'!AZ$65)+('Equipment List &amp; Usage'!$T71*('Weekly Summary'!AZ$64+'Weekly Summary'!AZ$65)),
('Equipment List &amp; Usage'!$O71*'Weekly Summary'!AZ$52)+('Equipment List &amp; Usage'!$P71*'Weekly Summary'!AZ$53)+('Equipment List &amp; Usage'!$Q71*('Weekly Summary'!AZ$52+'Weekly Summary'!AZ$53))+('Equipment List &amp; Usage'!$R71*'Weekly Summary'!AZ$64)+('Equipment List &amp; Usage'!$S71*'Weekly Summary'!AZ$65)+('Equipment List &amp; Usage'!$T71*('Weekly Summary'!AZ$64+'Weekly Summary'!AZ$65))-SUM($I69:BE69))),0)</f>
        <v>0</v>
      </c>
      <c r="BG69" s="1381">
        <f ca="1">MAX(IF($F69="No",('Equipment List &amp; Usage'!$O71*'Weekly Summary'!BA$52)+('Equipment List &amp; Usage'!$P71*'Weekly Summary'!BA$53)+('Equipment List &amp; Usage'!$Q71*('Weekly Summary'!BA$52+'Weekly Summary'!BA$53))+('Equipment List &amp; Usage'!$R71*'Weekly Summary'!BA$64)+('Equipment List &amp; Usage'!$S71*'Weekly Summary'!BA$65)+('Equipment List &amp; Usage'!$T71*('Weekly Summary'!BA$64+'Weekly Summary'!BA$65)),
IF(BG$10=0,('Equipment List &amp; Usage'!$O71*'Weekly Summary'!BA$52)+('Equipment List &amp; Usage'!$P71*'Weekly Summary'!BA$53)+('Equipment List &amp; Usage'!$Q71*('Weekly Summary'!BA$52+'Weekly Summary'!BA$53))+('Equipment List &amp; Usage'!$R71*'Weekly Summary'!BA$64)+('Equipment List &amp; Usage'!$S71*'Weekly Summary'!BA$65)+('Equipment List &amp; Usage'!$T71*('Weekly Summary'!BA$64+'Weekly Summary'!BA$65)),
('Equipment List &amp; Usage'!$O71*'Weekly Summary'!BA$52)+('Equipment List &amp; Usage'!$P71*'Weekly Summary'!BA$53)+('Equipment List &amp; Usage'!$Q71*('Weekly Summary'!BA$52+'Weekly Summary'!BA$53))+('Equipment List &amp; Usage'!$R71*'Weekly Summary'!BA$64)+('Equipment List &amp; Usage'!$S71*'Weekly Summary'!BA$65)+('Equipment List &amp; Usage'!$T71*('Weekly Summary'!BA$64+'Weekly Summary'!BA$65))-SUM($I69:BF69))),0)</f>
        <v>0</v>
      </c>
      <c r="BH69" s="1381">
        <f ca="1">MAX(IF($F69="No",('Equipment List &amp; Usage'!$O71*'Weekly Summary'!BB$52)+('Equipment List &amp; Usage'!$P71*'Weekly Summary'!BB$53)+('Equipment List &amp; Usage'!$Q71*('Weekly Summary'!BB$52+'Weekly Summary'!BB$53))+('Equipment List &amp; Usage'!$R71*'Weekly Summary'!BB$64)+('Equipment List &amp; Usage'!$S71*'Weekly Summary'!BB$65)+('Equipment List &amp; Usage'!$T71*('Weekly Summary'!BB$64+'Weekly Summary'!BB$65)),
IF(BH$10=0,('Equipment List &amp; Usage'!$O71*'Weekly Summary'!BB$52)+('Equipment List &amp; Usage'!$P71*'Weekly Summary'!BB$53)+('Equipment List &amp; Usage'!$Q71*('Weekly Summary'!BB$52+'Weekly Summary'!BB$53))+('Equipment List &amp; Usage'!$R71*'Weekly Summary'!BB$64)+('Equipment List &amp; Usage'!$S71*'Weekly Summary'!BB$65)+('Equipment List &amp; Usage'!$T71*('Weekly Summary'!BB$64+'Weekly Summary'!BB$65)),
('Equipment List &amp; Usage'!$O71*'Weekly Summary'!BB$52)+('Equipment List &amp; Usage'!$P71*'Weekly Summary'!BB$53)+('Equipment List &amp; Usage'!$Q71*('Weekly Summary'!BB$52+'Weekly Summary'!BB$53))+('Equipment List &amp; Usage'!$R71*'Weekly Summary'!BB$64)+('Equipment List &amp; Usage'!$S71*'Weekly Summary'!BB$65)+('Equipment List &amp; Usage'!$T71*('Weekly Summary'!BB$64+'Weekly Summary'!BB$65))-SUM($I69:BG69))),0)</f>
        <v>0</v>
      </c>
      <c r="BI69" s="1381">
        <f ca="1">MAX(IF($F69="No",('Equipment List &amp; Usage'!$O71*'Weekly Summary'!BC$52)+('Equipment List &amp; Usage'!$P71*'Weekly Summary'!BC$53)+('Equipment List &amp; Usage'!$Q71*('Weekly Summary'!BC$52+'Weekly Summary'!BC$53))+('Equipment List &amp; Usage'!$R71*'Weekly Summary'!BC$64)+('Equipment List &amp; Usage'!$S71*'Weekly Summary'!BC$65)+('Equipment List &amp; Usage'!$T71*('Weekly Summary'!BC$64+'Weekly Summary'!BC$65)),
IF(BI$10=0,('Equipment List &amp; Usage'!$O71*'Weekly Summary'!BC$52)+('Equipment List &amp; Usage'!$P71*'Weekly Summary'!BC$53)+('Equipment List &amp; Usage'!$Q71*('Weekly Summary'!BC$52+'Weekly Summary'!BC$53))+('Equipment List &amp; Usage'!$R71*'Weekly Summary'!BC$64)+('Equipment List &amp; Usage'!$S71*'Weekly Summary'!BC$65)+('Equipment List &amp; Usage'!$T71*('Weekly Summary'!BC$64+'Weekly Summary'!BC$65)),
('Equipment List &amp; Usage'!$O71*'Weekly Summary'!BC$52)+('Equipment List &amp; Usage'!$P71*'Weekly Summary'!BC$53)+('Equipment List &amp; Usage'!$Q71*('Weekly Summary'!BC$52+'Weekly Summary'!BC$53))+('Equipment List &amp; Usage'!$R71*'Weekly Summary'!BC$64)+('Equipment List &amp; Usage'!$S71*'Weekly Summary'!BC$65)+('Equipment List &amp; Usage'!$T71*('Weekly Summary'!BC$64+'Weekly Summary'!BC$65))-SUM($I69:BH69))),0)</f>
        <v>0</v>
      </c>
      <c r="BJ69" s="1382">
        <f ca="1">MAX(IF($F69="No",('Equipment List &amp; Usage'!$O71*'Weekly Summary'!BD$52)+('Equipment List &amp; Usage'!$P71*'Weekly Summary'!BD$53)+('Equipment List &amp; Usage'!$Q71*('Weekly Summary'!BD$52+'Weekly Summary'!BD$53))+('Equipment List &amp; Usage'!$R71*'Weekly Summary'!BD$64)+('Equipment List &amp; Usage'!$S71*'Weekly Summary'!BD$65)+('Equipment List &amp; Usage'!$T71*('Weekly Summary'!BD$64+'Weekly Summary'!BD$65)),
IF(BJ$10=0,('Equipment List &amp; Usage'!$O71*'Weekly Summary'!BD$52)+('Equipment List &amp; Usage'!$P71*'Weekly Summary'!BD$53)+('Equipment List &amp; Usage'!$Q71*('Weekly Summary'!BD$52+'Weekly Summary'!BD$53))+('Equipment List &amp; Usage'!$R71*'Weekly Summary'!BD$64)+('Equipment List &amp; Usage'!$S71*'Weekly Summary'!BD$65)+('Equipment List &amp; Usage'!$T71*('Weekly Summary'!BD$64+'Weekly Summary'!BD$65)),
('Equipment List &amp; Usage'!$O71*'Weekly Summary'!BD$52)+('Equipment List &amp; Usage'!$P71*'Weekly Summary'!BD$53)+('Equipment List &amp; Usage'!$Q71*('Weekly Summary'!BD$52+'Weekly Summary'!BD$53))+('Equipment List &amp; Usage'!$R71*'Weekly Summary'!BD$64)+('Equipment List &amp; Usage'!$S71*'Weekly Summary'!BD$65)+('Equipment List &amp; Usage'!$T71*('Weekly Summary'!BD$64+'Weekly Summary'!BD$65))-SUM($I69:BI69))),0)</f>
        <v>0</v>
      </c>
    </row>
    <row r="70" spans="2:62" ht="43.5" x14ac:dyDescent="0.35">
      <c r="B70" s="735" t="str">
        <f>'Equipment List &amp; Usage'!B72</f>
        <v>Case management - accessories &amp; consumables</v>
      </c>
      <c r="C70" s="526" t="str">
        <f>'Equipment List &amp; Usage'!C72</f>
        <v>Oxygen therapy</v>
      </c>
      <c r="D70" s="526" t="str">
        <f>'Equipment List &amp; Usage'!D72</f>
        <v>Flowmeter, Thorpe tube, for pipe oxygen 0-15 L/min</v>
      </c>
      <c r="E70" s="526" t="str">
        <f>'Equipment List &amp; Usage'!E72</f>
        <v>Each</v>
      </c>
      <c r="F70" s="526" t="str">
        <f>'Equipment List &amp; Usage'!F72</f>
        <v>Yes</v>
      </c>
      <c r="G70" s="526" t="str">
        <f>'Equipment List &amp; Usage'!G72</f>
        <v>For pipe supply</v>
      </c>
      <c r="H70" s="1369">
        <f t="shared" ca="1" si="3"/>
        <v>42.820442480201123</v>
      </c>
      <c r="J70" s="1344"/>
      <c r="K70" s="1381">
        <f ca="1">IF('User Dashboard'!$H$13=1,0,MAX(IF($F70="No",('Equipment List &amp; Usage'!$O72*'Weekly Summary'!E$52)+('Equipment List &amp; Usage'!$P72*'Weekly Summary'!E$53)+('Equipment List &amp; Usage'!$Q72*('Weekly Summary'!E$52+'Weekly Summary'!E$53))+('Equipment List &amp; Usage'!$R72*'Weekly Summary'!E$64)+('Equipment List &amp; Usage'!$S72*'Weekly Summary'!E$65)+('Equipment List &amp; Usage'!$T72*('Weekly Summary'!E$64+'Weekly Summary'!E$65)),
IF(K$10=0,('Equipment List &amp; Usage'!$O72*'Weekly Summary'!E$52)+('Equipment List &amp; Usage'!$P72*'Weekly Summary'!E$53)+('Equipment List &amp; Usage'!$Q72*('Weekly Summary'!E$52+'Weekly Summary'!E$53))+('Equipment List &amp; Usage'!$R72*'Weekly Summary'!E$64)+('Equipment List &amp; Usage'!$S72*'Weekly Summary'!E$65)+('Equipment List &amp; Usage'!$T72*('Weekly Summary'!E$64+'Weekly Summary'!E$65)),
('Equipment List &amp; Usage'!$O72*'Weekly Summary'!E$52)+('Equipment List &amp; Usage'!$P72*'Weekly Summary'!E$53)+('Equipment List &amp; Usage'!$Q72*('Weekly Summary'!E$52+'Weekly Summary'!E$53))+('Equipment List &amp; Usage'!$R72*'Weekly Summary'!E$64)+('Equipment List &amp; Usage'!$S72*'Weekly Summary'!E$65)+('Equipment List &amp; Usage'!$T72*('Weekly Summary'!E$64+'Weekly Summary'!E$65))-SUM($I70:I70))),0))</f>
        <v>8.9411623250425537E-2</v>
      </c>
      <c r="L70" s="1381">
        <f ca="1">MAX(IF($F70="No",('Equipment List &amp; Usage'!$O72*'Weekly Summary'!F$52)+('Equipment List &amp; Usage'!$P72*'Weekly Summary'!F$53)+('Equipment List &amp; Usage'!$Q72*('Weekly Summary'!F$52+'Weekly Summary'!F$53))+('Equipment List &amp; Usage'!$R72*'Weekly Summary'!F$64)+('Equipment List &amp; Usage'!$S72*'Weekly Summary'!F$65)+('Equipment List &amp; Usage'!$T72*('Weekly Summary'!F$64+'Weekly Summary'!F$65)),
IF(L$10=0,('Equipment List &amp; Usage'!$O72*'Weekly Summary'!F$52)+('Equipment List &amp; Usage'!$P72*'Weekly Summary'!F$53)+('Equipment List &amp; Usage'!$Q72*('Weekly Summary'!F$52+'Weekly Summary'!F$53))+('Equipment List &amp; Usage'!$R72*'Weekly Summary'!F$64)+('Equipment List &amp; Usage'!$S72*'Weekly Summary'!F$65)+('Equipment List &amp; Usage'!$T72*('Weekly Summary'!F$64+'Weekly Summary'!F$65)),
('Equipment List &amp; Usage'!$O72*'Weekly Summary'!F$52)+('Equipment List &amp; Usage'!$P72*'Weekly Summary'!F$53)+('Equipment List &amp; Usage'!$Q72*('Weekly Summary'!F$52+'Weekly Summary'!F$53))+('Equipment List &amp; Usage'!$R72*'Weekly Summary'!F$64)+('Equipment List &amp; Usage'!$S72*'Weekly Summary'!F$65)+('Equipment List &amp; Usage'!$T72*('Weekly Summary'!F$64+'Weekly Summary'!F$65))-SUM($I70:K70))),0)</f>
        <v>0.21785214683932183</v>
      </c>
      <c r="M70" s="1381">
        <f ca="1">MAX(IF($F70="No",('Equipment List &amp; Usage'!$O72*'Weekly Summary'!G$52)+('Equipment List &amp; Usage'!$P72*'Weekly Summary'!G$53)+('Equipment List &amp; Usage'!$Q72*('Weekly Summary'!G$52+'Weekly Summary'!G$53))+('Equipment List &amp; Usage'!$R72*'Weekly Summary'!G$64)+('Equipment List &amp; Usage'!$S72*'Weekly Summary'!G$65)+('Equipment List &amp; Usage'!$T72*('Weekly Summary'!G$64+'Weekly Summary'!G$65)),
IF(M$10=0,('Equipment List &amp; Usage'!$O72*'Weekly Summary'!G$52)+('Equipment List &amp; Usage'!$P72*'Weekly Summary'!G$53)+('Equipment List &amp; Usage'!$Q72*('Weekly Summary'!G$52+'Weekly Summary'!G$53))+('Equipment List &amp; Usage'!$R72*'Weekly Summary'!G$64)+('Equipment List &amp; Usage'!$S72*'Weekly Summary'!G$65)+('Equipment List &amp; Usage'!$T72*('Weekly Summary'!G$64+'Weekly Summary'!G$65)),
('Equipment List &amp; Usage'!$O72*'Weekly Summary'!G$52)+('Equipment List &amp; Usage'!$P72*'Weekly Summary'!G$53)+('Equipment List &amp; Usage'!$Q72*('Weekly Summary'!G$52+'Weekly Summary'!G$53))+('Equipment List &amp; Usage'!$R72*'Weekly Summary'!G$64)+('Equipment List &amp; Usage'!$S72*'Weekly Summary'!G$65)+('Equipment List &amp; Usage'!$T72*('Weekly Summary'!G$64+'Weekly Summary'!G$65))-SUM($I70:L70))),0)</f>
        <v>0.74864046120554395</v>
      </c>
      <c r="N70" s="1381">
        <f ca="1">MAX(IF($F70="No",('Equipment List &amp; Usage'!$O72*'Weekly Summary'!H$52)+('Equipment List &amp; Usage'!$P72*'Weekly Summary'!H$53)+('Equipment List &amp; Usage'!$Q72*('Weekly Summary'!H$52+'Weekly Summary'!H$53))+('Equipment List &amp; Usage'!$R72*'Weekly Summary'!H$64)+('Equipment List &amp; Usage'!$S72*'Weekly Summary'!H$65)+('Equipment List &amp; Usage'!$T72*('Weekly Summary'!H$64+'Weekly Summary'!H$65)),
IF(N$10=0,('Equipment List &amp; Usage'!$O72*'Weekly Summary'!H$52)+('Equipment List &amp; Usage'!$P72*'Weekly Summary'!H$53)+('Equipment List &amp; Usage'!$Q72*('Weekly Summary'!H$52+'Weekly Summary'!H$53))+('Equipment List &amp; Usage'!$R72*'Weekly Summary'!H$64)+('Equipment List &amp; Usage'!$S72*'Weekly Summary'!H$65)+('Equipment List &amp; Usage'!$T72*('Weekly Summary'!H$64+'Weekly Summary'!H$65)),
('Equipment List &amp; Usage'!$O72*'Weekly Summary'!H$52)+('Equipment List &amp; Usage'!$P72*'Weekly Summary'!H$53)+('Equipment List &amp; Usage'!$Q72*('Weekly Summary'!H$52+'Weekly Summary'!H$53))+('Equipment List &amp; Usage'!$R72*'Weekly Summary'!H$64)+('Equipment List &amp; Usage'!$S72*'Weekly Summary'!H$65)+('Equipment List &amp; Usage'!$T72*('Weekly Summary'!H$64+'Weekly Summary'!H$65))-SUM($I70:M70))),0)</f>
        <v>2.5725635520645418</v>
      </c>
      <c r="O70" s="1381">
        <f ca="1">MAX(IF($F70="No",('Equipment List &amp; Usage'!$O72*'Weekly Summary'!I$52)+('Equipment List &amp; Usage'!$P72*'Weekly Summary'!I$53)+('Equipment List &amp; Usage'!$Q72*('Weekly Summary'!I$52+'Weekly Summary'!I$53))+('Equipment List &amp; Usage'!$R72*'Weekly Summary'!I$64)+('Equipment List &amp; Usage'!$S72*'Weekly Summary'!I$65)+('Equipment List &amp; Usage'!$T72*('Weekly Summary'!I$64+'Weekly Summary'!I$65)),
IF(O$10=0,('Equipment List &amp; Usage'!$O72*'Weekly Summary'!I$52)+('Equipment List &amp; Usage'!$P72*'Weekly Summary'!I$53)+('Equipment List &amp; Usage'!$Q72*('Weekly Summary'!I$52+'Weekly Summary'!I$53))+('Equipment List &amp; Usage'!$R72*'Weekly Summary'!I$64)+('Equipment List &amp; Usage'!$S72*'Weekly Summary'!I$65)+('Equipment List &amp; Usage'!$T72*('Weekly Summary'!I$64+'Weekly Summary'!I$65)),
('Equipment List &amp; Usage'!$O72*'Weekly Summary'!I$52)+('Equipment List &amp; Usage'!$P72*'Weekly Summary'!I$53)+('Equipment List &amp; Usage'!$Q72*('Weekly Summary'!I$52+'Weekly Summary'!I$53))+('Equipment List &amp; Usage'!$R72*'Weekly Summary'!I$64)+('Equipment List &amp; Usage'!$S72*'Weekly Summary'!I$65)+('Equipment List &amp; Usage'!$T72*('Weekly Summary'!I$64+'Weekly Summary'!I$65))-SUM($I70:N70))),0)</f>
        <v>8.8388323135486129</v>
      </c>
      <c r="P70" s="1381">
        <f ca="1">MAX(IF($F70="No",('Equipment List &amp; Usage'!$O72*'Weekly Summary'!J$52)+('Equipment List &amp; Usage'!$P72*'Weekly Summary'!J$53)+('Equipment List &amp; Usage'!$Q72*('Weekly Summary'!J$52+'Weekly Summary'!J$53))+('Equipment List &amp; Usage'!$R72*'Weekly Summary'!J$64)+('Equipment List &amp; Usage'!$S72*'Weekly Summary'!J$65)+('Equipment List &amp; Usage'!$T72*('Weekly Summary'!J$64+'Weekly Summary'!J$65)),
IF(P$10=0,('Equipment List &amp; Usage'!$O72*'Weekly Summary'!J$52)+('Equipment List &amp; Usage'!$P72*'Weekly Summary'!J$53)+('Equipment List &amp; Usage'!$Q72*('Weekly Summary'!J$52+'Weekly Summary'!J$53))+('Equipment List &amp; Usage'!$R72*'Weekly Summary'!J$64)+('Equipment List &amp; Usage'!$S72*'Weekly Summary'!J$65)+('Equipment List &amp; Usage'!$T72*('Weekly Summary'!J$64+'Weekly Summary'!J$65)),
('Equipment List &amp; Usage'!$O72*'Weekly Summary'!J$52)+('Equipment List &amp; Usage'!$P72*'Weekly Summary'!J$53)+('Equipment List &amp; Usage'!$Q72*('Weekly Summary'!J$52+'Weekly Summary'!J$53))+('Equipment List &amp; Usage'!$R72*'Weekly Summary'!J$64)+('Equipment List &amp; Usage'!$S72*'Weekly Summary'!J$65)+('Equipment List &amp; Usage'!$T72*('Weekly Summary'!J$64+'Weekly Summary'!J$65))-SUM($I70:O70))),0)</f>
        <v>30.353142383292678</v>
      </c>
      <c r="Q70" s="1381">
        <f ca="1">MAX(IF($F70="No",('Equipment List &amp; Usage'!$O72*'Weekly Summary'!K$52)+('Equipment List &amp; Usage'!$P72*'Weekly Summary'!K$53)+('Equipment List &amp; Usage'!$Q72*('Weekly Summary'!K$52+'Weekly Summary'!K$53))+('Equipment List &amp; Usage'!$R72*'Weekly Summary'!K$64)+('Equipment List &amp; Usage'!$S72*'Weekly Summary'!K$65)+('Equipment List &amp; Usage'!$T72*('Weekly Summary'!K$64+'Weekly Summary'!K$65)),
IF(Q$10=0,('Equipment List &amp; Usage'!$O72*'Weekly Summary'!K$52)+('Equipment List &amp; Usage'!$P72*'Weekly Summary'!K$53)+('Equipment List &amp; Usage'!$Q72*('Weekly Summary'!K$52+'Weekly Summary'!K$53))+('Equipment List &amp; Usage'!$R72*'Weekly Summary'!K$64)+('Equipment List &amp; Usage'!$S72*'Weekly Summary'!K$65)+('Equipment List &amp; Usage'!$T72*('Weekly Summary'!K$64+'Weekly Summary'!K$65)),
('Equipment List &amp; Usage'!$O72*'Weekly Summary'!K$52)+('Equipment List &amp; Usage'!$P72*'Weekly Summary'!K$53)+('Equipment List &amp; Usage'!$Q72*('Weekly Summary'!K$52+'Weekly Summary'!K$53))+('Equipment List &amp; Usage'!$R72*'Weekly Summary'!K$64)+('Equipment List &amp; Usage'!$S72*'Weekly Summary'!K$65)+('Equipment List &amp; Usage'!$T72*('Weekly Summary'!K$64+'Weekly Summary'!K$65))-SUM($I70:P70))),0)</f>
        <v>0</v>
      </c>
      <c r="R70" s="1381">
        <f ca="1">MAX(IF($F70="No",('Equipment List &amp; Usage'!$O72*'Weekly Summary'!L$52)+('Equipment List &amp; Usage'!$P72*'Weekly Summary'!L$53)+('Equipment List &amp; Usage'!$Q72*('Weekly Summary'!L$52+'Weekly Summary'!L$53))+('Equipment List &amp; Usage'!$R72*'Weekly Summary'!L$64)+('Equipment List &amp; Usage'!$S72*'Weekly Summary'!L$65)+('Equipment List &amp; Usage'!$T72*('Weekly Summary'!L$64+'Weekly Summary'!L$65)),
IF(R$10=0,('Equipment List &amp; Usage'!$O72*'Weekly Summary'!L$52)+('Equipment List &amp; Usage'!$P72*'Weekly Summary'!L$53)+('Equipment List &amp; Usage'!$Q72*('Weekly Summary'!L$52+'Weekly Summary'!L$53))+('Equipment List &amp; Usage'!$R72*'Weekly Summary'!L$64)+('Equipment List &amp; Usage'!$S72*'Weekly Summary'!L$65)+('Equipment List &amp; Usage'!$T72*('Weekly Summary'!L$64+'Weekly Summary'!L$65)),
('Equipment List &amp; Usage'!$O72*'Weekly Summary'!L$52)+('Equipment List &amp; Usage'!$P72*'Weekly Summary'!L$53)+('Equipment List &amp; Usage'!$Q72*('Weekly Summary'!L$52+'Weekly Summary'!L$53))+('Equipment List &amp; Usage'!$R72*'Weekly Summary'!L$64)+('Equipment List &amp; Usage'!$S72*'Weekly Summary'!L$65)+('Equipment List &amp; Usage'!$T72*('Weekly Summary'!L$64+'Weekly Summary'!L$65))-SUM($I70:Q70))),0)</f>
        <v>0</v>
      </c>
      <c r="S70" s="1381">
        <f ca="1">MAX(IF($F70="No",('Equipment List &amp; Usage'!$O72*'Weekly Summary'!M$52)+('Equipment List &amp; Usage'!$P72*'Weekly Summary'!M$53)+('Equipment List &amp; Usage'!$Q72*('Weekly Summary'!M$52+'Weekly Summary'!M$53))+('Equipment List &amp; Usage'!$R72*'Weekly Summary'!M$64)+('Equipment List &amp; Usage'!$S72*'Weekly Summary'!M$65)+('Equipment List &amp; Usage'!$T72*('Weekly Summary'!M$64+'Weekly Summary'!M$65)),
IF(S$10=0,('Equipment List &amp; Usage'!$O72*'Weekly Summary'!M$52)+('Equipment List &amp; Usage'!$P72*'Weekly Summary'!M$53)+('Equipment List &amp; Usage'!$Q72*('Weekly Summary'!M$52+'Weekly Summary'!M$53))+('Equipment List &amp; Usage'!$R72*'Weekly Summary'!M$64)+('Equipment List &amp; Usage'!$S72*'Weekly Summary'!M$65)+('Equipment List &amp; Usage'!$T72*('Weekly Summary'!M$64+'Weekly Summary'!M$65)),
('Equipment List &amp; Usage'!$O72*'Weekly Summary'!M$52)+('Equipment List &amp; Usage'!$P72*'Weekly Summary'!M$53)+('Equipment List &amp; Usage'!$Q72*('Weekly Summary'!M$52+'Weekly Summary'!M$53))+('Equipment List &amp; Usage'!$R72*'Weekly Summary'!M$64)+('Equipment List &amp; Usage'!$S72*'Weekly Summary'!M$65)+('Equipment List &amp; Usage'!$T72*('Weekly Summary'!M$64+'Weekly Summary'!M$65))-SUM($I70:R70))),0)</f>
        <v>0</v>
      </c>
      <c r="T70" s="1381">
        <f ca="1">MAX(IF($F70="No",('Equipment List &amp; Usage'!$O72*'Weekly Summary'!N$52)+('Equipment List &amp; Usage'!$P72*'Weekly Summary'!N$53)+('Equipment List &amp; Usage'!$Q72*('Weekly Summary'!N$52+'Weekly Summary'!N$53))+('Equipment List &amp; Usage'!$R72*'Weekly Summary'!N$64)+('Equipment List &amp; Usage'!$S72*'Weekly Summary'!N$65)+('Equipment List &amp; Usage'!$T72*('Weekly Summary'!N$64+'Weekly Summary'!N$65)),
IF(T$10=0,('Equipment List &amp; Usage'!$O72*'Weekly Summary'!N$52)+('Equipment List &amp; Usage'!$P72*'Weekly Summary'!N$53)+('Equipment List &amp; Usage'!$Q72*('Weekly Summary'!N$52+'Weekly Summary'!N$53))+('Equipment List &amp; Usage'!$R72*'Weekly Summary'!N$64)+('Equipment List &amp; Usage'!$S72*'Weekly Summary'!N$65)+('Equipment List &amp; Usage'!$T72*('Weekly Summary'!N$64+'Weekly Summary'!N$65)),
('Equipment List &amp; Usage'!$O72*'Weekly Summary'!N$52)+('Equipment List &amp; Usage'!$P72*'Weekly Summary'!N$53)+('Equipment List &amp; Usage'!$Q72*('Weekly Summary'!N$52+'Weekly Summary'!N$53))+('Equipment List &amp; Usage'!$R72*'Weekly Summary'!N$64)+('Equipment List &amp; Usage'!$S72*'Weekly Summary'!N$65)+('Equipment List &amp; Usage'!$T72*('Weekly Summary'!N$64+'Weekly Summary'!N$65))-SUM($I70:S70))),0)</f>
        <v>0</v>
      </c>
      <c r="U70" s="1381">
        <f ca="1">MAX(IF($F70="No",('Equipment List &amp; Usage'!$O72*'Weekly Summary'!O$52)+('Equipment List &amp; Usage'!$P72*'Weekly Summary'!O$53)+('Equipment List &amp; Usage'!$Q72*('Weekly Summary'!O$52+'Weekly Summary'!O$53))+('Equipment List &amp; Usage'!$R72*'Weekly Summary'!O$64)+('Equipment List &amp; Usage'!$S72*'Weekly Summary'!O$65)+('Equipment List &amp; Usage'!$T72*('Weekly Summary'!O$64+'Weekly Summary'!O$65)),
IF(U$10=0,('Equipment List &amp; Usage'!$O72*'Weekly Summary'!O$52)+('Equipment List &amp; Usage'!$P72*'Weekly Summary'!O$53)+('Equipment List &amp; Usage'!$Q72*('Weekly Summary'!O$52+'Weekly Summary'!O$53))+('Equipment List &amp; Usage'!$R72*'Weekly Summary'!O$64)+('Equipment List &amp; Usage'!$S72*'Weekly Summary'!O$65)+('Equipment List &amp; Usage'!$T72*('Weekly Summary'!O$64+'Weekly Summary'!O$65)),
('Equipment List &amp; Usage'!$O72*'Weekly Summary'!O$52)+('Equipment List &amp; Usage'!$P72*'Weekly Summary'!O$53)+('Equipment List &amp; Usage'!$Q72*('Weekly Summary'!O$52+'Weekly Summary'!O$53))+('Equipment List &amp; Usage'!$R72*'Weekly Summary'!O$64)+('Equipment List &amp; Usage'!$S72*'Weekly Summary'!O$65)+('Equipment List &amp; Usage'!$T72*('Weekly Summary'!O$64+'Weekly Summary'!O$65))-SUM($I70:T70))),0)</f>
        <v>0</v>
      </c>
      <c r="V70" s="1381">
        <f ca="1">MAX(IF($F70="No",('Equipment List &amp; Usage'!$O72*'Weekly Summary'!P$52)+('Equipment List &amp; Usage'!$P72*'Weekly Summary'!P$53)+('Equipment List &amp; Usage'!$Q72*('Weekly Summary'!P$52+'Weekly Summary'!P$53))+('Equipment List &amp; Usage'!$R72*'Weekly Summary'!P$64)+('Equipment List &amp; Usage'!$S72*'Weekly Summary'!P$65)+('Equipment List &amp; Usage'!$T72*('Weekly Summary'!P$64+'Weekly Summary'!P$65)),
IF(V$10=0,('Equipment List &amp; Usage'!$O72*'Weekly Summary'!P$52)+('Equipment List &amp; Usage'!$P72*'Weekly Summary'!P$53)+('Equipment List &amp; Usage'!$Q72*('Weekly Summary'!P$52+'Weekly Summary'!P$53))+('Equipment List &amp; Usage'!$R72*'Weekly Summary'!P$64)+('Equipment List &amp; Usage'!$S72*'Weekly Summary'!P$65)+('Equipment List &amp; Usage'!$T72*('Weekly Summary'!P$64+'Weekly Summary'!P$65)),
('Equipment List &amp; Usage'!$O72*'Weekly Summary'!P$52)+('Equipment List &amp; Usage'!$P72*'Weekly Summary'!P$53)+('Equipment List &amp; Usage'!$Q72*('Weekly Summary'!P$52+'Weekly Summary'!P$53))+('Equipment List &amp; Usage'!$R72*'Weekly Summary'!P$64)+('Equipment List &amp; Usage'!$S72*'Weekly Summary'!P$65)+('Equipment List &amp; Usage'!$T72*('Weekly Summary'!P$64+'Weekly Summary'!P$65))-SUM($I70:U70))),0)</f>
        <v>0</v>
      </c>
      <c r="W70" s="1381">
        <f ca="1">MAX(IF($F70="No",('Equipment List &amp; Usage'!$O72*'Weekly Summary'!Q$52)+('Equipment List &amp; Usage'!$P72*'Weekly Summary'!Q$53)+('Equipment List &amp; Usage'!$Q72*('Weekly Summary'!Q$52+'Weekly Summary'!Q$53))+('Equipment List &amp; Usage'!$R72*'Weekly Summary'!Q$64)+('Equipment List &amp; Usage'!$S72*'Weekly Summary'!Q$65)+('Equipment List &amp; Usage'!$T72*('Weekly Summary'!Q$64+'Weekly Summary'!Q$65)),
IF(W$10=0,('Equipment List &amp; Usage'!$O72*'Weekly Summary'!Q$52)+('Equipment List &amp; Usage'!$P72*'Weekly Summary'!Q$53)+('Equipment List &amp; Usage'!$Q72*('Weekly Summary'!Q$52+'Weekly Summary'!Q$53))+('Equipment List &amp; Usage'!$R72*'Weekly Summary'!Q$64)+('Equipment List &amp; Usage'!$S72*'Weekly Summary'!Q$65)+('Equipment List &amp; Usage'!$T72*('Weekly Summary'!Q$64+'Weekly Summary'!Q$65)),
('Equipment List &amp; Usage'!$O72*'Weekly Summary'!Q$52)+('Equipment List &amp; Usage'!$P72*'Weekly Summary'!Q$53)+('Equipment List &amp; Usage'!$Q72*('Weekly Summary'!Q$52+'Weekly Summary'!Q$53))+('Equipment List &amp; Usage'!$R72*'Weekly Summary'!Q$64)+('Equipment List &amp; Usage'!$S72*'Weekly Summary'!Q$65)+('Equipment List &amp; Usage'!$T72*('Weekly Summary'!Q$64+'Weekly Summary'!Q$65))-SUM($I70:V70))),0)</f>
        <v>0</v>
      </c>
      <c r="X70" s="1381">
        <f ca="1">MAX(IF($F70="No",('Equipment List &amp; Usage'!$O72*'Weekly Summary'!R$52)+('Equipment List &amp; Usage'!$P72*'Weekly Summary'!R$53)+('Equipment List &amp; Usage'!$Q72*('Weekly Summary'!R$52+'Weekly Summary'!R$53))+('Equipment List &amp; Usage'!$R72*'Weekly Summary'!R$64)+('Equipment List &amp; Usage'!$S72*'Weekly Summary'!R$65)+('Equipment List &amp; Usage'!$T72*('Weekly Summary'!R$64+'Weekly Summary'!R$65)),
IF(X$10=0,('Equipment List &amp; Usage'!$O72*'Weekly Summary'!R$52)+('Equipment List &amp; Usage'!$P72*'Weekly Summary'!R$53)+('Equipment List &amp; Usage'!$Q72*('Weekly Summary'!R$52+'Weekly Summary'!R$53))+('Equipment List &amp; Usage'!$R72*'Weekly Summary'!R$64)+('Equipment List &amp; Usage'!$S72*'Weekly Summary'!R$65)+('Equipment List &amp; Usage'!$T72*('Weekly Summary'!R$64+'Weekly Summary'!R$65)),
('Equipment List &amp; Usage'!$O72*'Weekly Summary'!R$52)+('Equipment List &amp; Usage'!$P72*'Weekly Summary'!R$53)+('Equipment List &amp; Usage'!$Q72*('Weekly Summary'!R$52+'Weekly Summary'!R$53))+('Equipment List &amp; Usage'!$R72*'Weekly Summary'!R$64)+('Equipment List &amp; Usage'!$S72*'Weekly Summary'!R$65)+('Equipment List &amp; Usage'!$T72*('Weekly Summary'!R$64+'Weekly Summary'!R$65))-SUM($I70:W70))),0)</f>
        <v>0</v>
      </c>
      <c r="Y70" s="1381">
        <f ca="1">MAX(IF($F70="No",('Equipment List &amp; Usage'!$O72*'Weekly Summary'!S$52)+('Equipment List &amp; Usage'!$P72*'Weekly Summary'!S$53)+('Equipment List &amp; Usage'!$Q72*('Weekly Summary'!S$52+'Weekly Summary'!S$53))+('Equipment List &amp; Usage'!$R72*'Weekly Summary'!S$64)+('Equipment List &amp; Usage'!$S72*'Weekly Summary'!S$65)+('Equipment List &amp; Usage'!$T72*('Weekly Summary'!S$64+'Weekly Summary'!S$65)),
IF(Y$10=0,('Equipment List &amp; Usage'!$O72*'Weekly Summary'!S$52)+('Equipment List &amp; Usage'!$P72*'Weekly Summary'!S$53)+('Equipment List &amp; Usage'!$Q72*('Weekly Summary'!S$52+'Weekly Summary'!S$53))+('Equipment List &amp; Usage'!$R72*'Weekly Summary'!S$64)+('Equipment List &amp; Usage'!$S72*'Weekly Summary'!S$65)+('Equipment List &amp; Usage'!$T72*('Weekly Summary'!S$64+'Weekly Summary'!S$65)),
('Equipment List &amp; Usage'!$O72*'Weekly Summary'!S$52)+('Equipment List &amp; Usage'!$P72*'Weekly Summary'!S$53)+('Equipment List &amp; Usage'!$Q72*('Weekly Summary'!S$52+'Weekly Summary'!S$53))+('Equipment List &amp; Usage'!$R72*'Weekly Summary'!S$64)+('Equipment List &amp; Usage'!$S72*'Weekly Summary'!S$65)+('Equipment List &amp; Usage'!$T72*('Weekly Summary'!S$64+'Weekly Summary'!S$65))-SUM($I70:X70))),0)</f>
        <v>0</v>
      </c>
      <c r="Z70" s="1381">
        <f ca="1">MAX(IF($F70="No",('Equipment List &amp; Usage'!$O72*'Weekly Summary'!T$52)+('Equipment List &amp; Usage'!$P72*'Weekly Summary'!T$53)+('Equipment List &amp; Usage'!$Q72*('Weekly Summary'!T$52+'Weekly Summary'!T$53))+('Equipment List &amp; Usage'!$R72*'Weekly Summary'!T$64)+('Equipment List &amp; Usage'!$S72*'Weekly Summary'!T$65)+('Equipment List &amp; Usage'!$T72*('Weekly Summary'!T$64+'Weekly Summary'!T$65)),
IF(Z$10=0,('Equipment List &amp; Usage'!$O72*'Weekly Summary'!T$52)+('Equipment List &amp; Usage'!$P72*'Weekly Summary'!T$53)+('Equipment List &amp; Usage'!$Q72*('Weekly Summary'!T$52+'Weekly Summary'!T$53))+('Equipment List &amp; Usage'!$R72*'Weekly Summary'!T$64)+('Equipment List &amp; Usage'!$S72*'Weekly Summary'!T$65)+('Equipment List &amp; Usage'!$T72*('Weekly Summary'!T$64+'Weekly Summary'!T$65)),
('Equipment List &amp; Usage'!$O72*'Weekly Summary'!T$52)+('Equipment List &amp; Usage'!$P72*'Weekly Summary'!T$53)+('Equipment List &amp; Usage'!$Q72*('Weekly Summary'!T$52+'Weekly Summary'!T$53))+('Equipment List &amp; Usage'!$R72*'Weekly Summary'!T$64)+('Equipment List &amp; Usage'!$S72*'Weekly Summary'!T$65)+('Equipment List &amp; Usage'!$T72*('Weekly Summary'!T$64+'Weekly Summary'!T$65))-SUM($I70:Y70))),0)</f>
        <v>0</v>
      </c>
      <c r="AA70" s="1381">
        <f ca="1">MAX(IF($F70="No",('Equipment List &amp; Usage'!$O72*'Weekly Summary'!U$52)+('Equipment List &amp; Usage'!$P72*'Weekly Summary'!U$53)+('Equipment List &amp; Usage'!$Q72*('Weekly Summary'!U$52+'Weekly Summary'!U$53))+('Equipment List &amp; Usage'!$R72*'Weekly Summary'!U$64)+('Equipment List &amp; Usage'!$S72*'Weekly Summary'!U$65)+('Equipment List &amp; Usage'!$T72*('Weekly Summary'!U$64+'Weekly Summary'!U$65)),
IF(AA$10=0,('Equipment List &amp; Usage'!$O72*'Weekly Summary'!U$52)+('Equipment List &amp; Usage'!$P72*'Weekly Summary'!U$53)+('Equipment List &amp; Usage'!$Q72*('Weekly Summary'!U$52+'Weekly Summary'!U$53))+('Equipment List &amp; Usage'!$R72*'Weekly Summary'!U$64)+('Equipment List &amp; Usage'!$S72*'Weekly Summary'!U$65)+('Equipment List &amp; Usage'!$T72*('Weekly Summary'!U$64+'Weekly Summary'!U$65)),
('Equipment List &amp; Usage'!$O72*'Weekly Summary'!U$52)+('Equipment List &amp; Usage'!$P72*'Weekly Summary'!U$53)+('Equipment List &amp; Usage'!$Q72*('Weekly Summary'!U$52+'Weekly Summary'!U$53))+('Equipment List &amp; Usage'!$R72*'Weekly Summary'!U$64)+('Equipment List &amp; Usage'!$S72*'Weekly Summary'!U$65)+('Equipment List &amp; Usage'!$T72*('Weekly Summary'!U$64+'Weekly Summary'!U$65))-SUM($I70:Z70))),0)</f>
        <v>0</v>
      </c>
      <c r="AB70" s="1381">
        <f ca="1">MAX(IF($F70="No",('Equipment List &amp; Usage'!$O72*'Weekly Summary'!V$52)+('Equipment List &amp; Usage'!$P72*'Weekly Summary'!V$53)+('Equipment List &amp; Usage'!$Q72*('Weekly Summary'!V$52+'Weekly Summary'!V$53))+('Equipment List &amp; Usage'!$R72*'Weekly Summary'!V$64)+('Equipment List &amp; Usage'!$S72*'Weekly Summary'!V$65)+('Equipment List &amp; Usage'!$T72*('Weekly Summary'!V$64+'Weekly Summary'!V$65)),
IF(AB$10=0,('Equipment List &amp; Usage'!$O72*'Weekly Summary'!V$52)+('Equipment List &amp; Usage'!$P72*'Weekly Summary'!V$53)+('Equipment List &amp; Usage'!$Q72*('Weekly Summary'!V$52+'Weekly Summary'!V$53))+('Equipment List &amp; Usage'!$R72*'Weekly Summary'!V$64)+('Equipment List &amp; Usage'!$S72*'Weekly Summary'!V$65)+('Equipment List &amp; Usage'!$T72*('Weekly Summary'!V$64+'Weekly Summary'!V$65)),
('Equipment List &amp; Usage'!$O72*'Weekly Summary'!V$52)+('Equipment List &amp; Usage'!$P72*'Weekly Summary'!V$53)+('Equipment List &amp; Usage'!$Q72*('Weekly Summary'!V$52+'Weekly Summary'!V$53))+('Equipment List &amp; Usage'!$R72*'Weekly Summary'!V$64)+('Equipment List &amp; Usage'!$S72*'Weekly Summary'!V$65)+('Equipment List &amp; Usage'!$T72*('Weekly Summary'!V$64+'Weekly Summary'!V$65))-SUM($I70:AA70))),0)</f>
        <v>0</v>
      </c>
      <c r="AC70" s="1381">
        <f ca="1">MAX(IF($F70="No",('Equipment List &amp; Usage'!$O72*'Weekly Summary'!W$52)+('Equipment List &amp; Usage'!$P72*'Weekly Summary'!W$53)+('Equipment List &amp; Usage'!$Q72*('Weekly Summary'!W$52+'Weekly Summary'!W$53))+('Equipment List &amp; Usage'!$R72*'Weekly Summary'!W$64)+('Equipment List &amp; Usage'!$S72*'Weekly Summary'!W$65)+('Equipment List &amp; Usage'!$T72*('Weekly Summary'!W$64+'Weekly Summary'!W$65)),
IF(AC$10=0,('Equipment List &amp; Usage'!$O72*'Weekly Summary'!W$52)+('Equipment List &amp; Usage'!$P72*'Weekly Summary'!W$53)+('Equipment List &amp; Usage'!$Q72*('Weekly Summary'!W$52+'Weekly Summary'!W$53))+('Equipment List &amp; Usage'!$R72*'Weekly Summary'!W$64)+('Equipment List &amp; Usage'!$S72*'Weekly Summary'!W$65)+('Equipment List &amp; Usage'!$T72*('Weekly Summary'!W$64+'Weekly Summary'!W$65)),
('Equipment List &amp; Usage'!$O72*'Weekly Summary'!W$52)+('Equipment List &amp; Usage'!$P72*'Weekly Summary'!W$53)+('Equipment List &amp; Usage'!$Q72*('Weekly Summary'!W$52+'Weekly Summary'!W$53))+('Equipment List &amp; Usage'!$R72*'Weekly Summary'!W$64)+('Equipment List &amp; Usage'!$S72*'Weekly Summary'!W$65)+('Equipment List &amp; Usage'!$T72*('Weekly Summary'!W$64+'Weekly Summary'!W$65))-SUM($I70:AB70))),0)</f>
        <v>0</v>
      </c>
      <c r="AD70" s="1381">
        <f ca="1">MAX(IF($F70="No",('Equipment List &amp; Usage'!$O72*'Weekly Summary'!X$52)+('Equipment List &amp; Usage'!$P72*'Weekly Summary'!X$53)+('Equipment List &amp; Usage'!$Q72*('Weekly Summary'!X$52+'Weekly Summary'!X$53))+('Equipment List &amp; Usage'!$R72*'Weekly Summary'!X$64)+('Equipment List &amp; Usage'!$S72*'Weekly Summary'!X$65)+('Equipment List &amp; Usage'!$T72*('Weekly Summary'!X$64+'Weekly Summary'!X$65)),
IF(AD$10=0,('Equipment List &amp; Usage'!$O72*'Weekly Summary'!X$52)+('Equipment List &amp; Usage'!$P72*'Weekly Summary'!X$53)+('Equipment List &amp; Usage'!$Q72*('Weekly Summary'!X$52+'Weekly Summary'!X$53))+('Equipment List &amp; Usage'!$R72*'Weekly Summary'!X$64)+('Equipment List &amp; Usage'!$S72*'Weekly Summary'!X$65)+('Equipment List &amp; Usage'!$T72*('Weekly Summary'!X$64+'Weekly Summary'!X$65)),
('Equipment List &amp; Usage'!$O72*'Weekly Summary'!X$52)+('Equipment List &amp; Usage'!$P72*'Weekly Summary'!X$53)+('Equipment List &amp; Usage'!$Q72*('Weekly Summary'!X$52+'Weekly Summary'!X$53))+('Equipment List &amp; Usage'!$R72*'Weekly Summary'!X$64)+('Equipment List &amp; Usage'!$S72*'Weekly Summary'!X$65)+('Equipment List &amp; Usage'!$T72*('Weekly Summary'!X$64+'Weekly Summary'!X$65))-SUM($I70:AC70))),0)</f>
        <v>0</v>
      </c>
      <c r="AE70" s="1381">
        <f ca="1">MAX(IF($F70="No",('Equipment List &amp; Usage'!$O72*'Weekly Summary'!Y$52)+('Equipment List &amp; Usage'!$P72*'Weekly Summary'!Y$53)+('Equipment List &amp; Usage'!$Q72*('Weekly Summary'!Y$52+'Weekly Summary'!Y$53))+('Equipment List &amp; Usage'!$R72*'Weekly Summary'!Y$64)+('Equipment List &amp; Usage'!$S72*'Weekly Summary'!Y$65)+('Equipment List &amp; Usage'!$T72*('Weekly Summary'!Y$64+'Weekly Summary'!Y$65)),
IF(AE$10=0,('Equipment List &amp; Usage'!$O72*'Weekly Summary'!Y$52)+('Equipment List &amp; Usage'!$P72*'Weekly Summary'!Y$53)+('Equipment List &amp; Usage'!$Q72*('Weekly Summary'!Y$52+'Weekly Summary'!Y$53))+('Equipment List &amp; Usage'!$R72*'Weekly Summary'!Y$64)+('Equipment List &amp; Usage'!$S72*'Weekly Summary'!Y$65)+('Equipment List &amp; Usage'!$T72*('Weekly Summary'!Y$64+'Weekly Summary'!Y$65)),
('Equipment List &amp; Usage'!$O72*'Weekly Summary'!Y$52)+('Equipment List &amp; Usage'!$P72*'Weekly Summary'!Y$53)+('Equipment List &amp; Usage'!$Q72*('Weekly Summary'!Y$52+'Weekly Summary'!Y$53))+('Equipment List &amp; Usage'!$R72*'Weekly Summary'!Y$64)+('Equipment List &amp; Usage'!$S72*'Weekly Summary'!Y$65)+('Equipment List &amp; Usage'!$T72*('Weekly Summary'!Y$64+'Weekly Summary'!Y$65))-SUM($I70:AD70))),0)</f>
        <v>0</v>
      </c>
      <c r="AF70" s="1381">
        <f ca="1">MAX(IF($F70="No",('Equipment List &amp; Usage'!$O72*'Weekly Summary'!Z$52)+('Equipment List &amp; Usage'!$P72*'Weekly Summary'!Z$53)+('Equipment List &amp; Usage'!$Q72*('Weekly Summary'!Z$52+'Weekly Summary'!Z$53))+('Equipment List &amp; Usage'!$R72*'Weekly Summary'!Z$64)+('Equipment List &amp; Usage'!$S72*'Weekly Summary'!Z$65)+('Equipment List &amp; Usage'!$T72*('Weekly Summary'!Z$64+'Weekly Summary'!Z$65)),
IF(AF$10=0,('Equipment List &amp; Usage'!$O72*'Weekly Summary'!Z$52)+('Equipment List &amp; Usage'!$P72*'Weekly Summary'!Z$53)+('Equipment List &amp; Usage'!$Q72*('Weekly Summary'!Z$52+'Weekly Summary'!Z$53))+('Equipment List &amp; Usage'!$R72*'Weekly Summary'!Z$64)+('Equipment List &amp; Usage'!$S72*'Weekly Summary'!Z$65)+('Equipment List &amp; Usage'!$T72*('Weekly Summary'!Z$64+'Weekly Summary'!Z$65)),
('Equipment List &amp; Usage'!$O72*'Weekly Summary'!Z$52)+('Equipment List &amp; Usage'!$P72*'Weekly Summary'!Z$53)+('Equipment List &amp; Usage'!$Q72*('Weekly Summary'!Z$52+'Weekly Summary'!Z$53))+('Equipment List &amp; Usage'!$R72*'Weekly Summary'!Z$64)+('Equipment List &amp; Usage'!$S72*'Weekly Summary'!Z$65)+('Equipment List &amp; Usage'!$T72*('Weekly Summary'!Z$64+'Weekly Summary'!Z$65))-SUM($I70:AE70))),0)</f>
        <v>0</v>
      </c>
      <c r="AG70" s="1381">
        <f ca="1">MAX(IF($F70="No",('Equipment List &amp; Usage'!$O72*'Weekly Summary'!AA$52)+('Equipment List &amp; Usage'!$P72*'Weekly Summary'!AA$53)+('Equipment List &amp; Usage'!$Q72*('Weekly Summary'!AA$52+'Weekly Summary'!AA$53))+('Equipment List &amp; Usage'!$R72*'Weekly Summary'!AA$64)+('Equipment List &amp; Usage'!$S72*'Weekly Summary'!AA$65)+('Equipment List &amp; Usage'!$T72*('Weekly Summary'!AA$64+'Weekly Summary'!AA$65)),
IF(AG$10=0,('Equipment List &amp; Usage'!$O72*'Weekly Summary'!AA$52)+('Equipment List &amp; Usage'!$P72*'Weekly Summary'!AA$53)+('Equipment List &amp; Usage'!$Q72*('Weekly Summary'!AA$52+'Weekly Summary'!AA$53))+('Equipment List &amp; Usage'!$R72*'Weekly Summary'!AA$64)+('Equipment List &amp; Usage'!$S72*'Weekly Summary'!AA$65)+('Equipment List &amp; Usage'!$T72*('Weekly Summary'!AA$64+'Weekly Summary'!AA$65)),
('Equipment List &amp; Usage'!$O72*'Weekly Summary'!AA$52)+('Equipment List &amp; Usage'!$P72*'Weekly Summary'!AA$53)+('Equipment List &amp; Usage'!$Q72*('Weekly Summary'!AA$52+'Weekly Summary'!AA$53))+('Equipment List &amp; Usage'!$R72*'Weekly Summary'!AA$64)+('Equipment List &amp; Usage'!$S72*'Weekly Summary'!AA$65)+('Equipment List &amp; Usage'!$T72*('Weekly Summary'!AA$64+'Weekly Summary'!AA$65))-SUM($I70:AF70))),0)</f>
        <v>0</v>
      </c>
      <c r="AH70" s="1381">
        <f ca="1">MAX(IF($F70="No",('Equipment List &amp; Usage'!$O72*'Weekly Summary'!AB$52)+('Equipment List &amp; Usage'!$P72*'Weekly Summary'!AB$53)+('Equipment List &amp; Usage'!$Q72*('Weekly Summary'!AB$52+'Weekly Summary'!AB$53))+('Equipment List &amp; Usage'!$R72*'Weekly Summary'!AB$64)+('Equipment List &amp; Usage'!$S72*'Weekly Summary'!AB$65)+('Equipment List &amp; Usage'!$T72*('Weekly Summary'!AB$64+'Weekly Summary'!AB$65)),
IF(AH$10=0,('Equipment List &amp; Usage'!$O72*'Weekly Summary'!AB$52)+('Equipment List &amp; Usage'!$P72*'Weekly Summary'!AB$53)+('Equipment List &amp; Usage'!$Q72*('Weekly Summary'!AB$52+'Weekly Summary'!AB$53))+('Equipment List &amp; Usage'!$R72*'Weekly Summary'!AB$64)+('Equipment List &amp; Usage'!$S72*'Weekly Summary'!AB$65)+('Equipment List &amp; Usage'!$T72*('Weekly Summary'!AB$64+'Weekly Summary'!AB$65)),
('Equipment List &amp; Usage'!$O72*'Weekly Summary'!AB$52)+('Equipment List &amp; Usage'!$P72*'Weekly Summary'!AB$53)+('Equipment List &amp; Usage'!$Q72*('Weekly Summary'!AB$52+'Weekly Summary'!AB$53))+('Equipment List &amp; Usage'!$R72*'Weekly Summary'!AB$64)+('Equipment List &amp; Usage'!$S72*'Weekly Summary'!AB$65)+('Equipment List &amp; Usage'!$T72*('Weekly Summary'!AB$64+'Weekly Summary'!AB$65))-SUM($I70:AG70))),0)</f>
        <v>0</v>
      </c>
      <c r="AI70" s="1381">
        <f ca="1">MAX(IF($F70="No",('Equipment List &amp; Usage'!$O72*'Weekly Summary'!AC$52)+('Equipment List &amp; Usage'!$P72*'Weekly Summary'!AC$53)+('Equipment List &amp; Usage'!$Q72*('Weekly Summary'!AC$52+'Weekly Summary'!AC$53))+('Equipment List &amp; Usage'!$R72*'Weekly Summary'!AC$64)+('Equipment List &amp; Usage'!$S72*'Weekly Summary'!AC$65)+('Equipment List &amp; Usage'!$T72*('Weekly Summary'!AC$64+'Weekly Summary'!AC$65)),
IF(AI$10=0,('Equipment List &amp; Usage'!$O72*'Weekly Summary'!AC$52)+('Equipment List &amp; Usage'!$P72*'Weekly Summary'!AC$53)+('Equipment List &amp; Usage'!$Q72*('Weekly Summary'!AC$52+'Weekly Summary'!AC$53))+('Equipment List &amp; Usage'!$R72*'Weekly Summary'!AC$64)+('Equipment List &amp; Usage'!$S72*'Weekly Summary'!AC$65)+('Equipment List &amp; Usage'!$T72*('Weekly Summary'!AC$64+'Weekly Summary'!AC$65)),
('Equipment List &amp; Usage'!$O72*'Weekly Summary'!AC$52)+('Equipment List &amp; Usage'!$P72*'Weekly Summary'!AC$53)+('Equipment List &amp; Usage'!$Q72*('Weekly Summary'!AC$52+'Weekly Summary'!AC$53))+('Equipment List &amp; Usage'!$R72*'Weekly Summary'!AC$64)+('Equipment List &amp; Usage'!$S72*'Weekly Summary'!AC$65)+('Equipment List &amp; Usage'!$T72*('Weekly Summary'!AC$64+'Weekly Summary'!AC$65))-SUM($I70:AH70))),0)</f>
        <v>0</v>
      </c>
      <c r="AJ70" s="1381">
        <f ca="1">MAX(IF($F70="No",('Equipment List &amp; Usage'!$O72*'Weekly Summary'!AD$52)+('Equipment List &amp; Usage'!$P72*'Weekly Summary'!AD$53)+('Equipment List &amp; Usage'!$Q72*('Weekly Summary'!AD$52+'Weekly Summary'!AD$53))+('Equipment List &amp; Usage'!$R72*'Weekly Summary'!AD$64)+('Equipment List &amp; Usage'!$S72*'Weekly Summary'!AD$65)+('Equipment List &amp; Usage'!$T72*('Weekly Summary'!AD$64+'Weekly Summary'!AD$65)),
IF(AJ$10=0,('Equipment List &amp; Usage'!$O72*'Weekly Summary'!AD$52)+('Equipment List &amp; Usage'!$P72*'Weekly Summary'!AD$53)+('Equipment List &amp; Usage'!$Q72*('Weekly Summary'!AD$52+'Weekly Summary'!AD$53))+('Equipment List &amp; Usage'!$R72*'Weekly Summary'!AD$64)+('Equipment List &amp; Usage'!$S72*'Weekly Summary'!AD$65)+('Equipment List &amp; Usage'!$T72*('Weekly Summary'!AD$64+'Weekly Summary'!AD$65)),
('Equipment List &amp; Usage'!$O72*'Weekly Summary'!AD$52)+('Equipment List &amp; Usage'!$P72*'Weekly Summary'!AD$53)+('Equipment List &amp; Usage'!$Q72*('Weekly Summary'!AD$52+'Weekly Summary'!AD$53))+('Equipment List &amp; Usage'!$R72*'Weekly Summary'!AD$64)+('Equipment List &amp; Usage'!$S72*'Weekly Summary'!AD$65)+('Equipment List &amp; Usage'!$T72*('Weekly Summary'!AD$64+'Weekly Summary'!AD$65))-SUM($I70:AI70))),0)</f>
        <v>0</v>
      </c>
      <c r="AK70" s="1381">
        <f ca="1">MAX(IF($F70="No",('Equipment List &amp; Usage'!$O72*'Weekly Summary'!AE$52)+('Equipment List &amp; Usage'!$P72*'Weekly Summary'!AE$53)+('Equipment List &amp; Usage'!$Q72*('Weekly Summary'!AE$52+'Weekly Summary'!AE$53))+('Equipment List &amp; Usage'!$R72*'Weekly Summary'!AE$64)+('Equipment List &amp; Usage'!$S72*'Weekly Summary'!AE$65)+('Equipment List &amp; Usage'!$T72*('Weekly Summary'!AE$64+'Weekly Summary'!AE$65)),
IF(AK$10=0,('Equipment List &amp; Usage'!$O72*'Weekly Summary'!AE$52)+('Equipment List &amp; Usage'!$P72*'Weekly Summary'!AE$53)+('Equipment List &amp; Usage'!$Q72*('Weekly Summary'!AE$52+'Weekly Summary'!AE$53))+('Equipment List &amp; Usage'!$R72*'Weekly Summary'!AE$64)+('Equipment List &amp; Usage'!$S72*'Weekly Summary'!AE$65)+('Equipment List &amp; Usage'!$T72*('Weekly Summary'!AE$64+'Weekly Summary'!AE$65)),
('Equipment List &amp; Usage'!$O72*'Weekly Summary'!AE$52)+('Equipment List &amp; Usage'!$P72*'Weekly Summary'!AE$53)+('Equipment List &amp; Usage'!$Q72*('Weekly Summary'!AE$52+'Weekly Summary'!AE$53))+('Equipment List &amp; Usage'!$R72*'Weekly Summary'!AE$64)+('Equipment List &amp; Usage'!$S72*'Weekly Summary'!AE$65)+('Equipment List &amp; Usage'!$T72*('Weekly Summary'!AE$64+'Weekly Summary'!AE$65))-SUM($I70:AJ70))),0)</f>
        <v>0</v>
      </c>
      <c r="AL70" s="1381">
        <f ca="1">MAX(IF($F70="No",('Equipment List &amp; Usage'!$O72*'Weekly Summary'!AF$52)+('Equipment List &amp; Usage'!$P72*'Weekly Summary'!AF$53)+('Equipment List &amp; Usage'!$Q72*('Weekly Summary'!AF$52+'Weekly Summary'!AF$53))+('Equipment List &amp; Usage'!$R72*'Weekly Summary'!AF$64)+('Equipment List &amp; Usage'!$S72*'Weekly Summary'!AF$65)+('Equipment List &amp; Usage'!$T72*('Weekly Summary'!AF$64+'Weekly Summary'!AF$65)),
IF(AL$10=0,('Equipment List &amp; Usage'!$O72*'Weekly Summary'!AF$52)+('Equipment List &amp; Usage'!$P72*'Weekly Summary'!AF$53)+('Equipment List &amp; Usage'!$Q72*('Weekly Summary'!AF$52+'Weekly Summary'!AF$53))+('Equipment List &amp; Usage'!$R72*'Weekly Summary'!AF$64)+('Equipment List &amp; Usage'!$S72*'Weekly Summary'!AF$65)+('Equipment List &amp; Usage'!$T72*('Weekly Summary'!AF$64+'Weekly Summary'!AF$65)),
('Equipment List &amp; Usage'!$O72*'Weekly Summary'!AF$52)+('Equipment List &amp; Usage'!$P72*'Weekly Summary'!AF$53)+('Equipment List &amp; Usage'!$Q72*('Weekly Summary'!AF$52+'Weekly Summary'!AF$53))+('Equipment List &amp; Usage'!$R72*'Weekly Summary'!AF$64)+('Equipment List &amp; Usage'!$S72*'Weekly Summary'!AF$65)+('Equipment List &amp; Usage'!$T72*('Weekly Summary'!AF$64+'Weekly Summary'!AF$65))-SUM($I70:AK70))),0)</f>
        <v>0</v>
      </c>
      <c r="AM70" s="1381">
        <f ca="1">MAX(IF($F70="No",('Equipment List &amp; Usage'!$O72*'Weekly Summary'!AG$52)+('Equipment List &amp; Usage'!$P72*'Weekly Summary'!AG$53)+('Equipment List &amp; Usage'!$Q72*('Weekly Summary'!AG$52+'Weekly Summary'!AG$53))+('Equipment List &amp; Usage'!$R72*'Weekly Summary'!AG$64)+('Equipment List &amp; Usage'!$S72*'Weekly Summary'!AG$65)+('Equipment List &amp; Usage'!$T72*('Weekly Summary'!AG$64+'Weekly Summary'!AG$65)),
IF(AM$10=0,('Equipment List &amp; Usage'!$O72*'Weekly Summary'!AG$52)+('Equipment List &amp; Usage'!$P72*'Weekly Summary'!AG$53)+('Equipment List &amp; Usage'!$Q72*('Weekly Summary'!AG$52+'Weekly Summary'!AG$53))+('Equipment List &amp; Usage'!$R72*'Weekly Summary'!AG$64)+('Equipment List &amp; Usage'!$S72*'Weekly Summary'!AG$65)+('Equipment List &amp; Usage'!$T72*('Weekly Summary'!AG$64+'Weekly Summary'!AG$65)),
('Equipment List &amp; Usage'!$O72*'Weekly Summary'!AG$52)+('Equipment List &amp; Usage'!$P72*'Weekly Summary'!AG$53)+('Equipment List &amp; Usage'!$Q72*('Weekly Summary'!AG$52+'Weekly Summary'!AG$53))+('Equipment List &amp; Usage'!$R72*'Weekly Summary'!AG$64)+('Equipment List &amp; Usage'!$S72*'Weekly Summary'!AG$65)+('Equipment List &amp; Usage'!$T72*('Weekly Summary'!AG$64+'Weekly Summary'!AG$65))-SUM($I70:AL70))),0)</f>
        <v>0</v>
      </c>
      <c r="AN70" s="1381">
        <f ca="1">MAX(IF($F70="No",('Equipment List &amp; Usage'!$O72*'Weekly Summary'!AH$52)+('Equipment List &amp; Usage'!$P72*'Weekly Summary'!AH$53)+('Equipment List &amp; Usage'!$Q72*('Weekly Summary'!AH$52+'Weekly Summary'!AH$53))+('Equipment List &amp; Usage'!$R72*'Weekly Summary'!AH$64)+('Equipment List &amp; Usage'!$S72*'Weekly Summary'!AH$65)+('Equipment List &amp; Usage'!$T72*('Weekly Summary'!AH$64+'Weekly Summary'!AH$65)),
IF(AN$10=0,('Equipment List &amp; Usage'!$O72*'Weekly Summary'!AH$52)+('Equipment List &amp; Usage'!$P72*'Weekly Summary'!AH$53)+('Equipment List &amp; Usage'!$Q72*('Weekly Summary'!AH$52+'Weekly Summary'!AH$53))+('Equipment List &amp; Usage'!$R72*'Weekly Summary'!AH$64)+('Equipment List &amp; Usage'!$S72*'Weekly Summary'!AH$65)+('Equipment List &amp; Usage'!$T72*('Weekly Summary'!AH$64+'Weekly Summary'!AH$65)),
('Equipment List &amp; Usage'!$O72*'Weekly Summary'!AH$52)+('Equipment List &amp; Usage'!$P72*'Weekly Summary'!AH$53)+('Equipment List &amp; Usage'!$Q72*('Weekly Summary'!AH$52+'Weekly Summary'!AH$53))+('Equipment List &amp; Usage'!$R72*'Weekly Summary'!AH$64)+('Equipment List &amp; Usage'!$S72*'Weekly Summary'!AH$65)+('Equipment List &amp; Usage'!$T72*('Weekly Summary'!AH$64+'Weekly Summary'!AH$65))-SUM($I70:AM70))),0)</f>
        <v>0</v>
      </c>
      <c r="AO70" s="1381">
        <f ca="1">MAX(IF($F70="No",('Equipment List &amp; Usage'!$O72*'Weekly Summary'!AI$52)+('Equipment List &amp; Usage'!$P72*'Weekly Summary'!AI$53)+('Equipment List &amp; Usage'!$Q72*('Weekly Summary'!AI$52+'Weekly Summary'!AI$53))+('Equipment List &amp; Usage'!$R72*'Weekly Summary'!AI$64)+('Equipment List &amp; Usage'!$S72*'Weekly Summary'!AI$65)+('Equipment List &amp; Usage'!$T72*('Weekly Summary'!AI$64+'Weekly Summary'!AI$65)),
IF(AO$10=0,('Equipment List &amp; Usage'!$O72*'Weekly Summary'!AI$52)+('Equipment List &amp; Usage'!$P72*'Weekly Summary'!AI$53)+('Equipment List &amp; Usage'!$Q72*('Weekly Summary'!AI$52+'Weekly Summary'!AI$53))+('Equipment List &amp; Usage'!$R72*'Weekly Summary'!AI$64)+('Equipment List &amp; Usage'!$S72*'Weekly Summary'!AI$65)+('Equipment List &amp; Usage'!$T72*('Weekly Summary'!AI$64+'Weekly Summary'!AI$65)),
('Equipment List &amp; Usage'!$O72*'Weekly Summary'!AI$52)+('Equipment List &amp; Usage'!$P72*'Weekly Summary'!AI$53)+('Equipment List &amp; Usage'!$Q72*('Weekly Summary'!AI$52+'Weekly Summary'!AI$53))+('Equipment List &amp; Usage'!$R72*'Weekly Summary'!AI$64)+('Equipment List &amp; Usage'!$S72*'Weekly Summary'!AI$65)+('Equipment List &amp; Usage'!$T72*('Weekly Summary'!AI$64+'Weekly Summary'!AI$65))-SUM($I70:AN70))),0)</f>
        <v>0</v>
      </c>
      <c r="AP70" s="1381">
        <f ca="1">MAX(IF($F70="No",('Equipment List &amp; Usage'!$O72*'Weekly Summary'!AJ$52)+('Equipment List &amp; Usage'!$P72*'Weekly Summary'!AJ$53)+('Equipment List &amp; Usage'!$Q72*('Weekly Summary'!AJ$52+'Weekly Summary'!AJ$53))+('Equipment List &amp; Usage'!$R72*'Weekly Summary'!AJ$64)+('Equipment List &amp; Usage'!$S72*'Weekly Summary'!AJ$65)+('Equipment List &amp; Usage'!$T72*('Weekly Summary'!AJ$64+'Weekly Summary'!AJ$65)),
IF(AP$10=0,('Equipment List &amp; Usage'!$O72*'Weekly Summary'!AJ$52)+('Equipment List &amp; Usage'!$P72*'Weekly Summary'!AJ$53)+('Equipment List &amp; Usage'!$Q72*('Weekly Summary'!AJ$52+'Weekly Summary'!AJ$53))+('Equipment List &amp; Usage'!$R72*'Weekly Summary'!AJ$64)+('Equipment List &amp; Usage'!$S72*'Weekly Summary'!AJ$65)+('Equipment List &amp; Usage'!$T72*('Weekly Summary'!AJ$64+'Weekly Summary'!AJ$65)),
('Equipment List &amp; Usage'!$O72*'Weekly Summary'!AJ$52)+('Equipment List &amp; Usage'!$P72*'Weekly Summary'!AJ$53)+('Equipment List &amp; Usage'!$Q72*('Weekly Summary'!AJ$52+'Weekly Summary'!AJ$53))+('Equipment List &amp; Usage'!$R72*'Weekly Summary'!AJ$64)+('Equipment List &amp; Usage'!$S72*'Weekly Summary'!AJ$65)+('Equipment List &amp; Usage'!$T72*('Weekly Summary'!AJ$64+'Weekly Summary'!AJ$65))-SUM($I70:AO70))),0)</f>
        <v>0</v>
      </c>
      <c r="AQ70" s="1381">
        <f ca="1">MAX(IF($F70="No",('Equipment List &amp; Usage'!$O72*'Weekly Summary'!AK$52)+('Equipment List &amp; Usage'!$P72*'Weekly Summary'!AK$53)+('Equipment List &amp; Usage'!$Q72*('Weekly Summary'!AK$52+'Weekly Summary'!AK$53))+('Equipment List &amp; Usage'!$R72*'Weekly Summary'!AK$64)+('Equipment List &amp; Usage'!$S72*'Weekly Summary'!AK$65)+('Equipment List &amp; Usage'!$T72*('Weekly Summary'!AK$64+'Weekly Summary'!AK$65)),
IF(AQ$10=0,('Equipment List &amp; Usage'!$O72*'Weekly Summary'!AK$52)+('Equipment List &amp; Usage'!$P72*'Weekly Summary'!AK$53)+('Equipment List &amp; Usage'!$Q72*('Weekly Summary'!AK$52+'Weekly Summary'!AK$53))+('Equipment List &amp; Usage'!$R72*'Weekly Summary'!AK$64)+('Equipment List &amp; Usage'!$S72*'Weekly Summary'!AK$65)+('Equipment List &amp; Usage'!$T72*('Weekly Summary'!AK$64+'Weekly Summary'!AK$65)),
('Equipment List &amp; Usage'!$O72*'Weekly Summary'!AK$52)+('Equipment List &amp; Usage'!$P72*'Weekly Summary'!AK$53)+('Equipment List &amp; Usage'!$Q72*('Weekly Summary'!AK$52+'Weekly Summary'!AK$53))+('Equipment List &amp; Usage'!$R72*'Weekly Summary'!AK$64)+('Equipment List &amp; Usage'!$S72*'Weekly Summary'!AK$65)+('Equipment List &amp; Usage'!$T72*('Weekly Summary'!AK$64+'Weekly Summary'!AK$65))-SUM($I70:AP70))),0)</f>
        <v>0</v>
      </c>
      <c r="AR70" s="1381">
        <f ca="1">MAX(IF($F70="No",('Equipment List &amp; Usage'!$O72*'Weekly Summary'!AL$52)+('Equipment List &amp; Usage'!$P72*'Weekly Summary'!AL$53)+('Equipment List &amp; Usage'!$Q72*('Weekly Summary'!AL$52+'Weekly Summary'!AL$53))+('Equipment List &amp; Usage'!$R72*'Weekly Summary'!AL$64)+('Equipment List &amp; Usage'!$S72*'Weekly Summary'!AL$65)+('Equipment List &amp; Usage'!$T72*('Weekly Summary'!AL$64+'Weekly Summary'!AL$65)),
IF(AR$10=0,('Equipment List &amp; Usage'!$O72*'Weekly Summary'!AL$52)+('Equipment List &amp; Usage'!$P72*'Weekly Summary'!AL$53)+('Equipment List &amp; Usage'!$Q72*('Weekly Summary'!AL$52+'Weekly Summary'!AL$53))+('Equipment List &amp; Usage'!$R72*'Weekly Summary'!AL$64)+('Equipment List &amp; Usage'!$S72*'Weekly Summary'!AL$65)+('Equipment List &amp; Usage'!$T72*('Weekly Summary'!AL$64+'Weekly Summary'!AL$65)),
('Equipment List &amp; Usage'!$O72*'Weekly Summary'!AL$52)+('Equipment List &amp; Usage'!$P72*'Weekly Summary'!AL$53)+('Equipment List &amp; Usage'!$Q72*('Weekly Summary'!AL$52+'Weekly Summary'!AL$53))+('Equipment List &amp; Usage'!$R72*'Weekly Summary'!AL$64)+('Equipment List &amp; Usage'!$S72*'Weekly Summary'!AL$65)+('Equipment List &amp; Usage'!$T72*('Weekly Summary'!AL$64+'Weekly Summary'!AL$65))-SUM($I70:AQ70))),0)</f>
        <v>0</v>
      </c>
      <c r="AS70" s="1381">
        <f ca="1">MAX(IF($F70="No",('Equipment List &amp; Usage'!$O72*'Weekly Summary'!AM$52)+('Equipment List &amp; Usage'!$P72*'Weekly Summary'!AM$53)+('Equipment List &amp; Usage'!$Q72*('Weekly Summary'!AM$52+'Weekly Summary'!AM$53))+('Equipment List &amp; Usage'!$R72*'Weekly Summary'!AM$64)+('Equipment List &amp; Usage'!$S72*'Weekly Summary'!AM$65)+('Equipment List &amp; Usage'!$T72*('Weekly Summary'!AM$64+'Weekly Summary'!AM$65)),
IF(AS$10=0,('Equipment List &amp; Usage'!$O72*'Weekly Summary'!AM$52)+('Equipment List &amp; Usage'!$P72*'Weekly Summary'!AM$53)+('Equipment List &amp; Usage'!$Q72*('Weekly Summary'!AM$52+'Weekly Summary'!AM$53))+('Equipment List &amp; Usage'!$R72*'Weekly Summary'!AM$64)+('Equipment List &amp; Usage'!$S72*'Weekly Summary'!AM$65)+('Equipment List &amp; Usage'!$T72*('Weekly Summary'!AM$64+'Weekly Summary'!AM$65)),
('Equipment List &amp; Usage'!$O72*'Weekly Summary'!AM$52)+('Equipment List &amp; Usage'!$P72*'Weekly Summary'!AM$53)+('Equipment List &amp; Usage'!$Q72*('Weekly Summary'!AM$52+'Weekly Summary'!AM$53))+('Equipment List &amp; Usage'!$R72*'Weekly Summary'!AM$64)+('Equipment List &amp; Usage'!$S72*'Weekly Summary'!AM$65)+('Equipment List &amp; Usage'!$T72*('Weekly Summary'!AM$64+'Weekly Summary'!AM$65))-SUM($I70:AR70))),0)</f>
        <v>0</v>
      </c>
      <c r="AT70" s="1381">
        <f ca="1">MAX(IF($F70="No",('Equipment List &amp; Usage'!$O72*'Weekly Summary'!AN$52)+('Equipment List &amp; Usage'!$P72*'Weekly Summary'!AN$53)+('Equipment List &amp; Usage'!$Q72*('Weekly Summary'!AN$52+'Weekly Summary'!AN$53))+('Equipment List &amp; Usage'!$R72*'Weekly Summary'!AN$64)+('Equipment List &amp; Usage'!$S72*'Weekly Summary'!AN$65)+('Equipment List &amp; Usage'!$T72*('Weekly Summary'!AN$64+'Weekly Summary'!AN$65)),
IF(AT$10=0,('Equipment List &amp; Usage'!$O72*'Weekly Summary'!AN$52)+('Equipment List &amp; Usage'!$P72*'Weekly Summary'!AN$53)+('Equipment List &amp; Usage'!$Q72*('Weekly Summary'!AN$52+'Weekly Summary'!AN$53))+('Equipment List &amp; Usage'!$R72*'Weekly Summary'!AN$64)+('Equipment List &amp; Usage'!$S72*'Weekly Summary'!AN$65)+('Equipment List &amp; Usage'!$T72*('Weekly Summary'!AN$64+'Weekly Summary'!AN$65)),
('Equipment List &amp; Usage'!$O72*'Weekly Summary'!AN$52)+('Equipment List &amp; Usage'!$P72*'Weekly Summary'!AN$53)+('Equipment List &amp; Usage'!$Q72*('Weekly Summary'!AN$52+'Weekly Summary'!AN$53))+('Equipment List &amp; Usage'!$R72*'Weekly Summary'!AN$64)+('Equipment List &amp; Usage'!$S72*'Weekly Summary'!AN$65)+('Equipment List &amp; Usage'!$T72*('Weekly Summary'!AN$64+'Weekly Summary'!AN$65))-SUM($I70:AS70))),0)</f>
        <v>0</v>
      </c>
      <c r="AU70" s="1381">
        <f ca="1">MAX(IF($F70="No",('Equipment List &amp; Usage'!$O72*'Weekly Summary'!AO$52)+('Equipment List &amp; Usage'!$P72*'Weekly Summary'!AO$53)+('Equipment List &amp; Usage'!$Q72*('Weekly Summary'!AO$52+'Weekly Summary'!AO$53))+('Equipment List &amp; Usage'!$R72*'Weekly Summary'!AO$64)+('Equipment List &amp; Usage'!$S72*'Weekly Summary'!AO$65)+('Equipment List &amp; Usage'!$T72*('Weekly Summary'!AO$64+'Weekly Summary'!AO$65)),
IF(AU$10=0,('Equipment List &amp; Usage'!$O72*'Weekly Summary'!AO$52)+('Equipment List &amp; Usage'!$P72*'Weekly Summary'!AO$53)+('Equipment List &amp; Usage'!$Q72*('Weekly Summary'!AO$52+'Weekly Summary'!AO$53))+('Equipment List &amp; Usage'!$R72*'Weekly Summary'!AO$64)+('Equipment List &amp; Usage'!$S72*'Weekly Summary'!AO$65)+('Equipment List &amp; Usage'!$T72*('Weekly Summary'!AO$64+'Weekly Summary'!AO$65)),
('Equipment List &amp; Usage'!$O72*'Weekly Summary'!AO$52)+('Equipment List &amp; Usage'!$P72*'Weekly Summary'!AO$53)+('Equipment List &amp; Usage'!$Q72*('Weekly Summary'!AO$52+'Weekly Summary'!AO$53))+('Equipment List &amp; Usage'!$R72*'Weekly Summary'!AO$64)+('Equipment List &amp; Usage'!$S72*'Weekly Summary'!AO$65)+('Equipment List &amp; Usage'!$T72*('Weekly Summary'!AO$64+'Weekly Summary'!AO$65))-SUM($I70:AT70))),0)</f>
        <v>0</v>
      </c>
      <c r="AV70" s="1381">
        <f ca="1">MAX(IF($F70="No",('Equipment List &amp; Usage'!$O72*'Weekly Summary'!AP$52)+('Equipment List &amp; Usage'!$P72*'Weekly Summary'!AP$53)+('Equipment List &amp; Usage'!$Q72*('Weekly Summary'!AP$52+'Weekly Summary'!AP$53))+('Equipment List &amp; Usage'!$R72*'Weekly Summary'!AP$64)+('Equipment List &amp; Usage'!$S72*'Weekly Summary'!AP$65)+('Equipment List &amp; Usage'!$T72*('Weekly Summary'!AP$64+'Weekly Summary'!AP$65)),
IF(AV$10=0,('Equipment List &amp; Usage'!$O72*'Weekly Summary'!AP$52)+('Equipment List &amp; Usage'!$P72*'Weekly Summary'!AP$53)+('Equipment List &amp; Usage'!$Q72*('Weekly Summary'!AP$52+'Weekly Summary'!AP$53))+('Equipment List &amp; Usage'!$R72*'Weekly Summary'!AP$64)+('Equipment List &amp; Usage'!$S72*'Weekly Summary'!AP$65)+('Equipment List &amp; Usage'!$T72*('Weekly Summary'!AP$64+'Weekly Summary'!AP$65)),
('Equipment List &amp; Usage'!$O72*'Weekly Summary'!AP$52)+('Equipment List &amp; Usage'!$P72*'Weekly Summary'!AP$53)+('Equipment List &amp; Usage'!$Q72*('Weekly Summary'!AP$52+'Weekly Summary'!AP$53))+('Equipment List &amp; Usage'!$R72*'Weekly Summary'!AP$64)+('Equipment List &amp; Usage'!$S72*'Weekly Summary'!AP$65)+('Equipment List &amp; Usage'!$T72*('Weekly Summary'!AP$64+'Weekly Summary'!AP$65))-SUM($I70:AU70))),0)</f>
        <v>0</v>
      </c>
      <c r="AW70" s="1381">
        <f ca="1">MAX(IF($F70="No",('Equipment List &amp; Usage'!$O72*'Weekly Summary'!AQ$52)+('Equipment List &amp; Usage'!$P72*'Weekly Summary'!AQ$53)+('Equipment List &amp; Usage'!$Q72*('Weekly Summary'!AQ$52+'Weekly Summary'!AQ$53))+('Equipment List &amp; Usage'!$R72*'Weekly Summary'!AQ$64)+('Equipment List &amp; Usage'!$S72*'Weekly Summary'!AQ$65)+('Equipment List &amp; Usage'!$T72*('Weekly Summary'!AQ$64+'Weekly Summary'!AQ$65)),
IF(AW$10=0,('Equipment List &amp; Usage'!$O72*'Weekly Summary'!AQ$52)+('Equipment List &amp; Usage'!$P72*'Weekly Summary'!AQ$53)+('Equipment List &amp; Usage'!$Q72*('Weekly Summary'!AQ$52+'Weekly Summary'!AQ$53))+('Equipment List &amp; Usage'!$R72*'Weekly Summary'!AQ$64)+('Equipment List &amp; Usage'!$S72*'Weekly Summary'!AQ$65)+('Equipment List &amp; Usage'!$T72*('Weekly Summary'!AQ$64+'Weekly Summary'!AQ$65)),
('Equipment List &amp; Usage'!$O72*'Weekly Summary'!AQ$52)+('Equipment List &amp; Usage'!$P72*'Weekly Summary'!AQ$53)+('Equipment List &amp; Usage'!$Q72*('Weekly Summary'!AQ$52+'Weekly Summary'!AQ$53))+('Equipment List &amp; Usage'!$R72*'Weekly Summary'!AQ$64)+('Equipment List &amp; Usage'!$S72*'Weekly Summary'!AQ$65)+('Equipment List &amp; Usage'!$T72*('Weekly Summary'!AQ$64+'Weekly Summary'!AQ$65))-SUM($I70:AV70))),0)</f>
        <v>0</v>
      </c>
      <c r="AX70" s="1381">
        <f ca="1">MAX(IF($F70="No",('Equipment List &amp; Usage'!$O72*'Weekly Summary'!AR$52)+('Equipment List &amp; Usage'!$P72*'Weekly Summary'!AR$53)+('Equipment List &amp; Usage'!$Q72*('Weekly Summary'!AR$52+'Weekly Summary'!AR$53))+('Equipment List &amp; Usage'!$R72*'Weekly Summary'!AR$64)+('Equipment List &amp; Usage'!$S72*'Weekly Summary'!AR$65)+('Equipment List &amp; Usage'!$T72*('Weekly Summary'!AR$64+'Weekly Summary'!AR$65)),
IF(AX$10=0,('Equipment List &amp; Usage'!$O72*'Weekly Summary'!AR$52)+('Equipment List &amp; Usage'!$P72*'Weekly Summary'!AR$53)+('Equipment List &amp; Usage'!$Q72*('Weekly Summary'!AR$52+'Weekly Summary'!AR$53))+('Equipment List &amp; Usage'!$R72*'Weekly Summary'!AR$64)+('Equipment List &amp; Usage'!$S72*'Weekly Summary'!AR$65)+('Equipment List &amp; Usage'!$T72*('Weekly Summary'!AR$64+'Weekly Summary'!AR$65)),
('Equipment List &amp; Usage'!$O72*'Weekly Summary'!AR$52)+('Equipment List &amp; Usage'!$P72*'Weekly Summary'!AR$53)+('Equipment List &amp; Usage'!$Q72*('Weekly Summary'!AR$52+'Weekly Summary'!AR$53))+('Equipment List &amp; Usage'!$R72*'Weekly Summary'!AR$64)+('Equipment List &amp; Usage'!$S72*'Weekly Summary'!AR$65)+('Equipment List &amp; Usage'!$T72*('Weekly Summary'!AR$64+'Weekly Summary'!AR$65))-SUM($I70:AW70))),0)</f>
        <v>0</v>
      </c>
      <c r="AY70" s="1381">
        <f ca="1">MAX(IF($F70="No",('Equipment List &amp; Usage'!$O72*'Weekly Summary'!AS$52)+('Equipment List &amp; Usage'!$P72*'Weekly Summary'!AS$53)+('Equipment List &amp; Usage'!$Q72*('Weekly Summary'!AS$52+'Weekly Summary'!AS$53))+('Equipment List &amp; Usage'!$R72*'Weekly Summary'!AS$64)+('Equipment List &amp; Usage'!$S72*'Weekly Summary'!AS$65)+('Equipment List &amp; Usage'!$T72*('Weekly Summary'!AS$64+'Weekly Summary'!AS$65)),
IF(AY$10=0,('Equipment List &amp; Usage'!$O72*'Weekly Summary'!AS$52)+('Equipment List &amp; Usage'!$P72*'Weekly Summary'!AS$53)+('Equipment List &amp; Usage'!$Q72*('Weekly Summary'!AS$52+'Weekly Summary'!AS$53))+('Equipment List &amp; Usage'!$R72*'Weekly Summary'!AS$64)+('Equipment List &amp; Usage'!$S72*'Weekly Summary'!AS$65)+('Equipment List &amp; Usage'!$T72*('Weekly Summary'!AS$64+'Weekly Summary'!AS$65)),
('Equipment List &amp; Usage'!$O72*'Weekly Summary'!AS$52)+('Equipment List &amp; Usage'!$P72*'Weekly Summary'!AS$53)+('Equipment List &amp; Usage'!$Q72*('Weekly Summary'!AS$52+'Weekly Summary'!AS$53))+('Equipment List &amp; Usage'!$R72*'Weekly Summary'!AS$64)+('Equipment List &amp; Usage'!$S72*'Weekly Summary'!AS$65)+('Equipment List &amp; Usage'!$T72*('Weekly Summary'!AS$64+'Weekly Summary'!AS$65))-SUM($I70:AX70))),0)</f>
        <v>0</v>
      </c>
      <c r="AZ70" s="1381">
        <f ca="1">MAX(IF($F70="No",('Equipment List &amp; Usage'!$O72*'Weekly Summary'!AT$52)+('Equipment List &amp; Usage'!$P72*'Weekly Summary'!AT$53)+('Equipment List &amp; Usage'!$Q72*('Weekly Summary'!AT$52+'Weekly Summary'!AT$53))+('Equipment List &amp; Usage'!$R72*'Weekly Summary'!AT$64)+('Equipment List &amp; Usage'!$S72*'Weekly Summary'!AT$65)+('Equipment List &amp; Usage'!$T72*('Weekly Summary'!AT$64+'Weekly Summary'!AT$65)),
IF(AZ$10=0,('Equipment List &amp; Usage'!$O72*'Weekly Summary'!AT$52)+('Equipment List &amp; Usage'!$P72*'Weekly Summary'!AT$53)+('Equipment List &amp; Usage'!$Q72*('Weekly Summary'!AT$52+'Weekly Summary'!AT$53))+('Equipment List &amp; Usage'!$R72*'Weekly Summary'!AT$64)+('Equipment List &amp; Usage'!$S72*'Weekly Summary'!AT$65)+('Equipment List &amp; Usage'!$T72*('Weekly Summary'!AT$64+'Weekly Summary'!AT$65)),
('Equipment List &amp; Usage'!$O72*'Weekly Summary'!AT$52)+('Equipment List &amp; Usage'!$P72*'Weekly Summary'!AT$53)+('Equipment List &amp; Usage'!$Q72*('Weekly Summary'!AT$52+'Weekly Summary'!AT$53))+('Equipment List &amp; Usage'!$R72*'Weekly Summary'!AT$64)+('Equipment List &amp; Usage'!$S72*'Weekly Summary'!AT$65)+('Equipment List &amp; Usage'!$T72*('Weekly Summary'!AT$64+'Weekly Summary'!AT$65))-SUM($I70:AY70))),0)</f>
        <v>0</v>
      </c>
      <c r="BA70" s="1381">
        <f ca="1">MAX(IF($F70="No",('Equipment List &amp; Usage'!$O72*'Weekly Summary'!AU$52)+('Equipment List &amp; Usage'!$P72*'Weekly Summary'!AU$53)+('Equipment List &amp; Usage'!$Q72*('Weekly Summary'!AU$52+'Weekly Summary'!AU$53))+('Equipment List &amp; Usage'!$R72*'Weekly Summary'!AU$64)+('Equipment List &amp; Usage'!$S72*'Weekly Summary'!AU$65)+('Equipment List &amp; Usage'!$T72*('Weekly Summary'!AU$64+'Weekly Summary'!AU$65)),
IF(BA$10=0,('Equipment List &amp; Usage'!$O72*'Weekly Summary'!AU$52)+('Equipment List &amp; Usage'!$P72*'Weekly Summary'!AU$53)+('Equipment List &amp; Usage'!$Q72*('Weekly Summary'!AU$52+'Weekly Summary'!AU$53))+('Equipment List &amp; Usage'!$R72*'Weekly Summary'!AU$64)+('Equipment List &amp; Usage'!$S72*'Weekly Summary'!AU$65)+('Equipment List &amp; Usage'!$T72*('Weekly Summary'!AU$64+'Weekly Summary'!AU$65)),
('Equipment List &amp; Usage'!$O72*'Weekly Summary'!AU$52)+('Equipment List &amp; Usage'!$P72*'Weekly Summary'!AU$53)+('Equipment List &amp; Usage'!$Q72*('Weekly Summary'!AU$52+'Weekly Summary'!AU$53))+('Equipment List &amp; Usage'!$R72*'Weekly Summary'!AU$64)+('Equipment List &amp; Usage'!$S72*'Weekly Summary'!AU$65)+('Equipment List &amp; Usage'!$T72*('Weekly Summary'!AU$64+'Weekly Summary'!AU$65))-SUM($I70:AZ70))),0)</f>
        <v>0</v>
      </c>
      <c r="BB70" s="1381">
        <f ca="1">MAX(IF($F70="No",('Equipment List &amp; Usage'!$O72*'Weekly Summary'!AV$52)+('Equipment List &amp; Usage'!$P72*'Weekly Summary'!AV$53)+('Equipment List &amp; Usage'!$Q72*('Weekly Summary'!AV$52+'Weekly Summary'!AV$53))+('Equipment List &amp; Usage'!$R72*'Weekly Summary'!AV$64)+('Equipment List &amp; Usage'!$S72*'Weekly Summary'!AV$65)+('Equipment List &amp; Usage'!$T72*('Weekly Summary'!AV$64+'Weekly Summary'!AV$65)),
IF(BB$10=0,('Equipment List &amp; Usage'!$O72*'Weekly Summary'!AV$52)+('Equipment List &amp; Usage'!$P72*'Weekly Summary'!AV$53)+('Equipment List &amp; Usage'!$Q72*('Weekly Summary'!AV$52+'Weekly Summary'!AV$53))+('Equipment List &amp; Usage'!$R72*'Weekly Summary'!AV$64)+('Equipment List &amp; Usage'!$S72*'Weekly Summary'!AV$65)+('Equipment List &amp; Usage'!$T72*('Weekly Summary'!AV$64+'Weekly Summary'!AV$65)),
('Equipment List &amp; Usage'!$O72*'Weekly Summary'!AV$52)+('Equipment List &amp; Usage'!$P72*'Weekly Summary'!AV$53)+('Equipment List &amp; Usage'!$Q72*('Weekly Summary'!AV$52+'Weekly Summary'!AV$53))+('Equipment List &amp; Usage'!$R72*'Weekly Summary'!AV$64)+('Equipment List &amp; Usage'!$S72*'Weekly Summary'!AV$65)+('Equipment List &amp; Usage'!$T72*('Weekly Summary'!AV$64+'Weekly Summary'!AV$65))-SUM($I70:BA70))),0)</f>
        <v>0</v>
      </c>
      <c r="BC70" s="1381">
        <f ca="1">MAX(IF($F70="No",('Equipment List &amp; Usage'!$O72*'Weekly Summary'!AW$52)+('Equipment List &amp; Usage'!$P72*'Weekly Summary'!AW$53)+('Equipment List &amp; Usage'!$Q72*('Weekly Summary'!AW$52+'Weekly Summary'!AW$53))+('Equipment List &amp; Usage'!$R72*'Weekly Summary'!AW$64)+('Equipment List &amp; Usage'!$S72*'Weekly Summary'!AW$65)+('Equipment List &amp; Usage'!$T72*('Weekly Summary'!AW$64+'Weekly Summary'!AW$65)),
IF(BC$10=0,('Equipment List &amp; Usage'!$O72*'Weekly Summary'!AW$52)+('Equipment List &amp; Usage'!$P72*'Weekly Summary'!AW$53)+('Equipment List &amp; Usage'!$Q72*('Weekly Summary'!AW$52+'Weekly Summary'!AW$53))+('Equipment List &amp; Usage'!$R72*'Weekly Summary'!AW$64)+('Equipment List &amp; Usage'!$S72*'Weekly Summary'!AW$65)+('Equipment List &amp; Usage'!$T72*('Weekly Summary'!AW$64+'Weekly Summary'!AW$65)),
('Equipment List &amp; Usage'!$O72*'Weekly Summary'!AW$52)+('Equipment List &amp; Usage'!$P72*'Weekly Summary'!AW$53)+('Equipment List &amp; Usage'!$Q72*('Weekly Summary'!AW$52+'Weekly Summary'!AW$53))+('Equipment List &amp; Usage'!$R72*'Weekly Summary'!AW$64)+('Equipment List &amp; Usage'!$S72*'Weekly Summary'!AW$65)+('Equipment List &amp; Usage'!$T72*('Weekly Summary'!AW$64+'Weekly Summary'!AW$65))-SUM($I70:BB70))),0)</f>
        <v>0</v>
      </c>
      <c r="BD70" s="1381">
        <f ca="1">MAX(IF($F70="No",('Equipment List &amp; Usage'!$O72*'Weekly Summary'!AX$52)+('Equipment List &amp; Usage'!$P72*'Weekly Summary'!AX$53)+('Equipment List &amp; Usage'!$Q72*('Weekly Summary'!AX$52+'Weekly Summary'!AX$53))+('Equipment List &amp; Usage'!$R72*'Weekly Summary'!AX$64)+('Equipment List &amp; Usage'!$S72*'Weekly Summary'!AX$65)+('Equipment List &amp; Usage'!$T72*('Weekly Summary'!AX$64+'Weekly Summary'!AX$65)),
IF(BD$10=0,('Equipment List &amp; Usage'!$O72*'Weekly Summary'!AX$52)+('Equipment List &amp; Usage'!$P72*'Weekly Summary'!AX$53)+('Equipment List &amp; Usage'!$Q72*('Weekly Summary'!AX$52+'Weekly Summary'!AX$53))+('Equipment List &amp; Usage'!$R72*'Weekly Summary'!AX$64)+('Equipment List &amp; Usage'!$S72*'Weekly Summary'!AX$65)+('Equipment List &amp; Usage'!$T72*('Weekly Summary'!AX$64+'Weekly Summary'!AX$65)),
('Equipment List &amp; Usage'!$O72*'Weekly Summary'!AX$52)+('Equipment List &amp; Usage'!$P72*'Weekly Summary'!AX$53)+('Equipment List &amp; Usage'!$Q72*('Weekly Summary'!AX$52+'Weekly Summary'!AX$53))+('Equipment List &amp; Usage'!$R72*'Weekly Summary'!AX$64)+('Equipment List &amp; Usage'!$S72*'Weekly Summary'!AX$65)+('Equipment List &amp; Usage'!$T72*('Weekly Summary'!AX$64+'Weekly Summary'!AX$65))-SUM($I70:BC70))),0)</f>
        <v>0</v>
      </c>
      <c r="BE70" s="1381">
        <f ca="1">MAX(IF($F70="No",('Equipment List &amp; Usage'!$O72*'Weekly Summary'!AY$52)+('Equipment List &amp; Usage'!$P72*'Weekly Summary'!AY$53)+('Equipment List &amp; Usage'!$Q72*('Weekly Summary'!AY$52+'Weekly Summary'!AY$53))+('Equipment List &amp; Usage'!$R72*'Weekly Summary'!AY$64)+('Equipment List &amp; Usage'!$S72*'Weekly Summary'!AY$65)+('Equipment List &amp; Usage'!$T72*('Weekly Summary'!AY$64+'Weekly Summary'!AY$65)),
IF(BE$10=0,('Equipment List &amp; Usage'!$O72*'Weekly Summary'!AY$52)+('Equipment List &amp; Usage'!$P72*'Weekly Summary'!AY$53)+('Equipment List &amp; Usage'!$Q72*('Weekly Summary'!AY$52+'Weekly Summary'!AY$53))+('Equipment List &amp; Usage'!$R72*'Weekly Summary'!AY$64)+('Equipment List &amp; Usage'!$S72*'Weekly Summary'!AY$65)+('Equipment List &amp; Usage'!$T72*('Weekly Summary'!AY$64+'Weekly Summary'!AY$65)),
('Equipment List &amp; Usage'!$O72*'Weekly Summary'!AY$52)+('Equipment List &amp; Usage'!$P72*'Weekly Summary'!AY$53)+('Equipment List &amp; Usage'!$Q72*('Weekly Summary'!AY$52+'Weekly Summary'!AY$53))+('Equipment List &amp; Usage'!$R72*'Weekly Summary'!AY$64)+('Equipment List &amp; Usage'!$S72*'Weekly Summary'!AY$65)+('Equipment List &amp; Usage'!$T72*('Weekly Summary'!AY$64+'Weekly Summary'!AY$65))-SUM($I70:BD70))),0)</f>
        <v>0</v>
      </c>
      <c r="BF70" s="1381">
        <f ca="1">MAX(IF($F70="No",('Equipment List &amp; Usage'!$O72*'Weekly Summary'!AZ$52)+('Equipment List &amp; Usage'!$P72*'Weekly Summary'!AZ$53)+('Equipment List &amp; Usage'!$Q72*('Weekly Summary'!AZ$52+'Weekly Summary'!AZ$53))+('Equipment List &amp; Usage'!$R72*'Weekly Summary'!AZ$64)+('Equipment List &amp; Usage'!$S72*'Weekly Summary'!AZ$65)+('Equipment List &amp; Usage'!$T72*('Weekly Summary'!AZ$64+'Weekly Summary'!AZ$65)),
IF(BF$10=0,('Equipment List &amp; Usage'!$O72*'Weekly Summary'!AZ$52)+('Equipment List &amp; Usage'!$P72*'Weekly Summary'!AZ$53)+('Equipment List &amp; Usage'!$Q72*('Weekly Summary'!AZ$52+'Weekly Summary'!AZ$53))+('Equipment List &amp; Usage'!$R72*'Weekly Summary'!AZ$64)+('Equipment List &amp; Usage'!$S72*'Weekly Summary'!AZ$65)+('Equipment List &amp; Usage'!$T72*('Weekly Summary'!AZ$64+'Weekly Summary'!AZ$65)),
('Equipment List &amp; Usage'!$O72*'Weekly Summary'!AZ$52)+('Equipment List &amp; Usage'!$P72*'Weekly Summary'!AZ$53)+('Equipment List &amp; Usage'!$Q72*('Weekly Summary'!AZ$52+'Weekly Summary'!AZ$53))+('Equipment List &amp; Usage'!$R72*'Weekly Summary'!AZ$64)+('Equipment List &amp; Usage'!$S72*'Weekly Summary'!AZ$65)+('Equipment List &amp; Usage'!$T72*('Weekly Summary'!AZ$64+'Weekly Summary'!AZ$65))-SUM($I70:BE70))),0)</f>
        <v>0</v>
      </c>
      <c r="BG70" s="1381">
        <f ca="1">MAX(IF($F70="No",('Equipment List &amp; Usage'!$O72*'Weekly Summary'!BA$52)+('Equipment List &amp; Usage'!$P72*'Weekly Summary'!BA$53)+('Equipment List &amp; Usage'!$Q72*('Weekly Summary'!BA$52+'Weekly Summary'!BA$53))+('Equipment List &amp; Usage'!$R72*'Weekly Summary'!BA$64)+('Equipment List &amp; Usage'!$S72*'Weekly Summary'!BA$65)+('Equipment List &amp; Usage'!$T72*('Weekly Summary'!BA$64+'Weekly Summary'!BA$65)),
IF(BG$10=0,('Equipment List &amp; Usage'!$O72*'Weekly Summary'!BA$52)+('Equipment List &amp; Usage'!$P72*'Weekly Summary'!BA$53)+('Equipment List &amp; Usage'!$Q72*('Weekly Summary'!BA$52+'Weekly Summary'!BA$53))+('Equipment List &amp; Usage'!$R72*'Weekly Summary'!BA$64)+('Equipment List &amp; Usage'!$S72*'Weekly Summary'!BA$65)+('Equipment List &amp; Usage'!$T72*('Weekly Summary'!BA$64+'Weekly Summary'!BA$65)),
('Equipment List &amp; Usage'!$O72*'Weekly Summary'!BA$52)+('Equipment List &amp; Usage'!$P72*'Weekly Summary'!BA$53)+('Equipment List &amp; Usage'!$Q72*('Weekly Summary'!BA$52+'Weekly Summary'!BA$53))+('Equipment List &amp; Usage'!$R72*'Weekly Summary'!BA$64)+('Equipment List &amp; Usage'!$S72*'Weekly Summary'!BA$65)+('Equipment List &amp; Usage'!$T72*('Weekly Summary'!BA$64+'Weekly Summary'!BA$65))-SUM($I70:BF70))),0)</f>
        <v>0</v>
      </c>
      <c r="BH70" s="1381">
        <f ca="1">MAX(IF($F70="No",('Equipment List &amp; Usage'!$O72*'Weekly Summary'!BB$52)+('Equipment List &amp; Usage'!$P72*'Weekly Summary'!BB$53)+('Equipment List &amp; Usage'!$Q72*('Weekly Summary'!BB$52+'Weekly Summary'!BB$53))+('Equipment List &amp; Usage'!$R72*'Weekly Summary'!BB$64)+('Equipment List &amp; Usage'!$S72*'Weekly Summary'!BB$65)+('Equipment List &amp; Usage'!$T72*('Weekly Summary'!BB$64+'Weekly Summary'!BB$65)),
IF(BH$10=0,('Equipment List &amp; Usage'!$O72*'Weekly Summary'!BB$52)+('Equipment List &amp; Usage'!$P72*'Weekly Summary'!BB$53)+('Equipment List &amp; Usage'!$Q72*('Weekly Summary'!BB$52+'Weekly Summary'!BB$53))+('Equipment List &amp; Usage'!$R72*'Weekly Summary'!BB$64)+('Equipment List &amp; Usage'!$S72*'Weekly Summary'!BB$65)+('Equipment List &amp; Usage'!$T72*('Weekly Summary'!BB$64+'Weekly Summary'!BB$65)),
('Equipment List &amp; Usage'!$O72*'Weekly Summary'!BB$52)+('Equipment List &amp; Usage'!$P72*'Weekly Summary'!BB$53)+('Equipment List &amp; Usage'!$Q72*('Weekly Summary'!BB$52+'Weekly Summary'!BB$53))+('Equipment List &amp; Usage'!$R72*'Weekly Summary'!BB$64)+('Equipment List &amp; Usage'!$S72*'Weekly Summary'!BB$65)+('Equipment List &amp; Usage'!$T72*('Weekly Summary'!BB$64+'Weekly Summary'!BB$65))-SUM($I70:BG70))),0)</f>
        <v>0</v>
      </c>
      <c r="BI70" s="1381">
        <f ca="1">MAX(IF($F70="No",('Equipment List &amp; Usage'!$O72*'Weekly Summary'!BC$52)+('Equipment List &amp; Usage'!$P72*'Weekly Summary'!BC$53)+('Equipment List &amp; Usage'!$Q72*('Weekly Summary'!BC$52+'Weekly Summary'!BC$53))+('Equipment List &amp; Usage'!$R72*'Weekly Summary'!BC$64)+('Equipment List &amp; Usage'!$S72*'Weekly Summary'!BC$65)+('Equipment List &amp; Usage'!$T72*('Weekly Summary'!BC$64+'Weekly Summary'!BC$65)),
IF(BI$10=0,('Equipment List &amp; Usage'!$O72*'Weekly Summary'!BC$52)+('Equipment List &amp; Usage'!$P72*'Weekly Summary'!BC$53)+('Equipment List &amp; Usage'!$Q72*('Weekly Summary'!BC$52+'Weekly Summary'!BC$53))+('Equipment List &amp; Usage'!$R72*'Weekly Summary'!BC$64)+('Equipment List &amp; Usage'!$S72*'Weekly Summary'!BC$65)+('Equipment List &amp; Usage'!$T72*('Weekly Summary'!BC$64+'Weekly Summary'!BC$65)),
('Equipment List &amp; Usage'!$O72*'Weekly Summary'!BC$52)+('Equipment List &amp; Usage'!$P72*'Weekly Summary'!BC$53)+('Equipment List &amp; Usage'!$Q72*('Weekly Summary'!BC$52+'Weekly Summary'!BC$53))+('Equipment List &amp; Usage'!$R72*'Weekly Summary'!BC$64)+('Equipment List &amp; Usage'!$S72*'Weekly Summary'!BC$65)+('Equipment List &amp; Usage'!$T72*('Weekly Summary'!BC$64+'Weekly Summary'!BC$65))-SUM($I70:BH70))),0)</f>
        <v>0</v>
      </c>
      <c r="BJ70" s="1382">
        <f ca="1">MAX(IF($F70="No",('Equipment List &amp; Usage'!$O72*'Weekly Summary'!BD$52)+('Equipment List &amp; Usage'!$P72*'Weekly Summary'!BD$53)+('Equipment List &amp; Usage'!$Q72*('Weekly Summary'!BD$52+'Weekly Summary'!BD$53))+('Equipment List &amp; Usage'!$R72*'Weekly Summary'!BD$64)+('Equipment List &amp; Usage'!$S72*'Weekly Summary'!BD$65)+('Equipment List &amp; Usage'!$T72*('Weekly Summary'!BD$64+'Weekly Summary'!BD$65)),
IF(BJ$10=0,('Equipment List &amp; Usage'!$O72*'Weekly Summary'!BD$52)+('Equipment List &amp; Usage'!$P72*'Weekly Summary'!BD$53)+('Equipment List &amp; Usage'!$Q72*('Weekly Summary'!BD$52+'Weekly Summary'!BD$53))+('Equipment List &amp; Usage'!$R72*'Weekly Summary'!BD$64)+('Equipment List &amp; Usage'!$S72*'Weekly Summary'!BD$65)+('Equipment List &amp; Usage'!$T72*('Weekly Summary'!BD$64+'Weekly Summary'!BD$65)),
('Equipment List &amp; Usage'!$O72*'Weekly Summary'!BD$52)+('Equipment List &amp; Usage'!$P72*'Weekly Summary'!BD$53)+('Equipment List &amp; Usage'!$Q72*('Weekly Summary'!BD$52+'Weekly Summary'!BD$53))+('Equipment List &amp; Usage'!$R72*'Weekly Summary'!BD$64)+('Equipment List &amp; Usage'!$S72*'Weekly Summary'!BD$65)+('Equipment List &amp; Usage'!$T72*('Weekly Summary'!BD$64+'Weekly Summary'!BD$65))-SUM($I70:BI70))),0)</f>
        <v>0</v>
      </c>
    </row>
    <row r="71" spans="2:62" ht="43.5" x14ac:dyDescent="0.35">
      <c r="B71" s="735" t="str">
        <f>'Equipment List &amp; Usage'!B73</f>
        <v>Case management - accessories &amp; consumables</v>
      </c>
      <c r="C71" s="526" t="str">
        <f>'Equipment List &amp; Usage'!C73</f>
        <v>Oxygen therapy</v>
      </c>
      <c r="D71" s="526" t="str">
        <f>'Equipment List &amp; Usage'!D73</f>
        <v xml:space="preserve">Filter, heat and moisture exchanger (HMEF), high efficiency, with connectors, for adult </v>
      </c>
      <c r="E71" s="526" t="str">
        <f>'Equipment List &amp; Usage'!E73</f>
        <v>Each</v>
      </c>
      <c r="F71" s="526" t="str">
        <f>'Equipment List &amp; Usage'!F73</f>
        <v>No</v>
      </c>
      <c r="G71" s="526" t="str">
        <f>'Equipment List &amp; Usage'!G73</f>
        <v>For critical patient ventilator</v>
      </c>
      <c r="H71" s="1369">
        <f t="shared" ca="1" si="3"/>
        <v>201.22929995034957</v>
      </c>
      <c r="J71" s="1344"/>
      <c r="K71" s="1381">
        <f ca="1">IF('User Dashboard'!$H$13=1,0,MAX(IF($F71="No",('Equipment List &amp; Usage'!$O73*'Weekly Summary'!E$52)+('Equipment List &amp; Usage'!$P73*'Weekly Summary'!E$53)+('Equipment List &amp; Usage'!$Q73*('Weekly Summary'!E$52+'Weekly Summary'!E$53))+('Equipment List &amp; Usage'!$R73*'Weekly Summary'!E$64)+('Equipment List &amp; Usage'!$S73*'Weekly Summary'!E$65)+('Equipment List &amp; Usage'!$T73*('Weekly Summary'!E$64+'Weekly Summary'!E$65)),
IF(K$10=0,('Equipment List &amp; Usage'!$O73*'Weekly Summary'!E$52)+('Equipment List &amp; Usage'!$P73*'Weekly Summary'!E$53)+('Equipment List &amp; Usage'!$Q73*('Weekly Summary'!E$52+'Weekly Summary'!E$53))+('Equipment List &amp; Usage'!$R73*'Weekly Summary'!E$64)+('Equipment List &amp; Usage'!$S73*'Weekly Summary'!E$65)+('Equipment List &amp; Usage'!$T73*('Weekly Summary'!E$64+'Weekly Summary'!E$65)),
('Equipment List &amp; Usage'!$O73*'Weekly Summary'!E$52)+('Equipment List &amp; Usage'!$P73*'Weekly Summary'!E$53)+('Equipment List &amp; Usage'!$Q73*('Weekly Summary'!E$52+'Weekly Summary'!E$53))+('Equipment List &amp; Usage'!$R73*'Weekly Summary'!E$64)+('Equipment List &amp; Usage'!$S73*'Weekly Summary'!E$65)+('Equipment List &amp; Usage'!$T73*('Weekly Summary'!E$64+'Weekly Summary'!E$65))-SUM($I71:I71))),0))</f>
        <v>0.29803874416808512</v>
      </c>
      <c r="L71" s="1381">
        <f ca="1">MAX(IF($F71="No",('Equipment List &amp; Usage'!$O73*'Weekly Summary'!F$52)+('Equipment List &amp; Usage'!$P73*'Weekly Summary'!F$53)+('Equipment List &amp; Usage'!$Q73*('Weekly Summary'!F$52+'Weekly Summary'!F$53))+('Equipment List &amp; Usage'!$R73*'Weekly Summary'!F$64)+('Equipment List &amp; Usage'!$S73*'Weekly Summary'!F$65)+('Equipment List &amp; Usage'!$T73*('Weekly Summary'!F$64+'Weekly Summary'!F$65)),
IF(L$10=0,('Equipment List &amp; Usage'!$O73*'Weekly Summary'!F$52)+('Equipment List &amp; Usage'!$P73*'Weekly Summary'!F$53)+('Equipment List &amp; Usage'!$Q73*('Weekly Summary'!F$52+'Weekly Summary'!F$53))+('Equipment List &amp; Usage'!$R73*'Weekly Summary'!F$64)+('Equipment List &amp; Usage'!$S73*'Weekly Summary'!F$65)+('Equipment List &amp; Usage'!$T73*('Weekly Summary'!F$64+'Weekly Summary'!F$65)),
('Equipment List &amp; Usage'!$O73*'Weekly Summary'!F$52)+('Equipment List &amp; Usage'!$P73*'Weekly Summary'!F$53)+('Equipment List &amp; Usage'!$Q73*('Weekly Summary'!F$52+'Weekly Summary'!F$53))+('Equipment List &amp; Usage'!$R73*'Weekly Summary'!F$64)+('Equipment List &amp; Usage'!$S73*'Weekly Summary'!F$65)+('Equipment List &amp; Usage'!$T73*('Weekly Summary'!F$64+'Weekly Summary'!F$65))-SUM($I71:K71))),0)</f>
        <v>1.0242125669658244</v>
      </c>
      <c r="M71" s="1381">
        <f ca="1">MAX(IF($F71="No",('Equipment List &amp; Usage'!$O73*'Weekly Summary'!G$52)+('Equipment List &amp; Usage'!$P73*'Weekly Summary'!G$53)+('Equipment List &amp; Usage'!$Q73*('Weekly Summary'!G$52+'Weekly Summary'!G$53))+('Equipment List &amp; Usage'!$R73*'Weekly Summary'!G$64)+('Equipment List &amp; Usage'!$S73*'Weekly Summary'!G$65)+('Equipment List &amp; Usage'!$T73*('Weekly Summary'!G$64+'Weekly Summary'!G$65)),
IF(M$10=0,('Equipment List &amp; Usage'!$O73*'Weekly Summary'!G$52)+('Equipment List &amp; Usage'!$P73*'Weekly Summary'!G$53)+('Equipment List &amp; Usage'!$Q73*('Weekly Summary'!G$52+'Weekly Summary'!G$53))+('Equipment List &amp; Usage'!$R73*'Weekly Summary'!G$64)+('Equipment List &amp; Usage'!$S73*'Weekly Summary'!G$65)+('Equipment List &amp; Usage'!$T73*('Weekly Summary'!G$64+'Weekly Summary'!G$65)),
('Equipment List &amp; Usage'!$O73*'Weekly Summary'!G$52)+('Equipment List &amp; Usage'!$P73*'Weekly Summary'!G$53)+('Equipment List &amp; Usage'!$Q73*('Weekly Summary'!G$52+'Weekly Summary'!G$53))+('Equipment List &amp; Usage'!$R73*'Weekly Summary'!G$64)+('Equipment List &amp; Usage'!$S73*'Weekly Summary'!G$65)+('Equipment List &amp; Usage'!$T73*('Weekly Summary'!G$64+'Weekly Summary'!G$65))-SUM($I71:L71))),0)</f>
        <v>3.5196807709843045</v>
      </c>
      <c r="N71" s="1381">
        <f ca="1">MAX(IF($F71="No",('Equipment List &amp; Usage'!$O73*'Weekly Summary'!H$52)+('Equipment List &amp; Usage'!$P73*'Weekly Summary'!H$53)+('Equipment List &amp; Usage'!$Q73*('Weekly Summary'!H$52+'Weekly Summary'!H$53))+('Equipment List &amp; Usage'!$R73*'Weekly Summary'!H$64)+('Equipment List &amp; Usage'!$S73*'Weekly Summary'!H$65)+('Equipment List &amp; Usage'!$T73*('Weekly Summary'!H$64+'Weekly Summary'!H$65)),
IF(N$10=0,('Equipment List &amp; Usage'!$O73*'Weekly Summary'!H$52)+('Equipment List &amp; Usage'!$P73*'Weekly Summary'!H$53)+('Equipment List &amp; Usage'!$Q73*('Weekly Summary'!H$52+'Weekly Summary'!H$53))+('Equipment List &amp; Usage'!$R73*'Weekly Summary'!H$64)+('Equipment List &amp; Usage'!$S73*'Weekly Summary'!H$65)+('Equipment List &amp; Usage'!$T73*('Weekly Summary'!H$64+'Weekly Summary'!H$65)),
('Equipment List &amp; Usage'!$O73*'Weekly Summary'!H$52)+('Equipment List &amp; Usage'!$P73*'Weekly Summary'!H$53)+('Equipment List &amp; Usage'!$Q73*('Weekly Summary'!H$52+'Weekly Summary'!H$53))+('Equipment List &amp; Usage'!$R73*'Weekly Summary'!H$64)+('Equipment List &amp; Usage'!$S73*'Weekly Summary'!H$65)+('Equipment List &amp; Usage'!$T73*('Weekly Summary'!H$64+'Weekly Summary'!H$65))-SUM($I71:M71))),0)</f>
        <v>12.094892611199445</v>
      </c>
      <c r="O71" s="1381">
        <f ca="1">MAX(IF($F71="No",('Equipment List &amp; Usage'!$O73*'Weekly Summary'!I$52)+('Equipment List &amp; Usage'!$P73*'Weekly Summary'!I$53)+('Equipment List &amp; Usage'!$Q73*('Weekly Summary'!I$52+'Weekly Summary'!I$53))+('Equipment List &amp; Usage'!$R73*'Weekly Summary'!I$64)+('Equipment List &amp; Usage'!$S73*'Weekly Summary'!I$65)+('Equipment List &amp; Usage'!$T73*('Weekly Summary'!I$64+'Weekly Summary'!I$65)),
IF(O$10=0,('Equipment List &amp; Usage'!$O73*'Weekly Summary'!I$52)+('Equipment List &amp; Usage'!$P73*'Weekly Summary'!I$53)+('Equipment List &amp; Usage'!$Q73*('Weekly Summary'!I$52+'Weekly Summary'!I$53))+('Equipment List &amp; Usage'!$R73*'Weekly Summary'!I$64)+('Equipment List &amp; Usage'!$S73*'Weekly Summary'!I$65)+('Equipment List &amp; Usage'!$T73*('Weekly Summary'!I$64+'Weekly Summary'!I$65)),
('Equipment List &amp; Usage'!$O73*'Weekly Summary'!I$52)+('Equipment List &amp; Usage'!$P73*'Weekly Summary'!I$53)+('Equipment List &amp; Usage'!$Q73*('Weekly Summary'!I$52+'Weekly Summary'!I$53))+('Equipment List &amp; Usage'!$R73*'Weekly Summary'!I$64)+('Equipment List &amp; Usage'!$S73*'Weekly Summary'!I$65)+('Equipment List &amp; Usage'!$T73*('Weekly Summary'!I$64+'Weekly Summary'!I$65))-SUM($I71:N71))),0)</f>
        <v>41.55766698969483</v>
      </c>
      <c r="P71" s="1381">
        <f ca="1">MAX(IF($F71="No",('Equipment List &amp; Usage'!$O73*'Weekly Summary'!J$52)+('Equipment List &amp; Usage'!$P73*'Weekly Summary'!J$53)+('Equipment List &amp; Usage'!$Q73*('Weekly Summary'!J$52+'Weekly Summary'!J$53))+('Equipment List &amp; Usage'!$R73*'Weekly Summary'!J$64)+('Equipment List &amp; Usage'!$S73*'Weekly Summary'!J$65)+('Equipment List &amp; Usage'!$T73*('Weekly Summary'!J$64+'Weekly Summary'!J$65)),
IF(P$10=0,('Equipment List &amp; Usage'!$O73*'Weekly Summary'!J$52)+('Equipment List &amp; Usage'!$P73*'Weekly Summary'!J$53)+('Equipment List &amp; Usage'!$Q73*('Weekly Summary'!J$52+'Weekly Summary'!J$53))+('Equipment List &amp; Usage'!$R73*'Weekly Summary'!J$64)+('Equipment List &amp; Usage'!$S73*'Weekly Summary'!J$65)+('Equipment List &amp; Usage'!$T73*('Weekly Summary'!J$64+'Weekly Summary'!J$65)),
('Equipment List &amp; Usage'!$O73*'Weekly Summary'!J$52)+('Equipment List &amp; Usage'!$P73*'Weekly Summary'!J$53)+('Equipment List &amp; Usage'!$Q73*('Weekly Summary'!J$52+'Weekly Summary'!J$53))+('Equipment List &amp; Usage'!$R73*'Weekly Summary'!J$64)+('Equipment List &amp; Usage'!$S73*'Weekly Summary'!J$65)+('Equipment List &amp; Usage'!$T73*('Weekly Summary'!J$64+'Weekly Summary'!J$65))-SUM($I71:O71))),0)</f>
        <v>142.73480826733709</v>
      </c>
      <c r="Q71" s="1381">
        <f ca="1">MAX(IF($F71="No",('Equipment List &amp; Usage'!$O73*'Weekly Summary'!K$52)+('Equipment List &amp; Usage'!$P73*'Weekly Summary'!K$53)+('Equipment List &amp; Usage'!$Q73*('Weekly Summary'!K$52+'Weekly Summary'!K$53))+('Equipment List &amp; Usage'!$R73*'Weekly Summary'!K$64)+('Equipment List &amp; Usage'!$S73*'Weekly Summary'!K$65)+('Equipment List &amp; Usage'!$T73*('Weekly Summary'!K$64+'Weekly Summary'!K$65)),
IF(Q$10=0,('Equipment List &amp; Usage'!$O73*'Weekly Summary'!K$52)+('Equipment List &amp; Usage'!$P73*'Weekly Summary'!K$53)+('Equipment List &amp; Usage'!$Q73*('Weekly Summary'!K$52+'Weekly Summary'!K$53))+('Equipment List &amp; Usage'!$R73*'Weekly Summary'!K$64)+('Equipment List &amp; Usage'!$S73*'Weekly Summary'!K$65)+('Equipment List &amp; Usage'!$T73*('Weekly Summary'!K$64+'Weekly Summary'!K$65)),
('Equipment List &amp; Usage'!$O73*'Weekly Summary'!K$52)+('Equipment List &amp; Usage'!$P73*'Weekly Summary'!K$53)+('Equipment List &amp; Usage'!$Q73*('Weekly Summary'!K$52+'Weekly Summary'!K$53))+('Equipment List &amp; Usage'!$R73*'Weekly Summary'!K$64)+('Equipment List &amp; Usage'!$S73*'Weekly Summary'!K$65)+('Equipment List &amp; Usage'!$T73*('Weekly Summary'!K$64+'Weekly Summary'!K$65))-SUM($I71:P71))),0)</f>
        <v>0</v>
      </c>
      <c r="R71" s="1381">
        <f ca="1">MAX(IF($F71="No",('Equipment List &amp; Usage'!$O73*'Weekly Summary'!L$52)+('Equipment List &amp; Usage'!$P73*'Weekly Summary'!L$53)+('Equipment List &amp; Usage'!$Q73*('Weekly Summary'!L$52+'Weekly Summary'!L$53))+('Equipment List &amp; Usage'!$R73*'Weekly Summary'!L$64)+('Equipment List &amp; Usage'!$S73*'Weekly Summary'!L$65)+('Equipment List &amp; Usage'!$T73*('Weekly Summary'!L$64+'Weekly Summary'!L$65)),
IF(R$10=0,('Equipment List &amp; Usage'!$O73*'Weekly Summary'!L$52)+('Equipment List &amp; Usage'!$P73*'Weekly Summary'!L$53)+('Equipment List &amp; Usage'!$Q73*('Weekly Summary'!L$52+'Weekly Summary'!L$53))+('Equipment List &amp; Usage'!$R73*'Weekly Summary'!L$64)+('Equipment List &amp; Usage'!$S73*'Weekly Summary'!L$65)+('Equipment List &amp; Usage'!$T73*('Weekly Summary'!L$64+'Weekly Summary'!L$65)),
('Equipment List &amp; Usage'!$O73*'Weekly Summary'!L$52)+('Equipment List &amp; Usage'!$P73*'Weekly Summary'!L$53)+('Equipment List &amp; Usage'!$Q73*('Weekly Summary'!L$52+'Weekly Summary'!L$53))+('Equipment List &amp; Usage'!$R73*'Weekly Summary'!L$64)+('Equipment List &amp; Usage'!$S73*'Weekly Summary'!L$65)+('Equipment List &amp; Usage'!$T73*('Weekly Summary'!L$64+'Weekly Summary'!L$65))-SUM($I71:Q71))),0)</f>
        <v>0</v>
      </c>
      <c r="S71" s="1381">
        <f ca="1">MAX(IF($F71="No",('Equipment List &amp; Usage'!$O73*'Weekly Summary'!M$52)+('Equipment List &amp; Usage'!$P73*'Weekly Summary'!M$53)+('Equipment List &amp; Usage'!$Q73*('Weekly Summary'!M$52+'Weekly Summary'!M$53))+('Equipment List &amp; Usage'!$R73*'Weekly Summary'!M$64)+('Equipment List &amp; Usage'!$S73*'Weekly Summary'!M$65)+('Equipment List &amp; Usage'!$T73*('Weekly Summary'!M$64+'Weekly Summary'!M$65)),
IF(S$10=0,('Equipment List &amp; Usage'!$O73*'Weekly Summary'!M$52)+('Equipment List &amp; Usage'!$P73*'Weekly Summary'!M$53)+('Equipment List &amp; Usage'!$Q73*('Weekly Summary'!M$52+'Weekly Summary'!M$53))+('Equipment List &amp; Usage'!$R73*'Weekly Summary'!M$64)+('Equipment List &amp; Usage'!$S73*'Weekly Summary'!M$65)+('Equipment List &amp; Usage'!$T73*('Weekly Summary'!M$64+'Weekly Summary'!M$65)),
('Equipment List &amp; Usage'!$O73*'Weekly Summary'!M$52)+('Equipment List &amp; Usage'!$P73*'Weekly Summary'!M$53)+('Equipment List &amp; Usage'!$Q73*('Weekly Summary'!M$52+'Weekly Summary'!M$53))+('Equipment List &amp; Usage'!$R73*'Weekly Summary'!M$64)+('Equipment List &amp; Usage'!$S73*'Weekly Summary'!M$65)+('Equipment List &amp; Usage'!$T73*('Weekly Summary'!M$64+'Weekly Summary'!M$65))-SUM($I71:R71))),0)</f>
        <v>0</v>
      </c>
      <c r="T71" s="1381">
        <f ca="1">MAX(IF($F71="No",('Equipment List &amp; Usage'!$O73*'Weekly Summary'!N$52)+('Equipment List &amp; Usage'!$P73*'Weekly Summary'!N$53)+('Equipment List &amp; Usage'!$Q73*('Weekly Summary'!N$52+'Weekly Summary'!N$53))+('Equipment List &amp; Usage'!$R73*'Weekly Summary'!N$64)+('Equipment List &amp; Usage'!$S73*'Weekly Summary'!N$65)+('Equipment List &amp; Usage'!$T73*('Weekly Summary'!N$64+'Weekly Summary'!N$65)),
IF(T$10=0,('Equipment List &amp; Usage'!$O73*'Weekly Summary'!N$52)+('Equipment List &amp; Usage'!$P73*'Weekly Summary'!N$53)+('Equipment List &amp; Usage'!$Q73*('Weekly Summary'!N$52+'Weekly Summary'!N$53))+('Equipment List &amp; Usage'!$R73*'Weekly Summary'!N$64)+('Equipment List &amp; Usage'!$S73*'Weekly Summary'!N$65)+('Equipment List &amp; Usage'!$T73*('Weekly Summary'!N$64+'Weekly Summary'!N$65)),
('Equipment List &amp; Usage'!$O73*'Weekly Summary'!N$52)+('Equipment List &amp; Usage'!$P73*'Weekly Summary'!N$53)+('Equipment List &amp; Usage'!$Q73*('Weekly Summary'!N$52+'Weekly Summary'!N$53))+('Equipment List &amp; Usage'!$R73*'Weekly Summary'!N$64)+('Equipment List &amp; Usage'!$S73*'Weekly Summary'!N$65)+('Equipment List &amp; Usage'!$T73*('Weekly Summary'!N$64+'Weekly Summary'!N$65))-SUM($I71:S71))),0)</f>
        <v>0</v>
      </c>
      <c r="U71" s="1381">
        <f ca="1">MAX(IF($F71="No",('Equipment List &amp; Usage'!$O73*'Weekly Summary'!O$52)+('Equipment List &amp; Usage'!$P73*'Weekly Summary'!O$53)+('Equipment List &amp; Usage'!$Q73*('Weekly Summary'!O$52+'Weekly Summary'!O$53))+('Equipment List &amp; Usage'!$R73*'Weekly Summary'!O$64)+('Equipment List &amp; Usage'!$S73*'Weekly Summary'!O$65)+('Equipment List &amp; Usage'!$T73*('Weekly Summary'!O$64+'Weekly Summary'!O$65)),
IF(U$10=0,('Equipment List &amp; Usage'!$O73*'Weekly Summary'!O$52)+('Equipment List &amp; Usage'!$P73*'Weekly Summary'!O$53)+('Equipment List &amp; Usage'!$Q73*('Weekly Summary'!O$52+'Weekly Summary'!O$53))+('Equipment List &amp; Usage'!$R73*'Weekly Summary'!O$64)+('Equipment List &amp; Usage'!$S73*'Weekly Summary'!O$65)+('Equipment List &amp; Usage'!$T73*('Weekly Summary'!O$64+'Weekly Summary'!O$65)),
('Equipment List &amp; Usage'!$O73*'Weekly Summary'!O$52)+('Equipment List &amp; Usage'!$P73*'Weekly Summary'!O$53)+('Equipment List &amp; Usage'!$Q73*('Weekly Summary'!O$52+'Weekly Summary'!O$53))+('Equipment List &amp; Usage'!$R73*'Weekly Summary'!O$64)+('Equipment List &amp; Usage'!$S73*'Weekly Summary'!O$65)+('Equipment List &amp; Usage'!$T73*('Weekly Summary'!O$64+'Weekly Summary'!O$65))-SUM($I71:T71))),0)</f>
        <v>0</v>
      </c>
      <c r="V71" s="1381">
        <f ca="1">MAX(IF($F71="No",('Equipment List &amp; Usage'!$O73*'Weekly Summary'!P$52)+('Equipment List &amp; Usage'!$P73*'Weekly Summary'!P$53)+('Equipment List &amp; Usage'!$Q73*('Weekly Summary'!P$52+'Weekly Summary'!P$53))+('Equipment List &amp; Usage'!$R73*'Weekly Summary'!P$64)+('Equipment List &amp; Usage'!$S73*'Weekly Summary'!P$65)+('Equipment List &amp; Usage'!$T73*('Weekly Summary'!P$64+'Weekly Summary'!P$65)),
IF(V$10=0,('Equipment List &amp; Usage'!$O73*'Weekly Summary'!P$52)+('Equipment List &amp; Usage'!$P73*'Weekly Summary'!P$53)+('Equipment List &amp; Usage'!$Q73*('Weekly Summary'!P$52+'Weekly Summary'!P$53))+('Equipment List &amp; Usage'!$R73*'Weekly Summary'!P$64)+('Equipment List &amp; Usage'!$S73*'Weekly Summary'!P$65)+('Equipment List &amp; Usage'!$T73*('Weekly Summary'!P$64+'Weekly Summary'!P$65)),
('Equipment List &amp; Usage'!$O73*'Weekly Summary'!P$52)+('Equipment List &amp; Usage'!$P73*'Weekly Summary'!P$53)+('Equipment List &amp; Usage'!$Q73*('Weekly Summary'!P$52+'Weekly Summary'!P$53))+('Equipment List &amp; Usage'!$R73*'Weekly Summary'!P$64)+('Equipment List &amp; Usage'!$S73*'Weekly Summary'!P$65)+('Equipment List &amp; Usage'!$T73*('Weekly Summary'!P$64+'Weekly Summary'!P$65))-SUM($I71:U71))),0)</f>
        <v>0</v>
      </c>
      <c r="W71" s="1381">
        <f ca="1">MAX(IF($F71="No",('Equipment List &amp; Usage'!$O73*'Weekly Summary'!Q$52)+('Equipment List &amp; Usage'!$P73*'Weekly Summary'!Q$53)+('Equipment List &amp; Usage'!$Q73*('Weekly Summary'!Q$52+'Weekly Summary'!Q$53))+('Equipment List &amp; Usage'!$R73*'Weekly Summary'!Q$64)+('Equipment List &amp; Usage'!$S73*'Weekly Summary'!Q$65)+('Equipment List &amp; Usage'!$T73*('Weekly Summary'!Q$64+'Weekly Summary'!Q$65)),
IF(W$10=0,('Equipment List &amp; Usage'!$O73*'Weekly Summary'!Q$52)+('Equipment List &amp; Usage'!$P73*'Weekly Summary'!Q$53)+('Equipment List &amp; Usage'!$Q73*('Weekly Summary'!Q$52+'Weekly Summary'!Q$53))+('Equipment List &amp; Usage'!$R73*'Weekly Summary'!Q$64)+('Equipment List &amp; Usage'!$S73*'Weekly Summary'!Q$65)+('Equipment List &amp; Usage'!$T73*('Weekly Summary'!Q$64+'Weekly Summary'!Q$65)),
('Equipment List &amp; Usage'!$O73*'Weekly Summary'!Q$52)+('Equipment List &amp; Usage'!$P73*'Weekly Summary'!Q$53)+('Equipment List &amp; Usage'!$Q73*('Weekly Summary'!Q$52+'Weekly Summary'!Q$53))+('Equipment List &amp; Usage'!$R73*'Weekly Summary'!Q$64)+('Equipment List &amp; Usage'!$S73*'Weekly Summary'!Q$65)+('Equipment List &amp; Usage'!$T73*('Weekly Summary'!Q$64+'Weekly Summary'!Q$65))-SUM($I71:V71))),0)</f>
        <v>0</v>
      </c>
      <c r="X71" s="1381">
        <f ca="1">MAX(IF($F71="No",('Equipment List &amp; Usage'!$O73*'Weekly Summary'!R$52)+('Equipment List &amp; Usage'!$P73*'Weekly Summary'!R$53)+('Equipment List &amp; Usage'!$Q73*('Weekly Summary'!R$52+'Weekly Summary'!R$53))+('Equipment List &amp; Usage'!$R73*'Weekly Summary'!R$64)+('Equipment List &amp; Usage'!$S73*'Weekly Summary'!R$65)+('Equipment List &amp; Usage'!$T73*('Weekly Summary'!R$64+'Weekly Summary'!R$65)),
IF(X$10=0,('Equipment List &amp; Usage'!$O73*'Weekly Summary'!R$52)+('Equipment List &amp; Usage'!$P73*'Weekly Summary'!R$53)+('Equipment List &amp; Usage'!$Q73*('Weekly Summary'!R$52+'Weekly Summary'!R$53))+('Equipment List &amp; Usage'!$R73*'Weekly Summary'!R$64)+('Equipment List &amp; Usage'!$S73*'Weekly Summary'!R$65)+('Equipment List &amp; Usage'!$T73*('Weekly Summary'!R$64+'Weekly Summary'!R$65)),
('Equipment List &amp; Usage'!$O73*'Weekly Summary'!R$52)+('Equipment List &amp; Usage'!$P73*'Weekly Summary'!R$53)+('Equipment List &amp; Usage'!$Q73*('Weekly Summary'!R$52+'Weekly Summary'!R$53))+('Equipment List &amp; Usage'!$R73*'Weekly Summary'!R$64)+('Equipment List &amp; Usage'!$S73*'Weekly Summary'!R$65)+('Equipment List &amp; Usage'!$T73*('Weekly Summary'!R$64+'Weekly Summary'!R$65))-SUM($I71:W71))),0)</f>
        <v>0</v>
      </c>
      <c r="Y71" s="1381">
        <f ca="1">MAX(IF($F71="No",('Equipment List &amp; Usage'!$O73*'Weekly Summary'!S$52)+('Equipment List &amp; Usage'!$P73*'Weekly Summary'!S$53)+('Equipment List &amp; Usage'!$Q73*('Weekly Summary'!S$52+'Weekly Summary'!S$53))+('Equipment List &amp; Usage'!$R73*'Weekly Summary'!S$64)+('Equipment List &amp; Usage'!$S73*'Weekly Summary'!S$65)+('Equipment List &amp; Usage'!$T73*('Weekly Summary'!S$64+'Weekly Summary'!S$65)),
IF(Y$10=0,('Equipment List &amp; Usage'!$O73*'Weekly Summary'!S$52)+('Equipment List &amp; Usage'!$P73*'Weekly Summary'!S$53)+('Equipment List &amp; Usage'!$Q73*('Weekly Summary'!S$52+'Weekly Summary'!S$53))+('Equipment List &amp; Usage'!$R73*'Weekly Summary'!S$64)+('Equipment List &amp; Usage'!$S73*'Weekly Summary'!S$65)+('Equipment List &amp; Usage'!$T73*('Weekly Summary'!S$64+'Weekly Summary'!S$65)),
('Equipment List &amp; Usage'!$O73*'Weekly Summary'!S$52)+('Equipment List &amp; Usage'!$P73*'Weekly Summary'!S$53)+('Equipment List &amp; Usage'!$Q73*('Weekly Summary'!S$52+'Weekly Summary'!S$53))+('Equipment List &amp; Usage'!$R73*'Weekly Summary'!S$64)+('Equipment List &amp; Usage'!$S73*'Weekly Summary'!S$65)+('Equipment List &amp; Usage'!$T73*('Weekly Summary'!S$64+'Weekly Summary'!S$65))-SUM($I71:X71))),0)</f>
        <v>0</v>
      </c>
      <c r="Z71" s="1381">
        <f ca="1">MAX(IF($F71="No",('Equipment List &amp; Usage'!$O73*'Weekly Summary'!T$52)+('Equipment List &amp; Usage'!$P73*'Weekly Summary'!T$53)+('Equipment List &amp; Usage'!$Q73*('Weekly Summary'!T$52+'Weekly Summary'!T$53))+('Equipment List &amp; Usage'!$R73*'Weekly Summary'!T$64)+('Equipment List &amp; Usage'!$S73*'Weekly Summary'!T$65)+('Equipment List &amp; Usage'!$T73*('Weekly Summary'!T$64+'Weekly Summary'!T$65)),
IF(Z$10=0,('Equipment List &amp; Usage'!$O73*'Weekly Summary'!T$52)+('Equipment List &amp; Usage'!$P73*'Weekly Summary'!T$53)+('Equipment List &amp; Usage'!$Q73*('Weekly Summary'!T$52+'Weekly Summary'!T$53))+('Equipment List &amp; Usage'!$R73*'Weekly Summary'!T$64)+('Equipment List &amp; Usage'!$S73*'Weekly Summary'!T$65)+('Equipment List &amp; Usage'!$T73*('Weekly Summary'!T$64+'Weekly Summary'!T$65)),
('Equipment List &amp; Usage'!$O73*'Weekly Summary'!T$52)+('Equipment List &amp; Usage'!$P73*'Weekly Summary'!T$53)+('Equipment List &amp; Usage'!$Q73*('Weekly Summary'!T$52+'Weekly Summary'!T$53))+('Equipment List &amp; Usage'!$R73*'Weekly Summary'!T$64)+('Equipment List &amp; Usage'!$S73*'Weekly Summary'!T$65)+('Equipment List &amp; Usage'!$T73*('Weekly Summary'!T$64+'Weekly Summary'!T$65))-SUM($I71:Y71))),0)</f>
        <v>0</v>
      </c>
      <c r="AA71" s="1381">
        <f ca="1">MAX(IF($F71="No",('Equipment List &amp; Usage'!$O73*'Weekly Summary'!U$52)+('Equipment List &amp; Usage'!$P73*'Weekly Summary'!U$53)+('Equipment List &amp; Usage'!$Q73*('Weekly Summary'!U$52+'Weekly Summary'!U$53))+('Equipment List &amp; Usage'!$R73*'Weekly Summary'!U$64)+('Equipment List &amp; Usage'!$S73*'Weekly Summary'!U$65)+('Equipment List &amp; Usage'!$T73*('Weekly Summary'!U$64+'Weekly Summary'!U$65)),
IF(AA$10=0,('Equipment List &amp; Usage'!$O73*'Weekly Summary'!U$52)+('Equipment List &amp; Usage'!$P73*'Weekly Summary'!U$53)+('Equipment List &amp; Usage'!$Q73*('Weekly Summary'!U$52+'Weekly Summary'!U$53))+('Equipment List &amp; Usage'!$R73*'Weekly Summary'!U$64)+('Equipment List &amp; Usage'!$S73*'Weekly Summary'!U$65)+('Equipment List &amp; Usage'!$T73*('Weekly Summary'!U$64+'Weekly Summary'!U$65)),
('Equipment List &amp; Usage'!$O73*'Weekly Summary'!U$52)+('Equipment List &amp; Usage'!$P73*'Weekly Summary'!U$53)+('Equipment List &amp; Usage'!$Q73*('Weekly Summary'!U$52+'Weekly Summary'!U$53))+('Equipment List &amp; Usage'!$R73*'Weekly Summary'!U$64)+('Equipment List &amp; Usage'!$S73*'Weekly Summary'!U$65)+('Equipment List &amp; Usage'!$T73*('Weekly Summary'!U$64+'Weekly Summary'!U$65))-SUM($I71:Z71))),0)</f>
        <v>0</v>
      </c>
      <c r="AB71" s="1381">
        <f ca="1">MAX(IF($F71="No",('Equipment List &amp; Usage'!$O73*'Weekly Summary'!V$52)+('Equipment List &amp; Usage'!$P73*'Weekly Summary'!V$53)+('Equipment List &amp; Usage'!$Q73*('Weekly Summary'!V$52+'Weekly Summary'!V$53))+('Equipment List &amp; Usage'!$R73*'Weekly Summary'!V$64)+('Equipment List &amp; Usage'!$S73*'Weekly Summary'!V$65)+('Equipment List &amp; Usage'!$T73*('Weekly Summary'!V$64+'Weekly Summary'!V$65)),
IF(AB$10=0,('Equipment List &amp; Usage'!$O73*'Weekly Summary'!V$52)+('Equipment List &amp; Usage'!$P73*'Weekly Summary'!V$53)+('Equipment List &amp; Usage'!$Q73*('Weekly Summary'!V$52+'Weekly Summary'!V$53))+('Equipment List &amp; Usage'!$R73*'Weekly Summary'!V$64)+('Equipment List &amp; Usage'!$S73*'Weekly Summary'!V$65)+('Equipment List &amp; Usage'!$T73*('Weekly Summary'!V$64+'Weekly Summary'!V$65)),
('Equipment List &amp; Usage'!$O73*'Weekly Summary'!V$52)+('Equipment List &amp; Usage'!$P73*'Weekly Summary'!V$53)+('Equipment List &amp; Usage'!$Q73*('Weekly Summary'!V$52+'Weekly Summary'!V$53))+('Equipment List &amp; Usage'!$R73*'Weekly Summary'!V$64)+('Equipment List &amp; Usage'!$S73*'Weekly Summary'!V$65)+('Equipment List &amp; Usage'!$T73*('Weekly Summary'!V$64+'Weekly Summary'!V$65))-SUM($I71:AA71))),0)</f>
        <v>0</v>
      </c>
      <c r="AC71" s="1381">
        <f ca="1">MAX(IF($F71="No",('Equipment List &amp; Usage'!$O73*'Weekly Summary'!W$52)+('Equipment List &amp; Usage'!$P73*'Weekly Summary'!W$53)+('Equipment List &amp; Usage'!$Q73*('Weekly Summary'!W$52+'Weekly Summary'!W$53))+('Equipment List &amp; Usage'!$R73*'Weekly Summary'!W$64)+('Equipment List &amp; Usage'!$S73*'Weekly Summary'!W$65)+('Equipment List &amp; Usage'!$T73*('Weekly Summary'!W$64+'Weekly Summary'!W$65)),
IF(AC$10=0,('Equipment List &amp; Usage'!$O73*'Weekly Summary'!W$52)+('Equipment List &amp; Usage'!$P73*'Weekly Summary'!W$53)+('Equipment List &amp; Usage'!$Q73*('Weekly Summary'!W$52+'Weekly Summary'!W$53))+('Equipment List &amp; Usage'!$R73*'Weekly Summary'!W$64)+('Equipment List &amp; Usage'!$S73*'Weekly Summary'!W$65)+('Equipment List &amp; Usage'!$T73*('Weekly Summary'!W$64+'Weekly Summary'!W$65)),
('Equipment List &amp; Usage'!$O73*'Weekly Summary'!W$52)+('Equipment List &amp; Usage'!$P73*'Weekly Summary'!W$53)+('Equipment List &amp; Usage'!$Q73*('Weekly Summary'!W$52+'Weekly Summary'!W$53))+('Equipment List &amp; Usage'!$R73*'Weekly Summary'!W$64)+('Equipment List &amp; Usage'!$S73*'Weekly Summary'!W$65)+('Equipment List &amp; Usage'!$T73*('Weekly Summary'!W$64+'Weekly Summary'!W$65))-SUM($I71:AB71))),0)</f>
        <v>0</v>
      </c>
      <c r="AD71" s="1381">
        <f ca="1">MAX(IF($F71="No",('Equipment List &amp; Usage'!$O73*'Weekly Summary'!X$52)+('Equipment List &amp; Usage'!$P73*'Weekly Summary'!X$53)+('Equipment List &amp; Usage'!$Q73*('Weekly Summary'!X$52+'Weekly Summary'!X$53))+('Equipment List &amp; Usage'!$R73*'Weekly Summary'!X$64)+('Equipment List &amp; Usage'!$S73*'Weekly Summary'!X$65)+('Equipment List &amp; Usage'!$T73*('Weekly Summary'!X$64+'Weekly Summary'!X$65)),
IF(AD$10=0,('Equipment List &amp; Usage'!$O73*'Weekly Summary'!X$52)+('Equipment List &amp; Usage'!$P73*'Weekly Summary'!X$53)+('Equipment List &amp; Usage'!$Q73*('Weekly Summary'!X$52+'Weekly Summary'!X$53))+('Equipment List &amp; Usage'!$R73*'Weekly Summary'!X$64)+('Equipment List &amp; Usage'!$S73*'Weekly Summary'!X$65)+('Equipment List &amp; Usage'!$T73*('Weekly Summary'!X$64+'Weekly Summary'!X$65)),
('Equipment List &amp; Usage'!$O73*'Weekly Summary'!X$52)+('Equipment List &amp; Usage'!$P73*'Weekly Summary'!X$53)+('Equipment List &amp; Usage'!$Q73*('Weekly Summary'!X$52+'Weekly Summary'!X$53))+('Equipment List &amp; Usage'!$R73*'Weekly Summary'!X$64)+('Equipment List &amp; Usage'!$S73*'Weekly Summary'!X$65)+('Equipment List &amp; Usage'!$T73*('Weekly Summary'!X$64+'Weekly Summary'!X$65))-SUM($I71:AC71))),0)</f>
        <v>0</v>
      </c>
      <c r="AE71" s="1381">
        <f ca="1">MAX(IF($F71="No",('Equipment List &amp; Usage'!$O73*'Weekly Summary'!Y$52)+('Equipment List &amp; Usage'!$P73*'Weekly Summary'!Y$53)+('Equipment List &amp; Usage'!$Q73*('Weekly Summary'!Y$52+'Weekly Summary'!Y$53))+('Equipment List &amp; Usage'!$R73*'Weekly Summary'!Y$64)+('Equipment List &amp; Usage'!$S73*'Weekly Summary'!Y$65)+('Equipment List &amp; Usage'!$T73*('Weekly Summary'!Y$64+'Weekly Summary'!Y$65)),
IF(AE$10=0,('Equipment List &amp; Usage'!$O73*'Weekly Summary'!Y$52)+('Equipment List &amp; Usage'!$P73*'Weekly Summary'!Y$53)+('Equipment List &amp; Usage'!$Q73*('Weekly Summary'!Y$52+'Weekly Summary'!Y$53))+('Equipment List &amp; Usage'!$R73*'Weekly Summary'!Y$64)+('Equipment List &amp; Usage'!$S73*'Weekly Summary'!Y$65)+('Equipment List &amp; Usage'!$T73*('Weekly Summary'!Y$64+'Weekly Summary'!Y$65)),
('Equipment List &amp; Usage'!$O73*'Weekly Summary'!Y$52)+('Equipment List &amp; Usage'!$P73*'Weekly Summary'!Y$53)+('Equipment List &amp; Usage'!$Q73*('Weekly Summary'!Y$52+'Weekly Summary'!Y$53))+('Equipment List &amp; Usage'!$R73*'Weekly Summary'!Y$64)+('Equipment List &amp; Usage'!$S73*'Weekly Summary'!Y$65)+('Equipment List &amp; Usage'!$T73*('Weekly Summary'!Y$64+'Weekly Summary'!Y$65))-SUM($I71:AD71))),0)</f>
        <v>0</v>
      </c>
      <c r="AF71" s="1381">
        <f ca="1">MAX(IF($F71="No",('Equipment List &amp; Usage'!$O73*'Weekly Summary'!Z$52)+('Equipment List &amp; Usage'!$P73*'Weekly Summary'!Z$53)+('Equipment List &amp; Usage'!$Q73*('Weekly Summary'!Z$52+'Weekly Summary'!Z$53))+('Equipment List &amp; Usage'!$R73*'Weekly Summary'!Z$64)+('Equipment List &amp; Usage'!$S73*'Weekly Summary'!Z$65)+('Equipment List &amp; Usage'!$T73*('Weekly Summary'!Z$64+'Weekly Summary'!Z$65)),
IF(AF$10=0,('Equipment List &amp; Usage'!$O73*'Weekly Summary'!Z$52)+('Equipment List &amp; Usage'!$P73*'Weekly Summary'!Z$53)+('Equipment List &amp; Usage'!$Q73*('Weekly Summary'!Z$52+'Weekly Summary'!Z$53))+('Equipment List &amp; Usage'!$R73*'Weekly Summary'!Z$64)+('Equipment List &amp; Usage'!$S73*'Weekly Summary'!Z$65)+('Equipment List &amp; Usage'!$T73*('Weekly Summary'!Z$64+'Weekly Summary'!Z$65)),
('Equipment List &amp; Usage'!$O73*'Weekly Summary'!Z$52)+('Equipment List &amp; Usage'!$P73*'Weekly Summary'!Z$53)+('Equipment List &amp; Usage'!$Q73*('Weekly Summary'!Z$52+'Weekly Summary'!Z$53))+('Equipment List &amp; Usage'!$R73*'Weekly Summary'!Z$64)+('Equipment List &amp; Usage'!$S73*'Weekly Summary'!Z$65)+('Equipment List &amp; Usage'!$T73*('Weekly Summary'!Z$64+'Weekly Summary'!Z$65))-SUM($I71:AE71))),0)</f>
        <v>0</v>
      </c>
      <c r="AG71" s="1381">
        <f ca="1">MAX(IF($F71="No",('Equipment List &amp; Usage'!$O73*'Weekly Summary'!AA$52)+('Equipment List &amp; Usage'!$P73*'Weekly Summary'!AA$53)+('Equipment List &amp; Usage'!$Q73*('Weekly Summary'!AA$52+'Weekly Summary'!AA$53))+('Equipment List &amp; Usage'!$R73*'Weekly Summary'!AA$64)+('Equipment List &amp; Usage'!$S73*'Weekly Summary'!AA$65)+('Equipment List &amp; Usage'!$T73*('Weekly Summary'!AA$64+'Weekly Summary'!AA$65)),
IF(AG$10=0,('Equipment List &amp; Usage'!$O73*'Weekly Summary'!AA$52)+('Equipment List &amp; Usage'!$P73*'Weekly Summary'!AA$53)+('Equipment List &amp; Usage'!$Q73*('Weekly Summary'!AA$52+'Weekly Summary'!AA$53))+('Equipment List &amp; Usage'!$R73*'Weekly Summary'!AA$64)+('Equipment List &amp; Usage'!$S73*'Weekly Summary'!AA$65)+('Equipment List &amp; Usage'!$T73*('Weekly Summary'!AA$64+'Weekly Summary'!AA$65)),
('Equipment List &amp; Usage'!$O73*'Weekly Summary'!AA$52)+('Equipment List &amp; Usage'!$P73*'Weekly Summary'!AA$53)+('Equipment List &amp; Usage'!$Q73*('Weekly Summary'!AA$52+'Weekly Summary'!AA$53))+('Equipment List &amp; Usage'!$R73*'Weekly Summary'!AA$64)+('Equipment List &amp; Usage'!$S73*'Weekly Summary'!AA$65)+('Equipment List &amp; Usage'!$T73*('Weekly Summary'!AA$64+'Weekly Summary'!AA$65))-SUM($I71:AF71))),0)</f>
        <v>0</v>
      </c>
      <c r="AH71" s="1381">
        <f ca="1">MAX(IF($F71="No",('Equipment List &amp; Usage'!$O73*'Weekly Summary'!AB$52)+('Equipment List &amp; Usage'!$P73*'Weekly Summary'!AB$53)+('Equipment List &amp; Usage'!$Q73*('Weekly Summary'!AB$52+'Weekly Summary'!AB$53))+('Equipment List &amp; Usage'!$R73*'Weekly Summary'!AB$64)+('Equipment List &amp; Usage'!$S73*'Weekly Summary'!AB$65)+('Equipment List &amp; Usage'!$T73*('Weekly Summary'!AB$64+'Weekly Summary'!AB$65)),
IF(AH$10=0,('Equipment List &amp; Usage'!$O73*'Weekly Summary'!AB$52)+('Equipment List &amp; Usage'!$P73*'Weekly Summary'!AB$53)+('Equipment List &amp; Usage'!$Q73*('Weekly Summary'!AB$52+'Weekly Summary'!AB$53))+('Equipment List &amp; Usage'!$R73*'Weekly Summary'!AB$64)+('Equipment List &amp; Usage'!$S73*'Weekly Summary'!AB$65)+('Equipment List &amp; Usage'!$T73*('Weekly Summary'!AB$64+'Weekly Summary'!AB$65)),
('Equipment List &amp; Usage'!$O73*'Weekly Summary'!AB$52)+('Equipment List &amp; Usage'!$P73*'Weekly Summary'!AB$53)+('Equipment List &amp; Usage'!$Q73*('Weekly Summary'!AB$52+'Weekly Summary'!AB$53))+('Equipment List &amp; Usage'!$R73*'Weekly Summary'!AB$64)+('Equipment List &amp; Usage'!$S73*'Weekly Summary'!AB$65)+('Equipment List &amp; Usage'!$T73*('Weekly Summary'!AB$64+'Weekly Summary'!AB$65))-SUM($I71:AG71))),0)</f>
        <v>0</v>
      </c>
      <c r="AI71" s="1381">
        <f ca="1">MAX(IF($F71="No",('Equipment List &amp; Usage'!$O73*'Weekly Summary'!AC$52)+('Equipment List &amp; Usage'!$P73*'Weekly Summary'!AC$53)+('Equipment List &amp; Usage'!$Q73*('Weekly Summary'!AC$52+'Weekly Summary'!AC$53))+('Equipment List &amp; Usage'!$R73*'Weekly Summary'!AC$64)+('Equipment List &amp; Usage'!$S73*'Weekly Summary'!AC$65)+('Equipment List &amp; Usage'!$T73*('Weekly Summary'!AC$64+'Weekly Summary'!AC$65)),
IF(AI$10=0,('Equipment List &amp; Usage'!$O73*'Weekly Summary'!AC$52)+('Equipment List &amp; Usage'!$P73*'Weekly Summary'!AC$53)+('Equipment List &amp; Usage'!$Q73*('Weekly Summary'!AC$52+'Weekly Summary'!AC$53))+('Equipment List &amp; Usage'!$R73*'Weekly Summary'!AC$64)+('Equipment List &amp; Usage'!$S73*'Weekly Summary'!AC$65)+('Equipment List &amp; Usage'!$T73*('Weekly Summary'!AC$64+'Weekly Summary'!AC$65)),
('Equipment List &amp; Usage'!$O73*'Weekly Summary'!AC$52)+('Equipment List &amp; Usage'!$P73*'Weekly Summary'!AC$53)+('Equipment List &amp; Usage'!$Q73*('Weekly Summary'!AC$52+'Weekly Summary'!AC$53))+('Equipment List &amp; Usage'!$R73*'Weekly Summary'!AC$64)+('Equipment List &amp; Usage'!$S73*'Weekly Summary'!AC$65)+('Equipment List &amp; Usage'!$T73*('Weekly Summary'!AC$64+'Weekly Summary'!AC$65))-SUM($I71:AH71))),0)</f>
        <v>0</v>
      </c>
      <c r="AJ71" s="1381">
        <f ca="1">MAX(IF($F71="No",('Equipment List &amp; Usage'!$O73*'Weekly Summary'!AD$52)+('Equipment List &amp; Usage'!$P73*'Weekly Summary'!AD$53)+('Equipment List &amp; Usage'!$Q73*('Weekly Summary'!AD$52+'Weekly Summary'!AD$53))+('Equipment List &amp; Usage'!$R73*'Weekly Summary'!AD$64)+('Equipment List &amp; Usage'!$S73*'Weekly Summary'!AD$65)+('Equipment List &amp; Usage'!$T73*('Weekly Summary'!AD$64+'Weekly Summary'!AD$65)),
IF(AJ$10=0,('Equipment List &amp; Usage'!$O73*'Weekly Summary'!AD$52)+('Equipment List &amp; Usage'!$P73*'Weekly Summary'!AD$53)+('Equipment List &amp; Usage'!$Q73*('Weekly Summary'!AD$52+'Weekly Summary'!AD$53))+('Equipment List &amp; Usage'!$R73*'Weekly Summary'!AD$64)+('Equipment List &amp; Usage'!$S73*'Weekly Summary'!AD$65)+('Equipment List &amp; Usage'!$T73*('Weekly Summary'!AD$64+'Weekly Summary'!AD$65)),
('Equipment List &amp; Usage'!$O73*'Weekly Summary'!AD$52)+('Equipment List &amp; Usage'!$P73*'Weekly Summary'!AD$53)+('Equipment List &amp; Usage'!$Q73*('Weekly Summary'!AD$52+'Weekly Summary'!AD$53))+('Equipment List &amp; Usage'!$R73*'Weekly Summary'!AD$64)+('Equipment List &amp; Usage'!$S73*'Weekly Summary'!AD$65)+('Equipment List &amp; Usage'!$T73*('Weekly Summary'!AD$64+'Weekly Summary'!AD$65))-SUM($I71:AI71))),0)</f>
        <v>0</v>
      </c>
      <c r="AK71" s="1381">
        <f ca="1">MAX(IF($F71="No",('Equipment List &amp; Usage'!$O73*'Weekly Summary'!AE$52)+('Equipment List &amp; Usage'!$P73*'Weekly Summary'!AE$53)+('Equipment List &amp; Usage'!$Q73*('Weekly Summary'!AE$52+'Weekly Summary'!AE$53))+('Equipment List &amp; Usage'!$R73*'Weekly Summary'!AE$64)+('Equipment List &amp; Usage'!$S73*'Weekly Summary'!AE$65)+('Equipment List &amp; Usage'!$T73*('Weekly Summary'!AE$64+'Weekly Summary'!AE$65)),
IF(AK$10=0,('Equipment List &amp; Usage'!$O73*'Weekly Summary'!AE$52)+('Equipment List &amp; Usage'!$P73*'Weekly Summary'!AE$53)+('Equipment List &amp; Usage'!$Q73*('Weekly Summary'!AE$52+'Weekly Summary'!AE$53))+('Equipment List &amp; Usage'!$R73*'Weekly Summary'!AE$64)+('Equipment List &amp; Usage'!$S73*'Weekly Summary'!AE$65)+('Equipment List &amp; Usage'!$T73*('Weekly Summary'!AE$64+'Weekly Summary'!AE$65)),
('Equipment List &amp; Usage'!$O73*'Weekly Summary'!AE$52)+('Equipment List &amp; Usage'!$P73*'Weekly Summary'!AE$53)+('Equipment List &amp; Usage'!$Q73*('Weekly Summary'!AE$52+'Weekly Summary'!AE$53))+('Equipment List &amp; Usage'!$R73*'Weekly Summary'!AE$64)+('Equipment List &amp; Usage'!$S73*'Weekly Summary'!AE$65)+('Equipment List &amp; Usage'!$T73*('Weekly Summary'!AE$64+'Weekly Summary'!AE$65))-SUM($I71:AJ71))),0)</f>
        <v>0</v>
      </c>
      <c r="AL71" s="1381">
        <f ca="1">MAX(IF($F71="No",('Equipment List &amp; Usage'!$O73*'Weekly Summary'!AF$52)+('Equipment List &amp; Usage'!$P73*'Weekly Summary'!AF$53)+('Equipment List &amp; Usage'!$Q73*('Weekly Summary'!AF$52+'Weekly Summary'!AF$53))+('Equipment List &amp; Usage'!$R73*'Weekly Summary'!AF$64)+('Equipment List &amp; Usage'!$S73*'Weekly Summary'!AF$65)+('Equipment List &amp; Usage'!$T73*('Weekly Summary'!AF$64+'Weekly Summary'!AF$65)),
IF(AL$10=0,('Equipment List &amp; Usage'!$O73*'Weekly Summary'!AF$52)+('Equipment List &amp; Usage'!$P73*'Weekly Summary'!AF$53)+('Equipment List &amp; Usage'!$Q73*('Weekly Summary'!AF$52+'Weekly Summary'!AF$53))+('Equipment List &amp; Usage'!$R73*'Weekly Summary'!AF$64)+('Equipment List &amp; Usage'!$S73*'Weekly Summary'!AF$65)+('Equipment List &amp; Usage'!$T73*('Weekly Summary'!AF$64+'Weekly Summary'!AF$65)),
('Equipment List &amp; Usage'!$O73*'Weekly Summary'!AF$52)+('Equipment List &amp; Usage'!$P73*'Weekly Summary'!AF$53)+('Equipment List &amp; Usage'!$Q73*('Weekly Summary'!AF$52+'Weekly Summary'!AF$53))+('Equipment List &amp; Usage'!$R73*'Weekly Summary'!AF$64)+('Equipment List &amp; Usage'!$S73*'Weekly Summary'!AF$65)+('Equipment List &amp; Usage'!$T73*('Weekly Summary'!AF$64+'Weekly Summary'!AF$65))-SUM($I71:AK71))),0)</f>
        <v>0</v>
      </c>
      <c r="AM71" s="1381">
        <f ca="1">MAX(IF($F71="No",('Equipment List &amp; Usage'!$O73*'Weekly Summary'!AG$52)+('Equipment List &amp; Usage'!$P73*'Weekly Summary'!AG$53)+('Equipment List &amp; Usage'!$Q73*('Weekly Summary'!AG$52+'Weekly Summary'!AG$53))+('Equipment List &amp; Usage'!$R73*'Weekly Summary'!AG$64)+('Equipment List &amp; Usage'!$S73*'Weekly Summary'!AG$65)+('Equipment List &amp; Usage'!$T73*('Weekly Summary'!AG$64+'Weekly Summary'!AG$65)),
IF(AM$10=0,('Equipment List &amp; Usage'!$O73*'Weekly Summary'!AG$52)+('Equipment List &amp; Usage'!$P73*'Weekly Summary'!AG$53)+('Equipment List &amp; Usage'!$Q73*('Weekly Summary'!AG$52+'Weekly Summary'!AG$53))+('Equipment List &amp; Usage'!$R73*'Weekly Summary'!AG$64)+('Equipment List &amp; Usage'!$S73*'Weekly Summary'!AG$65)+('Equipment List &amp; Usage'!$T73*('Weekly Summary'!AG$64+'Weekly Summary'!AG$65)),
('Equipment List &amp; Usage'!$O73*'Weekly Summary'!AG$52)+('Equipment List &amp; Usage'!$P73*'Weekly Summary'!AG$53)+('Equipment List &amp; Usage'!$Q73*('Weekly Summary'!AG$52+'Weekly Summary'!AG$53))+('Equipment List &amp; Usage'!$R73*'Weekly Summary'!AG$64)+('Equipment List &amp; Usage'!$S73*'Weekly Summary'!AG$65)+('Equipment List &amp; Usage'!$T73*('Weekly Summary'!AG$64+'Weekly Summary'!AG$65))-SUM($I71:AL71))),0)</f>
        <v>0</v>
      </c>
      <c r="AN71" s="1381">
        <f ca="1">MAX(IF($F71="No",('Equipment List &amp; Usage'!$O73*'Weekly Summary'!AH$52)+('Equipment List &amp; Usage'!$P73*'Weekly Summary'!AH$53)+('Equipment List &amp; Usage'!$Q73*('Weekly Summary'!AH$52+'Weekly Summary'!AH$53))+('Equipment List &amp; Usage'!$R73*'Weekly Summary'!AH$64)+('Equipment List &amp; Usage'!$S73*'Weekly Summary'!AH$65)+('Equipment List &amp; Usage'!$T73*('Weekly Summary'!AH$64+'Weekly Summary'!AH$65)),
IF(AN$10=0,('Equipment List &amp; Usage'!$O73*'Weekly Summary'!AH$52)+('Equipment List &amp; Usage'!$P73*'Weekly Summary'!AH$53)+('Equipment List &amp; Usage'!$Q73*('Weekly Summary'!AH$52+'Weekly Summary'!AH$53))+('Equipment List &amp; Usage'!$R73*'Weekly Summary'!AH$64)+('Equipment List &amp; Usage'!$S73*'Weekly Summary'!AH$65)+('Equipment List &amp; Usage'!$T73*('Weekly Summary'!AH$64+'Weekly Summary'!AH$65)),
('Equipment List &amp; Usage'!$O73*'Weekly Summary'!AH$52)+('Equipment List &amp; Usage'!$P73*'Weekly Summary'!AH$53)+('Equipment List &amp; Usage'!$Q73*('Weekly Summary'!AH$52+'Weekly Summary'!AH$53))+('Equipment List &amp; Usage'!$R73*'Weekly Summary'!AH$64)+('Equipment List &amp; Usage'!$S73*'Weekly Summary'!AH$65)+('Equipment List &amp; Usage'!$T73*('Weekly Summary'!AH$64+'Weekly Summary'!AH$65))-SUM($I71:AM71))),0)</f>
        <v>0</v>
      </c>
      <c r="AO71" s="1381">
        <f ca="1">MAX(IF($F71="No",('Equipment List &amp; Usage'!$O73*'Weekly Summary'!AI$52)+('Equipment List &amp; Usage'!$P73*'Weekly Summary'!AI$53)+('Equipment List &amp; Usage'!$Q73*('Weekly Summary'!AI$52+'Weekly Summary'!AI$53))+('Equipment List &amp; Usage'!$R73*'Weekly Summary'!AI$64)+('Equipment List &amp; Usage'!$S73*'Weekly Summary'!AI$65)+('Equipment List &amp; Usage'!$T73*('Weekly Summary'!AI$64+'Weekly Summary'!AI$65)),
IF(AO$10=0,('Equipment List &amp; Usage'!$O73*'Weekly Summary'!AI$52)+('Equipment List &amp; Usage'!$P73*'Weekly Summary'!AI$53)+('Equipment List &amp; Usage'!$Q73*('Weekly Summary'!AI$52+'Weekly Summary'!AI$53))+('Equipment List &amp; Usage'!$R73*'Weekly Summary'!AI$64)+('Equipment List &amp; Usage'!$S73*'Weekly Summary'!AI$65)+('Equipment List &amp; Usage'!$T73*('Weekly Summary'!AI$64+'Weekly Summary'!AI$65)),
('Equipment List &amp; Usage'!$O73*'Weekly Summary'!AI$52)+('Equipment List &amp; Usage'!$P73*'Weekly Summary'!AI$53)+('Equipment List &amp; Usage'!$Q73*('Weekly Summary'!AI$52+'Weekly Summary'!AI$53))+('Equipment List &amp; Usage'!$R73*'Weekly Summary'!AI$64)+('Equipment List &amp; Usage'!$S73*'Weekly Summary'!AI$65)+('Equipment List &amp; Usage'!$T73*('Weekly Summary'!AI$64+'Weekly Summary'!AI$65))-SUM($I71:AN71))),0)</f>
        <v>0</v>
      </c>
      <c r="AP71" s="1381">
        <f ca="1">MAX(IF($F71="No",('Equipment List &amp; Usage'!$O73*'Weekly Summary'!AJ$52)+('Equipment List &amp; Usage'!$P73*'Weekly Summary'!AJ$53)+('Equipment List &amp; Usage'!$Q73*('Weekly Summary'!AJ$52+'Weekly Summary'!AJ$53))+('Equipment List &amp; Usage'!$R73*'Weekly Summary'!AJ$64)+('Equipment List &amp; Usage'!$S73*'Weekly Summary'!AJ$65)+('Equipment List &amp; Usage'!$T73*('Weekly Summary'!AJ$64+'Weekly Summary'!AJ$65)),
IF(AP$10=0,('Equipment List &amp; Usage'!$O73*'Weekly Summary'!AJ$52)+('Equipment List &amp; Usage'!$P73*'Weekly Summary'!AJ$53)+('Equipment List &amp; Usage'!$Q73*('Weekly Summary'!AJ$52+'Weekly Summary'!AJ$53))+('Equipment List &amp; Usage'!$R73*'Weekly Summary'!AJ$64)+('Equipment List &amp; Usage'!$S73*'Weekly Summary'!AJ$65)+('Equipment List &amp; Usage'!$T73*('Weekly Summary'!AJ$64+'Weekly Summary'!AJ$65)),
('Equipment List &amp; Usage'!$O73*'Weekly Summary'!AJ$52)+('Equipment List &amp; Usage'!$P73*'Weekly Summary'!AJ$53)+('Equipment List &amp; Usage'!$Q73*('Weekly Summary'!AJ$52+'Weekly Summary'!AJ$53))+('Equipment List &amp; Usage'!$R73*'Weekly Summary'!AJ$64)+('Equipment List &amp; Usage'!$S73*'Weekly Summary'!AJ$65)+('Equipment List &amp; Usage'!$T73*('Weekly Summary'!AJ$64+'Weekly Summary'!AJ$65))-SUM($I71:AO71))),0)</f>
        <v>0</v>
      </c>
      <c r="AQ71" s="1381">
        <f ca="1">MAX(IF($F71="No",('Equipment List &amp; Usage'!$O73*'Weekly Summary'!AK$52)+('Equipment List &amp; Usage'!$P73*'Weekly Summary'!AK$53)+('Equipment List &amp; Usage'!$Q73*('Weekly Summary'!AK$52+'Weekly Summary'!AK$53))+('Equipment List &amp; Usage'!$R73*'Weekly Summary'!AK$64)+('Equipment List &amp; Usage'!$S73*'Weekly Summary'!AK$65)+('Equipment List &amp; Usage'!$T73*('Weekly Summary'!AK$64+'Weekly Summary'!AK$65)),
IF(AQ$10=0,('Equipment List &amp; Usage'!$O73*'Weekly Summary'!AK$52)+('Equipment List &amp; Usage'!$P73*'Weekly Summary'!AK$53)+('Equipment List &amp; Usage'!$Q73*('Weekly Summary'!AK$52+'Weekly Summary'!AK$53))+('Equipment List &amp; Usage'!$R73*'Weekly Summary'!AK$64)+('Equipment List &amp; Usage'!$S73*'Weekly Summary'!AK$65)+('Equipment List &amp; Usage'!$T73*('Weekly Summary'!AK$64+'Weekly Summary'!AK$65)),
('Equipment List &amp; Usage'!$O73*'Weekly Summary'!AK$52)+('Equipment List &amp; Usage'!$P73*'Weekly Summary'!AK$53)+('Equipment List &amp; Usage'!$Q73*('Weekly Summary'!AK$52+'Weekly Summary'!AK$53))+('Equipment List &amp; Usage'!$R73*'Weekly Summary'!AK$64)+('Equipment List &amp; Usage'!$S73*'Weekly Summary'!AK$65)+('Equipment List &amp; Usage'!$T73*('Weekly Summary'!AK$64+'Weekly Summary'!AK$65))-SUM($I71:AP71))),0)</f>
        <v>0</v>
      </c>
      <c r="AR71" s="1381">
        <f ca="1">MAX(IF($F71="No",('Equipment List &amp; Usage'!$O73*'Weekly Summary'!AL$52)+('Equipment List &amp; Usage'!$P73*'Weekly Summary'!AL$53)+('Equipment List &amp; Usage'!$Q73*('Weekly Summary'!AL$52+'Weekly Summary'!AL$53))+('Equipment List &amp; Usage'!$R73*'Weekly Summary'!AL$64)+('Equipment List &amp; Usage'!$S73*'Weekly Summary'!AL$65)+('Equipment List &amp; Usage'!$T73*('Weekly Summary'!AL$64+'Weekly Summary'!AL$65)),
IF(AR$10=0,('Equipment List &amp; Usage'!$O73*'Weekly Summary'!AL$52)+('Equipment List &amp; Usage'!$P73*'Weekly Summary'!AL$53)+('Equipment List &amp; Usage'!$Q73*('Weekly Summary'!AL$52+'Weekly Summary'!AL$53))+('Equipment List &amp; Usage'!$R73*'Weekly Summary'!AL$64)+('Equipment List &amp; Usage'!$S73*'Weekly Summary'!AL$65)+('Equipment List &amp; Usage'!$T73*('Weekly Summary'!AL$64+'Weekly Summary'!AL$65)),
('Equipment List &amp; Usage'!$O73*'Weekly Summary'!AL$52)+('Equipment List &amp; Usage'!$P73*'Weekly Summary'!AL$53)+('Equipment List &amp; Usage'!$Q73*('Weekly Summary'!AL$52+'Weekly Summary'!AL$53))+('Equipment List &amp; Usage'!$R73*'Weekly Summary'!AL$64)+('Equipment List &amp; Usage'!$S73*'Weekly Summary'!AL$65)+('Equipment List &amp; Usage'!$T73*('Weekly Summary'!AL$64+'Weekly Summary'!AL$65))-SUM($I71:AQ71))),0)</f>
        <v>0</v>
      </c>
      <c r="AS71" s="1381">
        <f ca="1">MAX(IF($F71="No",('Equipment List &amp; Usage'!$O73*'Weekly Summary'!AM$52)+('Equipment List &amp; Usage'!$P73*'Weekly Summary'!AM$53)+('Equipment List &amp; Usage'!$Q73*('Weekly Summary'!AM$52+'Weekly Summary'!AM$53))+('Equipment List &amp; Usage'!$R73*'Weekly Summary'!AM$64)+('Equipment List &amp; Usage'!$S73*'Weekly Summary'!AM$65)+('Equipment List &amp; Usage'!$T73*('Weekly Summary'!AM$64+'Weekly Summary'!AM$65)),
IF(AS$10=0,('Equipment List &amp; Usage'!$O73*'Weekly Summary'!AM$52)+('Equipment List &amp; Usage'!$P73*'Weekly Summary'!AM$53)+('Equipment List &amp; Usage'!$Q73*('Weekly Summary'!AM$52+'Weekly Summary'!AM$53))+('Equipment List &amp; Usage'!$R73*'Weekly Summary'!AM$64)+('Equipment List &amp; Usage'!$S73*'Weekly Summary'!AM$65)+('Equipment List &amp; Usage'!$T73*('Weekly Summary'!AM$64+'Weekly Summary'!AM$65)),
('Equipment List &amp; Usage'!$O73*'Weekly Summary'!AM$52)+('Equipment List &amp; Usage'!$P73*'Weekly Summary'!AM$53)+('Equipment List &amp; Usage'!$Q73*('Weekly Summary'!AM$52+'Weekly Summary'!AM$53))+('Equipment List &amp; Usage'!$R73*'Weekly Summary'!AM$64)+('Equipment List &amp; Usage'!$S73*'Weekly Summary'!AM$65)+('Equipment List &amp; Usage'!$T73*('Weekly Summary'!AM$64+'Weekly Summary'!AM$65))-SUM($I71:AR71))),0)</f>
        <v>0</v>
      </c>
      <c r="AT71" s="1381">
        <f ca="1">MAX(IF($F71="No",('Equipment List &amp; Usage'!$O73*'Weekly Summary'!AN$52)+('Equipment List &amp; Usage'!$P73*'Weekly Summary'!AN$53)+('Equipment List &amp; Usage'!$Q73*('Weekly Summary'!AN$52+'Weekly Summary'!AN$53))+('Equipment List &amp; Usage'!$R73*'Weekly Summary'!AN$64)+('Equipment List &amp; Usage'!$S73*'Weekly Summary'!AN$65)+('Equipment List &amp; Usage'!$T73*('Weekly Summary'!AN$64+'Weekly Summary'!AN$65)),
IF(AT$10=0,('Equipment List &amp; Usage'!$O73*'Weekly Summary'!AN$52)+('Equipment List &amp; Usage'!$P73*'Weekly Summary'!AN$53)+('Equipment List &amp; Usage'!$Q73*('Weekly Summary'!AN$52+'Weekly Summary'!AN$53))+('Equipment List &amp; Usage'!$R73*'Weekly Summary'!AN$64)+('Equipment List &amp; Usage'!$S73*'Weekly Summary'!AN$65)+('Equipment List &amp; Usage'!$T73*('Weekly Summary'!AN$64+'Weekly Summary'!AN$65)),
('Equipment List &amp; Usage'!$O73*'Weekly Summary'!AN$52)+('Equipment List &amp; Usage'!$P73*'Weekly Summary'!AN$53)+('Equipment List &amp; Usage'!$Q73*('Weekly Summary'!AN$52+'Weekly Summary'!AN$53))+('Equipment List &amp; Usage'!$R73*'Weekly Summary'!AN$64)+('Equipment List &amp; Usage'!$S73*'Weekly Summary'!AN$65)+('Equipment List &amp; Usage'!$T73*('Weekly Summary'!AN$64+'Weekly Summary'!AN$65))-SUM($I71:AS71))),0)</f>
        <v>0</v>
      </c>
      <c r="AU71" s="1381">
        <f ca="1">MAX(IF($F71="No",('Equipment List &amp; Usage'!$O73*'Weekly Summary'!AO$52)+('Equipment List &amp; Usage'!$P73*'Weekly Summary'!AO$53)+('Equipment List &amp; Usage'!$Q73*('Weekly Summary'!AO$52+'Weekly Summary'!AO$53))+('Equipment List &amp; Usage'!$R73*'Weekly Summary'!AO$64)+('Equipment List &amp; Usage'!$S73*'Weekly Summary'!AO$65)+('Equipment List &amp; Usage'!$T73*('Weekly Summary'!AO$64+'Weekly Summary'!AO$65)),
IF(AU$10=0,('Equipment List &amp; Usage'!$O73*'Weekly Summary'!AO$52)+('Equipment List &amp; Usage'!$P73*'Weekly Summary'!AO$53)+('Equipment List &amp; Usage'!$Q73*('Weekly Summary'!AO$52+'Weekly Summary'!AO$53))+('Equipment List &amp; Usage'!$R73*'Weekly Summary'!AO$64)+('Equipment List &amp; Usage'!$S73*'Weekly Summary'!AO$65)+('Equipment List &amp; Usage'!$T73*('Weekly Summary'!AO$64+'Weekly Summary'!AO$65)),
('Equipment List &amp; Usage'!$O73*'Weekly Summary'!AO$52)+('Equipment List &amp; Usage'!$P73*'Weekly Summary'!AO$53)+('Equipment List &amp; Usage'!$Q73*('Weekly Summary'!AO$52+'Weekly Summary'!AO$53))+('Equipment List &amp; Usage'!$R73*'Weekly Summary'!AO$64)+('Equipment List &amp; Usage'!$S73*'Weekly Summary'!AO$65)+('Equipment List &amp; Usage'!$T73*('Weekly Summary'!AO$64+'Weekly Summary'!AO$65))-SUM($I71:AT71))),0)</f>
        <v>0</v>
      </c>
      <c r="AV71" s="1381">
        <f ca="1">MAX(IF($F71="No",('Equipment List &amp; Usage'!$O73*'Weekly Summary'!AP$52)+('Equipment List &amp; Usage'!$P73*'Weekly Summary'!AP$53)+('Equipment List &amp; Usage'!$Q73*('Weekly Summary'!AP$52+'Weekly Summary'!AP$53))+('Equipment List &amp; Usage'!$R73*'Weekly Summary'!AP$64)+('Equipment List &amp; Usage'!$S73*'Weekly Summary'!AP$65)+('Equipment List &amp; Usage'!$T73*('Weekly Summary'!AP$64+'Weekly Summary'!AP$65)),
IF(AV$10=0,('Equipment List &amp; Usage'!$O73*'Weekly Summary'!AP$52)+('Equipment List &amp; Usage'!$P73*'Weekly Summary'!AP$53)+('Equipment List &amp; Usage'!$Q73*('Weekly Summary'!AP$52+'Weekly Summary'!AP$53))+('Equipment List &amp; Usage'!$R73*'Weekly Summary'!AP$64)+('Equipment List &amp; Usage'!$S73*'Weekly Summary'!AP$65)+('Equipment List &amp; Usage'!$T73*('Weekly Summary'!AP$64+'Weekly Summary'!AP$65)),
('Equipment List &amp; Usage'!$O73*'Weekly Summary'!AP$52)+('Equipment List &amp; Usage'!$P73*'Weekly Summary'!AP$53)+('Equipment List &amp; Usage'!$Q73*('Weekly Summary'!AP$52+'Weekly Summary'!AP$53))+('Equipment List &amp; Usage'!$R73*'Weekly Summary'!AP$64)+('Equipment List &amp; Usage'!$S73*'Weekly Summary'!AP$65)+('Equipment List &amp; Usage'!$T73*('Weekly Summary'!AP$64+'Weekly Summary'!AP$65))-SUM($I71:AU71))),0)</f>
        <v>0</v>
      </c>
      <c r="AW71" s="1381">
        <f ca="1">MAX(IF($F71="No",('Equipment List &amp; Usage'!$O73*'Weekly Summary'!AQ$52)+('Equipment List &amp; Usage'!$P73*'Weekly Summary'!AQ$53)+('Equipment List &amp; Usage'!$Q73*('Weekly Summary'!AQ$52+'Weekly Summary'!AQ$53))+('Equipment List &amp; Usage'!$R73*'Weekly Summary'!AQ$64)+('Equipment List &amp; Usage'!$S73*'Weekly Summary'!AQ$65)+('Equipment List &amp; Usage'!$T73*('Weekly Summary'!AQ$64+'Weekly Summary'!AQ$65)),
IF(AW$10=0,('Equipment List &amp; Usage'!$O73*'Weekly Summary'!AQ$52)+('Equipment List &amp; Usage'!$P73*'Weekly Summary'!AQ$53)+('Equipment List &amp; Usage'!$Q73*('Weekly Summary'!AQ$52+'Weekly Summary'!AQ$53))+('Equipment List &amp; Usage'!$R73*'Weekly Summary'!AQ$64)+('Equipment List &amp; Usage'!$S73*'Weekly Summary'!AQ$65)+('Equipment List &amp; Usage'!$T73*('Weekly Summary'!AQ$64+'Weekly Summary'!AQ$65)),
('Equipment List &amp; Usage'!$O73*'Weekly Summary'!AQ$52)+('Equipment List &amp; Usage'!$P73*'Weekly Summary'!AQ$53)+('Equipment List &amp; Usage'!$Q73*('Weekly Summary'!AQ$52+'Weekly Summary'!AQ$53))+('Equipment List &amp; Usage'!$R73*'Weekly Summary'!AQ$64)+('Equipment List &amp; Usage'!$S73*'Weekly Summary'!AQ$65)+('Equipment List &amp; Usage'!$T73*('Weekly Summary'!AQ$64+'Weekly Summary'!AQ$65))-SUM($I71:AV71))),0)</f>
        <v>0</v>
      </c>
      <c r="AX71" s="1381">
        <f ca="1">MAX(IF($F71="No",('Equipment List &amp; Usage'!$O73*'Weekly Summary'!AR$52)+('Equipment List &amp; Usage'!$P73*'Weekly Summary'!AR$53)+('Equipment List &amp; Usage'!$Q73*('Weekly Summary'!AR$52+'Weekly Summary'!AR$53))+('Equipment List &amp; Usage'!$R73*'Weekly Summary'!AR$64)+('Equipment List &amp; Usage'!$S73*'Weekly Summary'!AR$65)+('Equipment List &amp; Usage'!$T73*('Weekly Summary'!AR$64+'Weekly Summary'!AR$65)),
IF(AX$10=0,('Equipment List &amp; Usage'!$O73*'Weekly Summary'!AR$52)+('Equipment List &amp; Usage'!$P73*'Weekly Summary'!AR$53)+('Equipment List &amp; Usage'!$Q73*('Weekly Summary'!AR$52+'Weekly Summary'!AR$53))+('Equipment List &amp; Usage'!$R73*'Weekly Summary'!AR$64)+('Equipment List &amp; Usage'!$S73*'Weekly Summary'!AR$65)+('Equipment List &amp; Usage'!$T73*('Weekly Summary'!AR$64+'Weekly Summary'!AR$65)),
('Equipment List &amp; Usage'!$O73*'Weekly Summary'!AR$52)+('Equipment List &amp; Usage'!$P73*'Weekly Summary'!AR$53)+('Equipment List &amp; Usage'!$Q73*('Weekly Summary'!AR$52+'Weekly Summary'!AR$53))+('Equipment List &amp; Usage'!$R73*'Weekly Summary'!AR$64)+('Equipment List &amp; Usage'!$S73*'Weekly Summary'!AR$65)+('Equipment List &amp; Usage'!$T73*('Weekly Summary'!AR$64+'Weekly Summary'!AR$65))-SUM($I71:AW71))),0)</f>
        <v>0</v>
      </c>
      <c r="AY71" s="1381">
        <f ca="1">MAX(IF($F71="No",('Equipment List &amp; Usage'!$O73*'Weekly Summary'!AS$52)+('Equipment List &amp; Usage'!$P73*'Weekly Summary'!AS$53)+('Equipment List &amp; Usage'!$Q73*('Weekly Summary'!AS$52+'Weekly Summary'!AS$53))+('Equipment List &amp; Usage'!$R73*'Weekly Summary'!AS$64)+('Equipment List &amp; Usage'!$S73*'Weekly Summary'!AS$65)+('Equipment List &amp; Usage'!$T73*('Weekly Summary'!AS$64+'Weekly Summary'!AS$65)),
IF(AY$10=0,('Equipment List &amp; Usage'!$O73*'Weekly Summary'!AS$52)+('Equipment List &amp; Usage'!$P73*'Weekly Summary'!AS$53)+('Equipment List &amp; Usage'!$Q73*('Weekly Summary'!AS$52+'Weekly Summary'!AS$53))+('Equipment List &amp; Usage'!$R73*'Weekly Summary'!AS$64)+('Equipment List &amp; Usage'!$S73*'Weekly Summary'!AS$65)+('Equipment List &amp; Usage'!$T73*('Weekly Summary'!AS$64+'Weekly Summary'!AS$65)),
('Equipment List &amp; Usage'!$O73*'Weekly Summary'!AS$52)+('Equipment List &amp; Usage'!$P73*'Weekly Summary'!AS$53)+('Equipment List &amp; Usage'!$Q73*('Weekly Summary'!AS$52+'Weekly Summary'!AS$53))+('Equipment List &amp; Usage'!$R73*'Weekly Summary'!AS$64)+('Equipment List &amp; Usage'!$S73*'Weekly Summary'!AS$65)+('Equipment List &amp; Usage'!$T73*('Weekly Summary'!AS$64+'Weekly Summary'!AS$65))-SUM($I71:AX71))),0)</f>
        <v>0</v>
      </c>
      <c r="AZ71" s="1381">
        <f ca="1">MAX(IF($F71="No",('Equipment List &amp; Usage'!$O73*'Weekly Summary'!AT$52)+('Equipment List &amp; Usage'!$P73*'Weekly Summary'!AT$53)+('Equipment List &amp; Usage'!$Q73*('Weekly Summary'!AT$52+'Weekly Summary'!AT$53))+('Equipment List &amp; Usage'!$R73*'Weekly Summary'!AT$64)+('Equipment List &amp; Usage'!$S73*'Weekly Summary'!AT$65)+('Equipment List &amp; Usage'!$T73*('Weekly Summary'!AT$64+'Weekly Summary'!AT$65)),
IF(AZ$10=0,('Equipment List &amp; Usage'!$O73*'Weekly Summary'!AT$52)+('Equipment List &amp; Usage'!$P73*'Weekly Summary'!AT$53)+('Equipment List &amp; Usage'!$Q73*('Weekly Summary'!AT$52+'Weekly Summary'!AT$53))+('Equipment List &amp; Usage'!$R73*'Weekly Summary'!AT$64)+('Equipment List &amp; Usage'!$S73*'Weekly Summary'!AT$65)+('Equipment List &amp; Usage'!$T73*('Weekly Summary'!AT$64+'Weekly Summary'!AT$65)),
('Equipment List &amp; Usage'!$O73*'Weekly Summary'!AT$52)+('Equipment List &amp; Usage'!$P73*'Weekly Summary'!AT$53)+('Equipment List &amp; Usage'!$Q73*('Weekly Summary'!AT$52+'Weekly Summary'!AT$53))+('Equipment List &amp; Usage'!$R73*'Weekly Summary'!AT$64)+('Equipment List &amp; Usage'!$S73*'Weekly Summary'!AT$65)+('Equipment List &amp; Usage'!$T73*('Weekly Summary'!AT$64+'Weekly Summary'!AT$65))-SUM($I71:AY71))),0)</f>
        <v>0</v>
      </c>
      <c r="BA71" s="1381">
        <f ca="1">MAX(IF($F71="No",('Equipment List &amp; Usage'!$O73*'Weekly Summary'!AU$52)+('Equipment List &amp; Usage'!$P73*'Weekly Summary'!AU$53)+('Equipment List &amp; Usage'!$Q73*('Weekly Summary'!AU$52+'Weekly Summary'!AU$53))+('Equipment List &amp; Usage'!$R73*'Weekly Summary'!AU$64)+('Equipment List &amp; Usage'!$S73*'Weekly Summary'!AU$65)+('Equipment List &amp; Usage'!$T73*('Weekly Summary'!AU$64+'Weekly Summary'!AU$65)),
IF(BA$10=0,('Equipment List &amp; Usage'!$O73*'Weekly Summary'!AU$52)+('Equipment List &amp; Usage'!$P73*'Weekly Summary'!AU$53)+('Equipment List &amp; Usage'!$Q73*('Weekly Summary'!AU$52+'Weekly Summary'!AU$53))+('Equipment List &amp; Usage'!$R73*'Weekly Summary'!AU$64)+('Equipment List &amp; Usage'!$S73*'Weekly Summary'!AU$65)+('Equipment List &amp; Usage'!$T73*('Weekly Summary'!AU$64+'Weekly Summary'!AU$65)),
('Equipment List &amp; Usage'!$O73*'Weekly Summary'!AU$52)+('Equipment List &amp; Usage'!$P73*'Weekly Summary'!AU$53)+('Equipment List &amp; Usage'!$Q73*('Weekly Summary'!AU$52+'Weekly Summary'!AU$53))+('Equipment List &amp; Usage'!$R73*'Weekly Summary'!AU$64)+('Equipment List &amp; Usage'!$S73*'Weekly Summary'!AU$65)+('Equipment List &amp; Usage'!$T73*('Weekly Summary'!AU$64+'Weekly Summary'!AU$65))-SUM($I71:AZ71))),0)</f>
        <v>0</v>
      </c>
      <c r="BB71" s="1381">
        <f ca="1">MAX(IF($F71="No",('Equipment List &amp; Usage'!$O73*'Weekly Summary'!AV$52)+('Equipment List &amp; Usage'!$P73*'Weekly Summary'!AV$53)+('Equipment List &amp; Usage'!$Q73*('Weekly Summary'!AV$52+'Weekly Summary'!AV$53))+('Equipment List &amp; Usage'!$R73*'Weekly Summary'!AV$64)+('Equipment List &amp; Usage'!$S73*'Weekly Summary'!AV$65)+('Equipment List &amp; Usage'!$T73*('Weekly Summary'!AV$64+'Weekly Summary'!AV$65)),
IF(BB$10=0,('Equipment List &amp; Usage'!$O73*'Weekly Summary'!AV$52)+('Equipment List &amp; Usage'!$P73*'Weekly Summary'!AV$53)+('Equipment List &amp; Usage'!$Q73*('Weekly Summary'!AV$52+'Weekly Summary'!AV$53))+('Equipment List &amp; Usage'!$R73*'Weekly Summary'!AV$64)+('Equipment List &amp; Usage'!$S73*'Weekly Summary'!AV$65)+('Equipment List &amp; Usage'!$T73*('Weekly Summary'!AV$64+'Weekly Summary'!AV$65)),
('Equipment List &amp; Usage'!$O73*'Weekly Summary'!AV$52)+('Equipment List &amp; Usage'!$P73*'Weekly Summary'!AV$53)+('Equipment List &amp; Usage'!$Q73*('Weekly Summary'!AV$52+'Weekly Summary'!AV$53))+('Equipment List &amp; Usage'!$R73*'Weekly Summary'!AV$64)+('Equipment List &amp; Usage'!$S73*'Weekly Summary'!AV$65)+('Equipment List &amp; Usage'!$T73*('Weekly Summary'!AV$64+'Weekly Summary'!AV$65))-SUM($I71:BA71))),0)</f>
        <v>0</v>
      </c>
      <c r="BC71" s="1381">
        <f ca="1">MAX(IF($F71="No",('Equipment List &amp; Usage'!$O73*'Weekly Summary'!AW$52)+('Equipment List &amp; Usage'!$P73*'Weekly Summary'!AW$53)+('Equipment List &amp; Usage'!$Q73*('Weekly Summary'!AW$52+'Weekly Summary'!AW$53))+('Equipment List &amp; Usage'!$R73*'Weekly Summary'!AW$64)+('Equipment List &amp; Usage'!$S73*'Weekly Summary'!AW$65)+('Equipment List &amp; Usage'!$T73*('Weekly Summary'!AW$64+'Weekly Summary'!AW$65)),
IF(BC$10=0,('Equipment List &amp; Usage'!$O73*'Weekly Summary'!AW$52)+('Equipment List &amp; Usage'!$P73*'Weekly Summary'!AW$53)+('Equipment List &amp; Usage'!$Q73*('Weekly Summary'!AW$52+'Weekly Summary'!AW$53))+('Equipment List &amp; Usage'!$R73*'Weekly Summary'!AW$64)+('Equipment List &amp; Usage'!$S73*'Weekly Summary'!AW$65)+('Equipment List &amp; Usage'!$T73*('Weekly Summary'!AW$64+'Weekly Summary'!AW$65)),
('Equipment List &amp; Usage'!$O73*'Weekly Summary'!AW$52)+('Equipment List &amp; Usage'!$P73*'Weekly Summary'!AW$53)+('Equipment List &amp; Usage'!$Q73*('Weekly Summary'!AW$52+'Weekly Summary'!AW$53))+('Equipment List &amp; Usage'!$R73*'Weekly Summary'!AW$64)+('Equipment List &amp; Usage'!$S73*'Weekly Summary'!AW$65)+('Equipment List &amp; Usage'!$T73*('Weekly Summary'!AW$64+'Weekly Summary'!AW$65))-SUM($I71:BB71))),0)</f>
        <v>0</v>
      </c>
      <c r="BD71" s="1381">
        <f ca="1">MAX(IF($F71="No",('Equipment List &amp; Usage'!$O73*'Weekly Summary'!AX$52)+('Equipment List &amp; Usage'!$P73*'Weekly Summary'!AX$53)+('Equipment List &amp; Usage'!$Q73*('Weekly Summary'!AX$52+'Weekly Summary'!AX$53))+('Equipment List &amp; Usage'!$R73*'Weekly Summary'!AX$64)+('Equipment List &amp; Usage'!$S73*'Weekly Summary'!AX$65)+('Equipment List &amp; Usage'!$T73*('Weekly Summary'!AX$64+'Weekly Summary'!AX$65)),
IF(BD$10=0,('Equipment List &amp; Usage'!$O73*'Weekly Summary'!AX$52)+('Equipment List &amp; Usage'!$P73*'Weekly Summary'!AX$53)+('Equipment List &amp; Usage'!$Q73*('Weekly Summary'!AX$52+'Weekly Summary'!AX$53))+('Equipment List &amp; Usage'!$R73*'Weekly Summary'!AX$64)+('Equipment List &amp; Usage'!$S73*'Weekly Summary'!AX$65)+('Equipment List &amp; Usage'!$T73*('Weekly Summary'!AX$64+'Weekly Summary'!AX$65)),
('Equipment List &amp; Usage'!$O73*'Weekly Summary'!AX$52)+('Equipment List &amp; Usage'!$P73*'Weekly Summary'!AX$53)+('Equipment List &amp; Usage'!$Q73*('Weekly Summary'!AX$52+'Weekly Summary'!AX$53))+('Equipment List &amp; Usage'!$R73*'Weekly Summary'!AX$64)+('Equipment List &amp; Usage'!$S73*'Weekly Summary'!AX$65)+('Equipment List &amp; Usage'!$T73*('Weekly Summary'!AX$64+'Weekly Summary'!AX$65))-SUM($I71:BC71))),0)</f>
        <v>0</v>
      </c>
      <c r="BE71" s="1381">
        <f ca="1">MAX(IF($F71="No",('Equipment List &amp; Usage'!$O73*'Weekly Summary'!AY$52)+('Equipment List &amp; Usage'!$P73*'Weekly Summary'!AY$53)+('Equipment List &amp; Usage'!$Q73*('Weekly Summary'!AY$52+'Weekly Summary'!AY$53))+('Equipment List &amp; Usage'!$R73*'Weekly Summary'!AY$64)+('Equipment List &amp; Usage'!$S73*'Weekly Summary'!AY$65)+('Equipment List &amp; Usage'!$T73*('Weekly Summary'!AY$64+'Weekly Summary'!AY$65)),
IF(BE$10=0,('Equipment List &amp; Usage'!$O73*'Weekly Summary'!AY$52)+('Equipment List &amp; Usage'!$P73*'Weekly Summary'!AY$53)+('Equipment List &amp; Usage'!$Q73*('Weekly Summary'!AY$52+'Weekly Summary'!AY$53))+('Equipment List &amp; Usage'!$R73*'Weekly Summary'!AY$64)+('Equipment List &amp; Usage'!$S73*'Weekly Summary'!AY$65)+('Equipment List &amp; Usage'!$T73*('Weekly Summary'!AY$64+'Weekly Summary'!AY$65)),
('Equipment List &amp; Usage'!$O73*'Weekly Summary'!AY$52)+('Equipment List &amp; Usage'!$P73*'Weekly Summary'!AY$53)+('Equipment List &amp; Usage'!$Q73*('Weekly Summary'!AY$52+'Weekly Summary'!AY$53))+('Equipment List &amp; Usage'!$R73*'Weekly Summary'!AY$64)+('Equipment List &amp; Usage'!$S73*'Weekly Summary'!AY$65)+('Equipment List &amp; Usage'!$T73*('Weekly Summary'!AY$64+'Weekly Summary'!AY$65))-SUM($I71:BD71))),0)</f>
        <v>0</v>
      </c>
      <c r="BF71" s="1381">
        <f ca="1">MAX(IF($F71="No",('Equipment List &amp; Usage'!$O73*'Weekly Summary'!AZ$52)+('Equipment List &amp; Usage'!$P73*'Weekly Summary'!AZ$53)+('Equipment List &amp; Usage'!$Q73*('Weekly Summary'!AZ$52+'Weekly Summary'!AZ$53))+('Equipment List &amp; Usage'!$R73*'Weekly Summary'!AZ$64)+('Equipment List &amp; Usage'!$S73*'Weekly Summary'!AZ$65)+('Equipment List &amp; Usage'!$T73*('Weekly Summary'!AZ$64+'Weekly Summary'!AZ$65)),
IF(BF$10=0,('Equipment List &amp; Usage'!$O73*'Weekly Summary'!AZ$52)+('Equipment List &amp; Usage'!$P73*'Weekly Summary'!AZ$53)+('Equipment List &amp; Usage'!$Q73*('Weekly Summary'!AZ$52+'Weekly Summary'!AZ$53))+('Equipment List &amp; Usage'!$R73*'Weekly Summary'!AZ$64)+('Equipment List &amp; Usage'!$S73*'Weekly Summary'!AZ$65)+('Equipment List &amp; Usage'!$T73*('Weekly Summary'!AZ$64+'Weekly Summary'!AZ$65)),
('Equipment List &amp; Usage'!$O73*'Weekly Summary'!AZ$52)+('Equipment List &amp; Usage'!$P73*'Weekly Summary'!AZ$53)+('Equipment List &amp; Usage'!$Q73*('Weekly Summary'!AZ$52+'Weekly Summary'!AZ$53))+('Equipment List &amp; Usage'!$R73*'Weekly Summary'!AZ$64)+('Equipment List &amp; Usage'!$S73*'Weekly Summary'!AZ$65)+('Equipment List &amp; Usage'!$T73*('Weekly Summary'!AZ$64+'Weekly Summary'!AZ$65))-SUM($I71:BE71))),0)</f>
        <v>0</v>
      </c>
      <c r="BG71" s="1381">
        <f ca="1">MAX(IF($F71="No",('Equipment List &amp; Usage'!$O73*'Weekly Summary'!BA$52)+('Equipment List &amp; Usage'!$P73*'Weekly Summary'!BA$53)+('Equipment List &amp; Usage'!$Q73*('Weekly Summary'!BA$52+'Weekly Summary'!BA$53))+('Equipment List &amp; Usage'!$R73*'Weekly Summary'!BA$64)+('Equipment List &amp; Usage'!$S73*'Weekly Summary'!BA$65)+('Equipment List &amp; Usage'!$T73*('Weekly Summary'!BA$64+'Weekly Summary'!BA$65)),
IF(BG$10=0,('Equipment List &amp; Usage'!$O73*'Weekly Summary'!BA$52)+('Equipment List &amp; Usage'!$P73*'Weekly Summary'!BA$53)+('Equipment List &amp; Usage'!$Q73*('Weekly Summary'!BA$52+'Weekly Summary'!BA$53))+('Equipment List &amp; Usage'!$R73*'Weekly Summary'!BA$64)+('Equipment List &amp; Usage'!$S73*'Weekly Summary'!BA$65)+('Equipment List &amp; Usage'!$T73*('Weekly Summary'!BA$64+'Weekly Summary'!BA$65)),
('Equipment List &amp; Usage'!$O73*'Weekly Summary'!BA$52)+('Equipment List &amp; Usage'!$P73*'Weekly Summary'!BA$53)+('Equipment List &amp; Usage'!$Q73*('Weekly Summary'!BA$52+'Weekly Summary'!BA$53))+('Equipment List &amp; Usage'!$R73*'Weekly Summary'!BA$64)+('Equipment List &amp; Usage'!$S73*'Weekly Summary'!BA$65)+('Equipment List &amp; Usage'!$T73*('Weekly Summary'!BA$64+'Weekly Summary'!BA$65))-SUM($I71:BF71))),0)</f>
        <v>0</v>
      </c>
      <c r="BH71" s="1381">
        <f ca="1">MAX(IF($F71="No",('Equipment List &amp; Usage'!$O73*'Weekly Summary'!BB$52)+('Equipment List &amp; Usage'!$P73*'Weekly Summary'!BB$53)+('Equipment List &amp; Usage'!$Q73*('Weekly Summary'!BB$52+'Weekly Summary'!BB$53))+('Equipment List &amp; Usage'!$R73*'Weekly Summary'!BB$64)+('Equipment List &amp; Usage'!$S73*'Weekly Summary'!BB$65)+('Equipment List &amp; Usage'!$T73*('Weekly Summary'!BB$64+'Weekly Summary'!BB$65)),
IF(BH$10=0,('Equipment List &amp; Usage'!$O73*'Weekly Summary'!BB$52)+('Equipment List &amp; Usage'!$P73*'Weekly Summary'!BB$53)+('Equipment List &amp; Usage'!$Q73*('Weekly Summary'!BB$52+'Weekly Summary'!BB$53))+('Equipment List &amp; Usage'!$R73*'Weekly Summary'!BB$64)+('Equipment List &amp; Usage'!$S73*'Weekly Summary'!BB$65)+('Equipment List &amp; Usage'!$T73*('Weekly Summary'!BB$64+'Weekly Summary'!BB$65)),
('Equipment List &amp; Usage'!$O73*'Weekly Summary'!BB$52)+('Equipment List &amp; Usage'!$P73*'Weekly Summary'!BB$53)+('Equipment List &amp; Usage'!$Q73*('Weekly Summary'!BB$52+'Weekly Summary'!BB$53))+('Equipment List &amp; Usage'!$R73*'Weekly Summary'!BB$64)+('Equipment List &amp; Usage'!$S73*'Weekly Summary'!BB$65)+('Equipment List &amp; Usage'!$T73*('Weekly Summary'!BB$64+'Weekly Summary'!BB$65))-SUM($I71:BG71))),0)</f>
        <v>0</v>
      </c>
      <c r="BI71" s="1381">
        <f ca="1">MAX(IF($F71="No",('Equipment List &amp; Usage'!$O73*'Weekly Summary'!BC$52)+('Equipment List &amp; Usage'!$P73*'Weekly Summary'!BC$53)+('Equipment List &amp; Usage'!$Q73*('Weekly Summary'!BC$52+'Weekly Summary'!BC$53))+('Equipment List &amp; Usage'!$R73*'Weekly Summary'!BC$64)+('Equipment List &amp; Usage'!$S73*'Weekly Summary'!BC$65)+('Equipment List &amp; Usage'!$T73*('Weekly Summary'!BC$64+'Weekly Summary'!BC$65)),
IF(BI$10=0,('Equipment List &amp; Usage'!$O73*'Weekly Summary'!BC$52)+('Equipment List &amp; Usage'!$P73*'Weekly Summary'!BC$53)+('Equipment List &amp; Usage'!$Q73*('Weekly Summary'!BC$52+'Weekly Summary'!BC$53))+('Equipment List &amp; Usage'!$R73*'Weekly Summary'!BC$64)+('Equipment List &amp; Usage'!$S73*'Weekly Summary'!BC$65)+('Equipment List &amp; Usage'!$T73*('Weekly Summary'!BC$64+'Weekly Summary'!BC$65)),
('Equipment List &amp; Usage'!$O73*'Weekly Summary'!BC$52)+('Equipment List &amp; Usage'!$P73*'Weekly Summary'!BC$53)+('Equipment List &amp; Usage'!$Q73*('Weekly Summary'!BC$52+'Weekly Summary'!BC$53))+('Equipment List &amp; Usage'!$R73*'Weekly Summary'!BC$64)+('Equipment List &amp; Usage'!$S73*'Weekly Summary'!BC$65)+('Equipment List &amp; Usage'!$T73*('Weekly Summary'!BC$64+'Weekly Summary'!BC$65))-SUM($I71:BH71))),0)</f>
        <v>0</v>
      </c>
      <c r="BJ71" s="1382">
        <f ca="1">MAX(IF($F71="No",('Equipment List &amp; Usage'!$O73*'Weekly Summary'!BD$52)+('Equipment List &amp; Usage'!$P73*'Weekly Summary'!BD$53)+('Equipment List &amp; Usage'!$Q73*('Weekly Summary'!BD$52+'Weekly Summary'!BD$53))+('Equipment List &amp; Usage'!$R73*'Weekly Summary'!BD$64)+('Equipment List &amp; Usage'!$S73*'Weekly Summary'!BD$65)+('Equipment List &amp; Usage'!$T73*('Weekly Summary'!BD$64+'Weekly Summary'!BD$65)),
IF(BJ$10=0,('Equipment List &amp; Usage'!$O73*'Weekly Summary'!BD$52)+('Equipment List &amp; Usage'!$P73*'Weekly Summary'!BD$53)+('Equipment List &amp; Usage'!$Q73*('Weekly Summary'!BD$52+'Weekly Summary'!BD$53))+('Equipment List &amp; Usage'!$R73*'Weekly Summary'!BD$64)+('Equipment List &amp; Usage'!$S73*'Weekly Summary'!BD$65)+('Equipment List &amp; Usage'!$T73*('Weekly Summary'!BD$64+'Weekly Summary'!BD$65)),
('Equipment List &amp; Usage'!$O73*'Weekly Summary'!BD$52)+('Equipment List &amp; Usage'!$P73*'Weekly Summary'!BD$53)+('Equipment List &amp; Usage'!$Q73*('Weekly Summary'!BD$52+'Weekly Summary'!BD$53))+('Equipment List &amp; Usage'!$R73*'Weekly Summary'!BD$64)+('Equipment List &amp; Usage'!$S73*'Weekly Summary'!BD$65)+('Equipment List &amp; Usage'!$T73*('Weekly Summary'!BD$64+'Weekly Summary'!BD$65))-SUM($I71:BI71))),0)</f>
        <v>0</v>
      </c>
    </row>
    <row r="72" spans="2:62" ht="45.75" customHeight="1" collapsed="1" x14ac:dyDescent="0.35">
      <c r="B72" s="735" t="str">
        <f>'Equipment List &amp; Usage'!B74</f>
        <v>Case management - accessories &amp; consumables</v>
      </c>
      <c r="C72" s="526" t="str">
        <f>'Equipment List &amp; Usage'!C74</f>
        <v>Imaging</v>
      </c>
      <c r="D72" s="526" t="str">
        <f>'Equipment List &amp; Usage'!D74</f>
        <v>Conductive gel, container</v>
      </c>
      <c r="E72" s="526" t="str">
        <f>'Equipment List &amp; Usage'!E74</f>
        <v>Each</v>
      </c>
      <c r="F72" s="526" t="str">
        <f>'Equipment List &amp; Usage'!F74</f>
        <v>No</v>
      </c>
      <c r="G72" s="526" t="str">
        <f>'Equipment List &amp; Usage'!G74</f>
        <v>N/A</v>
      </c>
      <c r="H72" s="1369">
        <f t="shared" ca="1" si="3"/>
        <v>5.0307324987587396</v>
      </c>
      <c r="J72" s="1344"/>
      <c r="K72" s="1381">
        <f ca="1">IF('User Dashboard'!$H$13=1,0,MAX(IF($F72="No",('Equipment List &amp; Usage'!$O74*'Weekly Summary'!E$52)+('Equipment List &amp; Usage'!$P74*'Weekly Summary'!E$53)+('Equipment List &amp; Usage'!$Q74*('Weekly Summary'!E$52+'Weekly Summary'!E$53))+('Equipment List &amp; Usage'!$R74*'Weekly Summary'!E$64)+('Equipment List &amp; Usage'!$S74*'Weekly Summary'!E$65)+('Equipment List &amp; Usage'!$T74*('Weekly Summary'!E$64+'Weekly Summary'!E$65)),
IF(K$10=0,('Equipment List &amp; Usage'!$O74*'Weekly Summary'!E$52)+('Equipment List &amp; Usage'!$P74*'Weekly Summary'!E$53)+('Equipment List &amp; Usage'!$Q74*('Weekly Summary'!E$52+'Weekly Summary'!E$53))+('Equipment List &amp; Usage'!$R74*'Weekly Summary'!E$64)+('Equipment List &amp; Usage'!$S74*'Weekly Summary'!E$65)+('Equipment List &amp; Usage'!$T74*('Weekly Summary'!E$64+'Weekly Summary'!E$65)),
('Equipment List &amp; Usage'!$O74*'Weekly Summary'!E$52)+('Equipment List &amp; Usage'!$P74*'Weekly Summary'!E$53)+('Equipment List &amp; Usage'!$Q74*('Weekly Summary'!E$52+'Weekly Summary'!E$53))+('Equipment List &amp; Usage'!$R74*'Weekly Summary'!E$64)+('Equipment List &amp; Usage'!$S74*'Weekly Summary'!E$65)+('Equipment List &amp; Usage'!$T74*('Weekly Summary'!E$64+'Weekly Summary'!E$65))-SUM($I72:I72))),0))</f>
        <v>7.4509686042021281E-3</v>
      </c>
      <c r="L72" s="1381">
        <f ca="1">MAX(IF($F72="No",('Equipment List &amp; Usage'!$O74*'Weekly Summary'!F$52)+('Equipment List &amp; Usage'!$P74*'Weekly Summary'!F$53)+('Equipment List &amp; Usage'!$Q74*('Weekly Summary'!F$52+'Weekly Summary'!F$53))+('Equipment List &amp; Usage'!$R74*'Weekly Summary'!F$64)+('Equipment List &amp; Usage'!$S74*'Weekly Summary'!F$65)+('Equipment List &amp; Usage'!$T74*('Weekly Summary'!F$64+'Weekly Summary'!F$65)),
IF(L$10=0,('Equipment List &amp; Usage'!$O74*'Weekly Summary'!F$52)+('Equipment List &amp; Usage'!$P74*'Weekly Summary'!F$53)+('Equipment List &amp; Usage'!$Q74*('Weekly Summary'!F$52+'Weekly Summary'!F$53))+('Equipment List &amp; Usage'!$R74*'Weekly Summary'!F$64)+('Equipment List &amp; Usage'!$S74*'Weekly Summary'!F$65)+('Equipment List &amp; Usage'!$T74*('Weekly Summary'!F$64+'Weekly Summary'!F$65)),
('Equipment List &amp; Usage'!$O74*'Weekly Summary'!F$52)+('Equipment List &amp; Usage'!$P74*'Weekly Summary'!F$53)+('Equipment List &amp; Usage'!$Q74*('Weekly Summary'!F$52+'Weekly Summary'!F$53))+('Equipment List &amp; Usage'!$R74*'Weekly Summary'!F$64)+('Equipment List &amp; Usage'!$S74*'Weekly Summary'!F$65)+('Equipment List &amp; Usage'!$T74*('Weekly Summary'!F$64+'Weekly Summary'!F$65))-SUM($I72:K72))),0)</f>
        <v>2.5605314174145612E-2</v>
      </c>
      <c r="M72" s="1381">
        <f ca="1">MAX(IF($F72="No",('Equipment List &amp; Usage'!$O74*'Weekly Summary'!G$52)+('Equipment List &amp; Usage'!$P74*'Weekly Summary'!G$53)+('Equipment List &amp; Usage'!$Q74*('Weekly Summary'!G$52+'Weekly Summary'!G$53))+('Equipment List &amp; Usage'!$R74*'Weekly Summary'!G$64)+('Equipment List &amp; Usage'!$S74*'Weekly Summary'!G$65)+('Equipment List &amp; Usage'!$T74*('Weekly Summary'!G$64+'Weekly Summary'!G$65)),
IF(M$10=0,('Equipment List &amp; Usage'!$O74*'Weekly Summary'!G$52)+('Equipment List &amp; Usage'!$P74*'Weekly Summary'!G$53)+('Equipment List &amp; Usage'!$Q74*('Weekly Summary'!G$52+'Weekly Summary'!G$53))+('Equipment List &amp; Usage'!$R74*'Weekly Summary'!G$64)+('Equipment List &amp; Usage'!$S74*'Weekly Summary'!G$65)+('Equipment List &amp; Usage'!$T74*('Weekly Summary'!G$64+'Weekly Summary'!G$65)),
('Equipment List &amp; Usage'!$O74*'Weekly Summary'!G$52)+('Equipment List &amp; Usage'!$P74*'Weekly Summary'!G$53)+('Equipment List &amp; Usage'!$Q74*('Weekly Summary'!G$52+'Weekly Summary'!G$53))+('Equipment List &amp; Usage'!$R74*'Weekly Summary'!G$64)+('Equipment List &amp; Usage'!$S74*'Weekly Summary'!G$65)+('Equipment List &amp; Usage'!$T74*('Weekly Summary'!G$64+'Weekly Summary'!G$65))-SUM($I72:L72))),0)</f>
        <v>8.7992019274607619E-2</v>
      </c>
      <c r="N72" s="1381">
        <f ca="1">MAX(IF($F72="No",('Equipment List &amp; Usage'!$O74*'Weekly Summary'!H$52)+('Equipment List &amp; Usage'!$P74*'Weekly Summary'!H$53)+('Equipment List &amp; Usage'!$Q74*('Weekly Summary'!H$52+'Weekly Summary'!H$53))+('Equipment List &amp; Usage'!$R74*'Weekly Summary'!H$64)+('Equipment List &amp; Usage'!$S74*'Weekly Summary'!H$65)+('Equipment List &amp; Usage'!$T74*('Weekly Summary'!H$64+'Weekly Summary'!H$65)),
IF(N$10=0,('Equipment List &amp; Usage'!$O74*'Weekly Summary'!H$52)+('Equipment List &amp; Usage'!$P74*'Weekly Summary'!H$53)+('Equipment List &amp; Usage'!$Q74*('Weekly Summary'!H$52+'Weekly Summary'!H$53))+('Equipment List &amp; Usage'!$R74*'Weekly Summary'!H$64)+('Equipment List &amp; Usage'!$S74*'Weekly Summary'!H$65)+('Equipment List &amp; Usage'!$T74*('Weekly Summary'!H$64+'Weekly Summary'!H$65)),
('Equipment List &amp; Usage'!$O74*'Weekly Summary'!H$52)+('Equipment List &amp; Usage'!$P74*'Weekly Summary'!H$53)+('Equipment List &amp; Usage'!$Q74*('Weekly Summary'!H$52+'Weekly Summary'!H$53))+('Equipment List &amp; Usage'!$R74*'Weekly Summary'!H$64)+('Equipment List &amp; Usage'!$S74*'Weekly Summary'!H$65)+('Equipment List &amp; Usage'!$T74*('Weekly Summary'!H$64+'Weekly Summary'!H$65))-SUM($I72:M72))),0)</f>
        <v>0.30237231527998615</v>
      </c>
      <c r="O72" s="1381">
        <f ca="1">MAX(IF($F72="No",('Equipment List &amp; Usage'!$O74*'Weekly Summary'!I$52)+('Equipment List &amp; Usage'!$P74*'Weekly Summary'!I$53)+('Equipment List &amp; Usage'!$Q74*('Weekly Summary'!I$52+'Weekly Summary'!I$53))+('Equipment List &amp; Usage'!$R74*'Weekly Summary'!I$64)+('Equipment List &amp; Usage'!$S74*'Weekly Summary'!I$65)+('Equipment List &amp; Usage'!$T74*('Weekly Summary'!I$64+'Weekly Summary'!I$65)),
IF(O$10=0,('Equipment List &amp; Usage'!$O74*'Weekly Summary'!I$52)+('Equipment List &amp; Usage'!$P74*'Weekly Summary'!I$53)+('Equipment List &amp; Usage'!$Q74*('Weekly Summary'!I$52+'Weekly Summary'!I$53))+('Equipment List &amp; Usage'!$R74*'Weekly Summary'!I$64)+('Equipment List &amp; Usage'!$S74*'Weekly Summary'!I$65)+('Equipment List &amp; Usage'!$T74*('Weekly Summary'!I$64+'Weekly Summary'!I$65)),
('Equipment List &amp; Usage'!$O74*'Weekly Summary'!I$52)+('Equipment List &amp; Usage'!$P74*'Weekly Summary'!I$53)+('Equipment List &amp; Usage'!$Q74*('Weekly Summary'!I$52+'Weekly Summary'!I$53))+('Equipment List &amp; Usage'!$R74*'Weekly Summary'!I$64)+('Equipment List &amp; Usage'!$S74*'Weekly Summary'!I$65)+('Equipment List &amp; Usage'!$T74*('Weekly Summary'!I$64+'Weekly Summary'!I$65))-SUM($I72:N72))),0)</f>
        <v>1.0389416747423708</v>
      </c>
      <c r="P72" s="1381">
        <f ca="1">MAX(IF($F72="No",('Equipment List &amp; Usage'!$O74*'Weekly Summary'!J$52)+('Equipment List &amp; Usage'!$P74*'Weekly Summary'!J$53)+('Equipment List &amp; Usage'!$Q74*('Weekly Summary'!J$52+'Weekly Summary'!J$53))+('Equipment List &amp; Usage'!$R74*'Weekly Summary'!J$64)+('Equipment List &amp; Usage'!$S74*'Weekly Summary'!J$65)+('Equipment List &amp; Usage'!$T74*('Weekly Summary'!J$64+'Weekly Summary'!J$65)),
IF(P$10=0,('Equipment List &amp; Usage'!$O74*'Weekly Summary'!J$52)+('Equipment List &amp; Usage'!$P74*'Weekly Summary'!J$53)+('Equipment List &amp; Usage'!$Q74*('Weekly Summary'!J$52+'Weekly Summary'!J$53))+('Equipment List &amp; Usage'!$R74*'Weekly Summary'!J$64)+('Equipment List &amp; Usage'!$S74*'Weekly Summary'!J$65)+('Equipment List &amp; Usage'!$T74*('Weekly Summary'!J$64+'Weekly Summary'!J$65)),
('Equipment List &amp; Usage'!$O74*'Weekly Summary'!J$52)+('Equipment List &amp; Usage'!$P74*'Weekly Summary'!J$53)+('Equipment List &amp; Usage'!$Q74*('Weekly Summary'!J$52+'Weekly Summary'!J$53))+('Equipment List &amp; Usage'!$R74*'Weekly Summary'!J$64)+('Equipment List &amp; Usage'!$S74*'Weekly Summary'!J$65)+('Equipment List &amp; Usage'!$T74*('Weekly Summary'!J$64+'Weekly Summary'!J$65))-SUM($I72:O72))),0)</f>
        <v>3.5683702066834275</v>
      </c>
      <c r="Q72" s="1381">
        <f ca="1">MAX(IF($F72="No",('Equipment List &amp; Usage'!$O74*'Weekly Summary'!K$52)+('Equipment List &amp; Usage'!$P74*'Weekly Summary'!K$53)+('Equipment List &amp; Usage'!$Q74*('Weekly Summary'!K$52+'Weekly Summary'!K$53))+('Equipment List &amp; Usage'!$R74*'Weekly Summary'!K$64)+('Equipment List &amp; Usage'!$S74*'Weekly Summary'!K$65)+('Equipment List &amp; Usage'!$T74*('Weekly Summary'!K$64+'Weekly Summary'!K$65)),
IF(Q$10=0,('Equipment List &amp; Usage'!$O74*'Weekly Summary'!K$52)+('Equipment List &amp; Usage'!$P74*'Weekly Summary'!K$53)+('Equipment List &amp; Usage'!$Q74*('Weekly Summary'!K$52+'Weekly Summary'!K$53))+('Equipment List &amp; Usage'!$R74*'Weekly Summary'!K$64)+('Equipment List &amp; Usage'!$S74*'Weekly Summary'!K$65)+('Equipment List &amp; Usage'!$T74*('Weekly Summary'!K$64+'Weekly Summary'!K$65)),
('Equipment List &amp; Usage'!$O74*'Weekly Summary'!K$52)+('Equipment List &amp; Usage'!$P74*'Weekly Summary'!K$53)+('Equipment List &amp; Usage'!$Q74*('Weekly Summary'!K$52+'Weekly Summary'!K$53))+('Equipment List &amp; Usage'!$R74*'Weekly Summary'!K$64)+('Equipment List &amp; Usage'!$S74*'Weekly Summary'!K$65)+('Equipment List &amp; Usage'!$T74*('Weekly Summary'!K$64+'Weekly Summary'!K$65))-SUM($I72:P72))),0)</f>
        <v>0</v>
      </c>
      <c r="R72" s="1381">
        <f ca="1">MAX(IF($F72="No",('Equipment List &amp; Usage'!$O74*'Weekly Summary'!L$52)+('Equipment List &amp; Usage'!$P74*'Weekly Summary'!L$53)+('Equipment List &amp; Usage'!$Q74*('Weekly Summary'!L$52+'Weekly Summary'!L$53))+('Equipment List &amp; Usage'!$R74*'Weekly Summary'!L$64)+('Equipment List &amp; Usage'!$S74*'Weekly Summary'!L$65)+('Equipment List &amp; Usage'!$T74*('Weekly Summary'!L$64+'Weekly Summary'!L$65)),
IF(R$10=0,('Equipment List &amp; Usage'!$O74*'Weekly Summary'!L$52)+('Equipment List &amp; Usage'!$P74*'Weekly Summary'!L$53)+('Equipment List &amp; Usage'!$Q74*('Weekly Summary'!L$52+'Weekly Summary'!L$53))+('Equipment List &amp; Usage'!$R74*'Weekly Summary'!L$64)+('Equipment List &amp; Usage'!$S74*'Weekly Summary'!L$65)+('Equipment List &amp; Usage'!$T74*('Weekly Summary'!L$64+'Weekly Summary'!L$65)),
('Equipment List &amp; Usage'!$O74*'Weekly Summary'!L$52)+('Equipment List &amp; Usage'!$P74*'Weekly Summary'!L$53)+('Equipment List &amp; Usage'!$Q74*('Weekly Summary'!L$52+'Weekly Summary'!L$53))+('Equipment List &amp; Usage'!$R74*'Weekly Summary'!L$64)+('Equipment List &amp; Usage'!$S74*'Weekly Summary'!L$65)+('Equipment List &amp; Usage'!$T74*('Weekly Summary'!L$64+'Weekly Summary'!L$65))-SUM($I72:Q72))),0)</f>
        <v>0</v>
      </c>
      <c r="S72" s="1381">
        <f ca="1">MAX(IF($F72="No",('Equipment List &amp; Usage'!$O74*'Weekly Summary'!M$52)+('Equipment List &amp; Usage'!$P74*'Weekly Summary'!M$53)+('Equipment List &amp; Usage'!$Q74*('Weekly Summary'!M$52+'Weekly Summary'!M$53))+('Equipment List &amp; Usage'!$R74*'Weekly Summary'!M$64)+('Equipment List &amp; Usage'!$S74*'Weekly Summary'!M$65)+('Equipment List &amp; Usage'!$T74*('Weekly Summary'!M$64+'Weekly Summary'!M$65)),
IF(S$10=0,('Equipment List &amp; Usage'!$O74*'Weekly Summary'!M$52)+('Equipment List &amp; Usage'!$P74*'Weekly Summary'!M$53)+('Equipment List &amp; Usage'!$Q74*('Weekly Summary'!M$52+'Weekly Summary'!M$53))+('Equipment List &amp; Usage'!$R74*'Weekly Summary'!M$64)+('Equipment List &amp; Usage'!$S74*'Weekly Summary'!M$65)+('Equipment List &amp; Usage'!$T74*('Weekly Summary'!M$64+'Weekly Summary'!M$65)),
('Equipment List &amp; Usage'!$O74*'Weekly Summary'!M$52)+('Equipment List &amp; Usage'!$P74*'Weekly Summary'!M$53)+('Equipment List &amp; Usage'!$Q74*('Weekly Summary'!M$52+'Weekly Summary'!M$53))+('Equipment List &amp; Usage'!$R74*'Weekly Summary'!M$64)+('Equipment List &amp; Usage'!$S74*'Weekly Summary'!M$65)+('Equipment List &amp; Usage'!$T74*('Weekly Summary'!M$64+'Weekly Summary'!M$65))-SUM($I72:R72))),0)</f>
        <v>0</v>
      </c>
      <c r="T72" s="1381">
        <f ca="1">MAX(IF($F72="No",('Equipment List &amp; Usage'!$O74*'Weekly Summary'!N$52)+('Equipment List &amp; Usage'!$P74*'Weekly Summary'!N$53)+('Equipment List &amp; Usage'!$Q74*('Weekly Summary'!N$52+'Weekly Summary'!N$53))+('Equipment List &amp; Usage'!$R74*'Weekly Summary'!N$64)+('Equipment List &amp; Usage'!$S74*'Weekly Summary'!N$65)+('Equipment List &amp; Usage'!$T74*('Weekly Summary'!N$64+'Weekly Summary'!N$65)),
IF(T$10=0,('Equipment List &amp; Usage'!$O74*'Weekly Summary'!N$52)+('Equipment List &amp; Usage'!$P74*'Weekly Summary'!N$53)+('Equipment List &amp; Usage'!$Q74*('Weekly Summary'!N$52+'Weekly Summary'!N$53))+('Equipment List &amp; Usage'!$R74*'Weekly Summary'!N$64)+('Equipment List &amp; Usage'!$S74*'Weekly Summary'!N$65)+('Equipment List &amp; Usage'!$T74*('Weekly Summary'!N$64+'Weekly Summary'!N$65)),
('Equipment List &amp; Usage'!$O74*'Weekly Summary'!N$52)+('Equipment List &amp; Usage'!$P74*'Weekly Summary'!N$53)+('Equipment List &amp; Usage'!$Q74*('Weekly Summary'!N$52+'Weekly Summary'!N$53))+('Equipment List &amp; Usage'!$R74*'Weekly Summary'!N$64)+('Equipment List &amp; Usage'!$S74*'Weekly Summary'!N$65)+('Equipment List &amp; Usage'!$T74*('Weekly Summary'!N$64+'Weekly Summary'!N$65))-SUM($I72:S72))),0)</f>
        <v>0</v>
      </c>
      <c r="U72" s="1381">
        <f ca="1">MAX(IF($F72="No",('Equipment List &amp; Usage'!$O74*'Weekly Summary'!O$52)+('Equipment List &amp; Usage'!$P74*'Weekly Summary'!O$53)+('Equipment List &amp; Usage'!$Q74*('Weekly Summary'!O$52+'Weekly Summary'!O$53))+('Equipment List &amp; Usage'!$R74*'Weekly Summary'!O$64)+('Equipment List &amp; Usage'!$S74*'Weekly Summary'!O$65)+('Equipment List &amp; Usage'!$T74*('Weekly Summary'!O$64+'Weekly Summary'!O$65)),
IF(U$10=0,('Equipment List &amp; Usage'!$O74*'Weekly Summary'!O$52)+('Equipment List &amp; Usage'!$P74*'Weekly Summary'!O$53)+('Equipment List &amp; Usage'!$Q74*('Weekly Summary'!O$52+'Weekly Summary'!O$53))+('Equipment List &amp; Usage'!$R74*'Weekly Summary'!O$64)+('Equipment List &amp; Usage'!$S74*'Weekly Summary'!O$65)+('Equipment List &amp; Usage'!$T74*('Weekly Summary'!O$64+'Weekly Summary'!O$65)),
('Equipment List &amp; Usage'!$O74*'Weekly Summary'!O$52)+('Equipment List &amp; Usage'!$P74*'Weekly Summary'!O$53)+('Equipment List &amp; Usage'!$Q74*('Weekly Summary'!O$52+'Weekly Summary'!O$53))+('Equipment List &amp; Usage'!$R74*'Weekly Summary'!O$64)+('Equipment List &amp; Usage'!$S74*'Weekly Summary'!O$65)+('Equipment List &amp; Usage'!$T74*('Weekly Summary'!O$64+'Weekly Summary'!O$65))-SUM($I72:T72))),0)</f>
        <v>0</v>
      </c>
      <c r="V72" s="1381">
        <f ca="1">MAX(IF($F72="No",('Equipment List &amp; Usage'!$O74*'Weekly Summary'!P$52)+('Equipment List &amp; Usage'!$P74*'Weekly Summary'!P$53)+('Equipment List &amp; Usage'!$Q74*('Weekly Summary'!P$52+'Weekly Summary'!P$53))+('Equipment List &amp; Usage'!$R74*'Weekly Summary'!P$64)+('Equipment List &amp; Usage'!$S74*'Weekly Summary'!P$65)+('Equipment List &amp; Usage'!$T74*('Weekly Summary'!P$64+'Weekly Summary'!P$65)),
IF(V$10=0,('Equipment List &amp; Usage'!$O74*'Weekly Summary'!P$52)+('Equipment List &amp; Usage'!$P74*'Weekly Summary'!P$53)+('Equipment List &amp; Usage'!$Q74*('Weekly Summary'!P$52+'Weekly Summary'!P$53))+('Equipment List &amp; Usage'!$R74*'Weekly Summary'!P$64)+('Equipment List &amp; Usage'!$S74*'Weekly Summary'!P$65)+('Equipment List &amp; Usage'!$T74*('Weekly Summary'!P$64+'Weekly Summary'!P$65)),
('Equipment List &amp; Usage'!$O74*'Weekly Summary'!P$52)+('Equipment List &amp; Usage'!$P74*'Weekly Summary'!P$53)+('Equipment List &amp; Usage'!$Q74*('Weekly Summary'!P$52+'Weekly Summary'!P$53))+('Equipment List &amp; Usage'!$R74*'Weekly Summary'!P$64)+('Equipment List &amp; Usage'!$S74*'Weekly Summary'!P$65)+('Equipment List &amp; Usage'!$T74*('Weekly Summary'!P$64+'Weekly Summary'!P$65))-SUM($I72:U72))),0)</f>
        <v>0</v>
      </c>
      <c r="W72" s="1381">
        <f ca="1">MAX(IF($F72="No",('Equipment List &amp; Usage'!$O74*'Weekly Summary'!Q$52)+('Equipment List &amp; Usage'!$P74*'Weekly Summary'!Q$53)+('Equipment List &amp; Usage'!$Q74*('Weekly Summary'!Q$52+'Weekly Summary'!Q$53))+('Equipment List &amp; Usage'!$R74*'Weekly Summary'!Q$64)+('Equipment List &amp; Usage'!$S74*'Weekly Summary'!Q$65)+('Equipment List &amp; Usage'!$T74*('Weekly Summary'!Q$64+'Weekly Summary'!Q$65)),
IF(W$10=0,('Equipment List &amp; Usage'!$O74*'Weekly Summary'!Q$52)+('Equipment List &amp; Usage'!$P74*'Weekly Summary'!Q$53)+('Equipment List &amp; Usage'!$Q74*('Weekly Summary'!Q$52+'Weekly Summary'!Q$53))+('Equipment List &amp; Usage'!$R74*'Weekly Summary'!Q$64)+('Equipment List &amp; Usage'!$S74*'Weekly Summary'!Q$65)+('Equipment List &amp; Usage'!$T74*('Weekly Summary'!Q$64+'Weekly Summary'!Q$65)),
('Equipment List &amp; Usage'!$O74*'Weekly Summary'!Q$52)+('Equipment List &amp; Usage'!$P74*'Weekly Summary'!Q$53)+('Equipment List &amp; Usage'!$Q74*('Weekly Summary'!Q$52+'Weekly Summary'!Q$53))+('Equipment List &amp; Usage'!$R74*'Weekly Summary'!Q$64)+('Equipment List &amp; Usage'!$S74*'Weekly Summary'!Q$65)+('Equipment List &amp; Usage'!$T74*('Weekly Summary'!Q$64+'Weekly Summary'!Q$65))-SUM($I72:V72))),0)</f>
        <v>0</v>
      </c>
      <c r="X72" s="1381">
        <f ca="1">MAX(IF($F72="No",('Equipment List &amp; Usage'!$O74*'Weekly Summary'!R$52)+('Equipment List &amp; Usage'!$P74*'Weekly Summary'!R$53)+('Equipment List &amp; Usage'!$Q74*('Weekly Summary'!R$52+'Weekly Summary'!R$53))+('Equipment List &amp; Usage'!$R74*'Weekly Summary'!R$64)+('Equipment List &amp; Usage'!$S74*'Weekly Summary'!R$65)+('Equipment List &amp; Usage'!$T74*('Weekly Summary'!R$64+'Weekly Summary'!R$65)),
IF(X$10=0,('Equipment List &amp; Usage'!$O74*'Weekly Summary'!R$52)+('Equipment List &amp; Usage'!$P74*'Weekly Summary'!R$53)+('Equipment List &amp; Usage'!$Q74*('Weekly Summary'!R$52+'Weekly Summary'!R$53))+('Equipment List &amp; Usage'!$R74*'Weekly Summary'!R$64)+('Equipment List &amp; Usage'!$S74*'Weekly Summary'!R$65)+('Equipment List &amp; Usage'!$T74*('Weekly Summary'!R$64+'Weekly Summary'!R$65)),
('Equipment List &amp; Usage'!$O74*'Weekly Summary'!R$52)+('Equipment List &amp; Usage'!$P74*'Weekly Summary'!R$53)+('Equipment List &amp; Usage'!$Q74*('Weekly Summary'!R$52+'Weekly Summary'!R$53))+('Equipment List &amp; Usage'!$R74*'Weekly Summary'!R$64)+('Equipment List &amp; Usage'!$S74*'Weekly Summary'!R$65)+('Equipment List &amp; Usage'!$T74*('Weekly Summary'!R$64+'Weekly Summary'!R$65))-SUM($I72:W72))),0)</f>
        <v>0</v>
      </c>
      <c r="Y72" s="1381">
        <f ca="1">MAX(IF($F72="No",('Equipment List &amp; Usage'!$O74*'Weekly Summary'!S$52)+('Equipment List &amp; Usage'!$P74*'Weekly Summary'!S$53)+('Equipment List &amp; Usage'!$Q74*('Weekly Summary'!S$52+'Weekly Summary'!S$53))+('Equipment List &amp; Usage'!$R74*'Weekly Summary'!S$64)+('Equipment List &amp; Usage'!$S74*'Weekly Summary'!S$65)+('Equipment List &amp; Usage'!$T74*('Weekly Summary'!S$64+'Weekly Summary'!S$65)),
IF(Y$10=0,('Equipment List &amp; Usage'!$O74*'Weekly Summary'!S$52)+('Equipment List &amp; Usage'!$P74*'Weekly Summary'!S$53)+('Equipment List &amp; Usage'!$Q74*('Weekly Summary'!S$52+'Weekly Summary'!S$53))+('Equipment List &amp; Usage'!$R74*'Weekly Summary'!S$64)+('Equipment List &amp; Usage'!$S74*'Weekly Summary'!S$65)+('Equipment List &amp; Usage'!$T74*('Weekly Summary'!S$64+'Weekly Summary'!S$65)),
('Equipment List &amp; Usage'!$O74*'Weekly Summary'!S$52)+('Equipment List &amp; Usage'!$P74*'Weekly Summary'!S$53)+('Equipment List &amp; Usage'!$Q74*('Weekly Summary'!S$52+'Weekly Summary'!S$53))+('Equipment List &amp; Usage'!$R74*'Weekly Summary'!S$64)+('Equipment List &amp; Usage'!$S74*'Weekly Summary'!S$65)+('Equipment List &amp; Usage'!$T74*('Weekly Summary'!S$64+'Weekly Summary'!S$65))-SUM($I72:X72))),0)</f>
        <v>0</v>
      </c>
      <c r="Z72" s="1381">
        <f ca="1">MAX(IF($F72="No",('Equipment List &amp; Usage'!$O74*'Weekly Summary'!T$52)+('Equipment List &amp; Usage'!$P74*'Weekly Summary'!T$53)+('Equipment List &amp; Usage'!$Q74*('Weekly Summary'!T$52+'Weekly Summary'!T$53))+('Equipment List &amp; Usage'!$R74*'Weekly Summary'!T$64)+('Equipment List &amp; Usage'!$S74*'Weekly Summary'!T$65)+('Equipment List &amp; Usage'!$T74*('Weekly Summary'!T$64+'Weekly Summary'!T$65)),
IF(Z$10=0,('Equipment List &amp; Usage'!$O74*'Weekly Summary'!T$52)+('Equipment List &amp; Usage'!$P74*'Weekly Summary'!T$53)+('Equipment List &amp; Usage'!$Q74*('Weekly Summary'!T$52+'Weekly Summary'!T$53))+('Equipment List &amp; Usage'!$R74*'Weekly Summary'!T$64)+('Equipment List &amp; Usage'!$S74*'Weekly Summary'!T$65)+('Equipment List &amp; Usage'!$T74*('Weekly Summary'!T$64+'Weekly Summary'!T$65)),
('Equipment List &amp; Usage'!$O74*'Weekly Summary'!T$52)+('Equipment List &amp; Usage'!$P74*'Weekly Summary'!T$53)+('Equipment List &amp; Usage'!$Q74*('Weekly Summary'!T$52+'Weekly Summary'!T$53))+('Equipment List &amp; Usage'!$R74*'Weekly Summary'!T$64)+('Equipment List &amp; Usage'!$S74*'Weekly Summary'!T$65)+('Equipment List &amp; Usage'!$T74*('Weekly Summary'!T$64+'Weekly Summary'!T$65))-SUM($I72:Y72))),0)</f>
        <v>0</v>
      </c>
      <c r="AA72" s="1381">
        <f ca="1">MAX(IF($F72="No",('Equipment List &amp; Usage'!$O74*'Weekly Summary'!U$52)+('Equipment List &amp; Usage'!$P74*'Weekly Summary'!U$53)+('Equipment List &amp; Usage'!$Q74*('Weekly Summary'!U$52+'Weekly Summary'!U$53))+('Equipment List &amp; Usage'!$R74*'Weekly Summary'!U$64)+('Equipment List &amp; Usage'!$S74*'Weekly Summary'!U$65)+('Equipment List &amp; Usage'!$T74*('Weekly Summary'!U$64+'Weekly Summary'!U$65)),
IF(AA$10=0,('Equipment List &amp; Usage'!$O74*'Weekly Summary'!U$52)+('Equipment List &amp; Usage'!$P74*'Weekly Summary'!U$53)+('Equipment List &amp; Usage'!$Q74*('Weekly Summary'!U$52+'Weekly Summary'!U$53))+('Equipment List &amp; Usage'!$R74*'Weekly Summary'!U$64)+('Equipment List &amp; Usage'!$S74*'Weekly Summary'!U$65)+('Equipment List &amp; Usage'!$T74*('Weekly Summary'!U$64+'Weekly Summary'!U$65)),
('Equipment List &amp; Usage'!$O74*'Weekly Summary'!U$52)+('Equipment List &amp; Usage'!$P74*'Weekly Summary'!U$53)+('Equipment List &amp; Usage'!$Q74*('Weekly Summary'!U$52+'Weekly Summary'!U$53))+('Equipment List &amp; Usage'!$R74*'Weekly Summary'!U$64)+('Equipment List &amp; Usage'!$S74*'Weekly Summary'!U$65)+('Equipment List &amp; Usage'!$T74*('Weekly Summary'!U$64+'Weekly Summary'!U$65))-SUM($I72:Z72))),0)</f>
        <v>0</v>
      </c>
      <c r="AB72" s="1381">
        <f ca="1">MAX(IF($F72="No",('Equipment List &amp; Usage'!$O74*'Weekly Summary'!V$52)+('Equipment List &amp; Usage'!$P74*'Weekly Summary'!V$53)+('Equipment List &amp; Usage'!$Q74*('Weekly Summary'!V$52+'Weekly Summary'!V$53))+('Equipment List &amp; Usage'!$R74*'Weekly Summary'!V$64)+('Equipment List &amp; Usage'!$S74*'Weekly Summary'!V$65)+('Equipment List &amp; Usage'!$T74*('Weekly Summary'!V$64+'Weekly Summary'!V$65)),
IF(AB$10=0,('Equipment List &amp; Usage'!$O74*'Weekly Summary'!V$52)+('Equipment List &amp; Usage'!$P74*'Weekly Summary'!V$53)+('Equipment List &amp; Usage'!$Q74*('Weekly Summary'!V$52+'Weekly Summary'!V$53))+('Equipment List &amp; Usage'!$R74*'Weekly Summary'!V$64)+('Equipment List &amp; Usage'!$S74*'Weekly Summary'!V$65)+('Equipment List &amp; Usage'!$T74*('Weekly Summary'!V$64+'Weekly Summary'!V$65)),
('Equipment List &amp; Usage'!$O74*'Weekly Summary'!V$52)+('Equipment List &amp; Usage'!$P74*'Weekly Summary'!V$53)+('Equipment List &amp; Usage'!$Q74*('Weekly Summary'!V$52+'Weekly Summary'!V$53))+('Equipment List &amp; Usage'!$R74*'Weekly Summary'!V$64)+('Equipment List &amp; Usage'!$S74*'Weekly Summary'!V$65)+('Equipment List &amp; Usage'!$T74*('Weekly Summary'!V$64+'Weekly Summary'!V$65))-SUM($I72:AA72))),0)</f>
        <v>0</v>
      </c>
      <c r="AC72" s="1381">
        <f ca="1">MAX(IF($F72="No",('Equipment List &amp; Usage'!$O74*'Weekly Summary'!W$52)+('Equipment List &amp; Usage'!$P74*'Weekly Summary'!W$53)+('Equipment List &amp; Usage'!$Q74*('Weekly Summary'!W$52+'Weekly Summary'!W$53))+('Equipment List &amp; Usage'!$R74*'Weekly Summary'!W$64)+('Equipment List &amp; Usage'!$S74*'Weekly Summary'!W$65)+('Equipment List &amp; Usage'!$T74*('Weekly Summary'!W$64+'Weekly Summary'!W$65)),
IF(AC$10=0,('Equipment List &amp; Usage'!$O74*'Weekly Summary'!W$52)+('Equipment List &amp; Usage'!$P74*'Weekly Summary'!W$53)+('Equipment List &amp; Usage'!$Q74*('Weekly Summary'!W$52+'Weekly Summary'!W$53))+('Equipment List &amp; Usage'!$R74*'Weekly Summary'!W$64)+('Equipment List &amp; Usage'!$S74*'Weekly Summary'!W$65)+('Equipment List &amp; Usage'!$T74*('Weekly Summary'!W$64+'Weekly Summary'!W$65)),
('Equipment List &amp; Usage'!$O74*'Weekly Summary'!W$52)+('Equipment List &amp; Usage'!$P74*'Weekly Summary'!W$53)+('Equipment List &amp; Usage'!$Q74*('Weekly Summary'!W$52+'Weekly Summary'!W$53))+('Equipment List &amp; Usage'!$R74*'Weekly Summary'!W$64)+('Equipment List &amp; Usage'!$S74*'Weekly Summary'!W$65)+('Equipment List &amp; Usage'!$T74*('Weekly Summary'!W$64+'Weekly Summary'!W$65))-SUM($I72:AB72))),0)</f>
        <v>0</v>
      </c>
      <c r="AD72" s="1381">
        <f ca="1">MAX(IF($F72="No",('Equipment List &amp; Usage'!$O74*'Weekly Summary'!X$52)+('Equipment List &amp; Usage'!$P74*'Weekly Summary'!X$53)+('Equipment List &amp; Usage'!$Q74*('Weekly Summary'!X$52+'Weekly Summary'!X$53))+('Equipment List &amp; Usage'!$R74*'Weekly Summary'!X$64)+('Equipment List &amp; Usage'!$S74*'Weekly Summary'!X$65)+('Equipment List &amp; Usage'!$T74*('Weekly Summary'!X$64+'Weekly Summary'!X$65)),
IF(AD$10=0,('Equipment List &amp; Usage'!$O74*'Weekly Summary'!X$52)+('Equipment List &amp; Usage'!$P74*'Weekly Summary'!X$53)+('Equipment List &amp; Usage'!$Q74*('Weekly Summary'!X$52+'Weekly Summary'!X$53))+('Equipment List &amp; Usage'!$R74*'Weekly Summary'!X$64)+('Equipment List &amp; Usage'!$S74*'Weekly Summary'!X$65)+('Equipment List &amp; Usage'!$T74*('Weekly Summary'!X$64+'Weekly Summary'!X$65)),
('Equipment List &amp; Usage'!$O74*'Weekly Summary'!X$52)+('Equipment List &amp; Usage'!$P74*'Weekly Summary'!X$53)+('Equipment List &amp; Usage'!$Q74*('Weekly Summary'!X$52+'Weekly Summary'!X$53))+('Equipment List &amp; Usage'!$R74*'Weekly Summary'!X$64)+('Equipment List &amp; Usage'!$S74*'Weekly Summary'!X$65)+('Equipment List &amp; Usage'!$T74*('Weekly Summary'!X$64+'Weekly Summary'!X$65))-SUM($I72:AC72))),0)</f>
        <v>0</v>
      </c>
      <c r="AE72" s="1381">
        <f ca="1">MAX(IF($F72="No",('Equipment List &amp; Usage'!$O74*'Weekly Summary'!Y$52)+('Equipment List &amp; Usage'!$P74*'Weekly Summary'!Y$53)+('Equipment List &amp; Usage'!$Q74*('Weekly Summary'!Y$52+'Weekly Summary'!Y$53))+('Equipment List &amp; Usage'!$R74*'Weekly Summary'!Y$64)+('Equipment List &amp; Usage'!$S74*'Weekly Summary'!Y$65)+('Equipment List &amp; Usage'!$T74*('Weekly Summary'!Y$64+'Weekly Summary'!Y$65)),
IF(AE$10=0,('Equipment List &amp; Usage'!$O74*'Weekly Summary'!Y$52)+('Equipment List &amp; Usage'!$P74*'Weekly Summary'!Y$53)+('Equipment List &amp; Usage'!$Q74*('Weekly Summary'!Y$52+'Weekly Summary'!Y$53))+('Equipment List &amp; Usage'!$R74*'Weekly Summary'!Y$64)+('Equipment List &amp; Usage'!$S74*'Weekly Summary'!Y$65)+('Equipment List &amp; Usage'!$T74*('Weekly Summary'!Y$64+'Weekly Summary'!Y$65)),
('Equipment List &amp; Usage'!$O74*'Weekly Summary'!Y$52)+('Equipment List &amp; Usage'!$P74*'Weekly Summary'!Y$53)+('Equipment List &amp; Usage'!$Q74*('Weekly Summary'!Y$52+'Weekly Summary'!Y$53))+('Equipment List &amp; Usage'!$R74*'Weekly Summary'!Y$64)+('Equipment List &amp; Usage'!$S74*'Weekly Summary'!Y$65)+('Equipment List &amp; Usage'!$T74*('Weekly Summary'!Y$64+'Weekly Summary'!Y$65))-SUM($I72:AD72))),0)</f>
        <v>0</v>
      </c>
      <c r="AF72" s="1381">
        <f ca="1">MAX(IF($F72="No",('Equipment List &amp; Usage'!$O74*'Weekly Summary'!Z$52)+('Equipment List &amp; Usage'!$P74*'Weekly Summary'!Z$53)+('Equipment List &amp; Usage'!$Q74*('Weekly Summary'!Z$52+'Weekly Summary'!Z$53))+('Equipment List &amp; Usage'!$R74*'Weekly Summary'!Z$64)+('Equipment List &amp; Usage'!$S74*'Weekly Summary'!Z$65)+('Equipment List &amp; Usage'!$T74*('Weekly Summary'!Z$64+'Weekly Summary'!Z$65)),
IF(AF$10=0,('Equipment List &amp; Usage'!$O74*'Weekly Summary'!Z$52)+('Equipment List &amp; Usage'!$P74*'Weekly Summary'!Z$53)+('Equipment List &amp; Usage'!$Q74*('Weekly Summary'!Z$52+'Weekly Summary'!Z$53))+('Equipment List &amp; Usage'!$R74*'Weekly Summary'!Z$64)+('Equipment List &amp; Usage'!$S74*'Weekly Summary'!Z$65)+('Equipment List &amp; Usage'!$T74*('Weekly Summary'!Z$64+'Weekly Summary'!Z$65)),
('Equipment List &amp; Usage'!$O74*'Weekly Summary'!Z$52)+('Equipment List &amp; Usage'!$P74*'Weekly Summary'!Z$53)+('Equipment List &amp; Usage'!$Q74*('Weekly Summary'!Z$52+'Weekly Summary'!Z$53))+('Equipment List &amp; Usage'!$R74*'Weekly Summary'!Z$64)+('Equipment List &amp; Usage'!$S74*'Weekly Summary'!Z$65)+('Equipment List &amp; Usage'!$T74*('Weekly Summary'!Z$64+'Weekly Summary'!Z$65))-SUM($I72:AE72))),0)</f>
        <v>0</v>
      </c>
      <c r="AG72" s="1381">
        <f ca="1">MAX(IF($F72="No",('Equipment List &amp; Usage'!$O74*'Weekly Summary'!AA$52)+('Equipment List &amp; Usage'!$P74*'Weekly Summary'!AA$53)+('Equipment List &amp; Usage'!$Q74*('Weekly Summary'!AA$52+'Weekly Summary'!AA$53))+('Equipment List &amp; Usage'!$R74*'Weekly Summary'!AA$64)+('Equipment List &amp; Usage'!$S74*'Weekly Summary'!AA$65)+('Equipment List &amp; Usage'!$T74*('Weekly Summary'!AA$64+'Weekly Summary'!AA$65)),
IF(AG$10=0,('Equipment List &amp; Usage'!$O74*'Weekly Summary'!AA$52)+('Equipment List &amp; Usage'!$P74*'Weekly Summary'!AA$53)+('Equipment List &amp; Usage'!$Q74*('Weekly Summary'!AA$52+'Weekly Summary'!AA$53))+('Equipment List &amp; Usage'!$R74*'Weekly Summary'!AA$64)+('Equipment List &amp; Usage'!$S74*'Weekly Summary'!AA$65)+('Equipment List &amp; Usage'!$T74*('Weekly Summary'!AA$64+'Weekly Summary'!AA$65)),
('Equipment List &amp; Usage'!$O74*'Weekly Summary'!AA$52)+('Equipment List &amp; Usage'!$P74*'Weekly Summary'!AA$53)+('Equipment List &amp; Usage'!$Q74*('Weekly Summary'!AA$52+'Weekly Summary'!AA$53))+('Equipment List &amp; Usage'!$R74*'Weekly Summary'!AA$64)+('Equipment List &amp; Usage'!$S74*'Weekly Summary'!AA$65)+('Equipment List &amp; Usage'!$T74*('Weekly Summary'!AA$64+'Weekly Summary'!AA$65))-SUM($I72:AF72))),0)</f>
        <v>0</v>
      </c>
      <c r="AH72" s="1381">
        <f ca="1">MAX(IF($F72="No",('Equipment List &amp; Usage'!$O74*'Weekly Summary'!AB$52)+('Equipment List &amp; Usage'!$P74*'Weekly Summary'!AB$53)+('Equipment List &amp; Usage'!$Q74*('Weekly Summary'!AB$52+'Weekly Summary'!AB$53))+('Equipment List &amp; Usage'!$R74*'Weekly Summary'!AB$64)+('Equipment List &amp; Usage'!$S74*'Weekly Summary'!AB$65)+('Equipment List &amp; Usage'!$T74*('Weekly Summary'!AB$64+'Weekly Summary'!AB$65)),
IF(AH$10=0,('Equipment List &amp; Usage'!$O74*'Weekly Summary'!AB$52)+('Equipment List &amp; Usage'!$P74*'Weekly Summary'!AB$53)+('Equipment List &amp; Usage'!$Q74*('Weekly Summary'!AB$52+'Weekly Summary'!AB$53))+('Equipment List &amp; Usage'!$R74*'Weekly Summary'!AB$64)+('Equipment List &amp; Usage'!$S74*'Weekly Summary'!AB$65)+('Equipment List &amp; Usage'!$T74*('Weekly Summary'!AB$64+'Weekly Summary'!AB$65)),
('Equipment List &amp; Usage'!$O74*'Weekly Summary'!AB$52)+('Equipment List &amp; Usage'!$P74*'Weekly Summary'!AB$53)+('Equipment List &amp; Usage'!$Q74*('Weekly Summary'!AB$52+'Weekly Summary'!AB$53))+('Equipment List &amp; Usage'!$R74*'Weekly Summary'!AB$64)+('Equipment List &amp; Usage'!$S74*'Weekly Summary'!AB$65)+('Equipment List &amp; Usage'!$T74*('Weekly Summary'!AB$64+'Weekly Summary'!AB$65))-SUM($I72:AG72))),0)</f>
        <v>0</v>
      </c>
      <c r="AI72" s="1381">
        <f ca="1">MAX(IF($F72="No",('Equipment List &amp; Usage'!$O74*'Weekly Summary'!AC$52)+('Equipment List &amp; Usage'!$P74*'Weekly Summary'!AC$53)+('Equipment List &amp; Usage'!$Q74*('Weekly Summary'!AC$52+'Weekly Summary'!AC$53))+('Equipment List &amp; Usage'!$R74*'Weekly Summary'!AC$64)+('Equipment List &amp; Usage'!$S74*'Weekly Summary'!AC$65)+('Equipment List &amp; Usage'!$T74*('Weekly Summary'!AC$64+'Weekly Summary'!AC$65)),
IF(AI$10=0,('Equipment List &amp; Usage'!$O74*'Weekly Summary'!AC$52)+('Equipment List &amp; Usage'!$P74*'Weekly Summary'!AC$53)+('Equipment List &amp; Usage'!$Q74*('Weekly Summary'!AC$52+'Weekly Summary'!AC$53))+('Equipment List &amp; Usage'!$R74*'Weekly Summary'!AC$64)+('Equipment List &amp; Usage'!$S74*'Weekly Summary'!AC$65)+('Equipment List &amp; Usage'!$T74*('Weekly Summary'!AC$64+'Weekly Summary'!AC$65)),
('Equipment List &amp; Usage'!$O74*'Weekly Summary'!AC$52)+('Equipment List &amp; Usage'!$P74*'Weekly Summary'!AC$53)+('Equipment List &amp; Usage'!$Q74*('Weekly Summary'!AC$52+'Weekly Summary'!AC$53))+('Equipment List &amp; Usage'!$R74*'Weekly Summary'!AC$64)+('Equipment List &amp; Usage'!$S74*'Weekly Summary'!AC$65)+('Equipment List &amp; Usage'!$T74*('Weekly Summary'!AC$64+'Weekly Summary'!AC$65))-SUM($I72:AH72))),0)</f>
        <v>0</v>
      </c>
      <c r="AJ72" s="1381">
        <f ca="1">MAX(IF($F72="No",('Equipment List &amp; Usage'!$O74*'Weekly Summary'!AD$52)+('Equipment List &amp; Usage'!$P74*'Weekly Summary'!AD$53)+('Equipment List &amp; Usage'!$Q74*('Weekly Summary'!AD$52+'Weekly Summary'!AD$53))+('Equipment List &amp; Usage'!$R74*'Weekly Summary'!AD$64)+('Equipment List &amp; Usage'!$S74*'Weekly Summary'!AD$65)+('Equipment List &amp; Usage'!$T74*('Weekly Summary'!AD$64+'Weekly Summary'!AD$65)),
IF(AJ$10=0,('Equipment List &amp; Usage'!$O74*'Weekly Summary'!AD$52)+('Equipment List &amp; Usage'!$P74*'Weekly Summary'!AD$53)+('Equipment List &amp; Usage'!$Q74*('Weekly Summary'!AD$52+'Weekly Summary'!AD$53))+('Equipment List &amp; Usage'!$R74*'Weekly Summary'!AD$64)+('Equipment List &amp; Usage'!$S74*'Weekly Summary'!AD$65)+('Equipment List &amp; Usage'!$T74*('Weekly Summary'!AD$64+'Weekly Summary'!AD$65)),
('Equipment List &amp; Usage'!$O74*'Weekly Summary'!AD$52)+('Equipment List &amp; Usage'!$P74*'Weekly Summary'!AD$53)+('Equipment List &amp; Usage'!$Q74*('Weekly Summary'!AD$52+'Weekly Summary'!AD$53))+('Equipment List &amp; Usage'!$R74*'Weekly Summary'!AD$64)+('Equipment List &amp; Usage'!$S74*'Weekly Summary'!AD$65)+('Equipment List &amp; Usage'!$T74*('Weekly Summary'!AD$64+'Weekly Summary'!AD$65))-SUM($I72:AI72))),0)</f>
        <v>0</v>
      </c>
      <c r="AK72" s="1381">
        <f ca="1">MAX(IF($F72="No",('Equipment List &amp; Usage'!$O74*'Weekly Summary'!AE$52)+('Equipment List &amp; Usage'!$P74*'Weekly Summary'!AE$53)+('Equipment List &amp; Usage'!$Q74*('Weekly Summary'!AE$52+'Weekly Summary'!AE$53))+('Equipment List &amp; Usage'!$R74*'Weekly Summary'!AE$64)+('Equipment List &amp; Usage'!$S74*'Weekly Summary'!AE$65)+('Equipment List &amp; Usage'!$T74*('Weekly Summary'!AE$64+'Weekly Summary'!AE$65)),
IF(AK$10=0,('Equipment List &amp; Usage'!$O74*'Weekly Summary'!AE$52)+('Equipment List &amp; Usage'!$P74*'Weekly Summary'!AE$53)+('Equipment List &amp; Usage'!$Q74*('Weekly Summary'!AE$52+'Weekly Summary'!AE$53))+('Equipment List &amp; Usage'!$R74*'Weekly Summary'!AE$64)+('Equipment List &amp; Usage'!$S74*'Weekly Summary'!AE$65)+('Equipment List &amp; Usage'!$T74*('Weekly Summary'!AE$64+'Weekly Summary'!AE$65)),
('Equipment List &amp; Usage'!$O74*'Weekly Summary'!AE$52)+('Equipment List &amp; Usage'!$P74*'Weekly Summary'!AE$53)+('Equipment List &amp; Usage'!$Q74*('Weekly Summary'!AE$52+'Weekly Summary'!AE$53))+('Equipment List &amp; Usage'!$R74*'Weekly Summary'!AE$64)+('Equipment List &amp; Usage'!$S74*'Weekly Summary'!AE$65)+('Equipment List &amp; Usage'!$T74*('Weekly Summary'!AE$64+'Weekly Summary'!AE$65))-SUM($I72:AJ72))),0)</f>
        <v>0</v>
      </c>
      <c r="AL72" s="1381">
        <f ca="1">MAX(IF($F72="No",('Equipment List &amp; Usage'!$O74*'Weekly Summary'!AF$52)+('Equipment List &amp; Usage'!$P74*'Weekly Summary'!AF$53)+('Equipment List &amp; Usage'!$Q74*('Weekly Summary'!AF$52+'Weekly Summary'!AF$53))+('Equipment List &amp; Usage'!$R74*'Weekly Summary'!AF$64)+('Equipment List &amp; Usage'!$S74*'Weekly Summary'!AF$65)+('Equipment List &amp; Usage'!$T74*('Weekly Summary'!AF$64+'Weekly Summary'!AF$65)),
IF(AL$10=0,('Equipment List &amp; Usage'!$O74*'Weekly Summary'!AF$52)+('Equipment List &amp; Usage'!$P74*'Weekly Summary'!AF$53)+('Equipment List &amp; Usage'!$Q74*('Weekly Summary'!AF$52+'Weekly Summary'!AF$53))+('Equipment List &amp; Usage'!$R74*'Weekly Summary'!AF$64)+('Equipment List &amp; Usage'!$S74*'Weekly Summary'!AF$65)+('Equipment List &amp; Usage'!$T74*('Weekly Summary'!AF$64+'Weekly Summary'!AF$65)),
('Equipment List &amp; Usage'!$O74*'Weekly Summary'!AF$52)+('Equipment List &amp; Usage'!$P74*'Weekly Summary'!AF$53)+('Equipment List &amp; Usage'!$Q74*('Weekly Summary'!AF$52+'Weekly Summary'!AF$53))+('Equipment List &amp; Usage'!$R74*'Weekly Summary'!AF$64)+('Equipment List &amp; Usage'!$S74*'Weekly Summary'!AF$65)+('Equipment List &amp; Usage'!$T74*('Weekly Summary'!AF$64+'Weekly Summary'!AF$65))-SUM($I72:AK72))),0)</f>
        <v>0</v>
      </c>
      <c r="AM72" s="1381">
        <f ca="1">MAX(IF($F72="No",('Equipment List &amp; Usage'!$O74*'Weekly Summary'!AG$52)+('Equipment List &amp; Usage'!$P74*'Weekly Summary'!AG$53)+('Equipment List &amp; Usage'!$Q74*('Weekly Summary'!AG$52+'Weekly Summary'!AG$53))+('Equipment List &amp; Usage'!$R74*'Weekly Summary'!AG$64)+('Equipment List &amp; Usage'!$S74*'Weekly Summary'!AG$65)+('Equipment List &amp; Usage'!$T74*('Weekly Summary'!AG$64+'Weekly Summary'!AG$65)),
IF(AM$10=0,('Equipment List &amp; Usage'!$O74*'Weekly Summary'!AG$52)+('Equipment List &amp; Usage'!$P74*'Weekly Summary'!AG$53)+('Equipment List &amp; Usage'!$Q74*('Weekly Summary'!AG$52+'Weekly Summary'!AG$53))+('Equipment List &amp; Usage'!$R74*'Weekly Summary'!AG$64)+('Equipment List &amp; Usage'!$S74*'Weekly Summary'!AG$65)+('Equipment List &amp; Usage'!$T74*('Weekly Summary'!AG$64+'Weekly Summary'!AG$65)),
('Equipment List &amp; Usage'!$O74*'Weekly Summary'!AG$52)+('Equipment List &amp; Usage'!$P74*'Weekly Summary'!AG$53)+('Equipment List &amp; Usage'!$Q74*('Weekly Summary'!AG$52+'Weekly Summary'!AG$53))+('Equipment List &amp; Usage'!$R74*'Weekly Summary'!AG$64)+('Equipment List &amp; Usage'!$S74*'Weekly Summary'!AG$65)+('Equipment List &amp; Usage'!$T74*('Weekly Summary'!AG$64+'Weekly Summary'!AG$65))-SUM($I72:AL72))),0)</f>
        <v>0</v>
      </c>
      <c r="AN72" s="1381">
        <f ca="1">MAX(IF($F72="No",('Equipment List &amp; Usage'!$O74*'Weekly Summary'!AH$52)+('Equipment List &amp; Usage'!$P74*'Weekly Summary'!AH$53)+('Equipment List &amp; Usage'!$Q74*('Weekly Summary'!AH$52+'Weekly Summary'!AH$53))+('Equipment List &amp; Usage'!$R74*'Weekly Summary'!AH$64)+('Equipment List &amp; Usage'!$S74*'Weekly Summary'!AH$65)+('Equipment List &amp; Usage'!$T74*('Weekly Summary'!AH$64+'Weekly Summary'!AH$65)),
IF(AN$10=0,('Equipment List &amp; Usage'!$O74*'Weekly Summary'!AH$52)+('Equipment List &amp; Usage'!$P74*'Weekly Summary'!AH$53)+('Equipment List &amp; Usage'!$Q74*('Weekly Summary'!AH$52+'Weekly Summary'!AH$53))+('Equipment List &amp; Usage'!$R74*'Weekly Summary'!AH$64)+('Equipment List &amp; Usage'!$S74*'Weekly Summary'!AH$65)+('Equipment List &amp; Usage'!$T74*('Weekly Summary'!AH$64+'Weekly Summary'!AH$65)),
('Equipment List &amp; Usage'!$O74*'Weekly Summary'!AH$52)+('Equipment List &amp; Usage'!$P74*'Weekly Summary'!AH$53)+('Equipment List &amp; Usage'!$Q74*('Weekly Summary'!AH$52+'Weekly Summary'!AH$53))+('Equipment List &amp; Usage'!$R74*'Weekly Summary'!AH$64)+('Equipment List &amp; Usage'!$S74*'Weekly Summary'!AH$65)+('Equipment List &amp; Usage'!$T74*('Weekly Summary'!AH$64+'Weekly Summary'!AH$65))-SUM($I72:AM72))),0)</f>
        <v>0</v>
      </c>
      <c r="AO72" s="1381">
        <f ca="1">MAX(IF($F72="No",('Equipment List &amp; Usage'!$O74*'Weekly Summary'!AI$52)+('Equipment List &amp; Usage'!$P74*'Weekly Summary'!AI$53)+('Equipment List &amp; Usage'!$Q74*('Weekly Summary'!AI$52+'Weekly Summary'!AI$53))+('Equipment List &amp; Usage'!$R74*'Weekly Summary'!AI$64)+('Equipment List &amp; Usage'!$S74*'Weekly Summary'!AI$65)+('Equipment List &amp; Usage'!$T74*('Weekly Summary'!AI$64+'Weekly Summary'!AI$65)),
IF(AO$10=0,('Equipment List &amp; Usage'!$O74*'Weekly Summary'!AI$52)+('Equipment List &amp; Usage'!$P74*'Weekly Summary'!AI$53)+('Equipment List &amp; Usage'!$Q74*('Weekly Summary'!AI$52+'Weekly Summary'!AI$53))+('Equipment List &amp; Usage'!$R74*'Weekly Summary'!AI$64)+('Equipment List &amp; Usage'!$S74*'Weekly Summary'!AI$65)+('Equipment List &amp; Usage'!$T74*('Weekly Summary'!AI$64+'Weekly Summary'!AI$65)),
('Equipment List &amp; Usage'!$O74*'Weekly Summary'!AI$52)+('Equipment List &amp; Usage'!$P74*'Weekly Summary'!AI$53)+('Equipment List &amp; Usage'!$Q74*('Weekly Summary'!AI$52+'Weekly Summary'!AI$53))+('Equipment List &amp; Usage'!$R74*'Weekly Summary'!AI$64)+('Equipment List &amp; Usage'!$S74*'Weekly Summary'!AI$65)+('Equipment List &amp; Usage'!$T74*('Weekly Summary'!AI$64+'Weekly Summary'!AI$65))-SUM($I72:AN72))),0)</f>
        <v>0</v>
      </c>
      <c r="AP72" s="1381">
        <f ca="1">MAX(IF($F72="No",('Equipment List &amp; Usage'!$O74*'Weekly Summary'!AJ$52)+('Equipment List &amp; Usage'!$P74*'Weekly Summary'!AJ$53)+('Equipment List &amp; Usage'!$Q74*('Weekly Summary'!AJ$52+'Weekly Summary'!AJ$53))+('Equipment List &amp; Usage'!$R74*'Weekly Summary'!AJ$64)+('Equipment List &amp; Usage'!$S74*'Weekly Summary'!AJ$65)+('Equipment List &amp; Usage'!$T74*('Weekly Summary'!AJ$64+'Weekly Summary'!AJ$65)),
IF(AP$10=0,('Equipment List &amp; Usage'!$O74*'Weekly Summary'!AJ$52)+('Equipment List &amp; Usage'!$P74*'Weekly Summary'!AJ$53)+('Equipment List &amp; Usage'!$Q74*('Weekly Summary'!AJ$52+'Weekly Summary'!AJ$53))+('Equipment List &amp; Usage'!$R74*'Weekly Summary'!AJ$64)+('Equipment List &amp; Usage'!$S74*'Weekly Summary'!AJ$65)+('Equipment List &amp; Usage'!$T74*('Weekly Summary'!AJ$64+'Weekly Summary'!AJ$65)),
('Equipment List &amp; Usage'!$O74*'Weekly Summary'!AJ$52)+('Equipment List &amp; Usage'!$P74*'Weekly Summary'!AJ$53)+('Equipment List &amp; Usage'!$Q74*('Weekly Summary'!AJ$52+'Weekly Summary'!AJ$53))+('Equipment List &amp; Usage'!$R74*'Weekly Summary'!AJ$64)+('Equipment List &amp; Usage'!$S74*'Weekly Summary'!AJ$65)+('Equipment List &amp; Usage'!$T74*('Weekly Summary'!AJ$64+'Weekly Summary'!AJ$65))-SUM($I72:AO72))),0)</f>
        <v>0</v>
      </c>
      <c r="AQ72" s="1381">
        <f ca="1">MAX(IF($F72="No",('Equipment List &amp; Usage'!$O74*'Weekly Summary'!AK$52)+('Equipment List &amp; Usage'!$P74*'Weekly Summary'!AK$53)+('Equipment List &amp; Usage'!$Q74*('Weekly Summary'!AK$52+'Weekly Summary'!AK$53))+('Equipment List &amp; Usage'!$R74*'Weekly Summary'!AK$64)+('Equipment List &amp; Usage'!$S74*'Weekly Summary'!AK$65)+('Equipment List &amp; Usage'!$T74*('Weekly Summary'!AK$64+'Weekly Summary'!AK$65)),
IF(AQ$10=0,('Equipment List &amp; Usage'!$O74*'Weekly Summary'!AK$52)+('Equipment List &amp; Usage'!$P74*'Weekly Summary'!AK$53)+('Equipment List &amp; Usage'!$Q74*('Weekly Summary'!AK$52+'Weekly Summary'!AK$53))+('Equipment List &amp; Usage'!$R74*'Weekly Summary'!AK$64)+('Equipment List &amp; Usage'!$S74*'Weekly Summary'!AK$65)+('Equipment List &amp; Usage'!$T74*('Weekly Summary'!AK$64+'Weekly Summary'!AK$65)),
('Equipment List &amp; Usage'!$O74*'Weekly Summary'!AK$52)+('Equipment List &amp; Usage'!$P74*'Weekly Summary'!AK$53)+('Equipment List &amp; Usage'!$Q74*('Weekly Summary'!AK$52+'Weekly Summary'!AK$53))+('Equipment List &amp; Usage'!$R74*'Weekly Summary'!AK$64)+('Equipment List &amp; Usage'!$S74*'Weekly Summary'!AK$65)+('Equipment List &amp; Usage'!$T74*('Weekly Summary'!AK$64+'Weekly Summary'!AK$65))-SUM($I72:AP72))),0)</f>
        <v>0</v>
      </c>
      <c r="AR72" s="1381">
        <f ca="1">MAX(IF($F72="No",('Equipment List &amp; Usage'!$O74*'Weekly Summary'!AL$52)+('Equipment List &amp; Usage'!$P74*'Weekly Summary'!AL$53)+('Equipment List &amp; Usage'!$Q74*('Weekly Summary'!AL$52+'Weekly Summary'!AL$53))+('Equipment List &amp; Usage'!$R74*'Weekly Summary'!AL$64)+('Equipment List &amp; Usage'!$S74*'Weekly Summary'!AL$65)+('Equipment List &amp; Usage'!$T74*('Weekly Summary'!AL$64+'Weekly Summary'!AL$65)),
IF(AR$10=0,('Equipment List &amp; Usage'!$O74*'Weekly Summary'!AL$52)+('Equipment List &amp; Usage'!$P74*'Weekly Summary'!AL$53)+('Equipment List &amp; Usage'!$Q74*('Weekly Summary'!AL$52+'Weekly Summary'!AL$53))+('Equipment List &amp; Usage'!$R74*'Weekly Summary'!AL$64)+('Equipment List &amp; Usage'!$S74*'Weekly Summary'!AL$65)+('Equipment List &amp; Usage'!$T74*('Weekly Summary'!AL$64+'Weekly Summary'!AL$65)),
('Equipment List &amp; Usage'!$O74*'Weekly Summary'!AL$52)+('Equipment List &amp; Usage'!$P74*'Weekly Summary'!AL$53)+('Equipment List &amp; Usage'!$Q74*('Weekly Summary'!AL$52+'Weekly Summary'!AL$53))+('Equipment List &amp; Usage'!$R74*'Weekly Summary'!AL$64)+('Equipment List &amp; Usage'!$S74*'Weekly Summary'!AL$65)+('Equipment List &amp; Usage'!$T74*('Weekly Summary'!AL$64+'Weekly Summary'!AL$65))-SUM($I72:AQ72))),0)</f>
        <v>0</v>
      </c>
      <c r="AS72" s="1381">
        <f ca="1">MAX(IF($F72="No",('Equipment List &amp; Usage'!$O74*'Weekly Summary'!AM$52)+('Equipment List &amp; Usage'!$P74*'Weekly Summary'!AM$53)+('Equipment List &amp; Usage'!$Q74*('Weekly Summary'!AM$52+'Weekly Summary'!AM$53))+('Equipment List &amp; Usage'!$R74*'Weekly Summary'!AM$64)+('Equipment List &amp; Usage'!$S74*'Weekly Summary'!AM$65)+('Equipment List &amp; Usage'!$T74*('Weekly Summary'!AM$64+'Weekly Summary'!AM$65)),
IF(AS$10=0,('Equipment List &amp; Usage'!$O74*'Weekly Summary'!AM$52)+('Equipment List &amp; Usage'!$P74*'Weekly Summary'!AM$53)+('Equipment List &amp; Usage'!$Q74*('Weekly Summary'!AM$52+'Weekly Summary'!AM$53))+('Equipment List &amp; Usage'!$R74*'Weekly Summary'!AM$64)+('Equipment List &amp; Usage'!$S74*'Weekly Summary'!AM$65)+('Equipment List &amp; Usage'!$T74*('Weekly Summary'!AM$64+'Weekly Summary'!AM$65)),
('Equipment List &amp; Usage'!$O74*'Weekly Summary'!AM$52)+('Equipment List &amp; Usage'!$P74*'Weekly Summary'!AM$53)+('Equipment List &amp; Usage'!$Q74*('Weekly Summary'!AM$52+'Weekly Summary'!AM$53))+('Equipment List &amp; Usage'!$R74*'Weekly Summary'!AM$64)+('Equipment List &amp; Usage'!$S74*'Weekly Summary'!AM$65)+('Equipment List &amp; Usage'!$T74*('Weekly Summary'!AM$64+'Weekly Summary'!AM$65))-SUM($I72:AR72))),0)</f>
        <v>0</v>
      </c>
      <c r="AT72" s="1381">
        <f ca="1">MAX(IF($F72="No",('Equipment List &amp; Usage'!$O74*'Weekly Summary'!AN$52)+('Equipment List &amp; Usage'!$P74*'Weekly Summary'!AN$53)+('Equipment List &amp; Usage'!$Q74*('Weekly Summary'!AN$52+'Weekly Summary'!AN$53))+('Equipment List &amp; Usage'!$R74*'Weekly Summary'!AN$64)+('Equipment List &amp; Usage'!$S74*'Weekly Summary'!AN$65)+('Equipment List &amp; Usage'!$T74*('Weekly Summary'!AN$64+'Weekly Summary'!AN$65)),
IF(AT$10=0,('Equipment List &amp; Usage'!$O74*'Weekly Summary'!AN$52)+('Equipment List &amp; Usage'!$P74*'Weekly Summary'!AN$53)+('Equipment List &amp; Usage'!$Q74*('Weekly Summary'!AN$52+'Weekly Summary'!AN$53))+('Equipment List &amp; Usage'!$R74*'Weekly Summary'!AN$64)+('Equipment List &amp; Usage'!$S74*'Weekly Summary'!AN$65)+('Equipment List &amp; Usage'!$T74*('Weekly Summary'!AN$64+'Weekly Summary'!AN$65)),
('Equipment List &amp; Usage'!$O74*'Weekly Summary'!AN$52)+('Equipment List &amp; Usage'!$P74*'Weekly Summary'!AN$53)+('Equipment List &amp; Usage'!$Q74*('Weekly Summary'!AN$52+'Weekly Summary'!AN$53))+('Equipment List &amp; Usage'!$R74*'Weekly Summary'!AN$64)+('Equipment List &amp; Usage'!$S74*'Weekly Summary'!AN$65)+('Equipment List &amp; Usage'!$T74*('Weekly Summary'!AN$64+'Weekly Summary'!AN$65))-SUM($I72:AS72))),0)</f>
        <v>0</v>
      </c>
      <c r="AU72" s="1381">
        <f ca="1">MAX(IF($F72="No",('Equipment List &amp; Usage'!$O74*'Weekly Summary'!AO$52)+('Equipment List &amp; Usage'!$P74*'Weekly Summary'!AO$53)+('Equipment List &amp; Usage'!$Q74*('Weekly Summary'!AO$52+'Weekly Summary'!AO$53))+('Equipment List &amp; Usage'!$R74*'Weekly Summary'!AO$64)+('Equipment List &amp; Usage'!$S74*'Weekly Summary'!AO$65)+('Equipment List &amp; Usage'!$T74*('Weekly Summary'!AO$64+'Weekly Summary'!AO$65)),
IF(AU$10=0,('Equipment List &amp; Usage'!$O74*'Weekly Summary'!AO$52)+('Equipment List &amp; Usage'!$P74*'Weekly Summary'!AO$53)+('Equipment List &amp; Usage'!$Q74*('Weekly Summary'!AO$52+'Weekly Summary'!AO$53))+('Equipment List &amp; Usage'!$R74*'Weekly Summary'!AO$64)+('Equipment List &amp; Usage'!$S74*'Weekly Summary'!AO$65)+('Equipment List &amp; Usage'!$T74*('Weekly Summary'!AO$64+'Weekly Summary'!AO$65)),
('Equipment List &amp; Usage'!$O74*'Weekly Summary'!AO$52)+('Equipment List &amp; Usage'!$P74*'Weekly Summary'!AO$53)+('Equipment List &amp; Usage'!$Q74*('Weekly Summary'!AO$52+'Weekly Summary'!AO$53))+('Equipment List &amp; Usage'!$R74*'Weekly Summary'!AO$64)+('Equipment List &amp; Usage'!$S74*'Weekly Summary'!AO$65)+('Equipment List &amp; Usage'!$T74*('Weekly Summary'!AO$64+'Weekly Summary'!AO$65))-SUM($I72:AT72))),0)</f>
        <v>0</v>
      </c>
      <c r="AV72" s="1381">
        <f ca="1">MAX(IF($F72="No",('Equipment List &amp; Usage'!$O74*'Weekly Summary'!AP$52)+('Equipment List &amp; Usage'!$P74*'Weekly Summary'!AP$53)+('Equipment List &amp; Usage'!$Q74*('Weekly Summary'!AP$52+'Weekly Summary'!AP$53))+('Equipment List &amp; Usage'!$R74*'Weekly Summary'!AP$64)+('Equipment List &amp; Usage'!$S74*'Weekly Summary'!AP$65)+('Equipment List &amp; Usage'!$T74*('Weekly Summary'!AP$64+'Weekly Summary'!AP$65)),
IF(AV$10=0,('Equipment List &amp; Usage'!$O74*'Weekly Summary'!AP$52)+('Equipment List &amp; Usage'!$P74*'Weekly Summary'!AP$53)+('Equipment List &amp; Usage'!$Q74*('Weekly Summary'!AP$52+'Weekly Summary'!AP$53))+('Equipment List &amp; Usage'!$R74*'Weekly Summary'!AP$64)+('Equipment List &amp; Usage'!$S74*'Weekly Summary'!AP$65)+('Equipment List &amp; Usage'!$T74*('Weekly Summary'!AP$64+'Weekly Summary'!AP$65)),
('Equipment List &amp; Usage'!$O74*'Weekly Summary'!AP$52)+('Equipment List &amp; Usage'!$P74*'Weekly Summary'!AP$53)+('Equipment List &amp; Usage'!$Q74*('Weekly Summary'!AP$52+'Weekly Summary'!AP$53))+('Equipment List &amp; Usage'!$R74*'Weekly Summary'!AP$64)+('Equipment List &amp; Usage'!$S74*'Weekly Summary'!AP$65)+('Equipment List &amp; Usage'!$T74*('Weekly Summary'!AP$64+'Weekly Summary'!AP$65))-SUM($I72:AU72))),0)</f>
        <v>0</v>
      </c>
      <c r="AW72" s="1381">
        <f ca="1">MAX(IF($F72="No",('Equipment List &amp; Usage'!$O74*'Weekly Summary'!AQ$52)+('Equipment List &amp; Usage'!$P74*'Weekly Summary'!AQ$53)+('Equipment List &amp; Usage'!$Q74*('Weekly Summary'!AQ$52+'Weekly Summary'!AQ$53))+('Equipment List &amp; Usage'!$R74*'Weekly Summary'!AQ$64)+('Equipment List &amp; Usage'!$S74*'Weekly Summary'!AQ$65)+('Equipment List &amp; Usage'!$T74*('Weekly Summary'!AQ$64+'Weekly Summary'!AQ$65)),
IF(AW$10=0,('Equipment List &amp; Usage'!$O74*'Weekly Summary'!AQ$52)+('Equipment List &amp; Usage'!$P74*'Weekly Summary'!AQ$53)+('Equipment List &amp; Usage'!$Q74*('Weekly Summary'!AQ$52+'Weekly Summary'!AQ$53))+('Equipment List &amp; Usage'!$R74*'Weekly Summary'!AQ$64)+('Equipment List &amp; Usage'!$S74*'Weekly Summary'!AQ$65)+('Equipment List &amp; Usage'!$T74*('Weekly Summary'!AQ$64+'Weekly Summary'!AQ$65)),
('Equipment List &amp; Usage'!$O74*'Weekly Summary'!AQ$52)+('Equipment List &amp; Usage'!$P74*'Weekly Summary'!AQ$53)+('Equipment List &amp; Usage'!$Q74*('Weekly Summary'!AQ$52+'Weekly Summary'!AQ$53))+('Equipment List &amp; Usage'!$R74*'Weekly Summary'!AQ$64)+('Equipment List &amp; Usage'!$S74*'Weekly Summary'!AQ$65)+('Equipment List &amp; Usage'!$T74*('Weekly Summary'!AQ$64+'Weekly Summary'!AQ$65))-SUM($I72:AV72))),0)</f>
        <v>0</v>
      </c>
      <c r="AX72" s="1381">
        <f ca="1">MAX(IF($F72="No",('Equipment List &amp; Usage'!$O74*'Weekly Summary'!AR$52)+('Equipment List &amp; Usage'!$P74*'Weekly Summary'!AR$53)+('Equipment List &amp; Usage'!$Q74*('Weekly Summary'!AR$52+'Weekly Summary'!AR$53))+('Equipment List &amp; Usage'!$R74*'Weekly Summary'!AR$64)+('Equipment List &amp; Usage'!$S74*'Weekly Summary'!AR$65)+('Equipment List &amp; Usage'!$T74*('Weekly Summary'!AR$64+'Weekly Summary'!AR$65)),
IF(AX$10=0,('Equipment List &amp; Usage'!$O74*'Weekly Summary'!AR$52)+('Equipment List &amp; Usage'!$P74*'Weekly Summary'!AR$53)+('Equipment List &amp; Usage'!$Q74*('Weekly Summary'!AR$52+'Weekly Summary'!AR$53))+('Equipment List &amp; Usage'!$R74*'Weekly Summary'!AR$64)+('Equipment List &amp; Usage'!$S74*'Weekly Summary'!AR$65)+('Equipment List &amp; Usage'!$T74*('Weekly Summary'!AR$64+'Weekly Summary'!AR$65)),
('Equipment List &amp; Usage'!$O74*'Weekly Summary'!AR$52)+('Equipment List &amp; Usage'!$P74*'Weekly Summary'!AR$53)+('Equipment List &amp; Usage'!$Q74*('Weekly Summary'!AR$52+'Weekly Summary'!AR$53))+('Equipment List &amp; Usage'!$R74*'Weekly Summary'!AR$64)+('Equipment List &amp; Usage'!$S74*'Weekly Summary'!AR$65)+('Equipment List &amp; Usage'!$T74*('Weekly Summary'!AR$64+'Weekly Summary'!AR$65))-SUM($I72:AW72))),0)</f>
        <v>0</v>
      </c>
      <c r="AY72" s="1381">
        <f ca="1">MAX(IF($F72="No",('Equipment List &amp; Usage'!$O74*'Weekly Summary'!AS$52)+('Equipment List &amp; Usage'!$P74*'Weekly Summary'!AS$53)+('Equipment List &amp; Usage'!$Q74*('Weekly Summary'!AS$52+'Weekly Summary'!AS$53))+('Equipment List &amp; Usage'!$R74*'Weekly Summary'!AS$64)+('Equipment List &amp; Usage'!$S74*'Weekly Summary'!AS$65)+('Equipment List &amp; Usage'!$T74*('Weekly Summary'!AS$64+'Weekly Summary'!AS$65)),
IF(AY$10=0,('Equipment List &amp; Usage'!$O74*'Weekly Summary'!AS$52)+('Equipment List &amp; Usage'!$P74*'Weekly Summary'!AS$53)+('Equipment List &amp; Usage'!$Q74*('Weekly Summary'!AS$52+'Weekly Summary'!AS$53))+('Equipment List &amp; Usage'!$R74*'Weekly Summary'!AS$64)+('Equipment List &amp; Usage'!$S74*'Weekly Summary'!AS$65)+('Equipment List &amp; Usage'!$T74*('Weekly Summary'!AS$64+'Weekly Summary'!AS$65)),
('Equipment List &amp; Usage'!$O74*'Weekly Summary'!AS$52)+('Equipment List &amp; Usage'!$P74*'Weekly Summary'!AS$53)+('Equipment List &amp; Usage'!$Q74*('Weekly Summary'!AS$52+'Weekly Summary'!AS$53))+('Equipment List &amp; Usage'!$R74*'Weekly Summary'!AS$64)+('Equipment List &amp; Usage'!$S74*'Weekly Summary'!AS$65)+('Equipment List &amp; Usage'!$T74*('Weekly Summary'!AS$64+'Weekly Summary'!AS$65))-SUM($I72:AX72))),0)</f>
        <v>0</v>
      </c>
      <c r="AZ72" s="1381">
        <f ca="1">MAX(IF($F72="No",('Equipment List &amp; Usage'!$O74*'Weekly Summary'!AT$52)+('Equipment List &amp; Usage'!$P74*'Weekly Summary'!AT$53)+('Equipment List &amp; Usage'!$Q74*('Weekly Summary'!AT$52+'Weekly Summary'!AT$53))+('Equipment List &amp; Usage'!$R74*'Weekly Summary'!AT$64)+('Equipment List &amp; Usage'!$S74*'Weekly Summary'!AT$65)+('Equipment List &amp; Usage'!$T74*('Weekly Summary'!AT$64+'Weekly Summary'!AT$65)),
IF(AZ$10=0,('Equipment List &amp; Usage'!$O74*'Weekly Summary'!AT$52)+('Equipment List &amp; Usage'!$P74*'Weekly Summary'!AT$53)+('Equipment List &amp; Usage'!$Q74*('Weekly Summary'!AT$52+'Weekly Summary'!AT$53))+('Equipment List &amp; Usage'!$R74*'Weekly Summary'!AT$64)+('Equipment List &amp; Usage'!$S74*'Weekly Summary'!AT$65)+('Equipment List &amp; Usage'!$T74*('Weekly Summary'!AT$64+'Weekly Summary'!AT$65)),
('Equipment List &amp; Usage'!$O74*'Weekly Summary'!AT$52)+('Equipment List &amp; Usage'!$P74*'Weekly Summary'!AT$53)+('Equipment List &amp; Usage'!$Q74*('Weekly Summary'!AT$52+'Weekly Summary'!AT$53))+('Equipment List &amp; Usage'!$R74*'Weekly Summary'!AT$64)+('Equipment List &amp; Usage'!$S74*'Weekly Summary'!AT$65)+('Equipment List &amp; Usage'!$T74*('Weekly Summary'!AT$64+'Weekly Summary'!AT$65))-SUM($I72:AY72))),0)</f>
        <v>0</v>
      </c>
      <c r="BA72" s="1381">
        <f ca="1">MAX(IF($F72="No",('Equipment List &amp; Usage'!$O74*'Weekly Summary'!AU$52)+('Equipment List &amp; Usage'!$P74*'Weekly Summary'!AU$53)+('Equipment List &amp; Usage'!$Q74*('Weekly Summary'!AU$52+'Weekly Summary'!AU$53))+('Equipment List &amp; Usage'!$R74*'Weekly Summary'!AU$64)+('Equipment List &amp; Usage'!$S74*'Weekly Summary'!AU$65)+('Equipment List &amp; Usage'!$T74*('Weekly Summary'!AU$64+'Weekly Summary'!AU$65)),
IF(BA$10=0,('Equipment List &amp; Usage'!$O74*'Weekly Summary'!AU$52)+('Equipment List &amp; Usage'!$P74*'Weekly Summary'!AU$53)+('Equipment List &amp; Usage'!$Q74*('Weekly Summary'!AU$52+'Weekly Summary'!AU$53))+('Equipment List &amp; Usage'!$R74*'Weekly Summary'!AU$64)+('Equipment List &amp; Usage'!$S74*'Weekly Summary'!AU$65)+('Equipment List &amp; Usage'!$T74*('Weekly Summary'!AU$64+'Weekly Summary'!AU$65)),
('Equipment List &amp; Usage'!$O74*'Weekly Summary'!AU$52)+('Equipment List &amp; Usage'!$P74*'Weekly Summary'!AU$53)+('Equipment List &amp; Usage'!$Q74*('Weekly Summary'!AU$52+'Weekly Summary'!AU$53))+('Equipment List &amp; Usage'!$R74*'Weekly Summary'!AU$64)+('Equipment List &amp; Usage'!$S74*'Weekly Summary'!AU$65)+('Equipment List &amp; Usage'!$T74*('Weekly Summary'!AU$64+'Weekly Summary'!AU$65))-SUM($I72:AZ72))),0)</f>
        <v>0</v>
      </c>
      <c r="BB72" s="1381">
        <f ca="1">MAX(IF($F72="No",('Equipment List &amp; Usage'!$O74*'Weekly Summary'!AV$52)+('Equipment List &amp; Usage'!$P74*'Weekly Summary'!AV$53)+('Equipment List &amp; Usage'!$Q74*('Weekly Summary'!AV$52+'Weekly Summary'!AV$53))+('Equipment List &amp; Usage'!$R74*'Weekly Summary'!AV$64)+('Equipment List &amp; Usage'!$S74*'Weekly Summary'!AV$65)+('Equipment List &amp; Usage'!$T74*('Weekly Summary'!AV$64+'Weekly Summary'!AV$65)),
IF(BB$10=0,('Equipment List &amp; Usage'!$O74*'Weekly Summary'!AV$52)+('Equipment List &amp; Usage'!$P74*'Weekly Summary'!AV$53)+('Equipment List &amp; Usage'!$Q74*('Weekly Summary'!AV$52+'Weekly Summary'!AV$53))+('Equipment List &amp; Usage'!$R74*'Weekly Summary'!AV$64)+('Equipment List &amp; Usage'!$S74*'Weekly Summary'!AV$65)+('Equipment List &amp; Usage'!$T74*('Weekly Summary'!AV$64+'Weekly Summary'!AV$65)),
('Equipment List &amp; Usage'!$O74*'Weekly Summary'!AV$52)+('Equipment List &amp; Usage'!$P74*'Weekly Summary'!AV$53)+('Equipment List &amp; Usage'!$Q74*('Weekly Summary'!AV$52+'Weekly Summary'!AV$53))+('Equipment List &amp; Usage'!$R74*'Weekly Summary'!AV$64)+('Equipment List &amp; Usage'!$S74*'Weekly Summary'!AV$65)+('Equipment List &amp; Usage'!$T74*('Weekly Summary'!AV$64+'Weekly Summary'!AV$65))-SUM($I72:BA72))),0)</f>
        <v>0</v>
      </c>
      <c r="BC72" s="1381">
        <f ca="1">MAX(IF($F72="No",('Equipment List &amp; Usage'!$O74*'Weekly Summary'!AW$52)+('Equipment List &amp; Usage'!$P74*'Weekly Summary'!AW$53)+('Equipment List &amp; Usage'!$Q74*('Weekly Summary'!AW$52+'Weekly Summary'!AW$53))+('Equipment List &amp; Usage'!$R74*'Weekly Summary'!AW$64)+('Equipment List &amp; Usage'!$S74*'Weekly Summary'!AW$65)+('Equipment List &amp; Usage'!$T74*('Weekly Summary'!AW$64+'Weekly Summary'!AW$65)),
IF(BC$10=0,('Equipment List &amp; Usage'!$O74*'Weekly Summary'!AW$52)+('Equipment List &amp; Usage'!$P74*'Weekly Summary'!AW$53)+('Equipment List &amp; Usage'!$Q74*('Weekly Summary'!AW$52+'Weekly Summary'!AW$53))+('Equipment List &amp; Usage'!$R74*'Weekly Summary'!AW$64)+('Equipment List &amp; Usage'!$S74*'Weekly Summary'!AW$65)+('Equipment List &amp; Usage'!$T74*('Weekly Summary'!AW$64+'Weekly Summary'!AW$65)),
('Equipment List &amp; Usage'!$O74*'Weekly Summary'!AW$52)+('Equipment List &amp; Usage'!$P74*'Weekly Summary'!AW$53)+('Equipment List &amp; Usage'!$Q74*('Weekly Summary'!AW$52+'Weekly Summary'!AW$53))+('Equipment List &amp; Usage'!$R74*'Weekly Summary'!AW$64)+('Equipment List &amp; Usage'!$S74*'Weekly Summary'!AW$65)+('Equipment List &amp; Usage'!$T74*('Weekly Summary'!AW$64+'Weekly Summary'!AW$65))-SUM($I72:BB72))),0)</f>
        <v>0</v>
      </c>
      <c r="BD72" s="1381">
        <f ca="1">MAX(IF($F72="No",('Equipment List &amp; Usage'!$O74*'Weekly Summary'!AX$52)+('Equipment List &amp; Usage'!$P74*'Weekly Summary'!AX$53)+('Equipment List &amp; Usage'!$Q74*('Weekly Summary'!AX$52+'Weekly Summary'!AX$53))+('Equipment List &amp; Usage'!$R74*'Weekly Summary'!AX$64)+('Equipment List &amp; Usage'!$S74*'Weekly Summary'!AX$65)+('Equipment List &amp; Usage'!$T74*('Weekly Summary'!AX$64+'Weekly Summary'!AX$65)),
IF(BD$10=0,('Equipment List &amp; Usage'!$O74*'Weekly Summary'!AX$52)+('Equipment List &amp; Usage'!$P74*'Weekly Summary'!AX$53)+('Equipment List &amp; Usage'!$Q74*('Weekly Summary'!AX$52+'Weekly Summary'!AX$53))+('Equipment List &amp; Usage'!$R74*'Weekly Summary'!AX$64)+('Equipment List &amp; Usage'!$S74*'Weekly Summary'!AX$65)+('Equipment List &amp; Usage'!$T74*('Weekly Summary'!AX$64+'Weekly Summary'!AX$65)),
('Equipment List &amp; Usage'!$O74*'Weekly Summary'!AX$52)+('Equipment List &amp; Usage'!$P74*'Weekly Summary'!AX$53)+('Equipment List &amp; Usage'!$Q74*('Weekly Summary'!AX$52+'Weekly Summary'!AX$53))+('Equipment List &amp; Usage'!$R74*'Weekly Summary'!AX$64)+('Equipment List &amp; Usage'!$S74*'Weekly Summary'!AX$65)+('Equipment List &amp; Usage'!$T74*('Weekly Summary'!AX$64+'Weekly Summary'!AX$65))-SUM($I72:BC72))),0)</f>
        <v>0</v>
      </c>
      <c r="BE72" s="1381">
        <f ca="1">MAX(IF($F72="No",('Equipment List &amp; Usage'!$O74*'Weekly Summary'!AY$52)+('Equipment List &amp; Usage'!$P74*'Weekly Summary'!AY$53)+('Equipment List &amp; Usage'!$Q74*('Weekly Summary'!AY$52+'Weekly Summary'!AY$53))+('Equipment List &amp; Usage'!$R74*'Weekly Summary'!AY$64)+('Equipment List &amp; Usage'!$S74*'Weekly Summary'!AY$65)+('Equipment List &amp; Usage'!$T74*('Weekly Summary'!AY$64+'Weekly Summary'!AY$65)),
IF(BE$10=0,('Equipment List &amp; Usage'!$O74*'Weekly Summary'!AY$52)+('Equipment List &amp; Usage'!$P74*'Weekly Summary'!AY$53)+('Equipment List &amp; Usage'!$Q74*('Weekly Summary'!AY$52+'Weekly Summary'!AY$53))+('Equipment List &amp; Usage'!$R74*'Weekly Summary'!AY$64)+('Equipment List &amp; Usage'!$S74*'Weekly Summary'!AY$65)+('Equipment List &amp; Usage'!$T74*('Weekly Summary'!AY$64+'Weekly Summary'!AY$65)),
('Equipment List &amp; Usage'!$O74*'Weekly Summary'!AY$52)+('Equipment List &amp; Usage'!$P74*'Weekly Summary'!AY$53)+('Equipment List &amp; Usage'!$Q74*('Weekly Summary'!AY$52+'Weekly Summary'!AY$53))+('Equipment List &amp; Usage'!$R74*'Weekly Summary'!AY$64)+('Equipment List &amp; Usage'!$S74*'Weekly Summary'!AY$65)+('Equipment List &amp; Usage'!$T74*('Weekly Summary'!AY$64+'Weekly Summary'!AY$65))-SUM($I72:BD72))),0)</f>
        <v>0</v>
      </c>
      <c r="BF72" s="1381">
        <f ca="1">MAX(IF($F72="No",('Equipment List &amp; Usage'!$O74*'Weekly Summary'!AZ$52)+('Equipment List &amp; Usage'!$P74*'Weekly Summary'!AZ$53)+('Equipment List &amp; Usage'!$Q74*('Weekly Summary'!AZ$52+'Weekly Summary'!AZ$53))+('Equipment List &amp; Usage'!$R74*'Weekly Summary'!AZ$64)+('Equipment List &amp; Usage'!$S74*'Weekly Summary'!AZ$65)+('Equipment List &amp; Usage'!$T74*('Weekly Summary'!AZ$64+'Weekly Summary'!AZ$65)),
IF(BF$10=0,('Equipment List &amp; Usage'!$O74*'Weekly Summary'!AZ$52)+('Equipment List &amp; Usage'!$P74*'Weekly Summary'!AZ$53)+('Equipment List &amp; Usage'!$Q74*('Weekly Summary'!AZ$52+'Weekly Summary'!AZ$53))+('Equipment List &amp; Usage'!$R74*'Weekly Summary'!AZ$64)+('Equipment List &amp; Usage'!$S74*'Weekly Summary'!AZ$65)+('Equipment List &amp; Usage'!$T74*('Weekly Summary'!AZ$64+'Weekly Summary'!AZ$65)),
('Equipment List &amp; Usage'!$O74*'Weekly Summary'!AZ$52)+('Equipment List &amp; Usage'!$P74*'Weekly Summary'!AZ$53)+('Equipment List &amp; Usage'!$Q74*('Weekly Summary'!AZ$52+'Weekly Summary'!AZ$53))+('Equipment List &amp; Usage'!$R74*'Weekly Summary'!AZ$64)+('Equipment List &amp; Usage'!$S74*'Weekly Summary'!AZ$65)+('Equipment List &amp; Usage'!$T74*('Weekly Summary'!AZ$64+'Weekly Summary'!AZ$65))-SUM($I72:BE72))),0)</f>
        <v>0</v>
      </c>
      <c r="BG72" s="1381">
        <f ca="1">MAX(IF($F72="No",('Equipment List &amp; Usage'!$O74*'Weekly Summary'!BA$52)+('Equipment List &amp; Usage'!$P74*'Weekly Summary'!BA$53)+('Equipment List &amp; Usage'!$Q74*('Weekly Summary'!BA$52+'Weekly Summary'!BA$53))+('Equipment List &amp; Usage'!$R74*'Weekly Summary'!BA$64)+('Equipment List &amp; Usage'!$S74*'Weekly Summary'!BA$65)+('Equipment List &amp; Usage'!$T74*('Weekly Summary'!BA$64+'Weekly Summary'!BA$65)),
IF(BG$10=0,('Equipment List &amp; Usage'!$O74*'Weekly Summary'!BA$52)+('Equipment List &amp; Usage'!$P74*'Weekly Summary'!BA$53)+('Equipment List &amp; Usage'!$Q74*('Weekly Summary'!BA$52+'Weekly Summary'!BA$53))+('Equipment List &amp; Usage'!$R74*'Weekly Summary'!BA$64)+('Equipment List &amp; Usage'!$S74*'Weekly Summary'!BA$65)+('Equipment List &amp; Usage'!$T74*('Weekly Summary'!BA$64+'Weekly Summary'!BA$65)),
('Equipment List &amp; Usage'!$O74*'Weekly Summary'!BA$52)+('Equipment List &amp; Usage'!$P74*'Weekly Summary'!BA$53)+('Equipment List &amp; Usage'!$Q74*('Weekly Summary'!BA$52+'Weekly Summary'!BA$53))+('Equipment List &amp; Usage'!$R74*'Weekly Summary'!BA$64)+('Equipment List &amp; Usage'!$S74*'Weekly Summary'!BA$65)+('Equipment List &amp; Usage'!$T74*('Weekly Summary'!BA$64+'Weekly Summary'!BA$65))-SUM($I72:BF72))),0)</f>
        <v>0</v>
      </c>
      <c r="BH72" s="1381">
        <f ca="1">MAX(IF($F72="No",('Equipment List &amp; Usage'!$O74*'Weekly Summary'!BB$52)+('Equipment List &amp; Usage'!$P74*'Weekly Summary'!BB$53)+('Equipment List &amp; Usage'!$Q74*('Weekly Summary'!BB$52+'Weekly Summary'!BB$53))+('Equipment List &amp; Usage'!$R74*'Weekly Summary'!BB$64)+('Equipment List &amp; Usage'!$S74*'Weekly Summary'!BB$65)+('Equipment List &amp; Usage'!$T74*('Weekly Summary'!BB$64+'Weekly Summary'!BB$65)),
IF(BH$10=0,('Equipment List &amp; Usage'!$O74*'Weekly Summary'!BB$52)+('Equipment List &amp; Usage'!$P74*'Weekly Summary'!BB$53)+('Equipment List &amp; Usage'!$Q74*('Weekly Summary'!BB$52+'Weekly Summary'!BB$53))+('Equipment List &amp; Usage'!$R74*'Weekly Summary'!BB$64)+('Equipment List &amp; Usage'!$S74*'Weekly Summary'!BB$65)+('Equipment List &amp; Usage'!$T74*('Weekly Summary'!BB$64+'Weekly Summary'!BB$65)),
('Equipment List &amp; Usage'!$O74*'Weekly Summary'!BB$52)+('Equipment List &amp; Usage'!$P74*'Weekly Summary'!BB$53)+('Equipment List &amp; Usage'!$Q74*('Weekly Summary'!BB$52+'Weekly Summary'!BB$53))+('Equipment List &amp; Usage'!$R74*'Weekly Summary'!BB$64)+('Equipment List &amp; Usage'!$S74*'Weekly Summary'!BB$65)+('Equipment List &amp; Usage'!$T74*('Weekly Summary'!BB$64+'Weekly Summary'!BB$65))-SUM($I72:BG72))),0)</f>
        <v>0</v>
      </c>
      <c r="BI72" s="1381">
        <f ca="1">MAX(IF($F72="No",('Equipment List &amp; Usage'!$O74*'Weekly Summary'!BC$52)+('Equipment List &amp; Usage'!$P74*'Weekly Summary'!BC$53)+('Equipment List &amp; Usage'!$Q74*('Weekly Summary'!BC$52+'Weekly Summary'!BC$53))+('Equipment List &amp; Usage'!$R74*'Weekly Summary'!BC$64)+('Equipment List &amp; Usage'!$S74*'Weekly Summary'!BC$65)+('Equipment List &amp; Usage'!$T74*('Weekly Summary'!BC$64+'Weekly Summary'!BC$65)),
IF(BI$10=0,('Equipment List &amp; Usage'!$O74*'Weekly Summary'!BC$52)+('Equipment List &amp; Usage'!$P74*'Weekly Summary'!BC$53)+('Equipment List &amp; Usage'!$Q74*('Weekly Summary'!BC$52+'Weekly Summary'!BC$53))+('Equipment List &amp; Usage'!$R74*'Weekly Summary'!BC$64)+('Equipment List &amp; Usage'!$S74*'Weekly Summary'!BC$65)+('Equipment List &amp; Usage'!$T74*('Weekly Summary'!BC$64+'Weekly Summary'!BC$65)),
('Equipment List &amp; Usage'!$O74*'Weekly Summary'!BC$52)+('Equipment List &amp; Usage'!$P74*'Weekly Summary'!BC$53)+('Equipment List &amp; Usage'!$Q74*('Weekly Summary'!BC$52+'Weekly Summary'!BC$53))+('Equipment List &amp; Usage'!$R74*'Weekly Summary'!BC$64)+('Equipment List &amp; Usage'!$S74*'Weekly Summary'!BC$65)+('Equipment List &amp; Usage'!$T74*('Weekly Summary'!BC$64+'Weekly Summary'!BC$65))-SUM($I72:BH72))),0)</f>
        <v>0</v>
      </c>
      <c r="BJ72" s="1382">
        <f ca="1">MAX(IF($F72="No",('Equipment List &amp; Usage'!$O74*'Weekly Summary'!BD$52)+('Equipment List &amp; Usage'!$P74*'Weekly Summary'!BD$53)+('Equipment List &amp; Usage'!$Q74*('Weekly Summary'!BD$52+'Weekly Summary'!BD$53))+('Equipment List &amp; Usage'!$R74*'Weekly Summary'!BD$64)+('Equipment List &amp; Usage'!$S74*'Weekly Summary'!BD$65)+('Equipment List &amp; Usage'!$T74*('Weekly Summary'!BD$64+'Weekly Summary'!BD$65)),
IF(BJ$10=0,('Equipment List &amp; Usage'!$O74*'Weekly Summary'!BD$52)+('Equipment List &amp; Usage'!$P74*'Weekly Summary'!BD$53)+('Equipment List &amp; Usage'!$Q74*('Weekly Summary'!BD$52+'Weekly Summary'!BD$53))+('Equipment List &amp; Usage'!$R74*'Weekly Summary'!BD$64)+('Equipment List &amp; Usage'!$S74*'Weekly Summary'!BD$65)+('Equipment List &amp; Usage'!$T74*('Weekly Summary'!BD$64+'Weekly Summary'!BD$65)),
('Equipment List &amp; Usage'!$O74*'Weekly Summary'!BD$52)+('Equipment List &amp; Usage'!$P74*'Weekly Summary'!BD$53)+('Equipment List &amp; Usage'!$Q74*('Weekly Summary'!BD$52+'Weekly Summary'!BD$53))+('Equipment List &amp; Usage'!$R74*'Weekly Summary'!BD$64)+('Equipment List &amp; Usage'!$S74*'Weekly Summary'!BD$65)+('Equipment List &amp; Usage'!$T74*('Weekly Summary'!BD$64+'Weekly Summary'!BD$65))-SUM($I72:BI72))),0)</f>
        <v>0</v>
      </c>
    </row>
    <row r="73" spans="2:62" ht="43.5" x14ac:dyDescent="0.35">
      <c r="B73" s="735" t="str">
        <f>'Equipment List &amp; Usage'!B75</f>
        <v>Case management - accessories &amp; consumables</v>
      </c>
      <c r="C73" s="526" t="str">
        <f>'Equipment List &amp; Usage'!C75</f>
        <v>Oxygen delivery devices</v>
      </c>
      <c r="D73" s="526" t="str">
        <f>'Equipment List &amp; Usage'!D75</f>
        <v>Nasal oxygen cannula, with prongs, adult and paediatric</v>
      </c>
      <c r="E73" s="526" t="str">
        <f>'Equipment List &amp; Usage'!E75</f>
        <v>Each</v>
      </c>
      <c r="F73" s="526" t="str">
        <f>'Equipment List &amp; Usage'!F75</f>
        <v>No</v>
      </c>
      <c r="G73" s="526" t="str">
        <f>'Equipment List &amp; Usage'!G75</f>
        <v>N/A</v>
      </c>
      <c r="H73" s="1369">
        <f t="shared" ca="1" si="3"/>
        <v>201.22929995034954</v>
      </c>
      <c r="J73" s="1344"/>
      <c r="K73" s="1381">
        <f ca="1">IF('User Dashboard'!$H$13=1,0,MAX(IF($F73="No",('Equipment List &amp; Usage'!$O75*'Weekly Summary'!E$52)+('Equipment List &amp; Usage'!$P75*'Weekly Summary'!E$53)+('Equipment List &amp; Usage'!$Q75*('Weekly Summary'!E$52+'Weekly Summary'!E$53))+('Equipment List &amp; Usage'!$R75*'Weekly Summary'!E$64)+('Equipment List &amp; Usage'!$S75*'Weekly Summary'!E$65)+('Equipment List &amp; Usage'!$T75*('Weekly Summary'!E$64+'Weekly Summary'!E$65)),
IF(K$10=0,('Equipment List &amp; Usage'!$O75*'Weekly Summary'!E$52)+('Equipment List &amp; Usage'!$P75*'Weekly Summary'!E$53)+('Equipment List &amp; Usage'!$Q75*('Weekly Summary'!E$52+'Weekly Summary'!E$53))+('Equipment List &amp; Usage'!$R75*'Weekly Summary'!E$64)+('Equipment List &amp; Usage'!$S75*'Weekly Summary'!E$65)+('Equipment List &amp; Usage'!$T75*('Weekly Summary'!E$64+'Weekly Summary'!E$65)),
('Equipment List &amp; Usage'!$O75*'Weekly Summary'!E$52)+('Equipment List &amp; Usage'!$P75*'Weekly Summary'!E$53)+('Equipment List &amp; Usage'!$Q75*('Weekly Summary'!E$52+'Weekly Summary'!E$53))+('Equipment List &amp; Usage'!$R75*'Weekly Summary'!E$64)+('Equipment List &amp; Usage'!$S75*'Weekly Summary'!E$65)+('Equipment List &amp; Usage'!$T75*('Weekly Summary'!E$64+'Weekly Summary'!E$65))-SUM($I73:I73))),0))</f>
        <v>0.29803874416808512</v>
      </c>
      <c r="L73" s="1381">
        <f ca="1">MAX(IF($F73="No",('Equipment List &amp; Usage'!$O75*'Weekly Summary'!F$52)+('Equipment List &amp; Usage'!$P75*'Weekly Summary'!F$53)+('Equipment List &amp; Usage'!$Q75*('Weekly Summary'!F$52+'Weekly Summary'!F$53))+('Equipment List &amp; Usage'!$R75*'Weekly Summary'!F$64)+('Equipment List &amp; Usage'!$S75*'Weekly Summary'!F$65)+('Equipment List &amp; Usage'!$T75*('Weekly Summary'!F$64+'Weekly Summary'!F$65)),
IF(L$10=0,('Equipment List &amp; Usage'!$O75*'Weekly Summary'!F$52)+('Equipment List &amp; Usage'!$P75*'Weekly Summary'!F$53)+('Equipment List &amp; Usage'!$Q75*('Weekly Summary'!F$52+'Weekly Summary'!F$53))+('Equipment List &amp; Usage'!$R75*'Weekly Summary'!F$64)+('Equipment List &amp; Usage'!$S75*'Weekly Summary'!F$65)+('Equipment List &amp; Usage'!$T75*('Weekly Summary'!F$64+'Weekly Summary'!F$65)),
('Equipment List &amp; Usage'!$O75*'Weekly Summary'!F$52)+('Equipment List &amp; Usage'!$P75*'Weekly Summary'!F$53)+('Equipment List &amp; Usage'!$Q75*('Weekly Summary'!F$52+'Weekly Summary'!F$53))+('Equipment List &amp; Usage'!$R75*'Weekly Summary'!F$64)+('Equipment List &amp; Usage'!$S75*'Weekly Summary'!F$65)+('Equipment List &amp; Usage'!$T75*('Weekly Summary'!F$64+'Weekly Summary'!F$65))-SUM($I73:K73))),0)</f>
        <v>1.0242125669658242</v>
      </c>
      <c r="M73" s="1381">
        <f ca="1">MAX(IF($F73="No",('Equipment List &amp; Usage'!$O75*'Weekly Summary'!G$52)+('Equipment List &amp; Usage'!$P75*'Weekly Summary'!G$53)+('Equipment List &amp; Usage'!$Q75*('Weekly Summary'!G$52+'Weekly Summary'!G$53))+('Equipment List &amp; Usage'!$R75*'Weekly Summary'!G$64)+('Equipment List &amp; Usage'!$S75*'Weekly Summary'!G$65)+('Equipment List &amp; Usage'!$T75*('Weekly Summary'!G$64+'Weekly Summary'!G$65)),
IF(M$10=0,('Equipment List &amp; Usage'!$O75*'Weekly Summary'!G$52)+('Equipment List &amp; Usage'!$P75*'Weekly Summary'!G$53)+('Equipment List &amp; Usage'!$Q75*('Weekly Summary'!G$52+'Weekly Summary'!G$53))+('Equipment List &amp; Usage'!$R75*'Weekly Summary'!G$64)+('Equipment List &amp; Usage'!$S75*'Weekly Summary'!G$65)+('Equipment List &amp; Usage'!$T75*('Weekly Summary'!G$64+'Weekly Summary'!G$65)),
('Equipment List &amp; Usage'!$O75*'Weekly Summary'!G$52)+('Equipment List &amp; Usage'!$P75*'Weekly Summary'!G$53)+('Equipment List &amp; Usage'!$Q75*('Weekly Summary'!G$52+'Weekly Summary'!G$53))+('Equipment List &amp; Usage'!$R75*'Weekly Summary'!G$64)+('Equipment List &amp; Usage'!$S75*'Weekly Summary'!G$65)+('Equipment List &amp; Usage'!$T75*('Weekly Summary'!G$64+'Weekly Summary'!G$65))-SUM($I73:L73))),0)</f>
        <v>3.5196807709843041</v>
      </c>
      <c r="N73" s="1381">
        <f ca="1">MAX(IF($F73="No",('Equipment List &amp; Usage'!$O75*'Weekly Summary'!H$52)+('Equipment List &amp; Usage'!$P75*'Weekly Summary'!H$53)+('Equipment List &amp; Usage'!$Q75*('Weekly Summary'!H$52+'Weekly Summary'!H$53))+('Equipment List &amp; Usage'!$R75*'Weekly Summary'!H$64)+('Equipment List &amp; Usage'!$S75*'Weekly Summary'!H$65)+('Equipment List &amp; Usage'!$T75*('Weekly Summary'!H$64+'Weekly Summary'!H$65)),
IF(N$10=0,('Equipment List &amp; Usage'!$O75*'Weekly Summary'!H$52)+('Equipment List &amp; Usage'!$P75*'Weekly Summary'!H$53)+('Equipment List &amp; Usage'!$Q75*('Weekly Summary'!H$52+'Weekly Summary'!H$53))+('Equipment List &amp; Usage'!$R75*'Weekly Summary'!H$64)+('Equipment List &amp; Usage'!$S75*'Weekly Summary'!H$65)+('Equipment List &amp; Usage'!$T75*('Weekly Summary'!H$64+'Weekly Summary'!H$65)),
('Equipment List &amp; Usage'!$O75*'Weekly Summary'!H$52)+('Equipment List &amp; Usage'!$P75*'Weekly Summary'!H$53)+('Equipment List &amp; Usage'!$Q75*('Weekly Summary'!H$52+'Weekly Summary'!H$53))+('Equipment List &amp; Usage'!$R75*'Weekly Summary'!H$64)+('Equipment List &amp; Usage'!$S75*'Weekly Summary'!H$65)+('Equipment List &amp; Usage'!$T75*('Weekly Summary'!H$64+'Weekly Summary'!H$65))-SUM($I73:M73))),0)</f>
        <v>12.094892611199443</v>
      </c>
      <c r="O73" s="1381">
        <f ca="1">MAX(IF($F73="No",('Equipment List &amp; Usage'!$O75*'Weekly Summary'!I$52)+('Equipment List &amp; Usage'!$P75*'Weekly Summary'!I$53)+('Equipment List &amp; Usage'!$Q75*('Weekly Summary'!I$52+'Weekly Summary'!I$53))+('Equipment List &amp; Usage'!$R75*'Weekly Summary'!I$64)+('Equipment List &amp; Usage'!$S75*'Weekly Summary'!I$65)+('Equipment List &amp; Usage'!$T75*('Weekly Summary'!I$64+'Weekly Summary'!I$65)),
IF(O$10=0,('Equipment List &amp; Usage'!$O75*'Weekly Summary'!I$52)+('Equipment List &amp; Usage'!$P75*'Weekly Summary'!I$53)+('Equipment List &amp; Usage'!$Q75*('Weekly Summary'!I$52+'Weekly Summary'!I$53))+('Equipment List &amp; Usage'!$R75*'Weekly Summary'!I$64)+('Equipment List &amp; Usage'!$S75*'Weekly Summary'!I$65)+('Equipment List &amp; Usage'!$T75*('Weekly Summary'!I$64+'Weekly Summary'!I$65)),
('Equipment List &amp; Usage'!$O75*'Weekly Summary'!I$52)+('Equipment List &amp; Usage'!$P75*'Weekly Summary'!I$53)+('Equipment List &amp; Usage'!$Q75*('Weekly Summary'!I$52+'Weekly Summary'!I$53))+('Equipment List &amp; Usage'!$R75*'Weekly Summary'!I$64)+('Equipment List &amp; Usage'!$S75*'Weekly Summary'!I$65)+('Equipment List &amp; Usage'!$T75*('Weekly Summary'!I$64+'Weekly Summary'!I$65))-SUM($I73:N73))),0)</f>
        <v>41.557666989694823</v>
      </c>
      <c r="P73" s="1381">
        <f ca="1">MAX(IF($F73="No",('Equipment List &amp; Usage'!$O75*'Weekly Summary'!J$52)+('Equipment List &amp; Usage'!$P75*'Weekly Summary'!J$53)+('Equipment List &amp; Usage'!$Q75*('Weekly Summary'!J$52+'Weekly Summary'!J$53))+('Equipment List &amp; Usage'!$R75*'Weekly Summary'!J$64)+('Equipment List &amp; Usage'!$S75*'Weekly Summary'!J$65)+('Equipment List &amp; Usage'!$T75*('Weekly Summary'!J$64+'Weekly Summary'!J$65)),
IF(P$10=0,('Equipment List &amp; Usage'!$O75*'Weekly Summary'!J$52)+('Equipment List &amp; Usage'!$P75*'Weekly Summary'!J$53)+('Equipment List &amp; Usage'!$Q75*('Weekly Summary'!J$52+'Weekly Summary'!J$53))+('Equipment List &amp; Usage'!$R75*'Weekly Summary'!J$64)+('Equipment List &amp; Usage'!$S75*'Weekly Summary'!J$65)+('Equipment List &amp; Usage'!$T75*('Weekly Summary'!J$64+'Weekly Summary'!J$65)),
('Equipment List &amp; Usage'!$O75*'Weekly Summary'!J$52)+('Equipment List &amp; Usage'!$P75*'Weekly Summary'!J$53)+('Equipment List &amp; Usage'!$Q75*('Weekly Summary'!J$52+'Weekly Summary'!J$53))+('Equipment List &amp; Usage'!$R75*'Weekly Summary'!J$64)+('Equipment List &amp; Usage'!$S75*'Weekly Summary'!J$65)+('Equipment List &amp; Usage'!$T75*('Weekly Summary'!J$64+'Weekly Summary'!J$65))-SUM($I73:O73))),0)</f>
        <v>142.73480826733706</v>
      </c>
      <c r="Q73" s="1381">
        <f ca="1">MAX(IF($F73="No",('Equipment List &amp; Usage'!$O75*'Weekly Summary'!K$52)+('Equipment List &amp; Usage'!$P75*'Weekly Summary'!K$53)+('Equipment List &amp; Usage'!$Q75*('Weekly Summary'!K$52+'Weekly Summary'!K$53))+('Equipment List &amp; Usage'!$R75*'Weekly Summary'!K$64)+('Equipment List &amp; Usage'!$S75*'Weekly Summary'!K$65)+('Equipment List &amp; Usage'!$T75*('Weekly Summary'!K$64+'Weekly Summary'!K$65)),
IF(Q$10=0,('Equipment List &amp; Usage'!$O75*'Weekly Summary'!K$52)+('Equipment List &amp; Usage'!$P75*'Weekly Summary'!K$53)+('Equipment List &amp; Usage'!$Q75*('Weekly Summary'!K$52+'Weekly Summary'!K$53))+('Equipment List &amp; Usage'!$R75*'Weekly Summary'!K$64)+('Equipment List &amp; Usage'!$S75*'Weekly Summary'!K$65)+('Equipment List &amp; Usage'!$T75*('Weekly Summary'!K$64+'Weekly Summary'!K$65)),
('Equipment List &amp; Usage'!$O75*'Weekly Summary'!K$52)+('Equipment List &amp; Usage'!$P75*'Weekly Summary'!K$53)+('Equipment List &amp; Usage'!$Q75*('Weekly Summary'!K$52+'Weekly Summary'!K$53))+('Equipment List &amp; Usage'!$R75*'Weekly Summary'!K$64)+('Equipment List &amp; Usage'!$S75*'Weekly Summary'!K$65)+('Equipment List &amp; Usage'!$T75*('Weekly Summary'!K$64+'Weekly Summary'!K$65))-SUM($I73:P73))),0)</f>
        <v>0</v>
      </c>
      <c r="R73" s="1381">
        <f ca="1">MAX(IF($F73="No",('Equipment List &amp; Usage'!$O75*'Weekly Summary'!L$52)+('Equipment List &amp; Usage'!$P75*'Weekly Summary'!L$53)+('Equipment List &amp; Usage'!$Q75*('Weekly Summary'!L$52+'Weekly Summary'!L$53))+('Equipment List &amp; Usage'!$R75*'Weekly Summary'!L$64)+('Equipment List &amp; Usage'!$S75*'Weekly Summary'!L$65)+('Equipment List &amp; Usage'!$T75*('Weekly Summary'!L$64+'Weekly Summary'!L$65)),
IF(R$10=0,('Equipment List &amp; Usage'!$O75*'Weekly Summary'!L$52)+('Equipment List &amp; Usage'!$P75*'Weekly Summary'!L$53)+('Equipment List &amp; Usage'!$Q75*('Weekly Summary'!L$52+'Weekly Summary'!L$53))+('Equipment List &amp; Usage'!$R75*'Weekly Summary'!L$64)+('Equipment List &amp; Usage'!$S75*'Weekly Summary'!L$65)+('Equipment List &amp; Usage'!$T75*('Weekly Summary'!L$64+'Weekly Summary'!L$65)),
('Equipment List &amp; Usage'!$O75*'Weekly Summary'!L$52)+('Equipment List &amp; Usage'!$P75*'Weekly Summary'!L$53)+('Equipment List &amp; Usage'!$Q75*('Weekly Summary'!L$52+'Weekly Summary'!L$53))+('Equipment List &amp; Usage'!$R75*'Weekly Summary'!L$64)+('Equipment List &amp; Usage'!$S75*'Weekly Summary'!L$65)+('Equipment List &amp; Usage'!$T75*('Weekly Summary'!L$64+'Weekly Summary'!L$65))-SUM($I73:Q73))),0)</f>
        <v>0</v>
      </c>
      <c r="S73" s="1381">
        <f ca="1">MAX(IF($F73="No",('Equipment List &amp; Usage'!$O75*'Weekly Summary'!M$52)+('Equipment List &amp; Usage'!$P75*'Weekly Summary'!M$53)+('Equipment List &amp; Usage'!$Q75*('Weekly Summary'!M$52+'Weekly Summary'!M$53))+('Equipment List &amp; Usage'!$R75*'Weekly Summary'!M$64)+('Equipment List &amp; Usage'!$S75*'Weekly Summary'!M$65)+('Equipment List &amp; Usage'!$T75*('Weekly Summary'!M$64+'Weekly Summary'!M$65)),
IF(S$10=0,('Equipment List &amp; Usage'!$O75*'Weekly Summary'!M$52)+('Equipment List &amp; Usage'!$P75*'Weekly Summary'!M$53)+('Equipment List &amp; Usage'!$Q75*('Weekly Summary'!M$52+'Weekly Summary'!M$53))+('Equipment List &amp; Usage'!$R75*'Weekly Summary'!M$64)+('Equipment List &amp; Usage'!$S75*'Weekly Summary'!M$65)+('Equipment List &amp; Usage'!$T75*('Weekly Summary'!M$64+'Weekly Summary'!M$65)),
('Equipment List &amp; Usage'!$O75*'Weekly Summary'!M$52)+('Equipment List &amp; Usage'!$P75*'Weekly Summary'!M$53)+('Equipment List &amp; Usage'!$Q75*('Weekly Summary'!M$52+'Weekly Summary'!M$53))+('Equipment List &amp; Usage'!$R75*'Weekly Summary'!M$64)+('Equipment List &amp; Usage'!$S75*'Weekly Summary'!M$65)+('Equipment List &amp; Usage'!$T75*('Weekly Summary'!M$64+'Weekly Summary'!M$65))-SUM($I73:R73))),0)</f>
        <v>0</v>
      </c>
      <c r="T73" s="1381">
        <f ca="1">MAX(IF($F73="No",('Equipment List &amp; Usage'!$O75*'Weekly Summary'!N$52)+('Equipment List &amp; Usage'!$P75*'Weekly Summary'!N$53)+('Equipment List &amp; Usage'!$Q75*('Weekly Summary'!N$52+'Weekly Summary'!N$53))+('Equipment List &amp; Usage'!$R75*'Weekly Summary'!N$64)+('Equipment List &amp; Usage'!$S75*'Weekly Summary'!N$65)+('Equipment List &amp; Usage'!$T75*('Weekly Summary'!N$64+'Weekly Summary'!N$65)),
IF(T$10=0,('Equipment List &amp; Usage'!$O75*'Weekly Summary'!N$52)+('Equipment List &amp; Usage'!$P75*'Weekly Summary'!N$53)+('Equipment List &amp; Usage'!$Q75*('Weekly Summary'!N$52+'Weekly Summary'!N$53))+('Equipment List &amp; Usage'!$R75*'Weekly Summary'!N$64)+('Equipment List &amp; Usage'!$S75*'Weekly Summary'!N$65)+('Equipment List &amp; Usage'!$T75*('Weekly Summary'!N$64+'Weekly Summary'!N$65)),
('Equipment List &amp; Usage'!$O75*'Weekly Summary'!N$52)+('Equipment List &amp; Usage'!$P75*'Weekly Summary'!N$53)+('Equipment List &amp; Usage'!$Q75*('Weekly Summary'!N$52+'Weekly Summary'!N$53))+('Equipment List &amp; Usage'!$R75*'Weekly Summary'!N$64)+('Equipment List &amp; Usage'!$S75*'Weekly Summary'!N$65)+('Equipment List &amp; Usage'!$T75*('Weekly Summary'!N$64+'Weekly Summary'!N$65))-SUM($I73:S73))),0)</f>
        <v>0</v>
      </c>
      <c r="U73" s="1381">
        <f ca="1">MAX(IF($F73="No",('Equipment List &amp; Usage'!$O75*'Weekly Summary'!O$52)+('Equipment List &amp; Usage'!$P75*'Weekly Summary'!O$53)+('Equipment List &amp; Usage'!$Q75*('Weekly Summary'!O$52+'Weekly Summary'!O$53))+('Equipment List &amp; Usage'!$R75*'Weekly Summary'!O$64)+('Equipment List &amp; Usage'!$S75*'Weekly Summary'!O$65)+('Equipment List &amp; Usage'!$T75*('Weekly Summary'!O$64+'Weekly Summary'!O$65)),
IF(U$10=0,('Equipment List &amp; Usage'!$O75*'Weekly Summary'!O$52)+('Equipment List &amp; Usage'!$P75*'Weekly Summary'!O$53)+('Equipment List &amp; Usage'!$Q75*('Weekly Summary'!O$52+'Weekly Summary'!O$53))+('Equipment List &amp; Usage'!$R75*'Weekly Summary'!O$64)+('Equipment List &amp; Usage'!$S75*'Weekly Summary'!O$65)+('Equipment List &amp; Usage'!$T75*('Weekly Summary'!O$64+'Weekly Summary'!O$65)),
('Equipment List &amp; Usage'!$O75*'Weekly Summary'!O$52)+('Equipment List &amp; Usage'!$P75*'Weekly Summary'!O$53)+('Equipment List &amp; Usage'!$Q75*('Weekly Summary'!O$52+'Weekly Summary'!O$53))+('Equipment List &amp; Usage'!$R75*'Weekly Summary'!O$64)+('Equipment List &amp; Usage'!$S75*'Weekly Summary'!O$65)+('Equipment List &amp; Usage'!$T75*('Weekly Summary'!O$64+'Weekly Summary'!O$65))-SUM($I73:T73))),0)</f>
        <v>0</v>
      </c>
      <c r="V73" s="1381">
        <f ca="1">MAX(IF($F73="No",('Equipment List &amp; Usage'!$O75*'Weekly Summary'!P$52)+('Equipment List &amp; Usage'!$P75*'Weekly Summary'!P$53)+('Equipment List &amp; Usage'!$Q75*('Weekly Summary'!P$52+'Weekly Summary'!P$53))+('Equipment List &amp; Usage'!$R75*'Weekly Summary'!P$64)+('Equipment List &amp; Usage'!$S75*'Weekly Summary'!P$65)+('Equipment List &amp; Usage'!$T75*('Weekly Summary'!P$64+'Weekly Summary'!P$65)),
IF(V$10=0,('Equipment List &amp; Usage'!$O75*'Weekly Summary'!P$52)+('Equipment List &amp; Usage'!$P75*'Weekly Summary'!P$53)+('Equipment List &amp; Usage'!$Q75*('Weekly Summary'!P$52+'Weekly Summary'!P$53))+('Equipment List &amp; Usage'!$R75*'Weekly Summary'!P$64)+('Equipment List &amp; Usage'!$S75*'Weekly Summary'!P$65)+('Equipment List &amp; Usage'!$T75*('Weekly Summary'!P$64+'Weekly Summary'!P$65)),
('Equipment List &amp; Usage'!$O75*'Weekly Summary'!P$52)+('Equipment List &amp; Usage'!$P75*'Weekly Summary'!P$53)+('Equipment List &amp; Usage'!$Q75*('Weekly Summary'!P$52+'Weekly Summary'!P$53))+('Equipment List &amp; Usage'!$R75*'Weekly Summary'!P$64)+('Equipment List &amp; Usage'!$S75*'Weekly Summary'!P$65)+('Equipment List &amp; Usage'!$T75*('Weekly Summary'!P$64+'Weekly Summary'!P$65))-SUM($I73:U73))),0)</f>
        <v>0</v>
      </c>
      <c r="W73" s="1381">
        <f ca="1">MAX(IF($F73="No",('Equipment List &amp; Usage'!$O75*'Weekly Summary'!Q$52)+('Equipment List &amp; Usage'!$P75*'Weekly Summary'!Q$53)+('Equipment List &amp; Usage'!$Q75*('Weekly Summary'!Q$52+'Weekly Summary'!Q$53))+('Equipment List &amp; Usage'!$R75*'Weekly Summary'!Q$64)+('Equipment List &amp; Usage'!$S75*'Weekly Summary'!Q$65)+('Equipment List &amp; Usage'!$T75*('Weekly Summary'!Q$64+'Weekly Summary'!Q$65)),
IF(W$10=0,('Equipment List &amp; Usage'!$O75*'Weekly Summary'!Q$52)+('Equipment List &amp; Usage'!$P75*'Weekly Summary'!Q$53)+('Equipment List &amp; Usage'!$Q75*('Weekly Summary'!Q$52+'Weekly Summary'!Q$53))+('Equipment List &amp; Usage'!$R75*'Weekly Summary'!Q$64)+('Equipment List &amp; Usage'!$S75*'Weekly Summary'!Q$65)+('Equipment List &amp; Usage'!$T75*('Weekly Summary'!Q$64+'Weekly Summary'!Q$65)),
('Equipment List &amp; Usage'!$O75*'Weekly Summary'!Q$52)+('Equipment List &amp; Usage'!$P75*'Weekly Summary'!Q$53)+('Equipment List &amp; Usage'!$Q75*('Weekly Summary'!Q$52+'Weekly Summary'!Q$53))+('Equipment List &amp; Usage'!$R75*'Weekly Summary'!Q$64)+('Equipment List &amp; Usage'!$S75*'Weekly Summary'!Q$65)+('Equipment List &amp; Usage'!$T75*('Weekly Summary'!Q$64+'Weekly Summary'!Q$65))-SUM($I73:V73))),0)</f>
        <v>0</v>
      </c>
      <c r="X73" s="1381">
        <f ca="1">MAX(IF($F73="No",('Equipment List &amp; Usage'!$O75*'Weekly Summary'!R$52)+('Equipment List &amp; Usage'!$P75*'Weekly Summary'!R$53)+('Equipment List &amp; Usage'!$Q75*('Weekly Summary'!R$52+'Weekly Summary'!R$53))+('Equipment List &amp; Usage'!$R75*'Weekly Summary'!R$64)+('Equipment List &amp; Usage'!$S75*'Weekly Summary'!R$65)+('Equipment List &amp; Usage'!$T75*('Weekly Summary'!R$64+'Weekly Summary'!R$65)),
IF(X$10=0,('Equipment List &amp; Usage'!$O75*'Weekly Summary'!R$52)+('Equipment List &amp; Usage'!$P75*'Weekly Summary'!R$53)+('Equipment List &amp; Usage'!$Q75*('Weekly Summary'!R$52+'Weekly Summary'!R$53))+('Equipment List &amp; Usage'!$R75*'Weekly Summary'!R$64)+('Equipment List &amp; Usage'!$S75*'Weekly Summary'!R$65)+('Equipment List &amp; Usage'!$T75*('Weekly Summary'!R$64+'Weekly Summary'!R$65)),
('Equipment List &amp; Usage'!$O75*'Weekly Summary'!R$52)+('Equipment List &amp; Usage'!$P75*'Weekly Summary'!R$53)+('Equipment List &amp; Usage'!$Q75*('Weekly Summary'!R$52+'Weekly Summary'!R$53))+('Equipment List &amp; Usage'!$R75*'Weekly Summary'!R$64)+('Equipment List &amp; Usage'!$S75*'Weekly Summary'!R$65)+('Equipment List &amp; Usage'!$T75*('Weekly Summary'!R$64+'Weekly Summary'!R$65))-SUM($I73:W73))),0)</f>
        <v>0</v>
      </c>
      <c r="Y73" s="1381">
        <f ca="1">MAX(IF($F73="No",('Equipment List &amp; Usage'!$O75*'Weekly Summary'!S$52)+('Equipment List &amp; Usage'!$P75*'Weekly Summary'!S$53)+('Equipment List &amp; Usage'!$Q75*('Weekly Summary'!S$52+'Weekly Summary'!S$53))+('Equipment List &amp; Usage'!$R75*'Weekly Summary'!S$64)+('Equipment List &amp; Usage'!$S75*'Weekly Summary'!S$65)+('Equipment List &amp; Usage'!$T75*('Weekly Summary'!S$64+'Weekly Summary'!S$65)),
IF(Y$10=0,('Equipment List &amp; Usage'!$O75*'Weekly Summary'!S$52)+('Equipment List &amp; Usage'!$P75*'Weekly Summary'!S$53)+('Equipment List &amp; Usage'!$Q75*('Weekly Summary'!S$52+'Weekly Summary'!S$53))+('Equipment List &amp; Usage'!$R75*'Weekly Summary'!S$64)+('Equipment List &amp; Usage'!$S75*'Weekly Summary'!S$65)+('Equipment List &amp; Usage'!$T75*('Weekly Summary'!S$64+'Weekly Summary'!S$65)),
('Equipment List &amp; Usage'!$O75*'Weekly Summary'!S$52)+('Equipment List &amp; Usage'!$P75*'Weekly Summary'!S$53)+('Equipment List &amp; Usage'!$Q75*('Weekly Summary'!S$52+'Weekly Summary'!S$53))+('Equipment List &amp; Usage'!$R75*'Weekly Summary'!S$64)+('Equipment List &amp; Usage'!$S75*'Weekly Summary'!S$65)+('Equipment List &amp; Usage'!$T75*('Weekly Summary'!S$64+'Weekly Summary'!S$65))-SUM($I73:X73))),0)</f>
        <v>0</v>
      </c>
      <c r="Z73" s="1381">
        <f ca="1">MAX(IF($F73="No",('Equipment List &amp; Usage'!$O75*'Weekly Summary'!T$52)+('Equipment List &amp; Usage'!$P75*'Weekly Summary'!T$53)+('Equipment List &amp; Usage'!$Q75*('Weekly Summary'!T$52+'Weekly Summary'!T$53))+('Equipment List &amp; Usage'!$R75*'Weekly Summary'!T$64)+('Equipment List &amp; Usage'!$S75*'Weekly Summary'!T$65)+('Equipment List &amp; Usage'!$T75*('Weekly Summary'!T$64+'Weekly Summary'!T$65)),
IF(Z$10=0,('Equipment List &amp; Usage'!$O75*'Weekly Summary'!T$52)+('Equipment List &amp; Usage'!$P75*'Weekly Summary'!T$53)+('Equipment List &amp; Usage'!$Q75*('Weekly Summary'!T$52+'Weekly Summary'!T$53))+('Equipment List &amp; Usage'!$R75*'Weekly Summary'!T$64)+('Equipment List &amp; Usage'!$S75*'Weekly Summary'!T$65)+('Equipment List &amp; Usage'!$T75*('Weekly Summary'!T$64+'Weekly Summary'!T$65)),
('Equipment List &amp; Usage'!$O75*'Weekly Summary'!T$52)+('Equipment List &amp; Usage'!$P75*'Weekly Summary'!T$53)+('Equipment List &amp; Usage'!$Q75*('Weekly Summary'!T$52+'Weekly Summary'!T$53))+('Equipment List &amp; Usage'!$R75*'Weekly Summary'!T$64)+('Equipment List &amp; Usage'!$S75*'Weekly Summary'!T$65)+('Equipment List &amp; Usage'!$T75*('Weekly Summary'!T$64+'Weekly Summary'!T$65))-SUM($I73:Y73))),0)</f>
        <v>0</v>
      </c>
      <c r="AA73" s="1381">
        <f ca="1">MAX(IF($F73="No",('Equipment List &amp; Usage'!$O75*'Weekly Summary'!U$52)+('Equipment List &amp; Usage'!$P75*'Weekly Summary'!U$53)+('Equipment List &amp; Usage'!$Q75*('Weekly Summary'!U$52+'Weekly Summary'!U$53))+('Equipment List &amp; Usage'!$R75*'Weekly Summary'!U$64)+('Equipment List &amp; Usage'!$S75*'Weekly Summary'!U$65)+('Equipment List &amp; Usage'!$T75*('Weekly Summary'!U$64+'Weekly Summary'!U$65)),
IF(AA$10=0,('Equipment List &amp; Usage'!$O75*'Weekly Summary'!U$52)+('Equipment List &amp; Usage'!$P75*'Weekly Summary'!U$53)+('Equipment List &amp; Usage'!$Q75*('Weekly Summary'!U$52+'Weekly Summary'!U$53))+('Equipment List &amp; Usage'!$R75*'Weekly Summary'!U$64)+('Equipment List &amp; Usage'!$S75*'Weekly Summary'!U$65)+('Equipment List &amp; Usage'!$T75*('Weekly Summary'!U$64+'Weekly Summary'!U$65)),
('Equipment List &amp; Usage'!$O75*'Weekly Summary'!U$52)+('Equipment List &amp; Usage'!$P75*'Weekly Summary'!U$53)+('Equipment List &amp; Usage'!$Q75*('Weekly Summary'!U$52+'Weekly Summary'!U$53))+('Equipment List &amp; Usage'!$R75*'Weekly Summary'!U$64)+('Equipment List &amp; Usage'!$S75*'Weekly Summary'!U$65)+('Equipment List &amp; Usage'!$T75*('Weekly Summary'!U$64+'Weekly Summary'!U$65))-SUM($I73:Z73))),0)</f>
        <v>0</v>
      </c>
      <c r="AB73" s="1381">
        <f ca="1">MAX(IF($F73="No",('Equipment List &amp; Usage'!$O75*'Weekly Summary'!V$52)+('Equipment List &amp; Usage'!$P75*'Weekly Summary'!V$53)+('Equipment List &amp; Usage'!$Q75*('Weekly Summary'!V$52+'Weekly Summary'!V$53))+('Equipment List &amp; Usage'!$R75*'Weekly Summary'!V$64)+('Equipment List &amp; Usage'!$S75*'Weekly Summary'!V$65)+('Equipment List &amp; Usage'!$T75*('Weekly Summary'!V$64+'Weekly Summary'!V$65)),
IF(AB$10=0,('Equipment List &amp; Usage'!$O75*'Weekly Summary'!V$52)+('Equipment List &amp; Usage'!$P75*'Weekly Summary'!V$53)+('Equipment List &amp; Usage'!$Q75*('Weekly Summary'!V$52+'Weekly Summary'!V$53))+('Equipment List &amp; Usage'!$R75*'Weekly Summary'!V$64)+('Equipment List &amp; Usage'!$S75*'Weekly Summary'!V$65)+('Equipment List &amp; Usage'!$T75*('Weekly Summary'!V$64+'Weekly Summary'!V$65)),
('Equipment List &amp; Usage'!$O75*'Weekly Summary'!V$52)+('Equipment List &amp; Usage'!$P75*'Weekly Summary'!V$53)+('Equipment List &amp; Usage'!$Q75*('Weekly Summary'!V$52+'Weekly Summary'!V$53))+('Equipment List &amp; Usage'!$R75*'Weekly Summary'!V$64)+('Equipment List &amp; Usage'!$S75*'Weekly Summary'!V$65)+('Equipment List &amp; Usage'!$T75*('Weekly Summary'!V$64+'Weekly Summary'!V$65))-SUM($I73:AA73))),0)</f>
        <v>0</v>
      </c>
      <c r="AC73" s="1381">
        <f ca="1">MAX(IF($F73="No",('Equipment List &amp; Usage'!$O75*'Weekly Summary'!W$52)+('Equipment List &amp; Usage'!$P75*'Weekly Summary'!W$53)+('Equipment List &amp; Usage'!$Q75*('Weekly Summary'!W$52+'Weekly Summary'!W$53))+('Equipment List &amp; Usage'!$R75*'Weekly Summary'!W$64)+('Equipment List &amp; Usage'!$S75*'Weekly Summary'!W$65)+('Equipment List &amp; Usage'!$T75*('Weekly Summary'!W$64+'Weekly Summary'!W$65)),
IF(AC$10=0,('Equipment List &amp; Usage'!$O75*'Weekly Summary'!W$52)+('Equipment List &amp; Usage'!$P75*'Weekly Summary'!W$53)+('Equipment List &amp; Usage'!$Q75*('Weekly Summary'!W$52+'Weekly Summary'!W$53))+('Equipment List &amp; Usage'!$R75*'Weekly Summary'!W$64)+('Equipment List &amp; Usage'!$S75*'Weekly Summary'!W$65)+('Equipment List &amp; Usage'!$T75*('Weekly Summary'!W$64+'Weekly Summary'!W$65)),
('Equipment List &amp; Usage'!$O75*'Weekly Summary'!W$52)+('Equipment List &amp; Usage'!$P75*'Weekly Summary'!W$53)+('Equipment List &amp; Usage'!$Q75*('Weekly Summary'!W$52+'Weekly Summary'!W$53))+('Equipment List &amp; Usage'!$R75*'Weekly Summary'!W$64)+('Equipment List &amp; Usage'!$S75*'Weekly Summary'!W$65)+('Equipment List &amp; Usage'!$T75*('Weekly Summary'!W$64+'Weekly Summary'!W$65))-SUM($I73:AB73))),0)</f>
        <v>0</v>
      </c>
      <c r="AD73" s="1381">
        <f ca="1">MAX(IF($F73="No",('Equipment List &amp; Usage'!$O75*'Weekly Summary'!X$52)+('Equipment List &amp; Usage'!$P75*'Weekly Summary'!X$53)+('Equipment List &amp; Usage'!$Q75*('Weekly Summary'!X$52+'Weekly Summary'!X$53))+('Equipment List &amp; Usage'!$R75*'Weekly Summary'!X$64)+('Equipment List &amp; Usage'!$S75*'Weekly Summary'!X$65)+('Equipment List &amp; Usage'!$T75*('Weekly Summary'!X$64+'Weekly Summary'!X$65)),
IF(AD$10=0,('Equipment List &amp; Usage'!$O75*'Weekly Summary'!X$52)+('Equipment List &amp; Usage'!$P75*'Weekly Summary'!X$53)+('Equipment List &amp; Usage'!$Q75*('Weekly Summary'!X$52+'Weekly Summary'!X$53))+('Equipment List &amp; Usage'!$R75*'Weekly Summary'!X$64)+('Equipment List &amp; Usage'!$S75*'Weekly Summary'!X$65)+('Equipment List &amp; Usage'!$T75*('Weekly Summary'!X$64+'Weekly Summary'!X$65)),
('Equipment List &amp; Usage'!$O75*'Weekly Summary'!X$52)+('Equipment List &amp; Usage'!$P75*'Weekly Summary'!X$53)+('Equipment List &amp; Usage'!$Q75*('Weekly Summary'!X$52+'Weekly Summary'!X$53))+('Equipment List &amp; Usage'!$R75*'Weekly Summary'!X$64)+('Equipment List &amp; Usage'!$S75*'Weekly Summary'!X$65)+('Equipment List &amp; Usage'!$T75*('Weekly Summary'!X$64+'Weekly Summary'!X$65))-SUM($I73:AC73))),0)</f>
        <v>0</v>
      </c>
      <c r="AE73" s="1381">
        <f ca="1">MAX(IF($F73="No",('Equipment List &amp; Usage'!$O75*'Weekly Summary'!Y$52)+('Equipment List &amp; Usage'!$P75*'Weekly Summary'!Y$53)+('Equipment List &amp; Usage'!$Q75*('Weekly Summary'!Y$52+'Weekly Summary'!Y$53))+('Equipment List &amp; Usage'!$R75*'Weekly Summary'!Y$64)+('Equipment List &amp; Usage'!$S75*'Weekly Summary'!Y$65)+('Equipment List &amp; Usage'!$T75*('Weekly Summary'!Y$64+'Weekly Summary'!Y$65)),
IF(AE$10=0,('Equipment List &amp; Usage'!$O75*'Weekly Summary'!Y$52)+('Equipment List &amp; Usage'!$P75*'Weekly Summary'!Y$53)+('Equipment List &amp; Usage'!$Q75*('Weekly Summary'!Y$52+'Weekly Summary'!Y$53))+('Equipment List &amp; Usage'!$R75*'Weekly Summary'!Y$64)+('Equipment List &amp; Usage'!$S75*'Weekly Summary'!Y$65)+('Equipment List &amp; Usage'!$T75*('Weekly Summary'!Y$64+'Weekly Summary'!Y$65)),
('Equipment List &amp; Usage'!$O75*'Weekly Summary'!Y$52)+('Equipment List &amp; Usage'!$P75*'Weekly Summary'!Y$53)+('Equipment List &amp; Usage'!$Q75*('Weekly Summary'!Y$52+'Weekly Summary'!Y$53))+('Equipment List &amp; Usage'!$R75*'Weekly Summary'!Y$64)+('Equipment List &amp; Usage'!$S75*'Weekly Summary'!Y$65)+('Equipment List &amp; Usage'!$T75*('Weekly Summary'!Y$64+'Weekly Summary'!Y$65))-SUM($I73:AD73))),0)</f>
        <v>0</v>
      </c>
      <c r="AF73" s="1381">
        <f ca="1">MAX(IF($F73="No",('Equipment List &amp; Usage'!$O75*'Weekly Summary'!Z$52)+('Equipment List &amp; Usage'!$P75*'Weekly Summary'!Z$53)+('Equipment List &amp; Usage'!$Q75*('Weekly Summary'!Z$52+'Weekly Summary'!Z$53))+('Equipment List &amp; Usage'!$R75*'Weekly Summary'!Z$64)+('Equipment List &amp; Usage'!$S75*'Weekly Summary'!Z$65)+('Equipment List &amp; Usage'!$T75*('Weekly Summary'!Z$64+'Weekly Summary'!Z$65)),
IF(AF$10=0,('Equipment List &amp; Usage'!$O75*'Weekly Summary'!Z$52)+('Equipment List &amp; Usage'!$P75*'Weekly Summary'!Z$53)+('Equipment List &amp; Usage'!$Q75*('Weekly Summary'!Z$52+'Weekly Summary'!Z$53))+('Equipment List &amp; Usage'!$R75*'Weekly Summary'!Z$64)+('Equipment List &amp; Usage'!$S75*'Weekly Summary'!Z$65)+('Equipment List &amp; Usage'!$T75*('Weekly Summary'!Z$64+'Weekly Summary'!Z$65)),
('Equipment List &amp; Usage'!$O75*'Weekly Summary'!Z$52)+('Equipment List &amp; Usage'!$P75*'Weekly Summary'!Z$53)+('Equipment List &amp; Usage'!$Q75*('Weekly Summary'!Z$52+'Weekly Summary'!Z$53))+('Equipment List &amp; Usage'!$R75*'Weekly Summary'!Z$64)+('Equipment List &amp; Usage'!$S75*'Weekly Summary'!Z$65)+('Equipment List &amp; Usage'!$T75*('Weekly Summary'!Z$64+'Weekly Summary'!Z$65))-SUM($I73:AE73))),0)</f>
        <v>0</v>
      </c>
      <c r="AG73" s="1381">
        <f ca="1">MAX(IF($F73="No",('Equipment List &amp; Usage'!$O75*'Weekly Summary'!AA$52)+('Equipment List &amp; Usage'!$P75*'Weekly Summary'!AA$53)+('Equipment List &amp; Usage'!$Q75*('Weekly Summary'!AA$52+'Weekly Summary'!AA$53))+('Equipment List &amp; Usage'!$R75*'Weekly Summary'!AA$64)+('Equipment List &amp; Usage'!$S75*'Weekly Summary'!AA$65)+('Equipment List &amp; Usage'!$T75*('Weekly Summary'!AA$64+'Weekly Summary'!AA$65)),
IF(AG$10=0,('Equipment List &amp; Usage'!$O75*'Weekly Summary'!AA$52)+('Equipment List &amp; Usage'!$P75*'Weekly Summary'!AA$53)+('Equipment List &amp; Usage'!$Q75*('Weekly Summary'!AA$52+'Weekly Summary'!AA$53))+('Equipment List &amp; Usage'!$R75*'Weekly Summary'!AA$64)+('Equipment List &amp; Usage'!$S75*'Weekly Summary'!AA$65)+('Equipment List &amp; Usage'!$T75*('Weekly Summary'!AA$64+'Weekly Summary'!AA$65)),
('Equipment List &amp; Usage'!$O75*'Weekly Summary'!AA$52)+('Equipment List &amp; Usage'!$P75*'Weekly Summary'!AA$53)+('Equipment List &amp; Usage'!$Q75*('Weekly Summary'!AA$52+'Weekly Summary'!AA$53))+('Equipment List &amp; Usage'!$R75*'Weekly Summary'!AA$64)+('Equipment List &amp; Usage'!$S75*'Weekly Summary'!AA$65)+('Equipment List &amp; Usage'!$T75*('Weekly Summary'!AA$64+'Weekly Summary'!AA$65))-SUM($I73:AF73))),0)</f>
        <v>0</v>
      </c>
      <c r="AH73" s="1381">
        <f ca="1">MAX(IF($F73="No",('Equipment List &amp; Usage'!$O75*'Weekly Summary'!AB$52)+('Equipment List &amp; Usage'!$P75*'Weekly Summary'!AB$53)+('Equipment List &amp; Usage'!$Q75*('Weekly Summary'!AB$52+'Weekly Summary'!AB$53))+('Equipment List &amp; Usage'!$R75*'Weekly Summary'!AB$64)+('Equipment List &amp; Usage'!$S75*'Weekly Summary'!AB$65)+('Equipment List &amp; Usage'!$T75*('Weekly Summary'!AB$64+'Weekly Summary'!AB$65)),
IF(AH$10=0,('Equipment List &amp; Usage'!$O75*'Weekly Summary'!AB$52)+('Equipment List &amp; Usage'!$P75*'Weekly Summary'!AB$53)+('Equipment List &amp; Usage'!$Q75*('Weekly Summary'!AB$52+'Weekly Summary'!AB$53))+('Equipment List &amp; Usage'!$R75*'Weekly Summary'!AB$64)+('Equipment List &amp; Usage'!$S75*'Weekly Summary'!AB$65)+('Equipment List &amp; Usage'!$T75*('Weekly Summary'!AB$64+'Weekly Summary'!AB$65)),
('Equipment List &amp; Usage'!$O75*'Weekly Summary'!AB$52)+('Equipment List &amp; Usage'!$P75*'Weekly Summary'!AB$53)+('Equipment List &amp; Usage'!$Q75*('Weekly Summary'!AB$52+'Weekly Summary'!AB$53))+('Equipment List &amp; Usage'!$R75*'Weekly Summary'!AB$64)+('Equipment List &amp; Usage'!$S75*'Weekly Summary'!AB$65)+('Equipment List &amp; Usage'!$T75*('Weekly Summary'!AB$64+'Weekly Summary'!AB$65))-SUM($I73:AG73))),0)</f>
        <v>0</v>
      </c>
      <c r="AI73" s="1381">
        <f ca="1">MAX(IF($F73="No",('Equipment List &amp; Usage'!$O75*'Weekly Summary'!AC$52)+('Equipment List &amp; Usage'!$P75*'Weekly Summary'!AC$53)+('Equipment List &amp; Usage'!$Q75*('Weekly Summary'!AC$52+'Weekly Summary'!AC$53))+('Equipment List &amp; Usage'!$R75*'Weekly Summary'!AC$64)+('Equipment List &amp; Usage'!$S75*'Weekly Summary'!AC$65)+('Equipment List &amp; Usage'!$T75*('Weekly Summary'!AC$64+'Weekly Summary'!AC$65)),
IF(AI$10=0,('Equipment List &amp; Usage'!$O75*'Weekly Summary'!AC$52)+('Equipment List &amp; Usage'!$P75*'Weekly Summary'!AC$53)+('Equipment List &amp; Usage'!$Q75*('Weekly Summary'!AC$52+'Weekly Summary'!AC$53))+('Equipment List &amp; Usage'!$R75*'Weekly Summary'!AC$64)+('Equipment List &amp; Usage'!$S75*'Weekly Summary'!AC$65)+('Equipment List &amp; Usage'!$T75*('Weekly Summary'!AC$64+'Weekly Summary'!AC$65)),
('Equipment List &amp; Usage'!$O75*'Weekly Summary'!AC$52)+('Equipment List &amp; Usage'!$P75*'Weekly Summary'!AC$53)+('Equipment List &amp; Usage'!$Q75*('Weekly Summary'!AC$52+'Weekly Summary'!AC$53))+('Equipment List &amp; Usage'!$R75*'Weekly Summary'!AC$64)+('Equipment List &amp; Usage'!$S75*'Weekly Summary'!AC$65)+('Equipment List &amp; Usage'!$T75*('Weekly Summary'!AC$64+'Weekly Summary'!AC$65))-SUM($I73:AH73))),0)</f>
        <v>0</v>
      </c>
      <c r="AJ73" s="1381">
        <f ca="1">MAX(IF($F73="No",('Equipment List &amp; Usage'!$O75*'Weekly Summary'!AD$52)+('Equipment List &amp; Usage'!$P75*'Weekly Summary'!AD$53)+('Equipment List &amp; Usage'!$Q75*('Weekly Summary'!AD$52+'Weekly Summary'!AD$53))+('Equipment List &amp; Usage'!$R75*'Weekly Summary'!AD$64)+('Equipment List &amp; Usage'!$S75*'Weekly Summary'!AD$65)+('Equipment List &amp; Usage'!$T75*('Weekly Summary'!AD$64+'Weekly Summary'!AD$65)),
IF(AJ$10=0,('Equipment List &amp; Usage'!$O75*'Weekly Summary'!AD$52)+('Equipment List &amp; Usage'!$P75*'Weekly Summary'!AD$53)+('Equipment List &amp; Usage'!$Q75*('Weekly Summary'!AD$52+'Weekly Summary'!AD$53))+('Equipment List &amp; Usage'!$R75*'Weekly Summary'!AD$64)+('Equipment List &amp; Usage'!$S75*'Weekly Summary'!AD$65)+('Equipment List &amp; Usage'!$T75*('Weekly Summary'!AD$64+'Weekly Summary'!AD$65)),
('Equipment List &amp; Usage'!$O75*'Weekly Summary'!AD$52)+('Equipment List &amp; Usage'!$P75*'Weekly Summary'!AD$53)+('Equipment List &amp; Usage'!$Q75*('Weekly Summary'!AD$52+'Weekly Summary'!AD$53))+('Equipment List &amp; Usage'!$R75*'Weekly Summary'!AD$64)+('Equipment List &amp; Usage'!$S75*'Weekly Summary'!AD$65)+('Equipment List &amp; Usage'!$T75*('Weekly Summary'!AD$64+'Weekly Summary'!AD$65))-SUM($I73:AI73))),0)</f>
        <v>0</v>
      </c>
      <c r="AK73" s="1381">
        <f ca="1">MAX(IF($F73="No",('Equipment List &amp; Usage'!$O75*'Weekly Summary'!AE$52)+('Equipment List &amp; Usage'!$P75*'Weekly Summary'!AE$53)+('Equipment List &amp; Usage'!$Q75*('Weekly Summary'!AE$52+'Weekly Summary'!AE$53))+('Equipment List &amp; Usage'!$R75*'Weekly Summary'!AE$64)+('Equipment List &amp; Usage'!$S75*'Weekly Summary'!AE$65)+('Equipment List &amp; Usage'!$T75*('Weekly Summary'!AE$64+'Weekly Summary'!AE$65)),
IF(AK$10=0,('Equipment List &amp; Usage'!$O75*'Weekly Summary'!AE$52)+('Equipment List &amp; Usage'!$P75*'Weekly Summary'!AE$53)+('Equipment List &amp; Usage'!$Q75*('Weekly Summary'!AE$52+'Weekly Summary'!AE$53))+('Equipment List &amp; Usage'!$R75*'Weekly Summary'!AE$64)+('Equipment List &amp; Usage'!$S75*'Weekly Summary'!AE$65)+('Equipment List &amp; Usage'!$T75*('Weekly Summary'!AE$64+'Weekly Summary'!AE$65)),
('Equipment List &amp; Usage'!$O75*'Weekly Summary'!AE$52)+('Equipment List &amp; Usage'!$P75*'Weekly Summary'!AE$53)+('Equipment List &amp; Usage'!$Q75*('Weekly Summary'!AE$52+'Weekly Summary'!AE$53))+('Equipment List &amp; Usage'!$R75*'Weekly Summary'!AE$64)+('Equipment List &amp; Usage'!$S75*'Weekly Summary'!AE$65)+('Equipment List &amp; Usage'!$T75*('Weekly Summary'!AE$64+'Weekly Summary'!AE$65))-SUM($I73:AJ73))),0)</f>
        <v>0</v>
      </c>
      <c r="AL73" s="1381">
        <f ca="1">MAX(IF($F73="No",('Equipment List &amp; Usage'!$O75*'Weekly Summary'!AF$52)+('Equipment List &amp; Usage'!$P75*'Weekly Summary'!AF$53)+('Equipment List &amp; Usage'!$Q75*('Weekly Summary'!AF$52+'Weekly Summary'!AF$53))+('Equipment List &amp; Usage'!$R75*'Weekly Summary'!AF$64)+('Equipment List &amp; Usage'!$S75*'Weekly Summary'!AF$65)+('Equipment List &amp; Usage'!$T75*('Weekly Summary'!AF$64+'Weekly Summary'!AF$65)),
IF(AL$10=0,('Equipment List &amp; Usage'!$O75*'Weekly Summary'!AF$52)+('Equipment List &amp; Usage'!$P75*'Weekly Summary'!AF$53)+('Equipment List &amp; Usage'!$Q75*('Weekly Summary'!AF$52+'Weekly Summary'!AF$53))+('Equipment List &amp; Usage'!$R75*'Weekly Summary'!AF$64)+('Equipment List &amp; Usage'!$S75*'Weekly Summary'!AF$65)+('Equipment List &amp; Usage'!$T75*('Weekly Summary'!AF$64+'Weekly Summary'!AF$65)),
('Equipment List &amp; Usage'!$O75*'Weekly Summary'!AF$52)+('Equipment List &amp; Usage'!$P75*'Weekly Summary'!AF$53)+('Equipment List &amp; Usage'!$Q75*('Weekly Summary'!AF$52+'Weekly Summary'!AF$53))+('Equipment List &amp; Usage'!$R75*'Weekly Summary'!AF$64)+('Equipment List &amp; Usage'!$S75*'Weekly Summary'!AF$65)+('Equipment List &amp; Usage'!$T75*('Weekly Summary'!AF$64+'Weekly Summary'!AF$65))-SUM($I73:AK73))),0)</f>
        <v>0</v>
      </c>
      <c r="AM73" s="1381">
        <f ca="1">MAX(IF($F73="No",('Equipment List &amp; Usage'!$O75*'Weekly Summary'!AG$52)+('Equipment List &amp; Usage'!$P75*'Weekly Summary'!AG$53)+('Equipment List &amp; Usage'!$Q75*('Weekly Summary'!AG$52+'Weekly Summary'!AG$53))+('Equipment List &amp; Usage'!$R75*'Weekly Summary'!AG$64)+('Equipment List &amp; Usage'!$S75*'Weekly Summary'!AG$65)+('Equipment List &amp; Usage'!$T75*('Weekly Summary'!AG$64+'Weekly Summary'!AG$65)),
IF(AM$10=0,('Equipment List &amp; Usage'!$O75*'Weekly Summary'!AG$52)+('Equipment List &amp; Usage'!$P75*'Weekly Summary'!AG$53)+('Equipment List &amp; Usage'!$Q75*('Weekly Summary'!AG$52+'Weekly Summary'!AG$53))+('Equipment List &amp; Usage'!$R75*'Weekly Summary'!AG$64)+('Equipment List &amp; Usage'!$S75*'Weekly Summary'!AG$65)+('Equipment List &amp; Usage'!$T75*('Weekly Summary'!AG$64+'Weekly Summary'!AG$65)),
('Equipment List &amp; Usage'!$O75*'Weekly Summary'!AG$52)+('Equipment List &amp; Usage'!$P75*'Weekly Summary'!AG$53)+('Equipment List &amp; Usage'!$Q75*('Weekly Summary'!AG$52+'Weekly Summary'!AG$53))+('Equipment List &amp; Usage'!$R75*'Weekly Summary'!AG$64)+('Equipment List &amp; Usage'!$S75*'Weekly Summary'!AG$65)+('Equipment List &amp; Usage'!$T75*('Weekly Summary'!AG$64+'Weekly Summary'!AG$65))-SUM($I73:AL73))),0)</f>
        <v>0</v>
      </c>
      <c r="AN73" s="1381">
        <f ca="1">MAX(IF($F73="No",('Equipment List &amp; Usage'!$O75*'Weekly Summary'!AH$52)+('Equipment List &amp; Usage'!$P75*'Weekly Summary'!AH$53)+('Equipment List &amp; Usage'!$Q75*('Weekly Summary'!AH$52+'Weekly Summary'!AH$53))+('Equipment List &amp; Usage'!$R75*'Weekly Summary'!AH$64)+('Equipment List &amp; Usage'!$S75*'Weekly Summary'!AH$65)+('Equipment List &amp; Usage'!$T75*('Weekly Summary'!AH$64+'Weekly Summary'!AH$65)),
IF(AN$10=0,('Equipment List &amp; Usage'!$O75*'Weekly Summary'!AH$52)+('Equipment List &amp; Usage'!$P75*'Weekly Summary'!AH$53)+('Equipment List &amp; Usage'!$Q75*('Weekly Summary'!AH$52+'Weekly Summary'!AH$53))+('Equipment List &amp; Usage'!$R75*'Weekly Summary'!AH$64)+('Equipment List &amp; Usage'!$S75*'Weekly Summary'!AH$65)+('Equipment List &amp; Usage'!$T75*('Weekly Summary'!AH$64+'Weekly Summary'!AH$65)),
('Equipment List &amp; Usage'!$O75*'Weekly Summary'!AH$52)+('Equipment List &amp; Usage'!$P75*'Weekly Summary'!AH$53)+('Equipment List &amp; Usage'!$Q75*('Weekly Summary'!AH$52+'Weekly Summary'!AH$53))+('Equipment List &amp; Usage'!$R75*'Weekly Summary'!AH$64)+('Equipment List &amp; Usage'!$S75*'Weekly Summary'!AH$65)+('Equipment List &amp; Usage'!$T75*('Weekly Summary'!AH$64+'Weekly Summary'!AH$65))-SUM($I73:AM73))),0)</f>
        <v>0</v>
      </c>
      <c r="AO73" s="1381">
        <f ca="1">MAX(IF($F73="No",('Equipment List &amp; Usage'!$O75*'Weekly Summary'!AI$52)+('Equipment List &amp; Usage'!$P75*'Weekly Summary'!AI$53)+('Equipment List &amp; Usage'!$Q75*('Weekly Summary'!AI$52+'Weekly Summary'!AI$53))+('Equipment List &amp; Usage'!$R75*'Weekly Summary'!AI$64)+('Equipment List &amp; Usage'!$S75*'Weekly Summary'!AI$65)+('Equipment List &amp; Usage'!$T75*('Weekly Summary'!AI$64+'Weekly Summary'!AI$65)),
IF(AO$10=0,('Equipment List &amp; Usage'!$O75*'Weekly Summary'!AI$52)+('Equipment List &amp; Usage'!$P75*'Weekly Summary'!AI$53)+('Equipment List &amp; Usage'!$Q75*('Weekly Summary'!AI$52+'Weekly Summary'!AI$53))+('Equipment List &amp; Usage'!$R75*'Weekly Summary'!AI$64)+('Equipment List &amp; Usage'!$S75*'Weekly Summary'!AI$65)+('Equipment List &amp; Usage'!$T75*('Weekly Summary'!AI$64+'Weekly Summary'!AI$65)),
('Equipment List &amp; Usage'!$O75*'Weekly Summary'!AI$52)+('Equipment List &amp; Usage'!$P75*'Weekly Summary'!AI$53)+('Equipment List &amp; Usage'!$Q75*('Weekly Summary'!AI$52+'Weekly Summary'!AI$53))+('Equipment List &amp; Usage'!$R75*'Weekly Summary'!AI$64)+('Equipment List &amp; Usage'!$S75*'Weekly Summary'!AI$65)+('Equipment List &amp; Usage'!$T75*('Weekly Summary'!AI$64+'Weekly Summary'!AI$65))-SUM($I73:AN73))),0)</f>
        <v>0</v>
      </c>
      <c r="AP73" s="1381">
        <f ca="1">MAX(IF($F73="No",('Equipment List &amp; Usage'!$O75*'Weekly Summary'!AJ$52)+('Equipment List &amp; Usage'!$P75*'Weekly Summary'!AJ$53)+('Equipment List &amp; Usage'!$Q75*('Weekly Summary'!AJ$52+'Weekly Summary'!AJ$53))+('Equipment List &amp; Usage'!$R75*'Weekly Summary'!AJ$64)+('Equipment List &amp; Usage'!$S75*'Weekly Summary'!AJ$65)+('Equipment List &amp; Usage'!$T75*('Weekly Summary'!AJ$64+'Weekly Summary'!AJ$65)),
IF(AP$10=0,('Equipment List &amp; Usage'!$O75*'Weekly Summary'!AJ$52)+('Equipment List &amp; Usage'!$P75*'Weekly Summary'!AJ$53)+('Equipment List &amp; Usage'!$Q75*('Weekly Summary'!AJ$52+'Weekly Summary'!AJ$53))+('Equipment List &amp; Usage'!$R75*'Weekly Summary'!AJ$64)+('Equipment List &amp; Usage'!$S75*'Weekly Summary'!AJ$65)+('Equipment List &amp; Usage'!$T75*('Weekly Summary'!AJ$64+'Weekly Summary'!AJ$65)),
('Equipment List &amp; Usage'!$O75*'Weekly Summary'!AJ$52)+('Equipment List &amp; Usage'!$P75*'Weekly Summary'!AJ$53)+('Equipment List &amp; Usage'!$Q75*('Weekly Summary'!AJ$52+'Weekly Summary'!AJ$53))+('Equipment List &amp; Usage'!$R75*'Weekly Summary'!AJ$64)+('Equipment List &amp; Usage'!$S75*'Weekly Summary'!AJ$65)+('Equipment List &amp; Usage'!$T75*('Weekly Summary'!AJ$64+'Weekly Summary'!AJ$65))-SUM($I73:AO73))),0)</f>
        <v>0</v>
      </c>
      <c r="AQ73" s="1381">
        <f ca="1">MAX(IF($F73="No",('Equipment List &amp; Usage'!$O75*'Weekly Summary'!AK$52)+('Equipment List &amp; Usage'!$P75*'Weekly Summary'!AK$53)+('Equipment List &amp; Usage'!$Q75*('Weekly Summary'!AK$52+'Weekly Summary'!AK$53))+('Equipment List &amp; Usage'!$R75*'Weekly Summary'!AK$64)+('Equipment List &amp; Usage'!$S75*'Weekly Summary'!AK$65)+('Equipment List &amp; Usage'!$T75*('Weekly Summary'!AK$64+'Weekly Summary'!AK$65)),
IF(AQ$10=0,('Equipment List &amp; Usage'!$O75*'Weekly Summary'!AK$52)+('Equipment List &amp; Usage'!$P75*'Weekly Summary'!AK$53)+('Equipment List &amp; Usage'!$Q75*('Weekly Summary'!AK$52+'Weekly Summary'!AK$53))+('Equipment List &amp; Usage'!$R75*'Weekly Summary'!AK$64)+('Equipment List &amp; Usage'!$S75*'Weekly Summary'!AK$65)+('Equipment List &amp; Usage'!$T75*('Weekly Summary'!AK$64+'Weekly Summary'!AK$65)),
('Equipment List &amp; Usage'!$O75*'Weekly Summary'!AK$52)+('Equipment List &amp; Usage'!$P75*'Weekly Summary'!AK$53)+('Equipment List &amp; Usage'!$Q75*('Weekly Summary'!AK$52+'Weekly Summary'!AK$53))+('Equipment List &amp; Usage'!$R75*'Weekly Summary'!AK$64)+('Equipment List &amp; Usage'!$S75*'Weekly Summary'!AK$65)+('Equipment List &amp; Usage'!$T75*('Weekly Summary'!AK$64+'Weekly Summary'!AK$65))-SUM($I73:AP73))),0)</f>
        <v>0</v>
      </c>
      <c r="AR73" s="1381">
        <f ca="1">MAX(IF($F73="No",('Equipment List &amp; Usage'!$O75*'Weekly Summary'!AL$52)+('Equipment List &amp; Usage'!$P75*'Weekly Summary'!AL$53)+('Equipment List &amp; Usage'!$Q75*('Weekly Summary'!AL$52+'Weekly Summary'!AL$53))+('Equipment List &amp; Usage'!$R75*'Weekly Summary'!AL$64)+('Equipment List &amp; Usage'!$S75*'Weekly Summary'!AL$65)+('Equipment List &amp; Usage'!$T75*('Weekly Summary'!AL$64+'Weekly Summary'!AL$65)),
IF(AR$10=0,('Equipment List &amp; Usage'!$O75*'Weekly Summary'!AL$52)+('Equipment List &amp; Usage'!$P75*'Weekly Summary'!AL$53)+('Equipment List &amp; Usage'!$Q75*('Weekly Summary'!AL$52+'Weekly Summary'!AL$53))+('Equipment List &amp; Usage'!$R75*'Weekly Summary'!AL$64)+('Equipment List &amp; Usage'!$S75*'Weekly Summary'!AL$65)+('Equipment List &amp; Usage'!$T75*('Weekly Summary'!AL$64+'Weekly Summary'!AL$65)),
('Equipment List &amp; Usage'!$O75*'Weekly Summary'!AL$52)+('Equipment List &amp; Usage'!$P75*'Weekly Summary'!AL$53)+('Equipment List &amp; Usage'!$Q75*('Weekly Summary'!AL$52+'Weekly Summary'!AL$53))+('Equipment List &amp; Usage'!$R75*'Weekly Summary'!AL$64)+('Equipment List &amp; Usage'!$S75*'Weekly Summary'!AL$65)+('Equipment List &amp; Usage'!$T75*('Weekly Summary'!AL$64+'Weekly Summary'!AL$65))-SUM($I73:AQ73))),0)</f>
        <v>0</v>
      </c>
      <c r="AS73" s="1381">
        <f ca="1">MAX(IF($F73="No",('Equipment List &amp; Usage'!$O75*'Weekly Summary'!AM$52)+('Equipment List &amp; Usage'!$P75*'Weekly Summary'!AM$53)+('Equipment List &amp; Usage'!$Q75*('Weekly Summary'!AM$52+'Weekly Summary'!AM$53))+('Equipment List &amp; Usage'!$R75*'Weekly Summary'!AM$64)+('Equipment List &amp; Usage'!$S75*'Weekly Summary'!AM$65)+('Equipment List &amp; Usage'!$T75*('Weekly Summary'!AM$64+'Weekly Summary'!AM$65)),
IF(AS$10=0,('Equipment List &amp; Usage'!$O75*'Weekly Summary'!AM$52)+('Equipment List &amp; Usage'!$P75*'Weekly Summary'!AM$53)+('Equipment List &amp; Usage'!$Q75*('Weekly Summary'!AM$52+'Weekly Summary'!AM$53))+('Equipment List &amp; Usage'!$R75*'Weekly Summary'!AM$64)+('Equipment List &amp; Usage'!$S75*'Weekly Summary'!AM$65)+('Equipment List &amp; Usage'!$T75*('Weekly Summary'!AM$64+'Weekly Summary'!AM$65)),
('Equipment List &amp; Usage'!$O75*'Weekly Summary'!AM$52)+('Equipment List &amp; Usage'!$P75*'Weekly Summary'!AM$53)+('Equipment List &amp; Usage'!$Q75*('Weekly Summary'!AM$52+'Weekly Summary'!AM$53))+('Equipment List &amp; Usage'!$R75*'Weekly Summary'!AM$64)+('Equipment List &amp; Usage'!$S75*'Weekly Summary'!AM$65)+('Equipment List &amp; Usage'!$T75*('Weekly Summary'!AM$64+'Weekly Summary'!AM$65))-SUM($I73:AR73))),0)</f>
        <v>0</v>
      </c>
      <c r="AT73" s="1381">
        <f ca="1">MAX(IF($F73="No",('Equipment List &amp; Usage'!$O75*'Weekly Summary'!AN$52)+('Equipment List &amp; Usage'!$P75*'Weekly Summary'!AN$53)+('Equipment List &amp; Usage'!$Q75*('Weekly Summary'!AN$52+'Weekly Summary'!AN$53))+('Equipment List &amp; Usage'!$R75*'Weekly Summary'!AN$64)+('Equipment List &amp; Usage'!$S75*'Weekly Summary'!AN$65)+('Equipment List &amp; Usage'!$T75*('Weekly Summary'!AN$64+'Weekly Summary'!AN$65)),
IF(AT$10=0,('Equipment List &amp; Usage'!$O75*'Weekly Summary'!AN$52)+('Equipment List &amp; Usage'!$P75*'Weekly Summary'!AN$53)+('Equipment List &amp; Usage'!$Q75*('Weekly Summary'!AN$52+'Weekly Summary'!AN$53))+('Equipment List &amp; Usage'!$R75*'Weekly Summary'!AN$64)+('Equipment List &amp; Usage'!$S75*'Weekly Summary'!AN$65)+('Equipment List &amp; Usage'!$T75*('Weekly Summary'!AN$64+'Weekly Summary'!AN$65)),
('Equipment List &amp; Usage'!$O75*'Weekly Summary'!AN$52)+('Equipment List &amp; Usage'!$P75*'Weekly Summary'!AN$53)+('Equipment List &amp; Usage'!$Q75*('Weekly Summary'!AN$52+'Weekly Summary'!AN$53))+('Equipment List &amp; Usage'!$R75*'Weekly Summary'!AN$64)+('Equipment List &amp; Usage'!$S75*'Weekly Summary'!AN$65)+('Equipment List &amp; Usage'!$T75*('Weekly Summary'!AN$64+'Weekly Summary'!AN$65))-SUM($I73:AS73))),0)</f>
        <v>0</v>
      </c>
      <c r="AU73" s="1381">
        <f ca="1">MAX(IF($F73="No",('Equipment List &amp; Usage'!$O75*'Weekly Summary'!AO$52)+('Equipment List &amp; Usage'!$P75*'Weekly Summary'!AO$53)+('Equipment List &amp; Usage'!$Q75*('Weekly Summary'!AO$52+'Weekly Summary'!AO$53))+('Equipment List &amp; Usage'!$R75*'Weekly Summary'!AO$64)+('Equipment List &amp; Usage'!$S75*'Weekly Summary'!AO$65)+('Equipment List &amp; Usage'!$T75*('Weekly Summary'!AO$64+'Weekly Summary'!AO$65)),
IF(AU$10=0,('Equipment List &amp; Usage'!$O75*'Weekly Summary'!AO$52)+('Equipment List &amp; Usage'!$P75*'Weekly Summary'!AO$53)+('Equipment List &amp; Usage'!$Q75*('Weekly Summary'!AO$52+'Weekly Summary'!AO$53))+('Equipment List &amp; Usage'!$R75*'Weekly Summary'!AO$64)+('Equipment List &amp; Usage'!$S75*'Weekly Summary'!AO$65)+('Equipment List &amp; Usage'!$T75*('Weekly Summary'!AO$64+'Weekly Summary'!AO$65)),
('Equipment List &amp; Usage'!$O75*'Weekly Summary'!AO$52)+('Equipment List &amp; Usage'!$P75*'Weekly Summary'!AO$53)+('Equipment List &amp; Usage'!$Q75*('Weekly Summary'!AO$52+'Weekly Summary'!AO$53))+('Equipment List &amp; Usage'!$R75*'Weekly Summary'!AO$64)+('Equipment List &amp; Usage'!$S75*'Weekly Summary'!AO$65)+('Equipment List &amp; Usage'!$T75*('Weekly Summary'!AO$64+'Weekly Summary'!AO$65))-SUM($I73:AT73))),0)</f>
        <v>0</v>
      </c>
      <c r="AV73" s="1381">
        <f ca="1">MAX(IF($F73="No",('Equipment List &amp; Usage'!$O75*'Weekly Summary'!AP$52)+('Equipment List &amp; Usage'!$P75*'Weekly Summary'!AP$53)+('Equipment List &amp; Usage'!$Q75*('Weekly Summary'!AP$52+'Weekly Summary'!AP$53))+('Equipment List &amp; Usage'!$R75*'Weekly Summary'!AP$64)+('Equipment List &amp; Usage'!$S75*'Weekly Summary'!AP$65)+('Equipment List &amp; Usage'!$T75*('Weekly Summary'!AP$64+'Weekly Summary'!AP$65)),
IF(AV$10=0,('Equipment List &amp; Usage'!$O75*'Weekly Summary'!AP$52)+('Equipment List &amp; Usage'!$P75*'Weekly Summary'!AP$53)+('Equipment List &amp; Usage'!$Q75*('Weekly Summary'!AP$52+'Weekly Summary'!AP$53))+('Equipment List &amp; Usage'!$R75*'Weekly Summary'!AP$64)+('Equipment List &amp; Usage'!$S75*'Weekly Summary'!AP$65)+('Equipment List &amp; Usage'!$T75*('Weekly Summary'!AP$64+'Weekly Summary'!AP$65)),
('Equipment List &amp; Usage'!$O75*'Weekly Summary'!AP$52)+('Equipment List &amp; Usage'!$P75*'Weekly Summary'!AP$53)+('Equipment List &amp; Usage'!$Q75*('Weekly Summary'!AP$52+'Weekly Summary'!AP$53))+('Equipment List &amp; Usage'!$R75*'Weekly Summary'!AP$64)+('Equipment List &amp; Usage'!$S75*'Weekly Summary'!AP$65)+('Equipment List &amp; Usage'!$T75*('Weekly Summary'!AP$64+'Weekly Summary'!AP$65))-SUM($I73:AU73))),0)</f>
        <v>0</v>
      </c>
      <c r="AW73" s="1381">
        <f ca="1">MAX(IF($F73="No",('Equipment List &amp; Usage'!$O75*'Weekly Summary'!AQ$52)+('Equipment List &amp; Usage'!$P75*'Weekly Summary'!AQ$53)+('Equipment List &amp; Usage'!$Q75*('Weekly Summary'!AQ$52+'Weekly Summary'!AQ$53))+('Equipment List &amp; Usage'!$R75*'Weekly Summary'!AQ$64)+('Equipment List &amp; Usage'!$S75*'Weekly Summary'!AQ$65)+('Equipment List &amp; Usage'!$T75*('Weekly Summary'!AQ$64+'Weekly Summary'!AQ$65)),
IF(AW$10=0,('Equipment List &amp; Usage'!$O75*'Weekly Summary'!AQ$52)+('Equipment List &amp; Usage'!$P75*'Weekly Summary'!AQ$53)+('Equipment List &amp; Usage'!$Q75*('Weekly Summary'!AQ$52+'Weekly Summary'!AQ$53))+('Equipment List &amp; Usage'!$R75*'Weekly Summary'!AQ$64)+('Equipment List &amp; Usage'!$S75*'Weekly Summary'!AQ$65)+('Equipment List &amp; Usage'!$T75*('Weekly Summary'!AQ$64+'Weekly Summary'!AQ$65)),
('Equipment List &amp; Usage'!$O75*'Weekly Summary'!AQ$52)+('Equipment List &amp; Usage'!$P75*'Weekly Summary'!AQ$53)+('Equipment List &amp; Usage'!$Q75*('Weekly Summary'!AQ$52+'Weekly Summary'!AQ$53))+('Equipment List &amp; Usage'!$R75*'Weekly Summary'!AQ$64)+('Equipment List &amp; Usage'!$S75*'Weekly Summary'!AQ$65)+('Equipment List &amp; Usage'!$T75*('Weekly Summary'!AQ$64+'Weekly Summary'!AQ$65))-SUM($I73:AV73))),0)</f>
        <v>0</v>
      </c>
      <c r="AX73" s="1381">
        <f ca="1">MAX(IF($F73="No",('Equipment List &amp; Usage'!$O75*'Weekly Summary'!AR$52)+('Equipment List &amp; Usage'!$P75*'Weekly Summary'!AR$53)+('Equipment List &amp; Usage'!$Q75*('Weekly Summary'!AR$52+'Weekly Summary'!AR$53))+('Equipment List &amp; Usage'!$R75*'Weekly Summary'!AR$64)+('Equipment List &amp; Usage'!$S75*'Weekly Summary'!AR$65)+('Equipment List &amp; Usage'!$T75*('Weekly Summary'!AR$64+'Weekly Summary'!AR$65)),
IF(AX$10=0,('Equipment List &amp; Usage'!$O75*'Weekly Summary'!AR$52)+('Equipment List &amp; Usage'!$P75*'Weekly Summary'!AR$53)+('Equipment List &amp; Usage'!$Q75*('Weekly Summary'!AR$52+'Weekly Summary'!AR$53))+('Equipment List &amp; Usage'!$R75*'Weekly Summary'!AR$64)+('Equipment List &amp; Usage'!$S75*'Weekly Summary'!AR$65)+('Equipment List &amp; Usage'!$T75*('Weekly Summary'!AR$64+'Weekly Summary'!AR$65)),
('Equipment List &amp; Usage'!$O75*'Weekly Summary'!AR$52)+('Equipment List &amp; Usage'!$P75*'Weekly Summary'!AR$53)+('Equipment List &amp; Usage'!$Q75*('Weekly Summary'!AR$52+'Weekly Summary'!AR$53))+('Equipment List &amp; Usage'!$R75*'Weekly Summary'!AR$64)+('Equipment List &amp; Usage'!$S75*'Weekly Summary'!AR$65)+('Equipment List &amp; Usage'!$T75*('Weekly Summary'!AR$64+'Weekly Summary'!AR$65))-SUM($I73:AW73))),0)</f>
        <v>0</v>
      </c>
      <c r="AY73" s="1381">
        <f ca="1">MAX(IF($F73="No",('Equipment List &amp; Usage'!$O75*'Weekly Summary'!AS$52)+('Equipment List &amp; Usage'!$P75*'Weekly Summary'!AS$53)+('Equipment List &amp; Usage'!$Q75*('Weekly Summary'!AS$52+'Weekly Summary'!AS$53))+('Equipment List &amp; Usage'!$R75*'Weekly Summary'!AS$64)+('Equipment List &amp; Usage'!$S75*'Weekly Summary'!AS$65)+('Equipment List &amp; Usage'!$T75*('Weekly Summary'!AS$64+'Weekly Summary'!AS$65)),
IF(AY$10=0,('Equipment List &amp; Usage'!$O75*'Weekly Summary'!AS$52)+('Equipment List &amp; Usage'!$P75*'Weekly Summary'!AS$53)+('Equipment List &amp; Usage'!$Q75*('Weekly Summary'!AS$52+'Weekly Summary'!AS$53))+('Equipment List &amp; Usage'!$R75*'Weekly Summary'!AS$64)+('Equipment List &amp; Usage'!$S75*'Weekly Summary'!AS$65)+('Equipment List &amp; Usage'!$T75*('Weekly Summary'!AS$64+'Weekly Summary'!AS$65)),
('Equipment List &amp; Usage'!$O75*'Weekly Summary'!AS$52)+('Equipment List &amp; Usage'!$P75*'Weekly Summary'!AS$53)+('Equipment List &amp; Usage'!$Q75*('Weekly Summary'!AS$52+'Weekly Summary'!AS$53))+('Equipment List &amp; Usage'!$R75*'Weekly Summary'!AS$64)+('Equipment List &amp; Usage'!$S75*'Weekly Summary'!AS$65)+('Equipment List &amp; Usage'!$T75*('Weekly Summary'!AS$64+'Weekly Summary'!AS$65))-SUM($I73:AX73))),0)</f>
        <v>0</v>
      </c>
      <c r="AZ73" s="1381">
        <f ca="1">MAX(IF($F73="No",('Equipment List &amp; Usage'!$O75*'Weekly Summary'!AT$52)+('Equipment List &amp; Usage'!$P75*'Weekly Summary'!AT$53)+('Equipment List &amp; Usage'!$Q75*('Weekly Summary'!AT$52+'Weekly Summary'!AT$53))+('Equipment List &amp; Usage'!$R75*'Weekly Summary'!AT$64)+('Equipment List &amp; Usage'!$S75*'Weekly Summary'!AT$65)+('Equipment List &amp; Usage'!$T75*('Weekly Summary'!AT$64+'Weekly Summary'!AT$65)),
IF(AZ$10=0,('Equipment List &amp; Usage'!$O75*'Weekly Summary'!AT$52)+('Equipment List &amp; Usage'!$P75*'Weekly Summary'!AT$53)+('Equipment List &amp; Usage'!$Q75*('Weekly Summary'!AT$52+'Weekly Summary'!AT$53))+('Equipment List &amp; Usage'!$R75*'Weekly Summary'!AT$64)+('Equipment List &amp; Usage'!$S75*'Weekly Summary'!AT$65)+('Equipment List &amp; Usage'!$T75*('Weekly Summary'!AT$64+'Weekly Summary'!AT$65)),
('Equipment List &amp; Usage'!$O75*'Weekly Summary'!AT$52)+('Equipment List &amp; Usage'!$P75*'Weekly Summary'!AT$53)+('Equipment List &amp; Usage'!$Q75*('Weekly Summary'!AT$52+'Weekly Summary'!AT$53))+('Equipment List &amp; Usage'!$R75*'Weekly Summary'!AT$64)+('Equipment List &amp; Usage'!$S75*'Weekly Summary'!AT$65)+('Equipment List &amp; Usage'!$T75*('Weekly Summary'!AT$64+'Weekly Summary'!AT$65))-SUM($I73:AY73))),0)</f>
        <v>0</v>
      </c>
      <c r="BA73" s="1381">
        <f ca="1">MAX(IF($F73="No",('Equipment List &amp; Usage'!$O75*'Weekly Summary'!AU$52)+('Equipment List &amp; Usage'!$P75*'Weekly Summary'!AU$53)+('Equipment List &amp; Usage'!$Q75*('Weekly Summary'!AU$52+'Weekly Summary'!AU$53))+('Equipment List &amp; Usage'!$R75*'Weekly Summary'!AU$64)+('Equipment List &amp; Usage'!$S75*'Weekly Summary'!AU$65)+('Equipment List &amp; Usage'!$T75*('Weekly Summary'!AU$64+'Weekly Summary'!AU$65)),
IF(BA$10=0,('Equipment List &amp; Usage'!$O75*'Weekly Summary'!AU$52)+('Equipment List &amp; Usage'!$P75*'Weekly Summary'!AU$53)+('Equipment List &amp; Usage'!$Q75*('Weekly Summary'!AU$52+'Weekly Summary'!AU$53))+('Equipment List &amp; Usage'!$R75*'Weekly Summary'!AU$64)+('Equipment List &amp; Usage'!$S75*'Weekly Summary'!AU$65)+('Equipment List &amp; Usage'!$T75*('Weekly Summary'!AU$64+'Weekly Summary'!AU$65)),
('Equipment List &amp; Usage'!$O75*'Weekly Summary'!AU$52)+('Equipment List &amp; Usage'!$P75*'Weekly Summary'!AU$53)+('Equipment List &amp; Usage'!$Q75*('Weekly Summary'!AU$52+'Weekly Summary'!AU$53))+('Equipment List &amp; Usage'!$R75*'Weekly Summary'!AU$64)+('Equipment List &amp; Usage'!$S75*'Weekly Summary'!AU$65)+('Equipment List &amp; Usage'!$T75*('Weekly Summary'!AU$64+'Weekly Summary'!AU$65))-SUM($I73:AZ73))),0)</f>
        <v>0</v>
      </c>
      <c r="BB73" s="1381">
        <f ca="1">MAX(IF($F73="No",('Equipment List &amp; Usage'!$O75*'Weekly Summary'!AV$52)+('Equipment List &amp; Usage'!$P75*'Weekly Summary'!AV$53)+('Equipment List &amp; Usage'!$Q75*('Weekly Summary'!AV$52+'Weekly Summary'!AV$53))+('Equipment List &amp; Usage'!$R75*'Weekly Summary'!AV$64)+('Equipment List &amp; Usage'!$S75*'Weekly Summary'!AV$65)+('Equipment List &amp; Usage'!$T75*('Weekly Summary'!AV$64+'Weekly Summary'!AV$65)),
IF(BB$10=0,('Equipment List &amp; Usage'!$O75*'Weekly Summary'!AV$52)+('Equipment List &amp; Usage'!$P75*'Weekly Summary'!AV$53)+('Equipment List &amp; Usage'!$Q75*('Weekly Summary'!AV$52+'Weekly Summary'!AV$53))+('Equipment List &amp; Usage'!$R75*'Weekly Summary'!AV$64)+('Equipment List &amp; Usage'!$S75*'Weekly Summary'!AV$65)+('Equipment List &amp; Usage'!$T75*('Weekly Summary'!AV$64+'Weekly Summary'!AV$65)),
('Equipment List &amp; Usage'!$O75*'Weekly Summary'!AV$52)+('Equipment List &amp; Usage'!$P75*'Weekly Summary'!AV$53)+('Equipment List &amp; Usage'!$Q75*('Weekly Summary'!AV$52+'Weekly Summary'!AV$53))+('Equipment List &amp; Usage'!$R75*'Weekly Summary'!AV$64)+('Equipment List &amp; Usage'!$S75*'Weekly Summary'!AV$65)+('Equipment List &amp; Usage'!$T75*('Weekly Summary'!AV$64+'Weekly Summary'!AV$65))-SUM($I73:BA73))),0)</f>
        <v>0</v>
      </c>
      <c r="BC73" s="1381">
        <f ca="1">MAX(IF($F73="No",('Equipment List &amp; Usage'!$O75*'Weekly Summary'!AW$52)+('Equipment List &amp; Usage'!$P75*'Weekly Summary'!AW$53)+('Equipment List &amp; Usage'!$Q75*('Weekly Summary'!AW$52+'Weekly Summary'!AW$53))+('Equipment List &amp; Usage'!$R75*'Weekly Summary'!AW$64)+('Equipment List &amp; Usage'!$S75*'Weekly Summary'!AW$65)+('Equipment List &amp; Usage'!$T75*('Weekly Summary'!AW$64+'Weekly Summary'!AW$65)),
IF(BC$10=0,('Equipment List &amp; Usage'!$O75*'Weekly Summary'!AW$52)+('Equipment List &amp; Usage'!$P75*'Weekly Summary'!AW$53)+('Equipment List &amp; Usage'!$Q75*('Weekly Summary'!AW$52+'Weekly Summary'!AW$53))+('Equipment List &amp; Usage'!$R75*'Weekly Summary'!AW$64)+('Equipment List &amp; Usage'!$S75*'Weekly Summary'!AW$65)+('Equipment List &amp; Usage'!$T75*('Weekly Summary'!AW$64+'Weekly Summary'!AW$65)),
('Equipment List &amp; Usage'!$O75*'Weekly Summary'!AW$52)+('Equipment List &amp; Usage'!$P75*'Weekly Summary'!AW$53)+('Equipment List &amp; Usage'!$Q75*('Weekly Summary'!AW$52+'Weekly Summary'!AW$53))+('Equipment List &amp; Usage'!$R75*'Weekly Summary'!AW$64)+('Equipment List &amp; Usage'!$S75*'Weekly Summary'!AW$65)+('Equipment List &amp; Usage'!$T75*('Weekly Summary'!AW$64+'Weekly Summary'!AW$65))-SUM($I73:BB73))),0)</f>
        <v>0</v>
      </c>
      <c r="BD73" s="1381">
        <f ca="1">MAX(IF($F73="No",('Equipment List &amp; Usage'!$O75*'Weekly Summary'!AX$52)+('Equipment List &amp; Usage'!$P75*'Weekly Summary'!AX$53)+('Equipment List &amp; Usage'!$Q75*('Weekly Summary'!AX$52+'Weekly Summary'!AX$53))+('Equipment List &amp; Usage'!$R75*'Weekly Summary'!AX$64)+('Equipment List &amp; Usage'!$S75*'Weekly Summary'!AX$65)+('Equipment List &amp; Usage'!$T75*('Weekly Summary'!AX$64+'Weekly Summary'!AX$65)),
IF(BD$10=0,('Equipment List &amp; Usage'!$O75*'Weekly Summary'!AX$52)+('Equipment List &amp; Usage'!$P75*'Weekly Summary'!AX$53)+('Equipment List &amp; Usage'!$Q75*('Weekly Summary'!AX$52+'Weekly Summary'!AX$53))+('Equipment List &amp; Usage'!$R75*'Weekly Summary'!AX$64)+('Equipment List &amp; Usage'!$S75*'Weekly Summary'!AX$65)+('Equipment List &amp; Usage'!$T75*('Weekly Summary'!AX$64+'Weekly Summary'!AX$65)),
('Equipment List &amp; Usage'!$O75*'Weekly Summary'!AX$52)+('Equipment List &amp; Usage'!$P75*'Weekly Summary'!AX$53)+('Equipment List &amp; Usage'!$Q75*('Weekly Summary'!AX$52+'Weekly Summary'!AX$53))+('Equipment List &amp; Usage'!$R75*'Weekly Summary'!AX$64)+('Equipment List &amp; Usage'!$S75*'Weekly Summary'!AX$65)+('Equipment List &amp; Usage'!$T75*('Weekly Summary'!AX$64+'Weekly Summary'!AX$65))-SUM($I73:BC73))),0)</f>
        <v>0</v>
      </c>
      <c r="BE73" s="1381">
        <f ca="1">MAX(IF($F73="No",('Equipment List &amp; Usage'!$O75*'Weekly Summary'!AY$52)+('Equipment List &amp; Usage'!$P75*'Weekly Summary'!AY$53)+('Equipment List &amp; Usage'!$Q75*('Weekly Summary'!AY$52+'Weekly Summary'!AY$53))+('Equipment List &amp; Usage'!$R75*'Weekly Summary'!AY$64)+('Equipment List &amp; Usage'!$S75*'Weekly Summary'!AY$65)+('Equipment List &amp; Usage'!$T75*('Weekly Summary'!AY$64+'Weekly Summary'!AY$65)),
IF(BE$10=0,('Equipment List &amp; Usage'!$O75*'Weekly Summary'!AY$52)+('Equipment List &amp; Usage'!$P75*'Weekly Summary'!AY$53)+('Equipment List &amp; Usage'!$Q75*('Weekly Summary'!AY$52+'Weekly Summary'!AY$53))+('Equipment List &amp; Usage'!$R75*'Weekly Summary'!AY$64)+('Equipment List &amp; Usage'!$S75*'Weekly Summary'!AY$65)+('Equipment List &amp; Usage'!$T75*('Weekly Summary'!AY$64+'Weekly Summary'!AY$65)),
('Equipment List &amp; Usage'!$O75*'Weekly Summary'!AY$52)+('Equipment List &amp; Usage'!$P75*'Weekly Summary'!AY$53)+('Equipment List &amp; Usage'!$Q75*('Weekly Summary'!AY$52+'Weekly Summary'!AY$53))+('Equipment List &amp; Usage'!$R75*'Weekly Summary'!AY$64)+('Equipment List &amp; Usage'!$S75*'Weekly Summary'!AY$65)+('Equipment List &amp; Usage'!$T75*('Weekly Summary'!AY$64+'Weekly Summary'!AY$65))-SUM($I73:BD73))),0)</f>
        <v>0</v>
      </c>
      <c r="BF73" s="1381">
        <f ca="1">MAX(IF($F73="No",('Equipment List &amp; Usage'!$O75*'Weekly Summary'!AZ$52)+('Equipment List &amp; Usage'!$P75*'Weekly Summary'!AZ$53)+('Equipment List &amp; Usage'!$Q75*('Weekly Summary'!AZ$52+'Weekly Summary'!AZ$53))+('Equipment List &amp; Usage'!$R75*'Weekly Summary'!AZ$64)+('Equipment List &amp; Usage'!$S75*'Weekly Summary'!AZ$65)+('Equipment List &amp; Usage'!$T75*('Weekly Summary'!AZ$64+'Weekly Summary'!AZ$65)),
IF(BF$10=0,('Equipment List &amp; Usage'!$O75*'Weekly Summary'!AZ$52)+('Equipment List &amp; Usage'!$P75*'Weekly Summary'!AZ$53)+('Equipment List &amp; Usage'!$Q75*('Weekly Summary'!AZ$52+'Weekly Summary'!AZ$53))+('Equipment List &amp; Usage'!$R75*'Weekly Summary'!AZ$64)+('Equipment List &amp; Usage'!$S75*'Weekly Summary'!AZ$65)+('Equipment List &amp; Usage'!$T75*('Weekly Summary'!AZ$64+'Weekly Summary'!AZ$65)),
('Equipment List &amp; Usage'!$O75*'Weekly Summary'!AZ$52)+('Equipment List &amp; Usage'!$P75*'Weekly Summary'!AZ$53)+('Equipment List &amp; Usage'!$Q75*('Weekly Summary'!AZ$52+'Weekly Summary'!AZ$53))+('Equipment List &amp; Usage'!$R75*'Weekly Summary'!AZ$64)+('Equipment List &amp; Usage'!$S75*'Weekly Summary'!AZ$65)+('Equipment List &amp; Usage'!$T75*('Weekly Summary'!AZ$64+'Weekly Summary'!AZ$65))-SUM($I73:BE73))),0)</f>
        <v>0</v>
      </c>
      <c r="BG73" s="1381">
        <f ca="1">MAX(IF($F73="No",('Equipment List &amp; Usage'!$O75*'Weekly Summary'!BA$52)+('Equipment List &amp; Usage'!$P75*'Weekly Summary'!BA$53)+('Equipment List &amp; Usage'!$Q75*('Weekly Summary'!BA$52+'Weekly Summary'!BA$53))+('Equipment List &amp; Usage'!$R75*'Weekly Summary'!BA$64)+('Equipment List &amp; Usage'!$S75*'Weekly Summary'!BA$65)+('Equipment List &amp; Usage'!$T75*('Weekly Summary'!BA$64+'Weekly Summary'!BA$65)),
IF(BG$10=0,('Equipment List &amp; Usage'!$O75*'Weekly Summary'!BA$52)+('Equipment List &amp; Usage'!$P75*'Weekly Summary'!BA$53)+('Equipment List &amp; Usage'!$Q75*('Weekly Summary'!BA$52+'Weekly Summary'!BA$53))+('Equipment List &amp; Usage'!$R75*'Weekly Summary'!BA$64)+('Equipment List &amp; Usage'!$S75*'Weekly Summary'!BA$65)+('Equipment List &amp; Usage'!$T75*('Weekly Summary'!BA$64+'Weekly Summary'!BA$65)),
('Equipment List &amp; Usage'!$O75*'Weekly Summary'!BA$52)+('Equipment List &amp; Usage'!$P75*'Weekly Summary'!BA$53)+('Equipment List &amp; Usage'!$Q75*('Weekly Summary'!BA$52+'Weekly Summary'!BA$53))+('Equipment List &amp; Usage'!$R75*'Weekly Summary'!BA$64)+('Equipment List &amp; Usage'!$S75*'Weekly Summary'!BA$65)+('Equipment List &amp; Usage'!$T75*('Weekly Summary'!BA$64+'Weekly Summary'!BA$65))-SUM($I73:BF73))),0)</f>
        <v>0</v>
      </c>
      <c r="BH73" s="1381">
        <f ca="1">MAX(IF($F73="No",('Equipment List &amp; Usage'!$O75*'Weekly Summary'!BB$52)+('Equipment List &amp; Usage'!$P75*'Weekly Summary'!BB$53)+('Equipment List &amp; Usage'!$Q75*('Weekly Summary'!BB$52+'Weekly Summary'!BB$53))+('Equipment List &amp; Usage'!$R75*'Weekly Summary'!BB$64)+('Equipment List &amp; Usage'!$S75*'Weekly Summary'!BB$65)+('Equipment List &amp; Usage'!$T75*('Weekly Summary'!BB$64+'Weekly Summary'!BB$65)),
IF(BH$10=0,('Equipment List &amp; Usage'!$O75*'Weekly Summary'!BB$52)+('Equipment List &amp; Usage'!$P75*'Weekly Summary'!BB$53)+('Equipment List &amp; Usage'!$Q75*('Weekly Summary'!BB$52+'Weekly Summary'!BB$53))+('Equipment List &amp; Usage'!$R75*'Weekly Summary'!BB$64)+('Equipment List &amp; Usage'!$S75*'Weekly Summary'!BB$65)+('Equipment List &amp; Usage'!$T75*('Weekly Summary'!BB$64+'Weekly Summary'!BB$65)),
('Equipment List &amp; Usage'!$O75*'Weekly Summary'!BB$52)+('Equipment List &amp; Usage'!$P75*'Weekly Summary'!BB$53)+('Equipment List &amp; Usage'!$Q75*('Weekly Summary'!BB$52+'Weekly Summary'!BB$53))+('Equipment List &amp; Usage'!$R75*'Weekly Summary'!BB$64)+('Equipment List &amp; Usage'!$S75*'Weekly Summary'!BB$65)+('Equipment List &amp; Usage'!$T75*('Weekly Summary'!BB$64+'Weekly Summary'!BB$65))-SUM($I73:BG73))),0)</f>
        <v>0</v>
      </c>
      <c r="BI73" s="1381">
        <f ca="1">MAX(IF($F73="No",('Equipment List &amp; Usage'!$O75*'Weekly Summary'!BC$52)+('Equipment List &amp; Usage'!$P75*'Weekly Summary'!BC$53)+('Equipment List &amp; Usage'!$Q75*('Weekly Summary'!BC$52+'Weekly Summary'!BC$53))+('Equipment List &amp; Usage'!$R75*'Weekly Summary'!BC$64)+('Equipment List &amp; Usage'!$S75*'Weekly Summary'!BC$65)+('Equipment List &amp; Usage'!$T75*('Weekly Summary'!BC$64+'Weekly Summary'!BC$65)),
IF(BI$10=0,('Equipment List &amp; Usage'!$O75*'Weekly Summary'!BC$52)+('Equipment List &amp; Usage'!$P75*'Weekly Summary'!BC$53)+('Equipment List &amp; Usage'!$Q75*('Weekly Summary'!BC$52+'Weekly Summary'!BC$53))+('Equipment List &amp; Usage'!$R75*'Weekly Summary'!BC$64)+('Equipment List &amp; Usage'!$S75*'Weekly Summary'!BC$65)+('Equipment List &amp; Usage'!$T75*('Weekly Summary'!BC$64+'Weekly Summary'!BC$65)),
('Equipment List &amp; Usage'!$O75*'Weekly Summary'!BC$52)+('Equipment List &amp; Usage'!$P75*'Weekly Summary'!BC$53)+('Equipment List &amp; Usage'!$Q75*('Weekly Summary'!BC$52+'Weekly Summary'!BC$53))+('Equipment List &amp; Usage'!$R75*'Weekly Summary'!BC$64)+('Equipment List &amp; Usage'!$S75*'Weekly Summary'!BC$65)+('Equipment List &amp; Usage'!$T75*('Weekly Summary'!BC$64+'Weekly Summary'!BC$65))-SUM($I73:BH73))),0)</f>
        <v>0</v>
      </c>
      <c r="BJ73" s="1382">
        <f ca="1">MAX(IF($F73="No",('Equipment List &amp; Usage'!$O75*'Weekly Summary'!BD$52)+('Equipment List &amp; Usage'!$P75*'Weekly Summary'!BD$53)+('Equipment List &amp; Usage'!$Q75*('Weekly Summary'!BD$52+'Weekly Summary'!BD$53))+('Equipment List &amp; Usage'!$R75*'Weekly Summary'!BD$64)+('Equipment List &amp; Usage'!$S75*'Weekly Summary'!BD$65)+('Equipment List &amp; Usage'!$T75*('Weekly Summary'!BD$64+'Weekly Summary'!BD$65)),
IF(BJ$10=0,('Equipment List &amp; Usage'!$O75*'Weekly Summary'!BD$52)+('Equipment List &amp; Usage'!$P75*'Weekly Summary'!BD$53)+('Equipment List &amp; Usage'!$Q75*('Weekly Summary'!BD$52+'Weekly Summary'!BD$53))+('Equipment List &amp; Usage'!$R75*'Weekly Summary'!BD$64)+('Equipment List &amp; Usage'!$S75*'Weekly Summary'!BD$65)+('Equipment List &amp; Usage'!$T75*('Weekly Summary'!BD$64+'Weekly Summary'!BD$65)),
('Equipment List &amp; Usage'!$O75*'Weekly Summary'!BD$52)+('Equipment List &amp; Usage'!$P75*'Weekly Summary'!BD$53)+('Equipment List &amp; Usage'!$Q75*('Weekly Summary'!BD$52+'Weekly Summary'!BD$53))+('Equipment List &amp; Usage'!$R75*'Weekly Summary'!BD$64)+('Equipment List &amp; Usage'!$S75*'Weekly Summary'!BD$65)+('Equipment List &amp; Usage'!$T75*('Weekly Summary'!BD$64+'Weekly Summary'!BD$65))-SUM($I73:BI73))),0)</f>
        <v>0</v>
      </c>
    </row>
    <row r="74" spans="2:62" ht="43.5" collapsed="1" x14ac:dyDescent="0.35">
      <c r="B74" s="735" t="str">
        <f>'Equipment List &amp; Usage'!B76</f>
        <v>Case management - accessories &amp; consumables</v>
      </c>
      <c r="C74" s="526" t="str">
        <f>'Equipment List &amp; Usage'!C76</f>
        <v>Oxygen delivery devices</v>
      </c>
      <c r="D74" s="526" t="str">
        <f>'Equipment List &amp; Usage'!D76</f>
        <v>Mask, oxygen, with connection tube, reservoir bag and valve, high-concentration single use (adult)</v>
      </c>
      <c r="E74" s="526" t="str">
        <f>'Equipment List &amp; Usage'!E76</f>
        <v>Each</v>
      </c>
      <c r="F74" s="526" t="str">
        <f>'Equipment List &amp; Usage'!F76</f>
        <v>No</v>
      </c>
      <c r="G74" s="526" t="str">
        <f>'Equipment List &amp; Usage'!G76</f>
        <v>N/A</v>
      </c>
      <c r="H74" s="1369">
        <f t="shared" ca="1" si="3"/>
        <v>201.22929995034954</v>
      </c>
      <c r="J74" s="1344"/>
      <c r="K74" s="1381">
        <f ca="1">IF('User Dashboard'!$H$13=1,0,MAX(IF($F74="No",('Equipment List &amp; Usage'!$O76*'Weekly Summary'!E$52)+('Equipment List &amp; Usage'!$P76*'Weekly Summary'!E$53)+('Equipment List &amp; Usage'!$Q76*('Weekly Summary'!E$52+'Weekly Summary'!E$53))+('Equipment List &amp; Usage'!$R76*'Weekly Summary'!E$64)+('Equipment List &amp; Usage'!$S76*'Weekly Summary'!E$65)+('Equipment List &amp; Usage'!$T76*('Weekly Summary'!E$64+'Weekly Summary'!E$65)),
IF(K$10=0,('Equipment List &amp; Usage'!$O76*'Weekly Summary'!E$52)+('Equipment List &amp; Usage'!$P76*'Weekly Summary'!E$53)+('Equipment List &amp; Usage'!$Q76*('Weekly Summary'!E$52+'Weekly Summary'!E$53))+('Equipment List &amp; Usage'!$R76*'Weekly Summary'!E$64)+('Equipment List &amp; Usage'!$S76*'Weekly Summary'!E$65)+('Equipment List &amp; Usage'!$T76*('Weekly Summary'!E$64+'Weekly Summary'!E$65)),
('Equipment List &amp; Usage'!$O76*'Weekly Summary'!E$52)+('Equipment List &amp; Usage'!$P76*'Weekly Summary'!E$53)+('Equipment List &amp; Usage'!$Q76*('Weekly Summary'!E$52+'Weekly Summary'!E$53))+('Equipment List &amp; Usage'!$R76*'Weekly Summary'!E$64)+('Equipment List &amp; Usage'!$S76*'Weekly Summary'!E$65)+('Equipment List &amp; Usage'!$T76*('Weekly Summary'!E$64+'Weekly Summary'!E$65))-SUM($I74:I74))),0))</f>
        <v>0.29803874416808512</v>
      </c>
      <c r="L74" s="1381">
        <f ca="1">MAX(IF($F74="No",('Equipment List &amp; Usage'!$O76*'Weekly Summary'!F$52)+('Equipment List &amp; Usage'!$P76*'Weekly Summary'!F$53)+('Equipment List &amp; Usage'!$Q76*('Weekly Summary'!F$52+'Weekly Summary'!F$53))+('Equipment List &amp; Usage'!$R76*'Weekly Summary'!F$64)+('Equipment List &amp; Usage'!$S76*'Weekly Summary'!F$65)+('Equipment List &amp; Usage'!$T76*('Weekly Summary'!F$64+'Weekly Summary'!F$65)),
IF(L$10=0,('Equipment List &amp; Usage'!$O76*'Weekly Summary'!F$52)+('Equipment List &amp; Usage'!$P76*'Weekly Summary'!F$53)+('Equipment List &amp; Usage'!$Q76*('Weekly Summary'!F$52+'Weekly Summary'!F$53))+('Equipment List &amp; Usage'!$R76*'Weekly Summary'!F$64)+('Equipment List &amp; Usage'!$S76*'Weekly Summary'!F$65)+('Equipment List &amp; Usage'!$T76*('Weekly Summary'!F$64+'Weekly Summary'!F$65)),
('Equipment List &amp; Usage'!$O76*'Weekly Summary'!F$52)+('Equipment List &amp; Usage'!$P76*'Weekly Summary'!F$53)+('Equipment List &amp; Usage'!$Q76*('Weekly Summary'!F$52+'Weekly Summary'!F$53))+('Equipment List &amp; Usage'!$R76*'Weekly Summary'!F$64)+('Equipment List &amp; Usage'!$S76*'Weekly Summary'!F$65)+('Equipment List &amp; Usage'!$T76*('Weekly Summary'!F$64+'Weekly Summary'!F$65))-SUM($I74:K74))),0)</f>
        <v>1.0242125669658242</v>
      </c>
      <c r="M74" s="1381">
        <f ca="1">MAX(IF($F74="No",('Equipment List &amp; Usage'!$O76*'Weekly Summary'!G$52)+('Equipment List &amp; Usage'!$P76*'Weekly Summary'!G$53)+('Equipment List &amp; Usage'!$Q76*('Weekly Summary'!G$52+'Weekly Summary'!G$53))+('Equipment List &amp; Usage'!$R76*'Weekly Summary'!G$64)+('Equipment List &amp; Usage'!$S76*'Weekly Summary'!G$65)+('Equipment List &amp; Usage'!$T76*('Weekly Summary'!G$64+'Weekly Summary'!G$65)),
IF(M$10=0,('Equipment List &amp; Usage'!$O76*'Weekly Summary'!G$52)+('Equipment List &amp; Usage'!$P76*'Weekly Summary'!G$53)+('Equipment List &amp; Usage'!$Q76*('Weekly Summary'!G$52+'Weekly Summary'!G$53))+('Equipment List &amp; Usage'!$R76*'Weekly Summary'!G$64)+('Equipment List &amp; Usage'!$S76*'Weekly Summary'!G$65)+('Equipment List &amp; Usage'!$T76*('Weekly Summary'!G$64+'Weekly Summary'!G$65)),
('Equipment List &amp; Usage'!$O76*'Weekly Summary'!G$52)+('Equipment List &amp; Usage'!$P76*'Weekly Summary'!G$53)+('Equipment List &amp; Usage'!$Q76*('Weekly Summary'!G$52+'Weekly Summary'!G$53))+('Equipment List &amp; Usage'!$R76*'Weekly Summary'!G$64)+('Equipment List &amp; Usage'!$S76*'Weekly Summary'!G$65)+('Equipment List &amp; Usage'!$T76*('Weekly Summary'!G$64+'Weekly Summary'!G$65))-SUM($I74:L74))),0)</f>
        <v>3.5196807709843041</v>
      </c>
      <c r="N74" s="1381">
        <f ca="1">MAX(IF($F74="No",('Equipment List &amp; Usage'!$O76*'Weekly Summary'!H$52)+('Equipment List &amp; Usage'!$P76*'Weekly Summary'!H$53)+('Equipment List &amp; Usage'!$Q76*('Weekly Summary'!H$52+'Weekly Summary'!H$53))+('Equipment List &amp; Usage'!$R76*'Weekly Summary'!H$64)+('Equipment List &amp; Usage'!$S76*'Weekly Summary'!H$65)+('Equipment List &amp; Usage'!$T76*('Weekly Summary'!H$64+'Weekly Summary'!H$65)),
IF(N$10=0,('Equipment List &amp; Usage'!$O76*'Weekly Summary'!H$52)+('Equipment List &amp; Usage'!$P76*'Weekly Summary'!H$53)+('Equipment List &amp; Usage'!$Q76*('Weekly Summary'!H$52+'Weekly Summary'!H$53))+('Equipment List &amp; Usage'!$R76*'Weekly Summary'!H$64)+('Equipment List &amp; Usage'!$S76*'Weekly Summary'!H$65)+('Equipment List &amp; Usage'!$T76*('Weekly Summary'!H$64+'Weekly Summary'!H$65)),
('Equipment List &amp; Usage'!$O76*'Weekly Summary'!H$52)+('Equipment List &amp; Usage'!$P76*'Weekly Summary'!H$53)+('Equipment List &amp; Usage'!$Q76*('Weekly Summary'!H$52+'Weekly Summary'!H$53))+('Equipment List &amp; Usage'!$R76*'Weekly Summary'!H$64)+('Equipment List &amp; Usage'!$S76*'Weekly Summary'!H$65)+('Equipment List &amp; Usage'!$T76*('Weekly Summary'!H$64+'Weekly Summary'!H$65))-SUM($I74:M74))),0)</f>
        <v>12.094892611199443</v>
      </c>
      <c r="O74" s="1381">
        <f ca="1">MAX(IF($F74="No",('Equipment List &amp; Usage'!$O76*'Weekly Summary'!I$52)+('Equipment List &amp; Usage'!$P76*'Weekly Summary'!I$53)+('Equipment List &amp; Usage'!$Q76*('Weekly Summary'!I$52+'Weekly Summary'!I$53))+('Equipment List &amp; Usage'!$R76*'Weekly Summary'!I$64)+('Equipment List &amp; Usage'!$S76*'Weekly Summary'!I$65)+('Equipment List &amp; Usage'!$T76*('Weekly Summary'!I$64+'Weekly Summary'!I$65)),
IF(O$10=0,('Equipment List &amp; Usage'!$O76*'Weekly Summary'!I$52)+('Equipment List &amp; Usage'!$P76*'Weekly Summary'!I$53)+('Equipment List &amp; Usage'!$Q76*('Weekly Summary'!I$52+'Weekly Summary'!I$53))+('Equipment List &amp; Usage'!$R76*'Weekly Summary'!I$64)+('Equipment List &amp; Usage'!$S76*'Weekly Summary'!I$65)+('Equipment List &amp; Usage'!$T76*('Weekly Summary'!I$64+'Weekly Summary'!I$65)),
('Equipment List &amp; Usage'!$O76*'Weekly Summary'!I$52)+('Equipment List &amp; Usage'!$P76*'Weekly Summary'!I$53)+('Equipment List &amp; Usage'!$Q76*('Weekly Summary'!I$52+'Weekly Summary'!I$53))+('Equipment List &amp; Usage'!$R76*'Weekly Summary'!I$64)+('Equipment List &amp; Usage'!$S76*'Weekly Summary'!I$65)+('Equipment List &amp; Usage'!$T76*('Weekly Summary'!I$64+'Weekly Summary'!I$65))-SUM($I74:N74))),0)</f>
        <v>41.557666989694823</v>
      </c>
      <c r="P74" s="1381">
        <f ca="1">MAX(IF($F74="No",('Equipment List &amp; Usage'!$O76*'Weekly Summary'!J$52)+('Equipment List &amp; Usage'!$P76*'Weekly Summary'!J$53)+('Equipment List &amp; Usage'!$Q76*('Weekly Summary'!J$52+'Weekly Summary'!J$53))+('Equipment List &amp; Usage'!$R76*'Weekly Summary'!J$64)+('Equipment List &amp; Usage'!$S76*'Weekly Summary'!J$65)+('Equipment List &amp; Usage'!$T76*('Weekly Summary'!J$64+'Weekly Summary'!J$65)),
IF(P$10=0,('Equipment List &amp; Usage'!$O76*'Weekly Summary'!J$52)+('Equipment List &amp; Usage'!$P76*'Weekly Summary'!J$53)+('Equipment List &amp; Usage'!$Q76*('Weekly Summary'!J$52+'Weekly Summary'!J$53))+('Equipment List &amp; Usage'!$R76*'Weekly Summary'!J$64)+('Equipment List &amp; Usage'!$S76*'Weekly Summary'!J$65)+('Equipment List &amp; Usage'!$T76*('Weekly Summary'!J$64+'Weekly Summary'!J$65)),
('Equipment List &amp; Usage'!$O76*'Weekly Summary'!J$52)+('Equipment List &amp; Usage'!$P76*'Weekly Summary'!J$53)+('Equipment List &amp; Usage'!$Q76*('Weekly Summary'!J$52+'Weekly Summary'!J$53))+('Equipment List &amp; Usage'!$R76*'Weekly Summary'!J$64)+('Equipment List &amp; Usage'!$S76*'Weekly Summary'!J$65)+('Equipment List &amp; Usage'!$T76*('Weekly Summary'!J$64+'Weekly Summary'!J$65))-SUM($I74:O74))),0)</f>
        <v>142.73480826733706</v>
      </c>
      <c r="Q74" s="1381">
        <f ca="1">MAX(IF($F74="No",('Equipment List &amp; Usage'!$O76*'Weekly Summary'!K$52)+('Equipment List &amp; Usage'!$P76*'Weekly Summary'!K$53)+('Equipment List &amp; Usage'!$Q76*('Weekly Summary'!K$52+'Weekly Summary'!K$53))+('Equipment List &amp; Usage'!$R76*'Weekly Summary'!K$64)+('Equipment List &amp; Usage'!$S76*'Weekly Summary'!K$65)+('Equipment List &amp; Usage'!$T76*('Weekly Summary'!K$64+'Weekly Summary'!K$65)),
IF(Q$10=0,('Equipment List &amp; Usage'!$O76*'Weekly Summary'!K$52)+('Equipment List &amp; Usage'!$P76*'Weekly Summary'!K$53)+('Equipment List &amp; Usage'!$Q76*('Weekly Summary'!K$52+'Weekly Summary'!K$53))+('Equipment List &amp; Usage'!$R76*'Weekly Summary'!K$64)+('Equipment List &amp; Usage'!$S76*'Weekly Summary'!K$65)+('Equipment List &amp; Usage'!$T76*('Weekly Summary'!K$64+'Weekly Summary'!K$65)),
('Equipment List &amp; Usage'!$O76*'Weekly Summary'!K$52)+('Equipment List &amp; Usage'!$P76*'Weekly Summary'!K$53)+('Equipment List &amp; Usage'!$Q76*('Weekly Summary'!K$52+'Weekly Summary'!K$53))+('Equipment List &amp; Usage'!$R76*'Weekly Summary'!K$64)+('Equipment List &amp; Usage'!$S76*'Weekly Summary'!K$65)+('Equipment List &amp; Usage'!$T76*('Weekly Summary'!K$64+'Weekly Summary'!K$65))-SUM($I74:P74))),0)</f>
        <v>0</v>
      </c>
      <c r="R74" s="1381">
        <f ca="1">MAX(IF($F74="No",('Equipment List &amp; Usage'!$O76*'Weekly Summary'!L$52)+('Equipment List &amp; Usage'!$P76*'Weekly Summary'!L$53)+('Equipment List &amp; Usage'!$Q76*('Weekly Summary'!L$52+'Weekly Summary'!L$53))+('Equipment List &amp; Usage'!$R76*'Weekly Summary'!L$64)+('Equipment List &amp; Usage'!$S76*'Weekly Summary'!L$65)+('Equipment List &amp; Usage'!$T76*('Weekly Summary'!L$64+'Weekly Summary'!L$65)),
IF(R$10=0,('Equipment List &amp; Usage'!$O76*'Weekly Summary'!L$52)+('Equipment List &amp; Usage'!$P76*'Weekly Summary'!L$53)+('Equipment List &amp; Usage'!$Q76*('Weekly Summary'!L$52+'Weekly Summary'!L$53))+('Equipment List &amp; Usage'!$R76*'Weekly Summary'!L$64)+('Equipment List &amp; Usage'!$S76*'Weekly Summary'!L$65)+('Equipment List &amp; Usage'!$T76*('Weekly Summary'!L$64+'Weekly Summary'!L$65)),
('Equipment List &amp; Usage'!$O76*'Weekly Summary'!L$52)+('Equipment List &amp; Usage'!$P76*'Weekly Summary'!L$53)+('Equipment List &amp; Usage'!$Q76*('Weekly Summary'!L$52+'Weekly Summary'!L$53))+('Equipment List &amp; Usage'!$R76*'Weekly Summary'!L$64)+('Equipment List &amp; Usage'!$S76*'Weekly Summary'!L$65)+('Equipment List &amp; Usage'!$T76*('Weekly Summary'!L$64+'Weekly Summary'!L$65))-SUM($I74:Q74))),0)</f>
        <v>0</v>
      </c>
      <c r="S74" s="1381">
        <f ca="1">MAX(IF($F74="No",('Equipment List &amp; Usage'!$O76*'Weekly Summary'!M$52)+('Equipment List &amp; Usage'!$P76*'Weekly Summary'!M$53)+('Equipment List &amp; Usage'!$Q76*('Weekly Summary'!M$52+'Weekly Summary'!M$53))+('Equipment List &amp; Usage'!$R76*'Weekly Summary'!M$64)+('Equipment List &amp; Usage'!$S76*'Weekly Summary'!M$65)+('Equipment List &amp; Usage'!$T76*('Weekly Summary'!M$64+'Weekly Summary'!M$65)),
IF(S$10=0,('Equipment List &amp; Usage'!$O76*'Weekly Summary'!M$52)+('Equipment List &amp; Usage'!$P76*'Weekly Summary'!M$53)+('Equipment List &amp; Usage'!$Q76*('Weekly Summary'!M$52+'Weekly Summary'!M$53))+('Equipment List &amp; Usage'!$R76*'Weekly Summary'!M$64)+('Equipment List &amp; Usage'!$S76*'Weekly Summary'!M$65)+('Equipment List &amp; Usage'!$T76*('Weekly Summary'!M$64+'Weekly Summary'!M$65)),
('Equipment List &amp; Usage'!$O76*'Weekly Summary'!M$52)+('Equipment List &amp; Usage'!$P76*'Weekly Summary'!M$53)+('Equipment List &amp; Usage'!$Q76*('Weekly Summary'!M$52+'Weekly Summary'!M$53))+('Equipment List &amp; Usage'!$R76*'Weekly Summary'!M$64)+('Equipment List &amp; Usage'!$S76*'Weekly Summary'!M$65)+('Equipment List &amp; Usage'!$T76*('Weekly Summary'!M$64+'Weekly Summary'!M$65))-SUM($I74:R74))),0)</f>
        <v>0</v>
      </c>
      <c r="T74" s="1381">
        <f ca="1">MAX(IF($F74="No",('Equipment List &amp; Usage'!$O76*'Weekly Summary'!N$52)+('Equipment List &amp; Usage'!$P76*'Weekly Summary'!N$53)+('Equipment List &amp; Usage'!$Q76*('Weekly Summary'!N$52+'Weekly Summary'!N$53))+('Equipment List &amp; Usage'!$R76*'Weekly Summary'!N$64)+('Equipment List &amp; Usage'!$S76*'Weekly Summary'!N$65)+('Equipment List &amp; Usage'!$T76*('Weekly Summary'!N$64+'Weekly Summary'!N$65)),
IF(T$10=0,('Equipment List &amp; Usage'!$O76*'Weekly Summary'!N$52)+('Equipment List &amp; Usage'!$P76*'Weekly Summary'!N$53)+('Equipment List &amp; Usage'!$Q76*('Weekly Summary'!N$52+'Weekly Summary'!N$53))+('Equipment List &amp; Usage'!$R76*'Weekly Summary'!N$64)+('Equipment List &amp; Usage'!$S76*'Weekly Summary'!N$65)+('Equipment List &amp; Usage'!$T76*('Weekly Summary'!N$64+'Weekly Summary'!N$65)),
('Equipment List &amp; Usage'!$O76*'Weekly Summary'!N$52)+('Equipment List &amp; Usage'!$P76*'Weekly Summary'!N$53)+('Equipment List &amp; Usage'!$Q76*('Weekly Summary'!N$52+'Weekly Summary'!N$53))+('Equipment List &amp; Usage'!$R76*'Weekly Summary'!N$64)+('Equipment List &amp; Usage'!$S76*'Weekly Summary'!N$65)+('Equipment List &amp; Usage'!$T76*('Weekly Summary'!N$64+'Weekly Summary'!N$65))-SUM($I74:S74))),0)</f>
        <v>0</v>
      </c>
      <c r="U74" s="1381">
        <f ca="1">MAX(IF($F74="No",('Equipment List &amp; Usage'!$O76*'Weekly Summary'!O$52)+('Equipment List &amp; Usage'!$P76*'Weekly Summary'!O$53)+('Equipment List &amp; Usage'!$Q76*('Weekly Summary'!O$52+'Weekly Summary'!O$53))+('Equipment List &amp; Usage'!$R76*'Weekly Summary'!O$64)+('Equipment List &amp; Usage'!$S76*'Weekly Summary'!O$65)+('Equipment List &amp; Usage'!$T76*('Weekly Summary'!O$64+'Weekly Summary'!O$65)),
IF(U$10=0,('Equipment List &amp; Usage'!$O76*'Weekly Summary'!O$52)+('Equipment List &amp; Usage'!$P76*'Weekly Summary'!O$53)+('Equipment List &amp; Usage'!$Q76*('Weekly Summary'!O$52+'Weekly Summary'!O$53))+('Equipment List &amp; Usage'!$R76*'Weekly Summary'!O$64)+('Equipment List &amp; Usage'!$S76*'Weekly Summary'!O$65)+('Equipment List &amp; Usage'!$T76*('Weekly Summary'!O$64+'Weekly Summary'!O$65)),
('Equipment List &amp; Usage'!$O76*'Weekly Summary'!O$52)+('Equipment List &amp; Usage'!$P76*'Weekly Summary'!O$53)+('Equipment List &amp; Usage'!$Q76*('Weekly Summary'!O$52+'Weekly Summary'!O$53))+('Equipment List &amp; Usage'!$R76*'Weekly Summary'!O$64)+('Equipment List &amp; Usage'!$S76*'Weekly Summary'!O$65)+('Equipment List &amp; Usage'!$T76*('Weekly Summary'!O$64+'Weekly Summary'!O$65))-SUM($I74:T74))),0)</f>
        <v>0</v>
      </c>
      <c r="V74" s="1381">
        <f ca="1">MAX(IF($F74="No",('Equipment List &amp; Usage'!$O76*'Weekly Summary'!P$52)+('Equipment List &amp; Usage'!$P76*'Weekly Summary'!P$53)+('Equipment List &amp; Usage'!$Q76*('Weekly Summary'!P$52+'Weekly Summary'!P$53))+('Equipment List &amp; Usage'!$R76*'Weekly Summary'!P$64)+('Equipment List &amp; Usage'!$S76*'Weekly Summary'!P$65)+('Equipment List &amp; Usage'!$T76*('Weekly Summary'!P$64+'Weekly Summary'!P$65)),
IF(V$10=0,('Equipment List &amp; Usage'!$O76*'Weekly Summary'!P$52)+('Equipment List &amp; Usage'!$P76*'Weekly Summary'!P$53)+('Equipment List &amp; Usage'!$Q76*('Weekly Summary'!P$52+'Weekly Summary'!P$53))+('Equipment List &amp; Usage'!$R76*'Weekly Summary'!P$64)+('Equipment List &amp; Usage'!$S76*'Weekly Summary'!P$65)+('Equipment List &amp; Usage'!$T76*('Weekly Summary'!P$64+'Weekly Summary'!P$65)),
('Equipment List &amp; Usage'!$O76*'Weekly Summary'!P$52)+('Equipment List &amp; Usage'!$P76*'Weekly Summary'!P$53)+('Equipment List &amp; Usage'!$Q76*('Weekly Summary'!P$52+'Weekly Summary'!P$53))+('Equipment List &amp; Usage'!$R76*'Weekly Summary'!P$64)+('Equipment List &amp; Usage'!$S76*'Weekly Summary'!P$65)+('Equipment List &amp; Usage'!$T76*('Weekly Summary'!P$64+'Weekly Summary'!P$65))-SUM($I74:U74))),0)</f>
        <v>0</v>
      </c>
      <c r="W74" s="1381">
        <f ca="1">MAX(IF($F74="No",('Equipment List &amp; Usage'!$O76*'Weekly Summary'!Q$52)+('Equipment List &amp; Usage'!$P76*'Weekly Summary'!Q$53)+('Equipment List &amp; Usage'!$Q76*('Weekly Summary'!Q$52+'Weekly Summary'!Q$53))+('Equipment List &amp; Usage'!$R76*'Weekly Summary'!Q$64)+('Equipment List &amp; Usage'!$S76*'Weekly Summary'!Q$65)+('Equipment List &amp; Usage'!$T76*('Weekly Summary'!Q$64+'Weekly Summary'!Q$65)),
IF(W$10=0,('Equipment List &amp; Usage'!$O76*'Weekly Summary'!Q$52)+('Equipment List &amp; Usage'!$P76*'Weekly Summary'!Q$53)+('Equipment List &amp; Usage'!$Q76*('Weekly Summary'!Q$52+'Weekly Summary'!Q$53))+('Equipment List &amp; Usage'!$R76*'Weekly Summary'!Q$64)+('Equipment List &amp; Usage'!$S76*'Weekly Summary'!Q$65)+('Equipment List &amp; Usage'!$T76*('Weekly Summary'!Q$64+'Weekly Summary'!Q$65)),
('Equipment List &amp; Usage'!$O76*'Weekly Summary'!Q$52)+('Equipment List &amp; Usage'!$P76*'Weekly Summary'!Q$53)+('Equipment List &amp; Usage'!$Q76*('Weekly Summary'!Q$52+'Weekly Summary'!Q$53))+('Equipment List &amp; Usage'!$R76*'Weekly Summary'!Q$64)+('Equipment List &amp; Usage'!$S76*'Weekly Summary'!Q$65)+('Equipment List &amp; Usage'!$T76*('Weekly Summary'!Q$64+'Weekly Summary'!Q$65))-SUM($I74:V74))),0)</f>
        <v>0</v>
      </c>
      <c r="X74" s="1381">
        <f ca="1">MAX(IF($F74="No",('Equipment List &amp; Usage'!$O76*'Weekly Summary'!R$52)+('Equipment List &amp; Usage'!$P76*'Weekly Summary'!R$53)+('Equipment List &amp; Usage'!$Q76*('Weekly Summary'!R$52+'Weekly Summary'!R$53))+('Equipment List &amp; Usage'!$R76*'Weekly Summary'!R$64)+('Equipment List &amp; Usage'!$S76*'Weekly Summary'!R$65)+('Equipment List &amp; Usage'!$T76*('Weekly Summary'!R$64+'Weekly Summary'!R$65)),
IF(X$10=0,('Equipment List &amp; Usage'!$O76*'Weekly Summary'!R$52)+('Equipment List &amp; Usage'!$P76*'Weekly Summary'!R$53)+('Equipment List &amp; Usage'!$Q76*('Weekly Summary'!R$52+'Weekly Summary'!R$53))+('Equipment List &amp; Usage'!$R76*'Weekly Summary'!R$64)+('Equipment List &amp; Usage'!$S76*'Weekly Summary'!R$65)+('Equipment List &amp; Usage'!$T76*('Weekly Summary'!R$64+'Weekly Summary'!R$65)),
('Equipment List &amp; Usage'!$O76*'Weekly Summary'!R$52)+('Equipment List &amp; Usage'!$P76*'Weekly Summary'!R$53)+('Equipment List &amp; Usage'!$Q76*('Weekly Summary'!R$52+'Weekly Summary'!R$53))+('Equipment List &amp; Usage'!$R76*'Weekly Summary'!R$64)+('Equipment List &amp; Usage'!$S76*'Weekly Summary'!R$65)+('Equipment List &amp; Usage'!$T76*('Weekly Summary'!R$64+'Weekly Summary'!R$65))-SUM($I74:W74))),0)</f>
        <v>0</v>
      </c>
      <c r="Y74" s="1381">
        <f ca="1">MAX(IF($F74="No",('Equipment List &amp; Usage'!$O76*'Weekly Summary'!S$52)+('Equipment List &amp; Usage'!$P76*'Weekly Summary'!S$53)+('Equipment List &amp; Usage'!$Q76*('Weekly Summary'!S$52+'Weekly Summary'!S$53))+('Equipment List &amp; Usage'!$R76*'Weekly Summary'!S$64)+('Equipment List &amp; Usage'!$S76*'Weekly Summary'!S$65)+('Equipment List &amp; Usage'!$T76*('Weekly Summary'!S$64+'Weekly Summary'!S$65)),
IF(Y$10=0,('Equipment List &amp; Usage'!$O76*'Weekly Summary'!S$52)+('Equipment List &amp; Usage'!$P76*'Weekly Summary'!S$53)+('Equipment List &amp; Usage'!$Q76*('Weekly Summary'!S$52+'Weekly Summary'!S$53))+('Equipment List &amp; Usage'!$R76*'Weekly Summary'!S$64)+('Equipment List &amp; Usage'!$S76*'Weekly Summary'!S$65)+('Equipment List &amp; Usage'!$T76*('Weekly Summary'!S$64+'Weekly Summary'!S$65)),
('Equipment List &amp; Usage'!$O76*'Weekly Summary'!S$52)+('Equipment List &amp; Usage'!$P76*'Weekly Summary'!S$53)+('Equipment List &amp; Usage'!$Q76*('Weekly Summary'!S$52+'Weekly Summary'!S$53))+('Equipment List &amp; Usage'!$R76*'Weekly Summary'!S$64)+('Equipment List &amp; Usage'!$S76*'Weekly Summary'!S$65)+('Equipment List &amp; Usage'!$T76*('Weekly Summary'!S$64+'Weekly Summary'!S$65))-SUM($I74:X74))),0)</f>
        <v>0</v>
      </c>
      <c r="Z74" s="1381">
        <f ca="1">MAX(IF($F74="No",('Equipment List &amp; Usage'!$O76*'Weekly Summary'!T$52)+('Equipment List &amp; Usage'!$P76*'Weekly Summary'!T$53)+('Equipment List &amp; Usage'!$Q76*('Weekly Summary'!T$52+'Weekly Summary'!T$53))+('Equipment List &amp; Usage'!$R76*'Weekly Summary'!T$64)+('Equipment List &amp; Usage'!$S76*'Weekly Summary'!T$65)+('Equipment List &amp; Usage'!$T76*('Weekly Summary'!T$64+'Weekly Summary'!T$65)),
IF(Z$10=0,('Equipment List &amp; Usage'!$O76*'Weekly Summary'!T$52)+('Equipment List &amp; Usage'!$P76*'Weekly Summary'!T$53)+('Equipment List &amp; Usage'!$Q76*('Weekly Summary'!T$52+'Weekly Summary'!T$53))+('Equipment List &amp; Usage'!$R76*'Weekly Summary'!T$64)+('Equipment List &amp; Usage'!$S76*'Weekly Summary'!T$65)+('Equipment List &amp; Usage'!$T76*('Weekly Summary'!T$64+'Weekly Summary'!T$65)),
('Equipment List &amp; Usage'!$O76*'Weekly Summary'!T$52)+('Equipment List &amp; Usage'!$P76*'Weekly Summary'!T$53)+('Equipment List &amp; Usage'!$Q76*('Weekly Summary'!T$52+'Weekly Summary'!T$53))+('Equipment List &amp; Usage'!$R76*'Weekly Summary'!T$64)+('Equipment List &amp; Usage'!$S76*'Weekly Summary'!T$65)+('Equipment List &amp; Usage'!$T76*('Weekly Summary'!T$64+'Weekly Summary'!T$65))-SUM($I74:Y74))),0)</f>
        <v>0</v>
      </c>
      <c r="AA74" s="1381">
        <f ca="1">MAX(IF($F74="No",('Equipment List &amp; Usage'!$O76*'Weekly Summary'!U$52)+('Equipment List &amp; Usage'!$P76*'Weekly Summary'!U$53)+('Equipment List &amp; Usage'!$Q76*('Weekly Summary'!U$52+'Weekly Summary'!U$53))+('Equipment List &amp; Usage'!$R76*'Weekly Summary'!U$64)+('Equipment List &amp; Usage'!$S76*'Weekly Summary'!U$65)+('Equipment List &amp; Usage'!$T76*('Weekly Summary'!U$64+'Weekly Summary'!U$65)),
IF(AA$10=0,('Equipment List &amp; Usage'!$O76*'Weekly Summary'!U$52)+('Equipment List &amp; Usage'!$P76*'Weekly Summary'!U$53)+('Equipment List &amp; Usage'!$Q76*('Weekly Summary'!U$52+'Weekly Summary'!U$53))+('Equipment List &amp; Usage'!$R76*'Weekly Summary'!U$64)+('Equipment List &amp; Usage'!$S76*'Weekly Summary'!U$65)+('Equipment List &amp; Usage'!$T76*('Weekly Summary'!U$64+'Weekly Summary'!U$65)),
('Equipment List &amp; Usage'!$O76*'Weekly Summary'!U$52)+('Equipment List &amp; Usage'!$P76*'Weekly Summary'!U$53)+('Equipment List &amp; Usage'!$Q76*('Weekly Summary'!U$52+'Weekly Summary'!U$53))+('Equipment List &amp; Usage'!$R76*'Weekly Summary'!U$64)+('Equipment List &amp; Usage'!$S76*'Weekly Summary'!U$65)+('Equipment List &amp; Usage'!$T76*('Weekly Summary'!U$64+'Weekly Summary'!U$65))-SUM($I74:Z74))),0)</f>
        <v>0</v>
      </c>
      <c r="AB74" s="1381">
        <f ca="1">MAX(IF($F74="No",('Equipment List &amp; Usage'!$O76*'Weekly Summary'!V$52)+('Equipment List &amp; Usage'!$P76*'Weekly Summary'!V$53)+('Equipment List &amp; Usage'!$Q76*('Weekly Summary'!V$52+'Weekly Summary'!V$53))+('Equipment List &amp; Usage'!$R76*'Weekly Summary'!V$64)+('Equipment List &amp; Usage'!$S76*'Weekly Summary'!V$65)+('Equipment List &amp; Usage'!$T76*('Weekly Summary'!V$64+'Weekly Summary'!V$65)),
IF(AB$10=0,('Equipment List &amp; Usage'!$O76*'Weekly Summary'!V$52)+('Equipment List &amp; Usage'!$P76*'Weekly Summary'!V$53)+('Equipment List &amp; Usage'!$Q76*('Weekly Summary'!V$52+'Weekly Summary'!V$53))+('Equipment List &amp; Usage'!$R76*'Weekly Summary'!V$64)+('Equipment List &amp; Usage'!$S76*'Weekly Summary'!V$65)+('Equipment List &amp; Usage'!$T76*('Weekly Summary'!V$64+'Weekly Summary'!V$65)),
('Equipment List &amp; Usage'!$O76*'Weekly Summary'!V$52)+('Equipment List &amp; Usage'!$P76*'Weekly Summary'!V$53)+('Equipment List &amp; Usage'!$Q76*('Weekly Summary'!V$52+'Weekly Summary'!V$53))+('Equipment List &amp; Usage'!$R76*'Weekly Summary'!V$64)+('Equipment List &amp; Usage'!$S76*'Weekly Summary'!V$65)+('Equipment List &amp; Usage'!$T76*('Weekly Summary'!V$64+'Weekly Summary'!V$65))-SUM($I74:AA74))),0)</f>
        <v>0</v>
      </c>
      <c r="AC74" s="1381">
        <f ca="1">MAX(IF($F74="No",('Equipment List &amp; Usage'!$O76*'Weekly Summary'!W$52)+('Equipment List &amp; Usage'!$P76*'Weekly Summary'!W$53)+('Equipment List &amp; Usage'!$Q76*('Weekly Summary'!W$52+'Weekly Summary'!W$53))+('Equipment List &amp; Usage'!$R76*'Weekly Summary'!W$64)+('Equipment List &amp; Usage'!$S76*'Weekly Summary'!W$65)+('Equipment List &amp; Usage'!$T76*('Weekly Summary'!W$64+'Weekly Summary'!W$65)),
IF(AC$10=0,('Equipment List &amp; Usage'!$O76*'Weekly Summary'!W$52)+('Equipment List &amp; Usage'!$P76*'Weekly Summary'!W$53)+('Equipment List &amp; Usage'!$Q76*('Weekly Summary'!W$52+'Weekly Summary'!W$53))+('Equipment List &amp; Usage'!$R76*'Weekly Summary'!W$64)+('Equipment List &amp; Usage'!$S76*'Weekly Summary'!W$65)+('Equipment List &amp; Usage'!$T76*('Weekly Summary'!W$64+'Weekly Summary'!W$65)),
('Equipment List &amp; Usage'!$O76*'Weekly Summary'!W$52)+('Equipment List &amp; Usage'!$P76*'Weekly Summary'!W$53)+('Equipment List &amp; Usage'!$Q76*('Weekly Summary'!W$52+'Weekly Summary'!W$53))+('Equipment List &amp; Usage'!$R76*'Weekly Summary'!W$64)+('Equipment List &amp; Usage'!$S76*'Weekly Summary'!W$65)+('Equipment List &amp; Usage'!$T76*('Weekly Summary'!W$64+'Weekly Summary'!W$65))-SUM($I74:AB74))),0)</f>
        <v>0</v>
      </c>
      <c r="AD74" s="1381">
        <f ca="1">MAX(IF($F74="No",('Equipment List &amp; Usage'!$O76*'Weekly Summary'!X$52)+('Equipment List &amp; Usage'!$P76*'Weekly Summary'!X$53)+('Equipment List &amp; Usage'!$Q76*('Weekly Summary'!X$52+'Weekly Summary'!X$53))+('Equipment List &amp; Usage'!$R76*'Weekly Summary'!X$64)+('Equipment List &amp; Usage'!$S76*'Weekly Summary'!X$65)+('Equipment List &amp; Usage'!$T76*('Weekly Summary'!X$64+'Weekly Summary'!X$65)),
IF(AD$10=0,('Equipment List &amp; Usage'!$O76*'Weekly Summary'!X$52)+('Equipment List &amp; Usage'!$P76*'Weekly Summary'!X$53)+('Equipment List &amp; Usage'!$Q76*('Weekly Summary'!X$52+'Weekly Summary'!X$53))+('Equipment List &amp; Usage'!$R76*'Weekly Summary'!X$64)+('Equipment List &amp; Usage'!$S76*'Weekly Summary'!X$65)+('Equipment List &amp; Usage'!$T76*('Weekly Summary'!X$64+'Weekly Summary'!X$65)),
('Equipment List &amp; Usage'!$O76*'Weekly Summary'!X$52)+('Equipment List &amp; Usage'!$P76*'Weekly Summary'!X$53)+('Equipment List &amp; Usage'!$Q76*('Weekly Summary'!X$52+'Weekly Summary'!X$53))+('Equipment List &amp; Usage'!$R76*'Weekly Summary'!X$64)+('Equipment List &amp; Usage'!$S76*'Weekly Summary'!X$65)+('Equipment List &amp; Usage'!$T76*('Weekly Summary'!X$64+'Weekly Summary'!X$65))-SUM($I74:AC74))),0)</f>
        <v>0</v>
      </c>
      <c r="AE74" s="1381">
        <f ca="1">MAX(IF($F74="No",('Equipment List &amp; Usage'!$O76*'Weekly Summary'!Y$52)+('Equipment List &amp; Usage'!$P76*'Weekly Summary'!Y$53)+('Equipment List &amp; Usage'!$Q76*('Weekly Summary'!Y$52+'Weekly Summary'!Y$53))+('Equipment List &amp; Usage'!$R76*'Weekly Summary'!Y$64)+('Equipment List &amp; Usage'!$S76*'Weekly Summary'!Y$65)+('Equipment List &amp; Usage'!$T76*('Weekly Summary'!Y$64+'Weekly Summary'!Y$65)),
IF(AE$10=0,('Equipment List &amp; Usage'!$O76*'Weekly Summary'!Y$52)+('Equipment List &amp; Usage'!$P76*'Weekly Summary'!Y$53)+('Equipment List &amp; Usage'!$Q76*('Weekly Summary'!Y$52+'Weekly Summary'!Y$53))+('Equipment List &amp; Usage'!$R76*'Weekly Summary'!Y$64)+('Equipment List &amp; Usage'!$S76*'Weekly Summary'!Y$65)+('Equipment List &amp; Usage'!$T76*('Weekly Summary'!Y$64+'Weekly Summary'!Y$65)),
('Equipment List &amp; Usage'!$O76*'Weekly Summary'!Y$52)+('Equipment List &amp; Usage'!$P76*'Weekly Summary'!Y$53)+('Equipment List &amp; Usage'!$Q76*('Weekly Summary'!Y$52+'Weekly Summary'!Y$53))+('Equipment List &amp; Usage'!$R76*'Weekly Summary'!Y$64)+('Equipment List &amp; Usage'!$S76*'Weekly Summary'!Y$65)+('Equipment List &amp; Usage'!$T76*('Weekly Summary'!Y$64+'Weekly Summary'!Y$65))-SUM($I74:AD74))),0)</f>
        <v>0</v>
      </c>
      <c r="AF74" s="1381">
        <f ca="1">MAX(IF($F74="No",('Equipment List &amp; Usage'!$O76*'Weekly Summary'!Z$52)+('Equipment List &amp; Usage'!$P76*'Weekly Summary'!Z$53)+('Equipment List &amp; Usage'!$Q76*('Weekly Summary'!Z$52+'Weekly Summary'!Z$53))+('Equipment List &amp; Usage'!$R76*'Weekly Summary'!Z$64)+('Equipment List &amp; Usage'!$S76*'Weekly Summary'!Z$65)+('Equipment List &amp; Usage'!$T76*('Weekly Summary'!Z$64+'Weekly Summary'!Z$65)),
IF(AF$10=0,('Equipment List &amp; Usage'!$O76*'Weekly Summary'!Z$52)+('Equipment List &amp; Usage'!$P76*'Weekly Summary'!Z$53)+('Equipment List &amp; Usage'!$Q76*('Weekly Summary'!Z$52+'Weekly Summary'!Z$53))+('Equipment List &amp; Usage'!$R76*'Weekly Summary'!Z$64)+('Equipment List &amp; Usage'!$S76*'Weekly Summary'!Z$65)+('Equipment List &amp; Usage'!$T76*('Weekly Summary'!Z$64+'Weekly Summary'!Z$65)),
('Equipment List &amp; Usage'!$O76*'Weekly Summary'!Z$52)+('Equipment List &amp; Usage'!$P76*'Weekly Summary'!Z$53)+('Equipment List &amp; Usage'!$Q76*('Weekly Summary'!Z$52+'Weekly Summary'!Z$53))+('Equipment List &amp; Usage'!$R76*'Weekly Summary'!Z$64)+('Equipment List &amp; Usage'!$S76*'Weekly Summary'!Z$65)+('Equipment List &amp; Usage'!$T76*('Weekly Summary'!Z$64+'Weekly Summary'!Z$65))-SUM($I74:AE74))),0)</f>
        <v>0</v>
      </c>
      <c r="AG74" s="1381">
        <f ca="1">MAX(IF($F74="No",('Equipment List &amp; Usage'!$O76*'Weekly Summary'!AA$52)+('Equipment List &amp; Usage'!$P76*'Weekly Summary'!AA$53)+('Equipment List &amp; Usage'!$Q76*('Weekly Summary'!AA$52+'Weekly Summary'!AA$53))+('Equipment List &amp; Usage'!$R76*'Weekly Summary'!AA$64)+('Equipment List &amp; Usage'!$S76*'Weekly Summary'!AA$65)+('Equipment List &amp; Usage'!$T76*('Weekly Summary'!AA$64+'Weekly Summary'!AA$65)),
IF(AG$10=0,('Equipment List &amp; Usage'!$O76*'Weekly Summary'!AA$52)+('Equipment List &amp; Usage'!$P76*'Weekly Summary'!AA$53)+('Equipment List &amp; Usage'!$Q76*('Weekly Summary'!AA$52+'Weekly Summary'!AA$53))+('Equipment List &amp; Usage'!$R76*'Weekly Summary'!AA$64)+('Equipment List &amp; Usage'!$S76*'Weekly Summary'!AA$65)+('Equipment List &amp; Usage'!$T76*('Weekly Summary'!AA$64+'Weekly Summary'!AA$65)),
('Equipment List &amp; Usage'!$O76*'Weekly Summary'!AA$52)+('Equipment List &amp; Usage'!$P76*'Weekly Summary'!AA$53)+('Equipment List &amp; Usage'!$Q76*('Weekly Summary'!AA$52+'Weekly Summary'!AA$53))+('Equipment List &amp; Usage'!$R76*'Weekly Summary'!AA$64)+('Equipment List &amp; Usage'!$S76*'Weekly Summary'!AA$65)+('Equipment List &amp; Usage'!$T76*('Weekly Summary'!AA$64+'Weekly Summary'!AA$65))-SUM($I74:AF74))),0)</f>
        <v>0</v>
      </c>
      <c r="AH74" s="1381">
        <f ca="1">MAX(IF($F74="No",('Equipment List &amp; Usage'!$O76*'Weekly Summary'!AB$52)+('Equipment List &amp; Usage'!$P76*'Weekly Summary'!AB$53)+('Equipment List &amp; Usage'!$Q76*('Weekly Summary'!AB$52+'Weekly Summary'!AB$53))+('Equipment List &amp; Usage'!$R76*'Weekly Summary'!AB$64)+('Equipment List &amp; Usage'!$S76*'Weekly Summary'!AB$65)+('Equipment List &amp; Usage'!$T76*('Weekly Summary'!AB$64+'Weekly Summary'!AB$65)),
IF(AH$10=0,('Equipment List &amp; Usage'!$O76*'Weekly Summary'!AB$52)+('Equipment List &amp; Usage'!$P76*'Weekly Summary'!AB$53)+('Equipment List &amp; Usage'!$Q76*('Weekly Summary'!AB$52+'Weekly Summary'!AB$53))+('Equipment List &amp; Usage'!$R76*'Weekly Summary'!AB$64)+('Equipment List &amp; Usage'!$S76*'Weekly Summary'!AB$65)+('Equipment List &amp; Usage'!$T76*('Weekly Summary'!AB$64+'Weekly Summary'!AB$65)),
('Equipment List &amp; Usage'!$O76*'Weekly Summary'!AB$52)+('Equipment List &amp; Usage'!$P76*'Weekly Summary'!AB$53)+('Equipment List &amp; Usage'!$Q76*('Weekly Summary'!AB$52+'Weekly Summary'!AB$53))+('Equipment List &amp; Usage'!$R76*'Weekly Summary'!AB$64)+('Equipment List &amp; Usage'!$S76*'Weekly Summary'!AB$65)+('Equipment List &amp; Usage'!$T76*('Weekly Summary'!AB$64+'Weekly Summary'!AB$65))-SUM($I74:AG74))),0)</f>
        <v>0</v>
      </c>
      <c r="AI74" s="1381">
        <f ca="1">MAX(IF($F74="No",('Equipment List &amp; Usage'!$O76*'Weekly Summary'!AC$52)+('Equipment List &amp; Usage'!$P76*'Weekly Summary'!AC$53)+('Equipment List &amp; Usage'!$Q76*('Weekly Summary'!AC$52+'Weekly Summary'!AC$53))+('Equipment List &amp; Usage'!$R76*'Weekly Summary'!AC$64)+('Equipment List &amp; Usage'!$S76*'Weekly Summary'!AC$65)+('Equipment List &amp; Usage'!$T76*('Weekly Summary'!AC$64+'Weekly Summary'!AC$65)),
IF(AI$10=0,('Equipment List &amp; Usage'!$O76*'Weekly Summary'!AC$52)+('Equipment List &amp; Usage'!$P76*'Weekly Summary'!AC$53)+('Equipment List &amp; Usage'!$Q76*('Weekly Summary'!AC$52+'Weekly Summary'!AC$53))+('Equipment List &amp; Usage'!$R76*'Weekly Summary'!AC$64)+('Equipment List &amp; Usage'!$S76*'Weekly Summary'!AC$65)+('Equipment List &amp; Usage'!$T76*('Weekly Summary'!AC$64+'Weekly Summary'!AC$65)),
('Equipment List &amp; Usage'!$O76*'Weekly Summary'!AC$52)+('Equipment List &amp; Usage'!$P76*'Weekly Summary'!AC$53)+('Equipment List &amp; Usage'!$Q76*('Weekly Summary'!AC$52+'Weekly Summary'!AC$53))+('Equipment List &amp; Usage'!$R76*'Weekly Summary'!AC$64)+('Equipment List &amp; Usage'!$S76*'Weekly Summary'!AC$65)+('Equipment List &amp; Usage'!$T76*('Weekly Summary'!AC$64+'Weekly Summary'!AC$65))-SUM($I74:AH74))),0)</f>
        <v>0</v>
      </c>
      <c r="AJ74" s="1381">
        <f ca="1">MAX(IF($F74="No",('Equipment List &amp; Usage'!$O76*'Weekly Summary'!AD$52)+('Equipment List &amp; Usage'!$P76*'Weekly Summary'!AD$53)+('Equipment List &amp; Usage'!$Q76*('Weekly Summary'!AD$52+'Weekly Summary'!AD$53))+('Equipment List &amp; Usage'!$R76*'Weekly Summary'!AD$64)+('Equipment List &amp; Usage'!$S76*'Weekly Summary'!AD$65)+('Equipment List &amp; Usage'!$T76*('Weekly Summary'!AD$64+'Weekly Summary'!AD$65)),
IF(AJ$10=0,('Equipment List &amp; Usage'!$O76*'Weekly Summary'!AD$52)+('Equipment List &amp; Usage'!$P76*'Weekly Summary'!AD$53)+('Equipment List &amp; Usage'!$Q76*('Weekly Summary'!AD$52+'Weekly Summary'!AD$53))+('Equipment List &amp; Usage'!$R76*'Weekly Summary'!AD$64)+('Equipment List &amp; Usage'!$S76*'Weekly Summary'!AD$65)+('Equipment List &amp; Usage'!$T76*('Weekly Summary'!AD$64+'Weekly Summary'!AD$65)),
('Equipment List &amp; Usage'!$O76*'Weekly Summary'!AD$52)+('Equipment List &amp; Usage'!$P76*'Weekly Summary'!AD$53)+('Equipment List &amp; Usage'!$Q76*('Weekly Summary'!AD$52+'Weekly Summary'!AD$53))+('Equipment List &amp; Usage'!$R76*'Weekly Summary'!AD$64)+('Equipment List &amp; Usage'!$S76*'Weekly Summary'!AD$65)+('Equipment List &amp; Usage'!$T76*('Weekly Summary'!AD$64+'Weekly Summary'!AD$65))-SUM($I74:AI74))),0)</f>
        <v>0</v>
      </c>
      <c r="AK74" s="1381">
        <f ca="1">MAX(IF($F74="No",('Equipment List &amp; Usage'!$O76*'Weekly Summary'!AE$52)+('Equipment List &amp; Usage'!$P76*'Weekly Summary'!AE$53)+('Equipment List &amp; Usage'!$Q76*('Weekly Summary'!AE$52+'Weekly Summary'!AE$53))+('Equipment List &amp; Usage'!$R76*'Weekly Summary'!AE$64)+('Equipment List &amp; Usage'!$S76*'Weekly Summary'!AE$65)+('Equipment List &amp; Usage'!$T76*('Weekly Summary'!AE$64+'Weekly Summary'!AE$65)),
IF(AK$10=0,('Equipment List &amp; Usage'!$O76*'Weekly Summary'!AE$52)+('Equipment List &amp; Usage'!$P76*'Weekly Summary'!AE$53)+('Equipment List &amp; Usage'!$Q76*('Weekly Summary'!AE$52+'Weekly Summary'!AE$53))+('Equipment List &amp; Usage'!$R76*'Weekly Summary'!AE$64)+('Equipment List &amp; Usage'!$S76*'Weekly Summary'!AE$65)+('Equipment List &amp; Usage'!$T76*('Weekly Summary'!AE$64+'Weekly Summary'!AE$65)),
('Equipment List &amp; Usage'!$O76*'Weekly Summary'!AE$52)+('Equipment List &amp; Usage'!$P76*'Weekly Summary'!AE$53)+('Equipment List &amp; Usage'!$Q76*('Weekly Summary'!AE$52+'Weekly Summary'!AE$53))+('Equipment List &amp; Usage'!$R76*'Weekly Summary'!AE$64)+('Equipment List &amp; Usage'!$S76*'Weekly Summary'!AE$65)+('Equipment List &amp; Usage'!$T76*('Weekly Summary'!AE$64+'Weekly Summary'!AE$65))-SUM($I74:AJ74))),0)</f>
        <v>0</v>
      </c>
      <c r="AL74" s="1381">
        <f ca="1">MAX(IF($F74="No",('Equipment List &amp; Usage'!$O76*'Weekly Summary'!AF$52)+('Equipment List &amp; Usage'!$P76*'Weekly Summary'!AF$53)+('Equipment List &amp; Usage'!$Q76*('Weekly Summary'!AF$52+'Weekly Summary'!AF$53))+('Equipment List &amp; Usage'!$R76*'Weekly Summary'!AF$64)+('Equipment List &amp; Usage'!$S76*'Weekly Summary'!AF$65)+('Equipment List &amp; Usage'!$T76*('Weekly Summary'!AF$64+'Weekly Summary'!AF$65)),
IF(AL$10=0,('Equipment List &amp; Usage'!$O76*'Weekly Summary'!AF$52)+('Equipment List &amp; Usage'!$P76*'Weekly Summary'!AF$53)+('Equipment List &amp; Usage'!$Q76*('Weekly Summary'!AF$52+'Weekly Summary'!AF$53))+('Equipment List &amp; Usage'!$R76*'Weekly Summary'!AF$64)+('Equipment List &amp; Usage'!$S76*'Weekly Summary'!AF$65)+('Equipment List &amp; Usage'!$T76*('Weekly Summary'!AF$64+'Weekly Summary'!AF$65)),
('Equipment List &amp; Usage'!$O76*'Weekly Summary'!AF$52)+('Equipment List &amp; Usage'!$P76*'Weekly Summary'!AF$53)+('Equipment List &amp; Usage'!$Q76*('Weekly Summary'!AF$52+'Weekly Summary'!AF$53))+('Equipment List &amp; Usage'!$R76*'Weekly Summary'!AF$64)+('Equipment List &amp; Usage'!$S76*'Weekly Summary'!AF$65)+('Equipment List &amp; Usage'!$T76*('Weekly Summary'!AF$64+'Weekly Summary'!AF$65))-SUM($I74:AK74))),0)</f>
        <v>0</v>
      </c>
      <c r="AM74" s="1381">
        <f ca="1">MAX(IF($F74="No",('Equipment List &amp; Usage'!$O76*'Weekly Summary'!AG$52)+('Equipment List &amp; Usage'!$P76*'Weekly Summary'!AG$53)+('Equipment List &amp; Usage'!$Q76*('Weekly Summary'!AG$52+'Weekly Summary'!AG$53))+('Equipment List &amp; Usage'!$R76*'Weekly Summary'!AG$64)+('Equipment List &amp; Usage'!$S76*'Weekly Summary'!AG$65)+('Equipment List &amp; Usage'!$T76*('Weekly Summary'!AG$64+'Weekly Summary'!AG$65)),
IF(AM$10=0,('Equipment List &amp; Usage'!$O76*'Weekly Summary'!AG$52)+('Equipment List &amp; Usage'!$P76*'Weekly Summary'!AG$53)+('Equipment List &amp; Usage'!$Q76*('Weekly Summary'!AG$52+'Weekly Summary'!AG$53))+('Equipment List &amp; Usage'!$R76*'Weekly Summary'!AG$64)+('Equipment List &amp; Usage'!$S76*'Weekly Summary'!AG$65)+('Equipment List &amp; Usage'!$T76*('Weekly Summary'!AG$64+'Weekly Summary'!AG$65)),
('Equipment List &amp; Usage'!$O76*'Weekly Summary'!AG$52)+('Equipment List &amp; Usage'!$P76*'Weekly Summary'!AG$53)+('Equipment List &amp; Usage'!$Q76*('Weekly Summary'!AG$52+'Weekly Summary'!AG$53))+('Equipment List &amp; Usage'!$R76*'Weekly Summary'!AG$64)+('Equipment List &amp; Usage'!$S76*'Weekly Summary'!AG$65)+('Equipment List &amp; Usage'!$T76*('Weekly Summary'!AG$64+'Weekly Summary'!AG$65))-SUM($I74:AL74))),0)</f>
        <v>0</v>
      </c>
      <c r="AN74" s="1381">
        <f ca="1">MAX(IF($F74="No",('Equipment List &amp; Usage'!$O76*'Weekly Summary'!AH$52)+('Equipment List &amp; Usage'!$P76*'Weekly Summary'!AH$53)+('Equipment List &amp; Usage'!$Q76*('Weekly Summary'!AH$52+'Weekly Summary'!AH$53))+('Equipment List &amp; Usage'!$R76*'Weekly Summary'!AH$64)+('Equipment List &amp; Usage'!$S76*'Weekly Summary'!AH$65)+('Equipment List &amp; Usage'!$T76*('Weekly Summary'!AH$64+'Weekly Summary'!AH$65)),
IF(AN$10=0,('Equipment List &amp; Usage'!$O76*'Weekly Summary'!AH$52)+('Equipment List &amp; Usage'!$P76*'Weekly Summary'!AH$53)+('Equipment List &amp; Usage'!$Q76*('Weekly Summary'!AH$52+'Weekly Summary'!AH$53))+('Equipment List &amp; Usage'!$R76*'Weekly Summary'!AH$64)+('Equipment List &amp; Usage'!$S76*'Weekly Summary'!AH$65)+('Equipment List &amp; Usage'!$T76*('Weekly Summary'!AH$64+'Weekly Summary'!AH$65)),
('Equipment List &amp; Usage'!$O76*'Weekly Summary'!AH$52)+('Equipment List &amp; Usage'!$P76*'Weekly Summary'!AH$53)+('Equipment List &amp; Usage'!$Q76*('Weekly Summary'!AH$52+'Weekly Summary'!AH$53))+('Equipment List &amp; Usage'!$R76*'Weekly Summary'!AH$64)+('Equipment List &amp; Usage'!$S76*'Weekly Summary'!AH$65)+('Equipment List &amp; Usage'!$T76*('Weekly Summary'!AH$64+'Weekly Summary'!AH$65))-SUM($I74:AM74))),0)</f>
        <v>0</v>
      </c>
      <c r="AO74" s="1381">
        <f ca="1">MAX(IF($F74="No",('Equipment List &amp; Usage'!$O76*'Weekly Summary'!AI$52)+('Equipment List &amp; Usage'!$P76*'Weekly Summary'!AI$53)+('Equipment List &amp; Usage'!$Q76*('Weekly Summary'!AI$52+'Weekly Summary'!AI$53))+('Equipment List &amp; Usage'!$R76*'Weekly Summary'!AI$64)+('Equipment List &amp; Usage'!$S76*'Weekly Summary'!AI$65)+('Equipment List &amp; Usage'!$T76*('Weekly Summary'!AI$64+'Weekly Summary'!AI$65)),
IF(AO$10=0,('Equipment List &amp; Usage'!$O76*'Weekly Summary'!AI$52)+('Equipment List &amp; Usage'!$P76*'Weekly Summary'!AI$53)+('Equipment List &amp; Usage'!$Q76*('Weekly Summary'!AI$52+'Weekly Summary'!AI$53))+('Equipment List &amp; Usage'!$R76*'Weekly Summary'!AI$64)+('Equipment List &amp; Usage'!$S76*'Weekly Summary'!AI$65)+('Equipment List &amp; Usage'!$T76*('Weekly Summary'!AI$64+'Weekly Summary'!AI$65)),
('Equipment List &amp; Usage'!$O76*'Weekly Summary'!AI$52)+('Equipment List &amp; Usage'!$P76*'Weekly Summary'!AI$53)+('Equipment List &amp; Usage'!$Q76*('Weekly Summary'!AI$52+'Weekly Summary'!AI$53))+('Equipment List &amp; Usage'!$R76*'Weekly Summary'!AI$64)+('Equipment List &amp; Usage'!$S76*'Weekly Summary'!AI$65)+('Equipment List &amp; Usage'!$T76*('Weekly Summary'!AI$64+'Weekly Summary'!AI$65))-SUM($I74:AN74))),0)</f>
        <v>0</v>
      </c>
      <c r="AP74" s="1381">
        <f ca="1">MAX(IF($F74="No",('Equipment List &amp; Usage'!$O76*'Weekly Summary'!AJ$52)+('Equipment List &amp; Usage'!$P76*'Weekly Summary'!AJ$53)+('Equipment List &amp; Usage'!$Q76*('Weekly Summary'!AJ$52+'Weekly Summary'!AJ$53))+('Equipment List &amp; Usage'!$R76*'Weekly Summary'!AJ$64)+('Equipment List &amp; Usage'!$S76*'Weekly Summary'!AJ$65)+('Equipment List &amp; Usage'!$T76*('Weekly Summary'!AJ$64+'Weekly Summary'!AJ$65)),
IF(AP$10=0,('Equipment List &amp; Usage'!$O76*'Weekly Summary'!AJ$52)+('Equipment List &amp; Usage'!$P76*'Weekly Summary'!AJ$53)+('Equipment List &amp; Usage'!$Q76*('Weekly Summary'!AJ$52+'Weekly Summary'!AJ$53))+('Equipment List &amp; Usage'!$R76*'Weekly Summary'!AJ$64)+('Equipment List &amp; Usage'!$S76*'Weekly Summary'!AJ$65)+('Equipment List &amp; Usage'!$T76*('Weekly Summary'!AJ$64+'Weekly Summary'!AJ$65)),
('Equipment List &amp; Usage'!$O76*'Weekly Summary'!AJ$52)+('Equipment List &amp; Usage'!$P76*'Weekly Summary'!AJ$53)+('Equipment List &amp; Usage'!$Q76*('Weekly Summary'!AJ$52+'Weekly Summary'!AJ$53))+('Equipment List &amp; Usage'!$R76*'Weekly Summary'!AJ$64)+('Equipment List &amp; Usage'!$S76*'Weekly Summary'!AJ$65)+('Equipment List &amp; Usage'!$T76*('Weekly Summary'!AJ$64+'Weekly Summary'!AJ$65))-SUM($I74:AO74))),0)</f>
        <v>0</v>
      </c>
      <c r="AQ74" s="1381">
        <f ca="1">MAX(IF($F74="No",('Equipment List &amp; Usage'!$O76*'Weekly Summary'!AK$52)+('Equipment List &amp; Usage'!$P76*'Weekly Summary'!AK$53)+('Equipment List &amp; Usage'!$Q76*('Weekly Summary'!AK$52+'Weekly Summary'!AK$53))+('Equipment List &amp; Usage'!$R76*'Weekly Summary'!AK$64)+('Equipment List &amp; Usage'!$S76*'Weekly Summary'!AK$65)+('Equipment List &amp; Usage'!$T76*('Weekly Summary'!AK$64+'Weekly Summary'!AK$65)),
IF(AQ$10=0,('Equipment List &amp; Usage'!$O76*'Weekly Summary'!AK$52)+('Equipment List &amp; Usage'!$P76*'Weekly Summary'!AK$53)+('Equipment List &amp; Usage'!$Q76*('Weekly Summary'!AK$52+'Weekly Summary'!AK$53))+('Equipment List &amp; Usage'!$R76*'Weekly Summary'!AK$64)+('Equipment List &amp; Usage'!$S76*'Weekly Summary'!AK$65)+('Equipment List &amp; Usage'!$T76*('Weekly Summary'!AK$64+'Weekly Summary'!AK$65)),
('Equipment List &amp; Usage'!$O76*'Weekly Summary'!AK$52)+('Equipment List &amp; Usage'!$P76*'Weekly Summary'!AK$53)+('Equipment List &amp; Usage'!$Q76*('Weekly Summary'!AK$52+'Weekly Summary'!AK$53))+('Equipment List &amp; Usage'!$R76*'Weekly Summary'!AK$64)+('Equipment List &amp; Usage'!$S76*'Weekly Summary'!AK$65)+('Equipment List &amp; Usage'!$T76*('Weekly Summary'!AK$64+'Weekly Summary'!AK$65))-SUM($I74:AP74))),0)</f>
        <v>0</v>
      </c>
      <c r="AR74" s="1381">
        <f ca="1">MAX(IF($F74="No",('Equipment List &amp; Usage'!$O76*'Weekly Summary'!AL$52)+('Equipment List &amp; Usage'!$P76*'Weekly Summary'!AL$53)+('Equipment List &amp; Usage'!$Q76*('Weekly Summary'!AL$52+'Weekly Summary'!AL$53))+('Equipment List &amp; Usage'!$R76*'Weekly Summary'!AL$64)+('Equipment List &amp; Usage'!$S76*'Weekly Summary'!AL$65)+('Equipment List &amp; Usage'!$T76*('Weekly Summary'!AL$64+'Weekly Summary'!AL$65)),
IF(AR$10=0,('Equipment List &amp; Usage'!$O76*'Weekly Summary'!AL$52)+('Equipment List &amp; Usage'!$P76*'Weekly Summary'!AL$53)+('Equipment List &amp; Usage'!$Q76*('Weekly Summary'!AL$52+'Weekly Summary'!AL$53))+('Equipment List &amp; Usage'!$R76*'Weekly Summary'!AL$64)+('Equipment List &amp; Usage'!$S76*'Weekly Summary'!AL$65)+('Equipment List &amp; Usage'!$T76*('Weekly Summary'!AL$64+'Weekly Summary'!AL$65)),
('Equipment List &amp; Usage'!$O76*'Weekly Summary'!AL$52)+('Equipment List &amp; Usage'!$P76*'Weekly Summary'!AL$53)+('Equipment List &amp; Usage'!$Q76*('Weekly Summary'!AL$52+'Weekly Summary'!AL$53))+('Equipment List &amp; Usage'!$R76*'Weekly Summary'!AL$64)+('Equipment List &amp; Usage'!$S76*'Weekly Summary'!AL$65)+('Equipment List &amp; Usage'!$T76*('Weekly Summary'!AL$64+'Weekly Summary'!AL$65))-SUM($I74:AQ74))),0)</f>
        <v>0</v>
      </c>
      <c r="AS74" s="1381">
        <f ca="1">MAX(IF($F74="No",('Equipment List &amp; Usage'!$O76*'Weekly Summary'!AM$52)+('Equipment List &amp; Usage'!$P76*'Weekly Summary'!AM$53)+('Equipment List &amp; Usage'!$Q76*('Weekly Summary'!AM$52+'Weekly Summary'!AM$53))+('Equipment List &amp; Usage'!$R76*'Weekly Summary'!AM$64)+('Equipment List &amp; Usage'!$S76*'Weekly Summary'!AM$65)+('Equipment List &amp; Usage'!$T76*('Weekly Summary'!AM$64+'Weekly Summary'!AM$65)),
IF(AS$10=0,('Equipment List &amp; Usage'!$O76*'Weekly Summary'!AM$52)+('Equipment List &amp; Usage'!$P76*'Weekly Summary'!AM$53)+('Equipment List &amp; Usage'!$Q76*('Weekly Summary'!AM$52+'Weekly Summary'!AM$53))+('Equipment List &amp; Usage'!$R76*'Weekly Summary'!AM$64)+('Equipment List &amp; Usage'!$S76*'Weekly Summary'!AM$65)+('Equipment List &amp; Usage'!$T76*('Weekly Summary'!AM$64+'Weekly Summary'!AM$65)),
('Equipment List &amp; Usage'!$O76*'Weekly Summary'!AM$52)+('Equipment List &amp; Usage'!$P76*'Weekly Summary'!AM$53)+('Equipment List &amp; Usage'!$Q76*('Weekly Summary'!AM$52+'Weekly Summary'!AM$53))+('Equipment List &amp; Usage'!$R76*'Weekly Summary'!AM$64)+('Equipment List &amp; Usage'!$S76*'Weekly Summary'!AM$65)+('Equipment List &amp; Usage'!$T76*('Weekly Summary'!AM$64+'Weekly Summary'!AM$65))-SUM($I74:AR74))),0)</f>
        <v>0</v>
      </c>
      <c r="AT74" s="1381">
        <f ca="1">MAX(IF($F74="No",('Equipment List &amp; Usage'!$O76*'Weekly Summary'!AN$52)+('Equipment List &amp; Usage'!$P76*'Weekly Summary'!AN$53)+('Equipment List &amp; Usage'!$Q76*('Weekly Summary'!AN$52+'Weekly Summary'!AN$53))+('Equipment List &amp; Usage'!$R76*'Weekly Summary'!AN$64)+('Equipment List &amp; Usage'!$S76*'Weekly Summary'!AN$65)+('Equipment List &amp; Usage'!$T76*('Weekly Summary'!AN$64+'Weekly Summary'!AN$65)),
IF(AT$10=0,('Equipment List &amp; Usage'!$O76*'Weekly Summary'!AN$52)+('Equipment List &amp; Usage'!$P76*'Weekly Summary'!AN$53)+('Equipment List &amp; Usage'!$Q76*('Weekly Summary'!AN$52+'Weekly Summary'!AN$53))+('Equipment List &amp; Usage'!$R76*'Weekly Summary'!AN$64)+('Equipment List &amp; Usage'!$S76*'Weekly Summary'!AN$65)+('Equipment List &amp; Usage'!$T76*('Weekly Summary'!AN$64+'Weekly Summary'!AN$65)),
('Equipment List &amp; Usage'!$O76*'Weekly Summary'!AN$52)+('Equipment List &amp; Usage'!$P76*'Weekly Summary'!AN$53)+('Equipment List &amp; Usage'!$Q76*('Weekly Summary'!AN$52+'Weekly Summary'!AN$53))+('Equipment List &amp; Usage'!$R76*'Weekly Summary'!AN$64)+('Equipment List &amp; Usage'!$S76*'Weekly Summary'!AN$65)+('Equipment List &amp; Usage'!$T76*('Weekly Summary'!AN$64+'Weekly Summary'!AN$65))-SUM($I74:AS74))),0)</f>
        <v>0</v>
      </c>
      <c r="AU74" s="1381">
        <f ca="1">MAX(IF($F74="No",('Equipment List &amp; Usage'!$O76*'Weekly Summary'!AO$52)+('Equipment List &amp; Usage'!$P76*'Weekly Summary'!AO$53)+('Equipment List &amp; Usage'!$Q76*('Weekly Summary'!AO$52+'Weekly Summary'!AO$53))+('Equipment List &amp; Usage'!$R76*'Weekly Summary'!AO$64)+('Equipment List &amp; Usage'!$S76*'Weekly Summary'!AO$65)+('Equipment List &amp; Usage'!$T76*('Weekly Summary'!AO$64+'Weekly Summary'!AO$65)),
IF(AU$10=0,('Equipment List &amp; Usage'!$O76*'Weekly Summary'!AO$52)+('Equipment List &amp; Usage'!$P76*'Weekly Summary'!AO$53)+('Equipment List &amp; Usage'!$Q76*('Weekly Summary'!AO$52+'Weekly Summary'!AO$53))+('Equipment List &amp; Usage'!$R76*'Weekly Summary'!AO$64)+('Equipment List &amp; Usage'!$S76*'Weekly Summary'!AO$65)+('Equipment List &amp; Usage'!$T76*('Weekly Summary'!AO$64+'Weekly Summary'!AO$65)),
('Equipment List &amp; Usage'!$O76*'Weekly Summary'!AO$52)+('Equipment List &amp; Usage'!$P76*'Weekly Summary'!AO$53)+('Equipment List &amp; Usage'!$Q76*('Weekly Summary'!AO$52+'Weekly Summary'!AO$53))+('Equipment List &amp; Usage'!$R76*'Weekly Summary'!AO$64)+('Equipment List &amp; Usage'!$S76*'Weekly Summary'!AO$65)+('Equipment List &amp; Usage'!$T76*('Weekly Summary'!AO$64+'Weekly Summary'!AO$65))-SUM($I74:AT74))),0)</f>
        <v>0</v>
      </c>
      <c r="AV74" s="1381">
        <f ca="1">MAX(IF($F74="No",('Equipment List &amp; Usage'!$O76*'Weekly Summary'!AP$52)+('Equipment List &amp; Usage'!$P76*'Weekly Summary'!AP$53)+('Equipment List &amp; Usage'!$Q76*('Weekly Summary'!AP$52+'Weekly Summary'!AP$53))+('Equipment List &amp; Usage'!$R76*'Weekly Summary'!AP$64)+('Equipment List &amp; Usage'!$S76*'Weekly Summary'!AP$65)+('Equipment List &amp; Usage'!$T76*('Weekly Summary'!AP$64+'Weekly Summary'!AP$65)),
IF(AV$10=0,('Equipment List &amp; Usage'!$O76*'Weekly Summary'!AP$52)+('Equipment List &amp; Usage'!$P76*'Weekly Summary'!AP$53)+('Equipment List &amp; Usage'!$Q76*('Weekly Summary'!AP$52+'Weekly Summary'!AP$53))+('Equipment List &amp; Usage'!$R76*'Weekly Summary'!AP$64)+('Equipment List &amp; Usage'!$S76*'Weekly Summary'!AP$65)+('Equipment List &amp; Usage'!$T76*('Weekly Summary'!AP$64+'Weekly Summary'!AP$65)),
('Equipment List &amp; Usage'!$O76*'Weekly Summary'!AP$52)+('Equipment List &amp; Usage'!$P76*'Weekly Summary'!AP$53)+('Equipment List &amp; Usage'!$Q76*('Weekly Summary'!AP$52+'Weekly Summary'!AP$53))+('Equipment List &amp; Usage'!$R76*'Weekly Summary'!AP$64)+('Equipment List &amp; Usage'!$S76*'Weekly Summary'!AP$65)+('Equipment List &amp; Usage'!$T76*('Weekly Summary'!AP$64+'Weekly Summary'!AP$65))-SUM($I74:AU74))),0)</f>
        <v>0</v>
      </c>
      <c r="AW74" s="1381">
        <f ca="1">MAX(IF($F74="No",('Equipment List &amp; Usage'!$O76*'Weekly Summary'!AQ$52)+('Equipment List &amp; Usage'!$P76*'Weekly Summary'!AQ$53)+('Equipment List &amp; Usage'!$Q76*('Weekly Summary'!AQ$52+'Weekly Summary'!AQ$53))+('Equipment List &amp; Usage'!$R76*'Weekly Summary'!AQ$64)+('Equipment List &amp; Usage'!$S76*'Weekly Summary'!AQ$65)+('Equipment List &amp; Usage'!$T76*('Weekly Summary'!AQ$64+'Weekly Summary'!AQ$65)),
IF(AW$10=0,('Equipment List &amp; Usage'!$O76*'Weekly Summary'!AQ$52)+('Equipment List &amp; Usage'!$P76*'Weekly Summary'!AQ$53)+('Equipment List &amp; Usage'!$Q76*('Weekly Summary'!AQ$52+'Weekly Summary'!AQ$53))+('Equipment List &amp; Usage'!$R76*'Weekly Summary'!AQ$64)+('Equipment List &amp; Usage'!$S76*'Weekly Summary'!AQ$65)+('Equipment List &amp; Usage'!$T76*('Weekly Summary'!AQ$64+'Weekly Summary'!AQ$65)),
('Equipment List &amp; Usage'!$O76*'Weekly Summary'!AQ$52)+('Equipment List &amp; Usage'!$P76*'Weekly Summary'!AQ$53)+('Equipment List &amp; Usage'!$Q76*('Weekly Summary'!AQ$52+'Weekly Summary'!AQ$53))+('Equipment List &amp; Usage'!$R76*'Weekly Summary'!AQ$64)+('Equipment List &amp; Usage'!$S76*'Weekly Summary'!AQ$65)+('Equipment List &amp; Usage'!$T76*('Weekly Summary'!AQ$64+'Weekly Summary'!AQ$65))-SUM($I74:AV74))),0)</f>
        <v>0</v>
      </c>
      <c r="AX74" s="1381">
        <f ca="1">MAX(IF($F74="No",('Equipment List &amp; Usage'!$O76*'Weekly Summary'!AR$52)+('Equipment List &amp; Usage'!$P76*'Weekly Summary'!AR$53)+('Equipment List &amp; Usage'!$Q76*('Weekly Summary'!AR$52+'Weekly Summary'!AR$53))+('Equipment List &amp; Usage'!$R76*'Weekly Summary'!AR$64)+('Equipment List &amp; Usage'!$S76*'Weekly Summary'!AR$65)+('Equipment List &amp; Usage'!$T76*('Weekly Summary'!AR$64+'Weekly Summary'!AR$65)),
IF(AX$10=0,('Equipment List &amp; Usage'!$O76*'Weekly Summary'!AR$52)+('Equipment List &amp; Usage'!$P76*'Weekly Summary'!AR$53)+('Equipment List &amp; Usage'!$Q76*('Weekly Summary'!AR$52+'Weekly Summary'!AR$53))+('Equipment List &amp; Usage'!$R76*'Weekly Summary'!AR$64)+('Equipment List &amp; Usage'!$S76*'Weekly Summary'!AR$65)+('Equipment List &amp; Usage'!$T76*('Weekly Summary'!AR$64+'Weekly Summary'!AR$65)),
('Equipment List &amp; Usage'!$O76*'Weekly Summary'!AR$52)+('Equipment List &amp; Usage'!$P76*'Weekly Summary'!AR$53)+('Equipment List &amp; Usage'!$Q76*('Weekly Summary'!AR$52+'Weekly Summary'!AR$53))+('Equipment List &amp; Usage'!$R76*'Weekly Summary'!AR$64)+('Equipment List &amp; Usage'!$S76*'Weekly Summary'!AR$65)+('Equipment List &amp; Usage'!$T76*('Weekly Summary'!AR$64+'Weekly Summary'!AR$65))-SUM($I74:AW74))),0)</f>
        <v>0</v>
      </c>
      <c r="AY74" s="1381">
        <f ca="1">MAX(IF($F74="No",('Equipment List &amp; Usage'!$O76*'Weekly Summary'!AS$52)+('Equipment List &amp; Usage'!$P76*'Weekly Summary'!AS$53)+('Equipment List &amp; Usage'!$Q76*('Weekly Summary'!AS$52+'Weekly Summary'!AS$53))+('Equipment List &amp; Usage'!$R76*'Weekly Summary'!AS$64)+('Equipment List &amp; Usage'!$S76*'Weekly Summary'!AS$65)+('Equipment List &amp; Usage'!$T76*('Weekly Summary'!AS$64+'Weekly Summary'!AS$65)),
IF(AY$10=0,('Equipment List &amp; Usage'!$O76*'Weekly Summary'!AS$52)+('Equipment List &amp; Usage'!$P76*'Weekly Summary'!AS$53)+('Equipment List &amp; Usage'!$Q76*('Weekly Summary'!AS$52+'Weekly Summary'!AS$53))+('Equipment List &amp; Usage'!$R76*'Weekly Summary'!AS$64)+('Equipment List &amp; Usage'!$S76*'Weekly Summary'!AS$65)+('Equipment List &amp; Usage'!$T76*('Weekly Summary'!AS$64+'Weekly Summary'!AS$65)),
('Equipment List &amp; Usage'!$O76*'Weekly Summary'!AS$52)+('Equipment List &amp; Usage'!$P76*'Weekly Summary'!AS$53)+('Equipment List &amp; Usage'!$Q76*('Weekly Summary'!AS$52+'Weekly Summary'!AS$53))+('Equipment List &amp; Usage'!$R76*'Weekly Summary'!AS$64)+('Equipment List &amp; Usage'!$S76*'Weekly Summary'!AS$65)+('Equipment List &amp; Usage'!$T76*('Weekly Summary'!AS$64+'Weekly Summary'!AS$65))-SUM($I74:AX74))),0)</f>
        <v>0</v>
      </c>
      <c r="AZ74" s="1381">
        <f ca="1">MAX(IF($F74="No",('Equipment List &amp; Usage'!$O76*'Weekly Summary'!AT$52)+('Equipment List &amp; Usage'!$P76*'Weekly Summary'!AT$53)+('Equipment List &amp; Usage'!$Q76*('Weekly Summary'!AT$52+'Weekly Summary'!AT$53))+('Equipment List &amp; Usage'!$R76*'Weekly Summary'!AT$64)+('Equipment List &amp; Usage'!$S76*'Weekly Summary'!AT$65)+('Equipment List &amp; Usage'!$T76*('Weekly Summary'!AT$64+'Weekly Summary'!AT$65)),
IF(AZ$10=0,('Equipment List &amp; Usage'!$O76*'Weekly Summary'!AT$52)+('Equipment List &amp; Usage'!$P76*'Weekly Summary'!AT$53)+('Equipment List &amp; Usage'!$Q76*('Weekly Summary'!AT$52+'Weekly Summary'!AT$53))+('Equipment List &amp; Usage'!$R76*'Weekly Summary'!AT$64)+('Equipment List &amp; Usage'!$S76*'Weekly Summary'!AT$65)+('Equipment List &amp; Usage'!$T76*('Weekly Summary'!AT$64+'Weekly Summary'!AT$65)),
('Equipment List &amp; Usage'!$O76*'Weekly Summary'!AT$52)+('Equipment List &amp; Usage'!$P76*'Weekly Summary'!AT$53)+('Equipment List &amp; Usage'!$Q76*('Weekly Summary'!AT$52+'Weekly Summary'!AT$53))+('Equipment List &amp; Usage'!$R76*'Weekly Summary'!AT$64)+('Equipment List &amp; Usage'!$S76*'Weekly Summary'!AT$65)+('Equipment List &amp; Usage'!$T76*('Weekly Summary'!AT$64+'Weekly Summary'!AT$65))-SUM($I74:AY74))),0)</f>
        <v>0</v>
      </c>
      <c r="BA74" s="1381">
        <f ca="1">MAX(IF($F74="No",('Equipment List &amp; Usage'!$O76*'Weekly Summary'!AU$52)+('Equipment List &amp; Usage'!$P76*'Weekly Summary'!AU$53)+('Equipment List &amp; Usage'!$Q76*('Weekly Summary'!AU$52+'Weekly Summary'!AU$53))+('Equipment List &amp; Usage'!$R76*'Weekly Summary'!AU$64)+('Equipment List &amp; Usage'!$S76*'Weekly Summary'!AU$65)+('Equipment List &amp; Usage'!$T76*('Weekly Summary'!AU$64+'Weekly Summary'!AU$65)),
IF(BA$10=0,('Equipment List &amp; Usage'!$O76*'Weekly Summary'!AU$52)+('Equipment List &amp; Usage'!$P76*'Weekly Summary'!AU$53)+('Equipment List &amp; Usage'!$Q76*('Weekly Summary'!AU$52+'Weekly Summary'!AU$53))+('Equipment List &amp; Usage'!$R76*'Weekly Summary'!AU$64)+('Equipment List &amp; Usage'!$S76*'Weekly Summary'!AU$65)+('Equipment List &amp; Usage'!$T76*('Weekly Summary'!AU$64+'Weekly Summary'!AU$65)),
('Equipment List &amp; Usage'!$O76*'Weekly Summary'!AU$52)+('Equipment List &amp; Usage'!$P76*'Weekly Summary'!AU$53)+('Equipment List &amp; Usage'!$Q76*('Weekly Summary'!AU$52+'Weekly Summary'!AU$53))+('Equipment List &amp; Usage'!$R76*'Weekly Summary'!AU$64)+('Equipment List &amp; Usage'!$S76*'Weekly Summary'!AU$65)+('Equipment List &amp; Usage'!$T76*('Weekly Summary'!AU$64+'Weekly Summary'!AU$65))-SUM($I74:AZ74))),0)</f>
        <v>0</v>
      </c>
      <c r="BB74" s="1381">
        <f ca="1">MAX(IF($F74="No",('Equipment List &amp; Usage'!$O76*'Weekly Summary'!AV$52)+('Equipment List &amp; Usage'!$P76*'Weekly Summary'!AV$53)+('Equipment List &amp; Usage'!$Q76*('Weekly Summary'!AV$52+'Weekly Summary'!AV$53))+('Equipment List &amp; Usage'!$R76*'Weekly Summary'!AV$64)+('Equipment List &amp; Usage'!$S76*'Weekly Summary'!AV$65)+('Equipment List &amp; Usage'!$T76*('Weekly Summary'!AV$64+'Weekly Summary'!AV$65)),
IF(BB$10=0,('Equipment List &amp; Usage'!$O76*'Weekly Summary'!AV$52)+('Equipment List &amp; Usage'!$P76*'Weekly Summary'!AV$53)+('Equipment List &amp; Usage'!$Q76*('Weekly Summary'!AV$52+'Weekly Summary'!AV$53))+('Equipment List &amp; Usage'!$R76*'Weekly Summary'!AV$64)+('Equipment List &amp; Usage'!$S76*'Weekly Summary'!AV$65)+('Equipment List &amp; Usage'!$T76*('Weekly Summary'!AV$64+'Weekly Summary'!AV$65)),
('Equipment List &amp; Usage'!$O76*'Weekly Summary'!AV$52)+('Equipment List &amp; Usage'!$P76*'Weekly Summary'!AV$53)+('Equipment List &amp; Usage'!$Q76*('Weekly Summary'!AV$52+'Weekly Summary'!AV$53))+('Equipment List &amp; Usage'!$R76*'Weekly Summary'!AV$64)+('Equipment List &amp; Usage'!$S76*'Weekly Summary'!AV$65)+('Equipment List &amp; Usage'!$T76*('Weekly Summary'!AV$64+'Weekly Summary'!AV$65))-SUM($I74:BA74))),0)</f>
        <v>0</v>
      </c>
      <c r="BC74" s="1381">
        <f ca="1">MAX(IF($F74="No",('Equipment List &amp; Usage'!$O76*'Weekly Summary'!AW$52)+('Equipment List &amp; Usage'!$P76*'Weekly Summary'!AW$53)+('Equipment List &amp; Usage'!$Q76*('Weekly Summary'!AW$52+'Weekly Summary'!AW$53))+('Equipment List &amp; Usage'!$R76*'Weekly Summary'!AW$64)+('Equipment List &amp; Usage'!$S76*'Weekly Summary'!AW$65)+('Equipment List &amp; Usage'!$T76*('Weekly Summary'!AW$64+'Weekly Summary'!AW$65)),
IF(BC$10=0,('Equipment List &amp; Usage'!$O76*'Weekly Summary'!AW$52)+('Equipment List &amp; Usage'!$P76*'Weekly Summary'!AW$53)+('Equipment List &amp; Usage'!$Q76*('Weekly Summary'!AW$52+'Weekly Summary'!AW$53))+('Equipment List &amp; Usage'!$R76*'Weekly Summary'!AW$64)+('Equipment List &amp; Usage'!$S76*'Weekly Summary'!AW$65)+('Equipment List &amp; Usage'!$T76*('Weekly Summary'!AW$64+'Weekly Summary'!AW$65)),
('Equipment List &amp; Usage'!$O76*'Weekly Summary'!AW$52)+('Equipment List &amp; Usage'!$P76*'Weekly Summary'!AW$53)+('Equipment List &amp; Usage'!$Q76*('Weekly Summary'!AW$52+'Weekly Summary'!AW$53))+('Equipment List &amp; Usage'!$R76*'Weekly Summary'!AW$64)+('Equipment List &amp; Usage'!$S76*'Weekly Summary'!AW$65)+('Equipment List &amp; Usage'!$T76*('Weekly Summary'!AW$64+'Weekly Summary'!AW$65))-SUM($I74:BB74))),0)</f>
        <v>0</v>
      </c>
      <c r="BD74" s="1381">
        <f ca="1">MAX(IF($F74="No",('Equipment List &amp; Usage'!$O76*'Weekly Summary'!AX$52)+('Equipment List &amp; Usage'!$P76*'Weekly Summary'!AX$53)+('Equipment List &amp; Usage'!$Q76*('Weekly Summary'!AX$52+'Weekly Summary'!AX$53))+('Equipment List &amp; Usage'!$R76*'Weekly Summary'!AX$64)+('Equipment List &amp; Usage'!$S76*'Weekly Summary'!AX$65)+('Equipment List &amp; Usage'!$T76*('Weekly Summary'!AX$64+'Weekly Summary'!AX$65)),
IF(BD$10=0,('Equipment List &amp; Usage'!$O76*'Weekly Summary'!AX$52)+('Equipment List &amp; Usage'!$P76*'Weekly Summary'!AX$53)+('Equipment List &amp; Usage'!$Q76*('Weekly Summary'!AX$52+'Weekly Summary'!AX$53))+('Equipment List &amp; Usage'!$R76*'Weekly Summary'!AX$64)+('Equipment List &amp; Usage'!$S76*'Weekly Summary'!AX$65)+('Equipment List &amp; Usage'!$T76*('Weekly Summary'!AX$64+'Weekly Summary'!AX$65)),
('Equipment List &amp; Usage'!$O76*'Weekly Summary'!AX$52)+('Equipment List &amp; Usage'!$P76*'Weekly Summary'!AX$53)+('Equipment List &amp; Usage'!$Q76*('Weekly Summary'!AX$52+'Weekly Summary'!AX$53))+('Equipment List &amp; Usage'!$R76*'Weekly Summary'!AX$64)+('Equipment List &amp; Usage'!$S76*'Weekly Summary'!AX$65)+('Equipment List &amp; Usage'!$T76*('Weekly Summary'!AX$64+'Weekly Summary'!AX$65))-SUM($I74:BC74))),0)</f>
        <v>0</v>
      </c>
      <c r="BE74" s="1381">
        <f ca="1">MAX(IF($F74="No",('Equipment List &amp; Usage'!$O76*'Weekly Summary'!AY$52)+('Equipment List &amp; Usage'!$P76*'Weekly Summary'!AY$53)+('Equipment List &amp; Usage'!$Q76*('Weekly Summary'!AY$52+'Weekly Summary'!AY$53))+('Equipment List &amp; Usage'!$R76*'Weekly Summary'!AY$64)+('Equipment List &amp; Usage'!$S76*'Weekly Summary'!AY$65)+('Equipment List &amp; Usage'!$T76*('Weekly Summary'!AY$64+'Weekly Summary'!AY$65)),
IF(BE$10=0,('Equipment List &amp; Usage'!$O76*'Weekly Summary'!AY$52)+('Equipment List &amp; Usage'!$P76*'Weekly Summary'!AY$53)+('Equipment List &amp; Usage'!$Q76*('Weekly Summary'!AY$52+'Weekly Summary'!AY$53))+('Equipment List &amp; Usage'!$R76*'Weekly Summary'!AY$64)+('Equipment List &amp; Usage'!$S76*'Weekly Summary'!AY$65)+('Equipment List &amp; Usage'!$T76*('Weekly Summary'!AY$64+'Weekly Summary'!AY$65)),
('Equipment List &amp; Usage'!$O76*'Weekly Summary'!AY$52)+('Equipment List &amp; Usage'!$P76*'Weekly Summary'!AY$53)+('Equipment List &amp; Usage'!$Q76*('Weekly Summary'!AY$52+'Weekly Summary'!AY$53))+('Equipment List &amp; Usage'!$R76*'Weekly Summary'!AY$64)+('Equipment List &amp; Usage'!$S76*'Weekly Summary'!AY$65)+('Equipment List &amp; Usage'!$T76*('Weekly Summary'!AY$64+'Weekly Summary'!AY$65))-SUM($I74:BD74))),0)</f>
        <v>0</v>
      </c>
      <c r="BF74" s="1381">
        <f ca="1">MAX(IF($F74="No",('Equipment List &amp; Usage'!$O76*'Weekly Summary'!AZ$52)+('Equipment List &amp; Usage'!$P76*'Weekly Summary'!AZ$53)+('Equipment List &amp; Usage'!$Q76*('Weekly Summary'!AZ$52+'Weekly Summary'!AZ$53))+('Equipment List &amp; Usage'!$R76*'Weekly Summary'!AZ$64)+('Equipment List &amp; Usage'!$S76*'Weekly Summary'!AZ$65)+('Equipment List &amp; Usage'!$T76*('Weekly Summary'!AZ$64+'Weekly Summary'!AZ$65)),
IF(BF$10=0,('Equipment List &amp; Usage'!$O76*'Weekly Summary'!AZ$52)+('Equipment List &amp; Usage'!$P76*'Weekly Summary'!AZ$53)+('Equipment List &amp; Usage'!$Q76*('Weekly Summary'!AZ$52+'Weekly Summary'!AZ$53))+('Equipment List &amp; Usage'!$R76*'Weekly Summary'!AZ$64)+('Equipment List &amp; Usage'!$S76*'Weekly Summary'!AZ$65)+('Equipment List &amp; Usage'!$T76*('Weekly Summary'!AZ$64+'Weekly Summary'!AZ$65)),
('Equipment List &amp; Usage'!$O76*'Weekly Summary'!AZ$52)+('Equipment List &amp; Usage'!$P76*'Weekly Summary'!AZ$53)+('Equipment List &amp; Usage'!$Q76*('Weekly Summary'!AZ$52+'Weekly Summary'!AZ$53))+('Equipment List &amp; Usage'!$R76*'Weekly Summary'!AZ$64)+('Equipment List &amp; Usage'!$S76*'Weekly Summary'!AZ$65)+('Equipment List &amp; Usage'!$T76*('Weekly Summary'!AZ$64+'Weekly Summary'!AZ$65))-SUM($I74:BE74))),0)</f>
        <v>0</v>
      </c>
      <c r="BG74" s="1381">
        <f ca="1">MAX(IF($F74="No",('Equipment List &amp; Usage'!$O76*'Weekly Summary'!BA$52)+('Equipment List &amp; Usage'!$P76*'Weekly Summary'!BA$53)+('Equipment List &amp; Usage'!$Q76*('Weekly Summary'!BA$52+'Weekly Summary'!BA$53))+('Equipment List &amp; Usage'!$R76*'Weekly Summary'!BA$64)+('Equipment List &amp; Usage'!$S76*'Weekly Summary'!BA$65)+('Equipment List &amp; Usage'!$T76*('Weekly Summary'!BA$64+'Weekly Summary'!BA$65)),
IF(BG$10=0,('Equipment List &amp; Usage'!$O76*'Weekly Summary'!BA$52)+('Equipment List &amp; Usage'!$P76*'Weekly Summary'!BA$53)+('Equipment List &amp; Usage'!$Q76*('Weekly Summary'!BA$52+'Weekly Summary'!BA$53))+('Equipment List &amp; Usage'!$R76*'Weekly Summary'!BA$64)+('Equipment List &amp; Usage'!$S76*'Weekly Summary'!BA$65)+('Equipment List &amp; Usage'!$T76*('Weekly Summary'!BA$64+'Weekly Summary'!BA$65)),
('Equipment List &amp; Usage'!$O76*'Weekly Summary'!BA$52)+('Equipment List &amp; Usage'!$P76*'Weekly Summary'!BA$53)+('Equipment List &amp; Usage'!$Q76*('Weekly Summary'!BA$52+'Weekly Summary'!BA$53))+('Equipment List &amp; Usage'!$R76*'Weekly Summary'!BA$64)+('Equipment List &amp; Usage'!$S76*'Weekly Summary'!BA$65)+('Equipment List &amp; Usage'!$T76*('Weekly Summary'!BA$64+'Weekly Summary'!BA$65))-SUM($I74:BF74))),0)</f>
        <v>0</v>
      </c>
      <c r="BH74" s="1381">
        <f ca="1">MAX(IF($F74="No",('Equipment List &amp; Usage'!$O76*'Weekly Summary'!BB$52)+('Equipment List &amp; Usage'!$P76*'Weekly Summary'!BB$53)+('Equipment List &amp; Usage'!$Q76*('Weekly Summary'!BB$52+'Weekly Summary'!BB$53))+('Equipment List &amp; Usage'!$R76*'Weekly Summary'!BB$64)+('Equipment List &amp; Usage'!$S76*'Weekly Summary'!BB$65)+('Equipment List &amp; Usage'!$T76*('Weekly Summary'!BB$64+'Weekly Summary'!BB$65)),
IF(BH$10=0,('Equipment List &amp; Usage'!$O76*'Weekly Summary'!BB$52)+('Equipment List &amp; Usage'!$P76*'Weekly Summary'!BB$53)+('Equipment List &amp; Usage'!$Q76*('Weekly Summary'!BB$52+'Weekly Summary'!BB$53))+('Equipment List &amp; Usage'!$R76*'Weekly Summary'!BB$64)+('Equipment List &amp; Usage'!$S76*'Weekly Summary'!BB$65)+('Equipment List &amp; Usage'!$T76*('Weekly Summary'!BB$64+'Weekly Summary'!BB$65)),
('Equipment List &amp; Usage'!$O76*'Weekly Summary'!BB$52)+('Equipment List &amp; Usage'!$P76*'Weekly Summary'!BB$53)+('Equipment List &amp; Usage'!$Q76*('Weekly Summary'!BB$52+'Weekly Summary'!BB$53))+('Equipment List &amp; Usage'!$R76*'Weekly Summary'!BB$64)+('Equipment List &amp; Usage'!$S76*'Weekly Summary'!BB$65)+('Equipment List &amp; Usage'!$T76*('Weekly Summary'!BB$64+'Weekly Summary'!BB$65))-SUM($I74:BG74))),0)</f>
        <v>0</v>
      </c>
      <c r="BI74" s="1381">
        <f ca="1">MAX(IF($F74="No",('Equipment List &amp; Usage'!$O76*'Weekly Summary'!BC$52)+('Equipment List &amp; Usage'!$P76*'Weekly Summary'!BC$53)+('Equipment List &amp; Usage'!$Q76*('Weekly Summary'!BC$52+'Weekly Summary'!BC$53))+('Equipment List &amp; Usage'!$R76*'Weekly Summary'!BC$64)+('Equipment List &amp; Usage'!$S76*'Weekly Summary'!BC$65)+('Equipment List &amp; Usage'!$T76*('Weekly Summary'!BC$64+'Weekly Summary'!BC$65)),
IF(BI$10=0,('Equipment List &amp; Usage'!$O76*'Weekly Summary'!BC$52)+('Equipment List &amp; Usage'!$P76*'Weekly Summary'!BC$53)+('Equipment List &amp; Usage'!$Q76*('Weekly Summary'!BC$52+'Weekly Summary'!BC$53))+('Equipment List &amp; Usage'!$R76*'Weekly Summary'!BC$64)+('Equipment List &amp; Usage'!$S76*'Weekly Summary'!BC$65)+('Equipment List &amp; Usage'!$T76*('Weekly Summary'!BC$64+'Weekly Summary'!BC$65)),
('Equipment List &amp; Usage'!$O76*'Weekly Summary'!BC$52)+('Equipment List &amp; Usage'!$P76*'Weekly Summary'!BC$53)+('Equipment List &amp; Usage'!$Q76*('Weekly Summary'!BC$52+'Weekly Summary'!BC$53))+('Equipment List &amp; Usage'!$R76*'Weekly Summary'!BC$64)+('Equipment List &amp; Usage'!$S76*'Weekly Summary'!BC$65)+('Equipment List &amp; Usage'!$T76*('Weekly Summary'!BC$64+'Weekly Summary'!BC$65))-SUM($I74:BH74))),0)</f>
        <v>0</v>
      </c>
      <c r="BJ74" s="1382">
        <f ca="1">MAX(IF($F74="No",('Equipment List &amp; Usage'!$O76*'Weekly Summary'!BD$52)+('Equipment List &amp; Usage'!$P76*'Weekly Summary'!BD$53)+('Equipment List &amp; Usage'!$Q76*('Weekly Summary'!BD$52+'Weekly Summary'!BD$53))+('Equipment List &amp; Usage'!$R76*'Weekly Summary'!BD$64)+('Equipment List &amp; Usage'!$S76*'Weekly Summary'!BD$65)+('Equipment List &amp; Usage'!$T76*('Weekly Summary'!BD$64+'Weekly Summary'!BD$65)),
IF(BJ$10=0,('Equipment List &amp; Usage'!$O76*'Weekly Summary'!BD$52)+('Equipment List &amp; Usage'!$P76*'Weekly Summary'!BD$53)+('Equipment List &amp; Usage'!$Q76*('Weekly Summary'!BD$52+'Weekly Summary'!BD$53))+('Equipment List &amp; Usage'!$R76*'Weekly Summary'!BD$64)+('Equipment List &amp; Usage'!$S76*'Weekly Summary'!BD$65)+('Equipment List &amp; Usage'!$T76*('Weekly Summary'!BD$64+'Weekly Summary'!BD$65)),
('Equipment List &amp; Usage'!$O76*'Weekly Summary'!BD$52)+('Equipment List &amp; Usage'!$P76*'Weekly Summary'!BD$53)+('Equipment List &amp; Usage'!$Q76*('Weekly Summary'!BD$52+'Weekly Summary'!BD$53))+('Equipment List &amp; Usage'!$R76*'Weekly Summary'!BD$64)+('Equipment List &amp; Usage'!$S76*'Weekly Summary'!BD$65)+('Equipment List &amp; Usage'!$T76*('Weekly Summary'!BD$64+'Weekly Summary'!BD$65))-SUM($I74:BI74))),0)</f>
        <v>0</v>
      </c>
    </row>
    <row r="75" spans="2:62" ht="43.5" collapsed="1" x14ac:dyDescent="0.35">
      <c r="B75" s="735" t="str">
        <f>'Equipment List &amp; Usage'!B77</f>
        <v>Case management - accessories &amp; consumables</v>
      </c>
      <c r="C75" s="526" t="str">
        <f>'Equipment List &amp; Usage'!C77</f>
        <v>Oxygen delivery devices</v>
      </c>
      <c r="D75" s="526" t="str">
        <f>'Equipment List &amp; Usage'!D77</f>
        <v>Venturi Mask, with percent O2 Lock and tubing (adult)</v>
      </c>
      <c r="E75" s="526" t="str">
        <f>'Equipment List &amp; Usage'!E77</f>
        <v>Each</v>
      </c>
      <c r="F75" s="526" t="str">
        <f>'Equipment List &amp; Usage'!F77</f>
        <v>No</v>
      </c>
      <c r="G75" s="526" t="str">
        <f>'Equipment List &amp; Usage'!G77</f>
        <v>N/A</v>
      </c>
      <c r="H75" s="1369">
        <f t="shared" ca="1" si="3"/>
        <v>201.22929995034954</v>
      </c>
      <c r="J75" s="1344"/>
      <c r="K75" s="1381">
        <f ca="1">IF('User Dashboard'!$H$13=1,0,MAX(IF($F75="No",('Equipment List &amp; Usage'!$O77*'Weekly Summary'!E$52)+('Equipment List &amp; Usage'!$P77*'Weekly Summary'!E$53)+('Equipment List &amp; Usage'!$Q77*('Weekly Summary'!E$52+'Weekly Summary'!E$53))+('Equipment List &amp; Usage'!$R77*'Weekly Summary'!E$64)+('Equipment List &amp; Usage'!$S77*'Weekly Summary'!E$65)+('Equipment List &amp; Usage'!$T77*('Weekly Summary'!E$64+'Weekly Summary'!E$65)),
IF(K$10=0,('Equipment List &amp; Usage'!$O77*'Weekly Summary'!E$52)+('Equipment List &amp; Usage'!$P77*'Weekly Summary'!E$53)+('Equipment List &amp; Usage'!$Q77*('Weekly Summary'!E$52+'Weekly Summary'!E$53))+('Equipment List &amp; Usage'!$R77*'Weekly Summary'!E$64)+('Equipment List &amp; Usage'!$S77*'Weekly Summary'!E$65)+('Equipment List &amp; Usage'!$T77*('Weekly Summary'!E$64+'Weekly Summary'!E$65)),
('Equipment List &amp; Usage'!$O77*'Weekly Summary'!E$52)+('Equipment List &amp; Usage'!$P77*'Weekly Summary'!E$53)+('Equipment List &amp; Usage'!$Q77*('Weekly Summary'!E$52+'Weekly Summary'!E$53))+('Equipment List &amp; Usage'!$R77*'Weekly Summary'!E$64)+('Equipment List &amp; Usage'!$S77*'Weekly Summary'!E$65)+('Equipment List &amp; Usage'!$T77*('Weekly Summary'!E$64+'Weekly Summary'!E$65))-SUM($I75:I75))),0))</f>
        <v>0.29803874416808512</v>
      </c>
      <c r="L75" s="1381">
        <f ca="1">MAX(IF($F75="No",('Equipment List &amp; Usage'!$O77*'Weekly Summary'!F$52)+('Equipment List &amp; Usage'!$P77*'Weekly Summary'!F$53)+('Equipment List &amp; Usage'!$Q77*('Weekly Summary'!F$52+'Weekly Summary'!F$53))+('Equipment List &amp; Usage'!$R77*'Weekly Summary'!F$64)+('Equipment List &amp; Usage'!$S77*'Weekly Summary'!F$65)+('Equipment List &amp; Usage'!$T77*('Weekly Summary'!F$64+'Weekly Summary'!F$65)),
IF(L$10=0,('Equipment List &amp; Usage'!$O77*'Weekly Summary'!F$52)+('Equipment List &amp; Usage'!$P77*'Weekly Summary'!F$53)+('Equipment List &amp; Usage'!$Q77*('Weekly Summary'!F$52+'Weekly Summary'!F$53))+('Equipment List &amp; Usage'!$R77*'Weekly Summary'!F$64)+('Equipment List &amp; Usage'!$S77*'Weekly Summary'!F$65)+('Equipment List &amp; Usage'!$T77*('Weekly Summary'!F$64+'Weekly Summary'!F$65)),
('Equipment List &amp; Usage'!$O77*'Weekly Summary'!F$52)+('Equipment List &amp; Usage'!$P77*'Weekly Summary'!F$53)+('Equipment List &amp; Usage'!$Q77*('Weekly Summary'!F$52+'Weekly Summary'!F$53))+('Equipment List &amp; Usage'!$R77*'Weekly Summary'!F$64)+('Equipment List &amp; Usage'!$S77*'Weekly Summary'!F$65)+('Equipment List &amp; Usage'!$T77*('Weekly Summary'!F$64+'Weekly Summary'!F$65))-SUM($I75:K75))),0)</f>
        <v>1.0242125669658242</v>
      </c>
      <c r="M75" s="1381">
        <f ca="1">MAX(IF($F75="No",('Equipment List &amp; Usage'!$O77*'Weekly Summary'!G$52)+('Equipment List &amp; Usage'!$P77*'Weekly Summary'!G$53)+('Equipment List &amp; Usage'!$Q77*('Weekly Summary'!G$52+'Weekly Summary'!G$53))+('Equipment List &amp; Usage'!$R77*'Weekly Summary'!G$64)+('Equipment List &amp; Usage'!$S77*'Weekly Summary'!G$65)+('Equipment List &amp; Usage'!$T77*('Weekly Summary'!G$64+'Weekly Summary'!G$65)),
IF(M$10=0,('Equipment List &amp; Usage'!$O77*'Weekly Summary'!G$52)+('Equipment List &amp; Usage'!$P77*'Weekly Summary'!G$53)+('Equipment List &amp; Usage'!$Q77*('Weekly Summary'!G$52+'Weekly Summary'!G$53))+('Equipment List &amp; Usage'!$R77*'Weekly Summary'!G$64)+('Equipment List &amp; Usage'!$S77*'Weekly Summary'!G$65)+('Equipment List &amp; Usage'!$T77*('Weekly Summary'!G$64+'Weekly Summary'!G$65)),
('Equipment List &amp; Usage'!$O77*'Weekly Summary'!G$52)+('Equipment List &amp; Usage'!$P77*'Weekly Summary'!G$53)+('Equipment List &amp; Usage'!$Q77*('Weekly Summary'!G$52+'Weekly Summary'!G$53))+('Equipment List &amp; Usage'!$R77*'Weekly Summary'!G$64)+('Equipment List &amp; Usage'!$S77*'Weekly Summary'!G$65)+('Equipment List &amp; Usage'!$T77*('Weekly Summary'!G$64+'Weekly Summary'!G$65))-SUM($I75:L75))),0)</f>
        <v>3.5196807709843041</v>
      </c>
      <c r="N75" s="1381">
        <f ca="1">MAX(IF($F75="No",('Equipment List &amp; Usage'!$O77*'Weekly Summary'!H$52)+('Equipment List &amp; Usage'!$P77*'Weekly Summary'!H$53)+('Equipment List &amp; Usage'!$Q77*('Weekly Summary'!H$52+'Weekly Summary'!H$53))+('Equipment List &amp; Usage'!$R77*'Weekly Summary'!H$64)+('Equipment List &amp; Usage'!$S77*'Weekly Summary'!H$65)+('Equipment List &amp; Usage'!$T77*('Weekly Summary'!H$64+'Weekly Summary'!H$65)),
IF(N$10=0,('Equipment List &amp; Usage'!$O77*'Weekly Summary'!H$52)+('Equipment List &amp; Usage'!$P77*'Weekly Summary'!H$53)+('Equipment List &amp; Usage'!$Q77*('Weekly Summary'!H$52+'Weekly Summary'!H$53))+('Equipment List &amp; Usage'!$R77*'Weekly Summary'!H$64)+('Equipment List &amp; Usage'!$S77*'Weekly Summary'!H$65)+('Equipment List &amp; Usage'!$T77*('Weekly Summary'!H$64+'Weekly Summary'!H$65)),
('Equipment List &amp; Usage'!$O77*'Weekly Summary'!H$52)+('Equipment List &amp; Usage'!$P77*'Weekly Summary'!H$53)+('Equipment List &amp; Usage'!$Q77*('Weekly Summary'!H$52+'Weekly Summary'!H$53))+('Equipment List &amp; Usage'!$R77*'Weekly Summary'!H$64)+('Equipment List &amp; Usage'!$S77*'Weekly Summary'!H$65)+('Equipment List &amp; Usage'!$T77*('Weekly Summary'!H$64+'Weekly Summary'!H$65))-SUM($I75:M75))),0)</f>
        <v>12.094892611199443</v>
      </c>
      <c r="O75" s="1381">
        <f ca="1">MAX(IF($F75="No",('Equipment List &amp; Usage'!$O77*'Weekly Summary'!I$52)+('Equipment List &amp; Usage'!$P77*'Weekly Summary'!I$53)+('Equipment List &amp; Usage'!$Q77*('Weekly Summary'!I$52+'Weekly Summary'!I$53))+('Equipment List &amp; Usage'!$R77*'Weekly Summary'!I$64)+('Equipment List &amp; Usage'!$S77*'Weekly Summary'!I$65)+('Equipment List &amp; Usage'!$T77*('Weekly Summary'!I$64+'Weekly Summary'!I$65)),
IF(O$10=0,('Equipment List &amp; Usage'!$O77*'Weekly Summary'!I$52)+('Equipment List &amp; Usage'!$P77*'Weekly Summary'!I$53)+('Equipment List &amp; Usage'!$Q77*('Weekly Summary'!I$52+'Weekly Summary'!I$53))+('Equipment List &amp; Usage'!$R77*'Weekly Summary'!I$64)+('Equipment List &amp; Usage'!$S77*'Weekly Summary'!I$65)+('Equipment List &amp; Usage'!$T77*('Weekly Summary'!I$64+'Weekly Summary'!I$65)),
('Equipment List &amp; Usage'!$O77*'Weekly Summary'!I$52)+('Equipment List &amp; Usage'!$P77*'Weekly Summary'!I$53)+('Equipment List &amp; Usage'!$Q77*('Weekly Summary'!I$52+'Weekly Summary'!I$53))+('Equipment List &amp; Usage'!$R77*'Weekly Summary'!I$64)+('Equipment List &amp; Usage'!$S77*'Weekly Summary'!I$65)+('Equipment List &amp; Usage'!$T77*('Weekly Summary'!I$64+'Weekly Summary'!I$65))-SUM($I75:N75))),0)</f>
        <v>41.557666989694823</v>
      </c>
      <c r="P75" s="1381">
        <f ca="1">MAX(IF($F75="No",('Equipment List &amp; Usage'!$O77*'Weekly Summary'!J$52)+('Equipment List &amp; Usage'!$P77*'Weekly Summary'!J$53)+('Equipment List &amp; Usage'!$Q77*('Weekly Summary'!J$52+'Weekly Summary'!J$53))+('Equipment List &amp; Usage'!$R77*'Weekly Summary'!J$64)+('Equipment List &amp; Usage'!$S77*'Weekly Summary'!J$65)+('Equipment List &amp; Usage'!$T77*('Weekly Summary'!J$64+'Weekly Summary'!J$65)),
IF(P$10=0,('Equipment List &amp; Usage'!$O77*'Weekly Summary'!J$52)+('Equipment List &amp; Usage'!$P77*'Weekly Summary'!J$53)+('Equipment List &amp; Usage'!$Q77*('Weekly Summary'!J$52+'Weekly Summary'!J$53))+('Equipment List &amp; Usage'!$R77*'Weekly Summary'!J$64)+('Equipment List &amp; Usage'!$S77*'Weekly Summary'!J$65)+('Equipment List &amp; Usage'!$T77*('Weekly Summary'!J$64+'Weekly Summary'!J$65)),
('Equipment List &amp; Usage'!$O77*'Weekly Summary'!J$52)+('Equipment List &amp; Usage'!$P77*'Weekly Summary'!J$53)+('Equipment List &amp; Usage'!$Q77*('Weekly Summary'!J$52+'Weekly Summary'!J$53))+('Equipment List &amp; Usage'!$R77*'Weekly Summary'!J$64)+('Equipment List &amp; Usage'!$S77*'Weekly Summary'!J$65)+('Equipment List &amp; Usage'!$T77*('Weekly Summary'!J$64+'Weekly Summary'!J$65))-SUM($I75:O75))),0)</f>
        <v>142.73480826733706</v>
      </c>
      <c r="Q75" s="1381">
        <f ca="1">MAX(IF($F75="No",('Equipment List &amp; Usage'!$O77*'Weekly Summary'!K$52)+('Equipment List &amp; Usage'!$P77*'Weekly Summary'!K$53)+('Equipment List &amp; Usage'!$Q77*('Weekly Summary'!K$52+'Weekly Summary'!K$53))+('Equipment List &amp; Usage'!$R77*'Weekly Summary'!K$64)+('Equipment List &amp; Usage'!$S77*'Weekly Summary'!K$65)+('Equipment List &amp; Usage'!$T77*('Weekly Summary'!K$64+'Weekly Summary'!K$65)),
IF(Q$10=0,('Equipment List &amp; Usage'!$O77*'Weekly Summary'!K$52)+('Equipment List &amp; Usage'!$P77*'Weekly Summary'!K$53)+('Equipment List &amp; Usage'!$Q77*('Weekly Summary'!K$52+'Weekly Summary'!K$53))+('Equipment List &amp; Usage'!$R77*'Weekly Summary'!K$64)+('Equipment List &amp; Usage'!$S77*'Weekly Summary'!K$65)+('Equipment List &amp; Usage'!$T77*('Weekly Summary'!K$64+'Weekly Summary'!K$65)),
('Equipment List &amp; Usage'!$O77*'Weekly Summary'!K$52)+('Equipment List &amp; Usage'!$P77*'Weekly Summary'!K$53)+('Equipment List &amp; Usage'!$Q77*('Weekly Summary'!K$52+'Weekly Summary'!K$53))+('Equipment List &amp; Usage'!$R77*'Weekly Summary'!K$64)+('Equipment List &amp; Usage'!$S77*'Weekly Summary'!K$65)+('Equipment List &amp; Usage'!$T77*('Weekly Summary'!K$64+'Weekly Summary'!K$65))-SUM($I75:P75))),0)</f>
        <v>0</v>
      </c>
      <c r="R75" s="1381">
        <f ca="1">MAX(IF($F75="No",('Equipment List &amp; Usage'!$O77*'Weekly Summary'!L$52)+('Equipment List &amp; Usage'!$P77*'Weekly Summary'!L$53)+('Equipment List &amp; Usage'!$Q77*('Weekly Summary'!L$52+'Weekly Summary'!L$53))+('Equipment List &amp; Usage'!$R77*'Weekly Summary'!L$64)+('Equipment List &amp; Usage'!$S77*'Weekly Summary'!L$65)+('Equipment List &amp; Usage'!$T77*('Weekly Summary'!L$64+'Weekly Summary'!L$65)),
IF(R$10=0,('Equipment List &amp; Usage'!$O77*'Weekly Summary'!L$52)+('Equipment List &amp; Usage'!$P77*'Weekly Summary'!L$53)+('Equipment List &amp; Usage'!$Q77*('Weekly Summary'!L$52+'Weekly Summary'!L$53))+('Equipment List &amp; Usage'!$R77*'Weekly Summary'!L$64)+('Equipment List &amp; Usage'!$S77*'Weekly Summary'!L$65)+('Equipment List &amp; Usage'!$T77*('Weekly Summary'!L$64+'Weekly Summary'!L$65)),
('Equipment List &amp; Usage'!$O77*'Weekly Summary'!L$52)+('Equipment List &amp; Usage'!$P77*'Weekly Summary'!L$53)+('Equipment List &amp; Usage'!$Q77*('Weekly Summary'!L$52+'Weekly Summary'!L$53))+('Equipment List &amp; Usage'!$R77*'Weekly Summary'!L$64)+('Equipment List &amp; Usage'!$S77*'Weekly Summary'!L$65)+('Equipment List &amp; Usage'!$T77*('Weekly Summary'!L$64+'Weekly Summary'!L$65))-SUM($I75:Q75))),0)</f>
        <v>0</v>
      </c>
      <c r="S75" s="1381">
        <f ca="1">MAX(IF($F75="No",('Equipment List &amp; Usage'!$O77*'Weekly Summary'!M$52)+('Equipment List &amp; Usage'!$P77*'Weekly Summary'!M$53)+('Equipment List &amp; Usage'!$Q77*('Weekly Summary'!M$52+'Weekly Summary'!M$53))+('Equipment List &amp; Usage'!$R77*'Weekly Summary'!M$64)+('Equipment List &amp; Usage'!$S77*'Weekly Summary'!M$65)+('Equipment List &amp; Usage'!$T77*('Weekly Summary'!M$64+'Weekly Summary'!M$65)),
IF(S$10=0,('Equipment List &amp; Usage'!$O77*'Weekly Summary'!M$52)+('Equipment List &amp; Usage'!$P77*'Weekly Summary'!M$53)+('Equipment List &amp; Usage'!$Q77*('Weekly Summary'!M$52+'Weekly Summary'!M$53))+('Equipment List &amp; Usage'!$R77*'Weekly Summary'!M$64)+('Equipment List &amp; Usage'!$S77*'Weekly Summary'!M$65)+('Equipment List &amp; Usage'!$T77*('Weekly Summary'!M$64+'Weekly Summary'!M$65)),
('Equipment List &amp; Usage'!$O77*'Weekly Summary'!M$52)+('Equipment List &amp; Usage'!$P77*'Weekly Summary'!M$53)+('Equipment List &amp; Usage'!$Q77*('Weekly Summary'!M$52+'Weekly Summary'!M$53))+('Equipment List &amp; Usage'!$R77*'Weekly Summary'!M$64)+('Equipment List &amp; Usage'!$S77*'Weekly Summary'!M$65)+('Equipment List &amp; Usage'!$T77*('Weekly Summary'!M$64+'Weekly Summary'!M$65))-SUM($I75:R75))),0)</f>
        <v>0</v>
      </c>
      <c r="T75" s="1381">
        <f ca="1">MAX(IF($F75="No",('Equipment List &amp; Usage'!$O77*'Weekly Summary'!N$52)+('Equipment List &amp; Usage'!$P77*'Weekly Summary'!N$53)+('Equipment List &amp; Usage'!$Q77*('Weekly Summary'!N$52+'Weekly Summary'!N$53))+('Equipment List &amp; Usage'!$R77*'Weekly Summary'!N$64)+('Equipment List &amp; Usage'!$S77*'Weekly Summary'!N$65)+('Equipment List &amp; Usage'!$T77*('Weekly Summary'!N$64+'Weekly Summary'!N$65)),
IF(T$10=0,('Equipment List &amp; Usage'!$O77*'Weekly Summary'!N$52)+('Equipment List &amp; Usage'!$P77*'Weekly Summary'!N$53)+('Equipment List &amp; Usage'!$Q77*('Weekly Summary'!N$52+'Weekly Summary'!N$53))+('Equipment List &amp; Usage'!$R77*'Weekly Summary'!N$64)+('Equipment List &amp; Usage'!$S77*'Weekly Summary'!N$65)+('Equipment List &amp; Usage'!$T77*('Weekly Summary'!N$64+'Weekly Summary'!N$65)),
('Equipment List &amp; Usage'!$O77*'Weekly Summary'!N$52)+('Equipment List &amp; Usage'!$P77*'Weekly Summary'!N$53)+('Equipment List &amp; Usage'!$Q77*('Weekly Summary'!N$52+'Weekly Summary'!N$53))+('Equipment List &amp; Usage'!$R77*'Weekly Summary'!N$64)+('Equipment List &amp; Usage'!$S77*'Weekly Summary'!N$65)+('Equipment List &amp; Usage'!$T77*('Weekly Summary'!N$64+'Weekly Summary'!N$65))-SUM($I75:S75))),0)</f>
        <v>0</v>
      </c>
      <c r="U75" s="1381">
        <f ca="1">MAX(IF($F75="No",('Equipment List &amp; Usage'!$O77*'Weekly Summary'!O$52)+('Equipment List &amp; Usage'!$P77*'Weekly Summary'!O$53)+('Equipment List &amp; Usage'!$Q77*('Weekly Summary'!O$52+'Weekly Summary'!O$53))+('Equipment List &amp; Usage'!$R77*'Weekly Summary'!O$64)+('Equipment List &amp; Usage'!$S77*'Weekly Summary'!O$65)+('Equipment List &amp; Usage'!$T77*('Weekly Summary'!O$64+'Weekly Summary'!O$65)),
IF(U$10=0,('Equipment List &amp; Usage'!$O77*'Weekly Summary'!O$52)+('Equipment List &amp; Usage'!$P77*'Weekly Summary'!O$53)+('Equipment List &amp; Usage'!$Q77*('Weekly Summary'!O$52+'Weekly Summary'!O$53))+('Equipment List &amp; Usage'!$R77*'Weekly Summary'!O$64)+('Equipment List &amp; Usage'!$S77*'Weekly Summary'!O$65)+('Equipment List &amp; Usage'!$T77*('Weekly Summary'!O$64+'Weekly Summary'!O$65)),
('Equipment List &amp; Usage'!$O77*'Weekly Summary'!O$52)+('Equipment List &amp; Usage'!$P77*'Weekly Summary'!O$53)+('Equipment List &amp; Usage'!$Q77*('Weekly Summary'!O$52+'Weekly Summary'!O$53))+('Equipment List &amp; Usage'!$R77*'Weekly Summary'!O$64)+('Equipment List &amp; Usage'!$S77*'Weekly Summary'!O$65)+('Equipment List &amp; Usage'!$T77*('Weekly Summary'!O$64+'Weekly Summary'!O$65))-SUM($I75:T75))),0)</f>
        <v>0</v>
      </c>
      <c r="V75" s="1381">
        <f ca="1">MAX(IF($F75="No",('Equipment List &amp; Usage'!$O77*'Weekly Summary'!P$52)+('Equipment List &amp; Usage'!$P77*'Weekly Summary'!P$53)+('Equipment List &amp; Usage'!$Q77*('Weekly Summary'!P$52+'Weekly Summary'!P$53))+('Equipment List &amp; Usage'!$R77*'Weekly Summary'!P$64)+('Equipment List &amp; Usage'!$S77*'Weekly Summary'!P$65)+('Equipment List &amp; Usage'!$T77*('Weekly Summary'!P$64+'Weekly Summary'!P$65)),
IF(V$10=0,('Equipment List &amp; Usage'!$O77*'Weekly Summary'!P$52)+('Equipment List &amp; Usage'!$P77*'Weekly Summary'!P$53)+('Equipment List &amp; Usage'!$Q77*('Weekly Summary'!P$52+'Weekly Summary'!P$53))+('Equipment List &amp; Usage'!$R77*'Weekly Summary'!P$64)+('Equipment List &amp; Usage'!$S77*'Weekly Summary'!P$65)+('Equipment List &amp; Usage'!$T77*('Weekly Summary'!P$64+'Weekly Summary'!P$65)),
('Equipment List &amp; Usage'!$O77*'Weekly Summary'!P$52)+('Equipment List &amp; Usage'!$P77*'Weekly Summary'!P$53)+('Equipment List &amp; Usage'!$Q77*('Weekly Summary'!P$52+'Weekly Summary'!P$53))+('Equipment List &amp; Usage'!$R77*'Weekly Summary'!P$64)+('Equipment List &amp; Usage'!$S77*'Weekly Summary'!P$65)+('Equipment List &amp; Usage'!$T77*('Weekly Summary'!P$64+'Weekly Summary'!P$65))-SUM($I75:U75))),0)</f>
        <v>0</v>
      </c>
      <c r="W75" s="1381">
        <f ca="1">MAX(IF($F75="No",('Equipment List &amp; Usage'!$O77*'Weekly Summary'!Q$52)+('Equipment List &amp; Usage'!$P77*'Weekly Summary'!Q$53)+('Equipment List &amp; Usage'!$Q77*('Weekly Summary'!Q$52+'Weekly Summary'!Q$53))+('Equipment List &amp; Usage'!$R77*'Weekly Summary'!Q$64)+('Equipment List &amp; Usage'!$S77*'Weekly Summary'!Q$65)+('Equipment List &amp; Usage'!$T77*('Weekly Summary'!Q$64+'Weekly Summary'!Q$65)),
IF(W$10=0,('Equipment List &amp; Usage'!$O77*'Weekly Summary'!Q$52)+('Equipment List &amp; Usage'!$P77*'Weekly Summary'!Q$53)+('Equipment List &amp; Usage'!$Q77*('Weekly Summary'!Q$52+'Weekly Summary'!Q$53))+('Equipment List &amp; Usage'!$R77*'Weekly Summary'!Q$64)+('Equipment List &amp; Usage'!$S77*'Weekly Summary'!Q$65)+('Equipment List &amp; Usage'!$T77*('Weekly Summary'!Q$64+'Weekly Summary'!Q$65)),
('Equipment List &amp; Usage'!$O77*'Weekly Summary'!Q$52)+('Equipment List &amp; Usage'!$P77*'Weekly Summary'!Q$53)+('Equipment List &amp; Usage'!$Q77*('Weekly Summary'!Q$52+'Weekly Summary'!Q$53))+('Equipment List &amp; Usage'!$R77*'Weekly Summary'!Q$64)+('Equipment List &amp; Usage'!$S77*'Weekly Summary'!Q$65)+('Equipment List &amp; Usage'!$T77*('Weekly Summary'!Q$64+'Weekly Summary'!Q$65))-SUM($I75:V75))),0)</f>
        <v>0</v>
      </c>
      <c r="X75" s="1381">
        <f ca="1">MAX(IF($F75="No",('Equipment List &amp; Usage'!$O77*'Weekly Summary'!R$52)+('Equipment List &amp; Usage'!$P77*'Weekly Summary'!R$53)+('Equipment List &amp; Usage'!$Q77*('Weekly Summary'!R$52+'Weekly Summary'!R$53))+('Equipment List &amp; Usage'!$R77*'Weekly Summary'!R$64)+('Equipment List &amp; Usage'!$S77*'Weekly Summary'!R$65)+('Equipment List &amp; Usage'!$T77*('Weekly Summary'!R$64+'Weekly Summary'!R$65)),
IF(X$10=0,('Equipment List &amp; Usage'!$O77*'Weekly Summary'!R$52)+('Equipment List &amp; Usage'!$P77*'Weekly Summary'!R$53)+('Equipment List &amp; Usage'!$Q77*('Weekly Summary'!R$52+'Weekly Summary'!R$53))+('Equipment List &amp; Usage'!$R77*'Weekly Summary'!R$64)+('Equipment List &amp; Usage'!$S77*'Weekly Summary'!R$65)+('Equipment List &amp; Usage'!$T77*('Weekly Summary'!R$64+'Weekly Summary'!R$65)),
('Equipment List &amp; Usage'!$O77*'Weekly Summary'!R$52)+('Equipment List &amp; Usage'!$P77*'Weekly Summary'!R$53)+('Equipment List &amp; Usage'!$Q77*('Weekly Summary'!R$52+'Weekly Summary'!R$53))+('Equipment List &amp; Usage'!$R77*'Weekly Summary'!R$64)+('Equipment List &amp; Usage'!$S77*'Weekly Summary'!R$65)+('Equipment List &amp; Usage'!$T77*('Weekly Summary'!R$64+'Weekly Summary'!R$65))-SUM($I75:W75))),0)</f>
        <v>0</v>
      </c>
      <c r="Y75" s="1381">
        <f ca="1">MAX(IF($F75="No",('Equipment List &amp; Usage'!$O77*'Weekly Summary'!S$52)+('Equipment List &amp; Usage'!$P77*'Weekly Summary'!S$53)+('Equipment List &amp; Usage'!$Q77*('Weekly Summary'!S$52+'Weekly Summary'!S$53))+('Equipment List &amp; Usage'!$R77*'Weekly Summary'!S$64)+('Equipment List &amp; Usage'!$S77*'Weekly Summary'!S$65)+('Equipment List &amp; Usage'!$T77*('Weekly Summary'!S$64+'Weekly Summary'!S$65)),
IF(Y$10=0,('Equipment List &amp; Usage'!$O77*'Weekly Summary'!S$52)+('Equipment List &amp; Usage'!$P77*'Weekly Summary'!S$53)+('Equipment List &amp; Usage'!$Q77*('Weekly Summary'!S$52+'Weekly Summary'!S$53))+('Equipment List &amp; Usage'!$R77*'Weekly Summary'!S$64)+('Equipment List &amp; Usage'!$S77*'Weekly Summary'!S$65)+('Equipment List &amp; Usage'!$T77*('Weekly Summary'!S$64+'Weekly Summary'!S$65)),
('Equipment List &amp; Usage'!$O77*'Weekly Summary'!S$52)+('Equipment List &amp; Usage'!$P77*'Weekly Summary'!S$53)+('Equipment List &amp; Usage'!$Q77*('Weekly Summary'!S$52+'Weekly Summary'!S$53))+('Equipment List &amp; Usage'!$R77*'Weekly Summary'!S$64)+('Equipment List &amp; Usage'!$S77*'Weekly Summary'!S$65)+('Equipment List &amp; Usage'!$T77*('Weekly Summary'!S$64+'Weekly Summary'!S$65))-SUM($I75:X75))),0)</f>
        <v>0</v>
      </c>
      <c r="Z75" s="1381">
        <f ca="1">MAX(IF($F75="No",('Equipment List &amp; Usage'!$O77*'Weekly Summary'!T$52)+('Equipment List &amp; Usage'!$P77*'Weekly Summary'!T$53)+('Equipment List &amp; Usage'!$Q77*('Weekly Summary'!T$52+'Weekly Summary'!T$53))+('Equipment List &amp; Usage'!$R77*'Weekly Summary'!T$64)+('Equipment List &amp; Usage'!$S77*'Weekly Summary'!T$65)+('Equipment List &amp; Usage'!$T77*('Weekly Summary'!T$64+'Weekly Summary'!T$65)),
IF(Z$10=0,('Equipment List &amp; Usage'!$O77*'Weekly Summary'!T$52)+('Equipment List &amp; Usage'!$P77*'Weekly Summary'!T$53)+('Equipment List &amp; Usage'!$Q77*('Weekly Summary'!T$52+'Weekly Summary'!T$53))+('Equipment List &amp; Usage'!$R77*'Weekly Summary'!T$64)+('Equipment List &amp; Usage'!$S77*'Weekly Summary'!T$65)+('Equipment List &amp; Usage'!$T77*('Weekly Summary'!T$64+'Weekly Summary'!T$65)),
('Equipment List &amp; Usage'!$O77*'Weekly Summary'!T$52)+('Equipment List &amp; Usage'!$P77*'Weekly Summary'!T$53)+('Equipment List &amp; Usage'!$Q77*('Weekly Summary'!T$52+'Weekly Summary'!T$53))+('Equipment List &amp; Usage'!$R77*'Weekly Summary'!T$64)+('Equipment List &amp; Usage'!$S77*'Weekly Summary'!T$65)+('Equipment List &amp; Usage'!$T77*('Weekly Summary'!T$64+'Weekly Summary'!T$65))-SUM($I75:Y75))),0)</f>
        <v>0</v>
      </c>
      <c r="AA75" s="1381">
        <f ca="1">MAX(IF($F75="No",('Equipment List &amp; Usage'!$O77*'Weekly Summary'!U$52)+('Equipment List &amp; Usage'!$P77*'Weekly Summary'!U$53)+('Equipment List &amp; Usage'!$Q77*('Weekly Summary'!U$52+'Weekly Summary'!U$53))+('Equipment List &amp; Usage'!$R77*'Weekly Summary'!U$64)+('Equipment List &amp; Usage'!$S77*'Weekly Summary'!U$65)+('Equipment List &amp; Usage'!$T77*('Weekly Summary'!U$64+'Weekly Summary'!U$65)),
IF(AA$10=0,('Equipment List &amp; Usage'!$O77*'Weekly Summary'!U$52)+('Equipment List &amp; Usage'!$P77*'Weekly Summary'!U$53)+('Equipment List &amp; Usage'!$Q77*('Weekly Summary'!U$52+'Weekly Summary'!U$53))+('Equipment List &amp; Usage'!$R77*'Weekly Summary'!U$64)+('Equipment List &amp; Usage'!$S77*'Weekly Summary'!U$65)+('Equipment List &amp; Usage'!$T77*('Weekly Summary'!U$64+'Weekly Summary'!U$65)),
('Equipment List &amp; Usage'!$O77*'Weekly Summary'!U$52)+('Equipment List &amp; Usage'!$P77*'Weekly Summary'!U$53)+('Equipment List &amp; Usage'!$Q77*('Weekly Summary'!U$52+'Weekly Summary'!U$53))+('Equipment List &amp; Usage'!$R77*'Weekly Summary'!U$64)+('Equipment List &amp; Usage'!$S77*'Weekly Summary'!U$65)+('Equipment List &amp; Usage'!$T77*('Weekly Summary'!U$64+'Weekly Summary'!U$65))-SUM($I75:Z75))),0)</f>
        <v>0</v>
      </c>
      <c r="AB75" s="1381">
        <f ca="1">MAX(IF($F75="No",('Equipment List &amp; Usage'!$O77*'Weekly Summary'!V$52)+('Equipment List &amp; Usage'!$P77*'Weekly Summary'!V$53)+('Equipment List &amp; Usage'!$Q77*('Weekly Summary'!V$52+'Weekly Summary'!V$53))+('Equipment List &amp; Usage'!$R77*'Weekly Summary'!V$64)+('Equipment List &amp; Usage'!$S77*'Weekly Summary'!V$65)+('Equipment List &amp; Usage'!$T77*('Weekly Summary'!V$64+'Weekly Summary'!V$65)),
IF(AB$10=0,('Equipment List &amp; Usage'!$O77*'Weekly Summary'!V$52)+('Equipment List &amp; Usage'!$P77*'Weekly Summary'!V$53)+('Equipment List &amp; Usage'!$Q77*('Weekly Summary'!V$52+'Weekly Summary'!V$53))+('Equipment List &amp; Usage'!$R77*'Weekly Summary'!V$64)+('Equipment List &amp; Usage'!$S77*'Weekly Summary'!V$65)+('Equipment List &amp; Usage'!$T77*('Weekly Summary'!V$64+'Weekly Summary'!V$65)),
('Equipment List &amp; Usage'!$O77*'Weekly Summary'!V$52)+('Equipment List &amp; Usage'!$P77*'Weekly Summary'!V$53)+('Equipment List &amp; Usage'!$Q77*('Weekly Summary'!V$52+'Weekly Summary'!V$53))+('Equipment List &amp; Usage'!$R77*'Weekly Summary'!V$64)+('Equipment List &amp; Usage'!$S77*'Weekly Summary'!V$65)+('Equipment List &amp; Usage'!$T77*('Weekly Summary'!V$64+'Weekly Summary'!V$65))-SUM($I75:AA75))),0)</f>
        <v>0</v>
      </c>
      <c r="AC75" s="1381">
        <f ca="1">MAX(IF($F75="No",('Equipment List &amp; Usage'!$O77*'Weekly Summary'!W$52)+('Equipment List &amp; Usage'!$P77*'Weekly Summary'!W$53)+('Equipment List &amp; Usage'!$Q77*('Weekly Summary'!W$52+'Weekly Summary'!W$53))+('Equipment List &amp; Usage'!$R77*'Weekly Summary'!W$64)+('Equipment List &amp; Usage'!$S77*'Weekly Summary'!W$65)+('Equipment List &amp; Usage'!$T77*('Weekly Summary'!W$64+'Weekly Summary'!W$65)),
IF(AC$10=0,('Equipment List &amp; Usage'!$O77*'Weekly Summary'!W$52)+('Equipment List &amp; Usage'!$P77*'Weekly Summary'!W$53)+('Equipment List &amp; Usage'!$Q77*('Weekly Summary'!W$52+'Weekly Summary'!W$53))+('Equipment List &amp; Usage'!$R77*'Weekly Summary'!W$64)+('Equipment List &amp; Usage'!$S77*'Weekly Summary'!W$65)+('Equipment List &amp; Usage'!$T77*('Weekly Summary'!W$64+'Weekly Summary'!W$65)),
('Equipment List &amp; Usage'!$O77*'Weekly Summary'!W$52)+('Equipment List &amp; Usage'!$P77*'Weekly Summary'!W$53)+('Equipment List &amp; Usage'!$Q77*('Weekly Summary'!W$52+'Weekly Summary'!W$53))+('Equipment List &amp; Usage'!$R77*'Weekly Summary'!W$64)+('Equipment List &amp; Usage'!$S77*'Weekly Summary'!W$65)+('Equipment List &amp; Usage'!$T77*('Weekly Summary'!W$64+'Weekly Summary'!W$65))-SUM($I75:AB75))),0)</f>
        <v>0</v>
      </c>
      <c r="AD75" s="1381">
        <f ca="1">MAX(IF($F75="No",('Equipment List &amp; Usage'!$O77*'Weekly Summary'!X$52)+('Equipment List &amp; Usage'!$P77*'Weekly Summary'!X$53)+('Equipment List &amp; Usage'!$Q77*('Weekly Summary'!X$52+'Weekly Summary'!X$53))+('Equipment List &amp; Usage'!$R77*'Weekly Summary'!X$64)+('Equipment List &amp; Usage'!$S77*'Weekly Summary'!X$65)+('Equipment List &amp; Usage'!$T77*('Weekly Summary'!X$64+'Weekly Summary'!X$65)),
IF(AD$10=0,('Equipment List &amp; Usage'!$O77*'Weekly Summary'!X$52)+('Equipment List &amp; Usage'!$P77*'Weekly Summary'!X$53)+('Equipment List &amp; Usage'!$Q77*('Weekly Summary'!X$52+'Weekly Summary'!X$53))+('Equipment List &amp; Usage'!$R77*'Weekly Summary'!X$64)+('Equipment List &amp; Usage'!$S77*'Weekly Summary'!X$65)+('Equipment List &amp; Usage'!$T77*('Weekly Summary'!X$64+'Weekly Summary'!X$65)),
('Equipment List &amp; Usage'!$O77*'Weekly Summary'!X$52)+('Equipment List &amp; Usage'!$P77*'Weekly Summary'!X$53)+('Equipment List &amp; Usage'!$Q77*('Weekly Summary'!X$52+'Weekly Summary'!X$53))+('Equipment List &amp; Usage'!$R77*'Weekly Summary'!X$64)+('Equipment List &amp; Usage'!$S77*'Weekly Summary'!X$65)+('Equipment List &amp; Usage'!$T77*('Weekly Summary'!X$64+'Weekly Summary'!X$65))-SUM($I75:AC75))),0)</f>
        <v>0</v>
      </c>
      <c r="AE75" s="1381">
        <f ca="1">MAX(IF($F75="No",('Equipment List &amp; Usage'!$O77*'Weekly Summary'!Y$52)+('Equipment List &amp; Usage'!$P77*'Weekly Summary'!Y$53)+('Equipment List &amp; Usage'!$Q77*('Weekly Summary'!Y$52+'Weekly Summary'!Y$53))+('Equipment List &amp; Usage'!$R77*'Weekly Summary'!Y$64)+('Equipment List &amp; Usage'!$S77*'Weekly Summary'!Y$65)+('Equipment List &amp; Usage'!$T77*('Weekly Summary'!Y$64+'Weekly Summary'!Y$65)),
IF(AE$10=0,('Equipment List &amp; Usage'!$O77*'Weekly Summary'!Y$52)+('Equipment List &amp; Usage'!$P77*'Weekly Summary'!Y$53)+('Equipment List &amp; Usage'!$Q77*('Weekly Summary'!Y$52+'Weekly Summary'!Y$53))+('Equipment List &amp; Usage'!$R77*'Weekly Summary'!Y$64)+('Equipment List &amp; Usage'!$S77*'Weekly Summary'!Y$65)+('Equipment List &amp; Usage'!$T77*('Weekly Summary'!Y$64+'Weekly Summary'!Y$65)),
('Equipment List &amp; Usage'!$O77*'Weekly Summary'!Y$52)+('Equipment List &amp; Usage'!$P77*'Weekly Summary'!Y$53)+('Equipment List &amp; Usage'!$Q77*('Weekly Summary'!Y$52+'Weekly Summary'!Y$53))+('Equipment List &amp; Usage'!$R77*'Weekly Summary'!Y$64)+('Equipment List &amp; Usage'!$S77*'Weekly Summary'!Y$65)+('Equipment List &amp; Usage'!$T77*('Weekly Summary'!Y$64+'Weekly Summary'!Y$65))-SUM($I75:AD75))),0)</f>
        <v>0</v>
      </c>
      <c r="AF75" s="1381">
        <f ca="1">MAX(IF($F75="No",('Equipment List &amp; Usage'!$O77*'Weekly Summary'!Z$52)+('Equipment List &amp; Usage'!$P77*'Weekly Summary'!Z$53)+('Equipment List &amp; Usage'!$Q77*('Weekly Summary'!Z$52+'Weekly Summary'!Z$53))+('Equipment List &amp; Usage'!$R77*'Weekly Summary'!Z$64)+('Equipment List &amp; Usage'!$S77*'Weekly Summary'!Z$65)+('Equipment List &amp; Usage'!$T77*('Weekly Summary'!Z$64+'Weekly Summary'!Z$65)),
IF(AF$10=0,('Equipment List &amp; Usage'!$O77*'Weekly Summary'!Z$52)+('Equipment List &amp; Usage'!$P77*'Weekly Summary'!Z$53)+('Equipment List &amp; Usage'!$Q77*('Weekly Summary'!Z$52+'Weekly Summary'!Z$53))+('Equipment List &amp; Usage'!$R77*'Weekly Summary'!Z$64)+('Equipment List &amp; Usage'!$S77*'Weekly Summary'!Z$65)+('Equipment List &amp; Usage'!$T77*('Weekly Summary'!Z$64+'Weekly Summary'!Z$65)),
('Equipment List &amp; Usage'!$O77*'Weekly Summary'!Z$52)+('Equipment List &amp; Usage'!$P77*'Weekly Summary'!Z$53)+('Equipment List &amp; Usage'!$Q77*('Weekly Summary'!Z$52+'Weekly Summary'!Z$53))+('Equipment List &amp; Usage'!$R77*'Weekly Summary'!Z$64)+('Equipment List &amp; Usage'!$S77*'Weekly Summary'!Z$65)+('Equipment List &amp; Usage'!$T77*('Weekly Summary'!Z$64+'Weekly Summary'!Z$65))-SUM($I75:AE75))),0)</f>
        <v>0</v>
      </c>
      <c r="AG75" s="1381">
        <f ca="1">MAX(IF($F75="No",('Equipment List &amp; Usage'!$O77*'Weekly Summary'!AA$52)+('Equipment List &amp; Usage'!$P77*'Weekly Summary'!AA$53)+('Equipment List &amp; Usage'!$Q77*('Weekly Summary'!AA$52+'Weekly Summary'!AA$53))+('Equipment List &amp; Usage'!$R77*'Weekly Summary'!AA$64)+('Equipment List &amp; Usage'!$S77*'Weekly Summary'!AA$65)+('Equipment List &amp; Usage'!$T77*('Weekly Summary'!AA$64+'Weekly Summary'!AA$65)),
IF(AG$10=0,('Equipment List &amp; Usage'!$O77*'Weekly Summary'!AA$52)+('Equipment List &amp; Usage'!$P77*'Weekly Summary'!AA$53)+('Equipment List &amp; Usage'!$Q77*('Weekly Summary'!AA$52+'Weekly Summary'!AA$53))+('Equipment List &amp; Usage'!$R77*'Weekly Summary'!AA$64)+('Equipment List &amp; Usage'!$S77*'Weekly Summary'!AA$65)+('Equipment List &amp; Usage'!$T77*('Weekly Summary'!AA$64+'Weekly Summary'!AA$65)),
('Equipment List &amp; Usage'!$O77*'Weekly Summary'!AA$52)+('Equipment List &amp; Usage'!$P77*'Weekly Summary'!AA$53)+('Equipment List &amp; Usage'!$Q77*('Weekly Summary'!AA$52+'Weekly Summary'!AA$53))+('Equipment List &amp; Usage'!$R77*'Weekly Summary'!AA$64)+('Equipment List &amp; Usage'!$S77*'Weekly Summary'!AA$65)+('Equipment List &amp; Usage'!$T77*('Weekly Summary'!AA$64+'Weekly Summary'!AA$65))-SUM($I75:AF75))),0)</f>
        <v>0</v>
      </c>
      <c r="AH75" s="1381">
        <f ca="1">MAX(IF($F75="No",('Equipment List &amp; Usage'!$O77*'Weekly Summary'!AB$52)+('Equipment List &amp; Usage'!$P77*'Weekly Summary'!AB$53)+('Equipment List &amp; Usage'!$Q77*('Weekly Summary'!AB$52+'Weekly Summary'!AB$53))+('Equipment List &amp; Usage'!$R77*'Weekly Summary'!AB$64)+('Equipment List &amp; Usage'!$S77*'Weekly Summary'!AB$65)+('Equipment List &amp; Usage'!$T77*('Weekly Summary'!AB$64+'Weekly Summary'!AB$65)),
IF(AH$10=0,('Equipment List &amp; Usage'!$O77*'Weekly Summary'!AB$52)+('Equipment List &amp; Usage'!$P77*'Weekly Summary'!AB$53)+('Equipment List &amp; Usage'!$Q77*('Weekly Summary'!AB$52+'Weekly Summary'!AB$53))+('Equipment List &amp; Usage'!$R77*'Weekly Summary'!AB$64)+('Equipment List &amp; Usage'!$S77*'Weekly Summary'!AB$65)+('Equipment List &amp; Usage'!$T77*('Weekly Summary'!AB$64+'Weekly Summary'!AB$65)),
('Equipment List &amp; Usage'!$O77*'Weekly Summary'!AB$52)+('Equipment List &amp; Usage'!$P77*'Weekly Summary'!AB$53)+('Equipment List &amp; Usage'!$Q77*('Weekly Summary'!AB$52+'Weekly Summary'!AB$53))+('Equipment List &amp; Usage'!$R77*'Weekly Summary'!AB$64)+('Equipment List &amp; Usage'!$S77*'Weekly Summary'!AB$65)+('Equipment List &amp; Usage'!$T77*('Weekly Summary'!AB$64+'Weekly Summary'!AB$65))-SUM($I75:AG75))),0)</f>
        <v>0</v>
      </c>
      <c r="AI75" s="1381">
        <f ca="1">MAX(IF($F75="No",('Equipment List &amp; Usage'!$O77*'Weekly Summary'!AC$52)+('Equipment List &amp; Usage'!$P77*'Weekly Summary'!AC$53)+('Equipment List &amp; Usage'!$Q77*('Weekly Summary'!AC$52+'Weekly Summary'!AC$53))+('Equipment List &amp; Usage'!$R77*'Weekly Summary'!AC$64)+('Equipment List &amp; Usage'!$S77*'Weekly Summary'!AC$65)+('Equipment List &amp; Usage'!$T77*('Weekly Summary'!AC$64+'Weekly Summary'!AC$65)),
IF(AI$10=0,('Equipment List &amp; Usage'!$O77*'Weekly Summary'!AC$52)+('Equipment List &amp; Usage'!$P77*'Weekly Summary'!AC$53)+('Equipment List &amp; Usage'!$Q77*('Weekly Summary'!AC$52+'Weekly Summary'!AC$53))+('Equipment List &amp; Usage'!$R77*'Weekly Summary'!AC$64)+('Equipment List &amp; Usage'!$S77*'Weekly Summary'!AC$65)+('Equipment List &amp; Usage'!$T77*('Weekly Summary'!AC$64+'Weekly Summary'!AC$65)),
('Equipment List &amp; Usage'!$O77*'Weekly Summary'!AC$52)+('Equipment List &amp; Usage'!$P77*'Weekly Summary'!AC$53)+('Equipment List &amp; Usage'!$Q77*('Weekly Summary'!AC$52+'Weekly Summary'!AC$53))+('Equipment List &amp; Usage'!$R77*'Weekly Summary'!AC$64)+('Equipment List &amp; Usage'!$S77*'Weekly Summary'!AC$65)+('Equipment List &amp; Usage'!$T77*('Weekly Summary'!AC$64+'Weekly Summary'!AC$65))-SUM($I75:AH75))),0)</f>
        <v>0</v>
      </c>
      <c r="AJ75" s="1381">
        <f ca="1">MAX(IF($F75="No",('Equipment List &amp; Usage'!$O77*'Weekly Summary'!AD$52)+('Equipment List &amp; Usage'!$P77*'Weekly Summary'!AD$53)+('Equipment List &amp; Usage'!$Q77*('Weekly Summary'!AD$52+'Weekly Summary'!AD$53))+('Equipment List &amp; Usage'!$R77*'Weekly Summary'!AD$64)+('Equipment List &amp; Usage'!$S77*'Weekly Summary'!AD$65)+('Equipment List &amp; Usage'!$T77*('Weekly Summary'!AD$64+'Weekly Summary'!AD$65)),
IF(AJ$10=0,('Equipment List &amp; Usage'!$O77*'Weekly Summary'!AD$52)+('Equipment List &amp; Usage'!$P77*'Weekly Summary'!AD$53)+('Equipment List &amp; Usage'!$Q77*('Weekly Summary'!AD$52+'Weekly Summary'!AD$53))+('Equipment List &amp; Usage'!$R77*'Weekly Summary'!AD$64)+('Equipment List &amp; Usage'!$S77*'Weekly Summary'!AD$65)+('Equipment List &amp; Usage'!$T77*('Weekly Summary'!AD$64+'Weekly Summary'!AD$65)),
('Equipment List &amp; Usage'!$O77*'Weekly Summary'!AD$52)+('Equipment List &amp; Usage'!$P77*'Weekly Summary'!AD$53)+('Equipment List &amp; Usage'!$Q77*('Weekly Summary'!AD$52+'Weekly Summary'!AD$53))+('Equipment List &amp; Usage'!$R77*'Weekly Summary'!AD$64)+('Equipment List &amp; Usage'!$S77*'Weekly Summary'!AD$65)+('Equipment List &amp; Usage'!$T77*('Weekly Summary'!AD$64+'Weekly Summary'!AD$65))-SUM($I75:AI75))),0)</f>
        <v>0</v>
      </c>
      <c r="AK75" s="1381">
        <f ca="1">MAX(IF($F75="No",('Equipment List &amp; Usage'!$O77*'Weekly Summary'!AE$52)+('Equipment List &amp; Usage'!$P77*'Weekly Summary'!AE$53)+('Equipment List &amp; Usage'!$Q77*('Weekly Summary'!AE$52+'Weekly Summary'!AE$53))+('Equipment List &amp; Usage'!$R77*'Weekly Summary'!AE$64)+('Equipment List &amp; Usage'!$S77*'Weekly Summary'!AE$65)+('Equipment List &amp; Usage'!$T77*('Weekly Summary'!AE$64+'Weekly Summary'!AE$65)),
IF(AK$10=0,('Equipment List &amp; Usage'!$O77*'Weekly Summary'!AE$52)+('Equipment List &amp; Usage'!$P77*'Weekly Summary'!AE$53)+('Equipment List &amp; Usage'!$Q77*('Weekly Summary'!AE$52+'Weekly Summary'!AE$53))+('Equipment List &amp; Usage'!$R77*'Weekly Summary'!AE$64)+('Equipment List &amp; Usage'!$S77*'Weekly Summary'!AE$65)+('Equipment List &amp; Usage'!$T77*('Weekly Summary'!AE$64+'Weekly Summary'!AE$65)),
('Equipment List &amp; Usage'!$O77*'Weekly Summary'!AE$52)+('Equipment List &amp; Usage'!$P77*'Weekly Summary'!AE$53)+('Equipment List &amp; Usage'!$Q77*('Weekly Summary'!AE$52+'Weekly Summary'!AE$53))+('Equipment List &amp; Usage'!$R77*'Weekly Summary'!AE$64)+('Equipment List &amp; Usage'!$S77*'Weekly Summary'!AE$65)+('Equipment List &amp; Usage'!$T77*('Weekly Summary'!AE$64+'Weekly Summary'!AE$65))-SUM($I75:AJ75))),0)</f>
        <v>0</v>
      </c>
      <c r="AL75" s="1381">
        <f ca="1">MAX(IF($F75="No",('Equipment List &amp; Usage'!$O77*'Weekly Summary'!AF$52)+('Equipment List &amp; Usage'!$P77*'Weekly Summary'!AF$53)+('Equipment List &amp; Usage'!$Q77*('Weekly Summary'!AF$52+'Weekly Summary'!AF$53))+('Equipment List &amp; Usage'!$R77*'Weekly Summary'!AF$64)+('Equipment List &amp; Usage'!$S77*'Weekly Summary'!AF$65)+('Equipment List &amp; Usage'!$T77*('Weekly Summary'!AF$64+'Weekly Summary'!AF$65)),
IF(AL$10=0,('Equipment List &amp; Usage'!$O77*'Weekly Summary'!AF$52)+('Equipment List &amp; Usage'!$P77*'Weekly Summary'!AF$53)+('Equipment List &amp; Usage'!$Q77*('Weekly Summary'!AF$52+'Weekly Summary'!AF$53))+('Equipment List &amp; Usage'!$R77*'Weekly Summary'!AF$64)+('Equipment List &amp; Usage'!$S77*'Weekly Summary'!AF$65)+('Equipment List &amp; Usage'!$T77*('Weekly Summary'!AF$64+'Weekly Summary'!AF$65)),
('Equipment List &amp; Usage'!$O77*'Weekly Summary'!AF$52)+('Equipment List &amp; Usage'!$P77*'Weekly Summary'!AF$53)+('Equipment List &amp; Usage'!$Q77*('Weekly Summary'!AF$52+'Weekly Summary'!AF$53))+('Equipment List &amp; Usage'!$R77*'Weekly Summary'!AF$64)+('Equipment List &amp; Usage'!$S77*'Weekly Summary'!AF$65)+('Equipment List &amp; Usage'!$T77*('Weekly Summary'!AF$64+'Weekly Summary'!AF$65))-SUM($I75:AK75))),0)</f>
        <v>0</v>
      </c>
      <c r="AM75" s="1381">
        <f ca="1">MAX(IF($F75="No",('Equipment List &amp; Usage'!$O77*'Weekly Summary'!AG$52)+('Equipment List &amp; Usage'!$P77*'Weekly Summary'!AG$53)+('Equipment List &amp; Usage'!$Q77*('Weekly Summary'!AG$52+'Weekly Summary'!AG$53))+('Equipment List &amp; Usage'!$R77*'Weekly Summary'!AG$64)+('Equipment List &amp; Usage'!$S77*'Weekly Summary'!AG$65)+('Equipment List &amp; Usage'!$T77*('Weekly Summary'!AG$64+'Weekly Summary'!AG$65)),
IF(AM$10=0,('Equipment List &amp; Usage'!$O77*'Weekly Summary'!AG$52)+('Equipment List &amp; Usage'!$P77*'Weekly Summary'!AG$53)+('Equipment List &amp; Usage'!$Q77*('Weekly Summary'!AG$52+'Weekly Summary'!AG$53))+('Equipment List &amp; Usage'!$R77*'Weekly Summary'!AG$64)+('Equipment List &amp; Usage'!$S77*'Weekly Summary'!AG$65)+('Equipment List &amp; Usage'!$T77*('Weekly Summary'!AG$64+'Weekly Summary'!AG$65)),
('Equipment List &amp; Usage'!$O77*'Weekly Summary'!AG$52)+('Equipment List &amp; Usage'!$P77*'Weekly Summary'!AG$53)+('Equipment List &amp; Usage'!$Q77*('Weekly Summary'!AG$52+'Weekly Summary'!AG$53))+('Equipment List &amp; Usage'!$R77*'Weekly Summary'!AG$64)+('Equipment List &amp; Usage'!$S77*'Weekly Summary'!AG$65)+('Equipment List &amp; Usage'!$T77*('Weekly Summary'!AG$64+'Weekly Summary'!AG$65))-SUM($I75:AL75))),0)</f>
        <v>0</v>
      </c>
      <c r="AN75" s="1381">
        <f ca="1">MAX(IF($F75="No",('Equipment List &amp; Usage'!$O77*'Weekly Summary'!AH$52)+('Equipment List &amp; Usage'!$P77*'Weekly Summary'!AH$53)+('Equipment List &amp; Usage'!$Q77*('Weekly Summary'!AH$52+'Weekly Summary'!AH$53))+('Equipment List &amp; Usage'!$R77*'Weekly Summary'!AH$64)+('Equipment List &amp; Usage'!$S77*'Weekly Summary'!AH$65)+('Equipment List &amp; Usage'!$T77*('Weekly Summary'!AH$64+'Weekly Summary'!AH$65)),
IF(AN$10=0,('Equipment List &amp; Usage'!$O77*'Weekly Summary'!AH$52)+('Equipment List &amp; Usage'!$P77*'Weekly Summary'!AH$53)+('Equipment List &amp; Usage'!$Q77*('Weekly Summary'!AH$52+'Weekly Summary'!AH$53))+('Equipment List &amp; Usage'!$R77*'Weekly Summary'!AH$64)+('Equipment List &amp; Usage'!$S77*'Weekly Summary'!AH$65)+('Equipment List &amp; Usage'!$T77*('Weekly Summary'!AH$64+'Weekly Summary'!AH$65)),
('Equipment List &amp; Usage'!$O77*'Weekly Summary'!AH$52)+('Equipment List &amp; Usage'!$P77*'Weekly Summary'!AH$53)+('Equipment List &amp; Usage'!$Q77*('Weekly Summary'!AH$52+'Weekly Summary'!AH$53))+('Equipment List &amp; Usage'!$R77*'Weekly Summary'!AH$64)+('Equipment List &amp; Usage'!$S77*'Weekly Summary'!AH$65)+('Equipment List &amp; Usage'!$T77*('Weekly Summary'!AH$64+'Weekly Summary'!AH$65))-SUM($I75:AM75))),0)</f>
        <v>0</v>
      </c>
      <c r="AO75" s="1381">
        <f ca="1">MAX(IF($F75="No",('Equipment List &amp; Usage'!$O77*'Weekly Summary'!AI$52)+('Equipment List &amp; Usage'!$P77*'Weekly Summary'!AI$53)+('Equipment List &amp; Usage'!$Q77*('Weekly Summary'!AI$52+'Weekly Summary'!AI$53))+('Equipment List &amp; Usage'!$R77*'Weekly Summary'!AI$64)+('Equipment List &amp; Usage'!$S77*'Weekly Summary'!AI$65)+('Equipment List &amp; Usage'!$T77*('Weekly Summary'!AI$64+'Weekly Summary'!AI$65)),
IF(AO$10=0,('Equipment List &amp; Usage'!$O77*'Weekly Summary'!AI$52)+('Equipment List &amp; Usage'!$P77*'Weekly Summary'!AI$53)+('Equipment List &amp; Usage'!$Q77*('Weekly Summary'!AI$52+'Weekly Summary'!AI$53))+('Equipment List &amp; Usage'!$R77*'Weekly Summary'!AI$64)+('Equipment List &amp; Usage'!$S77*'Weekly Summary'!AI$65)+('Equipment List &amp; Usage'!$T77*('Weekly Summary'!AI$64+'Weekly Summary'!AI$65)),
('Equipment List &amp; Usage'!$O77*'Weekly Summary'!AI$52)+('Equipment List &amp; Usage'!$P77*'Weekly Summary'!AI$53)+('Equipment List &amp; Usage'!$Q77*('Weekly Summary'!AI$52+'Weekly Summary'!AI$53))+('Equipment List &amp; Usage'!$R77*'Weekly Summary'!AI$64)+('Equipment List &amp; Usage'!$S77*'Weekly Summary'!AI$65)+('Equipment List &amp; Usage'!$T77*('Weekly Summary'!AI$64+'Weekly Summary'!AI$65))-SUM($I75:AN75))),0)</f>
        <v>0</v>
      </c>
      <c r="AP75" s="1381">
        <f ca="1">MAX(IF($F75="No",('Equipment List &amp; Usage'!$O77*'Weekly Summary'!AJ$52)+('Equipment List &amp; Usage'!$P77*'Weekly Summary'!AJ$53)+('Equipment List &amp; Usage'!$Q77*('Weekly Summary'!AJ$52+'Weekly Summary'!AJ$53))+('Equipment List &amp; Usage'!$R77*'Weekly Summary'!AJ$64)+('Equipment List &amp; Usage'!$S77*'Weekly Summary'!AJ$65)+('Equipment List &amp; Usage'!$T77*('Weekly Summary'!AJ$64+'Weekly Summary'!AJ$65)),
IF(AP$10=0,('Equipment List &amp; Usage'!$O77*'Weekly Summary'!AJ$52)+('Equipment List &amp; Usage'!$P77*'Weekly Summary'!AJ$53)+('Equipment List &amp; Usage'!$Q77*('Weekly Summary'!AJ$52+'Weekly Summary'!AJ$53))+('Equipment List &amp; Usage'!$R77*'Weekly Summary'!AJ$64)+('Equipment List &amp; Usage'!$S77*'Weekly Summary'!AJ$65)+('Equipment List &amp; Usage'!$T77*('Weekly Summary'!AJ$64+'Weekly Summary'!AJ$65)),
('Equipment List &amp; Usage'!$O77*'Weekly Summary'!AJ$52)+('Equipment List &amp; Usage'!$P77*'Weekly Summary'!AJ$53)+('Equipment List &amp; Usage'!$Q77*('Weekly Summary'!AJ$52+'Weekly Summary'!AJ$53))+('Equipment List &amp; Usage'!$R77*'Weekly Summary'!AJ$64)+('Equipment List &amp; Usage'!$S77*'Weekly Summary'!AJ$65)+('Equipment List &amp; Usage'!$T77*('Weekly Summary'!AJ$64+'Weekly Summary'!AJ$65))-SUM($I75:AO75))),0)</f>
        <v>0</v>
      </c>
      <c r="AQ75" s="1381">
        <f ca="1">MAX(IF($F75="No",('Equipment List &amp; Usage'!$O77*'Weekly Summary'!AK$52)+('Equipment List &amp; Usage'!$P77*'Weekly Summary'!AK$53)+('Equipment List &amp; Usage'!$Q77*('Weekly Summary'!AK$52+'Weekly Summary'!AK$53))+('Equipment List &amp; Usage'!$R77*'Weekly Summary'!AK$64)+('Equipment List &amp; Usage'!$S77*'Weekly Summary'!AK$65)+('Equipment List &amp; Usage'!$T77*('Weekly Summary'!AK$64+'Weekly Summary'!AK$65)),
IF(AQ$10=0,('Equipment List &amp; Usage'!$O77*'Weekly Summary'!AK$52)+('Equipment List &amp; Usage'!$P77*'Weekly Summary'!AK$53)+('Equipment List &amp; Usage'!$Q77*('Weekly Summary'!AK$52+'Weekly Summary'!AK$53))+('Equipment List &amp; Usage'!$R77*'Weekly Summary'!AK$64)+('Equipment List &amp; Usage'!$S77*'Weekly Summary'!AK$65)+('Equipment List &amp; Usage'!$T77*('Weekly Summary'!AK$64+'Weekly Summary'!AK$65)),
('Equipment List &amp; Usage'!$O77*'Weekly Summary'!AK$52)+('Equipment List &amp; Usage'!$P77*'Weekly Summary'!AK$53)+('Equipment List &amp; Usage'!$Q77*('Weekly Summary'!AK$52+'Weekly Summary'!AK$53))+('Equipment List &amp; Usage'!$R77*'Weekly Summary'!AK$64)+('Equipment List &amp; Usage'!$S77*'Weekly Summary'!AK$65)+('Equipment List &amp; Usage'!$T77*('Weekly Summary'!AK$64+'Weekly Summary'!AK$65))-SUM($I75:AP75))),0)</f>
        <v>0</v>
      </c>
      <c r="AR75" s="1381">
        <f ca="1">MAX(IF($F75="No",('Equipment List &amp; Usage'!$O77*'Weekly Summary'!AL$52)+('Equipment List &amp; Usage'!$P77*'Weekly Summary'!AL$53)+('Equipment List &amp; Usage'!$Q77*('Weekly Summary'!AL$52+'Weekly Summary'!AL$53))+('Equipment List &amp; Usage'!$R77*'Weekly Summary'!AL$64)+('Equipment List &amp; Usage'!$S77*'Weekly Summary'!AL$65)+('Equipment List &amp; Usage'!$T77*('Weekly Summary'!AL$64+'Weekly Summary'!AL$65)),
IF(AR$10=0,('Equipment List &amp; Usage'!$O77*'Weekly Summary'!AL$52)+('Equipment List &amp; Usage'!$P77*'Weekly Summary'!AL$53)+('Equipment List &amp; Usage'!$Q77*('Weekly Summary'!AL$52+'Weekly Summary'!AL$53))+('Equipment List &amp; Usage'!$R77*'Weekly Summary'!AL$64)+('Equipment List &amp; Usage'!$S77*'Weekly Summary'!AL$65)+('Equipment List &amp; Usage'!$T77*('Weekly Summary'!AL$64+'Weekly Summary'!AL$65)),
('Equipment List &amp; Usage'!$O77*'Weekly Summary'!AL$52)+('Equipment List &amp; Usage'!$P77*'Weekly Summary'!AL$53)+('Equipment List &amp; Usage'!$Q77*('Weekly Summary'!AL$52+'Weekly Summary'!AL$53))+('Equipment List &amp; Usage'!$R77*'Weekly Summary'!AL$64)+('Equipment List &amp; Usage'!$S77*'Weekly Summary'!AL$65)+('Equipment List &amp; Usage'!$T77*('Weekly Summary'!AL$64+'Weekly Summary'!AL$65))-SUM($I75:AQ75))),0)</f>
        <v>0</v>
      </c>
      <c r="AS75" s="1381">
        <f ca="1">MAX(IF($F75="No",('Equipment List &amp; Usage'!$O77*'Weekly Summary'!AM$52)+('Equipment List &amp; Usage'!$P77*'Weekly Summary'!AM$53)+('Equipment List &amp; Usage'!$Q77*('Weekly Summary'!AM$52+'Weekly Summary'!AM$53))+('Equipment List &amp; Usage'!$R77*'Weekly Summary'!AM$64)+('Equipment List &amp; Usage'!$S77*'Weekly Summary'!AM$65)+('Equipment List &amp; Usage'!$T77*('Weekly Summary'!AM$64+'Weekly Summary'!AM$65)),
IF(AS$10=0,('Equipment List &amp; Usage'!$O77*'Weekly Summary'!AM$52)+('Equipment List &amp; Usage'!$P77*'Weekly Summary'!AM$53)+('Equipment List &amp; Usage'!$Q77*('Weekly Summary'!AM$52+'Weekly Summary'!AM$53))+('Equipment List &amp; Usage'!$R77*'Weekly Summary'!AM$64)+('Equipment List &amp; Usage'!$S77*'Weekly Summary'!AM$65)+('Equipment List &amp; Usage'!$T77*('Weekly Summary'!AM$64+'Weekly Summary'!AM$65)),
('Equipment List &amp; Usage'!$O77*'Weekly Summary'!AM$52)+('Equipment List &amp; Usage'!$P77*'Weekly Summary'!AM$53)+('Equipment List &amp; Usage'!$Q77*('Weekly Summary'!AM$52+'Weekly Summary'!AM$53))+('Equipment List &amp; Usage'!$R77*'Weekly Summary'!AM$64)+('Equipment List &amp; Usage'!$S77*'Weekly Summary'!AM$65)+('Equipment List &amp; Usage'!$T77*('Weekly Summary'!AM$64+'Weekly Summary'!AM$65))-SUM($I75:AR75))),0)</f>
        <v>0</v>
      </c>
      <c r="AT75" s="1381">
        <f ca="1">MAX(IF($F75="No",('Equipment List &amp; Usage'!$O77*'Weekly Summary'!AN$52)+('Equipment List &amp; Usage'!$P77*'Weekly Summary'!AN$53)+('Equipment List &amp; Usage'!$Q77*('Weekly Summary'!AN$52+'Weekly Summary'!AN$53))+('Equipment List &amp; Usage'!$R77*'Weekly Summary'!AN$64)+('Equipment List &amp; Usage'!$S77*'Weekly Summary'!AN$65)+('Equipment List &amp; Usage'!$T77*('Weekly Summary'!AN$64+'Weekly Summary'!AN$65)),
IF(AT$10=0,('Equipment List &amp; Usage'!$O77*'Weekly Summary'!AN$52)+('Equipment List &amp; Usage'!$P77*'Weekly Summary'!AN$53)+('Equipment List &amp; Usage'!$Q77*('Weekly Summary'!AN$52+'Weekly Summary'!AN$53))+('Equipment List &amp; Usage'!$R77*'Weekly Summary'!AN$64)+('Equipment List &amp; Usage'!$S77*'Weekly Summary'!AN$65)+('Equipment List &amp; Usage'!$T77*('Weekly Summary'!AN$64+'Weekly Summary'!AN$65)),
('Equipment List &amp; Usage'!$O77*'Weekly Summary'!AN$52)+('Equipment List &amp; Usage'!$P77*'Weekly Summary'!AN$53)+('Equipment List &amp; Usage'!$Q77*('Weekly Summary'!AN$52+'Weekly Summary'!AN$53))+('Equipment List &amp; Usage'!$R77*'Weekly Summary'!AN$64)+('Equipment List &amp; Usage'!$S77*'Weekly Summary'!AN$65)+('Equipment List &amp; Usage'!$T77*('Weekly Summary'!AN$64+'Weekly Summary'!AN$65))-SUM($I75:AS75))),0)</f>
        <v>0</v>
      </c>
      <c r="AU75" s="1381">
        <f ca="1">MAX(IF($F75="No",('Equipment List &amp; Usage'!$O77*'Weekly Summary'!AO$52)+('Equipment List &amp; Usage'!$P77*'Weekly Summary'!AO$53)+('Equipment List &amp; Usage'!$Q77*('Weekly Summary'!AO$52+'Weekly Summary'!AO$53))+('Equipment List &amp; Usage'!$R77*'Weekly Summary'!AO$64)+('Equipment List &amp; Usage'!$S77*'Weekly Summary'!AO$65)+('Equipment List &amp; Usage'!$T77*('Weekly Summary'!AO$64+'Weekly Summary'!AO$65)),
IF(AU$10=0,('Equipment List &amp; Usage'!$O77*'Weekly Summary'!AO$52)+('Equipment List &amp; Usage'!$P77*'Weekly Summary'!AO$53)+('Equipment List &amp; Usage'!$Q77*('Weekly Summary'!AO$52+'Weekly Summary'!AO$53))+('Equipment List &amp; Usage'!$R77*'Weekly Summary'!AO$64)+('Equipment List &amp; Usage'!$S77*'Weekly Summary'!AO$65)+('Equipment List &amp; Usage'!$T77*('Weekly Summary'!AO$64+'Weekly Summary'!AO$65)),
('Equipment List &amp; Usage'!$O77*'Weekly Summary'!AO$52)+('Equipment List &amp; Usage'!$P77*'Weekly Summary'!AO$53)+('Equipment List &amp; Usage'!$Q77*('Weekly Summary'!AO$52+'Weekly Summary'!AO$53))+('Equipment List &amp; Usage'!$R77*'Weekly Summary'!AO$64)+('Equipment List &amp; Usage'!$S77*'Weekly Summary'!AO$65)+('Equipment List &amp; Usage'!$T77*('Weekly Summary'!AO$64+'Weekly Summary'!AO$65))-SUM($I75:AT75))),0)</f>
        <v>0</v>
      </c>
      <c r="AV75" s="1381">
        <f ca="1">MAX(IF($F75="No",('Equipment List &amp; Usage'!$O77*'Weekly Summary'!AP$52)+('Equipment List &amp; Usage'!$P77*'Weekly Summary'!AP$53)+('Equipment List &amp; Usage'!$Q77*('Weekly Summary'!AP$52+'Weekly Summary'!AP$53))+('Equipment List &amp; Usage'!$R77*'Weekly Summary'!AP$64)+('Equipment List &amp; Usage'!$S77*'Weekly Summary'!AP$65)+('Equipment List &amp; Usage'!$T77*('Weekly Summary'!AP$64+'Weekly Summary'!AP$65)),
IF(AV$10=0,('Equipment List &amp; Usage'!$O77*'Weekly Summary'!AP$52)+('Equipment List &amp; Usage'!$P77*'Weekly Summary'!AP$53)+('Equipment List &amp; Usage'!$Q77*('Weekly Summary'!AP$52+'Weekly Summary'!AP$53))+('Equipment List &amp; Usage'!$R77*'Weekly Summary'!AP$64)+('Equipment List &amp; Usage'!$S77*'Weekly Summary'!AP$65)+('Equipment List &amp; Usage'!$T77*('Weekly Summary'!AP$64+'Weekly Summary'!AP$65)),
('Equipment List &amp; Usage'!$O77*'Weekly Summary'!AP$52)+('Equipment List &amp; Usage'!$P77*'Weekly Summary'!AP$53)+('Equipment List &amp; Usage'!$Q77*('Weekly Summary'!AP$52+'Weekly Summary'!AP$53))+('Equipment List &amp; Usage'!$R77*'Weekly Summary'!AP$64)+('Equipment List &amp; Usage'!$S77*'Weekly Summary'!AP$65)+('Equipment List &amp; Usage'!$T77*('Weekly Summary'!AP$64+'Weekly Summary'!AP$65))-SUM($I75:AU75))),0)</f>
        <v>0</v>
      </c>
      <c r="AW75" s="1381">
        <f ca="1">MAX(IF($F75="No",('Equipment List &amp; Usage'!$O77*'Weekly Summary'!AQ$52)+('Equipment List &amp; Usage'!$P77*'Weekly Summary'!AQ$53)+('Equipment List &amp; Usage'!$Q77*('Weekly Summary'!AQ$52+'Weekly Summary'!AQ$53))+('Equipment List &amp; Usage'!$R77*'Weekly Summary'!AQ$64)+('Equipment List &amp; Usage'!$S77*'Weekly Summary'!AQ$65)+('Equipment List &amp; Usage'!$T77*('Weekly Summary'!AQ$64+'Weekly Summary'!AQ$65)),
IF(AW$10=0,('Equipment List &amp; Usage'!$O77*'Weekly Summary'!AQ$52)+('Equipment List &amp; Usage'!$P77*'Weekly Summary'!AQ$53)+('Equipment List &amp; Usage'!$Q77*('Weekly Summary'!AQ$52+'Weekly Summary'!AQ$53))+('Equipment List &amp; Usage'!$R77*'Weekly Summary'!AQ$64)+('Equipment List &amp; Usage'!$S77*'Weekly Summary'!AQ$65)+('Equipment List &amp; Usage'!$T77*('Weekly Summary'!AQ$64+'Weekly Summary'!AQ$65)),
('Equipment List &amp; Usage'!$O77*'Weekly Summary'!AQ$52)+('Equipment List &amp; Usage'!$P77*'Weekly Summary'!AQ$53)+('Equipment List &amp; Usage'!$Q77*('Weekly Summary'!AQ$52+'Weekly Summary'!AQ$53))+('Equipment List &amp; Usage'!$R77*'Weekly Summary'!AQ$64)+('Equipment List &amp; Usage'!$S77*'Weekly Summary'!AQ$65)+('Equipment List &amp; Usage'!$T77*('Weekly Summary'!AQ$64+'Weekly Summary'!AQ$65))-SUM($I75:AV75))),0)</f>
        <v>0</v>
      </c>
      <c r="AX75" s="1381">
        <f ca="1">MAX(IF($F75="No",('Equipment List &amp; Usage'!$O77*'Weekly Summary'!AR$52)+('Equipment List &amp; Usage'!$P77*'Weekly Summary'!AR$53)+('Equipment List &amp; Usage'!$Q77*('Weekly Summary'!AR$52+'Weekly Summary'!AR$53))+('Equipment List &amp; Usage'!$R77*'Weekly Summary'!AR$64)+('Equipment List &amp; Usage'!$S77*'Weekly Summary'!AR$65)+('Equipment List &amp; Usage'!$T77*('Weekly Summary'!AR$64+'Weekly Summary'!AR$65)),
IF(AX$10=0,('Equipment List &amp; Usage'!$O77*'Weekly Summary'!AR$52)+('Equipment List &amp; Usage'!$P77*'Weekly Summary'!AR$53)+('Equipment List &amp; Usage'!$Q77*('Weekly Summary'!AR$52+'Weekly Summary'!AR$53))+('Equipment List &amp; Usage'!$R77*'Weekly Summary'!AR$64)+('Equipment List &amp; Usage'!$S77*'Weekly Summary'!AR$65)+('Equipment List &amp; Usage'!$T77*('Weekly Summary'!AR$64+'Weekly Summary'!AR$65)),
('Equipment List &amp; Usage'!$O77*'Weekly Summary'!AR$52)+('Equipment List &amp; Usage'!$P77*'Weekly Summary'!AR$53)+('Equipment List &amp; Usage'!$Q77*('Weekly Summary'!AR$52+'Weekly Summary'!AR$53))+('Equipment List &amp; Usage'!$R77*'Weekly Summary'!AR$64)+('Equipment List &amp; Usage'!$S77*'Weekly Summary'!AR$65)+('Equipment List &amp; Usage'!$T77*('Weekly Summary'!AR$64+'Weekly Summary'!AR$65))-SUM($I75:AW75))),0)</f>
        <v>0</v>
      </c>
      <c r="AY75" s="1381">
        <f ca="1">MAX(IF($F75="No",('Equipment List &amp; Usage'!$O77*'Weekly Summary'!AS$52)+('Equipment List &amp; Usage'!$P77*'Weekly Summary'!AS$53)+('Equipment List &amp; Usage'!$Q77*('Weekly Summary'!AS$52+'Weekly Summary'!AS$53))+('Equipment List &amp; Usage'!$R77*'Weekly Summary'!AS$64)+('Equipment List &amp; Usage'!$S77*'Weekly Summary'!AS$65)+('Equipment List &amp; Usage'!$T77*('Weekly Summary'!AS$64+'Weekly Summary'!AS$65)),
IF(AY$10=0,('Equipment List &amp; Usage'!$O77*'Weekly Summary'!AS$52)+('Equipment List &amp; Usage'!$P77*'Weekly Summary'!AS$53)+('Equipment List &amp; Usage'!$Q77*('Weekly Summary'!AS$52+'Weekly Summary'!AS$53))+('Equipment List &amp; Usage'!$R77*'Weekly Summary'!AS$64)+('Equipment List &amp; Usage'!$S77*'Weekly Summary'!AS$65)+('Equipment List &amp; Usage'!$T77*('Weekly Summary'!AS$64+'Weekly Summary'!AS$65)),
('Equipment List &amp; Usage'!$O77*'Weekly Summary'!AS$52)+('Equipment List &amp; Usage'!$P77*'Weekly Summary'!AS$53)+('Equipment List &amp; Usage'!$Q77*('Weekly Summary'!AS$52+'Weekly Summary'!AS$53))+('Equipment List &amp; Usage'!$R77*'Weekly Summary'!AS$64)+('Equipment List &amp; Usage'!$S77*'Weekly Summary'!AS$65)+('Equipment List &amp; Usage'!$T77*('Weekly Summary'!AS$64+'Weekly Summary'!AS$65))-SUM($I75:AX75))),0)</f>
        <v>0</v>
      </c>
      <c r="AZ75" s="1381">
        <f ca="1">MAX(IF($F75="No",('Equipment List &amp; Usage'!$O77*'Weekly Summary'!AT$52)+('Equipment List &amp; Usage'!$P77*'Weekly Summary'!AT$53)+('Equipment List &amp; Usage'!$Q77*('Weekly Summary'!AT$52+'Weekly Summary'!AT$53))+('Equipment List &amp; Usage'!$R77*'Weekly Summary'!AT$64)+('Equipment List &amp; Usage'!$S77*'Weekly Summary'!AT$65)+('Equipment List &amp; Usage'!$T77*('Weekly Summary'!AT$64+'Weekly Summary'!AT$65)),
IF(AZ$10=0,('Equipment List &amp; Usage'!$O77*'Weekly Summary'!AT$52)+('Equipment List &amp; Usage'!$P77*'Weekly Summary'!AT$53)+('Equipment List &amp; Usage'!$Q77*('Weekly Summary'!AT$52+'Weekly Summary'!AT$53))+('Equipment List &amp; Usage'!$R77*'Weekly Summary'!AT$64)+('Equipment List &amp; Usage'!$S77*'Weekly Summary'!AT$65)+('Equipment List &amp; Usage'!$T77*('Weekly Summary'!AT$64+'Weekly Summary'!AT$65)),
('Equipment List &amp; Usage'!$O77*'Weekly Summary'!AT$52)+('Equipment List &amp; Usage'!$P77*'Weekly Summary'!AT$53)+('Equipment List &amp; Usage'!$Q77*('Weekly Summary'!AT$52+'Weekly Summary'!AT$53))+('Equipment List &amp; Usage'!$R77*'Weekly Summary'!AT$64)+('Equipment List &amp; Usage'!$S77*'Weekly Summary'!AT$65)+('Equipment List &amp; Usage'!$T77*('Weekly Summary'!AT$64+'Weekly Summary'!AT$65))-SUM($I75:AY75))),0)</f>
        <v>0</v>
      </c>
      <c r="BA75" s="1381">
        <f ca="1">MAX(IF($F75="No",('Equipment List &amp; Usage'!$O77*'Weekly Summary'!AU$52)+('Equipment List &amp; Usage'!$P77*'Weekly Summary'!AU$53)+('Equipment List &amp; Usage'!$Q77*('Weekly Summary'!AU$52+'Weekly Summary'!AU$53))+('Equipment List &amp; Usage'!$R77*'Weekly Summary'!AU$64)+('Equipment List &amp; Usage'!$S77*'Weekly Summary'!AU$65)+('Equipment List &amp; Usage'!$T77*('Weekly Summary'!AU$64+'Weekly Summary'!AU$65)),
IF(BA$10=0,('Equipment List &amp; Usage'!$O77*'Weekly Summary'!AU$52)+('Equipment List &amp; Usage'!$P77*'Weekly Summary'!AU$53)+('Equipment List &amp; Usage'!$Q77*('Weekly Summary'!AU$52+'Weekly Summary'!AU$53))+('Equipment List &amp; Usage'!$R77*'Weekly Summary'!AU$64)+('Equipment List &amp; Usage'!$S77*'Weekly Summary'!AU$65)+('Equipment List &amp; Usage'!$T77*('Weekly Summary'!AU$64+'Weekly Summary'!AU$65)),
('Equipment List &amp; Usage'!$O77*'Weekly Summary'!AU$52)+('Equipment List &amp; Usage'!$P77*'Weekly Summary'!AU$53)+('Equipment List &amp; Usage'!$Q77*('Weekly Summary'!AU$52+'Weekly Summary'!AU$53))+('Equipment List &amp; Usage'!$R77*'Weekly Summary'!AU$64)+('Equipment List &amp; Usage'!$S77*'Weekly Summary'!AU$65)+('Equipment List &amp; Usage'!$T77*('Weekly Summary'!AU$64+'Weekly Summary'!AU$65))-SUM($I75:AZ75))),0)</f>
        <v>0</v>
      </c>
      <c r="BB75" s="1381">
        <f ca="1">MAX(IF($F75="No",('Equipment List &amp; Usage'!$O77*'Weekly Summary'!AV$52)+('Equipment List &amp; Usage'!$P77*'Weekly Summary'!AV$53)+('Equipment List &amp; Usage'!$Q77*('Weekly Summary'!AV$52+'Weekly Summary'!AV$53))+('Equipment List &amp; Usage'!$R77*'Weekly Summary'!AV$64)+('Equipment List &amp; Usage'!$S77*'Weekly Summary'!AV$65)+('Equipment List &amp; Usage'!$T77*('Weekly Summary'!AV$64+'Weekly Summary'!AV$65)),
IF(BB$10=0,('Equipment List &amp; Usage'!$O77*'Weekly Summary'!AV$52)+('Equipment List &amp; Usage'!$P77*'Weekly Summary'!AV$53)+('Equipment List &amp; Usage'!$Q77*('Weekly Summary'!AV$52+'Weekly Summary'!AV$53))+('Equipment List &amp; Usage'!$R77*'Weekly Summary'!AV$64)+('Equipment List &amp; Usage'!$S77*'Weekly Summary'!AV$65)+('Equipment List &amp; Usage'!$T77*('Weekly Summary'!AV$64+'Weekly Summary'!AV$65)),
('Equipment List &amp; Usage'!$O77*'Weekly Summary'!AV$52)+('Equipment List &amp; Usage'!$P77*'Weekly Summary'!AV$53)+('Equipment List &amp; Usage'!$Q77*('Weekly Summary'!AV$52+'Weekly Summary'!AV$53))+('Equipment List &amp; Usage'!$R77*'Weekly Summary'!AV$64)+('Equipment List &amp; Usage'!$S77*'Weekly Summary'!AV$65)+('Equipment List &amp; Usage'!$T77*('Weekly Summary'!AV$64+'Weekly Summary'!AV$65))-SUM($I75:BA75))),0)</f>
        <v>0</v>
      </c>
      <c r="BC75" s="1381">
        <f ca="1">MAX(IF($F75="No",('Equipment List &amp; Usage'!$O77*'Weekly Summary'!AW$52)+('Equipment List &amp; Usage'!$P77*'Weekly Summary'!AW$53)+('Equipment List &amp; Usage'!$Q77*('Weekly Summary'!AW$52+'Weekly Summary'!AW$53))+('Equipment List &amp; Usage'!$R77*'Weekly Summary'!AW$64)+('Equipment List &amp; Usage'!$S77*'Weekly Summary'!AW$65)+('Equipment List &amp; Usage'!$T77*('Weekly Summary'!AW$64+'Weekly Summary'!AW$65)),
IF(BC$10=0,('Equipment List &amp; Usage'!$O77*'Weekly Summary'!AW$52)+('Equipment List &amp; Usage'!$P77*'Weekly Summary'!AW$53)+('Equipment List &amp; Usage'!$Q77*('Weekly Summary'!AW$52+'Weekly Summary'!AW$53))+('Equipment List &amp; Usage'!$R77*'Weekly Summary'!AW$64)+('Equipment List &amp; Usage'!$S77*'Weekly Summary'!AW$65)+('Equipment List &amp; Usage'!$T77*('Weekly Summary'!AW$64+'Weekly Summary'!AW$65)),
('Equipment List &amp; Usage'!$O77*'Weekly Summary'!AW$52)+('Equipment List &amp; Usage'!$P77*'Weekly Summary'!AW$53)+('Equipment List &amp; Usage'!$Q77*('Weekly Summary'!AW$52+'Weekly Summary'!AW$53))+('Equipment List &amp; Usage'!$R77*'Weekly Summary'!AW$64)+('Equipment List &amp; Usage'!$S77*'Weekly Summary'!AW$65)+('Equipment List &amp; Usage'!$T77*('Weekly Summary'!AW$64+'Weekly Summary'!AW$65))-SUM($I75:BB75))),0)</f>
        <v>0</v>
      </c>
      <c r="BD75" s="1381">
        <f ca="1">MAX(IF($F75="No",('Equipment List &amp; Usage'!$O77*'Weekly Summary'!AX$52)+('Equipment List &amp; Usage'!$P77*'Weekly Summary'!AX$53)+('Equipment List &amp; Usage'!$Q77*('Weekly Summary'!AX$52+'Weekly Summary'!AX$53))+('Equipment List &amp; Usage'!$R77*'Weekly Summary'!AX$64)+('Equipment List &amp; Usage'!$S77*'Weekly Summary'!AX$65)+('Equipment List &amp; Usage'!$T77*('Weekly Summary'!AX$64+'Weekly Summary'!AX$65)),
IF(BD$10=0,('Equipment List &amp; Usage'!$O77*'Weekly Summary'!AX$52)+('Equipment List &amp; Usage'!$P77*'Weekly Summary'!AX$53)+('Equipment List &amp; Usage'!$Q77*('Weekly Summary'!AX$52+'Weekly Summary'!AX$53))+('Equipment List &amp; Usage'!$R77*'Weekly Summary'!AX$64)+('Equipment List &amp; Usage'!$S77*'Weekly Summary'!AX$65)+('Equipment List &amp; Usage'!$T77*('Weekly Summary'!AX$64+'Weekly Summary'!AX$65)),
('Equipment List &amp; Usage'!$O77*'Weekly Summary'!AX$52)+('Equipment List &amp; Usage'!$P77*'Weekly Summary'!AX$53)+('Equipment List &amp; Usage'!$Q77*('Weekly Summary'!AX$52+'Weekly Summary'!AX$53))+('Equipment List &amp; Usage'!$R77*'Weekly Summary'!AX$64)+('Equipment List &amp; Usage'!$S77*'Weekly Summary'!AX$65)+('Equipment List &amp; Usage'!$T77*('Weekly Summary'!AX$64+'Weekly Summary'!AX$65))-SUM($I75:BC75))),0)</f>
        <v>0</v>
      </c>
      <c r="BE75" s="1381">
        <f ca="1">MAX(IF($F75="No",('Equipment List &amp; Usage'!$O77*'Weekly Summary'!AY$52)+('Equipment List &amp; Usage'!$P77*'Weekly Summary'!AY$53)+('Equipment List &amp; Usage'!$Q77*('Weekly Summary'!AY$52+'Weekly Summary'!AY$53))+('Equipment List &amp; Usage'!$R77*'Weekly Summary'!AY$64)+('Equipment List &amp; Usage'!$S77*'Weekly Summary'!AY$65)+('Equipment List &amp; Usage'!$T77*('Weekly Summary'!AY$64+'Weekly Summary'!AY$65)),
IF(BE$10=0,('Equipment List &amp; Usage'!$O77*'Weekly Summary'!AY$52)+('Equipment List &amp; Usage'!$P77*'Weekly Summary'!AY$53)+('Equipment List &amp; Usage'!$Q77*('Weekly Summary'!AY$52+'Weekly Summary'!AY$53))+('Equipment List &amp; Usage'!$R77*'Weekly Summary'!AY$64)+('Equipment List &amp; Usage'!$S77*'Weekly Summary'!AY$65)+('Equipment List &amp; Usage'!$T77*('Weekly Summary'!AY$64+'Weekly Summary'!AY$65)),
('Equipment List &amp; Usage'!$O77*'Weekly Summary'!AY$52)+('Equipment List &amp; Usage'!$P77*'Weekly Summary'!AY$53)+('Equipment List &amp; Usage'!$Q77*('Weekly Summary'!AY$52+'Weekly Summary'!AY$53))+('Equipment List &amp; Usage'!$R77*'Weekly Summary'!AY$64)+('Equipment List &amp; Usage'!$S77*'Weekly Summary'!AY$65)+('Equipment List &amp; Usage'!$T77*('Weekly Summary'!AY$64+'Weekly Summary'!AY$65))-SUM($I75:BD75))),0)</f>
        <v>0</v>
      </c>
      <c r="BF75" s="1381">
        <f ca="1">MAX(IF($F75="No",('Equipment List &amp; Usage'!$O77*'Weekly Summary'!AZ$52)+('Equipment List &amp; Usage'!$P77*'Weekly Summary'!AZ$53)+('Equipment List &amp; Usage'!$Q77*('Weekly Summary'!AZ$52+'Weekly Summary'!AZ$53))+('Equipment List &amp; Usage'!$R77*'Weekly Summary'!AZ$64)+('Equipment List &amp; Usage'!$S77*'Weekly Summary'!AZ$65)+('Equipment List &amp; Usage'!$T77*('Weekly Summary'!AZ$64+'Weekly Summary'!AZ$65)),
IF(BF$10=0,('Equipment List &amp; Usage'!$O77*'Weekly Summary'!AZ$52)+('Equipment List &amp; Usage'!$P77*'Weekly Summary'!AZ$53)+('Equipment List &amp; Usage'!$Q77*('Weekly Summary'!AZ$52+'Weekly Summary'!AZ$53))+('Equipment List &amp; Usage'!$R77*'Weekly Summary'!AZ$64)+('Equipment List &amp; Usage'!$S77*'Weekly Summary'!AZ$65)+('Equipment List &amp; Usage'!$T77*('Weekly Summary'!AZ$64+'Weekly Summary'!AZ$65)),
('Equipment List &amp; Usage'!$O77*'Weekly Summary'!AZ$52)+('Equipment List &amp; Usage'!$P77*'Weekly Summary'!AZ$53)+('Equipment List &amp; Usage'!$Q77*('Weekly Summary'!AZ$52+'Weekly Summary'!AZ$53))+('Equipment List &amp; Usage'!$R77*'Weekly Summary'!AZ$64)+('Equipment List &amp; Usage'!$S77*'Weekly Summary'!AZ$65)+('Equipment List &amp; Usage'!$T77*('Weekly Summary'!AZ$64+'Weekly Summary'!AZ$65))-SUM($I75:BE75))),0)</f>
        <v>0</v>
      </c>
      <c r="BG75" s="1381">
        <f ca="1">MAX(IF($F75="No",('Equipment List &amp; Usage'!$O77*'Weekly Summary'!BA$52)+('Equipment List &amp; Usage'!$P77*'Weekly Summary'!BA$53)+('Equipment List &amp; Usage'!$Q77*('Weekly Summary'!BA$52+'Weekly Summary'!BA$53))+('Equipment List &amp; Usage'!$R77*'Weekly Summary'!BA$64)+('Equipment List &amp; Usage'!$S77*'Weekly Summary'!BA$65)+('Equipment List &amp; Usage'!$T77*('Weekly Summary'!BA$64+'Weekly Summary'!BA$65)),
IF(BG$10=0,('Equipment List &amp; Usage'!$O77*'Weekly Summary'!BA$52)+('Equipment List &amp; Usage'!$P77*'Weekly Summary'!BA$53)+('Equipment List &amp; Usage'!$Q77*('Weekly Summary'!BA$52+'Weekly Summary'!BA$53))+('Equipment List &amp; Usage'!$R77*'Weekly Summary'!BA$64)+('Equipment List &amp; Usage'!$S77*'Weekly Summary'!BA$65)+('Equipment List &amp; Usage'!$T77*('Weekly Summary'!BA$64+'Weekly Summary'!BA$65)),
('Equipment List &amp; Usage'!$O77*'Weekly Summary'!BA$52)+('Equipment List &amp; Usage'!$P77*'Weekly Summary'!BA$53)+('Equipment List &amp; Usage'!$Q77*('Weekly Summary'!BA$52+'Weekly Summary'!BA$53))+('Equipment List &amp; Usage'!$R77*'Weekly Summary'!BA$64)+('Equipment List &amp; Usage'!$S77*'Weekly Summary'!BA$65)+('Equipment List &amp; Usage'!$T77*('Weekly Summary'!BA$64+'Weekly Summary'!BA$65))-SUM($I75:BF75))),0)</f>
        <v>0</v>
      </c>
      <c r="BH75" s="1381">
        <f ca="1">MAX(IF($F75="No",('Equipment List &amp; Usage'!$O77*'Weekly Summary'!BB$52)+('Equipment List &amp; Usage'!$P77*'Weekly Summary'!BB$53)+('Equipment List &amp; Usage'!$Q77*('Weekly Summary'!BB$52+'Weekly Summary'!BB$53))+('Equipment List &amp; Usage'!$R77*'Weekly Summary'!BB$64)+('Equipment List &amp; Usage'!$S77*'Weekly Summary'!BB$65)+('Equipment List &amp; Usage'!$T77*('Weekly Summary'!BB$64+'Weekly Summary'!BB$65)),
IF(BH$10=0,('Equipment List &amp; Usage'!$O77*'Weekly Summary'!BB$52)+('Equipment List &amp; Usage'!$P77*'Weekly Summary'!BB$53)+('Equipment List &amp; Usage'!$Q77*('Weekly Summary'!BB$52+'Weekly Summary'!BB$53))+('Equipment List &amp; Usage'!$R77*'Weekly Summary'!BB$64)+('Equipment List &amp; Usage'!$S77*'Weekly Summary'!BB$65)+('Equipment List &amp; Usage'!$T77*('Weekly Summary'!BB$64+'Weekly Summary'!BB$65)),
('Equipment List &amp; Usage'!$O77*'Weekly Summary'!BB$52)+('Equipment List &amp; Usage'!$P77*'Weekly Summary'!BB$53)+('Equipment List &amp; Usage'!$Q77*('Weekly Summary'!BB$52+'Weekly Summary'!BB$53))+('Equipment List &amp; Usage'!$R77*'Weekly Summary'!BB$64)+('Equipment List &amp; Usage'!$S77*'Weekly Summary'!BB$65)+('Equipment List &amp; Usage'!$T77*('Weekly Summary'!BB$64+'Weekly Summary'!BB$65))-SUM($I75:BG75))),0)</f>
        <v>0</v>
      </c>
      <c r="BI75" s="1381">
        <f ca="1">MAX(IF($F75="No",('Equipment List &amp; Usage'!$O77*'Weekly Summary'!BC$52)+('Equipment List &amp; Usage'!$P77*'Weekly Summary'!BC$53)+('Equipment List &amp; Usage'!$Q77*('Weekly Summary'!BC$52+'Weekly Summary'!BC$53))+('Equipment List &amp; Usage'!$R77*'Weekly Summary'!BC$64)+('Equipment List &amp; Usage'!$S77*'Weekly Summary'!BC$65)+('Equipment List &amp; Usage'!$T77*('Weekly Summary'!BC$64+'Weekly Summary'!BC$65)),
IF(BI$10=0,('Equipment List &amp; Usage'!$O77*'Weekly Summary'!BC$52)+('Equipment List &amp; Usage'!$P77*'Weekly Summary'!BC$53)+('Equipment List &amp; Usage'!$Q77*('Weekly Summary'!BC$52+'Weekly Summary'!BC$53))+('Equipment List &amp; Usage'!$R77*'Weekly Summary'!BC$64)+('Equipment List &amp; Usage'!$S77*'Weekly Summary'!BC$65)+('Equipment List &amp; Usage'!$T77*('Weekly Summary'!BC$64+'Weekly Summary'!BC$65)),
('Equipment List &amp; Usage'!$O77*'Weekly Summary'!BC$52)+('Equipment List &amp; Usage'!$P77*'Weekly Summary'!BC$53)+('Equipment List &amp; Usage'!$Q77*('Weekly Summary'!BC$52+'Weekly Summary'!BC$53))+('Equipment List &amp; Usage'!$R77*'Weekly Summary'!BC$64)+('Equipment List &amp; Usage'!$S77*'Weekly Summary'!BC$65)+('Equipment List &amp; Usage'!$T77*('Weekly Summary'!BC$64+'Weekly Summary'!BC$65))-SUM($I75:BH75))),0)</f>
        <v>0</v>
      </c>
      <c r="BJ75" s="1382">
        <f ca="1">MAX(IF($F75="No",('Equipment List &amp; Usage'!$O77*'Weekly Summary'!BD$52)+('Equipment List &amp; Usage'!$P77*'Weekly Summary'!BD$53)+('Equipment List &amp; Usage'!$Q77*('Weekly Summary'!BD$52+'Weekly Summary'!BD$53))+('Equipment List &amp; Usage'!$R77*'Weekly Summary'!BD$64)+('Equipment List &amp; Usage'!$S77*'Weekly Summary'!BD$65)+('Equipment List &amp; Usage'!$T77*('Weekly Summary'!BD$64+'Weekly Summary'!BD$65)),
IF(BJ$10=0,('Equipment List &amp; Usage'!$O77*'Weekly Summary'!BD$52)+('Equipment List &amp; Usage'!$P77*'Weekly Summary'!BD$53)+('Equipment List &amp; Usage'!$Q77*('Weekly Summary'!BD$52+'Weekly Summary'!BD$53))+('Equipment List &amp; Usage'!$R77*'Weekly Summary'!BD$64)+('Equipment List &amp; Usage'!$S77*'Weekly Summary'!BD$65)+('Equipment List &amp; Usage'!$T77*('Weekly Summary'!BD$64+'Weekly Summary'!BD$65)),
('Equipment List &amp; Usage'!$O77*'Weekly Summary'!BD$52)+('Equipment List &amp; Usage'!$P77*'Weekly Summary'!BD$53)+('Equipment List &amp; Usage'!$Q77*('Weekly Summary'!BD$52+'Weekly Summary'!BD$53))+('Equipment List &amp; Usage'!$R77*'Weekly Summary'!BD$64)+('Equipment List &amp; Usage'!$S77*'Weekly Summary'!BD$65)+('Equipment List &amp; Usage'!$T77*('Weekly Summary'!BD$64+'Weekly Summary'!BD$65))-SUM($I75:BI75))),0)</f>
        <v>0</v>
      </c>
    </row>
    <row r="76" spans="2:62" ht="133.4" customHeight="1" x14ac:dyDescent="0.35">
      <c r="B76" s="735" t="str">
        <f>'Equipment List &amp; Usage'!B78</f>
        <v>Case management - accessories &amp; consumables</v>
      </c>
      <c r="C76" s="526" t="str">
        <f>'Equipment List &amp; Usage'!C78</f>
        <v>Airway Management &amp; Intubation</v>
      </c>
      <c r="D76" s="526" t="str">
        <f>'Equipment List &amp; Usage'!D78</f>
        <v>Compressible self-refilling ventilation bag, capacity &gt; 1500 mL, with masks (small, medium, large)</v>
      </c>
      <c r="E76" s="526" t="str">
        <f>'Equipment List &amp; Usage'!E78</f>
        <v>Each</v>
      </c>
      <c r="F76" s="526" t="str">
        <f>'Equipment List &amp; Usage'!F78</f>
        <v>Yes</v>
      </c>
      <c r="G76" s="526" t="str">
        <f>'Equipment List &amp; Usage'!G78</f>
        <v>Compressible self-refilling ventilation bag, capacity: 1475-2000mL.
Oxygen reservoir bag complete.
Non-rebreathing patient valve with pressure limiting valve, patient connector outside/inside diameter: 22/15 mm.
Inlet valve with nipple for 02 tubing.
Masks, silicon, in 3 sizes (adult small, adult medium and adult large).</v>
      </c>
      <c r="H76" s="1369">
        <f t="shared" ca="1" si="3"/>
        <v>30.715412542838649</v>
      </c>
      <c r="J76" s="1344"/>
      <c r="K76" s="1381">
        <f ca="1">IF('User Dashboard'!$H$13=1,0,MAX(IF($F76="No",('Equipment List &amp; Usage'!$O78*'Weekly Summary'!E$52)+('Equipment List &amp; Usage'!$P78*'Weekly Summary'!E$53)+('Equipment List &amp; Usage'!$Q78*('Weekly Summary'!E$52+'Weekly Summary'!E$53))+('Equipment List &amp; Usage'!$R78*'Weekly Summary'!E$64)+('Equipment List &amp; Usage'!$S78*'Weekly Summary'!E$65)+('Equipment List &amp; Usage'!$T78*('Weekly Summary'!E$64+'Weekly Summary'!E$65)),
IF(K$10=0,('Equipment List &amp; Usage'!$O78*'Weekly Summary'!E$52)+('Equipment List &amp; Usage'!$P78*'Weekly Summary'!E$53)+('Equipment List &amp; Usage'!$Q78*('Weekly Summary'!E$52+'Weekly Summary'!E$53))+('Equipment List &amp; Usage'!$R78*'Weekly Summary'!E$64)+('Equipment List &amp; Usage'!$S78*'Weekly Summary'!E$65)+('Equipment List &amp; Usage'!$T78*('Weekly Summary'!E$64+'Weekly Summary'!E$65)),
('Equipment List &amp; Usage'!$O78*'Weekly Summary'!E$52)+('Equipment List &amp; Usage'!$P78*'Weekly Summary'!E$53)+('Equipment List &amp; Usage'!$Q78*('Weekly Summary'!E$52+'Weekly Summary'!E$53))+('Equipment List &amp; Usage'!$R78*'Weekly Summary'!E$64)+('Equipment List &amp; Usage'!$S78*'Weekly Summary'!E$65)+('Equipment List &amp; Usage'!$T78*('Weekly Summary'!E$64+'Weekly Summary'!E$65))-SUM($I76:I76))),0))</f>
        <v>6.633979069468085E-2</v>
      </c>
      <c r="L76" s="1381">
        <f ca="1">MAX(IF($F76="No",('Equipment List &amp; Usage'!$O78*'Weekly Summary'!F$52)+('Equipment List &amp; Usage'!$P78*'Weekly Summary'!F$53)+('Equipment List &amp; Usage'!$Q78*('Weekly Summary'!F$52+'Weekly Summary'!F$53))+('Equipment List &amp; Usage'!$R78*'Weekly Summary'!F$64)+('Equipment List &amp; Usage'!$S78*'Weekly Summary'!F$65)+('Equipment List &amp; Usage'!$T78*('Weekly Summary'!F$64+'Weekly Summary'!F$65)),
IF(L$10=0,('Equipment List &amp; Usage'!$O78*'Weekly Summary'!F$52)+('Equipment List &amp; Usage'!$P78*'Weekly Summary'!F$53)+('Equipment List &amp; Usage'!$Q78*('Weekly Summary'!F$52+'Weekly Summary'!F$53))+('Equipment List &amp; Usage'!$R78*'Weekly Summary'!F$64)+('Equipment List &amp; Usage'!$S78*'Weekly Summary'!F$65)+('Equipment List &amp; Usage'!$T78*('Weekly Summary'!F$64+'Weekly Summary'!F$65)),
('Equipment List &amp; Usage'!$O78*'Weekly Summary'!F$52)+('Equipment List &amp; Usage'!$P78*'Weekly Summary'!F$53)+('Equipment List &amp; Usage'!$Q78*('Weekly Summary'!F$52+'Weekly Summary'!F$53))+('Equipment List &amp; Usage'!$R78*'Weekly Summary'!F$64)+('Equipment List &amp; Usage'!$S78*'Weekly Summary'!F$65)+('Equipment List &amp; Usage'!$T78*('Weekly Summary'!F$64+'Weekly Summary'!F$65))-SUM($I76:K76))),0)</f>
        <v>0.15403542782763741</v>
      </c>
      <c r="M76" s="1381">
        <f ca="1">MAX(IF($F76="No",('Equipment List &amp; Usage'!$O78*'Weekly Summary'!G$52)+('Equipment List &amp; Usage'!$P78*'Weekly Summary'!G$53)+('Equipment List &amp; Usage'!$Q78*('Weekly Summary'!G$52+'Weekly Summary'!G$53))+('Equipment List &amp; Usage'!$R78*'Weekly Summary'!G$64)+('Equipment List &amp; Usage'!$S78*'Weekly Summary'!G$65)+('Equipment List &amp; Usage'!$T78*('Weekly Summary'!G$64+'Weekly Summary'!G$65)),
IF(M$10=0,('Equipment List &amp; Usage'!$O78*'Weekly Summary'!G$52)+('Equipment List &amp; Usage'!$P78*'Weekly Summary'!G$53)+('Equipment List &amp; Usage'!$Q78*('Weekly Summary'!G$52+'Weekly Summary'!G$53))+('Equipment List &amp; Usage'!$R78*'Weekly Summary'!G$64)+('Equipment List &amp; Usage'!$S78*'Weekly Summary'!G$65)+('Equipment List &amp; Usage'!$T78*('Weekly Summary'!G$64+'Weekly Summary'!G$65)),
('Equipment List &amp; Usage'!$O78*'Weekly Summary'!G$52)+('Equipment List &amp; Usage'!$P78*'Weekly Summary'!G$53)+('Equipment List &amp; Usage'!$Q78*('Weekly Summary'!G$52+'Weekly Summary'!G$53))+('Equipment List &amp; Usage'!$R78*'Weekly Summary'!G$64)+('Equipment List &amp; Usage'!$S78*'Weekly Summary'!G$65)+('Equipment List &amp; Usage'!$T78*('Weekly Summary'!G$64+'Weekly Summary'!G$65))-SUM($I76:L76))),0)</f>
        <v>0.53694033780270323</v>
      </c>
      <c r="N76" s="1381">
        <f ca="1">MAX(IF($F76="No",('Equipment List &amp; Usage'!$O78*'Weekly Summary'!H$52)+('Equipment List &amp; Usage'!$P78*'Weekly Summary'!H$53)+('Equipment List &amp; Usage'!$Q78*('Weekly Summary'!H$52+'Weekly Summary'!H$53))+('Equipment List &amp; Usage'!$R78*'Weekly Summary'!H$64)+('Equipment List &amp; Usage'!$S78*'Weekly Summary'!H$65)+('Equipment List &amp; Usage'!$T78*('Weekly Summary'!H$64+'Weekly Summary'!H$65)),
IF(N$10=0,('Equipment List &amp; Usage'!$O78*'Weekly Summary'!H$52)+('Equipment List &amp; Usage'!$P78*'Weekly Summary'!H$53)+('Equipment List &amp; Usage'!$Q78*('Weekly Summary'!H$52+'Weekly Summary'!H$53))+('Equipment List &amp; Usage'!$R78*'Weekly Summary'!H$64)+('Equipment List &amp; Usage'!$S78*'Weekly Summary'!H$65)+('Equipment List &amp; Usage'!$T78*('Weekly Summary'!H$64+'Weekly Summary'!H$65)),
('Equipment List &amp; Usage'!$O78*'Weekly Summary'!H$52)+('Equipment List &amp; Usage'!$P78*'Weekly Summary'!H$53)+('Equipment List &amp; Usage'!$Q78*('Weekly Summary'!H$52+'Weekly Summary'!H$53))+('Equipment List &amp; Usage'!$R78*'Weekly Summary'!H$64)+('Equipment List &amp; Usage'!$S78*'Weekly Summary'!H$65)+('Equipment List &amp; Usage'!$T78*('Weekly Summary'!H$64+'Weekly Summary'!H$65))-SUM($I76:M76))),0)</f>
        <v>1.8451133407056033</v>
      </c>
      <c r="O76" s="1381">
        <f ca="1">MAX(IF($F76="No",('Equipment List &amp; Usage'!$O78*'Weekly Summary'!I$52)+('Equipment List &amp; Usage'!$P78*'Weekly Summary'!I$53)+('Equipment List &amp; Usage'!$Q78*('Weekly Summary'!I$52+'Weekly Summary'!I$53))+('Equipment List &amp; Usage'!$R78*'Weekly Summary'!I$64)+('Equipment List &amp; Usage'!$S78*'Weekly Summary'!I$65)+('Equipment List &amp; Usage'!$T78*('Weekly Summary'!I$64+'Weekly Summary'!I$65)),
IF(O$10=0,('Equipment List &amp; Usage'!$O78*'Weekly Summary'!I$52)+('Equipment List &amp; Usage'!$P78*'Weekly Summary'!I$53)+('Equipment List &amp; Usage'!$Q78*('Weekly Summary'!I$52+'Weekly Summary'!I$53))+('Equipment List &amp; Usage'!$R78*'Weekly Summary'!I$64)+('Equipment List &amp; Usage'!$S78*'Weekly Summary'!I$65)+('Equipment List &amp; Usage'!$T78*('Weekly Summary'!I$64+'Weekly Summary'!I$65)),
('Equipment List &amp; Usage'!$O78*'Weekly Summary'!I$52)+('Equipment List &amp; Usage'!$P78*'Weekly Summary'!I$53)+('Equipment List &amp; Usage'!$Q78*('Weekly Summary'!I$52+'Weekly Summary'!I$53))+('Equipment List &amp; Usage'!$R78*'Weekly Summary'!I$64)+('Equipment List &amp; Usage'!$S78*'Weekly Summary'!I$65)+('Equipment List &amp; Usage'!$T78*('Weekly Summary'!I$64+'Weekly Summary'!I$65))-SUM($I76:N76))),0)</f>
        <v>6.3396643697850861</v>
      </c>
      <c r="P76" s="1381">
        <f ca="1">MAX(IF($F76="No",('Equipment List &amp; Usage'!$O78*'Weekly Summary'!J$52)+('Equipment List &amp; Usage'!$P78*'Weekly Summary'!J$53)+('Equipment List &amp; Usage'!$Q78*('Weekly Summary'!J$52+'Weekly Summary'!J$53))+('Equipment List &amp; Usage'!$R78*'Weekly Summary'!J$64)+('Equipment List &amp; Usage'!$S78*'Weekly Summary'!J$65)+('Equipment List &amp; Usage'!$T78*('Weekly Summary'!J$64+'Weekly Summary'!J$65)),
IF(P$10=0,('Equipment List &amp; Usage'!$O78*'Weekly Summary'!J$52)+('Equipment List &amp; Usage'!$P78*'Weekly Summary'!J$53)+('Equipment List &amp; Usage'!$Q78*('Weekly Summary'!J$52+'Weekly Summary'!J$53))+('Equipment List &amp; Usage'!$R78*'Weekly Summary'!J$64)+('Equipment List &amp; Usage'!$S78*'Weekly Summary'!J$65)+('Equipment List &amp; Usage'!$T78*('Weekly Summary'!J$64+'Weekly Summary'!J$65)),
('Equipment List &amp; Usage'!$O78*'Weekly Summary'!J$52)+('Equipment List &amp; Usage'!$P78*'Weekly Summary'!J$53)+('Equipment List &amp; Usage'!$Q78*('Weekly Summary'!J$52+'Weekly Summary'!J$53))+('Equipment List &amp; Usage'!$R78*'Weekly Summary'!J$64)+('Equipment List &amp; Usage'!$S78*'Weekly Summary'!J$65)+('Equipment List &amp; Usage'!$T78*('Weekly Summary'!J$64+'Weekly Summary'!J$65))-SUM($I76:O76))),0)</f>
        <v>21.773319276022939</v>
      </c>
      <c r="Q76" s="1381">
        <f ca="1">MAX(IF($F76="No",('Equipment List &amp; Usage'!$O78*'Weekly Summary'!K$52)+('Equipment List &amp; Usage'!$P78*'Weekly Summary'!K$53)+('Equipment List &amp; Usage'!$Q78*('Weekly Summary'!K$52+'Weekly Summary'!K$53))+('Equipment List &amp; Usage'!$R78*'Weekly Summary'!K$64)+('Equipment List &amp; Usage'!$S78*'Weekly Summary'!K$65)+('Equipment List &amp; Usage'!$T78*('Weekly Summary'!K$64+'Weekly Summary'!K$65)),
IF(Q$10=0,('Equipment List &amp; Usage'!$O78*'Weekly Summary'!K$52)+('Equipment List &amp; Usage'!$P78*'Weekly Summary'!K$53)+('Equipment List &amp; Usage'!$Q78*('Weekly Summary'!K$52+'Weekly Summary'!K$53))+('Equipment List &amp; Usage'!$R78*'Weekly Summary'!K$64)+('Equipment List &amp; Usage'!$S78*'Weekly Summary'!K$65)+('Equipment List &amp; Usage'!$T78*('Weekly Summary'!K$64+'Weekly Summary'!K$65)),
('Equipment List &amp; Usage'!$O78*'Weekly Summary'!K$52)+('Equipment List &amp; Usage'!$P78*'Weekly Summary'!K$53)+('Equipment List &amp; Usage'!$Q78*('Weekly Summary'!K$52+'Weekly Summary'!K$53))+('Equipment List &amp; Usage'!$R78*'Weekly Summary'!K$64)+('Equipment List &amp; Usage'!$S78*'Weekly Summary'!K$65)+('Equipment List &amp; Usage'!$T78*('Weekly Summary'!K$64+'Weekly Summary'!K$65))-SUM($I76:P76))),0)</f>
        <v>0</v>
      </c>
      <c r="R76" s="1381">
        <f ca="1">MAX(IF($F76="No",('Equipment List &amp; Usage'!$O78*'Weekly Summary'!L$52)+('Equipment List &amp; Usage'!$P78*'Weekly Summary'!L$53)+('Equipment List &amp; Usage'!$Q78*('Weekly Summary'!L$52+'Weekly Summary'!L$53))+('Equipment List &amp; Usage'!$R78*'Weekly Summary'!L$64)+('Equipment List &amp; Usage'!$S78*'Weekly Summary'!L$65)+('Equipment List &amp; Usage'!$T78*('Weekly Summary'!L$64+'Weekly Summary'!L$65)),
IF(R$10=0,('Equipment List &amp; Usage'!$O78*'Weekly Summary'!L$52)+('Equipment List &amp; Usage'!$P78*'Weekly Summary'!L$53)+('Equipment List &amp; Usage'!$Q78*('Weekly Summary'!L$52+'Weekly Summary'!L$53))+('Equipment List &amp; Usage'!$R78*'Weekly Summary'!L$64)+('Equipment List &amp; Usage'!$S78*'Weekly Summary'!L$65)+('Equipment List &amp; Usage'!$T78*('Weekly Summary'!L$64+'Weekly Summary'!L$65)),
('Equipment List &amp; Usage'!$O78*'Weekly Summary'!L$52)+('Equipment List &amp; Usage'!$P78*'Weekly Summary'!L$53)+('Equipment List &amp; Usage'!$Q78*('Weekly Summary'!L$52+'Weekly Summary'!L$53))+('Equipment List &amp; Usage'!$R78*'Weekly Summary'!L$64)+('Equipment List &amp; Usage'!$S78*'Weekly Summary'!L$65)+('Equipment List &amp; Usage'!$T78*('Weekly Summary'!L$64+'Weekly Summary'!L$65))-SUM($I76:Q76))),0)</f>
        <v>0</v>
      </c>
      <c r="S76" s="1381">
        <f ca="1">MAX(IF($F76="No",('Equipment List &amp; Usage'!$O78*'Weekly Summary'!M$52)+('Equipment List &amp; Usage'!$P78*'Weekly Summary'!M$53)+('Equipment List &amp; Usage'!$Q78*('Weekly Summary'!M$52+'Weekly Summary'!M$53))+('Equipment List &amp; Usage'!$R78*'Weekly Summary'!M$64)+('Equipment List &amp; Usage'!$S78*'Weekly Summary'!M$65)+('Equipment List &amp; Usage'!$T78*('Weekly Summary'!M$64+'Weekly Summary'!M$65)),
IF(S$10=0,('Equipment List &amp; Usage'!$O78*'Weekly Summary'!M$52)+('Equipment List &amp; Usage'!$P78*'Weekly Summary'!M$53)+('Equipment List &amp; Usage'!$Q78*('Weekly Summary'!M$52+'Weekly Summary'!M$53))+('Equipment List &amp; Usage'!$R78*'Weekly Summary'!M$64)+('Equipment List &amp; Usage'!$S78*'Weekly Summary'!M$65)+('Equipment List &amp; Usage'!$T78*('Weekly Summary'!M$64+'Weekly Summary'!M$65)),
('Equipment List &amp; Usage'!$O78*'Weekly Summary'!M$52)+('Equipment List &amp; Usage'!$P78*'Weekly Summary'!M$53)+('Equipment List &amp; Usage'!$Q78*('Weekly Summary'!M$52+'Weekly Summary'!M$53))+('Equipment List &amp; Usage'!$R78*'Weekly Summary'!M$64)+('Equipment List &amp; Usage'!$S78*'Weekly Summary'!M$65)+('Equipment List &amp; Usage'!$T78*('Weekly Summary'!M$64+'Weekly Summary'!M$65))-SUM($I76:R76))),0)</f>
        <v>0</v>
      </c>
      <c r="T76" s="1381">
        <f ca="1">MAX(IF($F76="No",('Equipment List &amp; Usage'!$O78*'Weekly Summary'!N$52)+('Equipment List &amp; Usage'!$P78*'Weekly Summary'!N$53)+('Equipment List &amp; Usage'!$Q78*('Weekly Summary'!N$52+'Weekly Summary'!N$53))+('Equipment List &amp; Usage'!$R78*'Weekly Summary'!N$64)+('Equipment List &amp; Usage'!$S78*'Weekly Summary'!N$65)+('Equipment List &amp; Usage'!$T78*('Weekly Summary'!N$64+'Weekly Summary'!N$65)),
IF(T$10=0,('Equipment List &amp; Usage'!$O78*'Weekly Summary'!N$52)+('Equipment List &amp; Usage'!$P78*'Weekly Summary'!N$53)+('Equipment List &amp; Usage'!$Q78*('Weekly Summary'!N$52+'Weekly Summary'!N$53))+('Equipment List &amp; Usage'!$R78*'Weekly Summary'!N$64)+('Equipment List &amp; Usage'!$S78*'Weekly Summary'!N$65)+('Equipment List &amp; Usage'!$T78*('Weekly Summary'!N$64+'Weekly Summary'!N$65)),
('Equipment List &amp; Usage'!$O78*'Weekly Summary'!N$52)+('Equipment List &amp; Usage'!$P78*'Weekly Summary'!N$53)+('Equipment List &amp; Usage'!$Q78*('Weekly Summary'!N$52+'Weekly Summary'!N$53))+('Equipment List &amp; Usage'!$R78*'Weekly Summary'!N$64)+('Equipment List &amp; Usage'!$S78*'Weekly Summary'!N$65)+('Equipment List &amp; Usage'!$T78*('Weekly Summary'!N$64+'Weekly Summary'!N$65))-SUM($I76:S76))),0)</f>
        <v>0</v>
      </c>
      <c r="U76" s="1381">
        <f ca="1">MAX(IF($F76="No",('Equipment List &amp; Usage'!$O78*'Weekly Summary'!O$52)+('Equipment List &amp; Usage'!$P78*'Weekly Summary'!O$53)+('Equipment List &amp; Usage'!$Q78*('Weekly Summary'!O$52+'Weekly Summary'!O$53))+('Equipment List &amp; Usage'!$R78*'Weekly Summary'!O$64)+('Equipment List &amp; Usage'!$S78*'Weekly Summary'!O$65)+('Equipment List &amp; Usage'!$T78*('Weekly Summary'!O$64+'Weekly Summary'!O$65)),
IF(U$10=0,('Equipment List &amp; Usage'!$O78*'Weekly Summary'!O$52)+('Equipment List &amp; Usage'!$P78*'Weekly Summary'!O$53)+('Equipment List &amp; Usage'!$Q78*('Weekly Summary'!O$52+'Weekly Summary'!O$53))+('Equipment List &amp; Usage'!$R78*'Weekly Summary'!O$64)+('Equipment List &amp; Usage'!$S78*'Weekly Summary'!O$65)+('Equipment List &amp; Usage'!$T78*('Weekly Summary'!O$64+'Weekly Summary'!O$65)),
('Equipment List &amp; Usage'!$O78*'Weekly Summary'!O$52)+('Equipment List &amp; Usage'!$P78*'Weekly Summary'!O$53)+('Equipment List &amp; Usage'!$Q78*('Weekly Summary'!O$52+'Weekly Summary'!O$53))+('Equipment List &amp; Usage'!$R78*'Weekly Summary'!O$64)+('Equipment List &amp; Usage'!$S78*'Weekly Summary'!O$65)+('Equipment List &amp; Usage'!$T78*('Weekly Summary'!O$64+'Weekly Summary'!O$65))-SUM($I76:T76))),0)</f>
        <v>0</v>
      </c>
      <c r="V76" s="1381">
        <f ca="1">MAX(IF($F76="No",('Equipment List &amp; Usage'!$O78*'Weekly Summary'!P$52)+('Equipment List &amp; Usage'!$P78*'Weekly Summary'!P$53)+('Equipment List &amp; Usage'!$Q78*('Weekly Summary'!P$52+'Weekly Summary'!P$53))+('Equipment List &amp; Usage'!$R78*'Weekly Summary'!P$64)+('Equipment List &amp; Usage'!$S78*'Weekly Summary'!P$65)+('Equipment List &amp; Usage'!$T78*('Weekly Summary'!P$64+'Weekly Summary'!P$65)),
IF(V$10=0,('Equipment List &amp; Usage'!$O78*'Weekly Summary'!P$52)+('Equipment List &amp; Usage'!$P78*'Weekly Summary'!P$53)+('Equipment List &amp; Usage'!$Q78*('Weekly Summary'!P$52+'Weekly Summary'!P$53))+('Equipment List &amp; Usage'!$R78*'Weekly Summary'!P$64)+('Equipment List &amp; Usage'!$S78*'Weekly Summary'!P$65)+('Equipment List &amp; Usage'!$T78*('Weekly Summary'!P$64+'Weekly Summary'!P$65)),
('Equipment List &amp; Usage'!$O78*'Weekly Summary'!P$52)+('Equipment List &amp; Usage'!$P78*'Weekly Summary'!P$53)+('Equipment List &amp; Usage'!$Q78*('Weekly Summary'!P$52+'Weekly Summary'!P$53))+('Equipment List &amp; Usage'!$R78*'Weekly Summary'!P$64)+('Equipment List &amp; Usage'!$S78*'Weekly Summary'!P$65)+('Equipment List &amp; Usage'!$T78*('Weekly Summary'!P$64+'Weekly Summary'!P$65))-SUM($I76:U76))),0)</f>
        <v>0</v>
      </c>
      <c r="W76" s="1381">
        <f ca="1">MAX(IF($F76="No",('Equipment List &amp; Usage'!$O78*'Weekly Summary'!Q$52)+('Equipment List &amp; Usage'!$P78*'Weekly Summary'!Q$53)+('Equipment List &amp; Usage'!$Q78*('Weekly Summary'!Q$52+'Weekly Summary'!Q$53))+('Equipment List &amp; Usage'!$R78*'Weekly Summary'!Q$64)+('Equipment List &amp; Usage'!$S78*'Weekly Summary'!Q$65)+('Equipment List &amp; Usage'!$T78*('Weekly Summary'!Q$64+'Weekly Summary'!Q$65)),
IF(W$10=0,('Equipment List &amp; Usage'!$O78*'Weekly Summary'!Q$52)+('Equipment List &amp; Usage'!$P78*'Weekly Summary'!Q$53)+('Equipment List &amp; Usage'!$Q78*('Weekly Summary'!Q$52+'Weekly Summary'!Q$53))+('Equipment List &amp; Usage'!$R78*'Weekly Summary'!Q$64)+('Equipment List &amp; Usage'!$S78*'Weekly Summary'!Q$65)+('Equipment List &amp; Usage'!$T78*('Weekly Summary'!Q$64+'Weekly Summary'!Q$65)),
('Equipment List &amp; Usage'!$O78*'Weekly Summary'!Q$52)+('Equipment List &amp; Usage'!$P78*'Weekly Summary'!Q$53)+('Equipment List &amp; Usage'!$Q78*('Weekly Summary'!Q$52+'Weekly Summary'!Q$53))+('Equipment List &amp; Usage'!$R78*'Weekly Summary'!Q$64)+('Equipment List &amp; Usage'!$S78*'Weekly Summary'!Q$65)+('Equipment List &amp; Usage'!$T78*('Weekly Summary'!Q$64+'Weekly Summary'!Q$65))-SUM($I76:V76))),0)</f>
        <v>0</v>
      </c>
      <c r="X76" s="1381">
        <f ca="1">MAX(IF($F76="No",('Equipment List &amp; Usage'!$O78*'Weekly Summary'!R$52)+('Equipment List &amp; Usage'!$P78*'Weekly Summary'!R$53)+('Equipment List &amp; Usage'!$Q78*('Weekly Summary'!R$52+'Weekly Summary'!R$53))+('Equipment List &amp; Usage'!$R78*'Weekly Summary'!R$64)+('Equipment List &amp; Usage'!$S78*'Weekly Summary'!R$65)+('Equipment List &amp; Usage'!$T78*('Weekly Summary'!R$64+'Weekly Summary'!R$65)),
IF(X$10=0,('Equipment List &amp; Usage'!$O78*'Weekly Summary'!R$52)+('Equipment List &amp; Usage'!$P78*'Weekly Summary'!R$53)+('Equipment List &amp; Usage'!$Q78*('Weekly Summary'!R$52+'Weekly Summary'!R$53))+('Equipment List &amp; Usage'!$R78*'Weekly Summary'!R$64)+('Equipment List &amp; Usage'!$S78*'Weekly Summary'!R$65)+('Equipment List &amp; Usage'!$T78*('Weekly Summary'!R$64+'Weekly Summary'!R$65)),
('Equipment List &amp; Usage'!$O78*'Weekly Summary'!R$52)+('Equipment List &amp; Usage'!$P78*'Weekly Summary'!R$53)+('Equipment List &amp; Usage'!$Q78*('Weekly Summary'!R$52+'Weekly Summary'!R$53))+('Equipment List &amp; Usage'!$R78*'Weekly Summary'!R$64)+('Equipment List &amp; Usage'!$S78*'Weekly Summary'!R$65)+('Equipment List &amp; Usage'!$T78*('Weekly Summary'!R$64+'Weekly Summary'!R$65))-SUM($I76:W76))),0)</f>
        <v>0</v>
      </c>
      <c r="Y76" s="1381">
        <f ca="1">MAX(IF($F76="No",('Equipment List &amp; Usage'!$O78*'Weekly Summary'!S$52)+('Equipment List &amp; Usage'!$P78*'Weekly Summary'!S$53)+('Equipment List &amp; Usage'!$Q78*('Weekly Summary'!S$52+'Weekly Summary'!S$53))+('Equipment List &amp; Usage'!$R78*'Weekly Summary'!S$64)+('Equipment List &amp; Usage'!$S78*'Weekly Summary'!S$65)+('Equipment List &amp; Usage'!$T78*('Weekly Summary'!S$64+'Weekly Summary'!S$65)),
IF(Y$10=0,('Equipment List &amp; Usage'!$O78*'Weekly Summary'!S$52)+('Equipment List &amp; Usage'!$P78*'Weekly Summary'!S$53)+('Equipment List &amp; Usage'!$Q78*('Weekly Summary'!S$52+'Weekly Summary'!S$53))+('Equipment List &amp; Usage'!$R78*'Weekly Summary'!S$64)+('Equipment List &amp; Usage'!$S78*'Weekly Summary'!S$65)+('Equipment List &amp; Usage'!$T78*('Weekly Summary'!S$64+'Weekly Summary'!S$65)),
('Equipment List &amp; Usage'!$O78*'Weekly Summary'!S$52)+('Equipment List &amp; Usage'!$P78*'Weekly Summary'!S$53)+('Equipment List &amp; Usage'!$Q78*('Weekly Summary'!S$52+'Weekly Summary'!S$53))+('Equipment List &amp; Usage'!$R78*'Weekly Summary'!S$64)+('Equipment List &amp; Usage'!$S78*'Weekly Summary'!S$65)+('Equipment List &amp; Usage'!$T78*('Weekly Summary'!S$64+'Weekly Summary'!S$65))-SUM($I76:X76))),0)</f>
        <v>0</v>
      </c>
      <c r="Z76" s="1381">
        <f ca="1">MAX(IF($F76="No",('Equipment List &amp; Usage'!$O78*'Weekly Summary'!T$52)+('Equipment List &amp; Usage'!$P78*'Weekly Summary'!T$53)+('Equipment List &amp; Usage'!$Q78*('Weekly Summary'!T$52+'Weekly Summary'!T$53))+('Equipment List &amp; Usage'!$R78*'Weekly Summary'!T$64)+('Equipment List &amp; Usage'!$S78*'Weekly Summary'!T$65)+('Equipment List &amp; Usage'!$T78*('Weekly Summary'!T$64+'Weekly Summary'!T$65)),
IF(Z$10=0,('Equipment List &amp; Usage'!$O78*'Weekly Summary'!T$52)+('Equipment List &amp; Usage'!$P78*'Weekly Summary'!T$53)+('Equipment List &amp; Usage'!$Q78*('Weekly Summary'!T$52+'Weekly Summary'!T$53))+('Equipment List &amp; Usage'!$R78*'Weekly Summary'!T$64)+('Equipment List &amp; Usage'!$S78*'Weekly Summary'!T$65)+('Equipment List &amp; Usage'!$T78*('Weekly Summary'!T$64+'Weekly Summary'!T$65)),
('Equipment List &amp; Usage'!$O78*'Weekly Summary'!T$52)+('Equipment List &amp; Usage'!$P78*'Weekly Summary'!T$53)+('Equipment List &amp; Usage'!$Q78*('Weekly Summary'!T$52+'Weekly Summary'!T$53))+('Equipment List &amp; Usage'!$R78*'Weekly Summary'!T$64)+('Equipment List &amp; Usage'!$S78*'Weekly Summary'!T$65)+('Equipment List &amp; Usage'!$T78*('Weekly Summary'!T$64+'Weekly Summary'!T$65))-SUM($I76:Y76))),0)</f>
        <v>0</v>
      </c>
      <c r="AA76" s="1381">
        <f ca="1">MAX(IF($F76="No",('Equipment List &amp; Usage'!$O78*'Weekly Summary'!U$52)+('Equipment List &amp; Usage'!$P78*'Weekly Summary'!U$53)+('Equipment List &amp; Usage'!$Q78*('Weekly Summary'!U$52+'Weekly Summary'!U$53))+('Equipment List &amp; Usage'!$R78*'Weekly Summary'!U$64)+('Equipment List &amp; Usage'!$S78*'Weekly Summary'!U$65)+('Equipment List &amp; Usage'!$T78*('Weekly Summary'!U$64+'Weekly Summary'!U$65)),
IF(AA$10=0,('Equipment List &amp; Usage'!$O78*'Weekly Summary'!U$52)+('Equipment List &amp; Usage'!$P78*'Weekly Summary'!U$53)+('Equipment List &amp; Usage'!$Q78*('Weekly Summary'!U$52+'Weekly Summary'!U$53))+('Equipment List &amp; Usage'!$R78*'Weekly Summary'!U$64)+('Equipment List &amp; Usage'!$S78*'Weekly Summary'!U$65)+('Equipment List &amp; Usage'!$T78*('Weekly Summary'!U$64+'Weekly Summary'!U$65)),
('Equipment List &amp; Usage'!$O78*'Weekly Summary'!U$52)+('Equipment List &amp; Usage'!$P78*'Weekly Summary'!U$53)+('Equipment List &amp; Usage'!$Q78*('Weekly Summary'!U$52+'Weekly Summary'!U$53))+('Equipment List &amp; Usage'!$R78*'Weekly Summary'!U$64)+('Equipment List &amp; Usage'!$S78*'Weekly Summary'!U$65)+('Equipment List &amp; Usage'!$T78*('Weekly Summary'!U$64+'Weekly Summary'!U$65))-SUM($I76:Z76))),0)</f>
        <v>0</v>
      </c>
      <c r="AB76" s="1381">
        <f ca="1">MAX(IF($F76="No",('Equipment List &amp; Usage'!$O78*'Weekly Summary'!V$52)+('Equipment List &amp; Usage'!$P78*'Weekly Summary'!V$53)+('Equipment List &amp; Usage'!$Q78*('Weekly Summary'!V$52+'Weekly Summary'!V$53))+('Equipment List &amp; Usage'!$R78*'Weekly Summary'!V$64)+('Equipment List &amp; Usage'!$S78*'Weekly Summary'!V$65)+('Equipment List &amp; Usage'!$T78*('Weekly Summary'!V$64+'Weekly Summary'!V$65)),
IF(AB$10=0,('Equipment List &amp; Usage'!$O78*'Weekly Summary'!V$52)+('Equipment List &amp; Usage'!$P78*'Weekly Summary'!V$53)+('Equipment List &amp; Usage'!$Q78*('Weekly Summary'!V$52+'Weekly Summary'!V$53))+('Equipment List &amp; Usage'!$R78*'Weekly Summary'!V$64)+('Equipment List &amp; Usage'!$S78*'Weekly Summary'!V$65)+('Equipment List &amp; Usage'!$T78*('Weekly Summary'!V$64+'Weekly Summary'!V$65)),
('Equipment List &amp; Usage'!$O78*'Weekly Summary'!V$52)+('Equipment List &amp; Usage'!$P78*'Weekly Summary'!V$53)+('Equipment List &amp; Usage'!$Q78*('Weekly Summary'!V$52+'Weekly Summary'!V$53))+('Equipment List &amp; Usage'!$R78*'Weekly Summary'!V$64)+('Equipment List &amp; Usage'!$S78*'Weekly Summary'!V$65)+('Equipment List &amp; Usage'!$T78*('Weekly Summary'!V$64+'Weekly Summary'!V$65))-SUM($I76:AA76))),0)</f>
        <v>0</v>
      </c>
      <c r="AC76" s="1381">
        <f ca="1">MAX(IF($F76="No",('Equipment List &amp; Usage'!$O78*'Weekly Summary'!W$52)+('Equipment List &amp; Usage'!$P78*'Weekly Summary'!W$53)+('Equipment List &amp; Usage'!$Q78*('Weekly Summary'!W$52+'Weekly Summary'!W$53))+('Equipment List &amp; Usage'!$R78*'Weekly Summary'!W$64)+('Equipment List &amp; Usage'!$S78*'Weekly Summary'!W$65)+('Equipment List &amp; Usage'!$T78*('Weekly Summary'!W$64+'Weekly Summary'!W$65)),
IF(AC$10=0,('Equipment List &amp; Usage'!$O78*'Weekly Summary'!W$52)+('Equipment List &amp; Usage'!$P78*'Weekly Summary'!W$53)+('Equipment List &amp; Usage'!$Q78*('Weekly Summary'!W$52+'Weekly Summary'!W$53))+('Equipment List &amp; Usage'!$R78*'Weekly Summary'!W$64)+('Equipment List &amp; Usage'!$S78*'Weekly Summary'!W$65)+('Equipment List &amp; Usage'!$T78*('Weekly Summary'!W$64+'Weekly Summary'!W$65)),
('Equipment List &amp; Usage'!$O78*'Weekly Summary'!W$52)+('Equipment List &amp; Usage'!$P78*'Weekly Summary'!W$53)+('Equipment List &amp; Usage'!$Q78*('Weekly Summary'!W$52+'Weekly Summary'!W$53))+('Equipment List &amp; Usage'!$R78*'Weekly Summary'!W$64)+('Equipment List &amp; Usage'!$S78*'Weekly Summary'!W$65)+('Equipment List &amp; Usage'!$T78*('Weekly Summary'!W$64+'Weekly Summary'!W$65))-SUM($I76:AB76))),0)</f>
        <v>0</v>
      </c>
      <c r="AD76" s="1381">
        <f ca="1">MAX(IF($F76="No",('Equipment List &amp; Usage'!$O78*'Weekly Summary'!X$52)+('Equipment List &amp; Usage'!$P78*'Weekly Summary'!X$53)+('Equipment List &amp; Usage'!$Q78*('Weekly Summary'!X$52+'Weekly Summary'!X$53))+('Equipment List &amp; Usage'!$R78*'Weekly Summary'!X$64)+('Equipment List &amp; Usage'!$S78*'Weekly Summary'!X$65)+('Equipment List &amp; Usage'!$T78*('Weekly Summary'!X$64+'Weekly Summary'!X$65)),
IF(AD$10=0,('Equipment List &amp; Usage'!$O78*'Weekly Summary'!X$52)+('Equipment List &amp; Usage'!$P78*'Weekly Summary'!X$53)+('Equipment List &amp; Usage'!$Q78*('Weekly Summary'!X$52+'Weekly Summary'!X$53))+('Equipment List &amp; Usage'!$R78*'Weekly Summary'!X$64)+('Equipment List &amp; Usage'!$S78*'Weekly Summary'!X$65)+('Equipment List &amp; Usage'!$T78*('Weekly Summary'!X$64+'Weekly Summary'!X$65)),
('Equipment List &amp; Usage'!$O78*'Weekly Summary'!X$52)+('Equipment List &amp; Usage'!$P78*'Weekly Summary'!X$53)+('Equipment List &amp; Usage'!$Q78*('Weekly Summary'!X$52+'Weekly Summary'!X$53))+('Equipment List &amp; Usage'!$R78*'Weekly Summary'!X$64)+('Equipment List &amp; Usage'!$S78*'Weekly Summary'!X$65)+('Equipment List &amp; Usage'!$T78*('Weekly Summary'!X$64+'Weekly Summary'!X$65))-SUM($I76:AC76))),0)</f>
        <v>0</v>
      </c>
      <c r="AE76" s="1381">
        <f ca="1">MAX(IF($F76="No",('Equipment List &amp; Usage'!$O78*'Weekly Summary'!Y$52)+('Equipment List &amp; Usage'!$P78*'Weekly Summary'!Y$53)+('Equipment List &amp; Usage'!$Q78*('Weekly Summary'!Y$52+'Weekly Summary'!Y$53))+('Equipment List &amp; Usage'!$R78*'Weekly Summary'!Y$64)+('Equipment List &amp; Usage'!$S78*'Weekly Summary'!Y$65)+('Equipment List &amp; Usage'!$T78*('Weekly Summary'!Y$64+'Weekly Summary'!Y$65)),
IF(AE$10=0,('Equipment List &amp; Usage'!$O78*'Weekly Summary'!Y$52)+('Equipment List &amp; Usage'!$P78*'Weekly Summary'!Y$53)+('Equipment List &amp; Usage'!$Q78*('Weekly Summary'!Y$52+'Weekly Summary'!Y$53))+('Equipment List &amp; Usage'!$R78*'Weekly Summary'!Y$64)+('Equipment List &amp; Usage'!$S78*'Weekly Summary'!Y$65)+('Equipment List &amp; Usage'!$T78*('Weekly Summary'!Y$64+'Weekly Summary'!Y$65)),
('Equipment List &amp; Usage'!$O78*'Weekly Summary'!Y$52)+('Equipment List &amp; Usage'!$P78*'Weekly Summary'!Y$53)+('Equipment List &amp; Usage'!$Q78*('Weekly Summary'!Y$52+'Weekly Summary'!Y$53))+('Equipment List &amp; Usage'!$R78*'Weekly Summary'!Y$64)+('Equipment List &amp; Usage'!$S78*'Weekly Summary'!Y$65)+('Equipment List &amp; Usage'!$T78*('Weekly Summary'!Y$64+'Weekly Summary'!Y$65))-SUM($I76:AD76))),0)</f>
        <v>0</v>
      </c>
      <c r="AF76" s="1381">
        <f ca="1">MAX(IF($F76="No",('Equipment List &amp; Usage'!$O78*'Weekly Summary'!Z$52)+('Equipment List &amp; Usage'!$P78*'Weekly Summary'!Z$53)+('Equipment List &amp; Usage'!$Q78*('Weekly Summary'!Z$52+'Weekly Summary'!Z$53))+('Equipment List &amp; Usage'!$R78*'Weekly Summary'!Z$64)+('Equipment List &amp; Usage'!$S78*'Weekly Summary'!Z$65)+('Equipment List &amp; Usage'!$T78*('Weekly Summary'!Z$64+'Weekly Summary'!Z$65)),
IF(AF$10=0,('Equipment List &amp; Usage'!$O78*'Weekly Summary'!Z$52)+('Equipment List &amp; Usage'!$P78*'Weekly Summary'!Z$53)+('Equipment List &amp; Usage'!$Q78*('Weekly Summary'!Z$52+'Weekly Summary'!Z$53))+('Equipment List &amp; Usage'!$R78*'Weekly Summary'!Z$64)+('Equipment List &amp; Usage'!$S78*'Weekly Summary'!Z$65)+('Equipment List &amp; Usage'!$T78*('Weekly Summary'!Z$64+'Weekly Summary'!Z$65)),
('Equipment List &amp; Usage'!$O78*'Weekly Summary'!Z$52)+('Equipment List &amp; Usage'!$P78*'Weekly Summary'!Z$53)+('Equipment List &amp; Usage'!$Q78*('Weekly Summary'!Z$52+'Weekly Summary'!Z$53))+('Equipment List &amp; Usage'!$R78*'Weekly Summary'!Z$64)+('Equipment List &amp; Usage'!$S78*'Weekly Summary'!Z$65)+('Equipment List &amp; Usage'!$T78*('Weekly Summary'!Z$64+'Weekly Summary'!Z$65))-SUM($I76:AE76))),0)</f>
        <v>0</v>
      </c>
      <c r="AG76" s="1381">
        <f ca="1">MAX(IF($F76="No",('Equipment List &amp; Usage'!$O78*'Weekly Summary'!AA$52)+('Equipment List &amp; Usage'!$P78*'Weekly Summary'!AA$53)+('Equipment List &amp; Usage'!$Q78*('Weekly Summary'!AA$52+'Weekly Summary'!AA$53))+('Equipment List &amp; Usage'!$R78*'Weekly Summary'!AA$64)+('Equipment List &amp; Usage'!$S78*'Weekly Summary'!AA$65)+('Equipment List &amp; Usage'!$T78*('Weekly Summary'!AA$64+'Weekly Summary'!AA$65)),
IF(AG$10=0,('Equipment List &amp; Usage'!$O78*'Weekly Summary'!AA$52)+('Equipment List &amp; Usage'!$P78*'Weekly Summary'!AA$53)+('Equipment List &amp; Usage'!$Q78*('Weekly Summary'!AA$52+'Weekly Summary'!AA$53))+('Equipment List &amp; Usage'!$R78*'Weekly Summary'!AA$64)+('Equipment List &amp; Usage'!$S78*'Weekly Summary'!AA$65)+('Equipment List &amp; Usage'!$T78*('Weekly Summary'!AA$64+'Weekly Summary'!AA$65)),
('Equipment List &amp; Usage'!$O78*'Weekly Summary'!AA$52)+('Equipment List &amp; Usage'!$P78*'Weekly Summary'!AA$53)+('Equipment List &amp; Usage'!$Q78*('Weekly Summary'!AA$52+'Weekly Summary'!AA$53))+('Equipment List &amp; Usage'!$R78*'Weekly Summary'!AA$64)+('Equipment List &amp; Usage'!$S78*'Weekly Summary'!AA$65)+('Equipment List &amp; Usage'!$T78*('Weekly Summary'!AA$64+'Weekly Summary'!AA$65))-SUM($I76:AF76))),0)</f>
        <v>0</v>
      </c>
      <c r="AH76" s="1381">
        <f ca="1">MAX(IF($F76="No",('Equipment List &amp; Usage'!$O78*'Weekly Summary'!AB$52)+('Equipment List &amp; Usage'!$P78*'Weekly Summary'!AB$53)+('Equipment List &amp; Usage'!$Q78*('Weekly Summary'!AB$52+'Weekly Summary'!AB$53))+('Equipment List &amp; Usage'!$R78*'Weekly Summary'!AB$64)+('Equipment List &amp; Usage'!$S78*'Weekly Summary'!AB$65)+('Equipment List &amp; Usage'!$T78*('Weekly Summary'!AB$64+'Weekly Summary'!AB$65)),
IF(AH$10=0,('Equipment List &amp; Usage'!$O78*'Weekly Summary'!AB$52)+('Equipment List &amp; Usage'!$P78*'Weekly Summary'!AB$53)+('Equipment List &amp; Usage'!$Q78*('Weekly Summary'!AB$52+'Weekly Summary'!AB$53))+('Equipment List &amp; Usage'!$R78*'Weekly Summary'!AB$64)+('Equipment List &amp; Usage'!$S78*'Weekly Summary'!AB$65)+('Equipment List &amp; Usage'!$T78*('Weekly Summary'!AB$64+'Weekly Summary'!AB$65)),
('Equipment List &amp; Usage'!$O78*'Weekly Summary'!AB$52)+('Equipment List &amp; Usage'!$P78*'Weekly Summary'!AB$53)+('Equipment List &amp; Usage'!$Q78*('Weekly Summary'!AB$52+'Weekly Summary'!AB$53))+('Equipment List &amp; Usage'!$R78*'Weekly Summary'!AB$64)+('Equipment List &amp; Usage'!$S78*'Weekly Summary'!AB$65)+('Equipment List &amp; Usage'!$T78*('Weekly Summary'!AB$64+'Weekly Summary'!AB$65))-SUM($I76:AG76))),0)</f>
        <v>0</v>
      </c>
      <c r="AI76" s="1381">
        <f ca="1">MAX(IF($F76="No",('Equipment List &amp; Usage'!$O78*'Weekly Summary'!AC$52)+('Equipment List &amp; Usage'!$P78*'Weekly Summary'!AC$53)+('Equipment List &amp; Usage'!$Q78*('Weekly Summary'!AC$52+'Weekly Summary'!AC$53))+('Equipment List &amp; Usage'!$R78*'Weekly Summary'!AC$64)+('Equipment List &amp; Usage'!$S78*'Weekly Summary'!AC$65)+('Equipment List &amp; Usage'!$T78*('Weekly Summary'!AC$64+'Weekly Summary'!AC$65)),
IF(AI$10=0,('Equipment List &amp; Usage'!$O78*'Weekly Summary'!AC$52)+('Equipment List &amp; Usage'!$P78*'Weekly Summary'!AC$53)+('Equipment List &amp; Usage'!$Q78*('Weekly Summary'!AC$52+'Weekly Summary'!AC$53))+('Equipment List &amp; Usage'!$R78*'Weekly Summary'!AC$64)+('Equipment List &amp; Usage'!$S78*'Weekly Summary'!AC$65)+('Equipment List &amp; Usage'!$T78*('Weekly Summary'!AC$64+'Weekly Summary'!AC$65)),
('Equipment List &amp; Usage'!$O78*'Weekly Summary'!AC$52)+('Equipment List &amp; Usage'!$P78*'Weekly Summary'!AC$53)+('Equipment List &amp; Usage'!$Q78*('Weekly Summary'!AC$52+'Weekly Summary'!AC$53))+('Equipment List &amp; Usage'!$R78*'Weekly Summary'!AC$64)+('Equipment List &amp; Usage'!$S78*'Weekly Summary'!AC$65)+('Equipment List &amp; Usage'!$T78*('Weekly Summary'!AC$64+'Weekly Summary'!AC$65))-SUM($I76:AH76))),0)</f>
        <v>0</v>
      </c>
      <c r="AJ76" s="1381">
        <f ca="1">MAX(IF($F76="No",('Equipment List &amp; Usage'!$O78*'Weekly Summary'!AD$52)+('Equipment List &amp; Usage'!$P78*'Weekly Summary'!AD$53)+('Equipment List &amp; Usage'!$Q78*('Weekly Summary'!AD$52+'Weekly Summary'!AD$53))+('Equipment List &amp; Usage'!$R78*'Weekly Summary'!AD$64)+('Equipment List &amp; Usage'!$S78*'Weekly Summary'!AD$65)+('Equipment List &amp; Usage'!$T78*('Weekly Summary'!AD$64+'Weekly Summary'!AD$65)),
IF(AJ$10=0,('Equipment List &amp; Usage'!$O78*'Weekly Summary'!AD$52)+('Equipment List &amp; Usage'!$P78*'Weekly Summary'!AD$53)+('Equipment List &amp; Usage'!$Q78*('Weekly Summary'!AD$52+'Weekly Summary'!AD$53))+('Equipment List &amp; Usage'!$R78*'Weekly Summary'!AD$64)+('Equipment List &amp; Usage'!$S78*'Weekly Summary'!AD$65)+('Equipment List &amp; Usage'!$T78*('Weekly Summary'!AD$64+'Weekly Summary'!AD$65)),
('Equipment List &amp; Usage'!$O78*'Weekly Summary'!AD$52)+('Equipment List &amp; Usage'!$P78*'Weekly Summary'!AD$53)+('Equipment List &amp; Usage'!$Q78*('Weekly Summary'!AD$52+'Weekly Summary'!AD$53))+('Equipment List &amp; Usage'!$R78*'Weekly Summary'!AD$64)+('Equipment List &amp; Usage'!$S78*'Weekly Summary'!AD$65)+('Equipment List &amp; Usage'!$T78*('Weekly Summary'!AD$64+'Weekly Summary'!AD$65))-SUM($I76:AI76))),0)</f>
        <v>0</v>
      </c>
      <c r="AK76" s="1381">
        <f ca="1">MAX(IF($F76="No",('Equipment List &amp; Usage'!$O78*'Weekly Summary'!AE$52)+('Equipment List &amp; Usage'!$P78*'Weekly Summary'!AE$53)+('Equipment List &amp; Usage'!$Q78*('Weekly Summary'!AE$52+'Weekly Summary'!AE$53))+('Equipment List &amp; Usage'!$R78*'Weekly Summary'!AE$64)+('Equipment List &amp; Usage'!$S78*'Weekly Summary'!AE$65)+('Equipment List &amp; Usage'!$T78*('Weekly Summary'!AE$64+'Weekly Summary'!AE$65)),
IF(AK$10=0,('Equipment List &amp; Usage'!$O78*'Weekly Summary'!AE$52)+('Equipment List &amp; Usage'!$P78*'Weekly Summary'!AE$53)+('Equipment List &amp; Usage'!$Q78*('Weekly Summary'!AE$52+'Weekly Summary'!AE$53))+('Equipment List &amp; Usage'!$R78*'Weekly Summary'!AE$64)+('Equipment List &amp; Usage'!$S78*'Weekly Summary'!AE$65)+('Equipment List &amp; Usage'!$T78*('Weekly Summary'!AE$64+'Weekly Summary'!AE$65)),
('Equipment List &amp; Usage'!$O78*'Weekly Summary'!AE$52)+('Equipment List &amp; Usage'!$P78*'Weekly Summary'!AE$53)+('Equipment List &amp; Usage'!$Q78*('Weekly Summary'!AE$52+'Weekly Summary'!AE$53))+('Equipment List &amp; Usage'!$R78*'Weekly Summary'!AE$64)+('Equipment List &amp; Usage'!$S78*'Weekly Summary'!AE$65)+('Equipment List &amp; Usage'!$T78*('Weekly Summary'!AE$64+'Weekly Summary'!AE$65))-SUM($I76:AJ76))),0)</f>
        <v>0</v>
      </c>
      <c r="AL76" s="1381">
        <f ca="1">MAX(IF($F76="No",('Equipment List &amp; Usage'!$O78*'Weekly Summary'!AF$52)+('Equipment List &amp; Usage'!$P78*'Weekly Summary'!AF$53)+('Equipment List &amp; Usage'!$Q78*('Weekly Summary'!AF$52+'Weekly Summary'!AF$53))+('Equipment List &amp; Usage'!$R78*'Weekly Summary'!AF$64)+('Equipment List &amp; Usage'!$S78*'Weekly Summary'!AF$65)+('Equipment List &amp; Usage'!$T78*('Weekly Summary'!AF$64+'Weekly Summary'!AF$65)),
IF(AL$10=0,('Equipment List &amp; Usage'!$O78*'Weekly Summary'!AF$52)+('Equipment List &amp; Usage'!$P78*'Weekly Summary'!AF$53)+('Equipment List &amp; Usage'!$Q78*('Weekly Summary'!AF$52+'Weekly Summary'!AF$53))+('Equipment List &amp; Usage'!$R78*'Weekly Summary'!AF$64)+('Equipment List &amp; Usage'!$S78*'Weekly Summary'!AF$65)+('Equipment List &amp; Usage'!$T78*('Weekly Summary'!AF$64+'Weekly Summary'!AF$65)),
('Equipment List &amp; Usage'!$O78*'Weekly Summary'!AF$52)+('Equipment List &amp; Usage'!$P78*'Weekly Summary'!AF$53)+('Equipment List &amp; Usage'!$Q78*('Weekly Summary'!AF$52+'Weekly Summary'!AF$53))+('Equipment List &amp; Usage'!$R78*'Weekly Summary'!AF$64)+('Equipment List &amp; Usage'!$S78*'Weekly Summary'!AF$65)+('Equipment List &amp; Usage'!$T78*('Weekly Summary'!AF$64+'Weekly Summary'!AF$65))-SUM($I76:AK76))),0)</f>
        <v>0</v>
      </c>
      <c r="AM76" s="1381">
        <f ca="1">MAX(IF($F76="No",('Equipment List &amp; Usage'!$O78*'Weekly Summary'!AG$52)+('Equipment List &amp; Usage'!$P78*'Weekly Summary'!AG$53)+('Equipment List &amp; Usage'!$Q78*('Weekly Summary'!AG$52+'Weekly Summary'!AG$53))+('Equipment List &amp; Usage'!$R78*'Weekly Summary'!AG$64)+('Equipment List &amp; Usage'!$S78*'Weekly Summary'!AG$65)+('Equipment List &amp; Usage'!$T78*('Weekly Summary'!AG$64+'Weekly Summary'!AG$65)),
IF(AM$10=0,('Equipment List &amp; Usage'!$O78*'Weekly Summary'!AG$52)+('Equipment List &amp; Usage'!$P78*'Weekly Summary'!AG$53)+('Equipment List &amp; Usage'!$Q78*('Weekly Summary'!AG$52+'Weekly Summary'!AG$53))+('Equipment List &amp; Usage'!$R78*'Weekly Summary'!AG$64)+('Equipment List &amp; Usage'!$S78*'Weekly Summary'!AG$65)+('Equipment List &amp; Usage'!$T78*('Weekly Summary'!AG$64+'Weekly Summary'!AG$65)),
('Equipment List &amp; Usage'!$O78*'Weekly Summary'!AG$52)+('Equipment List &amp; Usage'!$P78*'Weekly Summary'!AG$53)+('Equipment List &amp; Usage'!$Q78*('Weekly Summary'!AG$52+'Weekly Summary'!AG$53))+('Equipment List &amp; Usage'!$R78*'Weekly Summary'!AG$64)+('Equipment List &amp; Usage'!$S78*'Weekly Summary'!AG$65)+('Equipment List &amp; Usage'!$T78*('Weekly Summary'!AG$64+'Weekly Summary'!AG$65))-SUM($I76:AL76))),0)</f>
        <v>0</v>
      </c>
      <c r="AN76" s="1381">
        <f ca="1">MAX(IF($F76="No",('Equipment List &amp; Usage'!$O78*'Weekly Summary'!AH$52)+('Equipment List &amp; Usage'!$P78*'Weekly Summary'!AH$53)+('Equipment List &amp; Usage'!$Q78*('Weekly Summary'!AH$52+'Weekly Summary'!AH$53))+('Equipment List &amp; Usage'!$R78*'Weekly Summary'!AH$64)+('Equipment List &amp; Usage'!$S78*'Weekly Summary'!AH$65)+('Equipment List &amp; Usage'!$T78*('Weekly Summary'!AH$64+'Weekly Summary'!AH$65)),
IF(AN$10=0,('Equipment List &amp; Usage'!$O78*'Weekly Summary'!AH$52)+('Equipment List &amp; Usage'!$P78*'Weekly Summary'!AH$53)+('Equipment List &amp; Usage'!$Q78*('Weekly Summary'!AH$52+'Weekly Summary'!AH$53))+('Equipment List &amp; Usage'!$R78*'Weekly Summary'!AH$64)+('Equipment List &amp; Usage'!$S78*'Weekly Summary'!AH$65)+('Equipment List &amp; Usage'!$T78*('Weekly Summary'!AH$64+'Weekly Summary'!AH$65)),
('Equipment List &amp; Usage'!$O78*'Weekly Summary'!AH$52)+('Equipment List &amp; Usage'!$P78*'Weekly Summary'!AH$53)+('Equipment List &amp; Usage'!$Q78*('Weekly Summary'!AH$52+'Weekly Summary'!AH$53))+('Equipment List &amp; Usage'!$R78*'Weekly Summary'!AH$64)+('Equipment List &amp; Usage'!$S78*'Weekly Summary'!AH$65)+('Equipment List &amp; Usage'!$T78*('Weekly Summary'!AH$64+'Weekly Summary'!AH$65))-SUM($I76:AM76))),0)</f>
        <v>0</v>
      </c>
      <c r="AO76" s="1381">
        <f ca="1">MAX(IF($F76="No",('Equipment List &amp; Usage'!$O78*'Weekly Summary'!AI$52)+('Equipment List &amp; Usage'!$P78*'Weekly Summary'!AI$53)+('Equipment List &amp; Usage'!$Q78*('Weekly Summary'!AI$52+'Weekly Summary'!AI$53))+('Equipment List &amp; Usage'!$R78*'Weekly Summary'!AI$64)+('Equipment List &amp; Usage'!$S78*'Weekly Summary'!AI$65)+('Equipment List &amp; Usage'!$T78*('Weekly Summary'!AI$64+'Weekly Summary'!AI$65)),
IF(AO$10=0,('Equipment List &amp; Usage'!$O78*'Weekly Summary'!AI$52)+('Equipment List &amp; Usage'!$P78*'Weekly Summary'!AI$53)+('Equipment List &amp; Usage'!$Q78*('Weekly Summary'!AI$52+'Weekly Summary'!AI$53))+('Equipment List &amp; Usage'!$R78*'Weekly Summary'!AI$64)+('Equipment List &amp; Usage'!$S78*'Weekly Summary'!AI$65)+('Equipment List &amp; Usage'!$T78*('Weekly Summary'!AI$64+'Weekly Summary'!AI$65)),
('Equipment List &amp; Usage'!$O78*'Weekly Summary'!AI$52)+('Equipment List &amp; Usage'!$P78*'Weekly Summary'!AI$53)+('Equipment List &amp; Usage'!$Q78*('Weekly Summary'!AI$52+'Weekly Summary'!AI$53))+('Equipment List &amp; Usage'!$R78*'Weekly Summary'!AI$64)+('Equipment List &amp; Usage'!$S78*'Weekly Summary'!AI$65)+('Equipment List &amp; Usage'!$T78*('Weekly Summary'!AI$64+'Weekly Summary'!AI$65))-SUM($I76:AN76))),0)</f>
        <v>0</v>
      </c>
      <c r="AP76" s="1381">
        <f ca="1">MAX(IF($F76="No",('Equipment List &amp; Usage'!$O78*'Weekly Summary'!AJ$52)+('Equipment List &amp; Usage'!$P78*'Weekly Summary'!AJ$53)+('Equipment List &amp; Usage'!$Q78*('Weekly Summary'!AJ$52+'Weekly Summary'!AJ$53))+('Equipment List &amp; Usage'!$R78*'Weekly Summary'!AJ$64)+('Equipment List &amp; Usage'!$S78*'Weekly Summary'!AJ$65)+('Equipment List &amp; Usage'!$T78*('Weekly Summary'!AJ$64+'Weekly Summary'!AJ$65)),
IF(AP$10=0,('Equipment List &amp; Usage'!$O78*'Weekly Summary'!AJ$52)+('Equipment List &amp; Usage'!$P78*'Weekly Summary'!AJ$53)+('Equipment List &amp; Usage'!$Q78*('Weekly Summary'!AJ$52+'Weekly Summary'!AJ$53))+('Equipment List &amp; Usage'!$R78*'Weekly Summary'!AJ$64)+('Equipment List &amp; Usage'!$S78*'Weekly Summary'!AJ$65)+('Equipment List &amp; Usage'!$T78*('Weekly Summary'!AJ$64+'Weekly Summary'!AJ$65)),
('Equipment List &amp; Usage'!$O78*'Weekly Summary'!AJ$52)+('Equipment List &amp; Usage'!$P78*'Weekly Summary'!AJ$53)+('Equipment List &amp; Usage'!$Q78*('Weekly Summary'!AJ$52+'Weekly Summary'!AJ$53))+('Equipment List &amp; Usage'!$R78*'Weekly Summary'!AJ$64)+('Equipment List &amp; Usage'!$S78*'Weekly Summary'!AJ$65)+('Equipment List &amp; Usage'!$T78*('Weekly Summary'!AJ$64+'Weekly Summary'!AJ$65))-SUM($I76:AO76))),0)</f>
        <v>0</v>
      </c>
      <c r="AQ76" s="1381">
        <f ca="1">MAX(IF($F76="No",('Equipment List &amp; Usage'!$O78*'Weekly Summary'!AK$52)+('Equipment List &amp; Usage'!$P78*'Weekly Summary'!AK$53)+('Equipment List &amp; Usage'!$Q78*('Weekly Summary'!AK$52+'Weekly Summary'!AK$53))+('Equipment List &amp; Usage'!$R78*'Weekly Summary'!AK$64)+('Equipment List &amp; Usage'!$S78*'Weekly Summary'!AK$65)+('Equipment List &amp; Usage'!$T78*('Weekly Summary'!AK$64+'Weekly Summary'!AK$65)),
IF(AQ$10=0,('Equipment List &amp; Usage'!$O78*'Weekly Summary'!AK$52)+('Equipment List &amp; Usage'!$P78*'Weekly Summary'!AK$53)+('Equipment List &amp; Usage'!$Q78*('Weekly Summary'!AK$52+'Weekly Summary'!AK$53))+('Equipment List &amp; Usage'!$R78*'Weekly Summary'!AK$64)+('Equipment List &amp; Usage'!$S78*'Weekly Summary'!AK$65)+('Equipment List &amp; Usage'!$T78*('Weekly Summary'!AK$64+'Weekly Summary'!AK$65)),
('Equipment List &amp; Usage'!$O78*'Weekly Summary'!AK$52)+('Equipment List &amp; Usage'!$P78*'Weekly Summary'!AK$53)+('Equipment List &amp; Usage'!$Q78*('Weekly Summary'!AK$52+'Weekly Summary'!AK$53))+('Equipment List &amp; Usage'!$R78*'Weekly Summary'!AK$64)+('Equipment List &amp; Usage'!$S78*'Weekly Summary'!AK$65)+('Equipment List &amp; Usage'!$T78*('Weekly Summary'!AK$64+'Weekly Summary'!AK$65))-SUM($I76:AP76))),0)</f>
        <v>0</v>
      </c>
      <c r="AR76" s="1381">
        <f ca="1">MAX(IF($F76="No",('Equipment List &amp; Usage'!$O78*'Weekly Summary'!AL$52)+('Equipment List &amp; Usage'!$P78*'Weekly Summary'!AL$53)+('Equipment List &amp; Usage'!$Q78*('Weekly Summary'!AL$52+'Weekly Summary'!AL$53))+('Equipment List &amp; Usage'!$R78*'Weekly Summary'!AL$64)+('Equipment List &amp; Usage'!$S78*'Weekly Summary'!AL$65)+('Equipment List &amp; Usage'!$T78*('Weekly Summary'!AL$64+'Weekly Summary'!AL$65)),
IF(AR$10=0,('Equipment List &amp; Usage'!$O78*'Weekly Summary'!AL$52)+('Equipment List &amp; Usage'!$P78*'Weekly Summary'!AL$53)+('Equipment List &amp; Usage'!$Q78*('Weekly Summary'!AL$52+'Weekly Summary'!AL$53))+('Equipment List &amp; Usage'!$R78*'Weekly Summary'!AL$64)+('Equipment List &amp; Usage'!$S78*'Weekly Summary'!AL$65)+('Equipment List &amp; Usage'!$T78*('Weekly Summary'!AL$64+'Weekly Summary'!AL$65)),
('Equipment List &amp; Usage'!$O78*'Weekly Summary'!AL$52)+('Equipment List &amp; Usage'!$P78*'Weekly Summary'!AL$53)+('Equipment List &amp; Usage'!$Q78*('Weekly Summary'!AL$52+'Weekly Summary'!AL$53))+('Equipment List &amp; Usage'!$R78*'Weekly Summary'!AL$64)+('Equipment List &amp; Usage'!$S78*'Weekly Summary'!AL$65)+('Equipment List &amp; Usage'!$T78*('Weekly Summary'!AL$64+'Weekly Summary'!AL$65))-SUM($I76:AQ76))),0)</f>
        <v>0</v>
      </c>
      <c r="AS76" s="1381">
        <f ca="1">MAX(IF($F76="No",('Equipment List &amp; Usage'!$O78*'Weekly Summary'!AM$52)+('Equipment List &amp; Usage'!$P78*'Weekly Summary'!AM$53)+('Equipment List &amp; Usage'!$Q78*('Weekly Summary'!AM$52+'Weekly Summary'!AM$53))+('Equipment List &amp; Usage'!$R78*'Weekly Summary'!AM$64)+('Equipment List &amp; Usage'!$S78*'Weekly Summary'!AM$65)+('Equipment List &amp; Usage'!$T78*('Weekly Summary'!AM$64+'Weekly Summary'!AM$65)),
IF(AS$10=0,('Equipment List &amp; Usage'!$O78*'Weekly Summary'!AM$52)+('Equipment List &amp; Usage'!$P78*'Weekly Summary'!AM$53)+('Equipment List &amp; Usage'!$Q78*('Weekly Summary'!AM$52+'Weekly Summary'!AM$53))+('Equipment List &amp; Usage'!$R78*'Weekly Summary'!AM$64)+('Equipment List &amp; Usage'!$S78*'Weekly Summary'!AM$65)+('Equipment List &amp; Usage'!$T78*('Weekly Summary'!AM$64+'Weekly Summary'!AM$65)),
('Equipment List &amp; Usage'!$O78*'Weekly Summary'!AM$52)+('Equipment List &amp; Usage'!$P78*'Weekly Summary'!AM$53)+('Equipment List &amp; Usage'!$Q78*('Weekly Summary'!AM$52+'Weekly Summary'!AM$53))+('Equipment List &amp; Usage'!$R78*'Weekly Summary'!AM$64)+('Equipment List &amp; Usage'!$S78*'Weekly Summary'!AM$65)+('Equipment List &amp; Usage'!$T78*('Weekly Summary'!AM$64+'Weekly Summary'!AM$65))-SUM($I76:AR76))),0)</f>
        <v>0</v>
      </c>
      <c r="AT76" s="1381">
        <f ca="1">MAX(IF($F76="No",('Equipment List &amp; Usage'!$O78*'Weekly Summary'!AN$52)+('Equipment List &amp; Usage'!$P78*'Weekly Summary'!AN$53)+('Equipment List &amp; Usage'!$Q78*('Weekly Summary'!AN$52+'Weekly Summary'!AN$53))+('Equipment List &amp; Usage'!$R78*'Weekly Summary'!AN$64)+('Equipment List &amp; Usage'!$S78*'Weekly Summary'!AN$65)+('Equipment List &amp; Usage'!$T78*('Weekly Summary'!AN$64+'Weekly Summary'!AN$65)),
IF(AT$10=0,('Equipment List &amp; Usage'!$O78*'Weekly Summary'!AN$52)+('Equipment List &amp; Usage'!$P78*'Weekly Summary'!AN$53)+('Equipment List &amp; Usage'!$Q78*('Weekly Summary'!AN$52+'Weekly Summary'!AN$53))+('Equipment List &amp; Usage'!$R78*'Weekly Summary'!AN$64)+('Equipment List &amp; Usage'!$S78*'Weekly Summary'!AN$65)+('Equipment List &amp; Usage'!$T78*('Weekly Summary'!AN$64+'Weekly Summary'!AN$65)),
('Equipment List &amp; Usage'!$O78*'Weekly Summary'!AN$52)+('Equipment List &amp; Usage'!$P78*'Weekly Summary'!AN$53)+('Equipment List &amp; Usage'!$Q78*('Weekly Summary'!AN$52+'Weekly Summary'!AN$53))+('Equipment List &amp; Usage'!$R78*'Weekly Summary'!AN$64)+('Equipment List &amp; Usage'!$S78*'Weekly Summary'!AN$65)+('Equipment List &amp; Usage'!$T78*('Weekly Summary'!AN$64+'Weekly Summary'!AN$65))-SUM($I76:AS76))),0)</f>
        <v>0</v>
      </c>
      <c r="AU76" s="1381">
        <f ca="1">MAX(IF($F76="No",('Equipment List &amp; Usage'!$O78*'Weekly Summary'!AO$52)+('Equipment List &amp; Usage'!$P78*'Weekly Summary'!AO$53)+('Equipment List &amp; Usage'!$Q78*('Weekly Summary'!AO$52+'Weekly Summary'!AO$53))+('Equipment List &amp; Usage'!$R78*'Weekly Summary'!AO$64)+('Equipment List &amp; Usage'!$S78*'Weekly Summary'!AO$65)+('Equipment List &amp; Usage'!$T78*('Weekly Summary'!AO$64+'Weekly Summary'!AO$65)),
IF(AU$10=0,('Equipment List &amp; Usage'!$O78*'Weekly Summary'!AO$52)+('Equipment List &amp; Usage'!$P78*'Weekly Summary'!AO$53)+('Equipment List &amp; Usage'!$Q78*('Weekly Summary'!AO$52+'Weekly Summary'!AO$53))+('Equipment List &amp; Usage'!$R78*'Weekly Summary'!AO$64)+('Equipment List &amp; Usage'!$S78*'Weekly Summary'!AO$65)+('Equipment List &amp; Usage'!$T78*('Weekly Summary'!AO$64+'Weekly Summary'!AO$65)),
('Equipment List &amp; Usage'!$O78*'Weekly Summary'!AO$52)+('Equipment List &amp; Usage'!$P78*'Weekly Summary'!AO$53)+('Equipment List &amp; Usage'!$Q78*('Weekly Summary'!AO$52+'Weekly Summary'!AO$53))+('Equipment List &amp; Usage'!$R78*'Weekly Summary'!AO$64)+('Equipment List &amp; Usage'!$S78*'Weekly Summary'!AO$65)+('Equipment List &amp; Usage'!$T78*('Weekly Summary'!AO$64+'Weekly Summary'!AO$65))-SUM($I76:AT76))),0)</f>
        <v>0</v>
      </c>
      <c r="AV76" s="1381">
        <f ca="1">MAX(IF($F76="No",('Equipment List &amp; Usage'!$O78*'Weekly Summary'!AP$52)+('Equipment List &amp; Usage'!$P78*'Weekly Summary'!AP$53)+('Equipment List &amp; Usage'!$Q78*('Weekly Summary'!AP$52+'Weekly Summary'!AP$53))+('Equipment List &amp; Usage'!$R78*'Weekly Summary'!AP$64)+('Equipment List &amp; Usage'!$S78*'Weekly Summary'!AP$65)+('Equipment List &amp; Usage'!$T78*('Weekly Summary'!AP$64+'Weekly Summary'!AP$65)),
IF(AV$10=0,('Equipment List &amp; Usage'!$O78*'Weekly Summary'!AP$52)+('Equipment List &amp; Usage'!$P78*'Weekly Summary'!AP$53)+('Equipment List &amp; Usage'!$Q78*('Weekly Summary'!AP$52+'Weekly Summary'!AP$53))+('Equipment List &amp; Usage'!$R78*'Weekly Summary'!AP$64)+('Equipment List &amp; Usage'!$S78*'Weekly Summary'!AP$65)+('Equipment List &amp; Usage'!$T78*('Weekly Summary'!AP$64+'Weekly Summary'!AP$65)),
('Equipment List &amp; Usage'!$O78*'Weekly Summary'!AP$52)+('Equipment List &amp; Usage'!$P78*'Weekly Summary'!AP$53)+('Equipment List &amp; Usage'!$Q78*('Weekly Summary'!AP$52+'Weekly Summary'!AP$53))+('Equipment List &amp; Usage'!$R78*'Weekly Summary'!AP$64)+('Equipment List &amp; Usage'!$S78*'Weekly Summary'!AP$65)+('Equipment List &amp; Usage'!$T78*('Weekly Summary'!AP$64+'Weekly Summary'!AP$65))-SUM($I76:AU76))),0)</f>
        <v>0</v>
      </c>
      <c r="AW76" s="1381">
        <f ca="1">MAX(IF($F76="No",('Equipment List &amp; Usage'!$O78*'Weekly Summary'!AQ$52)+('Equipment List &amp; Usage'!$P78*'Weekly Summary'!AQ$53)+('Equipment List &amp; Usage'!$Q78*('Weekly Summary'!AQ$52+'Weekly Summary'!AQ$53))+('Equipment List &amp; Usage'!$R78*'Weekly Summary'!AQ$64)+('Equipment List &amp; Usage'!$S78*'Weekly Summary'!AQ$65)+('Equipment List &amp; Usage'!$T78*('Weekly Summary'!AQ$64+'Weekly Summary'!AQ$65)),
IF(AW$10=0,('Equipment List &amp; Usage'!$O78*'Weekly Summary'!AQ$52)+('Equipment List &amp; Usage'!$P78*'Weekly Summary'!AQ$53)+('Equipment List &amp; Usage'!$Q78*('Weekly Summary'!AQ$52+'Weekly Summary'!AQ$53))+('Equipment List &amp; Usage'!$R78*'Weekly Summary'!AQ$64)+('Equipment List &amp; Usage'!$S78*'Weekly Summary'!AQ$65)+('Equipment List &amp; Usage'!$T78*('Weekly Summary'!AQ$64+'Weekly Summary'!AQ$65)),
('Equipment List &amp; Usage'!$O78*'Weekly Summary'!AQ$52)+('Equipment List &amp; Usage'!$P78*'Weekly Summary'!AQ$53)+('Equipment List &amp; Usage'!$Q78*('Weekly Summary'!AQ$52+'Weekly Summary'!AQ$53))+('Equipment List &amp; Usage'!$R78*'Weekly Summary'!AQ$64)+('Equipment List &amp; Usage'!$S78*'Weekly Summary'!AQ$65)+('Equipment List &amp; Usage'!$T78*('Weekly Summary'!AQ$64+'Weekly Summary'!AQ$65))-SUM($I76:AV76))),0)</f>
        <v>0</v>
      </c>
      <c r="AX76" s="1381">
        <f ca="1">MAX(IF($F76="No",('Equipment List &amp; Usage'!$O78*'Weekly Summary'!AR$52)+('Equipment List &amp; Usage'!$P78*'Weekly Summary'!AR$53)+('Equipment List &amp; Usage'!$Q78*('Weekly Summary'!AR$52+'Weekly Summary'!AR$53))+('Equipment List &amp; Usage'!$R78*'Weekly Summary'!AR$64)+('Equipment List &amp; Usage'!$S78*'Weekly Summary'!AR$65)+('Equipment List &amp; Usage'!$T78*('Weekly Summary'!AR$64+'Weekly Summary'!AR$65)),
IF(AX$10=0,('Equipment List &amp; Usage'!$O78*'Weekly Summary'!AR$52)+('Equipment List &amp; Usage'!$P78*'Weekly Summary'!AR$53)+('Equipment List &amp; Usage'!$Q78*('Weekly Summary'!AR$52+'Weekly Summary'!AR$53))+('Equipment List &amp; Usage'!$R78*'Weekly Summary'!AR$64)+('Equipment List &amp; Usage'!$S78*'Weekly Summary'!AR$65)+('Equipment List &amp; Usage'!$T78*('Weekly Summary'!AR$64+'Weekly Summary'!AR$65)),
('Equipment List &amp; Usage'!$O78*'Weekly Summary'!AR$52)+('Equipment List &amp; Usage'!$P78*'Weekly Summary'!AR$53)+('Equipment List &amp; Usage'!$Q78*('Weekly Summary'!AR$52+'Weekly Summary'!AR$53))+('Equipment List &amp; Usage'!$R78*'Weekly Summary'!AR$64)+('Equipment List &amp; Usage'!$S78*'Weekly Summary'!AR$65)+('Equipment List &amp; Usage'!$T78*('Weekly Summary'!AR$64+'Weekly Summary'!AR$65))-SUM($I76:AW76))),0)</f>
        <v>0</v>
      </c>
      <c r="AY76" s="1381">
        <f ca="1">MAX(IF($F76="No",('Equipment List &amp; Usage'!$O78*'Weekly Summary'!AS$52)+('Equipment List &amp; Usage'!$P78*'Weekly Summary'!AS$53)+('Equipment List &amp; Usage'!$Q78*('Weekly Summary'!AS$52+'Weekly Summary'!AS$53))+('Equipment List &amp; Usage'!$R78*'Weekly Summary'!AS$64)+('Equipment List &amp; Usage'!$S78*'Weekly Summary'!AS$65)+('Equipment List &amp; Usage'!$T78*('Weekly Summary'!AS$64+'Weekly Summary'!AS$65)),
IF(AY$10=0,('Equipment List &amp; Usage'!$O78*'Weekly Summary'!AS$52)+('Equipment List &amp; Usage'!$P78*'Weekly Summary'!AS$53)+('Equipment List &amp; Usage'!$Q78*('Weekly Summary'!AS$52+'Weekly Summary'!AS$53))+('Equipment List &amp; Usage'!$R78*'Weekly Summary'!AS$64)+('Equipment List &amp; Usage'!$S78*'Weekly Summary'!AS$65)+('Equipment List &amp; Usage'!$T78*('Weekly Summary'!AS$64+'Weekly Summary'!AS$65)),
('Equipment List &amp; Usage'!$O78*'Weekly Summary'!AS$52)+('Equipment List &amp; Usage'!$P78*'Weekly Summary'!AS$53)+('Equipment List &amp; Usage'!$Q78*('Weekly Summary'!AS$52+'Weekly Summary'!AS$53))+('Equipment List &amp; Usage'!$R78*'Weekly Summary'!AS$64)+('Equipment List &amp; Usage'!$S78*'Weekly Summary'!AS$65)+('Equipment List &amp; Usage'!$T78*('Weekly Summary'!AS$64+'Weekly Summary'!AS$65))-SUM($I76:AX76))),0)</f>
        <v>0</v>
      </c>
      <c r="AZ76" s="1381">
        <f ca="1">MAX(IF($F76="No",('Equipment List &amp; Usage'!$O78*'Weekly Summary'!AT$52)+('Equipment List &amp; Usage'!$P78*'Weekly Summary'!AT$53)+('Equipment List &amp; Usage'!$Q78*('Weekly Summary'!AT$52+'Weekly Summary'!AT$53))+('Equipment List &amp; Usage'!$R78*'Weekly Summary'!AT$64)+('Equipment List &amp; Usage'!$S78*'Weekly Summary'!AT$65)+('Equipment List &amp; Usage'!$T78*('Weekly Summary'!AT$64+'Weekly Summary'!AT$65)),
IF(AZ$10=0,('Equipment List &amp; Usage'!$O78*'Weekly Summary'!AT$52)+('Equipment List &amp; Usage'!$P78*'Weekly Summary'!AT$53)+('Equipment List &amp; Usage'!$Q78*('Weekly Summary'!AT$52+'Weekly Summary'!AT$53))+('Equipment List &amp; Usage'!$R78*'Weekly Summary'!AT$64)+('Equipment List &amp; Usage'!$S78*'Weekly Summary'!AT$65)+('Equipment List &amp; Usage'!$T78*('Weekly Summary'!AT$64+'Weekly Summary'!AT$65)),
('Equipment List &amp; Usage'!$O78*'Weekly Summary'!AT$52)+('Equipment List &amp; Usage'!$P78*'Weekly Summary'!AT$53)+('Equipment List &amp; Usage'!$Q78*('Weekly Summary'!AT$52+'Weekly Summary'!AT$53))+('Equipment List &amp; Usage'!$R78*'Weekly Summary'!AT$64)+('Equipment List &amp; Usage'!$S78*'Weekly Summary'!AT$65)+('Equipment List &amp; Usage'!$T78*('Weekly Summary'!AT$64+'Weekly Summary'!AT$65))-SUM($I76:AY76))),0)</f>
        <v>0</v>
      </c>
      <c r="BA76" s="1381">
        <f ca="1">MAX(IF($F76="No",('Equipment List &amp; Usage'!$O78*'Weekly Summary'!AU$52)+('Equipment List &amp; Usage'!$P78*'Weekly Summary'!AU$53)+('Equipment List &amp; Usage'!$Q78*('Weekly Summary'!AU$52+'Weekly Summary'!AU$53))+('Equipment List &amp; Usage'!$R78*'Weekly Summary'!AU$64)+('Equipment List &amp; Usage'!$S78*'Weekly Summary'!AU$65)+('Equipment List &amp; Usage'!$T78*('Weekly Summary'!AU$64+'Weekly Summary'!AU$65)),
IF(BA$10=0,('Equipment List &amp; Usage'!$O78*'Weekly Summary'!AU$52)+('Equipment List &amp; Usage'!$P78*'Weekly Summary'!AU$53)+('Equipment List &amp; Usage'!$Q78*('Weekly Summary'!AU$52+'Weekly Summary'!AU$53))+('Equipment List &amp; Usage'!$R78*'Weekly Summary'!AU$64)+('Equipment List &amp; Usage'!$S78*'Weekly Summary'!AU$65)+('Equipment List &amp; Usage'!$T78*('Weekly Summary'!AU$64+'Weekly Summary'!AU$65)),
('Equipment List &amp; Usage'!$O78*'Weekly Summary'!AU$52)+('Equipment List &amp; Usage'!$P78*'Weekly Summary'!AU$53)+('Equipment List &amp; Usage'!$Q78*('Weekly Summary'!AU$52+'Weekly Summary'!AU$53))+('Equipment List &amp; Usage'!$R78*'Weekly Summary'!AU$64)+('Equipment List &amp; Usage'!$S78*'Weekly Summary'!AU$65)+('Equipment List &amp; Usage'!$T78*('Weekly Summary'!AU$64+'Weekly Summary'!AU$65))-SUM($I76:AZ76))),0)</f>
        <v>0</v>
      </c>
      <c r="BB76" s="1381">
        <f ca="1">MAX(IF($F76="No",('Equipment List &amp; Usage'!$O78*'Weekly Summary'!AV$52)+('Equipment List &amp; Usage'!$P78*'Weekly Summary'!AV$53)+('Equipment List &amp; Usage'!$Q78*('Weekly Summary'!AV$52+'Weekly Summary'!AV$53))+('Equipment List &amp; Usage'!$R78*'Weekly Summary'!AV$64)+('Equipment List &amp; Usage'!$S78*'Weekly Summary'!AV$65)+('Equipment List &amp; Usage'!$T78*('Weekly Summary'!AV$64+'Weekly Summary'!AV$65)),
IF(BB$10=0,('Equipment List &amp; Usage'!$O78*'Weekly Summary'!AV$52)+('Equipment List &amp; Usage'!$P78*'Weekly Summary'!AV$53)+('Equipment List &amp; Usage'!$Q78*('Weekly Summary'!AV$52+'Weekly Summary'!AV$53))+('Equipment List &amp; Usage'!$R78*'Weekly Summary'!AV$64)+('Equipment List &amp; Usage'!$S78*'Weekly Summary'!AV$65)+('Equipment List &amp; Usage'!$T78*('Weekly Summary'!AV$64+'Weekly Summary'!AV$65)),
('Equipment List &amp; Usage'!$O78*'Weekly Summary'!AV$52)+('Equipment List &amp; Usage'!$P78*'Weekly Summary'!AV$53)+('Equipment List &amp; Usage'!$Q78*('Weekly Summary'!AV$52+'Weekly Summary'!AV$53))+('Equipment List &amp; Usage'!$R78*'Weekly Summary'!AV$64)+('Equipment List &amp; Usage'!$S78*'Weekly Summary'!AV$65)+('Equipment List &amp; Usage'!$T78*('Weekly Summary'!AV$64+'Weekly Summary'!AV$65))-SUM($I76:BA76))),0)</f>
        <v>0</v>
      </c>
      <c r="BC76" s="1381">
        <f ca="1">MAX(IF($F76="No",('Equipment List &amp; Usage'!$O78*'Weekly Summary'!AW$52)+('Equipment List &amp; Usage'!$P78*'Weekly Summary'!AW$53)+('Equipment List &amp; Usage'!$Q78*('Weekly Summary'!AW$52+'Weekly Summary'!AW$53))+('Equipment List &amp; Usage'!$R78*'Weekly Summary'!AW$64)+('Equipment List &amp; Usage'!$S78*'Weekly Summary'!AW$65)+('Equipment List &amp; Usage'!$T78*('Weekly Summary'!AW$64+'Weekly Summary'!AW$65)),
IF(BC$10=0,('Equipment List &amp; Usage'!$O78*'Weekly Summary'!AW$52)+('Equipment List &amp; Usage'!$P78*'Weekly Summary'!AW$53)+('Equipment List &amp; Usage'!$Q78*('Weekly Summary'!AW$52+'Weekly Summary'!AW$53))+('Equipment List &amp; Usage'!$R78*'Weekly Summary'!AW$64)+('Equipment List &amp; Usage'!$S78*'Weekly Summary'!AW$65)+('Equipment List &amp; Usage'!$T78*('Weekly Summary'!AW$64+'Weekly Summary'!AW$65)),
('Equipment List &amp; Usage'!$O78*'Weekly Summary'!AW$52)+('Equipment List &amp; Usage'!$P78*'Weekly Summary'!AW$53)+('Equipment List &amp; Usage'!$Q78*('Weekly Summary'!AW$52+'Weekly Summary'!AW$53))+('Equipment List &amp; Usage'!$R78*'Weekly Summary'!AW$64)+('Equipment List &amp; Usage'!$S78*'Weekly Summary'!AW$65)+('Equipment List &amp; Usage'!$T78*('Weekly Summary'!AW$64+'Weekly Summary'!AW$65))-SUM($I76:BB76))),0)</f>
        <v>0</v>
      </c>
      <c r="BD76" s="1381">
        <f ca="1">MAX(IF($F76="No",('Equipment List &amp; Usage'!$O78*'Weekly Summary'!AX$52)+('Equipment List &amp; Usage'!$P78*'Weekly Summary'!AX$53)+('Equipment List &amp; Usage'!$Q78*('Weekly Summary'!AX$52+'Weekly Summary'!AX$53))+('Equipment List &amp; Usage'!$R78*'Weekly Summary'!AX$64)+('Equipment List &amp; Usage'!$S78*'Weekly Summary'!AX$65)+('Equipment List &amp; Usage'!$T78*('Weekly Summary'!AX$64+'Weekly Summary'!AX$65)),
IF(BD$10=0,('Equipment List &amp; Usage'!$O78*'Weekly Summary'!AX$52)+('Equipment List &amp; Usage'!$P78*'Weekly Summary'!AX$53)+('Equipment List &amp; Usage'!$Q78*('Weekly Summary'!AX$52+'Weekly Summary'!AX$53))+('Equipment List &amp; Usage'!$R78*'Weekly Summary'!AX$64)+('Equipment List &amp; Usage'!$S78*'Weekly Summary'!AX$65)+('Equipment List &amp; Usage'!$T78*('Weekly Summary'!AX$64+'Weekly Summary'!AX$65)),
('Equipment List &amp; Usage'!$O78*'Weekly Summary'!AX$52)+('Equipment List &amp; Usage'!$P78*'Weekly Summary'!AX$53)+('Equipment List &amp; Usage'!$Q78*('Weekly Summary'!AX$52+'Weekly Summary'!AX$53))+('Equipment List &amp; Usage'!$R78*'Weekly Summary'!AX$64)+('Equipment List &amp; Usage'!$S78*'Weekly Summary'!AX$65)+('Equipment List &amp; Usage'!$T78*('Weekly Summary'!AX$64+'Weekly Summary'!AX$65))-SUM($I76:BC76))),0)</f>
        <v>0</v>
      </c>
      <c r="BE76" s="1381">
        <f ca="1">MAX(IF($F76="No",('Equipment List &amp; Usage'!$O78*'Weekly Summary'!AY$52)+('Equipment List &amp; Usage'!$P78*'Weekly Summary'!AY$53)+('Equipment List &amp; Usage'!$Q78*('Weekly Summary'!AY$52+'Weekly Summary'!AY$53))+('Equipment List &amp; Usage'!$R78*'Weekly Summary'!AY$64)+('Equipment List &amp; Usage'!$S78*'Weekly Summary'!AY$65)+('Equipment List &amp; Usage'!$T78*('Weekly Summary'!AY$64+'Weekly Summary'!AY$65)),
IF(BE$10=0,('Equipment List &amp; Usage'!$O78*'Weekly Summary'!AY$52)+('Equipment List &amp; Usage'!$P78*'Weekly Summary'!AY$53)+('Equipment List &amp; Usage'!$Q78*('Weekly Summary'!AY$52+'Weekly Summary'!AY$53))+('Equipment List &amp; Usage'!$R78*'Weekly Summary'!AY$64)+('Equipment List &amp; Usage'!$S78*'Weekly Summary'!AY$65)+('Equipment List &amp; Usage'!$T78*('Weekly Summary'!AY$64+'Weekly Summary'!AY$65)),
('Equipment List &amp; Usage'!$O78*'Weekly Summary'!AY$52)+('Equipment List &amp; Usage'!$P78*'Weekly Summary'!AY$53)+('Equipment List &amp; Usage'!$Q78*('Weekly Summary'!AY$52+'Weekly Summary'!AY$53))+('Equipment List &amp; Usage'!$R78*'Weekly Summary'!AY$64)+('Equipment List &amp; Usage'!$S78*'Weekly Summary'!AY$65)+('Equipment List &amp; Usage'!$T78*('Weekly Summary'!AY$64+'Weekly Summary'!AY$65))-SUM($I76:BD76))),0)</f>
        <v>0</v>
      </c>
      <c r="BF76" s="1381">
        <f ca="1">MAX(IF($F76="No",('Equipment List &amp; Usage'!$O78*'Weekly Summary'!AZ$52)+('Equipment List &amp; Usage'!$P78*'Weekly Summary'!AZ$53)+('Equipment List &amp; Usage'!$Q78*('Weekly Summary'!AZ$52+'Weekly Summary'!AZ$53))+('Equipment List &amp; Usage'!$R78*'Weekly Summary'!AZ$64)+('Equipment List &amp; Usage'!$S78*'Weekly Summary'!AZ$65)+('Equipment List &amp; Usage'!$T78*('Weekly Summary'!AZ$64+'Weekly Summary'!AZ$65)),
IF(BF$10=0,('Equipment List &amp; Usage'!$O78*'Weekly Summary'!AZ$52)+('Equipment List &amp; Usage'!$P78*'Weekly Summary'!AZ$53)+('Equipment List &amp; Usage'!$Q78*('Weekly Summary'!AZ$52+'Weekly Summary'!AZ$53))+('Equipment List &amp; Usage'!$R78*'Weekly Summary'!AZ$64)+('Equipment List &amp; Usage'!$S78*'Weekly Summary'!AZ$65)+('Equipment List &amp; Usage'!$T78*('Weekly Summary'!AZ$64+'Weekly Summary'!AZ$65)),
('Equipment List &amp; Usage'!$O78*'Weekly Summary'!AZ$52)+('Equipment List &amp; Usage'!$P78*'Weekly Summary'!AZ$53)+('Equipment List &amp; Usage'!$Q78*('Weekly Summary'!AZ$52+'Weekly Summary'!AZ$53))+('Equipment List &amp; Usage'!$R78*'Weekly Summary'!AZ$64)+('Equipment List &amp; Usage'!$S78*'Weekly Summary'!AZ$65)+('Equipment List &amp; Usage'!$T78*('Weekly Summary'!AZ$64+'Weekly Summary'!AZ$65))-SUM($I76:BE76))),0)</f>
        <v>0</v>
      </c>
      <c r="BG76" s="1381">
        <f ca="1">MAX(IF($F76="No",('Equipment List &amp; Usage'!$O78*'Weekly Summary'!BA$52)+('Equipment List &amp; Usage'!$P78*'Weekly Summary'!BA$53)+('Equipment List &amp; Usage'!$Q78*('Weekly Summary'!BA$52+'Weekly Summary'!BA$53))+('Equipment List &amp; Usage'!$R78*'Weekly Summary'!BA$64)+('Equipment List &amp; Usage'!$S78*'Weekly Summary'!BA$65)+('Equipment List &amp; Usage'!$T78*('Weekly Summary'!BA$64+'Weekly Summary'!BA$65)),
IF(BG$10=0,('Equipment List &amp; Usage'!$O78*'Weekly Summary'!BA$52)+('Equipment List &amp; Usage'!$P78*'Weekly Summary'!BA$53)+('Equipment List &amp; Usage'!$Q78*('Weekly Summary'!BA$52+'Weekly Summary'!BA$53))+('Equipment List &amp; Usage'!$R78*'Weekly Summary'!BA$64)+('Equipment List &amp; Usage'!$S78*'Weekly Summary'!BA$65)+('Equipment List &amp; Usage'!$T78*('Weekly Summary'!BA$64+'Weekly Summary'!BA$65)),
('Equipment List &amp; Usage'!$O78*'Weekly Summary'!BA$52)+('Equipment List &amp; Usage'!$P78*'Weekly Summary'!BA$53)+('Equipment List &amp; Usage'!$Q78*('Weekly Summary'!BA$52+'Weekly Summary'!BA$53))+('Equipment List &amp; Usage'!$R78*'Weekly Summary'!BA$64)+('Equipment List &amp; Usage'!$S78*'Weekly Summary'!BA$65)+('Equipment List &amp; Usage'!$T78*('Weekly Summary'!BA$64+'Weekly Summary'!BA$65))-SUM($I76:BF76))),0)</f>
        <v>0</v>
      </c>
      <c r="BH76" s="1381">
        <f ca="1">MAX(IF($F76="No",('Equipment List &amp; Usage'!$O78*'Weekly Summary'!BB$52)+('Equipment List &amp; Usage'!$P78*'Weekly Summary'!BB$53)+('Equipment List &amp; Usage'!$Q78*('Weekly Summary'!BB$52+'Weekly Summary'!BB$53))+('Equipment List &amp; Usage'!$R78*'Weekly Summary'!BB$64)+('Equipment List &amp; Usage'!$S78*'Weekly Summary'!BB$65)+('Equipment List &amp; Usage'!$T78*('Weekly Summary'!BB$64+'Weekly Summary'!BB$65)),
IF(BH$10=0,('Equipment List &amp; Usage'!$O78*'Weekly Summary'!BB$52)+('Equipment List &amp; Usage'!$P78*'Weekly Summary'!BB$53)+('Equipment List &amp; Usage'!$Q78*('Weekly Summary'!BB$52+'Weekly Summary'!BB$53))+('Equipment List &amp; Usage'!$R78*'Weekly Summary'!BB$64)+('Equipment List &amp; Usage'!$S78*'Weekly Summary'!BB$65)+('Equipment List &amp; Usage'!$T78*('Weekly Summary'!BB$64+'Weekly Summary'!BB$65)),
('Equipment List &amp; Usage'!$O78*'Weekly Summary'!BB$52)+('Equipment List &amp; Usage'!$P78*'Weekly Summary'!BB$53)+('Equipment List &amp; Usage'!$Q78*('Weekly Summary'!BB$52+'Weekly Summary'!BB$53))+('Equipment List &amp; Usage'!$R78*'Weekly Summary'!BB$64)+('Equipment List &amp; Usage'!$S78*'Weekly Summary'!BB$65)+('Equipment List &amp; Usage'!$T78*('Weekly Summary'!BB$64+'Weekly Summary'!BB$65))-SUM($I76:BG76))),0)</f>
        <v>0</v>
      </c>
      <c r="BI76" s="1381">
        <f ca="1">MAX(IF($F76="No",('Equipment List &amp; Usage'!$O78*'Weekly Summary'!BC$52)+('Equipment List &amp; Usage'!$P78*'Weekly Summary'!BC$53)+('Equipment List &amp; Usage'!$Q78*('Weekly Summary'!BC$52+'Weekly Summary'!BC$53))+('Equipment List &amp; Usage'!$R78*'Weekly Summary'!BC$64)+('Equipment List &amp; Usage'!$S78*'Weekly Summary'!BC$65)+('Equipment List &amp; Usage'!$T78*('Weekly Summary'!BC$64+'Weekly Summary'!BC$65)),
IF(BI$10=0,('Equipment List &amp; Usage'!$O78*'Weekly Summary'!BC$52)+('Equipment List &amp; Usage'!$P78*'Weekly Summary'!BC$53)+('Equipment List &amp; Usage'!$Q78*('Weekly Summary'!BC$52+'Weekly Summary'!BC$53))+('Equipment List &amp; Usage'!$R78*'Weekly Summary'!BC$64)+('Equipment List &amp; Usage'!$S78*'Weekly Summary'!BC$65)+('Equipment List &amp; Usage'!$T78*('Weekly Summary'!BC$64+'Weekly Summary'!BC$65)),
('Equipment List &amp; Usage'!$O78*'Weekly Summary'!BC$52)+('Equipment List &amp; Usage'!$P78*'Weekly Summary'!BC$53)+('Equipment List &amp; Usage'!$Q78*('Weekly Summary'!BC$52+'Weekly Summary'!BC$53))+('Equipment List &amp; Usage'!$R78*'Weekly Summary'!BC$64)+('Equipment List &amp; Usage'!$S78*'Weekly Summary'!BC$65)+('Equipment List &amp; Usage'!$T78*('Weekly Summary'!BC$64+'Weekly Summary'!BC$65))-SUM($I76:BH76))),0)</f>
        <v>0</v>
      </c>
      <c r="BJ76" s="1382">
        <f ca="1">MAX(IF($F76="No",('Equipment List &amp; Usage'!$O78*'Weekly Summary'!BD$52)+('Equipment List &amp; Usage'!$P78*'Weekly Summary'!BD$53)+('Equipment List &amp; Usage'!$Q78*('Weekly Summary'!BD$52+'Weekly Summary'!BD$53))+('Equipment List &amp; Usage'!$R78*'Weekly Summary'!BD$64)+('Equipment List &amp; Usage'!$S78*'Weekly Summary'!BD$65)+('Equipment List &amp; Usage'!$T78*('Weekly Summary'!BD$64+'Weekly Summary'!BD$65)),
IF(BJ$10=0,('Equipment List &amp; Usage'!$O78*'Weekly Summary'!BD$52)+('Equipment List &amp; Usage'!$P78*'Weekly Summary'!BD$53)+('Equipment List &amp; Usage'!$Q78*('Weekly Summary'!BD$52+'Weekly Summary'!BD$53))+('Equipment List &amp; Usage'!$R78*'Weekly Summary'!BD$64)+('Equipment List &amp; Usage'!$S78*'Weekly Summary'!BD$65)+('Equipment List &amp; Usage'!$T78*('Weekly Summary'!BD$64+'Weekly Summary'!BD$65)),
('Equipment List &amp; Usage'!$O78*'Weekly Summary'!BD$52)+('Equipment List &amp; Usage'!$P78*'Weekly Summary'!BD$53)+('Equipment List &amp; Usage'!$Q78*('Weekly Summary'!BD$52+'Weekly Summary'!BD$53))+('Equipment List &amp; Usage'!$R78*'Weekly Summary'!BD$64)+('Equipment List &amp; Usage'!$S78*'Weekly Summary'!BD$65)+('Equipment List &amp; Usage'!$T78*('Weekly Summary'!BD$64+'Weekly Summary'!BD$65))-SUM($I76:BI76))),0)</f>
        <v>0</v>
      </c>
    </row>
    <row r="77" spans="2:62" ht="43.5" x14ac:dyDescent="0.35">
      <c r="B77" s="735" t="str">
        <f>'Equipment List &amp; Usage'!B79</f>
        <v>Case management - accessories &amp; consumables</v>
      </c>
      <c r="C77" s="526" t="str">
        <f>'Equipment List &amp; Usage'!C79</f>
        <v>Airway Management &amp; Intubation</v>
      </c>
      <c r="D77" s="526" t="str">
        <f>'Equipment List &amp; Usage'!D79</f>
        <v>Airway, nasopharyngeal, sterile, single use, set with sizes of: 20 Fr, 22 Fr, 24 Fr, 26 Fr, 28 Fr, 30 Fr, 32 Fr, 34 Fr, 36 Fr</v>
      </c>
      <c r="E77" s="526" t="str">
        <f>'Equipment List &amp; Usage'!E79</f>
        <v>Each</v>
      </c>
      <c r="F77" s="526" t="str">
        <f>'Equipment List &amp; Usage'!F79</f>
        <v>No</v>
      </c>
      <c r="G77" s="526" t="str">
        <f>'Equipment List &amp; Usage'!G79</f>
        <v>N/A</v>
      </c>
      <c r="H77" s="1369">
        <f t="shared" ca="1" si="3"/>
        <v>134.15286663356636</v>
      </c>
      <c r="J77" s="1344"/>
      <c r="K77" s="1381">
        <f ca="1">IF('User Dashboard'!$H$13=1,0,MAX(IF($F77="No",('Equipment List &amp; Usage'!$O79*'Weekly Summary'!E$52)+('Equipment List &amp; Usage'!$P79*'Weekly Summary'!E$53)+('Equipment List &amp; Usage'!$Q79*('Weekly Summary'!E$52+'Weekly Summary'!E$53))+('Equipment List &amp; Usage'!$R79*'Weekly Summary'!E$64)+('Equipment List &amp; Usage'!$S79*'Weekly Summary'!E$65)+('Equipment List &amp; Usage'!$T79*('Weekly Summary'!E$64+'Weekly Summary'!E$65)),
IF(K$10=0,('Equipment List &amp; Usage'!$O79*'Weekly Summary'!E$52)+('Equipment List &amp; Usage'!$P79*'Weekly Summary'!E$53)+('Equipment List &amp; Usage'!$Q79*('Weekly Summary'!E$52+'Weekly Summary'!E$53))+('Equipment List &amp; Usage'!$R79*'Weekly Summary'!E$64)+('Equipment List &amp; Usage'!$S79*'Weekly Summary'!E$65)+('Equipment List &amp; Usage'!$T79*('Weekly Summary'!E$64+'Weekly Summary'!E$65)),
('Equipment List &amp; Usage'!$O79*'Weekly Summary'!E$52)+('Equipment List &amp; Usage'!$P79*'Weekly Summary'!E$53)+('Equipment List &amp; Usage'!$Q79*('Weekly Summary'!E$52+'Weekly Summary'!E$53))+('Equipment List &amp; Usage'!$R79*'Weekly Summary'!E$64)+('Equipment List &amp; Usage'!$S79*'Weekly Summary'!E$65)+('Equipment List &amp; Usage'!$T79*('Weekly Summary'!E$64+'Weekly Summary'!E$65))-SUM($I77:I77))),0))</f>
        <v>0.19869249611205675</v>
      </c>
      <c r="L77" s="1381">
        <f ca="1">MAX(IF($F77="No",('Equipment List &amp; Usage'!$O79*'Weekly Summary'!F$52)+('Equipment List &amp; Usage'!$P79*'Weekly Summary'!F$53)+('Equipment List &amp; Usage'!$Q79*('Weekly Summary'!F$52+'Weekly Summary'!F$53))+('Equipment List &amp; Usage'!$R79*'Weekly Summary'!F$64)+('Equipment List &amp; Usage'!$S79*'Weekly Summary'!F$65)+('Equipment List &amp; Usage'!$T79*('Weekly Summary'!F$64+'Weekly Summary'!F$65)),
IF(L$10=0,('Equipment List &amp; Usage'!$O79*'Weekly Summary'!F$52)+('Equipment List &amp; Usage'!$P79*'Weekly Summary'!F$53)+('Equipment List &amp; Usage'!$Q79*('Weekly Summary'!F$52+'Weekly Summary'!F$53))+('Equipment List &amp; Usage'!$R79*'Weekly Summary'!F$64)+('Equipment List &amp; Usage'!$S79*'Weekly Summary'!F$65)+('Equipment List &amp; Usage'!$T79*('Weekly Summary'!F$64+'Weekly Summary'!F$65)),
('Equipment List &amp; Usage'!$O79*'Weekly Summary'!F$52)+('Equipment List &amp; Usage'!$P79*'Weekly Summary'!F$53)+('Equipment List &amp; Usage'!$Q79*('Weekly Summary'!F$52+'Weekly Summary'!F$53))+('Equipment List &amp; Usage'!$R79*'Weekly Summary'!F$64)+('Equipment List &amp; Usage'!$S79*'Weekly Summary'!F$65)+('Equipment List &amp; Usage'!$T79*('Weekly Summary'!F$64+'Weekly Summary'!F$65))-SUM($I77:K77))),0)</f>
        <v>0.68280837797721627</v>
      </c>
      <c r="M77" s="1381">
        <f ca="1">MAX(IF($F77="No",('Equipment List &amp; Usage'!$O79*'Weekly Summary'!G$52)+('Equipment List &amp; Usage'!$P79*'Weekly Summary'!G$53)+('Equipment List &amp; Usage'!$Q79*('Weekly Summary'!G$52+'Weekly Summary'!G$53))+('Equipment List &amp; Usage'!$R79*'Weekly Summary'!G$64)+('Equipment List &amp; Usage'!$S79*'Weekly Summary'!G$65)+('Equipment List &amp; Usage'!$T79*('Weekly Summary'!G$64+'Weekly Summary'!G$65)),
IF(M$10=0,('Equipment List &amp; Usage'!$O79*'Weekly Summary'!G$52)+('Equipment List &amp; Usage'!$P79*'Weekly Summary'!G$53)+('Equipment List &amp; Usage'!$Q79*('Weekly Summary'!G$52+'Weekly Summary'!G$53))+('Equipment List &amp; Usage'!$R79*'Weekly Summary'!G$64)+('Equipment List &amp; Usage'!$S79*'Weekly Summary'!G$65)+('Equipment List &amp; Usage'!$T79*('Weekly Summary'!G$64+'Weekly Summary'!G$65)),
('Equipment List &amp; Usage'!$O79*'Weekly Summary'!G$52)+('Equipment List &amp; Usage'!$P79*'Weekly Summary'!G$53)+('Equipment List &amp; Usage'!$Q79*('Weekly Summary'!G$52+'Weekly Summary'!G$53))+('Equipment List &amp; Usage'!$R79*'Weekly Summary'!G$64)+('Equipment List &amp; Usage'!$S79*'Weekly Summary'!G$65)+('Equipment List &amp; Usage'!$T79*('Weekly Summary'!G$64+'Weekly Summary'!G$65))-SUM($I77:L77))),0)</f>
        <v>2.3464538473228695</v>
      </c>
      <c r="N77" s="1381">
        <f ca="1">MAX(IF($F77="No",('Equipment List &amp; Usage'!$O79*'Weekly Summary'!H$52)+('Equipment List &amp; Usage'!$P79*'Weekly Summary'!H$53)+('Equipment List &amp; Usage'!$Q79*('Weekly Summary'!H$52+'Weekly Summary'!H$53))+('Equipment List &amp; Usage'!$R79*'Weekly Summary'!H$64)+('Equipment List &amp; Usage'!$S79*'Weekly Summary'!H$65)+('Equipment List &amp; Usage'!$T79*('Weekly Summary'!H$64+'Weekly Summary'!H$65)),
IF(N$10=0,('Equipment List &amp; Usage'!$O79*'Weekly Summary'!H$52)+('Equipment List &amp; Usage'!$P79*'Weekly Summary'!H$53)+('Equipment List &amp; Usage'!$Q79*('Weekly Summary'!H$52+'Weekly Summary'!H$53))+('Equipment List &amp; Usage'!$R79*'Weekly Summary'!H$64)+('Equipment List &amp; Usage'!$S79*'Weekly Summary'!H$65)+('Equipment List &amp; Usage'!$T79*('Weekly Summary'!H$64+'Weekly Summary'!H$65)),
('Equipment List &amp; Usage'!$O79*'Weekly Summary'!H$52)+('Equipment List &amp; Usage'!$P79*'Weekly Summary'!H$53)+('Equipment List &amp; Usage'!$Q79*('Weekly Summary'!H$52+'Weekly Summary'!H$53))+('Equipment List &amp; Usage'!$R79*'Weekly Summary'!H$64)+('Equipment List &amp; Usage'!$S79*'Weekly Summary'!H$65)+('Equipment List &amp; Usage'!$T79*('Weekly Summary'!H$64+'Weekly Summary'!H$65))-SUM($I77:M77))),0)</f>
        <v>8.0632617407996285</v>
      </c>
      <c r="O77" s="1381">
        <f ca="1">MAX(IF($F77="No",('Equipment List &amp; Usage'!$O79*'Weekly Summary'!I$52)+('Equipment List &amp; Usage'!$P79*'Weekly Summary'!I$53)+('Equipment List &amp; Usage'!$Q79*('Weekly Summary'!I$52+'Weekly Summary'!I$53))+('Equipment List &amp; Usage'!$R79*'Weekly Summary'!I$64)+('Equipment List &amp; Usage'!$S79*'Weekly Summary'!I$65)+('Equipment List &amp; Usage'!$T79*('Weekly Summary'!I$64+'Weekly Summary'!I$65)),
IF(O$10=0,('Equipment List &amp; Usage'!$O79*'Weekly Summary'!I$52)+('Equipment List &amp; Usage'!$P79*'Weekly Summary'!I$53)+('Equipment List &amp; Usage'!$Q79*('Weekly Summary'!I$52+'Weekly Summary'!I$53))+('Equipment List &amp; Usage'!$R79*'Weekly Summary'!I$64)+('Equipment List &amp; Usage'!$S79*'Weekly Summary'!I$65)+('Equipment List &amp; Usage'!$T79*('Weekly Summary'!I$64+'Weekly Summary'!I$65)),
('Equipment List &amp; Usage'!$O79*'Weekly Summary'!I$52)+('Equipment List &amp; Usage'!$P79*'Weekly Summary'!I$53)+('Equipment List &amp; Usage'!$Q79*('Weekly Summary'!I$52+'Weekly Summary'!I$53))+('Equipment List &amp; Usage'!$R79*'Weekly Summary'!I$64)+('Equipment List &amp; Usage'!$S79*'Weekly Summary'!I$65)+('Equipment List &amp; Usage'!$T79*('Weekly Summary'!I$64+'Weekly Summary'!I$65))-SUM($I77:N77))),0)</f>
        <v>27.705111326463218</v>
      </c>
      <c r="P77" s="1381">
        <f ca="1">MAX(IF($F77="No",('Equipment List &amp; Usage'!$O79*'Weekly Summary'!J$52)+('Equipment List &amp; Usage'!$P79*'Weekly Summary'!J$53)+('Equipment List &amp; Usage'!$Q79*('Weekly Summary'!J$52+'Weekly Summary'!J$53))+('Equipment List &amp; Usage'!$R79*'Weekly Summary'!J$64)+('Equipment List &amp; Usage'!$S79*'Weekly Summary'!J$65)+('Equipment List &amp; Usage'!$T79*('Weekly Summary'!J$64+'Weekly Summary'!J$65)),
IF(P$10=0,('Equipment List &amp; Usage'!$O79*'Weekly Summary'!J$52)+('Equipment List &amp; Usage'!$P79*'Weekly Summary'!J$53)+('Equipment List &amp; Usage'!$Q79*('Weekly Summary'!J$52+'Weekly Summary'!J$53))+('Equipment List &amp; Usage'!$R79*'Weekly Summary'!J$64)+('Equipment List &amp; Usage'!$S79*'Weekly Summary'!J$65)+('Equipment List &amp; Usage'!$T79*('Weekly Summary'!J$64+'Weekly Summary'!J$65)),
('Equipment List &amp; Usage'!$O79*'Weekly Summary'!J$52)+('Equipment List &amp; Usage'!$P79*'Weekly Summary'!J$53)+('Equipment List &amp; Usage'!$Q79*('Weekly Summary'!J$52+'Weekly Summary'!J$53))+('Equipment List &amp; Usage'!$R79*'Weekly Summary'!J$64)+('Equipment List &amp; Usage'!$S79*'Weekly Summary'!J$65)+('Equipment List &amp; Usage'!$T79*('Weekly Summary'!J$64+'Weekly Summary'!J$65))-SUM($I77:O77))),0)</f>
        <v>95.156538844891386</v>
      </c>
      <c r="Q77" s="1381">
        <f ca="1">MAX(IF($F77="No",('Equipment List &amp; Usage'!$O79*'Weekly Summary'!K$52)+('Equipment List &amp; Usage'!$P79*'Weekly Summary'!K$53)+('Equipment List &amp; Usage'!$Q79*('Weekly Summary'!K$52+'Weekly Summary'!K$53))+('Equipment List &amp; Usage'!$R79*'Weekly Summary'!K$64)+('Equipment List &amp; Usage'!$S79*'Weekly Summary'!K$65)+('Equipment List &amp; Usage'!$T79*('Weekly Summary'!K$64+'Weekly Summary'!K$65)),
IF(Q$10=0,('Equipment List &amp; Usage'!$O79*'Weekly Summary'!K$52)+('Equipment List &amp; Usage'!$P79*'Weekly Summary'!K$53)+('Equipment List &amp; Usage'!$Q79*('Weekly Summary'!K$52+'Weekly Summary'!K$53))+('Equipment List &amp; Usage'!$R79*'Weekly Summary'!K$64)+('Equipment List &amp; Usage'!$S79*'Weekly Summary'!K$65)+('Equipment List &amp; Usage'!$T79*('Weekly Summary'!K$64+'Weekly Summary'!K$65)),
('Equipment List &amp; Usage'!$O79*'Weekly Summary'!K$52)+('Equipment List &amp; Usage'!$P79*'Weekly Summary'!K$53)+('Equipment List &amp; Usage'!$Q79*('Weekly Summary'!K$52+'Weekly Summary'!K$53))+('Equipment List &amp; Usage'!$R79*'Weekly Summary'!K$64)+('Equipment List &amp; Usage'!$S79*'Weekly Summary'!K$65)+('Equipment List &amp; Usage'!$T79*('Weekly Summary'!K$64+'Weekly Summary'!K$65))-SUM($I77:P77))),0)</f>
        <v>0</v>
      </c>
      <c r="R77" s="1381">
        <f ca="1">MAX(IF($F77="No",('Equipment List &amp; Usage'!$O79*'Weekly Summary'!L$52)+('Equipment List &amp; Usage'!$P79*'Weekly Summary'!L$53)+('Equipment List &amp; Usage'!$Q79*('Weekly Summary'!L$52+'Weekly Summary'!L$53))+('Equipment List &amp; Usage'!$R79*'Weekly Summary'!L$64)+('Equipment List &amp; Usage'!$S79*'Weekly Summary'!L$65)+('Equipment List &amp; Usage'!$T79*('Weekly Summary'!L$64+'Weekly Summary'!L$65)),
IF(R$10=0,('Equipment List &amp; Usage'!$O79*'Weekly Summary'!L$52)+('Equipment List &amp; Usage'!$P79*'Weekly Summary'!L$53)+('Equipment List &amp; Usage'!$Q79*('Weekly Summary'!L$52+'Weekly Summary'!L$53))+('Equipment List &amp; Usage'!$R79*'Weekly Summary'!L$64)+('Equipment List &amp; Usage'!$S79*'Weekly Summary'!L$65)+('Equipment List &amp; Usage'!$T79*('Weekly Summary'!L$64+'Weekly Summary'!L$65)),
('Equipment List &amp; Usage'!$O79*'Weekly Summary'!L$52)+('Equipment List &amp; Usage'!$P79*'Weekly Summary'!L$53)+('Equipment List &amp; Usage'!$Q79*('Weekly Summary'!L$52+'Weekly Summary'!L$53))+('Equipment List &amp; Usage'!$R79*'Weekly Summary'!L$64)+('Equipment List &amp; Usage'!$S79*'Weekly Summary'!L$65)+('Equipment List &amp; Usage'!$T79*('Weekly Summary'!L$64+'Weekly Summary'!L$65))-SUM($I77:Q77))),0)</f>
        <v>0</v>
      </c>
      <c r="S77" s="1381">
        <f ca="1">MAX(IF($F77="No",('Equipment List &amp; Usage'!$O79*'Weekly Summary'!M$52)+('Equipment List &amp; Usage'!$P79*'Weekly Summary'!M$53)+('Equipment List &amp; Usage'!$Q79*('Weekly Summary'!M$52+'Weekly Summary'!M$53))+('Equipment List &amp; Usage'!$R79*'Weekly Summary'!M$64)+('Equipment List &amp; Usage'!$S79*'Weekly Summary'!M$65)+('Equipment List &amp; Usage'!$T79*('Weekly Summary'!M$64+'Weekly Summary'!M$65)),
IF(S$10=0,('Equipment List &amp; Usage'!$O79*'Weekly Summary'!M$52)+('Equipment List &amp; Usage'!$P79*'Weekly Summary'!M$53)+('Equipment List &amp; Usage'!$Q79*('Weekly Summary'!M$52+'Weekly Summary'!M$53))+('Equipment List &amp; Usage'!$R79*'Weekly Summary'!M$64)+('Equipment List &amp; Usage'!$S79*'Weekly Summary'!M$65)+('Equipment List &amp; Usage'!$T79*('Weekly Summary'!M$64+'Weekly Summary'!M$65)),
('Equipment List &amp; Usage'!$O79*'Weekly Summary'!M$52)+('Equipment List &amp; Usage'!$P79*'Weekly Summary'!M$53)+('Equipment List &amp; Usage'!$Q79*('Weekly Summary'!M$52+'Weekly Summary'!M$53))+('Equipment List &amp; Usage'!$R79*'Weekly Summary'!M$64)+('Equipment List &amp; Usage'!$S79*'Weekly Summary'!M$65)+('Equipment List &amp; Usage'!$T79*('Weekly Summary'!M$64+'Weekly Summary'!M$65))-SUM($I77:R77))),0)</f>
        <v>0</v>
      </c>
      <c r="T77" s="1381">
        <f ca="1">MAX(IF($F77="No",('Equipment List &amp; Usage'!$O79*'Weekly Summary'!N$52)+('Equipment List &amp; Usage'!$P79*'Weekly Summary'!N$53)+('Equipment List &amp; Usage'!$Q79*('Weekly Summary'!N$52+'Weekly Summary'!N$53))+('Equipment List &amp; Usage'!$R79*'Weekly Summary'!N$64)+('Equipment List &amp; Usage'!$S79*'Weekly Summary'!N$65)+('Equipment List &amp; Usage'!$T79*('Weekly Summary'!N$64+'Weekly Summary'!N$65)),
IF(T$10=0,('Equipment List &amp; Usage'!$O79*'Weekly Summary'!N$52)+('Equipment List &amp; Usage'!$P79*'Weekly Summary'!N$53)+('Equipment List &amp; Usage'!$Q79*('Weekly Summary'!N$52+'Weekly Summary'!N$53))+('Equipment List &amp; Usage'!$R79*'Weekly Summary'!N$64)+('Equipment List &amp; Usage'!$S79*'Weekly Summary'!N$65)+('Equipment List &amp; Usage'!$T79*('Weekly Summary'!N$64+'Weekly Summary'!N$65)),
('Equipment List &amp; Usage'!$O79*'Weekly Summary'!N$52)+('Equipment List &amp; Usage'!$P79*'Weekly Summary'!N$53)+('Equipment List &amp; Usage'!$Q79*('Weekly Summary'!N$52+'Weekly Summary'!N$53))+('Equipment List &amp; Usage'!$R79*'Weekly Summary'!N$64)+('Equipment List &amp; Usage'!$S79*'Weekly Summary'!N$65)+('Equipment List &amp; Usage'!$T79*('Weekly Summary'!N$64+'Weekly Summary'!N$65))-SUM($I77:S77))),0)</f>
        <v>0</v>
      </c>
      <c r="U77" s="1381">
        <f ca="1">MAX(IF($F77="No",('Equipment List &amp; Usage'!$O79*'Weekly Summary'!O$52)+('Equipment List &amp; Usage'!$P79*'Weekly Summary'!O$53)+('Equipment List &amp; Usage'!$Q79*('Weekly Summary'!O$52+'Weekly Summary'!O$53))+('Equipment List &amp; Usage'!$R79*'Weekly Summary'!O$64)+('Equipment List &amp; Usage'!$S79*'Weekly Summary'!O$65)+('Equipment List &amp; Usage'!$T79*('Weekly Summary'!O$64+'Weekly Summary'!O$65)),
IF(U$10=0,('Equipment List &amp; Usage'!$O79*'Weekly Summary'!O$52)+('Equipment List &amp; Usage'!$P79*'Weekly Summary'!O$53)+('Equipment List &amp; Usage'!$Q79*('Weekly Summary'!O$52+'Weekly Summary'!O$53))+('Equipment List &amp; Usage'!$R79*'Weekly Summary'!O$64)+('Equipment List &amp; Usage'!$S79*'Weekly Summary'!O$65)+('Equipment List &amp; Usage'!$T79*('Weekly Summary'!O$64+'Weekly Summary'!O$65)),
('Equipment List &amp; Usage'!$O79*'Weekly Summary'!O$52)+('Equipment List &amp; Usage'!$P79*'Weekly Summary'!O$53)+('Equipment List &amp; Usage'!$Q79*('Weekly Summary'!O$52+'Weekly Summary'!O$53))+('Equipment List &amp; Usage'!$R79*'Weekly Summary'!O$64)+('Equipment List &amp; Usage'!$S79*'Weekly Summary'!O$65)+('Equipment List &amp; Usage'!$T79*('Weekly Summary'!O$64+'Weekly Summary'!O$65))-SUM($I77:T77))),0)</f>
        <v>0</v>
      </c>
      <c r="V77" s="1381">
        <f ca="1">MAX(IF($F77="No",('Equipment List &amp; Usage'!$O79*'Weekly Summary'!P$52)+('Equipment List &amp; Usage'!$P79*'Weekly Summary'!P$53)+('Equipment List &amp; Usage'!$Q79*('Weekly Summary'!P$52+'Weekly Summary'!P$53))+('Equipment List &amp; Usage'!$R79*'Weekly Summary'!P$64)+('Equipment List &amp; Usage'!$S79*'Weekly Summary'!P$65)+('Equipment List &amp; Usage'!$T79*('Weekly Summary'!P$64+'Weekly Summary'!P$65)),
IF(V$10=0,('Equipment List &amp; Usage'!$O79*'Weekly Summary'!P$52)+('Equipment List &amp; Usage'!$P79*'Weekly Summary'!P$53)+('Equipment List &amp; Usage'!$Q79*('Weekly Summary'!P$52+'Weekly Summary'!P$53))+('Equipment List &amp; Usage'!$R79*'Weekly Summary'!P$64)+('Equipment List &amp; Usage'!$S79*'Weekly Summary'!P$65)+('Equipment List &amp; Usage'!$T79*('Weekly Summary'!P$64+'Weekly Summary'!P$65)),
('Equipment List &amp; Usage'!$O79*'Weekly Summary'!P$52)+('Equipment List &amp; Usage'!$P79*'Weekly Summary'!P$53)+('Equipment List &amp; Usage'!$Q79*('Weekly Summary'!P$52+'Weekly Summary'!P$53))+('Equipment List &amp; Usage'!$R79*'Weekly Summary'!P$64)+('Equipment List &amp; Usage'!$S79*'Weekly Summary'!P$65)+('Equipment List &amp; Usage'!$T79*('Weekly Summary'!P$64+'Weekly Summary'!P$65))-SUM($I77:U77))),0)</f>
        <v>0</v>
      </c>
      <c r="W77" s="1381">
        <f ca="1">MAX(IF($F77="No",('Equipment List &amp; Usage'!$O79*'Weekly Summary'!Q$52)+('Equipment List &amp; Usage'!$P79*'Weekly Summary'!Q$53)+('Equipment List &amp; Usage'!$Q79*('Weekly Summary'!Q$52+'Weekly Summary'!Q$53))+('Equipment List &amp; Usage'!$R79*'Weekly Summary'!Q$64)+('Equipment List &amp; Usage'!$S79*'Weekly Summary'!Q$65)+('Equipment List &amp; Usage'!$T79*('Weekly Summary'!Q$64+'Weekly Summary'!Q$65)),
IF(W$10=0,('Equipment List &amp; Usage'!$O79*'Weekly Summary'!Q$52)+('Equipment List &amp; Usage'!$P79*'Weekly Summary'!Q$53)+('Equipment List &amp; Usage'!$Q79*('Weekly Summary'!Q$52+'Weekly Summary'!Q$53))+('Equipment List &amp; Usage'!$R79*'Weekly Summary'!Q$64)+('Equipment List &amp; Usage'!$S79*'Weekly Summary'!Q$65)+('Equipment List &amp; Usage'!$T79*('Weekly Summary'!Q$64+'Weekly Summary'!Q$65)),
('Equipment List &amp; Usage'!$O79*'Weekly Summary'!Q$52)+('Equipment List &amp; Usage'!$P79*'Weekly Summary'!Q$53)+('Equipment List &amp; Usage'!$Q79*('Weekly Summary'!Q$52+'Weekly Summary'!Q$53))+('Equipment List &amp; Usage'!$R79*'Weekly Summary'!Q$64)+('Equipment List &amp; Usage'!$S79*'Weekly Summary'!Q$65)+('Equipment List &amp; Usage'!$T79*('Weekly Summary'!Q$64+'Weekly Summary'!Q$65))-SUM($I77:V77))),0)</f>
        <v>0</v>
      </c>
      <c r="X77" s="1381">
        <f ca="1">MAX(IF($F77="No",('Equipment List &amp; Usage'!$O79*'Weekly Summary'!R$52)+('Equipment List &amp; Usage'!$P79*'Weekly Summary'!R$53)+('Equipment List &amp; Usage'!$Q79*('Weekly Summary'!R$52+'Weekly Summary'!R$53))+('Equipment List &amp; Usage'!$R79*'Weekly Summary'!R$64)+('Equipment List &amp; Usage'!$S79*'Weekly Summary'!R$65)+('Equipment List &amp; Usage'!$T79*('Weekly Summary'!R$64+'Weekly Summary'!R$65)),
IF(X$10=0,('Equipment List &amp; Usage'!$O79*'Weekly Summary'!R$52)+('Equipment List &amp; Usage'!$P79*'Weekly Summary'!R$53)+('Equipment List &amp; Usage'!$Q79*('Weekly Summary'!R$52+'Weekly Summary'!R$53))+('Equipment List &amp; Usage'!$R79*'Weekly Summary'!R$64)+('Equipment List &amp; Usage'!$S79*'Weekly Summary'!R$65)+('Equipment List &amp; Usage'!$T79*('Weekly Summary'!R$64+'Weekly Summary'!R$65)),
('Equipment List &amp; Usage'!$O79*'Weekly Summary'!R$52)+('Equipment List &amp; Usage'!$P79*'Weekly Summary'!R$53)+('Equipment List &amp; Usage'!$Q79*('Weekly Summary'!R$52+'Weekly Summary'!R$53))+('Equipment List &amp; Usage'!$R79*'Weekly Summary'!R$64)+('Equipment List &amp; Usage'!$S79*'Weekly Summary'!R$65)+('Equipment List &amp; Usage'!$T79*('Weekly Summary'!R$64+'Weekly Summary'!R$65))-SUM($I77:W77))),0)</f>
        <v>0</v>
      </c>
      <c r="Y77" s="1381">
        <f ca="1">MAX(IF($F77="No",('Equipment List &amp; Usage'!$O79*'Weekly Summary'!S$52)+('Equipment List &amp; Usage'!$P79*'Weekly Summary'!S$53)+('Equipment List &amp; Usage'!$Q79*('Weekly Summary'!S$52+'Weekly Summary'!S$53))+('Equipment List &amp; Usage'!$R79*'Weekly Summary'!S$64)+('Equipment List &amp; Usage'!$S79*'Weekly Summary'!S$65)+('Equipment List &amp; Usage'!$T79*('Weekly Summary'!S$64+'Weekly Summary'!S$65)),
IF(Y$10=0,('Equipment List &amp; Usage'!$O79*'Weekly Summary'!S$52)+('Equipment List &amp; Usage'!$P79*'Weekly Summary'!S$53)+('Equipment List &amp; Usage'!$Q79*('Weekly Summary'!S$52+'Weekly Summary'!S$53))+('Equipment List &amp; Usage'!$R79*'Weekly Summary'!S$64)+('Equipment List &amp; Usage'!$S79*'Weekly Summary'!S$65)+('Equipment List &amp; Usage'!$T79*('Weekly Summary'!S$64+'Weekly Summary'!S$65)),
('Equipment List &amp; Usage'!$O79*'Weekly Summary'!S$52)+('Equipment List &amp; Usage'!$P79*'Weekly Summary'!S$53)+('Equipment List &amp; Usage'!$Q79*('Weekly Summary'!S$52+'Weekly Summary'!S$53))+('Equipment List &amp; Usage'!$R79*'Weekly Summary'!S$64)+('Equipment List &amp; Usage'!$S79*'Weekly Summary'!S$65)+('Equipment List &amp; Usage'!$T79*('Weekly Summary'!S$64+'Weekly Summary'!S$65))-SUM($I77:X77))),0)</f>
        <v>0</v>
      </c>
      <c r="Z77" s="1381">
        <f ca="1">MAX(IF($F77="No",('Equipment List &amp; Usage'!$O79*'Weekly Summary'!T$52)+('Equipment List &amp; Usage'!$P79*'Weekly Summary'!T$53)+('Equipment List &amp; Usage'!$Q79*('Weekly Summary'!T$52+'Weekly Summary'!T$53))+('Equipment List &amp; Usage'!$R79*'Weekly Summary'!T$64)+('Equipment List &amp; Usage'!$S79*'Weekly Summary'!T$65)+('Equipment List &amp; Usage'!$T79*('Weekly Summary'!T$64+'Weekly Summary'!T$65)),
IF(Z$10=0,('Equipment List &amp; Usage'!$O79*'Weekly Summary'!T$52)+('Equipment List &amp; Usage'!$P79*'Weekly Summary'!T$53)+('Equipment List &amp; Usage'!$Q79*('Weekly Summary'!T$52+'Weekly Summary'!T$53))+('Equipment List &amp; Usage'!$R79*'Weekly Summary'!T$64)+('Equipment List &amp; Usage'!$S79*'Weekly Summary'!T$65)+('Equipment List &amp; Usage'!$T79*('Weekly Summary'!T$64+'Weekly Summary'!T$65)),
('Equipment List &amp; Usage'!$O79*'Weekly Summary'!T$52)+('Equipment List &amp; Usage'!$P79*'Weekly Summary'!T$53)+('Equipment List &amp; Usage'!$Q79*('Weekly Summary'!T$52+'Weekly Summary'!T$53))+('Equipment List &amp; Usage'!$R79*'Weekly Summary'!T$64)+('Equipment List &amp; Usage'!$S79*'Weekly Summary'!T$65)+('Equipment List &amp; Usage'!$T79*('Weekly Summary'!T$64+'Weekly Summary'!T$65))-SUM($I77:Y77))),0)</f>
        <v>0</v>
      </c>
      <c r="AA77" s="1381">
        <f ca="1">MAX(IF($F77="No",('Equipment List &amp; Usage'!$O79*'Weekly Summary'!U$52)+('Equipment List &amp; Usage'!$P79*'Weekly Summary'!U$53)+('Equipment List &amp; Usage'!$Q79*('Weekly Summary'!U$52+'Weekly Summary'!U$53))+('Equipment List &amp; Usage'!$R79*'Weekly Summary'!U$64)+('Equipment List &amp; Usage'!$S79*'Weekly Summary'!U$65)+('Equipment List &amp; Usage'!$T79*('Weekly Summary'!U$64+'Weekly Summary'!U$65)),
IF(AA$10=0,('Equipment List &amp; Usage'!$O79*'Weekly Summary'!U$52)+('Equipment List &amp; Usage'!$P79*'Weekly Summary'!U$53)+('Equipment List &amp; Usage'!$Q79*('Weekly Summary'!U$52+'Weekly Summary'!U$53))+('Equipment List &amp; Usage'!$R79*'Weekly Summary'!U$64)+('Equipment List &amp; Usage'!$S79*'Weekly Summary'!U$65)+('Equipment List &amp; Usage'!$T79*('Weekly Summary'!U$64+'Weekly Summary'!U$65)),
('Equipment List &amp; Usage'!$O79*'Weekly Summary'!U$52)+('Equipment List &amp; Usage'!$P79*'Weekly Summary'!U$53)+('Equipment List &amp; Usage'!$Q79*('Weekly Summary'!U$52+'Weekly Summary'!U$53))+('Equipment List &amp; Usage'!$R79*'Weekly Summary'!U$64)+('Equipment List &amp; Usage'!$S79*'Weekly Summary'!U$65)+('Equipment List &amp; Usage'!$T79*('Weekly Summary'!U$64+'Weekly Summary'!U$65))-SUM($I77:Z77))),0)</f>
        <v>0</v>
      </c>
      <c r="AB77" s="1381">
        <f ca="1">MAX(IF($F77="No",('Equipment List &amp; Usage'!$O79*'Weekly Summary'!V$52)+('Equipment List &amp; Usage'!$P79*'Weekly Summary'!V$53)+('Equipment List &amp; Usage'!$Q79*('Weekly Summary'!V$52+'Weekly Summary'!V$53))+('Equipment List &amp; Usage'!$R79*'Weekly Summary'!V$64)+('Equipment List &amp; Usage'!$S79*'Weekly Summary'!V$65)+('Equipment List &amp; Usage'!$T79*('Weekly Summary'!V$64+'Weekly Summary'!V$65)),
IF(AB$10=0,('Equipment List &amp; Usage'!$O79*'Weekly Summary'!V$52)+('Equipment List &amp; Usage'!$P79*'Weekly Summary'!V$53)+('Equipment List &amp; Usage'!$Q79*('Weekly Summary'!V$52+'Weekly Summary'!V$53))+('Equipment List &amp; Usage'!$R79*'Weekly Summary'!V$64)+('Equipment List &amp; Usage'!$S79*'Weekly Summary'!V$65)+('Equipment List &amp; Usage'!$T79*('Weekly Summary'!V$64+'Weekly Summary'!V$65)),
('Equipment List &amp; Usage'!$O79*'Weekly Summary'!V$52)+('Equipment List &amp; Usage'!$P79*'Weekly Summary'!V$53)+('Equipment List &amp; Usage'!$Q79*('Weekly Summary'!V$52+'Weekly Summary'!V$53))+('Equipment List &amp; Usage'!$R79*'Weekly Summary'!V$64)+('Equipment List &amp; Usage'!$S79*'Weekly Summary'!V$65)+('Equipment List &amp; Usage'!$T79*('Weekly Summary'!V$64+'Weekly Summary'!V$65))-SUM($I77:AA77))),0)</f>
        <v>0</v>
      </c>
      <c r="AC77" s="1381">
        <f ca="1">MAX(IF($F77="No",('Equipment List &amp; Usage'!$O79*'Weekly Summary'!W$52)+('Equipment List &amp; Usage'!$P79*'Weekly Summary'!W$53)+('Equipment List &amp; Usage'!$Q79*('Weekly Summary'!W$52+'Weekly Summary'!W$53))+('Equipment List &amp; Usage'!$R79*'Weekly Summary'!W$64)+('Equipment List &amp; Usage'!$S79*'Weekly Summary'!W$65)+('Equipment List &amp; Usage'!$T79*('Weekly Summary'!W$64+'Weekly Summary'!W$65)),
IF(AC$10=0,('Equipment List &amp; Usage'!$O79*'Weekly Summary'!W$52)+('Equipment List &amp; Usage'!$P79*'Weekly Summary'!W$53)+('Equipment List &amp; Usage'!$Q79*('Weekly Summary'!W$52+'Weekly Summary'!W$53))+('Equipment List &amp; Usage'!$R79*'Weekly Summary'!W$64)+('Equipment List &amp; Usage'!$S79*'Weekly Summary'!W$65)+('Equipment List &amp; Usage'!$T79*('Weekly Summary'!W$64+'Weekly Summary'!W$65)),
('Equipment List &amp; Usage'!$O79*'Weekly Summary'!W$52)+('Equipment List &amp; Usage'!$P79*'Weekly Summary'!W$53)+('Equipment List &amp; Usage'!$Q79*('Weekly Summary'!W$52+'Weekly Summary'!W$53))+('Equipment List &amp; Usage'!$R79*'Weekly Summary'!W$64)+('Equipment List &amp; Usage'!$S79*'Weekly Summary'!W$65)+('Equipment List &amp; Usage'!$T79*('Weekly Summary'!W$64+'Weekly Summary'!W$65))-SUM($I77:AB77))),0)</f>
        <v>0</v>
      </c>
      <c r="AD77" s="1381">
        <f ca="1">MAX(IF($F77="No",('Equipment List &amp; Usage'!$O79*'Weekly Summary'!X$52)+('Equipment List &amp; Usage'!$P79*'Weekly Summary'!X$53)+('Equipment List &amp; Usage'!$Q79*('Weekly Summary'!X$52+'Weekly Summary'!X$53))+('Equipment List &amp; Usage'!$R79*'Weekly Summary'!X$64)+('Equipment List &amp; Usage'!$S79*'Weekly Summary'!X$65)+('Equipment List &amp; Usage'!$T79*('Weekly Summary'!X$64+'Weekly Summary'!X$65)),
IF(AD$10=0,('Equipment List &amp; Usage'!$O79*'Weekly Summary'!X$52)+('Equipment List &amp; Usage'!$P79*'Weekly Summary'!X$53)+('Equipment List &amp; Usage'!$Q79*('Weekly Summary'!X$52+'Weekly Summary'!X$53))+('Equipment List &amp; Usage'!$R79*'Weekly Summary'!X$64)+('Equipment List &amp; Usage'!$S79*'Weekly Summary'!X$65)+('Equipment List &amp; Usage'!$T79*('Weekly Summary'!X$64+'Weekly Summary'!X$65)),
('Equipment List &amp; Usage'!$O79*'Weekly Summary'!X$52)+('Equipment List &amp; Usage'!$P79*'Weekly Summary'!X$53)+('Equipment List &amp; Usage'!$Q79*('Weekly Summary'!X$52+'Weekly Summary'!X$53))+('Equipment List &amp; Usage'!$R79*'Weekly Summary'!X$64)+('Equipment List &amp; Usage'!$S79*'Weekly Summary'!X$65)+('Equipment List &amp; Usage'!$T79*('Weekly Summary'!X$64+'Weekly Summary'!X$65))-SUM($I77:AC77))),0)</f>
        <v>0</v>
      </c>
      <c r="AE77" s="1381">
        <f ca="1">MAX(IF($F77="No",('Equipment List &amp; Usage'!$O79*'Weekly Summary'!Y$52)+('Equipment List &amp; Usage'!$P79*'Weekly Summary'!Y$53)+('Equipment List &amp; Usage'!$Q79*('Weekly Summary'!Y$52+'Weekly Summary'!Y$53))+('Equipment List &amp; Usage'!$R79*'Weekly Summary'!Y$64)+('Equipment List &amp; Usage'!$S79*'Weekly Summary'!Y$65)+('Equipment List &amp; Usage'!$T79*('Weekly Summary'!Y$64+'Weekly Summary'!Y$65)),
IF(AE$10=0,('Equipment List &amp; Usage'!$O79*'Weekly Summary'!Y$52)+('Equipment List &amp; Usage'!$P79*'Weekly Summary'!Y$53)+('Equipment List &amp; Usage'!$Q79*('Weekly Summary'!Y$52+'Weekly Summary'!Y$53))+('Equipment List &amp; Usage'!$R79*'Weekly Summary'!Y$64)+('Equipment List &amp; Usage'!$S79*'Weekly Summary'!Y$65)+('Equipment List &amp; Usage'!$T79*('Weekly Summary'!Y$64+'Weekly Summary'!Y$65)),
('Equipment List &amp; Usage'!$O79*'Weekly Summary'!Y$52)+('Equipment List &amp; Usage'!$P79*'Weekly Summary'!Y$53)+('Equipment List &amp; Usage'!$Q79*('Weekly Summary'!Y$52+'Weekly Summary'!Y$53))+('Equipment List &amp; Usage'!$R79*'Weekly Summary'!Y$64)+('Equipment List &amp; Usage'!$S79*'Weekly Summary'!Y$65)+('Equipment List &amp; Usage'!$T79*('Weekly Summary'!Y$64+'Weekly Summary'!Y$65))-SUM($I77:AD77))),0)</f>
        <v>0</v>
      </c>
      <c r="AF77" s="1381">
        <f ca="1">MAX(IF($F77="No",('Equipment List &amp; Usage'!$O79*'Weekly Summary'!Z$52)+('Equipment List &amp; Usage'!$P79*'Weekly Summary'!Z$53)+('Equipment List &amp; Usage'!$Q79*('Weekly Summary'!Z$52+'Weekly Summary'!Z$53))+('Equipment List &amp; Usage'!$R79*'Weekly Summary'!Z$64)+('Equipment List &amp; Usage'!$S79*'Weekly Summary'!Z$65)+('Equipment List &amp; Usage'!$T79*('Weekly Summary'!Z$64+'Weekly Summary'!Z$65)),
IF(AF$10=0,('Equipment List &amp; Usage'!$O79*'Weekly Summary'!Z$52)+('Equipment List &amp; Usage'!$P79*'Weekly Summary'!Z$53)+('Equipment List &amp; Usage'!$Q79*('Weekly Summary'!Z$52+'Weekly Summary'!Z$53))+('Equipment List &amp; Usage'!$R79*'Weekly Summary'!Z$64)+('Equipment List &amp; Usage'!$S79*'Weekly Summary'!Z$65)+('Equipment List &amp; Usage'!$T79*('Weekly Summary'!Z$64+'Weekly Summary'!Z$65)),
('Equipment List &amp; Usage'!$O79*'Weekly Summary'!Z$52)+('Equipment List &amp; Usage'!$P79*'Weekly Summary'!Z$53)+('Equipment List &amp; Usage'!$Q79*('Weekly Summary'!Z$52+'Weekly Summary'!Z$53))+('Equipment List &amp; Usage'!$R79*'Weekly Summary'!Z$64)+('Equipment List &amp; Usage'!$S79*'Weekly Summary'!Z$65)+('Equipment List &amp; Usage'!$T79*('Weekly Summary'!Z$64+'Weekly Summary'!Z$65))-SUM($I77:AE77))),0)</f>
        <v>0</v>
      </c>
      <c r="AG77" s="1381">
        <f ca="1">MAX(IF($F77="No",('Equipment List &amp; Usage'!$O79*'Weekly Summary'!AA$52)+('Equipment List &amp; Usage'!$P79*'Weekly Summary'!AA$53)+('Equipment List &amp; Usage'!$Q79*('Weekly Summary'!AA$52+'Weekly Summary'!AA$53))+('Equipment List &amp; Usage'!$R79*'Weekly Summary'!AA$64)+('Equipment List &amp; Usage'!$S79*'Weekly Summary'!AA$65)+('Equipment List &amp; Usage'!$T79*('Weekly Summary'!AA$64+'Weekly Summary'!AA$65)),
IF(AG$10=0,('Equipment List &amp; Usage'!$O79*'Weekly Summary'!AA$52)+('Equipment List &amp; Usage'!$P79*'Weekly Summary'!AA$53)+('Equipment List &amp; Usage'!$Q79*('Weekly Summary'!AA$52+'Weekly Summary'!AA$53))+('Equipment List &amp; Usage'!$R79*'Weekly Summary'!AA$64)+('Equipment List &amp; Usage'!$S79*'Weekly Summary'!AA$65)+('Equipment List &amp; Usage'!$T79*('Weekly Summary'!AA$64+'Weekly Summary'!AA$65)),
('Equipment List &amp; Usage'!$O79*'Weekly Summary'!AA$52)+('Equipment List &amp; Usage'!$P79*'Weekly Summary'!AA$53)+('Equipment List &amp; Usage'!$Q79*('Weekly Summary'!AA$52+'Weekly Summary'!AA$53))+('Equipment List &amp; Usage'!$R79*'Weekly Summary'!AA$64)+('Equipment List &amp; Usage'!$S79*'Weekly Summary'!AA$65)+('Equipment List &amp; Usage'!$T79*('Weekly Summary'!AA$64+'Weekly Summary'!AA$65))-SUM($I77:AF77))),0)</f>
        <v>0</v>
      </c>
      <c r="AH77" s="1381">
        <f ca="1">MAX(IF($F77="No",('Equipment List &amp; Usage'!$O79*'Weekly Summary'!AB$52)+('Equipment List &amp; Usage'!$P79*'Weekly Summary'!AB$53)+('Equipment List &amp; Usage'!$Q79*('Weekly Summary'!AB$52+'Weekly Summary'!AB$53))+('Equipment List &amp; Usage'!$R79*'Weekly Summary'!AB$64)+('Equipment List &amp; Usage'!$S79*'Weekly Summary'!AB$65)+('Equipment List &amp; Usage'!$T79*('Weekly Summary'!AB$64+'Weekly Summary'!AB$65)),
IF(AH$10=0,('Equipment List &amp; Usage'!$O79*'Weekly Summary'!AB$52)+('Equipment List &amp; Usage'!$P79*'Weekly Summary'!AB$53)+('Equipment List &amp; Usage'!$Q79*('Weekly Summary'!AB$52+'Weekly Summary'!AB$53))+('Equipment List &amp; Usage'!$R79*'Weekly Summary'!AB$64)+('Equipment List &amp; Usage'!$S79*'Weekly Summary'!AB$65)+('Equipment List &amp; Usage'!$T79*('Weekly Summary'!AB$64+'Weekly Summary'!AB$65)),
('Equipment List &amp; Usage'!$O79*'Weekly Summary'!AB$52)+('Equipment List &amp; Usage'!$P79*'Weekly Summary'!AB$53)+('Equipment List &amp; Usage'!$Q79*('Weekly Summary'!AB$52+'Weekly Summary'!AB$53))+('Equipment List &amp; Usage'!$R79*'Weekly Summary'!AB$64)+('Equipment List &amp; Usage'!$S79*'Weekly Summary'!AB$65)+('Equipment List &amp; Usage'!$T79*('Weekly Summary'!AB$64+'Weekly Summary'!AB$65))-SUM($I77:AG77))),0)</f>
        <v>0</v>
      </c>
      <c r="AI77" s="1381">
        <f ca="1">MAX(IF($F77="No",('Equipment List &amp; Usage'!$O79*'Weekly Summary'!AC$52)+('Equipment List &amp; Usage'!$P79*'Weekly Summary'!AC$53)+('Equipment List &amp; Usage'!$Q79*('Weekly Summary'!AC$52+'Weekly Summary'!AC$53))+('Equipment List &amp; Usage'!$R79*'Weekly Summary'!AC$64)+('Equipment List &amp; Usage'!$S79*'Weekly Summary'!AC$65)+('Equipment List &amp; Usage'!$T79*('Weekly Summary'!AC$64+'Weekly Summary'!AC$65)),
IF(AI$10=0,('Equipment List &amp; Usage'!$O79*'Weekly Summary'!AC$52)+('Equipment List &amp; Usage'!$P79*'Weekly Summary'!AC$53)+('Equipment List &amp; Usage'!$Q79*('Weekly Summary'!AC$52+'Weekly Summary'!AC$53))+('Equipment List &amp; Usage'!$R79*'Weekly Summary'!AC$64)+('Equipment List &amp; Usage'!$S79*'Weekly Summary'!AC$65)+('Equipment List &amp; Usage'!$T79*('Weekly Summary'!AC$64+'Weekly Summary'!AC$65)),
('Equipment List &amp; Usage'!$O79*'Weekly Summary'!AC$52)+('Equipment List &amp; Usage'!$P79*'Weekly Summary'!AC$53)+('Equipment List &amp; Usage'!$Q79*('Weekly Summary'!AC$52+'Weekly Summary'!AC$53))+('Equipment List &amp; Usage'!$R79*'Weekly Summary'!AC$64)+('Equipment List &amp; Usage'!$S79*'Weekly Summary'!AC$65)+('Equipment List &amp; Usage'!$T79*('Weekly Summary'!AC$64+'Weekly Summary'!AC$65))-SUM($I77:AH77))),0)</f>
        <v>0</v>
      </c>
      <c r="AJ77" s="1381">
        <f ca="1">MAX(IF($F77="No",('Equipment List &amp; Usage'!$O79*'Weekly Summary'!AD$52)+('Equipment List &amp; Usage'!$P79*'Weekly Summary'!AD$53)+('Equipment List &amp; Usage'!$Q79*('Weekly Summary'!AD$52+'Weekly Summary'!AD$53))+('Equipment List &amp; Usage'!$R79*'Weekly Summary'!AD$64)+('Equipment List &amp; Usage'!$S79*'Weekly Summary'!AD$65)+('Equipment List &amp; Usage'!$T79*('Weekly Summary'!AD$64+'Weekly Summary'!AD$65)),
IF(AJ$10=0,('Equipment List &amp; Usage'!$O79*'Weekly Summary'!AD$52)+('Equipment List &amp; Usage'!$P79*'Weekly Summary'!AD$53)+('Equipment List &amp; Usage'!$Q79*('Weekly Summary'!AD$52+'Weekly Summary'!AD$53))+('Equipment List &amp; Usage'!$R79*'Weekly Summary'!AD$64)+('Equipment List &amp; Usage'!$S79*'Weekly Summary'!AD$65)+('Equipment List &amp; Usage'!$T79*('Weekly Summary'!AD$64+'Weekly Summary'!AD$65)),
('Equipment List &amp; Usage'!$O79*'Weekly Summary'!AD$52)+('Equipment List &amp; Usage'!$P79*'Weekly Summary'!AD$53)+('Equipment List &amp; Usage'!$Q79*('Weekly Summary'!AD$52+'Weekly Summary'!AD$53))+('Equipment List &amp; Usage'!$R79*'Weekly Summary'!AD$64)+('Equipment List &amp; Usage'!$S79*'Weekly Summary'!AD$65)+('Equipment List &amp; Usage'!$T79*('Weekly Summary'!AD$64+'Weekly Summary'!AD$65))-SUM($I77:AI77))),0)</f>
        <v>0</v>
      </c>
      <c r="AK77" s="1381">
        <f ca="1">MAX(IF($F77="No",('Equipment List &amp; Usage'!$O79*'Weekly Summary'!AE$52)+('Equipment List &amp; Usage'!$P79*'Weekly Summary'!AE$53)+('Equipment List &amp; Usage'!$Q79*('Weekly Summary'!AE$52+'Weekly Summary'!AE$53))+('Equipment List &amp; Usage'!$R79*'Weekly Summary'!AE$64)+('Equipment List &amp; Usage'!$S79*'Weekly Summary'!AE$65)+('Equipment List &amp; Usage'!$T79*('Weekly Summary'!AE$64+'Weekly Summary'!AE$65)),
IF(AK$10=0,('Equipment List &amp; Usage'!$O79*'Weekly Summary'!AE$52)+('Equipment List &amp; Usage'!$P79*'Weekly Summary'!AE$53)+('Equipment List &amp; Usage'!$Q79*('Weekly Summary'!AE$52+'Weekly Summary'!AE$53))+('Equipment List &amp; Usage'!$R79*'Weekly Summary'!AE$64)+('Equipment List &amp; Usage'!$S79*'Weekly Summary'!AE$65)+('Equipment List &amp; Usage'!$T79*('Weekly Summary'!AE$64+'Weekly Summary'!AE$65)),
('Equipment List &amp; Usage'!$O79*'Weekly Summary'!AE$52)+('Equipment List &amp; Usage'!$P79*'Weekly Summary'!AE$53)+('Equipment List &amp; Usage'!$Q79*('Weekly Summary'!AE$52+'Weekly Summary'!AE$53))+('Equipment List &amp; Usage'!$R79*'Weekly Summary'!AE$64)+('Equipment List &amp; Usage'!$S79*'Weekly Summary'!AE$65)+('Equipment List &amp; Usage'!$T79*('Weekly Summary'!AE$64+'Weekly Summary'!AE$65))-SUM($I77:AJ77))),0)</f>
        <v>0</v>
      </c>
      <c r="AL77" s="1381">
        <f ca="1">MAX(IF($F77="No",('Equipment List &amp; Usage'!$O79*'Weekly Summary'!AF$52)+('Equipment List &amp; Usage'!$P79*'Weekly Summary'!AF$53)+('Equipment List &amp; Usage'!$Q79*('Weekly Summary'!AF$52+'Weekly Summary'!AF$53))+('Equipment List &amp; Usage'!$R79*'Weekly Summary'!AF$64)+('Equipment List &amp; Usage'!$S79*'Weekly Summary'!AF$65)+('Equipment List &amp; Usage'!$T79*('Weekly Summary'!AF$64+'Weekly Summary'!AF$65)),
IF(AL$10=0,('Equipment List &amp; Usage'!$O79*'Weekly Summary'!AF$52)+('Equipment List &amp; Usage'!$P79*'Weekly Summary'!AF$53)+('Equipment List &amp; Usage'!$Q79*('Weekly Summary'!AF$52+'Weekly Summary'!AF$53))+('Equipment List &amp; Usage'!$R79*'Weekly Summary'!AF$64)+('Equipment List &amp; Usage'!$S79*'Weekly Summary'!AF$65)+('Equipment List &amp; Usage'!$T79*('Weekly Summary'!AF$64+'Weekly Summary'!AF$65)),
('Equipment List &amp; Usage'!$O79*'Weekly Summary'!AF$52)+('Equipment List &amp; Usage'!$P79*'Weekly Summary'!AF$53)+('Equipment List &amp; Usage'!$Q79*('Weekly Summary'!AF$52+'Weekly Summary'!AF$53))+('Equipment List &amp; Usage'!$R79*'Weekly Summary'!AF$64)+('Equipment List &amp; Usage'!$S79*'Weekly Summary'!AF$65)+('Equipment List &amp; Usage'!$T79*('Weekly Summary'!AF$64+'Weekly Summary'!AF$65))-SUM($I77:AK77))),0)</f>
        <v>0</v>
      </c>
      <c r="AM77" s="1381">
        <f ca="1">MAX(IF($F77="No",('Equipment List &amp; Usage'!$O79*'Weekly Summary'!AG$52)+('Equipment List &amp; Usage'!$P79*'Weekly Summary'!AG$53)+('Equipment List &amp; Usage'!$Q79*('Weekly Summary'!AG$52+'Weekly Summary'!AG$53))+('Equipment List &amp; Usage'!$R79*'Weekly Summary'!AG$64)+('Equipment List &amp; Usage'!$S79*'Weekly Summary'!AG$65)+('Equipment List &amp; Usage'!$T79*('Weekly Summary'!AG$64+'Weekly Summary'!AG$65)),
IF(AM$10=0,('Equipment List &amp; Usage'!$O79*'Weekly Summary'!AG$52)+('Equipment List &amp; Usage'!$P79*'Weekly Summary'!AG$53)+('Equipment List &amp; Usage'!$Q79*('Weekly Summary'!AG$52+'Weekly Summary'!AG$53))+('Equipment List &amp; Usage'!$R79*'Weekly Summary'!AG$64)+('Equipment List &amp; Usage'!$S79*'Weekly Summary'!AG$65)+('Equipment List &amp; Usage'!$T79*('Weekly Summary'!AG$64+'Weekly Summary'!AG$65)),
('Equipment List &amp; Usage'!$O79*'Weekly Summary'!AG$52)+('Equipment List &amp; Usage'!$P79*'Weekly Summary'!AG$53)+('Equipment List &amp; Usage'!$Q79*('Weekly Summary'!AG$52+'Weekly Summary'!AG$53))+('Equipment List &amp; Usage'!$R79*'Weekly Summary'!AG$64)+('Equipment List &amp; Usage'!$S79*'Weekly Summary'!AG$65)+('Equipment List &amp; Usage'!$T79*('Weekly Summary'!AG$64+'Weekly Summary'!AG$65))-SUM($I77:AL77))),0)</f>
        <v>0</v>
      </c>
      <c r="AN77" s="1381">
        <f ca="1">MAX(IF($F77="No",('Equipment List &amp; Usage'!$O79*'Weekly Summary'!AH$52)+('Equipment List &amp; Usage'!$P79*'Weekly Summary'!AH$53)+('Equipment List &amp; Usage'!$Q79*('Weekly Summary'!AH$52+'Weekly Summary'!AH$53))+('Equipment List &amp; Usage'!$R79*'Weekly Summary'!AH$64)+('Equipment List &amp; Usage'!$S79*'Weekly Summary'!AH$65)+('Equipment List &amp; Usage'!$T79*('Weekly Summary'!AH$64+'Weekly Summary'!AH$65)),
IF(AN$10=0,('Equipment List &amp; Usage'!$O79*'Weekly Summary'!AH$52)+('Equipment List &amp; Usage'!$P79*'Weekly Summary'!AH$53)+('Equipment List &amp; Usage'!$Q79*('Weekly Summary'!AH$52+'Weekly Summary'!AH$53))+('Equipment List &amp; Usage'!$R79*'Weekly Summary'!AH$64)+('Equipment List &amp; Usage'!$S79*'Weekly Summary'!AH$65)+('Equipment List &amp; Usage'!$T79*('Weekly Summary'!AH$64+'Weekly Summary'!AH$65)),
('Equipment List &amp; Usage'!$O79*'Weekly Summary'!AH$52)+('Equipment List &amp; Usage'!$P79*'Weekly Summary'!AH$53)+('Equipment List &amp; Usage'!$Q79*('Weekly Summary'!AH$52+'Weekly Summary'!AH$53))+('Equipment List &amp; Usage'!$R79*'Weekly Summary'!AH$64)+('Equipment List &amp; Usage'!$S79*'Weekly Summary'!AH$65)+('Equipment List &amp; Usage'!$T79*('Weekly Summary'!AH$64+'Weekly Summary'!AH$65))-SUM($I77:AM77))),0)</f>
        <v>0</v>
      </c>
      <c r="AO77" s="1381">
        <f ca="1">MAX(IF($F77="No",('Equipment List &amp; Usage'!$O79*'Weekly Summary'!AI$52)+('Equipment List &amp; Usage'!$P79*'Weekly Summary'!AI$53)+('Equipment List &amp; Usage'!$Q79*('Weekly Summary'!AI$52+'Weekly Summary'!AI$53))+('Equipment List &amp; Usage'!$R79*'Weekly Summary'!AI$64)+('Equipment List &amp; Usage'!$S79*'Weekly Summary'!AI$65)+('Equipment List &amp; Usage'!$T79*('Weekly Summary'!AI$64+'Weekly Summary'!AI$65)),
IF(AO$10=0,('Equipment List &amp; Usage'!$O79*'Weekly Summary'!AI$52)+('Equipment List &amp; Usage'!$P79*'Weekly Summary'!AI$53)+('Equipment List &amp; Usage'!$Q79*('Weekly Summary'!AI$52+'Weekly Summary'!AI$53))+('Equipment List &amp; Usage'!$R79*'Weekly Summary'!AI$64)+('Equipment List &amp; Usage'!$S79*'Weekly Summary'!AI$65)+('Equipment List &amp; Usage'!$T79*('Weekly Summary'!AI$64+'Weekly Summary'!AI$65)),
('Equipment List &amp; Usage'!$O79*'Weekly Summary'!AI$52)+('Equipment List &amp; Usage'!$P79*'Weekly Summary'!AI$53)+('Equipment List &amp; Usage'!$Q79*('Weekly Summary'!AI$52+'Weekly Summary'!AI$53))+('Equipment List &amp; Usage'!$R79*'Weekly Summary'!AI$64)+('Equipment List &amp; Usage'!$S79*'Weekly Summary'!AI$65)+('Equipment List &amp; Usage'!$T79*('Weekly Summary'!AI$64+'Weekly Summary'!AI$65))-SUM($I77:AN77))),0)</f>
        <v>0</v>
      </c>
      <c r="AP77" s="1381">
        <f ca="1">MAX(IF($F77="No",('Equipment List &amp; Usage'!$O79*'Weekly Summary'!AJ$52)+('Equipment List &amp; Usage'!$P79*'Weekly Summary'!AJ$53)+('Equipment List &amp; Usage'!$Q79*('Weekly Summary'!AJ$52+'Weekly Summary'!AJ$53))+('Equipment List &amp; Usage'!$R79*'Weekly Summary'!AJ$64)+('Equipment List &amp; Usage'!$S79*'Weekly Summary'!AJ$65)+('Equipment List &amp; Usage'!$T79*('Weekly Summary'!AJ$64+'Weekly Summary'!AJ$65)),
IF(AP$10=0,('Equipment List &amp; Usage'!$O79*'Weekly Summary'!AJ$52)+('Equipment List &amp; Usage'!$P79*'Weekly Summary'!AJ$53)+('Equipment List &amp; Usage'!$Q79*('Weekly Summary'!AJ$52+'Weekly Summary'!AJ$53))+('Equipment List &amp; Usage'!$R79*'Weekly Summary'!AJ$64)+('Equipment List &amp; Usage'!$S79*'Weekly Summary'!AJ$65)+('Equipment List &amp; Usage'!$T79*('Weekly Summary'!AJ$64+'Weekly Summary'!AJ$65)),
('Equipment List &amp; Usage'!$O79*'Weekly Summary'!AJ$52)+('Equipment List &amp; Usage'!$P79*'Weekly Summary'!AJ$53)+('Equipment List &amp; Usage'!$Q79*('Weekly Summary'!AJ$52+'Weekly Summary'!AJ$53))+('Equipment List &amp; Usage'!$R79*'Weekly Summary'!AJ$64)+('Equipment List &amp; Usage'!$S79*'Weekly Summary'!AJ$65)+('Equipment List &amp; Usage'!$T79*('Weekly Summary'!AJ$64+'Weekly Summary'!AJ$65))-SUM($I77:AO77))),0)</f>
        <v>0</v>
      </c>
      <c r="AQ77" s="1381">
        <f ca="1">MAX(IF($F77="No",('Equipment List &amp; Usage'!$O79*'Weekly Summary'!AK$52)+('Equipment List &amp; Usage'!$P79*'Weekly Summary'!AK$53)+('Equipment List &amp; Usage'!$Q79*('Weekly Summary'!AK$52+'Weekly Summary'!AK$53))+('Equipment List &amp; Usage'!$R79*'Weekly Summary'!AK$64)+('Equipment List &amp; Usage'!$S79*'Weekly Summary'!AK$65)+('Equipment List &amp; Usage'!$T79*('Weekly Summary'!AK$64+'Weekly Summary'!AK$65)),
IF(AQ$10=0,('Equipment List &amp; Usage'!$O79*'Weekly Summary'!AK$52)+('Equipment List &amp; Usage'!$P79*'Weekly Summary'!AK$53)+('Equipment List &amp; Usage'!$Q79*('Weekly Summary'!AK$52+'Weekly Summary'!AK$53))+('Equipment List &amp; Usage'!$R79*'Weekly Summary'!AK$64)+('Equipment List &amp; Usage'!$S79*'Weekly Summary'!AK$65)+('Equipment List &amp; Usage'!$T79*('Weekly Summary'!AK$64+'Weekly Summary'!AK$65)),
('Equipment List &amp; Usage'!$O79*'Weekly Summary'!AK$52)+('Equipment List &amp; Usage'!$P79*'Weekly Summary'!AK$53)+('Equipment List &amp; Usage'!$Q79*('Weekly Summary'!AK$52+'Weekly Summary'!AK$53))+('Equipment List &amp; Usage'!$R79*'Weekly Summary'!AK$64)+('Equipment List &amp; Usage'!$S79*'Weekly Summary'!AK$65)+('Equipment List &amp; Usage'!$T79*('Weekly Summary'!AK$64+'Weekly Summary'!AK$65))-SUM($I77:AP77))),0)</f>
        <v>0</v>
      </c>
      <c r="AR77" s="1381">
        <f ca="1">MAX(IF($F77="No",('Equipment List &amp; Usage'!$O79*'Weekly Summary'!AL$52)+('Equipment List &amp; Usage'!$P79*'Weekly Summary'!AL$53)+('Equipment List &amp; Usage'!$Q79*('Weekly Summary'!AL$52+'Weekly Summary'!AL$53))+('Equipment List &amp; Usage'!$R79*'Weekly Summary'!AL$64)+('Equipment List &amp; Usage'!$S79*'Weekly Summary'!AL$65)+('Equipment List &amp; Usage'!$T79*('Weekly Summary'!AL$64+'Weekly Summary'!AL$65)),
IF(AR$10=0,('Equipment List &amp; Usage'!$O79*'Weekly Summary'!AL$52)+('Equipment List &amp; Usage'!$P79*'Weekly Summary'!AL$53)+('Equipment List &amp; Usage'!$Q79*('Weekly Summary'!AL$52+'Weekly Summary'!AL$53))+('Equipment List &amp; Usage'!$R79*'Weekly Summary'!AL$64)+('Equipment List &amp; Usage'!$S79*'Weekly Summary'!AL$65)+('Equipment List &amp; Usage'!$T79*('Weekly Summary'!AL$64+'Weekly Summary'!AL$65)),
('Equipment List &amp; Usage'!$O79*'Weekly Summary'!AL$52)+('Equipment List &amp; Usage'!$P79*'Weekly Summary'!AL$53)+('Equipment List &amp; Usage'!$Q79*('Weekly Summary'!AL$52+'Weekly Summary'!AL$53))+('Equipment List &amp; Usage'!$R79*'Weekly Summary'!AL$64)+('Equipment List &amp; Usage'!$S79*'Weekly Summary'!AL$65)+('Equipment List &amp; Usage'!$T79*('Weekly Summary'!AL$64+'Weekly Summary'!AL$65))-SUM($I77:AQ77))),0)</f>
        <v>0</v>
      </c>
      <c r="AS77" s="1381">
        <f ca="1">MAX(IF($F77="No",('Equipment List &amp; Usage'!$O79*'Weekly Summary'!AM$52)+('Equipment List &amp; Usage'!$P79*'Weekly Summary'!AM$53)+('Equipment List &amp; Usage'!$Q79*('Weekly Summary'!AM$52+'Weekly Summary'!AM$53))+('Equipment List &amp; Usage'!$R79*'Weekly Summary'!AM$64)+('Equipment List &amp; Usage'!$S79*'Weekly Summary'!AM$65)+('Equipment List &amp; Usage'!$T79*('Weekly Summary'!AM$64+'Weekly Summary'!AM$65)),
IF(AS$10=0,('Equipment List &amp; Usage'!$O79*'Weekly Summary'!AM$52)+('Equipment List &amp; Usage'!$P79*'Weekly Summary'!AM$53)+('Equipment List &amp; Usage'!$Q79*('Weekly Summary'!AM$52+'Weekly Summary'!AM$53))+('Equipment List &amp; Usage'!$R79*'Weekly Summary'!AM$64)+('Equipment List &amp; Usage'!$S79*'Weekly Summary'!AM$65)+('Equipment List &amp; Usage'!$T79*('Weekly Summary'!AM$64+'Weekly Summary'!AM$65)),
('Equipment List &amp; Usage'!$O79*'Weekly Summary'!AM$52)+('Equipment List &amp; Usage'!$P79*'Weekly Summary'!AM$53)+('Equipment List &amp; Usage'!$Q79*('Weekly Summary'!AM$52+'Weekly Summary'!AM$53))+('Equipment List &amp; Usage'!$R79*'Weekly Summary'!AM$64)+('Equipment List &amp; Usage'!$S79*'Weekly Summary'!AM$65)+('Equipment List &amp; Usage'!$T79*('Weekly Summary'!AM$64+'Weekly Summary'!AM$65))-SUM($I77:AR77))),0)</f>
        <v>0</v>
      </c>
      <c r="AT77" s="1381">
        <f ca="1">MAX(IF($F77="No",('Equipment List &amp; Usage'!$O79*'Weekly Summary'!AN$52)+('Equipment List &amp; Usage'!$P79*'Weekly Summary'!AN$53)+('Equipment List &amp; Usage'!$Q79*('Weekly Summary'!AN$52+'Weekly Summary'!AN$53))+('Equipment List &amp; Usage'!$R79*'Weekly Summary'!AN$64)+('Equipment List &amp; Usage'!$S79*'Weekly Summary'!AN$65)+('Equipment List &amp; Usage'!$T79*('Weekly Summary'!AN$64+'Weekly Summary'!AN$65)),
IF(AT$10=0,('Equipment List &amp; Usage'!$O79*'Weekly Summary'!AN$52)+('Equipment List &amp; Usage'!$P79*'Weekly Summary'!AN$53)+('Equipment List &amp; Usage'!$Q79*('Weekly Summary'!AN$52+'Weekly Summary'!AN$53))+('Equipment List &amp; Usage'!$R79*'Weekly Summary'!AN$64)+('Equipment List &amp; Usage'!$S79*'Weekly Summary'!AN$65)+('Equipment List &amp; Usage'!$T79*('Weekly Summary'!AN$64+'Weekly Summary'!AN$65)),
('Equipment List &amp; Usage'!$O79*'Weekly Summary'!AN$52)+('Equipment List &amp; Usage'!$P79*'Weekly Summary'!AN$53)+('Equipment List &amp; Usage'!$Q79*('Weekly Summary'!AN$52+'Weekly Summary'!AN$53))+('Equipment List &amp; Usage'!$R79*'Weekly Summary'!AN$64)+('Equipment List &amp; Usage'!$S79*'Weekly Summary'!AN$65)+('Equipment List &amp; Usage'!$T79*('Weekly Summary'!AN$64+'Weekly Summary'!AN$65))-SUM($I77:AS77))),0)</f>
        <v>0</v>
      </c>
      <c r="AU77" s="1381">
        <f ca="1">MAX(IF($F77="No",('Equipment List &amp; Usage'!$O79*'Weekly Summary'!AO$52)+('Equipment List &amp; Usage'!$P79*'Weekly Summary'!AO$53)+('Equipment List &amp; Usage'!$Q79*('Weekly Summary'!AO$52+'Weekly Summary'!AO$53))+('Equipment List &amp; Usage'!$R79*'Weekly Summary'!AO$64)+('Equipment List &amp; Usage'!$S79*'Weekly Summary'!AO$65)+('Equipment List &amp; Usage'!$T79*('Weekly Summary'!AO$64+'Weekly Summary'!AO$65)),
IF(AU$10=0,('Equipment List &amp; Usage'!$O79*'Weekly Summary'!AO$52)+('Equipment List &amp; Usage'!$P79*'Weekly Summary'!AO$53)+('Equipment List &amp; Usage'!$Q79*('Weekly Summary'!AO$52+'Weekly Summary'!AO$53))+('Equipment List &amp; Usage'!$R79*'Weekly Summary'!AO$64)+('Equipment List &amp; Usage'!$S79*'Weekly Summary'!AO$65)+('Equipment List &amp; Usage'!$T79*('Weekly Summary'!AO$64+'Weekly Summary'!AO$65)),
('Equipment List &amp; Usage'!$O79*'Weekly Summary'!AO$52)+('Equipment List &amp; Usage'!$P79*'Weekly Summary'!AO$53)+('Equipment List &amp; Usage'!$Q79*('Weekly Summary'!AO$52+'Weekly Summary'!AO$53))+('Equipment List &amp; Usage'!$R79*'Weekly Summary'!AO$64)+('Equipment List &amp; Usage'!$S79*'Weekly Summary'!AO$65)+('Equipment List &amp; Usage'!$T79*('Weekly Summary'!AO$64+'Weekly Summary'!AO$65))-SUM($I77:AT77))),0)</f>
        <v>0</v>
      </c>
      <c r="AV77" s="1381">
        <f ca="1">MAX(IF($F77="No",('Equipment List &amp; Usage'!$O79*'Weekly Summary'!AP$52)+('Equipment List &amp; Usage'!$P79*'Weekly Summary'!AP$53)+('Equipment List &amp; Usage'!$Q79*('Weekly Summary'!AP$52+'Weekly Summary'!AP$53))+('Equipment List &amp; Usage'!$R79*'Weekly Summary'!AP$64)+('Equipment List &amp; Usage'!$S79*'Weekly Summary'!AP$65)+('Equipment List &amp; Usage'!$T79*('Weekly Summary'!AP$64+'Weekly Summary'!AP$65)),
IF(AV$10=0,('Equipment List &amp; Usage'!$O79*'Weekly Summary'!AP$52)+('Equipment List &amp; Usage'!$P79*'Weekly Summary'!AP$53)+('Equipment List &amp; Usage'!$Q79*('Weekly Summary'!AP$52+'Weekly Summary'!AP$53))+('Equipment List &amp; Usage'!$R79*'Weekly Summary'!AP$64)+('Equipment List &amp; Usage'!$S79*'Weekly Summary'!AP$65)+('Equipment List &amp; Usage'!$T79*('Weekly Summary'!AP$64+'Weekly Summary'!AP$65)),
('Equipment List &amp; Usage'!$O79*'Weekly Summary'!AP$52)+('Equipment List &amp; Usage'!$P79*'Weekly Summary'!AP$53)+('Equipment List &amp; Usage'!$Q79*('Weekly Summary'!AP$52+'Weekly Summary'!AP$53))+('Equipment List &amp; Usage'!$R79*'Weekly Summary'!AP$64)+('Equipment List &amp; Usage'!$S79*'Weekly Summary'!AP$65)+('Equipment List &amp; Usage'!$T79*('Weekly Summary'!AP$64+'Weekly Summary'!AP$65))-SUM($I77:AU77))),0)</f>
        <v>0</v>
      </c>
      <c r="AW77" s="1381">
        <f ca="1">MAX(IF($F77="No",('Equipment List &amp; Usage'!$O79*'Weekly Summary'!AQ$52)+('Equipment List &amp; Usage'!$P79*'Weekly Summary'!AQ$53)+('Equipment List &amp; Usage'!$Q79*('Weekly Summary'!AQ$52+'Weekly Summary'!AQ$53))+('Equipment List &amp; Usage'!$R79*'Weekly Summary'!AQ$64)+('Equipment List &amp; Usage'!$S79*'Weekly Summary'!AQ$65)+('Equipment List &amp; Usage'!$T79*('Weekly Summary'!AQ$64+'Weekly Summary'!AQ$65)),
IF(AW$10=0,('Equipment List &amp; Usage'!$O79*'Weekly Summary'!AQ$52)+('Equipment List &amp; Usage'!$P79*'Weekly Summary'!AQ$53)+('Equipment List &amp; Usage'!$Q79*('Weekly Summary'!AQ$52+'Weekly Summary'!AQ$53))+('Equipment List &amp; Usage'!$R79*'Weekly Summary'!AQ$64)+('Equipment List &amp; Usage'!$S79*'Weekly Summary'!AQ$65)+('Equipment List &amp; Usage'!$T79*('Weekly Summary'!AQ$64+'Weekly Summary'!AQ$65)),
('Equipment List &amp; Usage'!$O79*'Weekly Summary'!AQ$52)+('Equipment List &amp; Usage'!$P79*'Weekly Summary'!AQ$53)+('Equipment List &amp; Usage'!$Q79*('Weekly Summary'!AQ$52+'Weekly Summary'!AQ$53))+('Equipment List &amp; Usage'!$R79*'Weekly Summary'!AQ$64)+('Equipment List &amp; Usage'!$S79*'Weekly Summary'!AQ$65)+('Equipment List &amp; Usage'!$T79*('Weekly Summary'!AQ$64+'Weekly Summary'!AQ$65))-SUM($I77:AV77))),0)</f>
        <v>0</v>
      </c>
      <c r="AX77" s="1381">
        <f ca="1">MAX(IF($F77="No",('Equipment List &amp; Usage'!$O79*'Weekly Summary'!AR$52)+('Equipment List &amp; Usage'!$P79*'Weekly Summary'!AR$53)+('Equipment List &amp; Usage'!$Q79*('Weekly Summary'!AR$52+'Weekly Summary'!AR$53))+('Equipment List &amp; Usage'!$R79*'Weekly Summary'!AR$64)+('Equipment List &amp; Usage'!$S79*'Weekly Summary'!AR$65)+('Equipment List &amp; Usage'!$T79*('Weekly Summary'!AR$64+'Weekly Summary'!AR$65)),
IF(AX$10=0,('Equipment List &amp; Usage'!$O79*'Weekly Summary'!AR$52)+('Equipment List &amp; Usage'!$P79*'Weekly Summary'!AR$53)+('Equipment List &amp; Usage'!$Q79*('Weekly Summary'!AR$52+'Weekly Summary'!AR$53))+('Equipment List &amp; Usage'!$R79*'Weekly Summary'!AR$64)+('Equipment List &amp; Usage'!$S79*'Weekly Summary'!AR$65)+('Equipment List &amp; Usage'!$T79*('Weekly Summary'!AR$64+'Weekly Summary'!AR$65)),
('Equipment List &amp; Usage'!$O79*'Weekly Summary'!AR$52)+('Equipment List &amp; Usage'!$P79*'Weekly Summary'!AR$53)+('Equipment List &amp; Usage'!$Q79*('Weekly Summary'!AR$52+'Weekly Summary'!AR$53))+('Equipment List &amp; Usage'!$R79*'Weekly Summary'!AR$64)+('Equipment List &amp; Usage'!$S79*'Weekly Summary'!AR$65)+('Equipment List &amp; Usage'!$T79*('Weekly Summary'!AR$64+'Weekly Summary'!AR$65))-SUM($I77:AW77))),0)</f>
        <v>0</v>
      </c>
      <c r="AY77" s="1381">
        <f ca="1">MAX(IF($F77="No",('Equipment List &amp; Usage'!$O79*'Weekly Summary'!AS$52)+('Equipment List &amp; Usage'!$P79*'Weekly Summary'!AS$53)+('Equipment List &amp; Usage'!$Q79*('Weekly Summary'!AS$52+'Weekly Summary'!AS$53))+('Equipment List &amp; Usage'!$R79*'Weekly Summary'!AS$64)+('Equipment List &amp; Usage'!$S79*'Weekly Summary'!AS$65)+('Equipment List &amp; Usage'!$T79*('Weekly Summary'!AS$64+'Weekly Summary'!AS$65)),
IF(AY$10=0,('Equipment List &amp; Usage'!$O79*'Weekly Summary'!AS$52)+('Equipment List &amp; Usage'!$P79*'Weekly Summary'!AS$53)+('Equipment List &amp; Usage'!$Q79*('Weekly Summary'!AS$52+'Weekly Summary'!AS$53))+('Equipment List &amp; Usage'!$R79*'Weekly Summary'!AS$64)+('Equipment List &amp; Usage'!$S79*'Weekly Summary'!AS$65)+('Equipment List &amp; Usage'!$T79*('Weekly Summary'!AS$64+'Weekly Summary'!AS$65)),
('Equipment List &amp; Usage'!$O79*'Weekly Summary'!AS$52)+('Equipment List &amp; Usage'!$P79*'Weekly Summary'!AS$53)+('Equipment List &amp; Usage'!$Q79*('Weekly Summary'!AS$52+'Weekly Summary'!AS$53))+('Equipment List &amp; Usage'!$R79*'Weekly Summary'!AS$64)+('Equipment List &amp; Usage'!$S79*'Weekly Summary'!AS$65)+('Equipment List &amp; Usage'!$T79*('Weekly Summary'!AS$64+'Weekly Summary'!AS$65))-SUM($I77:AX77))),0)</f>
        <v>0</v>
      </c>
      <c r="AZ77" s="1381">
        <f ca="1">MAX(IF($F77="No",('Equipment List &amp; Usage'!$O79*'Weekly Summary'!AT$52)+('Equipment List &amp; Usage'!$P79*'Weekly Summary'!AT$53)+('Equipment List &amp; Usage'!$Q79*('Weekly Summary'!AT$52+'Weekly Summary'!AT$53))+('Equipment List &amp; Usage'!$R79*'Weekly Summary'!AT$64)+('Equipment List &amp; Usage'!$S79*'Weekly Summary'!AT$65)+('Equipment List &amp; Usage'!$T79*('Weekly Summary'!AT$64+'Weekly Summary'!AT$65)),
IF(AZ$10=0,('Equipment List &amp; Usage'!$O79*'Weekly Summary'!AT$52)+('Equipment List &amp; Usage'!$P79*'Weekly Summary'!AT$53)+('Equipment List &amp; Usage'!$Q79*('Weekly Summary'!AT$52+'Weekly Summary'!AT$53))+('Equipment List &amp; Usage'!$R79*'Weekly Summary'!AT$64)+('Equipment List &amp; Usage'!$S79*'Weekly Summary'!AT$65)+('Equipment List &amp; Usage'!$T79*('Weekly Summary'!AT$64+'Weekly Summary'!AT$65)),
('Equipment List &amp; Usage'!$O79*'Weekly Summary'!AT$52)+('Equipment List &amp; Usage'!$P79*'Weekly Summary'!AT$53)+('Equipment List &amp; Usage'!$Q79*('Weekly Summary'!AT$52+'Weekly Summary'!AT$53))+('Equipment List &amp; Usage'!$R79*'Weekly Summary'!AT$64)+('Equipment List &amp; Usage'!$S79*'Weekly Summary'!AT$65)+('Equipment List &amp; Usage'!$T79*('Weekly Summary'!AT$64+'Weekly Summary'!AT$65))-SUM($I77:AY77))),0)</f>
        <v>0</v>
      </c>
      <c r="BA77" s="1381">
        <f ca="1">MAX(IF($F77="No",('Equipment List &amp; Usage'!$O79*'Weekly Summary'!AU$52)+('Equipment List &amp; Usage'!$P79*'Weekly Summary'!AU$53)+('Equipment List &amp; Usage'!$Q79*('Weekly Summary'!AU$52+'Weekly Summary'!AU$53))+('Equipment List &amp; Usage'!$R79*'Weekly Summary'!AU$64)+('Equipment List &amp; Usage'!$S79*'Weekly Summary'!AU$65)+('Equipment List &amp; Usage'!$T79*('Weekly Summary'!AU$64+'Weekly Summary'!AU$65)),
IF(BA$10=0,('Equipment List &amp; Usage'!$O79*'Weekly Summary'!AU$52)+('Equipment List &amp; Usage'!$P79*'Weekly Summary'!AU$53)+('Equipment List &amp; Usage'!$Q79*('Weekly Summary'!AU$52+'Weekly Summary'!AU$53))+('Equipment List &amp; Usage'!$R79*'Weekly Summary'!AU$64)+('Equipment List &amp; Usage'!$S79*'Weekly Summary'!AU$65)+('Equipment List &amp; Usage'!$T79*('Weekly Summary'!AU$64+'Weekly Summary'!AU$65)),
('Equipment List &amp; Usage'!$O79*'Weekly Summary'!AU$52)+('Equipment List &amp; Usage'!$P79*'Weekly Summary'!AU$53)+('Equipment List &amp; Usage'!$Q79*('Weekly Summary'!AU$52+'Weekly Summary'!AU$53))+('Equipment List &amp; Usage'!$R79*'Weekly Summary'!AU$64)+('Equipment List &amp; Usage'!$S79*'Weekly Summary'!AU$65)+('Equipment List &amp; Usage'!$T79*('Weekly Summary'!AU$64+'Weekly Summary'!AU$65))-SUM($I77:AZ77))),0)</f>
        <v>0</v>
      </c>
      <c r="BB77" s="1381">
        <f ca="1">MAX(IF($F77="No",('Equipment List &amp; Usage'!$O79*'Weekly Summary'!AV$52)+('Equipment List &amp; Usage'!$P79*'Weekly Summary'!AV$53)+('Equipment List &amp; Usage'!$Q79*('Weekly Summary'!AV$52+'Weekly Summary'!AV$53))+('Equipment List &amp; Usage'!$R79*'Weekly Summary'!AV$64)+('Equipment List &amp; Usage'!$S79*'Weekly Summary'!AV$65)+('Equipment List &amp; Usage'!$T79*('Weekly Summary'!AV$64+'Weekly Summary'!AV$65)),
IF(BB$10=0,('Equipment List &amp; Usage'!$O79*'Weekly Summary'!AV$52)+('Equipment List &amp; Usage'!$P79*'Weekly Summary'!AV$53)+('Equipment List &amp; Usage'!$Q79*('Weekly Summary'!AV$52+'Weekly Summary'!AV$53))+('Equipment List &amp; Usage'!$R79*'Weekly Summary'!AV$64)+('Equipment List &amp; Usage'!$S79*'Weekly Summary'!AV$65)+('Equipment List &amp; Usage'!$T79*('Weekly Summary'!AV$64+'Weekly Summary'!AV$65)),
('Equipment List &amp; Usage'!$O79*'Weekly Summary'!AV$52)+('Equipment List &amp; Usage'!$P79*'Weekly Summary'!AV$53)+('Equipment List &amp; Usage'!$Q79*('Weekly Summary'!AV$52+'Weekly Summary'!AV$53))+('Equipment List &amp; Usage'!$R79*'Weekly Summary'!AV$64)+('Equipment List &amp; Usage'!$S79*'Weekly Summary'!AV$65)+('Equipment List &amp; Usage'!$T79*('Weekly Summary'!AV$64+'Weekly Summary'!AV$65))-SUM($I77:BA77))),0)</f>
        <v>0</v>
      </c>
      <c r="BC77" s="1381">
        <f ca="1">MAX(IF($F77="No",('Equipment List &amp; Usage'!$O79*'Weekly Summary'!AW$52)+('Equipment List &amp; Usage'!$P79*'Weekly Summary'!AW$53)+('Equipment List &amp; Usage'!$Q79*('Weekly Summary'!AW$52+'Weekly Summary'!AW$53))+('Equipment List &amp; Usage'!$R79*'Weekly Summary'!AW$64)+('Equipment List &amp; Usage'!$S79*'Weekly Summary'!AW$65)+('Equipment List &amp; Usage'!$T79*('Weekly Summary'!AW$64+'Weekly Summary'!AW$65)),
IF(BC$10=0,('Equipment List &amp; Usage'!$O79*'Weekly Summary'!AW$52)+('Equipment List &amp; Usage'!$P79*'Weekly Summary'!AW$53)+('Equipment List &amp; Usage'!$Q79*('Weekly Summary'!AW$52+'Weekly Summary'!AW$53))+('Equipment List &amp; Usage'!$R79*'Weekly Summary'!AW$64)+('Equipment List &amp; Usage'!$S79*'Weekly Summary'!AW$65)+('Equipment List &amp; Usage'!$T79*('Weekly Summary'!AW$64+'Weekly Summary'!AW$65)),
('Equipment List &amp; Usage'!$O79*'Weekly Summary'!AW$52)+('Equipment List &amp; Usage'!$P79*'Weekly Summary'!AW$53)+('Equipment List &amp; Usage'!$Q79*('Weekly Summary'!AW$52+'Weekly Summary'!AW$53))+('Equipment List &amp; Usage'!$R79*'Weekly Summary'!AW$64)+('Equipment List &amp; Usage'!$S79*'Weekly Summary'!AW$65)+('Equipment List &amp; Usage'!$T79*('Weekly Summary'!AW$64+'Weekly Summary'!AW$65))-SUM($I77:BB77))),0)</f>
        <v>0</v>
      </c>
      <c r="BD77" s="1381">
        <f ca="1">MAX(IF($F77="No",('Equipment List &amp; Usage'!$O79*'Weekly Summary'!AX$52)+('Equipment List &amp; Usage'!$P79*'Weekly Summary'!AX$53)+('Equipment List &amp; Usage'!$Q79*('Weekly Summary'!AX$52+'Weekly Summary'!AX$53))+('Equipment List &amp; Usage'!$R79*'Weekly Summary'!AX$64)+('Equipment List &amp; Usage'!$S79*'Weekly Summary'!AX$65)+('Equipment List &amp; Usage'!$T79*('Weekly Summary'!AX$64+'Weekly Summary'!AX$65)),
IF(BD$10=0,('Equipment List &amp; Usage'!$O79*'Weekly Summary'!AX$52)+('Equipment List &amp; Usage'!$P79*'Weekly Summary'!AX$53)+('Equipment List &amp; Usage'!$Q79*('Weekly Summary'!AX$52+'Weekly Summary'!AX$53))+('Equipment List &amp; Usage'!$R79*'Weekly Summary'!AX$64)+('Equipment List &amp; Usage'!$S79*'Weekly Summary'!AX$65)+('Equipment List &amp; Usage'!$T79*('Weekly Summary'!AX$64+'Weekly Summary'!AX$65)),
('Equipment List &amp; Usage'!$O79*'Weekly Summary'!AX$52)+('Equipment List &amp; Usage'!$P79*'Weekly Summary'!AX$53)+('Equipment List &amp; Usage'!$Q79*('Weekly Summary'!AX$52+'Weekly Summary'!AX$53))+('Equipment List &amp; Usage'!$R79*'Weekly Summary'!AX$64)+('Equipment List &amp; Usage'!$S79*'Weekly Summary'!AX$65)+('Equipment List &amp; Usage'!$T79*('Weekly Summary'!AX$64+'Weekly Summary'!AX$65))-SUM($I77:BC77))),0)</f>
        <v>0</v>
      </c>
      <c r="BE77" s="1381">
        <f ca="1">MAX(IF($F77="No",('Equipment List &amp; Usage'!$O79*'Weekly Summary'!AY$52)+('Equipment List &amp; Usage'!$P79*'Weekly Summary'!AY$53)+('Equipment List &amp; Usage'!$Q79*('Weekly Summary'!AY$52+'Weekly Summary'!AY$53))+('Equipment List &amp; Usage'!$R79*'Weekly Summary'!AY$64)+('Equipment List &amp; Usage'!$S79*'Weekly Summary'!AY$65)+('Equipment List &amp; Usage'!$T79*('Weekly Summary'!AY$64+'Weekly Summary'!AY$65)),
IF(BE$10=0,('Equipment List &amp; Usage'!$O79*'Weekly Summary'!AY$52)+('Equipment List &amp; Usage'!$P79*'Weekly Summary'!AY$53)+('Equipment List &amp; Usage'!$Q79*('Weekly Summary'!AY$52+'Weekly Summary'!AY$53))+('Equipment List &amp; Usage'!$R79*'Weekly Summary'!AY$64)+('Equipment List &amp; Usage'!$S79*'Weekly Summary'!AY$65)+('Equipment List &amp; Usage'!$T79*('Weekly Summary'!AY$64+'Weekly Summary'!AY$65)),
('Equipment List &amp; Usage'!$O79*'Weekly Summary'!AY$52)+('Equipment List &amp; Usage'!$P79*'Weekly Summary'!AY$53)+('Equipment List &amp; Usage'!$Q79*('Weekly Summary'!AY$52+'Weekly Summary'!AY$53))+('Equipment List &amp; Usage'!$R79*'Weekly Summary'!AY$64)+('Equipment List &amp; Usage'!$S79*'Weekly Summary'!AY$65)+('Equipment List &amp; Usage'!$T79*('Weekly Summary'!AY$64+'Weekly Summary'!AY$65))-SUM($I77:BD77))),0)</f>
        <v>0</v>
      </c>
      <c r="BF77" s="1381">
        <f ca="1">MAX(IF($F77="No",('Equipment List &amp; Usage'!$O79*'Weekly Summary'!AZ$52)+('Equipment List &amp; Usage'!$P79*'Weekly Summary'!AZ$53)+('Equipment List &amp; Usage'!$Q79*('Weekly Summary'!AZ$52+'Weekly Summary'!AZ$53))+('Equipment List &amp; Usage'!$R79*'Weekly Summary'!AZ$64)+('Equipment List &amp; Usage'!$S79*'Weekly Summary'!AZ$65)+('Equipment List &amp; Usage'!$T79*('Weekly Summary'!AZ$64+'Weekly Summary'!AZ$65)),
IF(BF$10=0,('Equipment List &amp; Usage'!$O79*'Weekly Summary'!AZ$52)+('Equipment List &amp; Usage'!$P79*'Weekly Summary'!AZ$53)+('Equipment List &amp; Usage'!$Q79*('Weekly Summary'!AZ$52+'Weekly Summary'!AZ$53))+('Equipment List &amp; Usage'!$R79*'Weekly Summary'!AZ$64)+('Equipment List &amp; Usage'!$S79*'Weekly Summary'!AZ$65)+('Equipment List &amp; Usage'!$T79*('Weekly Summary'!AZ$64+'Weekly Summary'!AZ$65)),
('Equipment List &amp; Usage'!$O79*'Weekly Summary'!AZ$52)+('Equipment List &amp; Usage'!$P79*'Weekly Summary'!AZ$53)+('Equipment List &amp; Usage'!$Q79*('Weekly Summary'!AZ$52+'Weekly Summary'!AZ$53))+('Equipment List &amp; Usage'!$R79*'Weekly Summary'!AZ$64)+('Equipment List &amp; Usage'!$S79*'Weekly Summary'!AZ$65)+('Equipment List &amp; Usage'!$T79*('Weekly Summary'!AZ$64+'Weekly Summary'!AZ$65))-SUM($I77:BE77))),0)</f>
        <v>0</v>
      </c>
      <c r="BG77" s="1381">
        <f ca="1">MAX(IF($F77="No",('Equipment List &amp; Usage'!$O79*'Weekly Summary'!BA$52)+('Equipment List &amp; Usage'!$P79*'Weekly Summary'!BA$53)+('Equipment List &amp; Usage'!$Q79*('Weekly Summary'!BA$52+'Weekly Summary'!BA$53))+('Equipment List &amp; Usage'!$R79*'Weekly Summary'!BA$64)+('Equipment List &amp; Usage'!$S79*'Weekly Summary'!BA$65)+('Equipment List &amp; Usage'!$T79*('Weekly Summary'!BA$64+'Weekly Summary'!BA$65)),
IF(BG$10=0,('Equipment List &amp; Usage'!$O79*'Weekly Summary'!BA$52)+('Equipment List &amp; Usage'!$P79*'Weekly Summary'!BA$53)+('Equipment List &amp; Usage'!$Q79*('Weekly Summary'!BA$52+'Weekly Summary'!BA$53))+('Equipment List &amp; Usage'!$R79*'Weekly Summary'!BA$64)+('Equipment List &amp; Usage'!$S79*'Weekly Summary'!BA$65)+('Equipment List &amp; Usage'!$T79*('Weekly Summary'!BA$64+'Weekly Summary'!BA$65)),
('Equipment List &amp; Usage'!$O79*'Weekly Summary'!BA$52)+('Equipment List &amp; Usage'!$P79*'Weekly Summary'!BA$53)+('Equipment List &amp; Usage'!$Q79*('Weekly Summary'!BA$52+'Weekly Summary'!BA$53))+('Equipment List &amp; Usage'!$R79*'Weekly Summary'!BA$64)+('Equipment List &amp; Usage'!$S79*'Weekly Summary'!BA$65)+('Equipment List &amp; Usage'!$T79*('Weekly Summary'!BA$64+'Weekly Summary'!BA$65))-SUM($I77:BF77))),0)</f>
        <v>0</v>
      </c>
      <c r="BH77" s="1381">
        <f ca="1">MAX(IF($F77="No",('Equipment List &amp; Usage'!$O79*'Weekly Summary'!BB$52)+('Equipment List &amp; Usage'!$P79*'Weekly Summary'!BB$53)+('Equipment List &amp; Usage'!$Q79*('Weekly Summary'!BB$52+'Weekly Summary'!BB$53))+('Equipment List &amp; Usage'!$R79*'Weekly Summary'!BB$64)+('Equipment List &amp; Usage'!$S79*'Weekly Summary'!BB$65)+('Equipment List &amp; Usage'!$T79*('Weekly Summary'!BB$64+'Weekly Summary'!BB$65)),
IF(BH$10=0,('Equipment List &amp; Usage'!$O79*'Weekly Summary'!BB$52)+('Equipment List &amp; Usage'!$P79*'Weekly Summary'!BB$53)+('Equipment List &amp; Usage'!$Q79*('Weekly Summary'!BB$52+'Weekly Summary'!BB$53))+('Equipment List &amp; Usage'!$R79*'Weekly Summary'!BB$64)+('Equipment List &amp; Usage'!$S79*'Weekly Summary'!BB$65)+('Equipment List &amp; Usage'!$T79*('Weekly Summary'!BB$64+'Weekly Summary'!BB$65)),
('Equipment List &amp; Usage'!$O79*'Weekly Summary'!BB$52)+('Equipment List &amp; Usage'!$P79*'Weekly Summary'!BB$53)+('Equipment List &amp; Usage'!$Q79*('Weekly Summary'!BB$52+'Weekly Summary'!BB$53))+('Equipment List &amp; Usage'!$R79*'Weekly Summary'!BB$64)+('Equipment List &amp; Usage'!$S79*'Weekly Summary'!BB$65)+('Equipment List &amp; Usage'!$T79*('Weekly Summary'!BB$64+'Weekly Summary'!BB$65))-SUM($I77:BG77))),0)</f>
        <v>0</v>
      </c>
      <c r="BI77" s="1381">
        <f ca="1">MAX(IF($F77="No",('Equipment List &amp; Usage'!$O79*'Weekly Summary'!BC$52)+('Equipment List &amp; Usage'!$P79*'Weekly Summary'!BC$53)+('Equipment List &amp; Usage'!$Q79*('Weekly Summary'!BC$52+'Weekly Summary'!BC$53))+('Equipment List &amp; Usage'!$R79*'Weekly Summary'!BC$64)+('Equipment List &amp; Usage'!$S79*'Weekly Summary'!BC$65)+('Equipment List &amp; Usage'!$T79*('Weekly Summary'!BC$64+'Weekly Summary'!BC$65)),
IF(BI$10=0,('Equipment List &amp; Usage'!$O79*'Weekly Summary'!BC$52)+('Equipment List &amp; Usage'!$P79*'Weekly Summary'!BC$53)+('Equipment List &amp; Usage'!$Q79*('Weekly Summary'!BC$52+'Weekly Summary'!BC$53))+('Equipment List &amp; Usage'!$R79*'Weekly Summary'!BC$64)+('Equipment List &amp; Usage'!$S79*'Weekly Summary'!BC$65)+('Equipment List &amp; Usage'!$T79*('Weekly Summary'!BC$64+'Weekly Summary'!BC$65)),
('Equipment List &amp; Usage'!$O79*'Weekly Summary'!BC$52)+('Equipment List &amp; Usage'!$P79*'Weekly Summary'!BC$53)+('Equipment List &amp; Usage'!$Q79*('Weekly Summary'!BC$52+'Weekly Summary'!BC$53))+('Equipment List &amp; Usage'!$R79*'Weekly Summary'!BC$64)+('Equipment List &amp; Usage'!$S79*'Weekly Summary'!BC$65)+('Equipment List &amp; Usage'!$T79*('Weekly Summary'!BC$64+'Weekly Summary'!BC$65))-SUM($I77:BH77))),0)</f>
        <v>0</v>
      </c>
      <c r="BJ77" s="1382">
        <f ca="1">MAX(IF($F77="No",('Equipment List &amp; Usage'!$O79*'Weekly Summary'!BD$52)+('Equipment List &amp; Usage'!$P79*'Weekly Summary'!BD$53)+('Equipment List &amp; Usage'!$Q79*('Weekly Summary'!BD$52+'Weekly Summary'!BD$53))+('Equipment List &amp; Usage'!$R79*'Weekly Summary'!BD$64)+('Equipment List &amp; Usage'!$S79*'Weekly Summary'!BD$65)+('Equipment List &amp; Usage'!$T79*('Weekly Summary'!BD$64+'Weekly Summary'!BD$65)),
IF(BJ$10=0,('Equipment List &amp; Usage'!$O79*'Weekly Summary'!BD$52)+('Equipment List &amp; Usage'!$P79*'Weekly Summary'!BD$53)+('Equipment List &amp; Usage'!$Q79*('Weekly Summary'!BD$52+'Weekly Summary'!BD$53))+('Equipment List &amp; Usage'!$R79*'Weekly Summary'!BD$64)+('Equipment List &amp; Usage'!$S79*'Weekly Summary'!BD$65)+('Equipment List &amp; Usage'!$T79*('Weekly Summary'!BD$64+'Weekly Summary'!BD$65)),
('Equipment List &amp; Usage'!$O79*'Weekly Summary'!BD$52)+('Equipment List &amp; Usage'!$P79*'Weekly Summary'!BD$53)+('Equipment List &amp; Usage'!$Q79*('Weekly Summary'!BD$52+'Weekly Summary'!BD$53))+('Equipment List &amp; Usage'!$R79*'Weekly Summary'!BD$64)+('Equipment List &amp; Usage'!$S79*'Weekly Summary'!BD$65)+('Equipment List &amp; Usage'!$T79*('Weekly Summary'!BD$64+'Weekly Summary'!BD$65))-SUM($I77:BI77))),0)</f>
        <v>0</v>
      </c>
    </row>
    <row r="78" spans="2:62" ht="62.9" customHeight="1" collapsed="1" x14ac:dyDescent="0.35">
      <c r="B78" s="735" t="str">
        <f>'Equipment List &amp; Usage'!B80</f>
        <v>Case management - accessories &amp; consumables</v>
      </c>
      <c r="C78" s="526" t="str">
        <f>'Equipment List &amp; Usage'!C80</f>
        <v>Airway Management &amp; Intubation</v>
      </c>
      <c r="D78" s="526" t="str">
        <f>'Equipment List &amp; Usage'!D80</f>
        <v>Airway, oropharyngeal, Guedel, set with sizes of: No. 2 (70 mm), No. 3 (80 mm), No. 4 (90 mm), No. 5 (100 mm)</v>
      </c>
      <c r="E78" s="526" t="str">
        <f>'Equipment List &amp; Usage'!E80</f>
        <v>Each</v>
      </c>
      <c r="F78" s="526" t="str">
        <f>'Equipment List &amp; Usage'!F80</f>
        <v>No</v>
      </c>
      <c r="G78" s="526" t="str">
        <f>'Equipment List &amp; Usage'!G80</f>
        <v>N/A</v>
      </c>
      <c r="H78" s="1369">
        <f t="shared" ca="1" si="3"/>
        <v>134.15286663356636</v>
      </c>
      <c r="J78" s="1344"/>
      <c r="K78" s="1381">
        <f ca="1">IF('User Dashboard'!$H$13=1,0,MAX(IF($F78="No",('Equipment List &amp; Usage'!$O80*'Weekly Summary'!E$52)+('Equipment List &amp; Usage'!$P80*'Weekly Summary'!E$53)+('Equipment List &amp; Usage'!$Q80*('Weekly Summary'!E$52+'Weekly Summary'!E$53))+('Equipment List &amp; Usage'!$R80*'Weekly Summary'!E$64)+('Equipment List &amp; Usage'!$S80*'Weekly Summary'!E$65)+('Equipment List &amp; Usage'!$T80*('Weekly Summary'!E$64+'Weekly Summary'!E$65)),
IF(K$10=0,('Equipment List &amp; Usage'!$O80*'Weekly Summary'!E$52)+('Equipment List &amp; Usage'!$P80*'Weekly Summary'!E$53)+('Equipment List &amp; Usage'!$Q80*('Weekly Summary'!E$52+'Weekly Summary'!E$53))+('Equipment List &amp; Usage'!$R80*'Weekly Summary'!E$64)+('Equipment List &amp; Usage'!$S80*'Weekly Summary'!E$65)+('Equipment List &amp; Usage'!$T80*('Weekly Summary'!E$64+'Weekly Summary'!E$65)),
('Equipment List &amp; Usage'!$O80*'Weekly Summary'!E$52)+('Equipment List &amp; Usage'!$P80*'Weekly Summary'!E$53)+('Equipment List &amp; Usage'!$Q80*('Weekly Summary'!E$52+'Weekly Summary'!E$53))+('Equipment List &amp; Usage'!$R80*'Weekly Summary'!E$64)+('Equipment List &amp; Usage'!$S80*'Weekly Summary'!E$65)+('Equipment List &amp; Usage'!$T80*('Weekly Summary'!E$64+'Weekly Summary'!E$65))-SUM($I78:I78))),0))</f>
        <v>0.19869249611205675</v>
      </c>
      <c r="L78" s="1381">
        <f ca="1">MAX(IF($F78="No",('Equipment List &amp; Usage'!$O80*'Weekly Summary'!F$52)+('Equipment List &amp; Usage'!$P80*'Weekly Summary'!F$53)+('Equipment List &amp; Usage'!$Q80*('Weekly Summary'!F$52+'Weekly Summary'!F$53))+('Equipment List &amp; Usage'!$R80*'Weekly Summary'!F$64)+('Equipment List &amp; Usage'!$S80*'Weekly Summary'!F$65)+('Equipment List &amp; Usage'!$T80*('Weekly Summary'!F$64+'Weekly Summary'!F$65)),
IF(L$10=0,('Equipment List &amp; Usage'!$O80*'Weekly Summary'!F$52)+('Equipment List &amp; Usage'!$P80*'Weekly Summary'!F$53)+('Equipment List &amp; Usage'!$Q80*('Weekly Summary'!F$52+'Weekly Summary'!F$53))+('Equipment List &amp; Usage'!$R80*'Weekly Summary'!F$64)+('Equipment List &amp; Usage'!$S80*'Weekly Summary'!F$65)+('Equipment List &amp; Usage'!$T80*('Weekly Summary'!F$64+'Weekly Summary'!F$65)),
('Equipment List &amp; Usage'!$O80*'Weekly Summary'!F$52)+('Equipment List &amp; Usage'!$P80*'Weekly Summary'!F$53)+('Equipment List &amp; Usage'!$Q80*('Weekly Summary'!F$52+'Weekly Summary'!F$53))+('Equipment List &amp; Usage'!$R80*'Weekly Summary'!F$64)+('Equipment List &amp; Usage'!$S80*'Weekly Summary'!F$65)+('Equipment List &amp; Usage'!$T80*('Weekly Summary'!F$64+'Weekly Summary'!F$65))-SUM($I78:K78))),0)</f>
        <v>0.68280837797721627</v>
      </c>
      <c r="M78" s="1381">
        <f ca="1">MAX(IF($F78="No",('Equipment List &amp; Usage'!$O80*'Weekly Summary'!G$52)+('Equipment List &amp; Usage'!$P80*'Weekly Summary'!G$53)+('Equipment List &amp; Usage'!$Q80*('Weekly Summary'!G$52+'Weekly Summary'!G$53))+('Equipment List &amp; Usage'!$R80*'Weekly Summary'!G$64)+('Equipment List &amp; Usage'!$S80*'Weekly Summary'!G$65)+('Equipment List &amp; Usage'!$T80*('Weekly Summary'!G$64+'Weekly Summary'!G$65)),
IF(M$10=0,('Equipment List &amp; Usage'!$O80*'Weekly Summary'!G$52)+('Equipment List &amp; Usage'!$P80*'Weekly Summary'!G$53)+('Equipment List &amp; Usage'!$Q80*('Weekly Summary'!G$52+'Weekly Summary'!G$53))+('Equipment List &amp; Usage'!$R80*'Weekly Summary'!G$64)+('Equipment List &amp; Usage'!$S80*'Weekly Summary'!G$65)+('Equipment List &amp; Usage'!$T80*('Weekly Summary'!G$64+'Weekly Summary'!G$65)),
('Equipment List &amp; Usage'!$O80*'Weekly Summary'!G$52)+('Equipment List &amp; Usage'!$P80*'Weekly Summary'!G$53)+('Equipment List &amp; Usage'!$Q80*('Weekly Summary'!G$52+'Weekly Summary'!G$53))+('Equipment List &amp; Usage'!$R80*'Weekly Summary'!G$64)+('Equipment List &amp; Usage'!$S80*'Weekly Summary'!G$65)+('Equipment List &amp; Usage'!$T80*('Weekly Summary'!G$64+'Weekly Summary'!G$65))-SUM($I78:L78))),0)</f>
        <v>2.3464538473228695</v>
      </c>
      <c r="N78" s="1381">
        <f ca="1">MAX(IF($F78="No",('Equipment List &amp; Usage'!$O80*'Weekly Summary'!H$52)+('Equipment List &amp; Usage'!$P80*'Weekly Summary'!H$53)+('Equipment List &amp; Usage'!$Q80*('Weekly Summary'!H$52+'Weekly Summary'!H$53))+('Equipment List &amp; Usage'!$R80*'Weekly Summary'!H$64)+('Equipment List &amp; Usage'!$S80*'Weekly Summary'!H$65)+('Equipment List &amp; Usage'!$T80*('Weekly Summary'!H$64+'Weekly Summary'!H$65)),
IF(N$10=0,('Equipment List &amp; Usage'!$O80*'Weekly Summary'!H$52)+('Equipment List &amp; Usage'!$P80*'Weekly Summary'!H$53)+('Equipment List &amp; Usage'!$Q80*('Weekly Summary'!H$52+'Weekly Summary'!H$53))+('Equipment List &amp; Usage'!$R80*'Weekly Summary'!H$64)+('Equipment List &amp; Usage'!$S80*'Weekly Summary'!H$65)+('Equipment List &amp; Usage'!$T80*('Weekly Summary'!H$64+'Weekly Summary'!H$65)),
('Equipment List &amp; Usage'!$O80*'Weekly Summary'!H$52)+('Equipment List &amp; Usage'!$P80*'Weekly Summary'!H$53)+('Equipment List &amp; Usage'!$Q80*('Weekly Summary'!H$52+'Weekly Summary'!H$53))+('Equipment List &amp; Usage'!$R80*'Weekly Summary'!H$64)+('Equipment List &amp; Usage'!$S80*'Weekly Summary'!H$65)+('Equipment List &amp; Usage'!$T80*('Weekly Summary'!H$64+'Weekly Summary'!H$65))-SUM($I78:M78))),0)</f>
        <v>8.0632617407996285</v>
      </c>
      <c r="O78" s="1381">
        <f ca="1">MAX(IF($F78="No",('Equipment List &amp; Usage'!$O80*'Weekly Summary'!I$52)+('Equipment List &amp; Usage'!$P80*'Weekly Summary'!I$53)+('Equipment List &amp; Usage'!$Q80*('Weekly Summary'!I$52+'Weekly Summary'!I$53))+('Equipment List &amp; Usage'!$R80*'Weekly Summary'!I$64)+('Equipment List &amp; Usage'!$S80*'Weekly Summary'!I$65)+('Equipment List &amp; Usage'!$T80*('Weekly Summary'!I$64+'Weekly Summary'!I$65)),
IF(O$10=0,('Equipment List &amp; Usage'!$O80*'Weekly Summary'!I$52)+('Equipment List &amp; Usage'!$P80*'Weekly Summary'!I$53)+('Equipment List &amp; Usage'!$Q80*('Weekly Summary'!I$52+'Weekly Summary'!I$53))+('Equipment List &amp; Usage'!$R80*'Weekly Summary'!I$64)+('Equipment List &amp; Usage'!$S80*'Weekly Summary'!I$65)+('Equipment List &amp; Usage'!$T80*('Weekly Summary'!I$64+'Weekly Summary'!I$65)),
('Equipment List &amp; Usage'!$O80*'Weekly Summary'!I$52)+('Equipment List &amp; Usage'!$P80*'Weekly Summary'!I$53)+('Equipment List &amp; Usage'!$Q80*('Weekly Summary'!I$52+'Weekly Summary'!I$53))+('Equipment List &amp; Usage'!$R80*'Weekly Summary'!I$64)+('Equipment List &amp; Usage'!$S80*'Weekly Summary'!I$65)+('Equipment List &amp; Usage'!$T80*('Weekly Summary'!I$64+'Weekly Summary'!I$65))-SUM($I78:N78))),0)</f>
        <v>27.705111326463218</v>
      </c>
      <c r="P78" s="1381">
        <f ca="1">MAX(IF($F78="No",('Equipment List &amp; Usage'!$O80*'Weekly Summary'!J$52)+('Equipment List &amp; Usage'!$P80*'Weekly Summary'!J$53)+('Equipment List &amp; Usage'!$Q80*('Weekly Summary'!J$52+'Weekly Summary'!J$53))+('Equipment List &amp; Usage'!$R80*'Weekly Summary'!J$64)+('Equipment List &amp; Usage'!$S80*'Weekly Summary'!J$65)+('Equipment List &amp; Usage'!$T80*('Weekly Summary'!J$64+'Weekly Summary'!J$65)),
IF(P$10=0,('Equipment List &amp; Usage'!$O80*'Weekly Summary'!J$52)+('Equipment List &amp; Usage'!$P80*'Weekly Summary'!J$53)+('Equipment List &amp; Usage'!$Q80*('Weekly Summary'!J$52+'Weekly Summary'!J$53))+('Equipment List &amp; Usage'!$R80*'Weekly Summary'!J$64)+('Equipment List &amp; Usage'!$S80*'Weekly Summary'!J$65)+('Equipment List &amp; Usage'!$T80*('Weekly Summary'!J$64+'Weekly Summary'!J$65)),
('Equipment List &amp; Usage'!$O80*'Weekly Summary'!J$52)+('Equipment List &amp; Usage'!$P80*'Weekly Summary'!J$53)+('Equipment List &amp; Usage'!$Q80*('Weekly Summary'!J$52+'Weekly Summary'!J$53))+('Equipment List &amp; Usage'!$R80*'Weekly Summary'!J$64)+('Equipment List &amp; Usage'!$S80*'Weekly Summary'!J$65)+('Equipment List &amp; Usage'!$T80*('Weekly Summary'!J$64+'Weekly Summary'!J$65))-SUM($I78:O78))),0)</f>
        <v>95.156538844891386</v>
      </c>
      <c r="Q78" s="1381">
        <f ca="1">MAX(IF($F78="No",('Equipment List &amp; Usage'!$O80*'Weekly Summary'!K$52)+('Equipment List &amp; Usage'!$P80*'Weekly Summary'!K$53)+('Equipment List &amp; Usage'!$Q80*('Weekly Summary'!K$52+'Weekly Summary'!K$53))+('Equipment List &amp; Usage'!$R80*'Weekly Summary'!K$64)+('Equipment List &amp; Usage'!$S80*'Weekly Summary'!K$65)+('Equipment List &amp; Usage'!$T80*('Weekly Summary'!K$64+'Weekly Summary'!K$65)),
IF(Q$10=0,('Equipment List &amp; Usage'!$O80*'Weekly Summary'!K$52)+('Equipment List &amp; Usage'!$P80*'Weekly Summary'!K$53)+('Equipment List &amp; Usage'!$Q80*('Weekly Summary'!K$52+'Weekly Summary'!K$53))+('Equipment List &amp; Usage'!$R80*'Weekly Summary'!K$64)+('Equipment List &amp; Usage'!$S80*'Weekly Summary'!K$65)+('Equipment List &amp; Usage'!$T80*('Weekly Summary'!K$64+'Weekly Summary'!K$65)),
('Equipment List &amp; Usage'!$O80*'Weekly Summary'!K$52)+('Equipment List &amp; Usage'!$P80*'Weekly Summary'!K$53)+('Equipment List &amp; Usage'!$Q80*('Weekly Summary'!K$52+'Weekly Summary'!K$53))+('Equipment List &amp; Usage'!$R80*'Weekly Summary'!K$64)+('Equipment List &amp; Usage'!$S80*'Weekly Summary'!K$65)+('Equipment List &amp; Usage'!$T80*('Weekly Summary'!K$64+'Weekly Summary'!K$65))-SUM($I78:P78))),0)</f>
        <v>0</v>
      </c>
      <c r="R78" s="1381">
        <f ca="1">MAX(IF($F78="No",('Equipment List &amp; Usage'!$O80*'Weekly Summary'!L$52)+('Equipment List &amp; Usage'!$P80*'Weekly Summary'!L$53)+('Equipment List &amp; Usage'!$Q80*('Weekly Summary'!L$52+'Weekly Summary'!L$53))+('Equipment List &amp; Usage'!$R80*'Weekly Summary'!L$64)+('Equipment List &amp; Usage'!$S80*'Weekly Summary'!L$65)+('Equipment List &amp; Usage'!$T80*('Weekly Summary'!L$64+'Weekly Summary'!L$65)),
IF(R$10=0,('Equipment List &amp; Usage'!$O80*'Weekly Summary'!L$52)+('Equipment List &amp; Usage'!$P80*'Weekly Summary'!L$53)+('Equipment List &amp; Usage'!$Q80*('Weekly Summary'!L$52+'Weekly Summary'!L$53))+('Equipment List &amp; Usage'!$R80*'Weekly Summary'!L$64)+('Equipment List &amp; Usage'!$S80*'Weekly Summary'!L$65)+('Equipment List &amp; Usage'!$T80*('Weekly Summary'!L$64+'Weekly Summary'!L$65)),
('Equipment List &amp; Usage'!$O80*'Weekly Summary'!L$52)+('Equipment List &amp; Usage'!$P80*'Weekly Summary'!L$53)+('Equipment List &amp; Usage'!$Q80*('Weekly Summary'!L$52+'Weekly Summary'!L$53))+('Equipment List &amp; Usage'!$R80*'Weekly Summary'!L$64)+('Equipment List &amp; Usage'!$S80*'Weekly Summary'!L$65)+('Equipment List &amp; Usage'!$T80*('Weekly Summary'!L$64+'Weekly Summary'!L$65))-SUM($I78:Q78))),0)</f>
        <v>0</v>
      </c>
      <c r="S78" s="1381">
        <f ca="1">MAX(IF($F78="No",('Equipment List &amp; Usage'!$O80*'Weekly Summary'!M$52)+('Equipment List &amp; Usage'!$P80*'Weekly Summary'!M$53)+('Equipment List &amp; Usage'!$Q80*('Weekly Summary'!M$52+'Weekly Summary'!M$53))+('Equipment List &amp; Usage'!$R80*'Weekly Summary'!M$64)+('Equipment List &amp; Usage'!$S80*'Weekly Summary'!M$65)+('Equipment List &amp; Usage'!$T80*('Weekly Summary'!M$64+'Weekly Summary'!M$65)),
IF(S$10=0,('Equipment List &amp; Usage'!$O80*'Weekly Summary'!M$52)+('Equipment List &amp; Usage'!$P80*'Weekly Summary'!M$53)+('Equipment List &amp; Usage'!$Q80*('Weekly Summary'!M$52+'Weekly Summary'!M$53))+('Equipment List &amp; Usage'!$R80*'Weekly Summary'!M$64)+('Equipment List &amp; Usage'!$S80*'Weekly Summary'!M$65)+('Equipment List &amp; Usage'!$T80*('Weekly Summary'!M$64+'Weekly Summary'!M$65)),
('Equipment List &amp; Usage'!$O80*'Weekly Summary'!M$52)+('Equipment List &amp; Usage'!$P80*'Weekly Summary'!M$53)+('Equipment List &amp; Usage'!$Q80*('Weekly Summary'!M$52+'Weekly Summary'!M$53))+('Equipment List &amp; Usage'!$R80*'Weekly Summary'!M$64)+('Equipment List &amp; Usage'!$S80*'Weekly Summary'!M$65)+('Equipment List &amp; Usage'!$T80*('Weekly Summary'!M$64+'Weekly Summary'!M$65))-SUM($I78:R78))),0)</f>
        <v>0</v>
      </c>
      <c r="T78" s="1381">
        <f ca="1">MAX(IF($F78="No",('Equipment List &amp; Usage'!$O80*'Weekly Summary'!N$52)+('Equipment List &amp; Usage'!$P80*'Weekly Summary'!N$53)+('Equipment List &amp; Usage'!$Q80*('Weekly Summary'!N$52+'Weekly Summary'!N$53))+('Equipment List &amp; Usage'!$R80*'Weekly Summary'!N$64)+('Equipment List &amp; Usage'!$S80*'Weekly Summary'!N$65)+('Equipment List &amp; Usage'!$T80*('Weekly Summary'!N$64+'Weekly Summary'!N$65)),
IF(T$10=0,('Equipment List &amp; Usage'!$O80*'Weekly Summary'!N$52)+('Equipment List &amp; Usage'!$P80*'Weekly Summary'!N$53)+('Equipment List &amp; Usage'!$Q80*('Weekly Summary'!N$52+'Weekly Summary'!N$53))+('Equipment List &amp; Usage'!$R80*'Weekly Summary'!N$64)+('Equipment List &amp; Usage'!$S80*'Weekly Summary'!N$65)+('Equipment List &amp; Usage'!$T80*('Weekly Summary'!N$64+'Weekly Summary'!N$65)),
('Equipment List &amp; Usage'!$O80*'Weekly Summary'!N$52)+('Equipment List &amp; Usage'!$P80*'Weekly Summary'!N$53)+('Equipment List &amp; Usage'!$Q80*('Weekly Summary'!N$52+'Weekly Summary'!N$53))+('Equipment List &amp; Usage'!$R80*'Weekly Summary'!N$64)+('Equipment List &amp; Usage'!$S80*'Weekly Summary'!N$65)+('Equipment List &amp; Usage'!$T80*('Weekly Summary'!N$64+'Weekly Summary'!N$65))-SUM($I78:S78))),0)</f>
        <v>0</v>
      </c>
      <c r="U78" s="1381">
        <f ca="1">MAX(IF($F78="No",('Equipment List &amp; Usage'!$O80*'Weekly Summary'!O$52)+('Equipment List &amp; Usage'!$P80*'Weekly Summary'!O$53)+('Equipment List &amp; Usage'!$Q80*('Weekly Summary'!O$52+'Weekly Summary'!O$53))+('Equipment List &amp; Usage'!$R80*'Weekly Summary'!O$64)+('Equipment List &amp; Usage'!$S80*'Weekly Summary'!O$65)+('Equipment List &amp; Usage'!$T80*('Weekly Summary'!O$64+'Weekly Summary'!O$65)),
IF(U$10=0,('Equipment List &amp; Usage'!$O80*'Weekly Summary'!O$52)+('Equipment List &amp; Usage'!$P80*'Weekly Summary'!O$53)+('Equipment List &amp; Usage'!$Q80*('Weekly Summary'!O$52+'Weekly Summary'!O$53))+('Equipment List &amp; Usage'!$R80*'Weekly Summary'!O$64)+('Equipment List &amp; Usage'!$S80*'Weekly Summary'!O$65)+('Equipment List &amp; Usage'!$T80*('Weekly Summary'!O$64+'Weekly Summary'!O$65)),
('Equipment List &amp; Usage'!$O80*'Weekly Summary'!O$52)+('Equipment List &amp; Usage'!$P80*'Weekly Summary'!O$53)+('Equipment List &amp; Usage'!$Q80*('Weekly Summary'!O$52+'Weekly Summary'!O$53))+('Equipment List &amp; Usage'!$R80*'Weekly Summary'!O$64)+('Equipment List &amp; Usage'!$S80*'Weekly Summary'!O$65)+('Equipment List &amp; Usage'!$T80*('Weekly Summary'!O$64+'Weekly Summary'!O$65))-SUM($I78:T78))),0)</f>
        <v>0</v>
      </c>
      <c r="V78" s="1381">
        <f ca="1">MAX(IF($F78="No",('Equipment List &amp; Usage'!$O80*'Weekly Summary'!P$52)+('Equipment List &amp; Usage'!$P80*'Weekly Summary'!P$53)+('Equipment List &amp; Usage'!$Q80*('Weekly Summary'!P$52+'Weekly Summary'!P$53))+('Equipment List &amp; Usage'!$R80*'Weekly Summary'!P$64)+('Equipment List &amp; Usage'!$S80*'Weekly Summary'!P$65)+('Equipment List &amp; Usage'!$T80*('Weekly Summary'!P$64+'Weekly Summary'!P$65)),
IF(V$10=0,('Equipment List &amp; Usage'!$O80*'Weekly Summary'!P$52)+('Equipment List &amp; Usage'!$P80*'Weekly Summary'!P$53)+('Equipment List &amp; Usage'!$Q80*('Weekly Summary'!P$52+'Weekly Summary'!P$53))+('Equipment List &amp; Usage'!$R80*'Weekly Summary'!P$64)+('Equipment List &amp; Usage'!$S80*'Weekly Summary'!P$65)+('Equipment List &amp; Usage'!$T80*('Weekly Summary'!P$64+'Weekly Summary'!P$65)),
('Equipment List &amp; Usage'!$O80*'Weekly Summary'!P$52)+('Equipment List &amp; Usage'!$P80*'Weekly Summary'!P$53)+('Equipment List &amp; Usage'!$Q80*('Weekly Summary'!P$52+'Weekly Summary'!P$53))+('Equipment List &amp; Usage'!$R80*'Weekly Summary'!P$64)+('Equipment List &amp; Usage'!$S80*'Weekly Summary'!P$65)+('Equipment List &amp; Usage'!$T80*('Weekly Summary'!P$64+'Weekly Summary'!P$65))-SUM($I78:U78))),0)</f>
        <v>0</v>
      </c>
      <c r="W78" s="1381">
        <f ca="1">MAX(IF($F78="No",('Equipment List &amp; Usage'!$O80*'Weekly Summary'!Q$52)+('Equipment List &amp; Usage'!$P80*'Weekly Summary'!Q$53)+('Equipment List &amp; Usage'!$Q80*('Weekly Summary'!Q$52+'Weekly Summary'!Q$53))+('Equipment List &amp; Usage'!$R80*'Weekly Summary'!Q$64)+('Equipment List &amp; Usage'!$S80*'Weekly Summary'!Q$65)+('Equipment List &amp; Usage'!$T80*('Weekly Summary'!Q$64+'Weekly Summary'!Q$65)),
IF(W$10=0,('Equipment List &amp; Usage'!$O80*'Weekly Summary'!Q$52)+('Equipment List &amp; Usage'!$P80*'Weekly Summary'!Q$53)+('Equipment List &amp; Usage'!$Q80*('Weekly Summary'!Q$52+'Weekly Summary'!Q$53))+('Equipment List &amp; Usage'!$R80*'Weekly Summary'!Q$64)+('Equipment List &amp; Usage'!$S80*'Weekly Summary'!Q$65)+('Equipment List &amp; Usage'!$T80*('Weekly Summary'!Q$64+'Weekly Summary'!Q$65)),
('Equipment List &amp; Usage'!$O80*'Weekly Summary'!Q$52)+('Equipment List &amp; Usage'!$P80*'Weekly Summary'!Q$53)+('Equipment List &amp; Usage'!$Q80*('Weekly Summary'!Q$52+'Weekly Summary'!Q$53))+('Equipment List &amp; Usage'!$R80*'Weekly Summary'!Q$64)+('Equipment List &amp; Usage'!$S80*'Weekly Summary'!Q$65)+('Equipment List &amp; Usage'!$T80*('Weekly Summary'!Q$64+'Weekly Summary'!Q$65))-SUM($I78:V78))),0)</f>
        <v>0</v>
      </c>
      <c r="X78" s="1381">
        <f ca="1">MAX(IF($F78="No",('Equipment List &amp; Usage'!$O80*'Weekly Summary'!R$52)+('Equipment List &amp; Usage'!$P80*'Weekly Summary'!R$53)+('Equipment List &amp; Usage'!$Q80*('Weekly Summary'!R$52+'Weekly Summary'!R$53))+('Equipment List &amp; Usage'!$R80*'Weekly Summary'!R$64)+('Equipment List &amp; Usage'!$S80*'Weekly Summary'!R$65)+('Equipment List &amp; Usage'!$T80*('Weekly Summary'!R$64+'Weekly Summary'!R$65)),
IF(X$10=0,('Equipment List &amp; Usage'!$O80*'Weekly Summary'!R$52)+('Equipment List &amp; Usage'!$P80*'Weekly Summary'!R$53)+('Equipment List &amp; Usage'!$Q80*('Weekly Summary'!R$52+'Weekly Summary'!R$53))+('Equipment List &amp; Usage'!$R80*'Weekly Summary'!R$64)+('Equipment List &amp; Usage'!$S80*'Weekly Summary'!R$65)+('Equipment List &amp; Usage'!$T80*('Weekly Summary'!R$64+'Weekly Summary'!R$65)),
('Equipment List &amp; Usage'!$O80*'Weekly Summary'!R$52)+('Equipment List &amp; Usage'!$P80*'Weekly Summary'!R$53)+('Equipment List &amp; Usage'!$Q80*('Weekly Summary'!R$52+'Weekly Summary'!R$53))+('Equipment List &amp; Usage'!$R80*'Weekly Summary'!R$64)+('Equipment List &amp; Usage'!$S80*'Weekly Summary'!R$65)+('Equipment List &amp; Usage'!$T80*('Weekly Summary'!R$64+'Weekly Summary'!R$65))-SUM($I78:W78))),0)</f>
        <v>0</v>
      </c>
      <c r="Y78" s="1381">
        <f ca="1">MAX(IF($F78="No",('Equipment List &amp; Usage'!$O80*'Weekly Summary'!S$52)+('Equipment List &amp; Usage'!$P80*'Weekly Summary'!S$53)+('Equipment List &amp; Usage'!$Q80*('Weekly Summary'!S$52+'Weekly Summary'!S$53))+('Equipment List &amp; Usage'!$R80*'Weekly Summary'!S$64)+('Equipment List &amp; Usage'!$S80*'Weekly Summary'!S$65)+('Equipment List &amp; Usage'!$T80*('Weekly Summary'!S$64+'Weekly Summary'!S$65)),
IF(Y$10=0,('Equipment List &amp; Usage'!$O80*'Weekly Summary'!S$52)+('Equipment List &amp; Usage'!$P80*'Weekly Summary'!S$53)+('Equipment List &amp; Usage'!$Q80*('Weekly Summary'!S$52+'Weekly Summary'!S$53))+('Equipment List &amp; Usage'!$R80*'Weekly Summary'!S$64)+('Equipment List &amp; Usage'!$S80*'Weekly Summary'!S$65)+('Equipment List &amp; Usage'!$T80*('Weekly Summary'!S$64+'Weekly Summary'!S$65)),
('Equipment List &amp; Usage'!$O80*'Weekly Summary'!S$52)+('Equipment List &amp; Usage'!$P80*'Weekly Summary'!S$53)+('Equipment List &amp; Usage'!$Q80*('Weekly Summary'!S$52+'Weekly Summary'!S$53))+('Equipment List &amp; Usage'!$R80*'Weekly Summary'!S$64)+('Equipment List &amp; Usage'!$S80*'Weekly Summary'!S$65)+('Equipment List &amp; Usage'!$T80*('Weekly Summary'!S$64+'Weekly Summary'!S$65))-SUM($I78:X78))),0)</f>
        <v>0</v>
      </c>
      <c r="Z78" s="1381">
        <f ca="1">MAX(IF($F78="No",('Equipment List &amp; Usage'!$O80*'Weekly Summary'!T$52)+('Equipment List &amp; Usage'!$P80*'Weekly Summary'!T$53)+('Equipment List &amp; Usage'!$Q80*('Weekly Summary'!T$52+'Weekly Summary'!T$53))+('Equipment List &amp; Usage'!$R80*'Weekly Summary'!T$64)+('Equipment List &amp; Usage'!$S80*'Weekly Summary'!T$65)+('Equipment List &amp; Usage'!$T80*('Weekly Summary'!T$64+'Weekly Summary'!T$65)),
IF(Z$10=0,('Equipment List &amp; Usage'!$O80*'Weekly Summary'!T$52)+('Equipment List &amp; Usage'!$P80*'Weekly Summary'!T$53)+('Equipment List &amp; Usage'!$Q80*('Weekly Summary'!T$52+'Weekly Summary'!T$53))+('Equipment List &amp; Usage'!$R80*'Weekly Summary'!T$64)+('Equipment List &amp; Usage'!$S80*'Weekly Summary'!T$65)+('Equipment List &amp; Usage'!$T80*('Weekly Summary'!T$64+'Weekly Summary'!T$65)),
('Equipment List &amp; Usage'!$O80*'Weekly Summary'!T$52)+('Equipment List &amp; Usage'!$P80*'Weekly Summary'!T$53)+('Equipment List &amp; Usage'!$Q80*('Weekly Summary'!T$52+'Weekly Summary'!T$53))+('Equipment List &amp; Usage'!$R80*'Weekly Summary'!T$64)+('Equipment List &amp; Usage'!$S80*'Weekly Summary'!T$65)+('Equipment List &amp; Usage'!$T80*('Weekly Summary'!T$64+'Weekly Summary'!T$65))-SUM($I78:Y78))),0)</f>
        <v>0</v>
      </c>
      <c r="AA78" s="1381">
        <f ca="1">MAX(IF($F78="No",('Equipment List &amp; Usage'!$O80*'Weekly Summary'!U$52)+('Equipment List &amp; Usage'!$P80*'Weekly Summary'!U$53)+('Equipment List &amp; Usage'!$Q80*('Weekly Summary'!U$52+'Weekly Summary'!U$53))+('Equipment List &amp; Usage'!$R80*'Weekly Summary'!U$64)+('Equipment List &amp; Usage'!$S80*'Weekly Summary'!U$65)+('Equipment List &amp; Usage'!$T80*('Weekly Summary'!U$64+'Weekly Summary'!U$65)),
IF(AA$10=0,('Equipment List &amp; Usage'!$O80*'Weekly Summary'!U$52)+('Equipment List &amp; Usage'!$P80*'Weekly Summary'!U$53)+('Equipment List &amp; Usage'!$Q80*('Weekly Summary'!U$52+'Weekly Summary'!U$53))+('Equipment List &amp; Usage'!$R80*'Weekly Summary'!U$64)+('Equipment List &amp; Usage'!$S80*'Weekly Summary'!U$65)+('Equipment List &amp; Usage'!$T80*('Weekly Summary'!U$64+'Weekly Summary'!U$65)),
('Equipment List &amp; Usage'!$O80*'Weekly Summary'!U$52)+('Equipment List &amp; Usage'!$P80*'Weekly Summary'!U$53)+('Equipment List &amp; Usage'!$Q80*('Weekly Summary'!U$52+'Weekly Summary'!U$53))+('Equipment List &amp; Usage'!$R80*'Weekly Summary'!U$64)+('Equipment List &amp; Usage'!$S80*'Weekly Summary'!U$65)+('Equipment List &amp; Usage'!$T80*('Weekly Summary'!U$64+'Weekly Summary'!U$65))-SUM($I78:Z78))),0)</f>
        <v>0</v>
      </c>
      <c r="AB78" s="1381">
        <f ca="1">MAX(IF($F78="No",('Equipment List &amp; Usage'!$O80*'Weekly Summary'!V$52)+('Equipment List &amp; Usage'!$P80*'Weekly Summary'!V$53)+('Equipment List &amp; Usage'!$Q80*('Weekly Summary'!V$52+'Weekly Summary'!V$53))+('Equipment List &amp; Usage'!$R80*'Weekly Summary'!V$64)+('Equipment List &amp; Usage'!$S80*'Weekly Summary'!V$65)+('Equipment List &amp; Usage'!$T80*('Weekly Summary'!V$64+'Weekly Summary'!V$65)),
IF(AB$10=0,('Equipment List &amp; Usage'!$O80*'Weekly Summary'!V$52)+('Equipment List &amp; Usage'!$P80*'Weekly Summary'!V$53)+('Equipment List &amp; Usage'!$Q80*('Weekly Summary'!V$52+'Weekly Summary'!V$53))+('Equipment List &amp; Usage'!$R80*'Weekly Summary'!V$64)+('Equipment List &amp; Usage'!$S80*'Weekly Summary'!V$65)+('Equipment List &amp; Usage'!$T80*('Weekly Summary'!V$64+'Weekly Summary'!V$65)),
('Equipment List &amp; Usage'!$O80*'Weekly Summary'!V$52)+('Equipment List &amp; Usage'!$P80*'Weekly Summary'!V$53)+('Equipment List &amp; Usage'!$Q80*('Weekly Summary'!V$52+'Weekly Summary'!V$53))+('Equipment List &amp; Usage'!$R80*'Weekly Summary'!V$64)+('Equipment List &amp; Usage'!$S80*'Weekly Summary'!V$65)+('Equipment List &amp; Usage'!$T80*('Weekly Summary'!V$64+'Weekly Summary'!V$65))-SUM($I78:AA78))),0)</f>
        <v>0</v>
      </c>
      <c r="AC78" s="1381">
        <f ca="1">MAX(IF($F78="No",('Equipment List &amp; Usage'!$O80*'Weekly Summary'!W$52)+('Equipment List &amp; Usage'!$P80*'Weekly Summary'!W$53)+('Equipment List &amp; Usage'!$Q80*('Weekly Summary'!W$52+'Weekly Summary'!W$53))+('Equipment List &amp; Usage'!$R80*'Weekly Summary'!W$64)+('Equipment List &amp; Usage'!$S80*'Weekly Summary'!W$65)+('Equipment List &amp; Usage'!$T80*('Weekly Summary'!W$64+'Weekly Summary'!W$65)),
IF(AC$10=0,('Equipment List &amp; Usage'!$O80*'Weekly Summary'!W$52)+('Equipment List &amp; Usage'!$P80*'Weekly Summary'!W$53)+('Equipment List &amp; Usage'!$Q80*('Weekly Summary'!W$52+'Weekly Summary'!W$53))+('Equipment List &amp; Usage'!$R80*'Weekly Summary'!W$64)+('Equipment List &amp; Usage'!$S80*'Weekly Summary'!W$65)+('Equipment List &amp; Usage'!$T80*('Weekly Summary'!W$64+'Weekly Summary'!W$65)),
('Equipment List &amp; Usage'!$O80*'Weekly Summary'!W$52)+('Equipment List &amp; Usage'!$P80*'Weekly Summary'!W$53)+('Equipment List &amp; Usage'!$Q80*('Weekly Summary'!W$52+'Weekly Summary'!W$53))+('Equipment List &amp; Usage'!$R80*'Weekly Summary'!W$64)+('Equipment List &amp; Usage'!$S80*'Weekly Summary'!W$65)+('Equipment List &amp; Usage'!$T80*('Weekly Summary'!W$64+'Weekly Summary'!W$65))-SUM($I78:AB78))),0)</f>
        <v>0</v>
      </c>
      <c r="AD78" s="1381">
        <f ca="1">MAX(IF($F78="No",('Equipment List &amp; Usage'!$O80*'Weekly Summary'!X$52)+('Equipment List &amp; Usage'!$P80*'Weekly Summary'!X$53)+('Equipment List &amp; Usage'!$Q80*('Weekly Summary'!X$52+'Weekly Summary'!X$53))+('Equipment List &amp; Usage'!$R80*'Weekly Summary'!X$64)+('Equipment List &amp; Usage'!$S80*'Weekly Summary'!X$65)+('Equipment List &amp; Usage'!$T80*('Weekly Summary'!X$64+'Weekly Summary'!X$65)),
IF(AD$10=0,('Equipment List &amp; Usage'!$O80*'Weekly Summary'!X$52)+('Equipment List &amp; Usage'!$P80*'Weekly Summary'!X$53)+('Equipment List &amp; Usage'!$Q80*('Weekly Summary'!X$52+'Weekly Summary'!X$53))+('Equipment List &amp; Usage'!$R80*'Weekly Summary'!X$64)+('Equipment List &amp; Usage'!$S80*'Weekly Summary'!X$65)+('Equipment List &amp; Usage'!$T80*('Weekly Summary'!X$64+'Weekly Summary'!X$65)),
('Equipment List &amp; Usage'!$O80*'Weekly Summary'!X$52)+('Equipment List &amp; Usage'!$P80*'Weekly Summary'!X$53)+('Equipment List &amp; Usage'!$Q80*('Weekly Summary'!X$52+'Weekly Summary'!X$53))+('Equipment List &amp; Usage'!$R80*'Weekly Summary'!X$64)+('Equipment List &amp; Usage'!$S80*'Weekly Summary'!X$65)+('Equipment List &amp; Usage'!$T80*('Weekly Summary'!X$64+'Weekly Summary'!X$65))-SUM($I78:AC78))),0)</f>
        <v>0</v>
      </c>
      <c r="AE78" s="1381">
        <f ca="1">MAX(IF($F78="No",('Equipment List &amp; Usage'!$O80*'Weekly Summary'!Y$52)+('Equipment List &amp; Usage'!$P80*'Weekly Summary'!Y$53)+('Equipment List &amp; Usage'!$Q80*('Weekly Summary'!Y$52+'Weekly Summary'!Y$53))+('Equipment List &amp; Usage'!$R80*'Weekly Summary'!Y$64)+('Equipment List &amp; Usage'!$S80*'Weekly Summary'!Y$65)+('Equipment List &amp; Usage'!$T80*('Weekly Summary'!Y$64+'Weekly Summary'!Y$65)),
IF(AE$10=0,('Equipment List &amp; Usage'!$O80*'Weekly Summary'!Y$52)+('Equipment List &amp; Usage'!$P80*'Weekly Summary'!Y$53)+('Equipment List &amp; Usage'!$Q80*('Weekly Summary'!Y$52+'Weekly Summary'!Y$53))+('Equipment List &amp; Usage'!$R80*'Weekly Summary'!Y$64)+('Equipment List &amp; Usage'!$S80*'Weekly Summary'!Y$65)+('Equipment List &amp; Usage'!$T80*('Weekly Summary'!Y$64+'Weekly Summary'!Y$65)),
('Equipment List &amp; Usage'!$O80*'Weekly Summary'!Y$52)+('Equipment List &amp; Usage'!$P80*'Weekly Summary'!Y$53)+('Equipment List &amp; Usage'!$Q80*('Weekly Summary'!Y$52+'Weekly Summary'!Y$53))+('Equipment List &amp; Usage'!$R80*'Weekly Summary'!Y$64)+('Equipment List &amp; Usage'!$S80*'Weekly Summary'!Y$65)+('Equipment List &amp; Usage'!$T80*('Weekly Summary'!Y$64+'Weekly Summary'!Y$65))-SUM($I78:AD78))),0)</f>
        <v>0</v>
      </c>
      <c r="AF78" s="1381">
        <f ca="1">MAX(IF($F78="No",('Equipment List &amp; Usage'!$O80*'Weekly Summary'!Z$52)+('Equipment List &amp; Usage'!$P80*'Weekly Summary'!Z$53)+('Equipment List &amp; Usage'!$Q80*('Weekly Summary'!Z$52+'Weekly Summary'!Z$53))+('Equipment List &amp; Usage'!$R80*'Weekly Summary'!Z$64)+('Equipment List &amp; Usage'!$S80*'Weekly Summary'!Z$65)+('Equipment List &amp; Usage'!$T80*('Weekly Summary'!Z$64+'Weekly Summary'!Z$65)),
IF(AF$10=0,('Equipment List &amp; Usage'!$O80*'Weekly Summary'!Z$52)+('Equipment List &amp; Usage'!$P80*'Weekly Summary'!Z$53)+('Equipment List &amp; Usage'!$Q80*('Weekly Summary'!Z$52+'Weekly Summary'!Z$53))+('Equipment List &amp; Usage'!$R80*'Weekly Summary'!Z$64)+('Equipment List &amp; Usage'!$S80*'Weekly Summary'!Z$65)+('Equipment List &amp; Usage'!$T80*('Weekly Summary'!Z$64+'Weekly Summary'!Z$65)),
('Equipment List &amp; Usage'!$O80*'Weekly Summary'!Z$52)+('Equipment List &amp; Usage'!$P80*'Weekly Summary'!Z$53)+('Equipment List &amp; Usage'!$Q80*('Weekly Summary'!Z$52+'Weekly Summary'!Z$53))+('Equipment List &amp; Usage'!$R80*'Weekly Summary'!Z$64)+('Equipment List &amp; Usage'!$S80*'Weekly Summary'!Z$65)+('Equipment List &amp; Usage'!$T80*('Weekly Summary'!Z$64+'Weekly Summary'!Z$65))-SUM($I78:AE78))),0)</f>
        <v>0</v>
      </c>
      <c r="AG78" s="1381">
        <f ca="1">MAX(IF($F78="No",('Equipment List &amp; Usage'!$O80*'Weekly Summary'!AA$52)+('Equipment List &amp; Usage'!$P80*'Weekly Summary'!AA$53)+('Equipment List &amp; Usage'!$Q80*('Weekly Summary'!AA$52+'Weekly Summary'!AA$53))+('Equipment List &amp; Usage'!$R80*'Weekly Summary'!AA$64)+('Equipment List &amp; Usage'!$S80*'Weekly Summary'!AA$65)+('Equipment List &amp; Usage'!$T80*('Weekly Summary'!AA$64+'Weekly Summary'!AA$65)),
IF(AG$10=0,('Equipment List &amp; Usage'!$O80*'Weekly Summary'!AA$52)+('Equipment List &amp; Usage'!$P80*'Weekly Summary'!AA$53)+('Equipment List &amp; Usage'!$Q80*('Weekly Summary'!AA$52+'Weekly Summary'!AA$53))+('Equipment List &amp; Usage'!$R80*'Weekly Summary'!AA$64)+('Equipment List &amp; Usage'!$S80*'Weekly Summary'!AA$65)+('Equipment List &amp; Usage'!$T80*('Weekly Summary'!AA$64+'Weekly Summary'!AA$65)),
('Equipment List &amp; Usage'!$O80*'Weekly Summary'!AA$52)+('Equipment List &amp; Usage'!$P80*'Weekly Summary'!AA$53)+('Equipment List &amp; Usage'!$Q80*('Weekly Summary'!AA$52+'Weekly Summary'!AA$53))+('Equipment List &amp; Usage'!$R80*'Weekly Summary'!AA$64)+('Equipment List &amp; Usage'!$S80*'Weekly Summary'!AA$65)+('Equipment List &amp; Usage'!$T80*('Weekly Summary'!AA$64+'Weekly Summary'!AA$65))-SUM($I78:AF78))),0)</f>
        <v>0</v>
      </c>
      <c r="AH78" s="1381">
        <f ca="1">MAX(IF($F78="No",('Equipment List &amp; Usage'!$O80*'Weekly Summary'!AB$52)+('Equipment List &amp; Usage'!$P80*'Weekly Summary'!AB$53)+('Equipment List &amp; Usage'!$Q80*('Weekly Summary'!AB$52+'Weekly Summary'!AB$53))+('Equipment List &amp; Usage'!$R80*'Weekly Summary'!AB$64)+('Equipment List &amp; Usage'!$S80*'Weekly Summary'!AB$65)+('Equipment List &amp; Usage'!$T80*('Weekly Summary'!AB$64+'Weekly Summary'!AB$65)),
IF(AH$10=0,('Equipment List &amp; Usage'!$O80*'Weekly Summary'!AB$52)+('Equipment List &amp; Usage'!$P80*'Weekly Summary'!AB$53)+('Equipment List &amp; Usage'!$Q80*('Weekly Summary'!AB$52+'Weekly Summary'!AB$53))+('Equipment List &amp; Usage'!$R80*'Weekly Summary'!AB$64)+('Equipment List &amp; Usage'!$S80*'Weekly Summary'!AB$65)+('Equipment List &amp; Usage'!$T80*('Weekly Summary'!AB$64+'Weekly Summary'!AB$65)),
('Equipment List &amp; Usage'!$O80*'Weekly Summary'!AB$52)+('Equipment List &amp; Usage'!$P80*'Weekly Summary'!AB$53)+('Equipment List &amp; Usage'!$Q80*('Weekly Summary'!AB$52+'Weekly Summary'!AB$53))+('Equipment List &amp; Usage'!$R80*'Weekly Summary'!AB$64)+('Equipment List &amp; Usage'!$S80*'Weekly Summary'!AB$65)+('Equipment List &amp; Usage'!$T80*('Weekly Summary'!AB$64+'Weekly Summary'!AB$65))-SUM($I78:AG78))),0)</f>
        <v>0</v>
      </c>
      <c r="AI78" s="1381">
        <f ca="1">MAX(IF($F78="No",('Equipment List &amp; Usage'!$O80*'Weekly Summary'!AC$52)+('Equipment List &amp; Usage'!$P80*'Weekly Summary'!AC$53)+('Equipment List &amp; Usage'!$Q80*('Weekly Summary'!AC$52+'Weekly Summary'!AC$53))+('Equipment List &amp; Usage'!$R80*'Weekly Summary'!AC$64)+('Equipment List &amp; Usage'!$S80*'Weekly Summary'!AC$65)+('Equipment List &amp; Usage'!$T80*('Weekly Summary'!AC$64+'Weekly Summary'!AC$65)),
IF(AI$10=0,('Equipment List &amp; Usage'!$O80*'Weekly Summary'!AC$52)+('Equipment List &amp; Usage'!$P80*'Weekly Summary'!AC$53)+('Equipment List &amp; Usage'!$Q80*('Weekly Summary'!AC$52+'Weekly Summary'!AC$53))+('Equipment List &amp; Usage'!$R80*'Weekly Summary'!AC$64)+('Equipment List &amp; Usage'!$S80*'Weekly Summary'!AC$65)+('Equipment List &amp; Usage'!$T80*('Weekly Summary'!AC$64+'Weekly Summary'!AC$65)),
('Equipment List &amp; Usage'!$O80*'Weekly Summary'!AC$52)+('Equipment List &amp; Usage'!$P80*'Weekly Summary'!AC$53)+('Equipment List &amp; Usage'!$Q80*('Weekly Summary'!AC$52+'Weekly Summary'!AC$53))+('Equipment List &amp; Usage'!$R80*'Weekly Summary'!AC$64)+('Equipment List &amp; Usage'!$S80*'Weekly Summary'!AC$65)+('Equipment List &amp; Usage'!$T80*('Weekly Summary'!AC$64+'Weekly Summary'!AC$65))-SUM($I78:AH78))),0)</f>
        <v>0</v>
      </c>
      <c r="AJ78" s="1381">
        <f ca="1">MAX(IF($F78="No",('Equipment List &amp; Usage'!$O80*'Weekly Summary'!AD$52)+('Equipment List &amp; Usage'!$P80*'Weekly Summary'!AD$53)+('Equipment List &amp; Usage'!$Q80*('Weekly Summary'!AD$52+'Weekly Summary'!AD$53))+('Equipment List &amp; Usage'!$R80*'Weekly Summary'!AD$64)+('Equipment List &amp; Usage'!$S80*'Weekly Summary'!AD$65)+('Equipment List &amp; Usage'!$T80*('Weekly Summary'!AD$64+'Weekly Summary'!AD$65)),
IF(AJ$10=0,('Equipment List &amp; Usage'!$O80*'Weekly Summary'!AD$52)+('Equipment List &amp; Usage'!$P80*'Weekly Summary'!AD$53)+('Equipment List &amp; Usage'!$Q80*('Weekly Summary'!AD$52+'Weekly Summary'!AD$53))+('Equipment List &amp; Usage'!$R80*'Weekly Summary'!AD$64)+('Equipment List &amp; Usage'!$S80*'Weekly Summary'!AD$65)+('Equipment List &amp; Usage'!$T80*('Weekly Summary'!AD$64+'Weekly Summary'!AD$65)),
('Equipment List &amp; Usage'!$O80*'Weekly Summary'!AD$52)+('Equipment List &amp; Usage'!$P80*'Weekly Summary'!AD$53)+('Equipment List &amp; Usage'!$Q80*('Weekly Summary'!AD$52+'Weekly Summary'!AD$53))+('Equipment List &amp; Usage'!$R80*'Weekly Summary'!AD$64)+('Equipment List &amp; Usage'!$S80*'Weekly Summary'!AD$65)+('Equipment List &amp; Usage'!$T80*('Weekly Summary'!AD$64+'Weekly Summary'!AD$65))-SUM($I78:AI78))),0)</f>
        <v>0</v>
      </c>
      <c r="AK78" s="1381">
        <f ca="1">MAX(IF($F78="No",('Equipment List &amp; Usage'!$O80*'Weekly Summary'!AE$52)+('Equipment List &amp; Usage'!$P80*'Weekly Summary'!AE$53)+('Equipment List &amp; Usage'!$Q80*('Weekly Summary'!AE$52+'Weekly Summary'!AE$53))+('Equipment List &amp; Usage'!$R80*'Weekly Summary'!AE$64)+('Equipment List &amp; Usage'!$S80*'Weekly Summary'!AE$65)+('Equipment List &amp; Usage'!$T80*('Weekly Summary'!AE$64+'Weekly Summary'!AE$65)),
IF(AK$10=0,('Equipment List &amp; Usage'!$O80*'Weekly Summary'!AE$52)+('Equipment List &amp; Usage'!$P80*'Weekly Summary'!AE$53)+('Equipment List &amp; Usage'!$Q80*('Weekly Summary'!AE$52+'Weekly Summary'!AE$53))+('Equipment List &amp; Usage'!$R80*'Weekly Summary'!AE$64)+('Equipment List &amp; Usage'!$S80*'Weekly Summary'!AE$65)+('Equipment List &amp; Usage'!$T80*('Weekly Summary'!AE$64+'Weekly Summary'!AE$65)),
('Equipment List &amp; Usage'!$O80*'Weekly Summary'!AE$52)+('Equipment List &amp; Usage'!$P80*'Weekly Summary'!AE$53)+('Equipment List &amp; Usage'!$Q80*('Weekly Summary'!AE$52+'Weekly Summary'!AE$53))+('Equipment List &amp; Usage'!$R80*'Weekly Summary'!AE$64)+('Equipment List &amp; Usage'!$S80*'Weekly Summary'!AE$65)+('Equipment List &amp; Usage'!$T80*('Weekly Summary'!AE$64+'Weekly Summary'!AE$65))-SUM($I78:AJ78))),0)</f>
        <v>0</v>
      </c>
      <c r="AL78" s="1381">
        <f ca="1">MAX(IF($F78="No",('Equipment List &amp; Usage'!$O80*'Weekly Summary'!AF$52)+('Equipment List &amp; Usage'!$P80*'Weekly Summary'!AF$53)+('Equipment List &amp; Usage'!$Q80*('Weekly Summary'!AF$52+'Weekly Summary'!AF$53))+('Equipment List &amp; Usage'!$R80*'Weekly Summary'!AF$64)+('Equipment List &amp; Usage'!$S80*'Weekly Summary'!AF$65)+('Equipment List &amp; Usage'!$T80*('Weekly Summary'!AF$64+'Weekly Summary'!AF$65)),
IF(AL$10=0,('Equipment List &amp; Usage'!$O80*'Weekly Summary'!AF$52)+('Equipment List &amp; Usage'!$P80*'Weekly Summary'!AF$53)+('Equipment List &amp; Usage'!$Q80*('Weekly Summary'!AF$52+'Weekly Summary'!AF$53))+('Equipment List &amp; Usage'!$R80*'Weekly Summary'!AF$64)+('Equipment List &amp; Usage'!$S80*'Weekly Summary'!AF$65)+('Equipment List &amp; Usage'!$T80*('Weekly Summary'!AF$64+'Weekly Summary'!AF$65)),
('Equipment List &amp; Usage'!$O80*'Weekly Summary'!AF$52)+('Equipment List &amp; Usage'!$P80*'Weekly Summary'!AF$53)+('Equipment List &amp; Usage'!$Q80*('Weekly Summary'!AF$52+'Weekly Summary'!AF$53))+('Equipment List &amp; Usage'!$R80*'Weekly Summary'!AF$64)+('Equipment List &amp; Usage'!$S80*'Weekly Summary'!AF$65)+('Equipment List &amp; Usage'!$T80*('Weekly Summary'!AF$64+'Weekly Summary'!AF$65))-SUM($I78:AK78))),0)</f>
        <v>0</v>
      </c>
      <c r="AM78" s="1381">
        <f ca="1">MAX(IF($F78="No",('Equipment List &amp; Usage'!$O80*'Weekly Summary'!AG$52)+('Equipment List &amp; Usage'!$P80*'Weekly Summary'!AG$53)+('Equipment List &amp; Usage'!$Q80*('Weekly Summary'!AG$52+'Weekly Summary'!AG$53))+('Equipment List &amp; Usage'!$R80*'Weekly Summary'!AG$64)+('Equipment List &amp; Usage'!$S80*'Weekly Summary'!AG$65)+('Equipment List &amp; Usage'!$T80*('Weekly Summary'!AG$64+'Weekly Summary'!AG$65)),
IF(AM$10=0,('Equipment List &amp; Usage'!$O80*'Weekly Summary'!AG$52)+('Equipment List &amp; Usage'!$P80*'Weekly Summary'!AG$53)+('Equipment List &amp; Usage'!$Q80*('Weekly Summary'!AG$52+'Weekly Summary'!AG$53))+('Equipment List &amp; Usage'!$R80*'Weekly Summary'!AG$64)+('Equipment List &amp; Usage'!$S80*'Weekly Summary'!AG$65)+('Equipment List &amp; Usage'!$T80*('Weekly Summary'!AG$64+'Weekly Summary'!AG$65)),
('Equipment List &amp; Usage'!$O80*'Weekly Summary'!AG$52)+('Equipment List &amp; Usage'!$P80*'Weekly Summary'!AG$53)+('Equipment List &amp; Usage'!$Q80*('Weekly Summary'!AG$52+'Weekly Summary'!AG$53))+('Equipment List &amp; Usage'!$R80*'Weekly Summary'!AG$64)+('Equipment List &amp; Usage'!$S80*'Weekly Summary'!AG$65)+('Equipment List &amp; Usage'!$T80*('Weekly Summary'!AG$64+'Weekly Summary'!AG$65))-SUM($I78:AL78))),0)</f>
        <v>0</v>
      </c>
      <c r="AN78" s="1381">
        <f ca="1">MAX(IF($F78="No",('Equipment List &amp; Usage'!$O80*'Weekly Summary'!AH$52)+('Equipment List &amp; Usage'!$P80*'Weekly Summary'!AH$53)+('Equipment List &amp; Usage'!$Q80*('Weekly Summary'!AH$52+'Weekly Summary'!AH$53))+('Equipment List &amp; Usage'!$R80*'Weekly Summary'!AH$64)+('Equipment List &amp; Usage'!$S80*'Weekly Summary'!AH$65)+('Equipment List &amp; Usage'!$T80*('Weekly Summary'!AH$64+'Weekly Summary'!AH$65)),
IF(AN$10=0,('Equipment List &amp; Usage'!$O80*'Weekly Summary'!AH$52)+('Equipment List &amp; Usage'!$P80*'Weekly Summary'!AH$53)+('Equipment List &amp; Usage'!$Q80*('Weekly Summary'!AH$52+'Weekly Summary'!AH$53))+('Equipment List &amp; Usage'!$R80*'Weekly Summary'!AH$64)+('Equipment List &amp; Usage'!$S80*'Weekly Summary'!AH$65)+('Equipment List &amp; Usage'!$T80*('Weekly Summary'!AH$64+'Weekly Summary'!AH$65)),
('Equipment List &amp; Usage'!$O80*'Weekly Summary'!AH$52)+('Equipment List &amp; Usage'!$P80*'Weekly Summary'!AH$53)+('Equipment List &amp; Usage'!$Q80*('Weekly Summary'!AH$52+'Weekly Summary'!AH$53))+('Equipment List &amp; Usage'!$R80*'Weekly Summary'!AH$64)+('Equipment List &amp; Usage'!$S80*'Weekly Summary'!AH$65)+('Equipment List &amp; Usage'!$T80*('Weekly Summary'!AH$64+'Weekly Summary'!AH$65))-SUM($I78:AM78))),0)</f>
        <v>0</v>
      </c>
      <c r="AO78" s="1381">
        <f ca="1">MAX(IF($F78="No",('Equipment List &amp; Usage'!$O80*'Weekly Summary'!AI$52)+('Equipment List &amp; Usage'!$P80*'Weekly Summary'!AI$53)+('Equipment List &amp; Usage'!$Q80*('Weekly Summary'!AI$52+'Weekly Summary'!AI$53))+('Equipment List &amp; Usage'!$R80*'Weekly Summary'!AI$64)+('Equipment List &amp; Usage'!$S80*'Weekly Summary'!AI$65)+('Equipment List &amp; Usage'!$T80*('Weekly Summary'!AI$64+'Weekly Summary'!AI$65)),
IF(AO$10=0,('Equipment List &amp; Usage'!$O80*'Weekly Summary'!AI$52)+('Equipment List &amp; Usage'!$P80*'Weekly Summary'!AI$53)+('Equipment List &amp; Usage'!$Q80*('Weekly Summary'!AI$52+'Weekly Summary'!AI$53))+('Equipment List &amp; Usage'!$R80*'Weekly Summary'!AI$64)+('Equipment List &amp; Usage'!$S80*'Weekly Summary'!AI$65)+('Equipment List &amp; Usage'!$T80*('Weekly Summary'!AI$64+'Weekly Summary'!AI$65)),
('Equipment List &amp; Usage'!$O80*'Weekly Summary'!AI$52)+('Equipment List &amp; Usage'!$P80*'Weekly Summary'!AI$53)+('Equipment List &amp; Usage'!$Q80*('Weekly Summary'!AI$52+'Weekly Summary'!AI$53))+('Equipment List &amp; Usage'!$R80*'Weekly Summary'!AI$64)+('Equipment List &amp; Usage'!$S80*'Weekly Summary'!AI$65)+('Equipment List &amp; Usage'!$T80*('Weekly Summary'!AI$64+'Weekly Summary'!AI$65))-SUM($I78:AN78))),0)</f>
        <v>0</v>
      </c>
      <c r="AP78" s="1381">
        <f ca="1">MAX(IF($F78="No",('Equipment List &amp; Usage'!$O80*'Weekly Summary'!AJ$52)+('Equipment List &amp; Usage'!$P80*'Weekly Summary'!AJ$53)+('Equipment List &amp; Usage'!$Q80*('Weekly Summary'!AJ$52+'Weekly Summary'!AJ$53))+('Equipment List &amp; Usage'!$R80*'Weekly Summary'!AJ$64)+('Equipment List &amp; Usage'!$S80*'Weekly Summary'!AJ$65)+('Equipment List &amp; Usage'!$T80*('Weekly Summary'!AJ$64+'Weekly Summary'!AJ$65)),
IF(AP$10=0,('Equipment List &amp; Usage'!$O80*'Weekly Summary'!AJ$52)+('Equipment List &amp; Usage'!$P80*'Weekly Summary'!AJ$53)+('Equipment List &amp; Usage'!$Q80*('Weekly Summary'!AJ$52+'Weekly Summary'!AJ$53))+('Equipment List &amp; Usage'!$R80*'Weekly Summary'!AJ$64)+('Equipment List &amp; Usage'!$S80*'Weekly Summary'!AJ$65)+('Equipment List &amp; Usage'!$T80*('Weekly Summary'!AJ$64+'Weekly Summary'!AJ$65)),
('Equipment List &amp; Usage'!$O80*'Weekly Summary'!AJ$52)+('Equipment List &amp; Usage'!$P80*'Weekly Summary'!AJ$53)+('Equipment List &amp; Usage'!$Q80*('Weekly Summary'!AJ$52+'Weekly Summary'!AJ$53))+('Equipment List &amp; Usage'!$R80*'Weekly Summary'!AJ$64)+('Equipment List &amp; Usage'!$S80*'Weekly Summary'!AJ$65)+('Equipment List &amp; Usage'!$T80*('Weekly Summary'!AJ$64+'Weekly Summary'!AJ$65))-SUM($I78:AO78))),0)</f>
        <v>0</v>
      </c>
      <c r="AQ78" s="1381">
        <f ca="1">MAX(IF($F78="No",('Equipment List &amp; Usage'!$O80*'Weekly Summary'!AK$52)+('Equipment List &amp; Usage'!$P80*'Weekly Summary'!AK$53)+('Equipment List &amp; Usage'!$Q80*('Weekly Summary'!AK$52+'Weekly Summary'!AK$53))+('Equipment List &amp; Usage'!$R80*'Weekly Summary'!AK$64)+('Equipment List &amp; Usage'!$S80*'Weekly Summary'!AK$65)+('Equipment List &amp; Usage'!$T80*('Weekly Summary'!AK$64+'Weekly Summary'!AK$65)),
IF(AQ$10=0,('Equipment List &amp; Usage'!$O80*'Weekly Summary'!AK$52)+('Equipment List &amp; Usage'!$P80*'Weekly Summary'!AK$53)+('Equipment List &amp; Usage'!$Q80*('Weekly Summary'!AK$52+'Weekly Summary'!AK$53))+('Equipment List &amp; Usage'!$R80*'Weekly Summary'!AK$64)+('Equipment List &amp; Usage'!$S80*'Weekly Summary'!AK$65)+('Equipment List &amp; Usage'!$T80*('Weekly Summary'!AK$64+'Weekly Summary'!AK$65)),
('Equipment List &amp; Usage'!$O80*'Weekly Summary'!AK$52)+('Equipment List &amp; Usage'!$P80*'Weekly Summary'!AK$53)+('Equipment List &amp; Usage'!$Q80*('Weekly Summary'!AK$52+'Weekly Summary'!AK$53))+('Equipment List &amp; Usage'!$R80*'Weekly Summary'!AK$64)+('Equipment List &amp; Usage'!$S80*'Weekly Summary'!AK$65)+('Equipment List &amp; Usage'!$T80*('Weekly Summary'!AK$64+'Weekly Summary'!AK$65))-SUM($I78:AP78))),0)</f>
        <v>0</v>
      </c>
      <c r="AR78" s="1381">
        <f ca="1">MAX(IF($F78="No",('Equipment List &amp; Usage'!$O80*'Weekly Summary'!AL$52)+('Equipment List &amp; Usage'!$P80*'Weekly Summary'!AL$53)+('Equipment List &amp; Usage'!$Q80*('Weekly Summary'!AL$52+'Weekly Summary'!AL$53))+('Equipment List &amp; Usage'!$R80*'Weekly Summary'!AL$64)+('Equipment List &amp; Usage'!$S80*'Weekly Summary'!AL$65)+('Equipment List &amp; Usage'!$T80*('Weekly Summary'!AL$64+'Weekly Summary'!AL$65)),
IF(AR$10=0,('Equipment List &amp; Usage'!$O80*'Weekly Summary'!AL$52)+('Equipment List &amp; Usage'!$P80*'Weekly Summary'!AL$53)+('Equipment List &amp; Usage'!$Q80*('Weekly Summary'!AL$52+'Weekly Summary'!AL$53))+('Equipment List &amp; Usage'!$R80*'Weekly Summary'!AL$64)+('Equipment List &amp; Usage'!$S80*'Weekly Summary'!AL$65)+('Equipment List &amp; Usage'!$T80*('Weekly Summary'!AL$64+'Weekly Summary'!AL$65)),
('Equipment List &amp; Usage'!$O80*'Weekly Summary'!AL$52)+('Equipment List &amp; Usage'!$P80*'Weekly Summary'!AL$53)+('Equipment List &amp; Usage'!$Q80*('Weekly Summary'!AL$52+'Weekly Summary'!AL$53))+('Equipment List &amp; Usage'!$R80*'Weekly Summary'!AL$64)+('Equipment List &amp; Usage'!$S80*'Weekly Summary'!AL$65)+('Equipment List &amp; Usage'!$T80*('Weekly Summary'!AL$64+'Weekly Summary'!AL$65))-SUM($I78:AQ78))),0)</f>
        <v>0</v>
      </c>
      <c r="AS78" s="1381">
        <f ca="1">MAX(IF($F78="No",('Equipment List &amp; Usage'!$O80*'Weekly Summary'!AM$52)+('Equipment List &amp; Usage'!$P80*'Weekly Summary'!AM$53)+('Equipment List &amp; Usage'!$Q80*('Weekly Summary'!AM$52+'Weekly Summary'!AM$53))+('Equipment List &amp; Usage'!$R80*'Weekly Summary'!AM$64)+('Equipment List &amp; Usage'!$S80*'Weekly Summary'!AM$65)+('Equipment List &amp; Usage'!$T80*('Weekly Summary'!AM$64+'Weekly Summary'!AM$65)),
IF(AS$10=0,('Equipment List &amp; Usage'!$O80*'Weekly Summary'!AM$52)+('Equipment List &amp; Usage'!$P80*'Weekly Summary'!AM$53)+('Equipment List &amp; Usage'!$Q80*('Weekly Summary'!AM$52+'Weekly Summary'!AM$53))+('Equipment List &amp; Usage'!$R80*'Weekly Summary'!AM$64)+('Equipment List &amp; Usage'!$S80*'Weekly Summary'!AM$65)+('Equipment List &amp; Usage'!$T80*('Weekly Summary'!AM$64+'Weekly Summary'!AM$65)),
('Equipment List &amp; Usage'!$O80*'Weekly Summary'!AM$52)+('Equipment List &amp; Usage'!$P80*'Weekly Summary'!AM$53)+('Equipment List &amp; Usage'!$Q80*('Weekly Summary'!AM$52+'Weekly Summary'!AM$53))+('Equipment List &amp; Usage'!$R80*'Weekly Summary'!AM$64)+('Equipment List &amp; Usage'!$S80*'Weekly Summary'!AM$65)+('Equipment List &amp; Usage'!$T80*('Weekly Summary'!AM$64+'Weekly Summary'!AM$65))-SUM($I78:AR78))),0)</f>
        <v>0</v>
      </c>
      <c r="AT78" s="1381">
        <f ca="1">MAX(IF($F78="No",('Equipment List &amp; Usage'!$O80*'Weekly Summary'!AN$52)+('Equipment List &amp; Usage'!$P80*'Weekly Summary'!AN$53)+('Equipment List &amp; Usage'!$Q80*('Weekly Summary'!AN$52+'Weekly Summary'!AN$53))+('Equipment List &amp; Usage'!$R80*'Weekly Summary'!AN$64)+('Equipment List &amp; Usage'!$S80*'Weekly Summary'!AN$65)+('Equipment List &amp; Usage'!$T80*('Weekly Summary'!AN$64+'Weekly Summary'!AN$65)),
IF(AT$10=0,('Equipment List &amp; Usage'!$O80*'Weekly Summary'!AN$52)+('Equipment List &amp; Usage'!$P80*'Weekly Summary'!AN$53)+('Equipment List &amp; Usage'!$Q80*('Weekly Summary'!AN$52+'Weekly Summary'!AN$53))+('Equipment List &amp; Usage'!$R80*'Weekly Summary'!AN$64)+('Equipment List &amp; Usage'!$S80*'Weekly Summary'!AN$65)+('Equipment List &amp; Usage'!$T80*('Weekly Summary'!AN$64+'Weekly Summary'!AN$65)),
('Equipment List &amp; Usage'!$O80*'Weekly Summary'!AN$52)+('Equipment List &amp; Usage'!$P80*'Weekly Summary'!AN$53)+('Equipment List &amp; Usage'!$Q80*('Weekly Summary'!AN$52+'Weekly Summary'!AN$53))+('Equipment List &amp; Usage'!$R80*'Weekly Summary'!AN$64)+('Equipment List &amp; Usage'!$S80*'Weekly Summary'!AN$65)+('Equipment List &amp; Usage'!$T80*('Weekly Summary'!AN$64+'Weekly Summary'!AN$65))-SUM($I78:AS78))),0)</f>
        <v>0</v>
      </c>
      <c r="AU78" s="1381">
        <f ca="1">MAX(IF($F78="No",('Equipment List &amp; Usage'!$O80*'Weekly Summary'!AO$52)+('Equipment List &amp; Usage'!$P80*'Weekly Summary'!AO$53)+('Equipment List &amp; Usage'!$Q80*('Weekly Summary'!AO$52+'Weekly Summary'!AO$53))+('Equipment List &amp; Usage'!$R80*'Weekly Summary'!AO$64)+('Equipment List &amp; Usage'!$S80*'Weekly Summary'!AO$65)+('Equipment List &amp; Usage'!$T80*('Weekly Summary'!AO$64+'Weekly Summary'!AO$65)),
IF(AU$10=0,('Equipment List &amp; Usage'!$O80*'Weekly Summary'!AO$52)+('Equipment List &amp; Usage'!$P80*'Weekly Summary'!AO$53)+('Equipment List &amp; Usage'!$Q80*('Weekly Summary'!AO$52+'Weekly Summary'!AO$53))+('Equipment List &amp; Usage'!$R80*'Weekly Summary'!AO$64)+('Equipment List &amp; Usage'!$S80*'Weekly Summary'!AO$65)+('Equipment List &amp; Usage'!$T80*('Weekly Summary'!AO$64+'Weekly Summary'!AO$65)),
('Equipment List &amp; Usage'!$O80*'Weekly Summary'!AO$52)+('Equipment List &amp; Usage'!$P80*'Weekly Summary'!AO$53)+('Equipment List &amp; Usage'!$Q80*('Weekly Summary'!AO$52+'Weekly Summary'!AO$53))+('Equipment List &amp; Usage'!$R80*'Weekly Summary'!AO$64)+('Equipment List &amp; Usage'!$S80*'Weekly Summary'!AO$65)+('Equipment List &amp; Usage'!$T80*('Weekly Summary'!AO$64+'Weekly Summary'!AO$65))-SUM($I78:AT78))),0)</f>
        <v>0</v>
      </c>
      <c r="AV78" s="1381">
        <f ca="1">MAX(IF($F78="No",('Equipment List &amp; Usage'!$O80*'Weekly Summary'!AP$52)+('Equipment List &amp; Usage'!$P80*'Weekly Summary'!AP$53)+('Equipment List &amp; Usage'!$Q80*('Weekly Summary'!AP$52+'Weekly Summary'!AP$53))+('Equipment List &amp; Usage'!$R80*'Weekly Summary'!AP$64)+('Equipment List &amp; Usage'!$S80*'Weekly Summary'!AP$65)+('Equipment List &amp; Usage'!$T80*('Weekly Summary'!AP$64+'Weekly Summary'!AP$65)),
IF(AV$10=0,('Equipment List &amp; Usage'!$O80*'Weekly Summary'!AP$52)+('Equipment List &amp; Usage'!$P80*'Weekly Summary'!AP$53)+('Equipment List &amp; Usage'!$Q80*('Weekly Summary'!AP$52+'Weekly Summary'!AP$53))+('Equipment List &amp; Usage'!$R80*'Weekly Summary'!AP$64)+('Equipment List &amp; Usage'!$S80*'Weekly Summary'!AP$65)+('Equipment List &amp; Usage'!$T80*('Weekly Summary'!AP$64+'Weekly Summary'!AP$65)),
('Equipment List &amp; Usage'!$O80*'Weekly Summary'!AP$52)+('Equipment List &amp; Usage'!$P80*'Weekly Summary'!AP$53)+('Equipment List &amp; Usage'!$Q80*('Weekly Summary'!AP$52+'Weekly Summary'!AP$53))+('Equipment List &amp; Usage'!$R80*'Weekly Summary'!AP$64)+('Equipment List &amp; Usage'!$S80*'Weekly Summary'!AP$65)+('Equipment List &amp; Usage'!$T80*('Weekly Summary'!AP$64+'Weekly Summary'!AP$65))-SUM($I78:AU78))),0)</f>
        <v>0</v>
      </c>
      <c r="AW78" s="1381">
        <f ca="1">MAX(IF($F78="No",('Equipment List &amp; Usage'!$O80*'Weekly Summary'!AQ$52)+('Equipment List &amp; Usage'!$P80*'Weekly Summary'!AQ$53)+('Equipment List &amp; Usage'!$Q80*('Weekly Summary'!AQ$52+'Weekly Summary'!AQ$53))+('Equipment List &amp; Usage'!$R80*'Weekly Summary'!AQ$64)+('Equipment List &amp; Usage'!$S80*'Weekly Summary'!AQ$65)+('Equipment List &amp; Usage'!$T80*('Weekly Summary'!AQ$64+'Weekly Summary'!AQ$65)),
IF(AW$10=0,('Equipment List &amp; Usage'!$O80*'Weekly Summary'!AQ$52)+('Equipment List &amp; Usage'!$P80*'Weekly Summary'!AQ$53)+('Equipment List &amp; Usage'!$Q80*('Weekly Summary'!AQ$52+'Weekly Summary'!AQ$53))+('Equipment List &amp; Usage'!$R80*'Weekly Summary'!AQ$64)+('Equipment List &amp; Usage'!$S80*'Weekly Summary'!AQ$65)+('Equipment List &amp; Usage'!$T80*('Weekly Summary'!AQ$64+'Weekly Summary'!AQ$65)),
('Equipment List &amp; Usage'!$O80*'Weekly Summary'!AQ$52)+('Equipment List &amp; Usage'!$P80*'Weekly Summary'!AQ$53)+('Equipment List &amp; Usage'!$Q80*('Weekly Summary'!AQ$52+'Weekly Summary'!AQ$53))+('Equipment List &amp; Usage'!$R80*'Weekly Summary'!AQ$64)+('Equipment List &amp; Usage'!$S80*'Weekly Summary'!AQ$65)+('Equipment List &amp; Usage'!$T80*('Weekly Summary'!AQ$64+'Weekly Summary'!AQ$65))-SUM($I78:AV78))),0)</f>
        <v>0</v>
      </c>
      <c r="AX78" s="1381">
        <f ca="1">MAX(IF($F78="No",('Equipment List &amp; Usage'!$O80*'Weekly Summary'!AR$52)+('Equipment List &amp; Usage'!$P80*'Weekly Summary'!AR$53)+('Equipment List &amp; Usage'!$Q80*('Weekly Summary'!AR$52+'Weekly Summary'!AR$53))+('Equipment List &amp; Usage'!$R80*'Weekly Summary'!AR$64)+('Equipment List &amp; Usage'!$S80*'Weekly Summary'!AR$65)+('Equipment List &amp; Usage'!$T80*('Weekly Summary'!AR$64+'Weekly Summary'!AR$65)),
IF(AX$10=0,('Equipment List &amp; Usage'!$O80*'Weekly Summary'!AR$52)+('Equipment List &amp; Usage'!$P80*'Weekly Summary'!AR$53)+('Equipment List &amp; Usage'!$Q80*('Weekly Summary'!AR$52+'Weekly Summary'!AR$53))+('Equipment List &amp; Usage'!$R80*'Weekly Summary'!AR$64)+('Equipment List &amp; Usage'!$S80*'Weekly Summary'!AR$65)+('Equipment List &amp; Usage'!$T80*('Weekly Summary'!AR$64+'Weekly Summary'!AR$65)),
('Equipment List &amp; Usage'!$O80*'Weekly Summary'!AR$52)+('Equipment List &amp; Usage'!$P80*'Weekly Summary'!AR$53)+('Equipment List &amp; Usage'!$Q80*('Weekly Summary'!AR$52+'Weekly Summary'!AR$53))+('Equipment List &amp; Usage'!$R80*'Weekly Summary'!AR$64)+('Equipment List &amp; Usage'!$S80*'Weekly Summary'!AR$65)+('Equipment List &amp; Usage'!$T80*('Weekly Summary'!AR$64+'Weekly Summary'!AR$65))-SUM($I78:AW78))),0)</f>
        <v>0</v>
      </c>
      <c r="AY78" s="1381">
        <f ca="1">MAX(IF($F78="No",('Equipment List &amp; Usage'!$O80*'Weekly Summary'!AS$52)+('Equipment List &amp; Usage'!$P80*'Weekly Summary'!AS$53)+('Equipment List &amp; Usage'!$Q80*('Weekly Summary'!AS$52+'Weekly Summary'!AS$53))+('Equipment List &amp; Usage'!$R80*'Weekly Summary'!AS$64)+('Equipment List &amp; Usage'!$S80*'Weekly Summary'!AS$65)+('Equipment List &amp; Usage'!$T80*('Weekly Summary'!AS$64+'Weekly Summary'!AS$65)),
IF(AY$10=0,('Equipment List &amp; Usage'!$O80*'Weekly Summary'!AS$52)+('Equipment List &amp; Usage'!$P80*'Weekly Summary'!AS$53)+('Equipment List &amp; Usage'!$Q80*('Weekly Summary'!AS$52+'Weekly Summary'!AS$53))+('Equipment List &amp; Usage'!$R80*'Weekly Summary'!AS$64)+('Equipment List &amp; Usage'!$S80*'Weekly Summary'!AS$65)+('Equipment List &amp; Usage'!$T80*('Weekly Summary'!AS$64+'Weekly Summary'!AS$65)),
('Equipment List &amp; Usage'!$O80*'Weekly Summary'!AS$52)+('Equipment List &amp; Usage'!$P80*'Weekly Summary'!AS$53)+('Equipment List &amp; Usage'!$Q80*('Weekly Summary'!AS$52+'Weekly Summary'!AS$53))+('Equipment List &amp; Usage'!$R80*'Weekly Summary'!AS$64)+('Equipment List &amp; Usage'!$S80*'Weekly Summary'!AS$65)+('Equipment List &amp; Usage'!$T80*('Weekly Summary'!AS$64+'Weekly Summary'!AS$65))-SUM($I78:AX78))),0)</f>
        <v>0</v>
      </c>
      <c r="AZ78" s="1381">
        <f ca="1">MAX(IF($F78="No",('Equipment List &amp; Usage'!$O80*'Weekly Summary'!AT$52)+('Equipment List &amp; Usage'!$P80*'Weekly Summary'!AT$53)+('Equipment List &amp; Usage'!$Q80*('Weekly Summary'!AT$52+'Weekly Summary'!AT$53))+('Equipment List &amp; Usage'!$R80*'Weekly Summary'!AT$64)+('Equipment List &amp; Usage'!$S80*'Weekly Summary'!AT$65)+('Equipment List &amp; Usage'!$T80*('Weekly Summary'!AT$64+'Weekly Summary'!AT$65)),
IF(AZ$10=0,('Equipment List &amp; Usage'!$O80*'Weekly Summary'!AT$52)+('Equipment List &amp; Usage'!$P80*'Weekly Summary'!AT$53)+('Equipment List &amp; Usage'!$Q80*('Weekly Summary'!AT$52+'Weekly Summary'!AT$53))+('Equipment List &amp; Usage'!$R80*'Weekly Summary'!AT$64)+('Equipment List &amp; Usage'!$S80*'Weekly Summary'!AT$65)+('Equipment List &amp; Usage'!$T80*('Weekly Summary'!AT$64+'Weekly Summary'!AT$65)),
('Equipment List &amp; Usage'!$O80*'Weekly Summary'!AT$52)+('Equipment List &amp; Usage'!$P80*'Weekly Summary'!AT$53)+('Equipment List &amp; Usage'!$Q80*('Weekly Summary'!AT$52+'Weekly Summary'!AT$53))+('Equipment List &amp; Usage'!$R80*'Weekly Summary'!AT$64)+('Equipment List &amp; Usage'!$S80*'Weekly Summary'!AT$65)+('Equipment List &amp; Usage'!$T80*('Weekly Summary'!AT$64+'Weekly Summary'!AT$65))-SUM($I78:AY78))),0)</f>
        <v>0</v>
      </c>
      <c r="BA78" s="1381">
        <f ca="1">MAX(IF($F78="No",('Equipment List &amp; Usage'!$O80*'Weekly Summary'!AU$52)+('Equipment List &amp; Usage'!$P80*'Weekly Summary'!AU$53)+('Equipment List &amp; Usage'!$Q80*('Weekly Summary'!AU$52+'Weekly Summary'!AU$53))+('Equipment List &amp; Usage'!$R80*'Weekly Summary'!AU$64)+('Equipment List &amp; Usage'!$S80*'Weekly Summary'!AU$65)+('Equipment List &amp; Usage'!$T80*('Weekly Summary'!AU$64+'Weekly Summary'!AU$65)),
IF(BA$10=0,('Equipment List &amp; Usage'!$O80*'Weekly Summary'!AU$52)+('Equipment List &amp; Usage'!$P80*'Weekly Summary'!AU$53)+('Equipment List &amp; Usage'!$Q80*('Weekly Summary'!AU$52+'Weekly Summary'!AU$53))+('Equipment List &amp; Usage'!$R80*'Weekly Summary'!AU$64)+('Equipment List &amp; Usage'!$S80*'Weekly Summary'!AU$65)+('Equipment List &amp; Usage'!$T80*('Weekly Summary'!AU$64+'Weekly Summary'!AU$65)),
('Equipment List &amp; Usage'!$O80*'Weekly Summary'!AU$52)+('Equipment List &amp; Usage'!$P80*'Weekly Summary'!AU$53)+('Equipment List &amp; Usage'!$Q80*('Weekly Summary'!AU$52+'Weekly Summary'!AU$53))+('Equipment List &amp; Usage'!$R80*'Weekly Summary'!AU$64)+('Equipment List &amp; Usage'!$S80*'Weekly Summary'!AU$65)+('Equipment List &amp; Usage'!$T80*('Weekly Summary'!AU$64+'Weekly Summary'!AU$65))-SUM($I78:AZ78))),0)</f>
        <v>0</v>
      </c>
      <c r="BB78" s="1381">
        <f ca="1">MAX(IF($F78="No",('Equipment List &amp; Usage'!$O80*'Weekly Summary'!AV$52)+('Equipment List &amp; Usage'!$P80*'Weekly Summary'!AV$53)+('Equipment List &amp; Usage'!$Q80*('Weekly Summary'!AV$52+'Weekly Summary'!AV$53))+('Equipment List &amp; Usage'!$R80*'Weekly Summary'!AV$64)+('Equipment List &amp; Usage'!$S80*'Weekly Summary'!AV$65)+('Equipment List &amp; Usage'!$T80*('Weekly Summary'!AV$64+'Weekly Summary'!AV$65)),
IF(BB$10=0,('Equipment List &amp; Usage'!$O80*'Weekly Summary'!AV$52)+('Equipment List &amp; Usage'!$P80*'Weekly Summary'!AV$53)+('Equipment List &amp; Usage'!$Q80*('Weekly Summary'!AV$52+'Weekly Summary'!AV$53))+('Equipment List &amp; Usage'!$R80*'Weekly Summary'!AV$64)+('Equipment List &amp; Usage'!$S80*'Weekly Summary'!AV$65)+('Equipment List &amp; Usage'!$T80*('Weekly Summary'!AV$64+'Weekly Summary'!AV$65)),
('Equipment List &amp; Usage'!$O80*'Weekly Summary'!AV$52)+('Equipment List &amp; Usage'!$P80*'Weekly Summary'!AV$53)+('Equipment List &amp; Usage'!$Q80*('Weekly Summary'!AV$52+'Weekly Summary'!AV$53))+('Equipment List &amp; Usage'!$R80*'Weekly Summary'!AV$64)+('Equipment List &amp; Usage'!$S80*'Weekly Summary'!AV$65)+('Equipment List &amp; Usage'!$T80*('Weekly Summary'!AV$64+'Weekly Summary'!AV$65))-SUM($I78:BA78))),0)</f>
        <v>0</v>
      </c>
      <c r="BC78" s="1381">
        <f ca="1">MAX(IF($F78="No",('Equipment List &amp; Usage'!$O80*'Weekly Summary'!AW$52)+('Equipment List &amp; Usage'!$P80*'Weekly Summary'!AW$53)+('Equipment List &amp; Usage'!$Q80*('Weekly Summary'!AW$52+'Weekly Summary'!AW$53))+('Equipment List &amp; Usage'!$R80*'Weekly Summary'!AW$64)+('Equipment List &amp; Usage'!$S80*'Weekly Summary'!AW$65)+('Equipment List &amp; Usage'!$T80*('Weekly Summary'!AW$64+'Weekly Summary'!AW$65)),
IF(BC$10=0,('Equipment List &amp; Usage'!$O80*'Weekly Summary'!AW$52)+('Equipment List &amp; Usage'!$P80*'Weekly Summary'!AW$53)+('Equipment List &amp; Usage'!$Q80*('Weekly Summary'!AW$52+'Weekly Summary'!AW$53))+('Equipment List &amp; Usage'!$R80*'Weekly Summary'!AW$64)+('Equipment List &amp; Usage'!$S80*'Weekly Summary'!AW$65)+('Equipment List &amp; Usage'!$T80*('Weekly Summary'!AW$64+'Weekly Summary'!AW$65)),
('Equipment List &amp; Usage'!$O80*'Weekly Summary'!AW$52)+('Equipment List &amp; Usage'!$P80*'Weekly Summary'!AW$53)+('Equipment List &amp; Usage'!$Q80*('Weekly Summary'!AW$52+'Weekly Summary'!AW$53))+('Equipment List &amp; Usage'!$R80*'Weekly Summary'!AW$64)+('Equipment List &amp; Usage'!$S80*'Weekly Summary'!AW$65)+('Equipment List &amp; Usage'!$T80*('Weekly Summary'!AW$64+'Weekly Summary'!AW$65))-SUM($I78:BB78))),0)</f>
        <v>0</v>
      </c>
      <c r="BD78" s="1381">
        <f ca="1">MAX(IF($F78="No",('Equipment List &amp; Usage'!$O80*'Weekly Summary'!AX$52)+('Equipment List &amp; Usage'!$P80*'Weekly Summary'!AX$53)+('Equipment List &amp; Usage'!$Q80*('Weekly Summary'!AX$52+'Weekly Summary'!AX$53))+('Equipment List &amp; Usage'!$R80*'Weekly Summary'!AX$64)+('Equipment List &amp; Usage'!$S80*'Weekly Summary'!AX$65)+('Equipment List &amp; Usage'!$T80*('Weekly Summary'!AX$64+'Weekly Summary'!AX$65)),
IF(BD$10=0,('Equipment List &amp; Usage'!$O80*'Weekly Summary'!AX$52)+('Equipment List &amp; Usage'!$P80*'Weekly Summary'!AX$53)+('Equipment List &amp; Usage'!$Q80*('Weekly Summary'!AX$52+'Weekly Summary'!AX$53))+('Equipment List &amp; Usage'!$R80*'Weekly Summary'!AX$64)+('Equipment List &amp; Usage'!$S80*'Weekly Summary'!AX$65)+('Equipment List &amp; Usage'!$T80*('Weekly Summary'!AX$64+'Weekly Summary'!AX$65)),
('Equipment List &amp; Usage'!$O80*'Weekly Summary'!AX$52)+('Equipment List &amp; Usage'!$P80*'Weekly Summary'!AX$53)+('Equipment List &amp; Usage'!$Q80*('Weekly Summary'!AX$52+'Weekly Summary'!AX$53))+('Equipment List &amp; Usage'!$R80*'Weekly Summary'!AX$64)+('Equipment List &amp; Usage'!$S80*'Weekly Summary'!AX$65)+('Equipment List &amp; Usage'!$T80*('Weekly Summary'!AX$64+'Weekly Summary'!AX$65))-SUM($I78:BC78))),0)</f>
        <v>0</v>
      </c>
      <c r="BE78" s="1381">
        <f ca="1">MAX(IF($F78="No",('Equipment List &amp; Usage'!$O80*'Weekly Summary'!AY$52)+('Equipment List &amp; Usage'!$P80*'Weekly Summary'!AY$53)+('Equipment List &amp; Usage'!$Q80*('Weekly Summary'!AY$52+'Weekly Summary'!AY$53))+('Equipment List &amp; Usage'!$R80*'Weekly Summary'!AY$64)+('Equipment List &amp; Usage'!$S80*'Weekly Summary'!AY$65)+('Equipment List &amp; Usage'!$T80*('Weekly Summary'!AY$64+'Weekly Summary'!AY$65)),
IF(BE$10=0,('Equipment List &amp; Usage'!$O80*'Weekly Summary'!AY$52)+('Equipment List &amp; Usage'!$P80*'Weekly Summary'!AY$53)+('Equipment List &amp; Usage'!$Q80*('Weekly Summary'!AY$52+'Weekly Summary'!AY$53))+('Equipment List &amp; Usage'!$R80*'Weekly Summary'!AY$64)+('Equipment List &amp; Usage'!$S80*'Weekly Summary'!AY$65)+('Equipment List &amp; Usage'!$T80*('Weekly Summary'!AY$64+'Weekly Summary'!AY$65)),
('Equipment List &amp; Usage'!$O80*'Weekly Summary'!AY$52)+('Equipment List &amp; Usage'!$P80*'Weekly Summary'!AY$53)+('Equipment List &amp; Usage'!$Q80*('Weekly Summary'!AY$52+'Weekly Summary'!AY$53))+('Equipment List &amp; Usage'!$R80*'Weekly Summary'!AY$64)+('Equipment List &amp; Usage'!$S80*'Weekly Summary'!AY$65)+('Equipment List &amp; Usage'!$T80*('Weekly Summary'!AY$64+'Weekly Summary'!AY$65))-SUM($I78:BD78))),0)</f>
        <v>0</v>
      </c>
      <c r="BF78" s="1381">
        <f ca="1">MAX(IF($F78="No",('Equipment List &amp; Usage'!$O80*'Weekly Summary'!AZ$52)+('Equipment List &amp; Usage'!$P80*'Weekly Summary'!AZ$53)+('Equipment List &amp; Usage'!$Q80*('Weekly Summary'!AZ$52+'Weekly Summary'!AZ$53))+('Equipment List &amp; Usage'!$R80*'Weekly Summary'!AZ$64)+('Equipment List &amp; Usage'!$S80*'Weekly Summary'!AZ$65)+('Equipment List &amp; Usage'!$T80*('Weekly Summary'!AZ$64+'Weekly Summary'!AZ$65)),
IF(BF$10=0,('Equipment List &amp; Usage'!$O80*'Weekly Summary'!AZ$52)+('Equipment List &amp; Usage'!$P80*'Weekly Summary'!AZ$53)+('Equipment List &amp; Usage'!$Q80*('Weekly Summary'!AZ$52+'Weekly Summary'!AZ$53))+('Equipment List &amp; Usage'!$R80*'Weekly Summary'!AZ$64)+('Equipment List &amp; Usage'!$S80*'Weekly Summary'!AZ$65)+('Equipment List &amp; Usage'!$T80*('Weekly Summary'!AZ$64+'Weekly Summary'!AZ$65)),
('Equipment List &amp; Usage'!$O80*'Weekly Summary'!AZ$52)+('Equipment List &amp; Usage'!$P80*'Weekly Summary'!AZ$53)+('Equipment List &amp; Usage'!$Q80*('Weekly Summary'!AZ$52+'Weekly Summary'!AZ$53))+('Equipment List &amp; Usage'!$R80*'Weekly Summary'!AZ$64)+('Equipment List &amp; Usage'!$S80*'Weekly Summary'!AZ$65)+('Equipment List &amp; Usage'!$T80*('Weekly Summary'!AZ$64+'Weekly Summary'!AZ$65))-SUM($I78:BE78))),0)</f>
        <v>0</v>
      </c>
      <c r="BG78" s="1381">
        <f ca="1">MAX(IF($F78="No",('Equipment List &amp; Usage'!$O80*'Weekly Summary'!BA$52)+('Equipment List &amp; Usage'!$P80*'Weekly Summary'!BA$53)+('Equipment List &amp; Usage'!$Q80*('Weekly Summary'!BA$52+'Weekly Summary'!BA$53))+('Equipment List &amp; Usage'!$R80*'Weekly Summary'!BA$64)+('Equipment List &amp; Usage'!$S80*'Weekly Summary'!BA$65)+('Equipment List &amp; Usage'!$T80*('Weekly Summary'!BA$64+'Weekly Summary'!BA$65)),
IF(BG$10=0,('Equipment List &amp; Usage'!$O80*'Weekly Summary'!BA$52)+('Equipment List &amp; Usage'!$P80*'Weekly Summary'!BA$53)+('Equipment List &amp; Usage'!$Q80*('Weekly Summary'!BA$52+'Weekly Summary'!BA$53))+('Equipment List &amp; Usage'!$R80*'Weekly Summary'!BA$64)+('Equipment List &amp; Usage'!$S80*'Weekly Summary'!BA$65)+('Equipment List &amp; Usage'!$T80*('Weekly Summary'!BA$64+'Weekly Summary'!BA$65)),
('Equipment List &amp; Usage'!$O80*'Weekly Summary'!BA$52)+('Equipment List &amp; Usage'!$P80*'Weekly Summary'!BA$53)+('Equipment List &amp; Usage'!$Q80*('Weekly Summary'!BA$52+'Weekly Summary'!BA$53))+('Equipment List &amp; Usage'!$R80*'Weekly Summary'!BA$64)+('Equipment List &amp; Usage'!$S80*'Weekly Summary'!BA$65)+('Equipment List &amp; Usage'!$T80*('Weekly Summary'!BA$64+'Weekly Summary'!BA$65))-SUM($I78:BF78))),0)</f>
        <v>0</v>
      </c>
      <c r="BH78" s="1381">
        <f ca="1">MAX(IF($F78="No",('Equipment List &amp; Usage'!$O80*'Weekly Summary'!BB$52)+('Equipment List &amp; Usage'!$P80*'Weekly Summary'!BB$53)+('Equipment List &amp; Usage'!$Q80*('Weekly Summary'!BB$52+'Weekly Summary'!BB$53))+('Equipment List &amp; Usage'!$R80*'Weekly Summary'!BB$64)+('Equipment List &amp; Usage'!$S80*'Weekly Summary'!BB$65)+('Equipment List &amp; Usage'!$T80*('Weekly Summary'!BB$64+'Weekly Summary'!BB$65)),
IF(BH$10=0,('Equipment List &amp; Usage'!$O80*'Weekly Summary'!BB$52)+('Equipment List &amp; Usage'!$P80*'Weekly Summary'!BB$53)+('Equipment List &amp; Usage'!$Q80*('Weekly Summary'!BB$52+'Weekly Summary'!BB$53))+('Equipment List &amp; Usage'!$R80*'Weekly Summary'!BB$64)+('Equipment List &amp; Usage'!$S80*'Weekly Summary'!BB$65)+('Equipment List &amp; Usage'!$T80*('Weekly Summary'!BB$64+'Weekly Summary'!BB$65)),
('Equipment List &amp; Usage'!$O80*'Weekly Summary'!BB$52)+('Equipment List &amp; Usage'!$P80*'Weekly Summary'!BB$53)+('Equipment List &amp; Usage'!$Q80*('Weekly Summary'!BB$52+'Weekly Summary'!BB$53))+('Equipment List &amp; Usage'!$R80*'Weekly Summary'!BB$64)+('Equipment List &amp; Usage'!$S80*'Weekly Summary'!BB$65)+('Equipment List &amp; Usage'!$T80*('Weekly Summary'!BB$64+'Weekly Summary'!BB$65))-SUM($I78:BG78))),0)</f>
        <v>0</v>
      </c>
      <c r="BI78" s="1381">
        <f ca="1">MAX(IF($F78="No",('Equipment List &amp; Usage'!$O80*'Weekly Summary'!BC$52)+('Equipment List &amp; Usage'!$P80*'Weekly Summary'!BC$53)+('Equipment List &amp; Usage'!$Q80*('Weekly Summary'!BC$52+'Weekly Summary'!BC$53))+('Equipment List &amp; Usage'!$R80*'Weekly Summary'!BC$64)+('Equipment List &amp; Usage'!$S80*'Weekly Summary'!BC$65)+('Equipment List &amp; Usage'!$T80*('Weekly Summary'!BC$64+'Weekly Summary'!BC$65)),
IF(BI$10=0,('Equipment List &amp; Usage'!$O80*'Weekly Summary'!BC$52)+('Equipment List &amp; Usage'!$P80*'Weekly Summary'!BC$53)+('Equipment List &amp; Usage'!$Q80*('Weekly Summary'!BC$52+'Weekly Summary'!BC$53))+('Equipment List &amp; Usage'!$R80*'Weekly Summary'!BC$64)+('Equipment List &amp; Usage'!$S80*'Weekly Summary'!BC$65)+('Equipment List &amp; Usage'!$T80*('Weekly Summary'!BC$64+'Weekly Summary'!BC$65)),
('Equipment List &amp; Usage'!$O80*'Weekly Summary'!BC$52)+('Equipment List &amp; Usage'!$P80*'Weekly Summary'!BC$53)+('Equipment List &amp; Usage'!$Q80*('Weekly Summary'!BC$52+'Weekly Summary'!BC$53))+('Equipment List &amp; Usage'!$R80*'Weekly Summary'!BC$64)+('Equipment List &amp; Usage'!$S80*'Weekly Summary'!BC$65)+('Equipment List &amp; Usage'!$T80*('Weekly Summary'!BC$64+'Weekly Summary'!BC$65))-SUM($I78:BH78))),0)</f>
        <v>0</v>
      </c>
      <c r="BJ78" s="1382">
        <f ca="1">MAX(IF($F78="No",('Equipment List &amp; Usage'!$O80*'Weekly Summary'!BD$52)+('Equipment List &amp; Usage'!$P80*'Weekly Summary'!BD$53)+('Equipment List &amp; Usage'!$Q80*('Weekly Summary'!BD$52+'Weekly Summary'!BD$53))+('Equipment List &amp; Usage'!$R80*'Weekly Summary'!BD$64)+('Equipment List &amp; Usage'!$S80*'Weekly Summary'!BD$65)+('Equipment List &amp; Usage'!$T80*('Weekly Summary'!BD$64+'Weekly Summary'!BD$65)),
IF(BJ$10=0,('Equipment List &amp; Usage'!$O80*'Weekly Summary'!BD$52)+('Equipment List &amp; Usage'!$P80*'Weekly Summary'!BD$53)+('Equipment List &amp; Usage'!$Q80*('Weekly Summary'!BD$52+'Weekly Summary'!BD$53))+('Equipment List &amp; Usage'!$R80*'Weekly Summary'!BD$64)+('Equipment List &amp; Usage'!$S80*'Weekly Summary'!BD$65)+('Equipment List &amp; Usage'!$T80*('Weekly Summary'!BD$64+'Weekly Summary'!BD$65)),
('Equipment List &amp; Usage'!$O80*'Weekly Summary'!BD$52)+('Equipment List &amp; Usage'!$P80*'Weekly Summary'!BD$53)+('Equipment List &amp; Usage'!$Q80*('Weekly Summary'!BD$52+'Weekly Summary'!BD$53))+('Equipment List &amp; Usage'!$R80*'Weekly Summary'!BD$64)+('Equipment List &amp; Usage'!$S80*'Weekly Summary'!BD$65)+('Equipment List &amp; Usage'!$T80*('Weekly Summary'!BD$64+'Weekly Summary'!BD$65))-SUM($I78:BI78))),0)</f>
        <v>0</v>
      </c>
    </row>
    <row r="79" spans="2:62" s="15" customFormat="1" ht="43.5" x14ac:dyDescent="0.35">
      <c r="B79" s="735" t="str">
        <f>'Equipment List &amp; Usage'!B81</f>
        <v>Case management - accessories &amp; consumables</v>
      </c>
      <c r="C79" s="526" t="str">
        <f>'Equipment List &amp; Usage'!C81</f>
        <v>Airway Management &amp; Intubation</v>
      </c>
      <c r="D79" s="526" t="str">
        <f>'Equipment List &amp; Usage'!D81</f>
        <v>Colorimetric End Tidal CO2 detector single use (adult)</v>
      </c>
      <c r="E79" s="526" t="str">
        <f>'Equipment List &amp; Usage'!E81</f>
        <v>Each</v>
      </c>
      <c r="F79" s="526" t="str">
        <f>'Equipment List &amp; Usage'!F81</f>
        <v>No</v>
      </c>
      <c r="G79" s="526" t="str">
        <f>'Equipment List &amp; Usage'!G81</f>
        <v>N/A</v>
      </c>
      <c r="H79" s="1369">
        <f t="shared" ca="1" si="3"/>
        <v>134.15286663356636</v>
      </c>
      <c r="I79" s="909"/>
      <c r="J79" s="1344"/>
      <c r="K79" s="1381">
        <f ca="1">IF('User Dashboard'!$H$13=1,0,MAX(IF($F79="No",('Equipment List &amp; Usage'!$O81*'Weekly Summary'!E$52)+('Equipment List &amp; Usage'!$P81*'Weekly Summary'!E$53)+('Equipment List &amp; Usage'!$Q81*('Weekly Summary'!E$52+'Weekly Summary'!E$53))+('Equipment List &amp; Usage'!$R81*'Weekly Summary'!E$64)+('Equipment List &amp; Usage'!$S81*'Weekly Summary'!E$65)+('Equipment List &amp; Usage'!$T81*('Weekly Summary'!E$64+'Weekly Summary'!E$65)),
IF(K$10=0,('Equipment List &amp; Usage'!$O81*'Weekly Summary'!E$52)+('Equipment List &amp; Usage'!$P81*'Weekly Summary'!E$53)+('Equipment List &amp; Usage'!$Q81*('Weekly Summary'!E$52+'Weekly Summary'!E$53))+('Equipment List &amp; Usage'!$R81*'Weekly Summary'!E$64)+('Equipment List &amp; Usage'!$S81*'Weekly Summary'!E$65)+('Equipment List &amp; Usage'!$T81*('Weekly Summary'!E$64+'Weekly Summary'!E$65)),
('Equipment List &amp; Usage'!$O81*'Weekly Summary'!E$52)+('Equipment List &amp; Usage'!$P81*'Weekly Summary'!E$53)+('Equipment List &amp; Usage'!$Q81*('Weekly Summary'!E$52+'Weekly Summary'!E$53))+('Equipment List &amp; Usage'!$R81*'Weekly Summary'!E$64)+('Equipment List &amp; Usage'!$S81*'Weekly Summary'!E$65)+('Equipment List &amp; Usage'!$T81*('Weekly Summary'!E$64+'Weekly Summary'!E$65))-SUM($I79:I79))),0))</f>
        <v>0.19869249611205675</v>
      </c>
      <c r="L79" s="1381">
        <f ca="1">MAX(IF($F79="No",('Equipment List &amp; Usage'!$O81*'Weekly Summary'!F$52)+('Equipment List &amp; Usage'!$P81*'Weekly Summary'!F$53)+('Equipment List &amp; Usage'!$Q81*('Weekly Summary'!F$52+'Weekly Summary'!F$53))+('Equipment List &amp; Usage'!$R81*'Weekly Summary'!F$64)+('Equipment List &amp; Usage'!$S81*'Weekly Summary'!F$65)+('Equipment List &amp; Usage'!$T81*('Weekly Summary'!F$64+'Weekly Summary'!F$65)),
IF(L$10=0,('Equipment List &amp; Usage'!$O81*'Weekly Summary'!F$52)+('Equipment List &amp; Usage'!$P81*'Weekly Summary'!F$53)+('Equipment List &amp; Usage'!$Q81*('Weekly Summary'!F$52+'Weekly Summary'!F$53))+('Equipment List &amp; Usage'!$R81*'Weekly Summary'!F$64)+('Equipment List &amp; Usage'!$S81*'Weekly Summary'!F$65)+('Equipment List &amp; Usage'!$T81*('Weekly Summary'!F$64+'Weekly Summary'!F$65)),
('Equipment List &amp; Usage'!$O81*'Weekly Summary'!F$52)+('Equipment List &amp; Usage'!$P81*'Weekly Summary'!F$53)+('Equipment List &amp; Usage'!$Q81*('Weekly Summary'!F$52+'Weekly Summary'!F$53))+('Equipment List &amp; Usage'!$R81*'Weekly Summary'!F$64)+('Equipment List &amp; Usage'!$S81*'Weekly Summary'!F$65)+('Equipment List &amp; Usage'!$T81*('Weekly Summary'!F$64+'Weekly Summary'!F$65))-SUM($I79:K79))),0)</f>
        <v>0.68280837797721627</v>
      </c>
      <c r="M79" s="1381">
        <f ca="1">MAX(IF($F79="No",('Equipment List &amp; Usage'!$O81*'Weekly Summary'!G$52)+('Equipment List &amp; Usage'!$P81*'Weekly Summary'!G$53)+('Equipment List &amp; Usage'!$Q81*('Weekly Summary'!G$52+'Weekly Summary'!G$53))+('Equipment List &amp; Usage'!$R81*'Weekly Summary'!G$64)+('Equipment List &amp; Usage'!$S81*'Weekly Summary'!G$65)+('Equipment List &amp; Usage'!$T81*('Weekly Summary'!G$64+'Weekly Summary'!G$65)),
IF(M$10=0,('Equipment List &amp; Usage'!$O81*'Weekly Summary'!G$52)+('Equipment List &amp; Usage'!$P81*'Weekly Summary'!G$53)+('Equipment List &amp; Usage'!$Q81*('Weekly Summary'!G$52+'Weekly Summary'!G$53))+('Equipment List &amp; Usage'!$R81*'Weekly Summary'!G$64)+('Equipment List &amp; Usage'!$S81*'Weekly Summary'!G$65)+('Equipment List &amp; Usage'!$T81*('Weekly Summary'!G$64+'Weekly Summary'!G$65)),
('Equipment List &amp; Usage'!$O81*'Weekly Summary'!G$52)+('Equipment List &amp; Usage'!$P81*'Weekly Summary'!G$53)+('Equipment List &amp; Usage'!$Q81*('Weekly Summary'!G$52+'Weekly Summary'!G$53))+('Equipment List &amp; Usage'!$R81*'Weekly Summary'!G$64)+('Equipment List &amp; Usage'!$S81*'Weekly Summary'!G$65)+('Equipment List &amp; Usage'!$T81*('Weekly Summary'!G$64+'Weekly Summary'!G$65))-SUM($I79:L79))),0)</f>
        <v>2.3464538473228695</v>
      </c>
      <c r="N79" s="1381">
        <f ca="1">MAX(IF($F79="No",('Equipment List &amp; Usage'!$O81*'Weekly Summary'!H$52)+('Equipment List &amp; Usage'!$P81*'Weekly Summary'!H$53)+('Equipment List &amp; Usage'!$Q81*('Weekly Summary'!H$52+'Weekly Summary'!H$53))+('Equipment List &amp; Usage'!$R81*'Weekly Summary'!H$64)+('Equipment List &amp; Usage'!$S81*'Weekly Summary'!H$65)+('Equipment List &amp; Usage'!$T81*('Weekly Summary'!H$64+'Weekly Summary'!H$65)),
IF(N$10=0,('Equipment List &amp; Usage'!$O81*'Weekly Summary'!H$52)+('Equipment List &amp; Usage'!$P81*'Weekly Summary'!H$53)+('Equipment List &amp; Usage'!$Q81*('Weekly Summary'!H$52+'Weekly Summary'!H$53))+('Equipment List &amp; Usage'!$R81*'Weekly Summary'!H$64)+('Equipment List &amp; Usage'!$S81*'Weekly Summary'!H$65)+('Equipment List &amp; Usage'!$T81*('Weekly Summary'!H$64+'Weekly Summary'!H$65)),
('Equipment List &amp; Usage'!$O81*'Weekly Summary'!H$52)+('Equipment List &amp; Usage'!$P81*'Weekly Summary'!H$53)+('Equipment List &amp; Usage'!$Q81*('Weekly Summary'!H$52+'Weekly Summary'!H$53))+('Equipment List &amp; Usage'!$R81*'Weekly Summary'!H$64)+('Equipment List &amp; Usage'!$S81*'Weekly Summary'!H$65)+('Equipment List &amp; Usage'!$T81*('Weekly Summary'!H$64+'Weekly Summary'!H$65))-SUM($I79:M79))),0)</f>
        <v>8.0632617407996285</v>
      </c>
      <c r="O79" s="1381">
        <f ca="1">MAX(IF($F79="No",('Equipment List &amp; Usage'!$O81*'Weekly Summary'!I$52)+('Equipment List &amp; Usage'!$P81*'Weekly Summary'!I$53)+('Equipment List &amp; Usage'!$Q81*('Weekly Summary'!I$52+'Weekly Summary'!I$53))+('Equipment List &amp; Usage'!$R81*'Weekly Summary'!I$64)+('Equipment List &amp; Usage'!$S81*'Weekly Summary'!I$65)+('Equipment List &amp; Usage'!$T81*('Weekly Summary'!I$64+'Weekly Summary'!I$65)),
IF(O$10=0,('Equipment List &amp; Usage'!$O81*'Weekly Summary'!I$52)+('Equipment List &amp; Usage'!$P81*'Weekly Summary'!I$53)+('Equipment List &amp; Usage'!$Q81*('Weekly Summary'!I$52+'Weekly Summary'!I$53))+('Equipment List &amp; Usage'!$R81*'Weekly Summary'!I$64)+('Equipment List &amp; Usage'!$S81*'Weekly Summary'!I$65)+('Equipment List &amp; Usage'!$T81*('Weekly Summary'!I$64+'Weekly Summary'!I$65)),
('Equipment List &amp; Usage'!$O81*'Weekly Summary'!I$52)+('Equipment List &amp; Usage'!$P81*'Weekly Summary'!I$53)+('Equipment List &amp; Usage'!$Q81*('Weekly Summary'!I$52+'Weekly Summary'!I$53))+('Equipment List &amp; Usage'!$R81*'Weekly Summary'!I$64)+('Equipment List &amp; Usage'!$S81*'Weekly Summary'!I$65)+('Equipment List &amp; Usage'!$T81*('Weekly Summary'!I$64+'Weekly Summary'!I$65))-SUM($I79:N79))),0)</f>
        <v>27.705111326463218</v>
      </c>
      <c r="P79" s="1381">
        <f ca="1">MAX(IF($F79="No",('Equipment List &amp; Usage'!$O81*'Weekly Summary'!J$52)+('Equipment List &amp; Usage'!$P81*'Weekly Summary'!J$53)+('Equipment List &amp; Usage'!$Q81*('Weekly Summary'!J$52+'Weekly Summary'!J$53))+('Equipment List &amp; Usage'!$R81*'Weekly Summary'!J$64)+('Equipment List &amp; Usage'!$S81*'Weekly Summary'!J$65)+('Equipment List &amp; Usage'!$T81*('Weekly Summary'!J$64+'Weekly Summary'!J$65)),
IF(P$10=0,('Equipment List &amp; Usage'!$O81*'Weekly Summary'!J$52)+('Equipment List &amp; Usage'!$P81*'Weekly Summary'!J$53)+('Equipment List &amp; Usage'!$Q81*('Weekly Summary'!J$52+'Weekly Summary'!J$53))+('Equipment List &amp; Usage'!$R81*'Weekly Summary'!J$64)+('Equipment List &amp; Usage'!$S81*'Weekly Summary'!J$65)+('Equipment List &amp; Usage'!$T81*('Weekly Summary'!J$64+'Weekly Summary'!J$65)),
('Equipment List &amp; Usage'!$O81*'Weekly Summary'!J$52)+('Equipment List &amp; Usage'!$P81*'Weekly Summary'!J$53)+('Equipment List &amp; Usage'!$Q81*('Weekly Summary'!J$52+'Weekly Summary'!J$53))+('Equipment List &amp; Usage'!$R81*'Weekly Summary'!J$64)+('Equipment List &amp; Usage'!$S81*'Weekly Summary'!J$65)+('Equipment List &amp; Usage'!$T81*('Weekly Summary'!J$64+'Weekly Summary'!J$65))-SUM($I79:O79))),0)</f>
        <v>95.156538844891386</v>
      </c>
      <c r="Q79" s="1381">
        <f ca="1">MAX(IF($F79="No",('Equipment List &amp; Usage'!$O81*'Weekly Summary'!K$52)+('Equipment List &amp; Usage'!$P81*'Weekly Summary'!K$53)+('Equipment List &amp; Usage'!$Q81*('Weekly Summary'!K$52+'Weekly Summary'!K$53))+('Equipment List &amp; Usage'!$R81*'Weekly Summary'!K$64)+('Equipment List &amp; Usage'!$S81*'Weekly Summary'!K$65)+('Equipment List &amp; Usage'!$T81*('Weekly Summary'!K$64+'Weekly Summary'!K$65)),
IF(Q$10=0,('Equipment List &amp; Usage'!$O81*'Weekly Summary'!K$52)+('Equipment List &amp; Usage'!$P81*'Weekly Summary'!K$53)+('Equipment List &amp; Usage'!$Q81*('Weekly Summary'!K$52+'Weekly Summary'!K$53))+('Equipment List &amp; Usage'!$R81*'Weekly Summary'!K$64)+('Equipment List &amp; Usage'!$S81*'Weekly Summary'!K$65)+('Equipment List &amp; Usage'!$T81*('Weekly Summary'!K$64+'Weekly Summary'!K$65)),
('Equipment List &amp; Usage'!$O81*'Weekly Summary'!K$52)+('Equipment List &amp; Usage'!$P81*'Weekly Summary'!K$53)+('Equipment List &amp; Usage'!$Q81*('Weekly Summary'!K$52+'Weekly Summary'!K$53))+('Equipment List &amp; Usage'!$R81*'Weekly Summary'!K$64)+('Equipment List &amp; Usage'!$S81*'Weekly Summary'!K$65)+('Equipment List &amp; Usage'!$T81*('Weekly Summary'!K$64+'Weekly Summary'!K$65))-SUM($I79:P79))),0)</f>
        <v>0</v>
      </c>
      <c r="R79" s="1381">
        <f ca="1">MAX(IF($F79="No",('Equipment List &amp; Usage'!$O81*'Weekly Summary'!L$52)+('Equipment List &amp; Usage'!$P81*'Weekly Summary'!L$53)+('Equipment List &amp; Usage'!$Q81*('Weekly Summary'!L$52+'Weekly Summary'!L$53))+('Equipment List &amp; Usage'!$R81*'Weekly Summary'!L$64)+('Equipment List &amp; Usage'!$S81*'Weekly Summary'!L$65)+('Equipment List &amp; Usage'!$T81*('Weekly Summary'!L$64+'Weekly Summary'!L$65)),
IF(R$10=0,('Equipment List &amp; Usage'!$O81*'Weekly Summary'!L$52)+('Equipment List &amp; Usage'!$P81*'Weekly Summary'!L$53)+('Equipment List &amp; Usage'!$Q81*('Weekly Summary'!L$52+'Weekly Summary'!L$53))+('Equipment List &amp; Usage'!$R81*'Weekly Summary'!L$64)+('Equipment List &amp; Usage'!$S81*'Weekly Summary'!L$65)+('Equipment List &amp; Usage'!$T81*('Weekly Summary'!L$64+'Weekly Summary'!L$65)),
('Equipment List &amp; Usage'!$O81*'Weekly Summary'!L$52)+('Equipment List &amp; Usage'!$P81*'Weekly Summary'!L$53)+('Equipment List &amp; Usage'!$Q81*('Weekly Summary'!L$52+'Weekly Summary'!L$53))+('Equipment List &amp; Usage'!$R81*'Weekly Summary'!L$64)+('Equipment List &amp; Usage'!$S81*'Weekly Summary'!L$65)+('Equipment List &amp; Usage'!$T81*('Weekly Summary'!L$64+'Weekly Summary'!L$65))-SUM($I79:Q79))),0)</f>
        <v>0</v>
      </c>
      <c r="S79" s="1381">
        <f ca="1">MAX(IF($F79="No",('Equipment List &amp; Usage'!$O81*'Weekly Summary'!M$52)+('Equipment List &amp; Usage'!$P81*'Weekly Summary'!M$53)+('Equipment List &amp; Usage'!$Q81*('Weekly Summary'!M$52+'Weekly Summary'!M$53))+('Equipment List &amp; Usage'!$R81*'Weekly Summary'!M$64)+('Equipment List &amp; Usage'!$S81*'Weekly Summary'!M$65)+('Equipment List &amp; Usage'!$T81*('Weekly Summary'!M$64+'Weekly Summary'!M$65)),
IF(S$10=0,('Equipment List &amp; Usage'!$O81*'Weekly Summary'!M$52)+('Equipment List &amp; Usage'!$P81*'Weekly Summary'!M$53)+('Equipment List &amp; Usage'!$Q81*('Weekly Summary'!M$52+'Weekly Summary'!M$53))+('Equipment List &amp; Usage'!$R81*'Weekly Summary'!M$64)+('Equipment List &amp; Usage'!$S81*'Weekly Summary'!M$65)+('Equipment List &amp; Usage'!$T81*('Weekly Summary'!M$64+'Weekly Summary'!M$65)),
('Equipment List &amp; Usage'!$O81*'Weekly Summary'!M$52)+('Equipment List &amp; Usage'!$P81*'Weekly Summary'!M$53)+('Equipment List &amp; Usage'!$Q81*('Weekly Summary'!M$52+'Weekly Summary'!M$53))+('Equipment List &amp; Usage'!$R81*'Weekly Summary'!M$64)+('Equipment List &amp; Usage'!$S81*'Weekly Summary'!M$65)+('Equipment List &amp; Usage'!$T81*('Weekly Summary'!M$64+'Weekly Summary'!M$65))-SUM($I79:R79))),0)</f>
        <v>0</v>
      </c>
      <c r="T79" s="1381">
        <f ca="1">MAX(IF($F79="No",('Equipment List &amp; Usage'!$O81*'Weekly Summary'!N$52)+('Equipment List &amp; Usage'!$P81*'Weekly Summary'!N$53)+('Equipment List &amp; Usage'!$Q81*('Weekly Summary'!N$52+'Weekly Summary'!N$53))+('Equipment List &amp; Usage'!$R81*'Weekly Summary'!N$64)+('Equipment List &amp; Usage'!$S81*'Weekly Summary'!N$65)+('Equipment List &amp; Usage'!$T81*('Weekly Summary'!N$64+'Weekly Summary'!N$65)),
IF(T$10=0,('Equipment List &amp; Usage'!$O81*'Weekly Summary'!N$52)+('Equipment List &amp; Usage'!$P81*'Weekly Summary'!N$53)+('Equipment List &amp; Usage'!$Q81*('Weekly Summary'!N$52+'Weekly Summary'!N$53))+('Equipment List &amp; Usage'!$R81*'Weekly Summary'!N$64)+('Equipment List &amp; Usage'!$S81*'Weekly Summary'!N$65)+('Equipment List &amp; Usage'!$T81*('Weekly Summary'!N$64+'Weekly Summary'!N$65)),
('Equipment List &amp; Usage'!$O81*'Weekly Summary'!N$52)+('Equipment List &amp; Usage'!$P81*'Weekly Summary'!N$53)+('Equipment List &amp; Usage'!$Q81*('Weekly Summary'!N$52+'Weekly Summary'!N$53))+('Equipment List &amp; Usage'!$R81*'Weekly Summary'!N$64)+('Equipment List &amp; Usage'!$S81*'Weekly Summary'!N$65)+('Equipment List &amp; Usage'!$T81*('Weekly Summary'!N$64+'Weekly Summary'!N$65))-SUM($I79:S79))),0)</f>
        <v>0</v>
      </c>
      <c r="U79" s="1381">
        <f ca="1">MAX(IF($F79="No",('Equipment List &amp; Usage'!$O81*'Weekly Summary'!O$52)+('Equipment List &amp; Usage'!$P81*'Weekly Summary'!O$53)+('Equipment List &amp; Usage'!$Q81*('Weekly Summary'!O$52+'Weekly Summary'!O$53))+('Equipment List &amp; Usage'!$R81*'Weekly Summary'!O$64)+('Equipment List &amp; Usage'!$S81*'Weekly Summary'!O$65)+('Equipment List &amp; Usage'!$T81*('Weekly Summary'!O$64+'Weekly Summary'!O$65)),
IF(U$10=0,('Equipment List &amp; Usage'!$O81*'Weekly Summary'!O$52)+('Equipment List &amp; Usage'!$P81*'Weekly Summary'!O$53)+('Equipment List &amp; Usage'!$Q81*('Weekly Summary'!O$52+'Weekly Summary'!O$53))+('Equipment List &amp; Usage'!$R81*'Weekly Summary'!O$64)+('Equipment List &amp; Usage'!$S81*'Weekly Summary'!O$65)+('Equipment List &amp; Usage'!$T81*('Weekly Summary'!O$64+'Weekly Summary'!O$65)),
('Equipment List &amp; Usage'!$O81*'Weekly Summary'!O$52)+('Equipment List &amp; Usage'!$P81*'Weekly Summary'!O$53)+('Equipment List &amp; Usage'!$Q81*('Weekly Summary'!O$52+'Weekly Summary'!O$53))+('Equipment List &amp; Usage'!$R81*'Weekly Summary'!O$64)+('Equipment List &amp; Usage'!$S81*'Weekly Summary'!O$65)+('Equipment List &amp; Usage'!$T81*('Weekly Summary'!O$64+'Weekly Summary'!O$65))-SUM($I79:T79))),0)</f>
        <v>0</v>
      </c>
      <c r="V79" s="1381">
        <f ca="1">MAX(IF($F79="No",('Equipment List &amp; Usage'!$O81*'Weekly Summary'!P$52)+('Equipment List &amp; Usage'!$P81*'Weekly Summary'!P$53)+('Equipment List &amp; Usage'!$Q81*('Weekly Summary'!P$52+'Weekly Summary'!P$53))+('Equipment List &amp; Usage'!$R81*'Weekly Summary'!P$64)+('Equipment List &amp; Usage'!$S81*'Weekly Summary'!P$65)+('Equipment List &amp; Usage'!$T81*('Weekly Summary'!P$64+'Weekly Summary'!P$65)),
IF(V$10=0,('Equipment List &amp; Usage'!$O81*'Weekly Summary'!P$52)+('Equipment List &amp; Usage'!$P81*'Weekly Summary'!P$53)+('Equipment List &amp; Usage'!$Q81*('Weekly Summary'!P$52+'Weekly Summary'!P$53))+('Equipment List &amp; Usage'!$R81*'Weekly Summary'!P$64)+('Equipment List &amp; Usage'!$S81*'Weekly Summary'!P$65)+('Equipment List &amp; Usage'!$T81*('Weekly Summary'!P$64+'Weekly Summary'!P$65)),
('Equipment List &amp; Usage'!$O81*'Weekly Summary'!P$52)+('Equipment List &amp; Usage'!$P81*'Weekly Summary'!P$53)+('Equipment List &amp; Usage'!$Q81*('Weekly Summary'!P$52+'Weekly Summary'!P$53))+('Equipment List &amp; Usage'!$R81*'Weekly Summary'!P$64)+('Equipment List &amp; Usage'!$S81*'Weekly Summary'!P$65)+('Equipment List &amp; Usage'!$T81*('Weekly Summary'!P$64+'Weekly Summary'!P$65))-SUM($I79:U79))),0)</f>
        <v>0</v>
      </c>
      <c r="W79" s="1381">
        <f ca="1">MAX(IF($F79="No",('Equipment List &amp; Usage'!$O81*'Weekly Summary'!Q$52)+('Equipment List &amp; Usage'!$P81*'Weekly Summary'!Q$53)+('Equipment List &amp; Usage'!$Q81*('Weekly Summary'!Q$52+'Weekly Summary'!Q$53))+('Equipment List &amp; Usage'!$R81*'Weekly Summary'!Q$64)+('Equipment List &amp; Usage'!$S81*'Weekly Summary'!Q$65)+('Equipment List &amp; Usage'!$T81*('Weekly Summary'!Q$64+'Weekly Summary'!Q$65)),
IF(W$10=0,('Equipment List &amp; Usage'!$O81*'Weekly Summary'!Q$52)+('Equipment List &amp; Usage'!$P81*'Weekly Summary'!Q$53)+('Equipment List &amp; Usage'!$Q81*('Weekly Summary'!Q$52+'Weekly Summary'!Q$53))+('Equipment List &amp; Usage'!$R81*'Weekly Summary'!Q$64)+('Equipment List &amp; Usage'!$S81*'Weekly Summary'!Q$65)+('Equipment List &amp; Usage'!$T81*('Weekly Summary'!Q$64+'Weekly Summary'!Q$65)),
('Equipment List &amp; Usage'!$O81*'Weekly Summary'!Q$52)+('Equipment List &amp; Usage'!$P81*'Weekly Summary'!Q$53)+('Equipment List &amp; Usage'!$Q81*('Weekly Summary'!Q$52+'Weekly Summary'!Q$53))+('Equipment List &amp; Usage'!$R81*'Weekly Summary'!Q$64)+('Equipment List &amp; Usage'!$S81*'Weekly Summary'!Q$65)+('Equipment List &amp; Usage'!$T81*('Weekly Summary'!Q$64+'Weekly Summary'!Q$65))-SUM($I79:V79))),0)</f>
        <v>0</v>
      </c>
      <c r="X79" s="1381">
        <f ca="1">MAX(IF($F79="No",('Equipment List &amp; Usage'!$O81*'Weekly Summary'!R$52)+('Equipment List &amp; Usage'!$P81*'Weekly Summary'!R$53)+('Equipment List &amp; Usage'!$Q81*('Weekly Summary'!R$52+'Weekly Summary'!R$53))+('Equipment List &amp; Usage'!$R81*'Weekly Summary'!R$64)+('Equipment List &amp; Usage'!$S81*'Weekly Summary'!R$65)+('Equipment List &amp; Usage'!$T81*('Weekly Summary'!R$64+'Weekly Summary'!R$65)),
IF(X$10=0,('Equipment List &amp; Usage'!$O81*'Weekly Summary'!R$52)+('Equipment List &amp; Usage'!$P81*'Weekly Summary'!R$53)+('Equipment List &amp; Usage'!$Q81*('Weekly Summary'!R$52+'Weekly Summary'!R$53))+('Equipment List &amp; Usage'!$R81*'Weekly Summary'!R$64)+('Equipment List &amp; Usage'!$S81*'Weekly Summary'!R$65)+('Equipment List &amp; Usage'!$T81*('Weekly Summary'!R$64+'Weekly Summary'!R$65)),
('Equipment List &amp; Usage'!$O81*'Weekly Summary'!R$52)+('Equipment List &amp; Usage'!$P81*'Weekly Summary'!R$53)+('Equipment List &amp; Usage'!$Q81*('Weekly Summary'!R$52+'Weekly Summary'!R$53))+('Equipment List &amp; Usage'!$R81*'Weekly Summary'!R$64)+('Equipment List &amp; Usage'!$S81*'Weekly Summary'!R$65)+('Equipment List &amp; Usage'!$T81*('Weekly Summary'!R$64+'Weekly Summary'!R$65))-SUM($I79:W79))),0)</f>
        <v>0</v>
      </c>
      <c r="Y79" s="1381">
        <f ca="1">MAX(IF($F79="No",('Equipment List &amp; Usage'!$O81*'Weekly Summary'!S$52)+('Equipment List &amp; Usage'!$P81*'Weekly Summary'!S$53)+('Equipment List &amp; Usage'!$Q81*('Weekly Summary'!S$52+'Weekly Summary'!S$53))+('Equipment List &amp; Usage'!$R81*'Weekly Summary'!S$64)+('Equipment List &amp; Usage'!$S81*'Weekly Summary'!S$65)+('Equipment List &amp; Usage'!$T81*('Weekly Summary'!S$64+'Weekly Summary'!S$65)),
IF(Y$10=0,('Equipment List &amp; Usage'!$O81*'Weekly Summary'!S$52)+('Equipment List &amp; Usage'!$P81*'Weekly Summary'!S$53)+('Equipment List &amp; Usage'!$Q81*('Weekly Summary'!S$52+'Weekly Summary'!S$53))+('Equipment List &amp; Usage'!$R81*'Weekly Summary'!S$64)+('Equipment List &amp; Usage'!$S81*'Weekly Summary'!S$65)+('Equipment List &amp; Usage'!$T81*('Weekly Summary'!S$64+'Weekly Summary'!S$65)),
('Equipment List &amp; Usage'!$O81*'Weekly Summary'!S$52)+('Equipment List &amp; Usage'!$P81*'Weekly Summary'!S$53)+('Equipment List &amp; Usage'!$Q81*('Weekly Summary'!S$52+'Weekly Summary'!S$53))+('Equipment List &amp; Usage'!$R81*'Weekly Summary'!S$64)+('Equipment List &amp; Usage'!$S81*'Weekly Summary'!S$65)+('Equipment List &amp; Usage'!$T81*('Weekly Summary'!S$64+'Weekly Summary'!S$65))-SUM($I79:X79))),0)</f>
        <v>0</v>
      </c>
      <c r="Z79" s="1381">
        <f ca="1">MAX(IF($F79="No",('Equipment List &amp; Usage'!$O81*'Weekly Summary'!T$52)+('Equipment List &amp; Usage'!$P81*'Weekly Summary'!T$53)+('Equipment List &amp; Usage'!$Q81*('Weekly Summary'!T$52+'Weekly Summary'!T$53))+('Equipment List &amp; Usage'!$R81*'Weekly Summary'!T$64)+('Equipment List &amp; Usage'!$S81*'Weekly Summary'!T$65)+('Equipment List &amp; Usage'!$T81*('Weekly Summary'!T$64+'Weekly Summary'!T$65)),
IF(Z$10=0,('Equipment List &amp; Usage'!$O81*'Weekly Summary'!T$52)+('Equipment List &amp; Usage'!$P81*'Weekly Summary'!T$53)+('Equipment List &amp; Usage'!$Q81*('Weekly Summary'!T$52+'Weekly Summary'!T$53))+('Equipment List &amp; Usage'!$R81*'Weekly Summary'!T$64)+('Equipment List &amp; Usage'!$S81*'Weekly Summary'!T$65)+('Equipment List &amp; Usage'!$T81*('Weekly Summary'!T$64+'Weekly Summary'!T$65)),
('Equipment List &amp; Usage'!$O81*'Weekly Summary'!T$52)+('Equipment List &amp; Usage'!$P81*'Weekly Summary'!T$53)+('Equipment List &amp; Usage'!$Q81*('Weekly Summary'!T$52+'Weekly Summary'!T$53))+('Equipment List &amp; Usage'!$R81*'Weekly Summary'!T$64)+('Equipment List &amp; Usage'!$S81*'Weekly Summary'!T$65)+('Equipment List &amp; Usage'!$T81*('Weekly Summary'!T$64+'Weekly Summary'!T$65))-SUM($I79:Y79))),0)</f>
        <v>0</v>
      </c>
      <c r="AA79" s="1381">
        <f ca="1">MAX(IF($F79="No",('Equipment List &amp; Usage'!$O81*'Weekly Summary'!U$52)+('Equipment List &amp; Usage'!$P81*'Weekly Summary'!U$53)+('Equipment List &amp; Usage'!$Q81*('Weekly Summary'!U$52+'Weekly Summary'!U$53))+('Equipment List &amp; Usage'!$R81*'Weekly Summary'!U$64)+('Equipment List &amp; Usage'!$S81*'Weekly Summary'!U$65)+('Equipment List &amp; Usage'!$T81*('Weekly Summary'!U$64+'Weekly Summary'!U$65)),
IF(AA$10=0,('Equipment List &amp; Usage'!$O81*'Weekly Summary'!U$52)+('Equipment List &amp; Usage'!$P81*'Weekly Summary'!U$53)+('Equipment List &amp; Usage'!$Q81*('Weekly Summary'!U$52+'Weekly Summary'!U$53))+('Equipment List &amp; Usage'!$R81*'Weekly Summary'!U$64)+('Equipment List &amp; Usage'!$S81*'Weekly Summary'!U$65)+('Equipment List &amp; Usage'!$T81*('Weekly Summary'!U$64+'Weekly Summary'!U$65)),
('Equipment List &amp; Usage'!$O81*'Weekly Summary'!U$52)+('Equipment List &amp; Usage'!$P81*'Weekly Summary'!U$53)+('Equipment List &amp; Usage'!$Q81*('Weekly Summary'!U$52+'Weekly Summary'!U$53))+('Equipment List &amp; Usage'!$R81*'Weekly Summary'!U$64)+('Equipment List &amp; Usage'!$S81*'Weekly Summary'!U$65)+('Equipment List &amp; Usage'!$T81*('Weekly Summary'!U$64+'Weekly Summary'!U$65))-SUM($I79:Z79))),0)</f>
        <v>0</v>
      </c>
      <c r="AB79" s="1381">
        <f ca="1">MAX(IF($F79="No",('Equipment List &amp; Usage'!$O81*'Weekly Summary'!V$52)+('Equipment List &amp; Usage'!$P81*'Weekly Summary'!V$53)+('Equipment List &amp; Usage'!$Q81*('Weekly Summary'!V$52+'Weekly Summary'!V$53))+('Equipment List &amp; Usage'!$R81*'Weekly Summary'!V$64)+('Equipment List &amp; Usage'!$S81*'Weekly Summary'!V$65)+('Equipment List &amp; Usage'!$T81*('Weekly Summary'!V$64+'Weekly Summary'!V$65)),
IF(AB$10=0,('Equipment List &amp; Usage'!$O81*'Weekly Summary'!V$52)+('Equipment List &amp; Usage'!$P81*'Weekly Summary'!V$53)+('Equipment List &amp; Usage'!$Q81*('Weekly Summary'!V$52+'Weekly Summary'!V$53))+('Equipment List &amp; Usage'!$R81*'Weekly Summary'!V$64)+('Equipment List &amp; Usage'!$S81*'Weekly Summary'!V$65)+('Equipment List &amp; Usage'!$T81*('Weekly Summary'!V$64+'Weekly Summary'!V$65)),
('Equipment List &amp; Usage'!$O81*'Weekly Summary'!V$52)+('Equipment List &amp; Usage'!$P81*'Weekly Summary'!V$53)+('Equipment List &amp; Usage'!$Q81*('Weekly Summary'!V$52+'Weekly Summary'!V$53))+('Equipment List &amp; Usage'!$R81*'Weekly Summary'!V$64)+('Equipment List &amp; Usage'!$S81*'Weekly Summary'!V$65)+('Equipment List &amp; Usage'!$T81*('Weekly Summary'!V$64+'Weekly Summary'!V$65))-SUM($I79:AA79))),0)</f>
        <v>0</v>
      </c>
      <c r="AC79" s="1381">
        <f ca="1">MAX(IF($F79="No",('Equipment List &amp; Usage'!$O81*'Weekly Summary'!W$52)+('Equipment List &amp; Usage'!$P81*'Weekly Summary'!W$53)+('Equipment List &amp; Usage'!$Q81*('Weekly Summary'!W$52+'Weekly Summary'!W$53))+('Equipment List &amp; Usage'!$R81*'Weekly Summary'!W$64)+('Equipment List &amp; Usage'!$S81*'Weekly Summary'!W$65)+('Equipment List &amp; Usage'!$T81*('Weekly Summary'!W$64+'Weekly Summary'!W$65)),
IF(AC$10=0,('Equipment List &amp; Usage'!$O81*'Weekly Summary'!W$52)+('Equipment List &amp; Usage'!$P81*'Weekly Summary'!W$53)+('Equipment List &amp; Usage'!$Q81*('Weekly Summary'!W$52+'Weekly Summary'!W$53))+('Equipment List &amp; Usage'!$R81*'Weekly Summary'!W$64)+('Equipment List &amp; Usage'!$S81*'Weekly Summary'!W$65)+('Equipment List &amp; Usage'!$T81*('Weekly Summary'!W$64+'Weekly Summary'!W$65)),
('Equipment List &amp; Usage'!$O81*'Weekly Summary'!W$52)+('Equipment List &amp; Usage'!$P81*'Weekly Summary'!W$53)+('Equipment List &amp; Usage'!$Q81*('Weekly Summary'!W$52+'Weekly Summary'!W$53))+('Equipment List &amp; Usage'!$R81*'Weekly Summary'!W$64)+('Equipment List &amp; Usage'!$S81*'Weekly Summary'!W$65)+('Equipment List &amp; Usage'!$T81*('Weekly Summary'!W$64+'Weekly Summary'!W$65))-SUM($I79:AB79))),0)</f>
        <v>0</v>
      </c>
      <c r="AD79" s="1381">
        <f ca="1">MAX(IF($F79="No",('Equipment List &amp; Usage'!$O81*'Weekly Summary'!X$52)+('Equipment List &amp; Usage'!$P81*'Weekly Summary'!X$53)+('Equipment List &amp; Usage'!$Q81*('Weekly Summary'!X$52+'Weekly Summary'!X$53))+('Equipment List &amp; Usage'!$R81*'Weekly Summary'!X$64)+('Equipment List &amp; Usage'!$S81*'Weekly Summary'!X$65)+('Equipment List &amp; Usage'!$T81*('Weekly Summary'!X$64+'Weekly Summary'!X$65)),
IF(AD$10=0,('Equipment List &amp; Usage'!$O81*'Weekly Summary'!X$52)+('Equipment List &amp; Usage'!$P81*'Weekly Summary'!X$53)+('Equipment List &amp; Usage'!$Q81*('Weekly Summary'!X$52+'Weekly Summary'!X$53))+('Equipment List &amp; Usage'!$R81*'Weekly Summary'!X$64)+('Equipment List &amp; Usage'!$S81*'Weekly Summary'!X$65)+('Equipment List &amp; Usage'!$T81*('Weekly Summary'!X$64+'Weekly Summary'!X$65)),
('Equipment List &amp; Usage'!$O81*'Weekly Summary'!X$52)+('Equipment List &amp; Usage'!$P81*'Weekly Summary'!X$53)+('Equipment List &amp; Usage'!$Q81*('Weekly Summary'!X$52+'Weekly Summary'!X$53))+('Equipment List &amp; Usage'!$R81*'Weekly Summary'!X$64)+('Equipment List &amp; Usage'!$S81*'Weekly Summary'!X$65)+('Equipment List &amp; Usage'!$T81*('Weekly Summary'!X$64+'Weekly Summary'!X$65))-SUM($I79:AC79))),0)</f>
        <v>0</v>
      </c>
      <c r="AE79" s="1381">
        <f ca="1">MAX(IF($F79="No",('Equipment List &amp; Usage'!$O81*'Weekly Summary'!Y$52)+('Equipment List &amp; Usage'!$P81*'Weekly Summary'!Y$53)+('Equipment List &amp; Usage'!$Q81*('Weekly Summary'!Y$52+'Weekly Summary'!Y$53))+('Equipment List &amp; Usage'!$R81*'Weekly Summary'!Y$64)+('Equipment List &amp; Usage'!$S81*'Weekly Summary'!Y$65)+('Equipment List &amp; Usage'!$T81*('Weekly Summary'!Y$64+'Weekly Summary'!Y$65)),
IF(AE$10=0,('Equipment List &amp; Usage'!$O81*'Weekly Summary'!Y$52)+('Equipment List &amp; Usage'!$P81*'Weekly Summary'!Y$53)+('Equipment List &amp; Usage'!$Q81*('Weekly Summary'!Y$52+'Weekly Summary'!Y$53))+('Equipment List &amp; Usage'!$R81*'Weekly Summary'!Y$64)+('Equipment List &amp; Usage'!$S81*'Weekly Summary'!Y$65)+('Equipment List &amp; Usage'!$T81*('Weekly Summary'!Y$64+'Weekly Summary'!Y$65)),
('Equipment List &amp; Usage'!$O81*'Weekly Summary'!Y$52)+('Equipment List &amp; Usage'!$P81*'Weekly Summary'!Y$53)+('Equipment List &amp; Usage'!$Q81*('Weekly Summary'!Y$52+'Weekly Summary'!Y$53))+('Equipment List &amp; Usage'!$R81*'Weekly Summary'!Y$64)+('Equipment List &amp; Usage'!$S81*'Weekly Summary'!Y$65)+('Equipment List &amp; Usage'!$T81*('Weekly Summary'!Y$64+'Weekly Summary'!Y$65))-SUM($I79:AD79))),0)</f>
        <v>0</v>
      </c>
      <c r="AF79" s="1381">
        <f ca="1">MAX(IF($F79="No",('Equipment List &amp; Usage'!$O81*'Weekly Summary'!Z$52)+('Equipment List &amp; Usage'!$P81*'Weekly Summary'!Z$53)+('Equipment List &amp; Usage'!$Q81*('Weekly Summary'!Z$52+'Weekly Summary'!Z$53))+('Equipment List &amp; Usage'!$R81*'Weekly Summary'!Z$64)+('Equipment List &amp; Usage'!$S81*'Weekly Summary'!Z$65)+('Equipment List &amp; Usage'!$T81*('Weekly Summary'!Z$64+'Weekly Summary'!Z$65)),
IF(AF$10=0,('Equipment List &amp; Usage'!$O81*'Weekly Summary'!Z$52)+('Equipment List &amp; Usage'!$P81*'Weekly Summary'!Z$53)+('Equipment List &amp; Usage'!$Q81*('Weekly Summary'!Z$52+'Weekly Summary'!Z$53))+('Equipment List &amp; Usage'!$R81*'Weekly Summary'!Z$64)+('Equipment List &amp; Usage'!$S81*'Weekly Summary'!Z$65)+('Equipment List &amp; Usage'!$T81*('Weekly Summary'!Z$64+'Weekly Summary'!Z$65)),
('Equipment List &amp; Usage'!$O81*'Weekly Summary'!Z$52)+('Equipment List &amp; Usage'!$P81*'Weekly Summary'!Z$53)+('Equipment List &amp; Usage'!$Q81*('Weekly Summary'!Z$52+'Weekly Summary'!Z$53))+('Equipment List &amp; Usage'!$R81*'Weekly Summary'!Z$64)+('Equipment List &amp; Usage'!$S81*'Weekly Summary'!Z$65)+('Equipment List &amp; Usage'!$T81*('Weekly Summary'!Z$64+'Weekly Summary'!Z$65))-SUM($I79:AE79))),0)</f>
        <v>0</v>
      </c>
      <c r="AG79" s="1381">
        <f ca="1">MAX(IF($F79="No",('Equipment List &amp; Usage'!$O81*'Weekly Summary'!AA$52)+('Equipment List &amp; Usage'!$P81*'Weekly Summary'!AA$53)+('Equipment List &amp; Usage'!$Q81*('Weekly Summary'!AA$52+'Weekly Summary'!AA$53))+('Equipment List &amp; Usage'!$R81*'Weekly Summary'!AA$64)+('Equipment List &amp; Usage'!$S81*'Weekly Summary'!AA$65)+('Equipment List &amp; Usage'!$T81*('Weekly Summary'!AA$64+'Weekly Summary'!AA$65)),
IF(AG$10=0,('Equipment List &amp; Usage'!$O81*'Weekly Summary'!AA$52)+('Equipment List &amp; Usage'!$P81*'Weekly Summary'!AA$53)+('Equipment List &amp; Usage'!$Q81*('Weekly Summary'!AA$52+'Weekly Summary'!AA$53))+('Equipment List &amp; Usage'!$R81*'Weekly Summary'!AA$64)+('Equipment List &amp; Usage'!$S81*'Weekly Summary'!AA$65)+('Equipment List &amp; Usage'!$T81*('Weekly Summary'!AA$64+'Weekly Summary'!AA$65)),
('Equipment List &amp; Usage'!$O81*'Weekly Summary'!AA$52)+('Equipment List &amp; Usage'!$P81*'Weekly Summary'!AA$53)+('Equipment List &amp; Usage'!$Q81*('Weekly Summary'!AA$52+'Weekly Summary'!AA$53))+('Equipment List &amp; Usage'!$R81*'Weekly Summary'!AA$64)+('Equipment List &amp; Usage'!$S81*'Weekly Summary'!AA$65)+('Equipment List &amp; Usage'!$T81*('Weekly Summary'!AA$64+'Weekly Summary'!AA$65))-SUM($I79:AF79))),0)</f>
        <v>0</v>
      </c>
      <c r="AH79" s="1381">
        <f ca="1">MAX(IF($F79="No",('Equipment List &amp; Usage'!$O81*'Weekly Summary'!AB$52)+('Equipment List &amp; Usage'!$P81*'Weekly Summary'!AB$53)+('Equipment List &amp; Usage'!$Q81*('Weekly Summary'!AB$52+'Weekly Summary'!AB$53))+('Equipment List &amp; Usage'!$R81*'Weekly Summary'!AB$64)+('Equipment List &amp; Usage'!$S81*'Weekly Summary'!AB$65)+('Equipment List &amp; Usage'!$T81*('Weekly Summary'!AB$64+'Weekly Summary'!AB$65)),
IF(AH$10=0,('Equipment List &amp; Usage'!$O81*'Weekly Summary'!AB$52)+('Equipment List &amp; Usage'!$P81*'Weekly Summary'!AB$53)+('Equipment List &amp; Usage'!$Q81*('Weekly Summary'!AB$52+'Weekly Summary'!AB$53))+('Equipment List &amp; Usage'!$R81*'Weekly Summary'!AB$64)+('Equipment List &amp; Usage'!$S81*'Weekly Summary'!AB$65)+('Equipment List &amp; Usage'!$T81*('Weekly Summary'!AB$64+'Weekly Summary'!AB$65)),
('Equipment List &amp; Usage'!$O81*'Weekly Summary'!AB$52)+('Equipment List &amp; Usage'!$P81*'Weekly Summary'!AB$53)+('Equipment List &amp; Usage'!$Q81*('Weekly Summary'!AB$52+'Weekly Summary'!AB$53))+('Equipment List &amp; Usage'!$R81*'Weekly Summary'!AB$64)+('Equipment List &amp; Usage'!$S81*'Weekly Summary'!AB$65)+('Equipment List &amp; Usage'!$T81*('Weekly Summary'!AB$64+'Weekly Summary'!AB$65))-SUM($I79:AG79))),0)</f>
        <v>0</v>
      </c>
      <c r="AI79" s="1381">
        <f ca="1">MAX(IF($F79="No",('Equipment List &amp; Usage'!$O81*'Weekly Summary'!AC$52)+('Equipment List &amp; Usage'!$P81*'Weekly Summary'!AC$53)+('Equipment List &amp; Usage'!$Q81*('Weekly Summary'!AC$52+'Weekly Summary'!AC$53))+('Equipment List &amp; Usage'!$R81*'Weekly Summary'!AC$64)+('Equipment List &amp; Usage'!$S81*'Weekly Summary'!AC$65)+('Equipment List &amp; Usage'!$T81*('Weekly Summary'!AC$64+'Weekly Summary'!AC$65)),
IF(AI$10=0,('Equipment List &amp; Usage'!$O81*'Weekly Summary'!AC$52)+('Equipment List &amp; Usage'!$P81*'Weekly Summary'!AC$53)+('Equipment List &amp; Usage'!$Q81*('Weekly Summary'!AC$52+'Weekly Summary'!AC$53))+('Equipment List &amp; Usage'!$R81*'Weekly Summary'!AC$64)+('Equipment List &amp; Usage'!$S81*'Weekly Summary'!AC$65)+('Equipment List &amp; Usage'!$T81*('Weekly Summary'!AC$64+'Weekly Summary'!AC$65)),
('Equipment List &amp; Usage'!$O81*'Weekly Summary'!AC$52)+('Equipment List &amp; Usage'!$P81*'Weekly Summary'!AC$53)+('Equipment List &amp; Usage'!$Q81*('Weekly Summary'!AC$52+'Weekly Summary'!AC$53))+('Equipment List &amp; Usage'!$R81*'Weekly Summary'!AC$64)+('Equipment List &amp; Usage'!$S81*'Weekly Summary'!AC$65)+('Equipment List &amp; Usage'!$T81*('Weekly Summary'!AC$64+'Weekly Summary'!AC$65))-SUM($I79:AH79))),0)</f>
        <v>0</v>
      </c>
      <c r="AJ79" s="1381">
        <f ca="1">MAX(IF($F79="No",('Equipment List &amp; Usage'!$O81*'Weekly Summary'!AD$52)+('Equipment List &amp; Usage'!$P81*'Weekly Summary'!AD$53)+('Equipment List &amp; Usage'!$Q81*('Weekly Summary'!AD$52+'Weekly Summary'!AD$53))+('Equipment List &amp; Usage'!$R81*'Weekly Summary'!AD$64)+('Equipment List &amp; Usage'!$S81*'Weekly Summary'!AD$65)+('Equipment List &amp; Usage'!$T81*('Weekly Summary'!AD$64+'Weekly Summary'!AD$65)),
IF(AJ$10=0,('Equipment List &amp; Usage'!$O81*'Weekly Summary'!AD$52)+('Equipment List &amp; Usage'!$P81*'Weekly Summary'!AD$53)+('Equipment List &amp; Usage'!$Q81*('Weekly Summary'!AD$52+'Weekly Summary'!AD$53))+('Equipment List &amp; Usage'!$R81*'Weekly Summary'!AD$64)+('Equipment List &amp; Usage'!$S81*'Weekly Summary'!AD$65)+('Equipment List &amp; Usage'!$T81*('Weekly Summary'!AD$64+'Weekly Summary'!AD$65)),
('Equipment List &amp; Usage'!$O81*'Weekly Summary'!AD$52)+('Equipment List &amp; Usage'!$P81*'Weekly Summary'!AD$53)+('Equipment List &amp; Usage'!$Q81*('Weekly Summary'!AD$52+'Weekly Summary'!AD$53))+('Equipment List &amp; Usage'!$R81*'Weekly Summary'!AD$64)+('Equipment List &amp; Usage'!$S81*'Weekly Summary'!AD$65)+('Equipment List &amp; Usage'!$T81*('Weekly Summary'!AD$64+'Weekly Summary'!AD$65))-SUM($I79:AI79))),0)</f>
        <v>0</v>
      </c>
      <c r="AK79" s="1381">
        <f ca="1">MAX(IF($F79="No",('Equipment List &amp; Usage'!$O81*'Weekly Summary'!AE$52)+('Equipment List &amp; Usage'!$P81*'Weekly Summary'!AE$53)+('Equipment List &amp; Usage'!$Q81*('Weekly Summary'!AE$52+'Weekly Summary'!AE$53))+('Equipment List &amp; Usage'!$R81*'Weekly Summary'!AE$64)+('Equipment List &amp; Usage'!$S81*'Weekly Summary'!AE$65)+('Equipment List &amp; Usage'!$T81*('Weekly Summary'!AE$64+'Weekly Summary'!AE$65)),
IF(AK$10=0,('Equipment List &amp; Usage'!$O81*'Weekly Summary'!AE$52)+('Equipment List &amp; Usage'!$P81*'Weekly Summary'!AE$53)+('Equipment List &amp; Usage'!$Q81*('Weekly Summary'!AE$52+'Weekly Summary'!AE$53))+('Equipment List &amp; Usage'!$R81*'Weekly Summary'!AE$64)+('Equipment List &amp; Usage'!$S81*'Weekly Summary'!AE$65)+('Equipment List &amp; Usage'!$T81*('Weekly Summary'!AE$64+'Weekly Summary'!AE$65)),
('Equipment List &amp; Usage'!$O81*'Weekly Summary'!AE$52)+('Equipment List &amp; Usage'!$P81*'Weekly Summary'!AE$53)+('Equipment List &amp; Usage'!$Q81*('Weekly Summary'!AE$52+'Weekly Summary'!AE$53))+('Equipment List &amp; Usage'!$R81*'Weekly Summary'!AE$64)+('Equipment List &amp; Usage'!$S81*'Weekly Summary'!AE$65)+('Equipment List &amp; Usage'!$T81*('Weekly Summary'!AE$64+'Weekly Summary'!AE$65))-SUM($I79:AJ79))),0)</f>
        <v>0</v>
      </c>
      <c r="AL79" s="1381">
        <f ca="1">MAX(IF($F79="No",('Equipment List &amp; Usage'!$O81*'Weekly Summary'!AF$52)+('Equipment List &amp; Usage'!$P81*'Weekly Summary'!AF$53)+('Equipment List &amp; Usage'!$Q81*('Weekly Summary'!AF$52+'Weekly Summary'!AF$53))+('Equipment List &amp; Usage'!$R81*'Weekly Summary'!AF$64)+('Equipment List &amp; Usage'!$S81*'Weekly Summary'!AF$65)+('Equipment List &amp; Usage'!$T81*('Weekly Summary'!AF$64+'Weekly Summary'!AF$65)),
IF(AL$10=0,('Equipment List &amp; Usage'!$O81*'Weekly Summary'!AF$52)+('Equipment List &amp; Usage'!$P81*'Weekly Summary'!AF$53)+('Equipment List &amp; Usage'!$Q81*('Weekly Summary'!AF$52+'Weekly Summary'!AF$53))+('Equipment List &amp; Usage'!$R81*'Weekly Summary'!AF$64)+('Equipment List &amp; Usage'!$S81*'Weekly Summary'!AF$65)+('Equipment List &amp; Usage'!$T81*('Weekly Summary'!AF$64+'Weekly Summary'!AF$65)),
('Equipment List &amp; Usage'!$O81*'Weekly Summary'!AF$52)+('Equipment List &amp; Usage'!$P81*'Weekly Summary'!AF$53)+('Equipment List &amp; Usage'!$Q81*('Weekly Summary'!AF$52+'Weekly Summary'!AF$53))+('Equipment List &amp; Usage'!$R81*'Weekly Summary'!AF$64)+('Equipment List &amp; Usage'!$S81*'Weekly Summary'!AF$65)+('Equipment List &amp; Usage'!$T81*('Weekly Summary'!AF$64+'Weekly Summary'!AF$65))-SUM($I79:AK79))),0)</f>
        <v>0</v>
      </c>
      <c r="AM79" s="1381">
        <f ca="1">MAX(IF($F79="No",('Equipment List &amp; Usage'!$O81*'Weekly Summary'!AG$52)+('Equipment List &amp; Usage'!$P81*'Weekly Summary'!AG$53)+('Equipment List &amp; Usage'!$Q81*('Weekly Summary'!AG$52+'Weekly Summary'!AG$53))+('Equipment List &amp; Usage'!$R81*'Weekly Summary'!AG$64)+('Equipment List &amp; Usage'!$S81*'Weekly Summary'!AG$65)+('Equipment List &amp; Usage'!$T81*('Weekly Summary'!AG$64+'Weekly Summary'!AG$65)),
IF(AM$10=0,('Equipment List &amp; Usage'!$O81*'Weekly Summary'!AG$52)+('Equipment List &amp; Usage'!$P81*'Weekly Summary'!AG$53)+('Equipment List &amp; Usage'!$Q81*('Weekly Summary'!AG$52+'Weekly Summary'!AG$53))+('Equipment List &amp; Usage'!$R81*'Weekly Summary'!AG$64)+('Equipment List &amp; Usage'!$S81*'Weekly Summary'!AG$65)+('Equipment List &amp; Usage'!$T81*('Weekly Summary'!AG$64+'Weekly Summary'!AG$65)),
('Equipment List &amp; Usage'!$O81*'Weekly Summary'!AG$52)+('Equipment List &amp; Usage'!$P81*'Weekly Summary'!AG$53)+('Equipment List &amp; Usage'!$Q81*('Weekly Summary'!AG$52+'Weekly Summary'!AG$53))+('Equipment List &amp; Usage'!$R81*'Weekly Summary'!AG$64)+('Equipment List &amp; Usage'!$S81*'Weekly Summary'!AG$65)+('Equipment List &amp; Usage'!$T81*('Weekly Summary'!AG$64+'Weekly Summary'!AG$65))-SUM($I79:AL79))),0)</f>
        <v>0</v>
      </c>
      <c r="AN79" s="1381">
        <f ca="1">MAX(IF($F79="No",('Equipment List &amp; Usage'!$O81*'Weekly Summary'!AH$52)+('Equipment List &amp; Usage'!$P81*'Weekly Summary'!AH$53)+('Equipment List &amp; Usage'!$Q81*('Weekly Summary'!AH$52+'Weekly Summary'!AH$53))+('Equipment List &amp; Usage'!$R81*'Weekly Summary'!AH$64)+('Equipment List &amp; Usage'!$S81*'Weekly Summary'!AH$65)+('Equipment List &amp; Usage'!$T81*('Weekly Summary'!AH$64+'Weekly Summary'!AH$65)),
IF(AN$10=0,('Equipment List &amp; Usage'!$O81*'Weekly Summary'!AH$52)+('Equipment List &amp; Usage'!$P81*'Weekly Summary'!AH$53)+('Equipment List &amp; Usage'!$Q81*('Weekly Summary'!AH$52+'Weekly Summary'!AH$53))+('Equipment List &amp; Usage'!$R81*'Weekly Summary'!AH$64)+('Equipment List &amp; Usage'!$S81*'Weekly Summary'!AH$65)+('Equipment List &amp; Usage'!$T81*('Weekly Summary'!AH$64+'Weekly Summary'!AH$65)),
('Equipment List &amp; Usage'!$O81*'Weekly Summary'!AH$52)+('Equipment List &amp; Usage'!$P81*'Weekly Summary'!AH$53)+('Equipment List &amp; Usage'!$Q81*('Weekly Summary'!AH$52+'Weekly Summary'!AH$53))+('Equipment List &amp; Usage'!$R81*'Weekly Summary'!AH$64)+('Equipment List &amp; Usage'!$S81*'Weekly Summary'!AH$65)+('Equipment List &amp; Usage'!$T81*('Weekly Summary'!AH$64+'Weekly Summary'!AH$65))-SUM($I79:AM79))),0)</f>
        <v>0</v>
      </c>
      <c r="AO79" s="1381">
        <f ca="1">MAX(IF($F79="No",('Equipment List &amp; Usage'!$O81*'Weekly Summary'!AI$52)+('Equipment List &amp; Usage'!$P81*'Weekly Summary'!AI$53)+('Equipment List &amp; Usage'!$Q81*('Weekly Summary'!AI$52+'Weekly Summary'!AI$53))+('Equipment List &amp; Usage'!$R81*'Weekly Summary'!AI$64)+('Equipment List &amp; Usage'!$S81*'Weekly Summary'!AI$65)+('Equipment List &amp; Usage'!$T81*('Weekly Summary'!AI$64+'Weekly Summary'!AI$65)),
IF(AO$10=0,('Equipment List &amp; Usage'!$O81*'Weekly Summary'!AI$52)+('Equipment List &amp; Usage'!$P81*'Weekly Summary'!AI$53)+('Equipment List &amp; Usage'!$Q81*('Weekly Summary'!AI$52+'Weekly Summary'!AI$53))+('Equipment List &amp; Usage'!$R81*'Weekly Summary'!AI$64)+('Equipment List &amp; Usage'!$S81*'Weekly Summary'!AI$65)+('Equipment List &amp; Usage'!$T81*('Weekly Summary'!AI$64+'Weekly Summary'!AI$65)),
('Equipment List &amp; Usage'!$O81*'Weekly Summary'!AI$52)+('Equipment List &amp; Usage'!$P81*'Weekly Summary'!AI$53)+('Equipment List &amp; Usage'!$Q81*('Weekly Summary'!AI$52+'Weekly Summary'!AI$53))+('Equipment List &amp; Usage'!$R81*'Weekly Summary'!AI$64)+('Equipment List &amp; Usage'!$S81*'Weekly Summary'!AI$65)+('Equipment List &amp; Usage'!$T81*('Weekly Summary'!AI$64+'Weekly Summary'!AI$65))-SUM($I79:AN79))),0)</f>
        <v>0</v>
      </c>
      <c r="AP79" s="1381">
        <f ca="1">MAX(IF($F79="No",('Equipment List &amp; Usage'!$O81*'Weekly Summary'!AJ$52)+('Equipment List &amp; Usage'!$P81*'Weekly Summary'!AJ$53)+('Equipment List &amp; Usage'!$Q81*('Weekly Summary'!AJ$52+'Weekly Summary'!AJ$53))+('Equipment List &amp; Usage'!$R81*'Weekly Summary'!AJ$64)+('Equipment List &amp; Usage'!$S81*'Weekly Summary'!AJ$65)+('Equipment List &amp; Usage'!$T81*('Weekly Summary'!AJ$64+'Weekly Summary'!AJ$65)),
IF(AP$10=0,('Equipment List &amp; Usage'!$O81*'Weekly Summary'!AJ$52)+('Equipment List &amp; Usage'!$P81*'Weekly Summary'!AJ$53)+('Equipment List &amp; Usage'!$Q81*('Weekly Summary'!AJ$52+'Weekly Summary'!AJ$53))+('Equipment List &amp; Usage'!$R81*'Weekly Summary'!AJ$64)+('Equipment List &amp; Usage'!$S81*'Weekly Summary'!AJ$65)+('Equipment List &amp; Usage'!$T81*('Weekly Summary'!AJ$64+'Weekly Summary'!AJ$65)),
('Equipment List &amp; Usage'!$O81*'Weekly Summary'!AJ$52)+('Equipment List &amp; Usage'!$P81*'Weekly Summary'!AJ$53)+('Equipment List &amp; Usage'!$Q81*('Weekly Summary'!AJ$52+'Weekly Summary'!AJ$53))+('Equipment List &amp; Usage'!$R81*'Weekly Summary'!AJ$64)+('Equipment List &amp; Usage'!$S81*'Weekly Summary'!AJ$65)+('Equipment List &amp; Usage'!$T81*('Weekly Summary'!AJ$64+'Weekly Summary'!AJ$65))-SUM($I79:AO79))),0)</f>
        <v>0</v>
      </c>
      <c r="AQ79" s="1381">
        <f ca="1">MAX(IF($F79="No",('Equipment List &amp; Usage'!$O81*'Weekly Summary'!AK$52)+('Equipment List &amp; Usage'!$P81*'Weekly Summary'!AK$53)+('Equipment List &amp; Usage'!$Q81*('Weekly Summary'!AK$52+'Weekly Summary'!AK$53))+('Equipment List &amp; Usage'!$R81*'Weekly Summary'!AK$64)+('Equipment List &amp; Usage'!$S81*'Weekly Summary'!AK$65)+('Equipment List &amp; Usage'!$T81*('Weekly Summary'!AK$64+'Weekly Summary'!AK$65)),
IF(AQ$10=0,('Equipment List &amp; Usage'!$O81*'Weekly Summary'!AK$52)+('Equipment List &amp; Usage'!$P81*'Weekly Summary'!AK$53)+('Equipment List &amp; Usage'!$Q81*('Weekly Summary'!AK$52+'Weekly Summary'!AK$53))+('Equipment List &amp; Usage'!$R81*'Weekly Summary'!AK$64)+('Equipment List &amp; Usage'!$S81*'Weekly Summary'!AK$65)+('Equipment List &amp; Usage'!$T81*('Weekly Summary'!AK$64+'Weekly Summary'!AK$65)),
('Equipment List &amp; Usage'!$O81*'Weekly Summary'!AK$52)+('Equipment List &amp; Usage'!$P81*'Weekly Summary'!AK$53)+('Equipment List &amp; Usage'!$Q81*('Weekly Summary'!AK$52+'Weekly Summary'!AK$53))+('Equipment List &amp; Usage'!$R81*'Weekly Summary'!AK$64)+('Equipment List &amp; Usage'!$S81*'Weekly Summary'!AK$65)+('Equipment List &amp; Usage'!$T81*('Weekly Summary'!AK$64+'Weekly Summary'!AK$65))-SUM($I79:AP79))),0)</f>
        <v>0</v>
      </c>
      <c r="AR79" s="1381">
        <f ca="1">MAX(IF($F79="No",('Equipment List &amp; Usage'!$O81*'Weekly Summary'!AL$52)+('Equipment List &amp; Usage'!$P81*'Weekly Summary'!AL$53)+('Equipment List &amp; Usage'!$Q81*('Weekly Summary'!AL$52+'Weekly Summary'!AL$53))+('Equipment List &amp; Usage'!$R81*'Weekly Summary'!AL$64)+('Equipment List &amp; Usage'!$S81*'Weekly Summary'!AL$65)+('Equipment List &amp; Usage'!$T81*('Weekly Summary'!AL$64+'Weekly Summary'!AL$65)),
IF(AR$10=0,('Equipment List &amp; Usage'!$O81*'Weekly Summary'!AL$52)+('Equipment List &amp; Usage'!$P81*'Weekly Summary'!AL$53)+('Equipment List &amp; Usage'!$Q81*('Weekly Summary'!AL$52+'Weekly Summary'!AL$53))+('Equipment List &amp; Usage'!$R81*'Weekly Summary'!AL$64)+('Equipment List &amp; Usage'!$S81*'Weekly Summary'!AL$65)+('Equipment List &amp; Usage'!$T81*('Weekly Summary'!AL$64+'Weekly Summary'!AL$65)),
('Equipment List &amp; Usage'!$O81*'Weekly Summary'!AL$52)+('Equipment List &amp; Usage'!$P81*'Weekly Summary'!AL$53)+('Equipment List &amp; Usage'!$Q81*('Weekly Summary'!AL$52+'Weekly Summary'!AL$53))+('Equipment List &amp; Usage'!$R81*'Weekly Summary'!AL$64)+('Equipment List &amp; Usage'!$S81*'Weekly Summary'!AL$65)+('Equipment List &amp; Usage'!$T81*('Weekly Summary'!AL$64+'Weekly Summary'!AL$65))-SUM($I79:AQ79))),0)</f>
        <v>0</v>
      </c>
      <c r="AS79" s="1381">
        <f ca="1">MAX(IF($F79="No",('Equipment List &amp; Usage'!$O81*'Weekly Summary'!AM$52)+('Equipment List &amp; Usage'!$P81*'Weekly Summary'!AM$53)+('Equipment List &amp; Usage'!$Q81*('Weekly Summary'!AM$52+'Weekly Summary'!AM$53))+('Equipment List &amp; Usage'!$R81*'Weekly Summary'!AM$64)+('Equipment List &amp; Usage'!$S81*'Weekly Summary'!AM$65)+('Equipment List &amp; Usage'!$T81*('Weekly Summary'!AM$64+'Weekly Summary'!AM$65)),
IF(AS$10=0,('Equipment List &amp; Usage'!$O81*'Weekly Summary'!AM$52)+('Equipment List &amp; Usage'!$P81*'Weekly Summary'!AM$53)+('Equipment List &amp; Usage'!$Q81*('Weekly Summary'!AM$52+'Weekly Summary'!AM$53))+('Equipment List &amp; Usage'!$R81*'Weekly Summary'!AM$64)+('Equipment List &amp; Usage'!$S81*'Weekly Summary'!AM$65)+('Equipment List &amp; Usage'!$T81*('Weekly Summary'!AM$64+'Weekly Summary'!AM$65)),
('Equipment List &amp; Usage'!$O81*'Weekly Summary'!AM$52)+('Equipment List &amp; Usage'!$P81*'Weekly Summary'!AM$53)+('Equipment List &amp; Usage'!$Q81*('Weekly Summary'!AM$52+'Weekly Summary'!AM$53))+('Equipment List &amp; Usage'!$R81*'Weekly Summary'!AM$64)+('Equipment List &amp; Usage'!$S81*'Weekly Summary'!AM$65)+('Equipment List &amp; Usage'!$T81*('Weekly Summary'!AM$64+'Weekly Summary'!AM$65))-SUM($I79:AR79))),0)</f>
        <v>0</v>
      </c>
      <c r="AT79" s="1381">
        <f ca="1">MAX(IF($F79="No",('Equipment List &amp; Usage'!$O81*'Weekly Summary'!AN$52)+('Equipment List &amp; Usage'!$P81*'Weekly Summary'!AN$53)+('Equipment List &amp; Usage'!$Q81*('Weekly Summary'!AN$52+'Weekly Summary'!AN$53))+('Equipment List &amp; Usage'!$R81*'Weekly Summary'!AN$64)+('Equipment List &amp; Usage'!$S81*'Weekly Summary'!AN$65)+('Equipment List &amp; Usage'!$T81*('Weekly Summary'!AN$64+'Weekly Summary'!AN$65)),
IF(AT$10=0,('Equipment List &amp; Usage'!$O81*'Weekly Summary'!AN$52)+('Equipment List &amp; Usage'!$P81*'Weekly Summary'!AN$53)+('Equipment List &amp; Usage'!$Q81*('Weekly Summary'!AN$52+'Weekly Summary'!AN$53))+('Equipment List &amp; Usage'!$R81*'Weekly Summary'!AN$64)+('Equipment List &amp; Usage'!$S81*'Weekly Summary'!AN$65)+('Equipment List &amp; Usage'!$T81*('Weekly Summary'!AN$64+'Weekly Summary'!AN$65)),
('Equipment List &amp; Usage'!$O81*'Weekly Summary'!AN$52)+('Equipment List &amp; Usage'!$P81*'Weekly Summary'!AN$53)+('Equipment List &amp; Usage'!$Q81*('Weekly Summary'!AN$52+'Weekly Summary'!AN$53))+('Equipment List &amp; Usage'!$R81*'Weekly Summary'!AN$64)+('Equipment List &amp; Usage'!$S81*'Weekly Summary'!AN$65)+('Equipment List &amp; Usage'!$T81*('Weekly Summary'!AN$64+'Weekly Summary'!AN$65))-SUM($I79:AS79))),0)</f>
        <v>0</v>
      </c>
      <c r="AU79" s="1381">
        <f ca="1">MAX(IF($F79="No",('Equipment List &amp; Usage'!$O81*'Weekly Summary'!AO$52)+('Equipment List &amp; Usage'!$P81*'Weekly Summary'!AO$53)+('Equipment List &amp; Usage'!$Q81*('Weekly Summary'!AO$52+'Weekly Summary'!AO$53))+('Equipment List &amp; Usage'!$R81*'Weekly Summary'!AO$64)+('Equipment List &amp; Usage'!$S81*'Weekly Summary'!AO$65)+('Equipment List &amp; Usage'!$T81*('Weekly Summary'!AO$64+'Weekly Summary'!AO$65)),
IF(AU$10=0,('Equipment List &amp; Usage'!$O81*'Weekly Summary'!AO$52)+('Equipment List &amp; Usage'!$P81*'Weekly Summary'!AO$53)+('Equipment List &amp; Usage'!$Q81*('Weekly Summary'!AO$52+'Weekly Summary'!AO$53))+('Equipment List &amp; Usage'!$R81*'Weekly Summary'!AO$64)+('Equipment List &amp; Usage'!$S81*'Weekly Summary'!AO$65)+('Equipment List &amp; Usage'!$T81*('Weekly Summary'!AO$64+'Weekly Summary'!AO$65)),
('Equipment List &amp; Usage'!$O81*'Weekly Summary'!AO$52)+('Equipment List &amp; Usage'!$P81*'Weekly Summary'!AO$53)+('Equipment List &amp; Usage'!$Q81*('Weekly Summary'!AO$52+'Weekly Summary'!AO$53))+('Equipment List &amp; Usage'!$R81*'Weekly Summary'!AO$64)+('Equipment List &amp; Usage'!$S81*'Weekly Summary'!AO$65)+('Equipment List &amp; Usage'!$T81*('Weekly Summary'!AO$64+'Weekly Summary'!AO$65))-SUM($I79:AT79))),0)</f>
        <v>0</v>
      </c>
      <c r="AV79" s="1381">
        <f ca="1">MAX(IF($F79="No",('Equipment List &amp; Usage'!$O81*'Weekly Summary'!AP$52)+('Equipment List &amp; Usage'!$P81*'Weekly Summary'!AP$53)+('Equipment List &amp; Usage'!$Q81*('Weekly Summary'!AP$52+'Weekly Summary'!AP$53))+('Equipment List &amp; Usage'!$R81*'Weekly Summary'!AP$64)+('Equipment List &amp; Usage'!$S81*'Weekly Summary'!AP$65)+('Equipment List &amp; Usage'!$T81*('Weekly Summary'!AP$64+'Weekly Summary'!AP$65)),
IF(AV$10=0,('Equipment List &amp; Usage'!$O81*'Weekly Summary'!AP$52)+('Equipment List &amp; Usage'!$P81*'Weekly Summary'!AP$53)+('Equipment List &amp; Usage'!$Q81*('Weekly Summary'!AP$52+'Weekly Summary'!AP$53))+('Equipment List &amp; Usage'!$R81*'Weekly Summary'!AP$64)+('Equipment List &amp; Usage'!$S81*'Weekly Summary'!AP$65)+('Equipment List &amp; Usage'!$T81*('Weekly Summary'!AP$64+'Weekly Summary'!AP$65)),
('Equipment List &amp; Usage'!$O81*'Weekly Summary'!AP$52)+('Equipment List &amp; Usage'!$P81*'Weekly Summary'!AP$53)+('Equipment List &amp; Usage'!$Q81*('Weekly Summary'!AP$52+'Weekly Summary'!AP$53))+('Equipment List &amp; Usage'!$R81*'Weekly Summary'!AP$64)+('Equipment List &amp; Usage'!$S81*'Weekly Summary'!AP$65)+('Equipment List &amp; Usage'!$T81*('Weekly Summary'!AP$64+'Weekly Summary'!AP$65))-SUM($I79:AU79))),0)</f>
        <v>0</v>
      </c>
      <c r="AW79" s="1381">
        <f ca="1">MAX(IF($F79="No",('Equipment List &amp; Usage'!$O81*'Weekly Summary'!AQ$52)+('Equipment List &amp; Usage'!$P81*'Weekly Summary'!AQ$53)+('Equipment List &amp; Usage'!$Q81*('Weekly Summary'!AQ$52+'Weekly Summary'!AQ$53))+('Equipment List &amp; Usage'!$R81*'Weekly Summary'!AQ$64)+('Equipment List &amp; Usage'!$S81*'Weekly Summary'!AQ$65)+('Equipment List &amp; Usage'!$T81*('Weekly Summary'!AQ$64+'Weekly Summary'!AQ$65)),
IF(AW$10=0,('Equipment List &amp; Usage'!$O81*'Weekly Summary'!AQ$52)+('Equipment List &amp; Usage'!$P81*'Weekly Summary'!AQ$53)+('Equipment List &amp; Usage'!$Q81*('Weekly Summary'!AQ$52+'Weekly Summary'!AQ$53))+('Equipment List &amp; Usage'!$R81*'Weekly Summary'!AQ$64)+('Equipment List &amp; Usage'!$S81*'Weekly Summary'!AQ$65)+('Equipment List &amp; Usage'!$T81*('Weekly Summary'!AQ$64+'Weekly Summary'!AQ$65)),
('Equipment List &amp; Usage'!$O81*'Weekly Summary'!AQ$52)+('Equipment List &amp; Usage'!$P81*'Weekly Summary'!AQ$53)+('Equipment List &amp; Usage'!$Q81*('Weekly Summary'!AQ$52+'Weekly Summary'!AQ$53))+('Equipment List &amp; Usage'!$R81*'Weekly Summary'!AQ$64)+('Equipment List &amp; Usage'!$S81*'Weekly Summary'!AQ$65)+('Equipment List &amp; Usage'!$T81*('Weekly Summary'!AQ$64+'Weekly Summary'!AQ$65))-SUM($I79:AV79))),0)</f>
        <v>0</v>
      </c>
      <c r="AX79" s="1381">
        <f ca="1">MAX(IF($F79="No",('Equipment List &amp; Usage'!$O81*'Weekly Summary'!AR$52)+('Equipment List &amp; Usage'!$P81*'Weekly Summary'!AR$53)+('Equipment List &amp; Usage'!$Q81*('Weekly Summary'!AR$52+'Weekly Summary'!AR$53))+('Equipment List &amp; Usage'!$R81*'Weekly Summary'!AR$64)+('Equipment List &amp; Usage'!$S81*'Weekly Summary'!AR$65)+('Equipment List &amp; Usage'!$T81*('Weekly Summary'!AR$64+'Weekly Summary'!AR$65)),
IF(AX$10=0,('Equipment List &amp; Usage'!$O81*'Weekly Summary'!AR$52)+('Equipment List &amp; Usage'!$P81*'Weekly Summary'!AR$53)+('Equipment List &amp; Usage'!$Q81*('Weekly Summary'!AR$52+'Weekly Summary'!AR$53))+('Equipment List &amp; Usage'!$R81*'Weekly Summary'!AR$64)+('Equipment List &amp; Usage'!$S81*'Weekly Summary'!AR$65)+('Equipment List &amp; Usage'!$T81*('Weekly Summary'!AR$64+'Weekly Summary'!AR$65)),
('Equipment List &amp; Usage'!$O81*'Weekly Summary'!AR$52)+('Equipment List &amp; Usage'!$P81*'Weekly Summary'!AR$53)+('Equipment List &amp; Usage'!$Q81*('Weekly Summary'!AR$52+'Weekly Summary'!AR$53))+('Equipment List &amp; Usage'!$R81*'Weekly Summary'!AR$64)+('Equipment List &amp; Usage'!$S81*'Weekly Summary'!AR$65)+('Equipment List &amp; Usage'!$T81*('Weekly Summary'!AR$64+'Weekly Summary'!AR$65))-SUM($I79:AW79))),0)</f>
        <v>0</v>
      </c>
      <c r="AY79" s="1381">
        <f ca="1">MAX(IF($F79="No",('Equipment List &amp; Usage'!$O81*'Weekly Summary'!AS$52)+('Equipment List &amp; Usage'!$P81*'Weekly Summary'!AS$53)+('Equipment List &amp; Usage'!$Q81*('Weekly Summary'!AS$52+'Weekly Summary'!AS$53))+('Equipment List &amp; Usage'!$R81*'Weekly Summary'!AS$64)+('Equipment List &amp; Usage'!$S81*'Weekly Summary'!AS$65)+('Equipment List &amp; Usage'!$T81*('Weekly Summary'!AS$64+'Weekly Summary'!AS$65)),
IF(AY$10=0,('Equipment List &amp; Usage'!$O81*'Weekly Summary'!AS$52)+('Equipment List &amp; Usage'!$P81*'Weekly Summary'!AS$53)+('Equipment List &amp; Usage'!$Q81*('Weekly Summary'!AS$52+'Weekly Summary'!AS$53))+('Equipment List &amp; Usage'!$R81*'Weekly Summary'!AS$64)+('Equipment List &amp; Usage'!$S81*'Weekly Summary'!AS$65)+('Equipment List &amp; Usage'!$T81*('Weekly Summary'!AS$64+'Weekly Summary'!AS$65)),
('Equipment List &amp; Usage'!$O81*'Weekly Summary'!AS$52)+('Equipment List &amp; Usage'!$P81*'Weekly Summary'!AS$53)+('Equipment List &amp; Usage'!$Q81*('Weekly Summary'!AS$52+'Weekly Summary'!AS$53))+('Equipment List &amp; Usage'!$R81*'Weekly Summary'!AS$64)+('Equipment List &amp; Usage'!$S81*'Weekly Summary'!AS$65)+('Equipment List &amp; Usage'!$T81*('Weekly Summary'!AS$64+'Weekly Summary'!AS$65))-SUM($I79:AX79))),0)</f>
        <v>0</v>
      </c>
      <c r="AZ79" s="1381">
        <f ca="1">MAX(IF($F79="No",('Equipment List &amp; Usage'!$O81*'Weekly Summary'!AT$52)+('Equipment List &amp; Usage'!$P81*'Weekly Summary'!AT$53)+('Equipment List &amp; Usage'!$Q81*('Weekly Summary'!AT$52+'Weekly Summary'!AT$53))+('Equipment List &amp; Usage'!$R81*'Weekly Summary'!AT$64)+('Equipment List &amp; Usage'!$S81*'Weekly Summary'!AT$65)+('Equipment List &amp; Usage'!$T81*('Weekly Summary'!AT$64+'Weekly Summary'!AT$65)),
IF(AZ$10=0,('Equipment List &amp; Usage'!$O81*'Weekly Summary'!AT$52)+('Equipment List &amp; Usage'!$P81*'Weekly Summary'!AT$53)+('Equipment List &amp; Usage'!$Q81*('Weekly Summary'!AT$52+'Weekly Summary'!AT$53))+('Equipment List &amp; Usage'!$R81*'Weekly Summary'!AT$64)+('Equipment List &amp; Usage'!$S81*'Weekly Summary'!AT$65)+('Equipment List &amp; Usage'!$T81*('Weekly Summary'!AT$64+'Weekly Summary'!AT$65)),
('Equipment List &amp; Usage'!$O81*'Weekly Summary'!AT$52)+('Equipment List &amp; Usage'!$P81*'Weekly Summary'!AT$53)+('Equipment List &amp; Usage'!$Q81*('Weekly Summary'!AT$52+'Weekly Summary'!AT$53))+('Equipment List &amp; Usage'!$R81*'Weekly Summary'!AT$64)+('Equipment List &amp; Usage'!$S81*'Weekly Summary'!AT$65)+('Equipment List &amp; Usage'!$T81*('Weekly Summary'!AT$64+'Weekly Summary'!AT$65))-SUM($I79:AY79))),0)</f>
        <v>0</v>
      </c>
      <c r="BA79" s="1381">
        <f ca="1">MAX(IF($F79="No",('Equipment List &amp; Usage'!$O81*'Weekly Summary'!AU$52)+('Equipment List &amp; Usage'!$P81*'Weekly Summary'!AU$53)+('Equipment List &amp; Usage'!$Q81*('Weekly Summary'!AU$52+'Weekly Summary'!AU$53))+('Equipment List &amp; Usage'!$R81*'Weekly Summary'!AU$64)+('Equipment List &amp; Usage'!$S81*'Weekly Summary'!AU$65)+('Equipment List &amp; Usage'!$T81*('Weekly Summary'!AU$64+'Weekly Summary'!AU$65)),
IF(BA$10=0,('Equipment List &amp; Usage'!$O81*'Weekly Summary'!AU$52)+('Equipment List &amp; Usage'!$P81*'Weekly Summary'!AU$53)+('Equipment List &amp; Usage'!$Q81*('Weekly Summary'!AU$52+'Weekly Summary'!AU$53))+('Equipment List &amp; Usage'!$R81*'Weekly Summary'!AU$64)+('Equipment List &amp; Usage'!$S81*'Weekly Summary'!AU$65)+('Equipment List &amp; Usage'!$T81*('Weekly Summary'!AU$64+'Weekly Summary'!AU$65)),
('Equipment List &amp; Usage'!$O81*'Weekly Summary'!AU$52)+('Equipment List &amp; Usage'!$P81*'Weekly Summary'!AU$53)+('Equipment List &amp; Usage'!$Q81*('Weekly Summary'!AU$52+'Weekly Summary'!AU$53))+('Equipment List &amp; Usage'!$R81*'Weekly Summary'!AU$64)+('Equipment List &amp; Usage'!$S81*'Weekly Summary'!AU$65)+('Equipment List &amp; Usage'!$T81*('Weekly Summary'!AU$64+'Weekly Summary'!AU$65))-SUM($I79:AZ79))),0)</f>
        <v>0</v>
      </c>
      <c r="BB79" s="1381">
        <f ca="1">MAX(IF($F79="No",('Equipment List &amp; Usage'!$O81*'Weekly Summary'!AV$52)+('Equipment List &amp; Usage'!$P81*'Weekly Summary'!AV$53)+('Equipment List &amp; Usage'!$Q81*('Weekly Summary'!AV$52+'Weekly Summary'!AV$53))+('Equipment List &amp; Usage'!$R81*'Weekly Summary'!AV$64)+('Equipment List &amp; Usage'!$S81*'Weekly Summary'!AV$65)+('Equipment List &amp; Usage'!$T81*('Weekly Summary'!AV$64+'Weekly Summary'!AV$65)),
IF(BB$10=0,('Equipment List &amp; Usage'!$O81*'Weekly Summary'!AV$52)+('Equipment List &amp; Usage'!$P81*'Weekly Summary'!AV$53)+('Equipment List &amp; Usage'!$Q81*('Weekly Summary'!AV$52+'Weekly Summary'!AV$53))+('Equipment List &amp; Usage'!$R81*'Weekly Summary'!AV$64)+('Equipment List &amp; Usage'!$S81*'Weekly Summary'!AV$65)+('Equipment List &amp; Usage'!$T81*('Weekly Summary'!AV$64+'Weekly Summary'!AV$65)),
('Equipment List &amp; Usage'!$O81*'Weekly Summary'!AV$52)+('Equipment List &amp; Usage'!$P81*'Weekly Summary'!AV$53)+('Equipment List &amp; Usage'!$Q81*('Weekly Summary'!AV$52+'Weekly Summary'!AV$53))+('Equipment List &amp; Usage'!$R81*'Weekly Summary'!AV$64)+('Equipment List &amp; Usage'!$S81*'Weekly Summary'!AV$65)+('Equipment List &amp; Usage'!$T81*('Weekly Summary'!AV$64+'Weekly Summary'!AV$65))-SUM($I79:BA79))),0)</f>
        <v>0</v>
      </c>
      <c r="BC79" s="1381">
        <f ca="1">MAX(IF($F79="No",('Equipment List &amp; Usage'!$O81*'Weekly Summary'!AW$52)+('Equipment List &amp; Usage'!$P81*'Weekly Summary'!AW$53)+('Equipment List &amp; Usage'!$Q81*('Weekly Summary'!AW$52+'Weekly Summary'!AW$53))+('Equipment List &amp; Usage'!$R81*'Weekly Summary'!AW$64)+('Equipment List &amp; Usage'!$S81*'Weekly Summary'!AW$65)+('Equipment List &amp; Usage'!$T81*('Weekly Summary'!AW$64+'Weekly Summary'!AW$65)),
IF(BC$10=0,('Equipment List &amp; Usage'!$O81*'Weekly Summary'!AW$52)+('Equipment List &amp; Usage'!$P81*'Weekly Summary'!AW$53)+('Equipment List &amp; Usage'!$Q81*('Weekly Summary'!AW$52+'Weekly Summary'!AW$53))+('Equipment List &amp; Usage'!$R81*'Weekly Summary'!AW$64)+('Equipment List &amp; Usage'!$S81*'Weekly Summary'!AW$65)+('Equipment List &amp; Usage'!$T81*('Weekly Summary'!AW$64+'Weekly Summary'!AW$65)),
('Equipment List &amp; Usage'!$O81*'Weekly Summary'!AW$52)+('Equipment List &amp; Usage'!$P81*'Weekly Summary'!AW$53)+('Equipment List &amp; Usage'!$Q81*('Weekly Summary'!AW$52+'Weekly Summary'!AW$53))+('Equipment List &amp; Usage'!$R81*'Weekly Summary'!AW$64)+('Equipment List &amp; Usage'!$S81*'Weekly Summary'!AW$65)+('Equipment List &amp; Usage'!$T81*('Weekly Summary'!AW$64+'Weekly Summary'!AW$65))-SUM($I79:BB79))),0)</f>
        <v>0</v>
      </c>
      <c r="BD79" s="1381">
        <f ca="1">MAX(IF($F79="No",('Equipment List &amp; Usage'!$O81*'Weekly Summary'!AX$52)+('Equipment List &amp; Usage'!$P81*'Weekly Summary'!AX$53)+('Equipment List &amp; Usage'!$Q81*('Weekly Summary'!AX$52+'Weekly Summary'!AX$53))+('Equipment List &amp; Usage'!$R81*'Weekly Summary'!AX$64)+('Equipment List &amp; Usage'!$S81*'Weekly Summary'!AX$65)+('Equipment List &amp; Usage'!$T81*('Weekly Summary'!AX$64+'Weekly Summary'!AX$65)),
IF(BD$10=0,('Equipment List &amp; Usage'!$O81*'Weekly Summary'!AX$52)+('Equipment List &amp; Usage'!$P81*'Weekly Summary'!AX$53)+('Equipment List &amp; Usage'!$Q81*('Weekly Summary'!AX$52+'Weekly Summary'!AX$53))+('Equipment List &amp; Usage'!$R81*'Weekly Summary'!AX$64)+('Equipment List &amp; Usage'!$S81*'Weekly Summary'!AX$65)+('Equipment List &amp; Usage'!$T81*('Weekly Summary'!AX$64+'Weekly Summary'!AX$65)),
('Equipment List &amp; Usage'!$O81*'Weekly Summary'!AX$52)+('Equipment List &amp; Usage'!$P81*'Weekly Summary'!AX$53)+('Equipment List &amp; Usage'!$Q81*('Weekly Summary'!AX$52+'Weekly Summary'!AX$53))+('Equipment List &amp; Usage'!$R81*'Weekly Summary'!AX$64)+('Equipment List &amp; Usage'!$S81*'Weekly Summary'!AX$65)+('Equipment List &amp; Usage'!$T81*('Weekly Summary'!AX$64+'Weekly Summary'!AX$65))-SUM($I79:BC79))),0)</f>
        <v>0</v>
      </c>
      <c r="BE79" s="1381">
        <f ca="1">MAX(IF($F79="No",('Equipment List &amp; Usage'!$O81*'Weekly Summary'!AY$52)+('Equipment List &amp; Usage'!$P81*'Weekly Summary'!AY$53)+('Equipment List &amp; Usage'!$Q81*('Weekly Summary'!AY$52+'Weekly Summary'!AY$53))+('Equipment List &amp; Usage'!$R81*'Weekly Summary'!AY$64)+('Equipment List &amp; Usage'!$S81*'Weekly Summary'!AY$65)+('Equipment List &amp; Usage'!$T81*('Weekly Summary'!AY$64+'Weekly Summary'!AY$65)),
IF(BE$10=0,('Equipment List &amp; Usage'!$O81*'Weekly Summary'!AY$52)+('Equipment List &amp; Usage'!$P81*'Weekly Summary'!AY$53)+('Equipment List &amp; Usage'!$Q81*('Weekly Summary'!AY$52+'Weekly Summary'!AY$53))+('Equipment List &amp; Usage'!$R81*'Weekly Summary'!AY$64)+('Equipment List &amp; Usage'!$S81*'Weekly Summary'!AY$65)+('Equipment List &amp; Usage'!$T81*('Weekly Summary'!AY$64+'Weekly Summary'!AY$65)),
('Equipment List &amp; Usage'!$O81*'Weekly Summary'!AY$52)+('Equipment List &amp; Usage'!$P81*'Weekly Summary'!AY$53)+('Equipment List &amp; Usage'!$Q81*('Weekly Summary'!AY$52+'Weekly Summary'!AY$53))+('Equipment List &amp; Usage'!$R81*'Weekly Summary'!AY$64)+('Equipment List &amp; Usage'!$S81*'Weekly Summary'!AY$65)+('Equipment List &amp; Usage'!$T81*('Weekly Summary'!AY$64+'Weekly Summary'!AY$65))-SUM($I79:BD79))),0)</f>
        <v>0</v>
      </c>
      <c r="BF79" s="1381">
        <f ca="1">MAX(IF($F79="No",('Equipment List &amp; Usage'!$O81*'Weekly Summary'!AZ$52)+('Equipment List &amp; Usage'!$P81*'Weekly Summary'!AZ$53)+('Equipment List &amp; Usage'!$Q81*('Weekly Summary'!AZ$52+'Weekly Summary'!AZ$53))+('Equipment List &amp; Usage'!$R81*'Weekly Summary'!AZ$64)+('Equipment List &amp; Usage'!$S81*'Weekly Summary'!AZ$65)+('Equipment List &amp; Usage'!$T81*('Weekly Summary'!AZ$64+'Weekly Summary'!AZ$65)),
IF(BF$10=0,('Equipment List &amp; Usage'!$O81*'Weekly Summary'!AZ$52)+('Equipment List &amp; Usage'!$P81*'Weekly Summary'!AZ$53)+('Equipment List &amp; Usage'!$Q81*('Weekly Summary'!AZ$52+'Weekly Summary'!AZ$53))+('Equipment List &amp; Usage'!$R81*'Weekly Summary'!AZ$64)+('Equipment List &amp; Usage'!$S81*'Weekly Summary'!AZ$65)+('Equipment List &amp; Usage'!$T81*('Weekly Summary'!AZ$64+'Weekly Summary'!AZ$65)),
('Equipment List &amp; Usage'!$O81*'Weekly Summary'!AZ$52)+('Equipment List &amp; Usage'!$P81*'Weekly Summary'!AZ$53)+('Equipment List &amp; Usage'!$Q81*('Weekly Summary'!AZ$52+'Weekly Summary'!AZ$53))+('Equipment List &amp; Usage'!$R81*'Weekly Summary'!AZ$64)+('Equipment List &amp; Usage'!$S81*'Weekly Summary'!AZ$65)+('Equipment List &amp; Usage'!$T81*('Weekly Summary'!AZ$64+'Weekly Summary'!AZ$65))-SUM($I79:BE79))),0)</f>
        <v>0</v>
      </c>
      <c r="BG79" s="1381">
        <f ca="1">MAX(IF($F79="No",('Equipment List &amp; Usage'!$O81*'Weekly Summary'!BA$52)+('Equipment List &amp; Usage'!$P81*'Weekly Summary'!BA$53)+('Equipment List &amp; Usage'!$Q81*('Weekly Summary'!BA$52+'Weekly Summary'!BA$53))+('Equipment List &amp; Usage'!$R81*'Weekly Summary'!BA$64)+('Equipment List &amp; Usage'!$S81*'Weekly Summary'!BA$65)+('Equipment List &amp; Usage'!$T81*('Weekly Summary'!BA$64+'Weekly Summary'!BA$65)),
IF(BG$10=0,('Equipment List &amp; Usage'!$O81*'Weekly Summary'!BA$52)+('Equipment List &amp; Usage'!$P81*'Weekly Summary'!BA$53)+('Equipment List &amp; Usage'!$Q81*('Weekly Summary'!BA$52+'Weekly Summary'!BA$53))+('Equipment List &amp; Usage'!$R81*'Weekly Summary'!BA$64)+('Equipment List &amp; Usage'!$S81*'Weekly Summary'!BA$65)+('Equipment List &amp; Usage'!$T81*('Weekly Summary'!BA$64+'Weekly Summary'!BA$65)),
('Equipment List &amp; Usage'!$O81*'Weekly Summary'!BA$52)+('Equipment List &amp; Usage'!$P81*'Weekly Summary'!BA$53)+('Equipment List &amp; Usage'!$Q81*('Weekly Summary'!BA$52+'Weekly Summary'!BA$53))+('Equipment List &amp; Usage'!$R81*'Weekly Summary'!BA$64)+('Equipment List &amp; Usage'!$S81*'Weekly Summary'!BA$65)+('Equipment List &amp; Usage'!$T81*('Weekly Summary'!BA$64+'Weekly Summary'!BA$65))-SUM($I79:BF79))),0)</f>
        <v>0</v>
      </c>
      <c r="BH79" s="1381">
        <f ca="1">MAX(IF($F79="No",('Equipment List &amp; Usage'!$O81*'Weekly Summary'!BB$52)+('Equipment List &amp; Usage'!$P81*'Weekly Summary'!BB$53)+('Equipment List &amp; Usage'!$Q81*('Weekly Summary'!BB$52+'Weekly Summary'!BB$53))+('Equipment List &amp; Usage'!$R81*'Weekly Summary'!BB$64)+('Equipment List &amp; Usage'!$S81*'Weekly Summary'!BB$65)+('Equipment List &amp; Usage'!$T81*('Weekly Summary'!BB$64+'Weekly Summary'!BB$65)),
IF(BH$10=0,('Equipment List &amp; Usage'!$O81*'Weekly Summary'!BB$52)+('Equipment List &amp; Usage'!$P81*'Weekly Summary'!BB$53)+('Equipment List &amp; Usage'!$Q81*('Weekly Summary'!BB$52+'Weekly Summary'!BB$53))+('Equipment List &amp; Usage'!$R81*'Weekly Summary'!BB$64)+('Equipment List &amp; Usage'!$S81*'Weekly Summary'!BB$65)+('Equipment List &amp; Usage'!$T81*('Weekly Summary'!BB$64+'Weekly Summary'!BB$65)),
('Equipment List &amp; Usage'!$O81*'Weekly Summary'!BB$52)+('Equipment List &amp; Usage'!$P81*'Weekly Summary'!BB$53)+('Equipment List &amp; Usage'!$Q81*('Weekly Summary'!BB$52+'Weekly Summary'!BB$53))+('Equipment List &amp; Usage'!$R81*'Weekly Summary'!BB$64)+('Equipment List &amp; Usage'!$S81*'Weekly Summary'!BB$65)+('Equipment List &amp; Usage'!$T81*('Weekly Summary'!BB$64+'Weekly Summary'!BB$65))-SUM($I79:BG79))),0)</f>
        <v>0</v>
      </c>
      <c r="BI79" s="1381">
        <f ca="1">MAX(IF($F79="No",('Equipment List &amp; Usage'!$O81*'Weekly Summary'!BC$52)+('Equipment List &amp; Usage'!$P81*'Weekly Summary'!BC$53)+('Equipment List &amp; Usage'!$Q81*('Weekly Summary'!BC$52+'Weekly Summary'!BC$53))+('Equipment List &amp; Usage'!$R81*'Weekly Summary'!BC$64)+('Equipment List &amp; Usage'!$S81*'Weekly Summary'!BC$65)+('Equipment List &amp; Usage'!$T81*('Weekly Summary'!BC$64+'Weekly Summary'!BC$65)),
IF(BI$10=0,('Equipment List &amp; Usage'!$O81*'Weekly Summary'!BC$52)+('Equipment List &amp; Usage'!$P81*'Weekly Summary'!BC$53)+('Equipment List &amp; Usage'!$Q81*('Weekly Summary'!BC$52+'Weekly Summary'!BC$53))+('Equipment List &amp; Usage'!$R81*'Weekly Summary'!BC$64)+('Equipment List &amp; Usage'!$S81*'Weekly Summary'!BC$65)+('Equipment List &amp; Usage'!$T81*('Weekly Summary'!BC$64+'Weekly Summary'!BC$65)),
('Equipment List &amp; Usage'!$O81*'Weekly Summary'!BC$52)+('Equipment List &amp; Usage'!$P81*'Weekly Summary'!BC$53)+('Equipment List &amp; Usage'!$Q81*('Weekly Summary'!BC$52+'Weekly Summary'!BC$53))+('Equipment List &amp; Usage'!$R81*'Weekly Summary'!BC$64)+('Equipment List &amp; Usage'!$S81*'Weekly Summary'!BC$65)+('Equipment List &amp; Usage'!$T81*('Weekly Summary'!BC$64+'Weekly Summary'!BC$65))-SUM($I79:BH79))),0)</f>
        <v>0</v>
      </c>
      <c r="BJ79" s="1382">
        <f ca="1">MAX(IF($F79="No",('Equipment List &amp; Usage'!$O81*'Weekly Summary'!BD$52)+('Equipment List &amp; Usage'!$P81*'Weekly Summary'!BD$53)+('Equipment List &amp; Usage'!$Q81*('Weekly Summary'!BD$52+'Weekly Summary'!BD$53))+('Equipment List &amp; Usage'!$R81*'Weekly Summary'!BD$64)+('Equipment List &amp; Usage'!$S81*'Weekly Summary'!BD$65)+('Equipment List &amp; Usage'!$T81*('Weekly Summary'!BD$64+'Weekly Summary'!BD$65)),
IF(BJ$10=0,('Equipment List &amp; Usage'!$O81*'Weekly Summary'!BD$52)+('Equipment List &amp; Usage'!$P81*'Weekly Summary'!BD$53)+('Equipment List &amp; Usage'!$Q81*('Weekly Summary'!BD$52+'Weekly Summary'!BD$53))+('Equipment List &amp; Usage'!$R81*'Weekly Summary'!BD$64)+('Equipment List &amp; Usage'!$S81*'Weekly Summary'!BD$65)+('Equipment List &amp; Usage'!$T81*('Weekly Summary'!BD$64+'Weekly Summary'!BD$65)),
('Equipment List &amp; Usage'!$O81*'Weekly Summary'!BD$52)+('Equipment List &amp; Usage'!$P81*'Weekly Summary'!BD$53)+('Equipment List &amp; Usage'!$Q81*('Weekly Summary'!BD$52+'Weekly Summary'!BD$53))+('Equipment List &amp; Usage'!$R81*'Weekly Summary'!BD$64)+('Equipment List &amp; Usage'!$S81*'Weekly Summary'!BD$65)+('Equipment List &amp; Usage'!$T81*('Weekly Summary'!BD$64+'Weekly Summary'!BD$65))-SUM($I79:BI79))),0)</f>
        <v>0</v>
      </c>
    </row>
    <row r="80" spans="2:62" ht="190.75" customHeight="1" collapsed="1" x14ac:dyDescent="0.35">
      <c r="B80" s="735" t="str">
        <f>'Equipment List &amp; Usage'!B82</f>
        <v>Case management - accessories &amp; consumables</v>
      </c>
      <c r="C80" s="526" t="str">
        <f>'Equipment List &amp; Usage'!C82</f>
        <v>Airway Management &amp; Intubation</v>
      </c>
      <c r="D80" s="526" t="str">
        <f>'Equipment List &amp; Usage'!D82</f>
        <v>Cricothyrotomy, set, emergency, 6 mm, sterile, single use</v>
      </c>
      <c r="E80" s="526" t="str">
        <f>'Equipment List &amp; Usage'!E82</f>
        <v>Each</v>
      </c>
      <c r="F80" s="526" t="str">
        <f>'Equipment List &amp; Usage'!F82</f>
        <v>Yes</v>
      </c>
      <c r="G80" s="526" t="str">
        <f>'Equipment List &amp; Usage'!G82</f>
        <v>Supplied with:
1  - 6.0 mm, cuffed cricothyroidotomy tube
1  - cricothyroidotomy, tube holder
1  - dilator
1  - scalpel blade, No. 15, for handle No. 3, sterile, single use
1  - suture, surgical, synthetic, non absorbable, monofilament, DEC 3.5 (0), 45 cm, with needle, 3/8 circle, 29.9 mm, cutting point
1  - syringe, 10 mL, two or three pieces, Luer type, sterile, single use
1  - Thermovent T (HME)</v>
      </c>
      <c r="H80" s="1369">
        <f t="shared" ca="1" si="3"/>
        <v>6.1430825085677299</v>
      </c>
      <c r="J80" s="1344"/>
      <c r="K80" s="1381">
        <f ca="1">IF('User Dashboard'!$H$13=1,0,MAX(IF($F80="No",('Equipment List &amp; Usage'!$O82*'Weekly Summary'!E$52)+('Equipment List &amp; Usage'!$P82*'Weekly Summary'!E$53)+('Equipment List &amp; Usage'!$Q82*('Weekly Summary'!E$52+'Weekly Summary'!E$53))+('Equipment List &amp; Usage'!$R82*'Weekly Summary'!E$64)+('Equipment List &amp; Usage'!$S82*'Weekly Summary'!E$65)+('Equipment List &amp; Usage'!$T82*('Weekly Summary'!E$64+'Weekly Summary'!E$65)),
IF(K$10=0,('Equipment List &amp; Usage'!$O82*'Weekly Summary'!E$52)+('Equipment List &amp; Usage'!$P82*'Weekly Summary'!E$53)+('Equipment List &amp; Usage'!$Q82*('Weekly Summary'!E$52+'Weekly Summary'!E$53))+('Equipment List &amp; Usage'!$R82*'Weekly Summary'!E$64)+('Equipment List &amp; Usage'!$S82*'Weekly Summary'!E$65)+('Equipment List &amp; Usage'!$T82*('Weekly Summary'!E$64+'Weekly Summary'!E$65)),
('Equipment List &amp; Usage'!$O82*'Weekly Summary'!E$52)+('Equipment List &amp; Usage'!$P82*'Weekly Summary'!E$53)+('Equipment List &amp; Usage'!$Q82*('Weekly Summary'!E$52+'Weekly Summary'!E$53))+('Equipment List &amp; Usage'!$R82*'Weekly Summary'!E$64)+('Equipment List &amp; Usage'!$S82*'Weekly Summary'!E$65)+('Equipment List &amp; Usage'!$T82*('Weekly Summary'!E$64+'Weekly Summary'!E$65))-SUM($I80:I80))),0))</f>
        <v>1.3267958138936171E-2</v>
      </c>
      <c r="L80" s="1381">
        <f ca="1">MAX(IF($F80="No",('Equipment List &amp; Usage'!$O82*'Weekly Summary'!F$52)+('Equipment List &amp; Usage'!$P82*'Weekly Summary'!F$53)+('Equipment List &amp; Usage'!$Q82*('Weekly Summary'!F$52+'Weekly Summary'!F$53))+('Equipment List &amp; Usage'!$R82*'Weekly Summary'!F$64)+('Equipment List &amp; Usage'!$S82*'Weekly Summary'!F$65)+('Equipment List &amp; Usage'!$T82*('Weekly Summary'!F$64+'Weekly Summary'!F$65)),
IF(L$10=0,('Equipment List &amp; Usage'!$O82*'Weekly Summary'!F$52)+('Equipment List &amp; Usage'!$P82*'Weekly Summary'!F$53)+('Equipment List &amp; Usage'!$Q82*('Weekly Summary'!F$52+'Weekly Summary'!F$53))+('Equipment List &amp; Usage'!$R82*'Weekly Summary'!F$64)+('Equipment List &amp; Usage'!$S82*'Weekly Summary'!F$65)+('Equipment List &amp; Usage'!$T82*('Weekly Summary'!F$64+'Weekly Summary'!F$65)),
('Equipment List &amp; Usage'!$O82*'Weekly Summary'!F$52)+('Equipment List &amp; Usage'!$P82*'Weekly Summary'!F$53)+('Equipment List &amp; Usage'!$Q82*('Weekly Summary'!F$52+'Weekly Summary'!F$53))+('Equipment List &amp; Usage'!$R82*'Weekly Summary'!F$64)+('Equipment List &amp; Usage'!$S82*'Weekly Summary'!F$65)+('Equipment List &amp; Usage'!$T82*('Weekly Summary'!F$64+'Weekly Summary'!F$65))-SUM($I80:K80))),0)</f>
        <v>3.0807085565527484E-2</v>
      </c>
      <c r="M80" s="1381">
        <f ca="1">MAX(IF($F80="No",('Equipment List &amp; Usage'!$O82*'Weekly Summary'!G$52)+('Equipment List &amp; Usage'!$P82*'Weekly Summary'!G$53)+('Equipment List &amp; Usage'!$Q82*('Weekly Summary'!G$52+'Weekly Summary'!G$53))+('Equipment List &amp; Usage'!$R82*'Weekly Summary'!G$64)+('Equipment List &amp; Usage'!$S82*'Weekly Summary'!G$65)+('Equipment List &amp; Usage'!$T82*('Weekly Summary'!G$64+'Weekly Summary'!G$65)),
IF(M$10=0,('Equipment List &amp; Usage'!$O82*'Weekly Summary'!G$52)+('Equipment List &amp; Usage'!$P82*'Weekly Summary'!G$53)+('Equipment List &amp; Usage'!$Q82*('Weekly Summary'!G$52+'Weekly Summary'!G$53))+('Equipment List &amp; Usage'!$R82*'Weekly Summary'!G$64)+('Equipment List &amp; Usage'!$S82*'Weekly Summary'!G$65)+('Equipment List &amp; Usage'!$T82*('Weekly Summary'!G$64+'Weekly Summary'!G$65)),
('Equipment List &amp; Usage'!$O82*'Weekly Summary'!G$52)+('Equipment List &amp; Usage'!$P82*'Weekly Summary'!G$53)+('Equipment List &amp; Usage'!$Q82*('Weekly Summary'!G$52+'Weekly Summary'!G$53))+('Equipment List &amp; Usage'!$R82*'Weekly Summary'!G$64)+('Equipment List &amp; Usage'!$S82*'Weekly Summary'!G$65)+('Equipment List &amp; Usage'!$T82*('Weekly Summary'!G$64+'Weekly Summary'!G$65))-SUM($I80:L80))),0)</f>
        <v>0.10738806756054065</v>
      </c>
      <c r="N80" s="1381">
        <f ca="1">MAX(IF($F80="No",('Equipment List &amp; Usage'!$O82*'Weekly Summary'!H$52)+('Equipment List &amp; Usage'!$P82*'Weekly Summary'!H$53)+('Equipment List &amp; Usage'!$Q82*('Weekly Summary'!H$52+'Weekly Summary'!H$53))+('Equipment List &amp; Usage'!$R82*'Weekly Summary'!H$64)+('Equipment List &amp; Usage'!$S82*'Weekly Summary'!H$65)+('Equipment List &amp; Usage'!$T82*('Weekly Summary'!H$64+'Weekly Summary'!H$65)),
IF(N$10=0,('Equipment List &amp; Usage'!$O82*'Weekly Summary'!H$52)+('Equipment List &amp; Usage'!$P82*'Weekly Summary'!H$53)+('Equipment List &amp; Usage'!$Q82*('Weekly Summary'!H$52+'Weekly Summary'!H$53))+('Equipment List &amp; Usage'!$R82*'Weekly Summary'!H$64)+('Equipment List &amp; Usage'!$S82*'Weekly Summary'!H$65)+('Equipment List &amp; Usage'!$T82*('Weekly Summary'!H$64+'Weekly Summary'!H$65)),
('Equipment List &amp; Usage'!$O82*'Weekly Summary'!H$52)+('Equipment List &amp; Usage'!$P82*'Weekly Summary'!H$53)+('Equipment List &amp; Usage'!$Q82*('Weekly Summary'!H$52+'Weekly Summary'!H$53))+('Equipment List &amp; Usage'!$R82*'Weekly Summary'!H$64)+('Equipment List &amp; Usage'!$S82*'Weekly Summary'!H$65)+('Equipment List &amp; Usage'!$T82*('Weekly Summary'!H$64+'Weekly Summary'!H$65))-SUM($I80:M80))),0)</f>
        <v>0.36902266814112061</v>
      </c>
      <c r="O80" s="1381">
        <f ca="1">MAX(IF($F80="No",('Equipment List &amp; Usage'!$O82*'Weekly Summary'!I$52)+('Equipment List &amp; Usage'!$P82*'Weekly Summary'!I$53)+('Equipment List &amp; Usage'!$Q82*('Weekly Summary'!I$52+'Weekly Summary'!I$53))+('Equipment List &amp; Usage'!$R82*'Weekly Summary'!I$64)+('Equipment List &amp; Usage'!$S82*'Weekly Summary'!I$65)+('Equipment List &amp; Usage'!$T82*('Weekly Summary'!I$64+'Weekly Summary'!I$65)),
IF(O$10=0,('Equipment List &amp; Usage'!$O82*'Weekly Summary'!I$52)+('Equipment List &amp; Usage'!$P82*'Weekly Summary'!I$53)+('Equipment List &amp; Usage'!$Q82*('Weekly Summary'!I$52+'Weekly Summary'!I$53))+('Equipment List &amp; Usage'!$R82*'Weekly Summary'!I$64)+('Equipment List &amp; Usage'!$S82*'Weekly Summary'!I$65)+('Equipment List &amp; Usage'!$T82*('Weekly Summary'!I$64+'Weekly Summary'!I$65)),
('Equipment List &amp; Usage'!$O82*'Weekly Summary'!I$52)+('Equipment List &amp; Usage'!$P82*'Weekly Summary'!I$53)+('Equipment List &amp; Usage'!$Q82*('Weekly Summary'!I$52+'Weekly Summary'!I$53))+('Equipment List &amp; Usage'!$R82*'Weekly Summary'!I$64)+('Equipment List &amp; Usage'!$S82*'Weekly Summary'!I$65)+('Equipment List &amp; Usage'!$T82*('Weekly Summary'!I$64+'Weekly Summary'!I$65))-SUM($I80:N80))),0)</f>
        <v>1.2679328739570175</v>
      </c>
      <c r="P80" s="1381">
        <f ca="1">MAX(IF($F80="No",('Equipment List &amp; Usage'!$O82*'Weekly Summary'!J$52)+('Equipment List &amp; Usage'!$P82*'Weekly Summary'!J$53)+('Equipment List &amp; Usage'!$Q82*('Weekly Summary'!J$52+'Weekly Summary'!J$53))+('Equipment List &amp; Usage'!$R82*'Weekly Summary'!J$64)+('Equipment List &amp; Usage'!$S82*'Weekly Summary'!J$65)+('Equipment List &amp; Usage'!$T82*('Weekly Summary'!J$64+'Weekly Summary'!J$65)),
IF(P$10=0,('Equipment List &amp; Usage'!$O82*'Weekly Summary'!J$52)+('Equipment List &amp; Usage'!$P82*'Weekly Summary'!J$53)+('Equipment List &amp; Usage'!$Q82*('Weekly Summary'!J$52+'Weekly Summary'!J$53))+('Equipment List &amp; Usage'!$R82*'Weekly Summary'!J$64)+('Equipment List &amp; Usage'!$S82*'Weekly Summary'!J$65)+('Equipment List &amp; Usage'!$T82*('Weekly Summary'!J$64+'Weekly Summary'!J$65)),
('Equipment List &amp; Usage'!$O82*'Weekly Summary'!J$52)+('Equipment List &amp; Usage'!$P82*'Weekly Summary'!J$53)+('Equipment List &amp; Usage'!$Q82*('Weekly Summary'!J$52+'Weekly Summary'!J$53))+('Equipment List &amp; Usage'!$R82*'Weekly Summary'!J$64)+('Equipment List &amp; Usage'!$S82*'Weekly Summary'!J$65)+('Equipment List &amp; Usage'!$T82*('Weekly Summary'!J$64+'Weekly Summary'!J$65))-SUM($I80:O80))),0)</f>
        <v>4.3546638552045875</v>
      </c>
      <c r="Q80" s="1381">
        <f ca="1">MAX(IF($F80="No",('Equipment List &amp; Usage'!$O82*'Weekly Summary'!K$52)+('Equipment List &amp; Usage'!$P82*'Weekly Summary'!K$53)+('Equipment List &amp; Usage'!$Q82*('Weekly Summary'!K$52+'Weekly Summary'!K$53))+('Equipment List &amp; Usage'!$R82*'Weekly Summary'!K$64)+('Equipment List &amp; Usage'!$S82*'Weekly Summary'!K$65)+('Equipment List &amp; Usage'!$T82*('Weekly Summary'!K$64+'Weekly Summary'!K$65)),
IF(Q$10=0,('Equipment List &amp; Usage'!$O82*'Weekly Summary'!K$52)+('Equipment List &amp; Usage'!$P82*'Weekly Summary'!K$53)+('Equipment List &amp; Usage'!$Q82*('Weekly Summary'!K$52+'Weekly Summary'!K$53))+('Equipment List &amp; Usage'!$R82*'Weekly Summary'!K$64)+('Equipment List &amp; Usage'!$S82*'Weekly Summary'!K$65)+('Equipment List &amp; Usage'!$T82*('Weekly Summary'!K$64+'Weekly Summary'!K$65)),
('Equipment List &amp; Usage'!$O82*'Weekly Summary'!K$52)+('Equipment List &amp; Usage'!$P82*'Weekly Summary'!K$53)+('Equipment List &amp; Usage'!$Q82*('Weekly Summary'!K$52+'Weekly Summary'!K$53))+('Equipment List &amp; Usage'!$R82*'Weekly Summary'!K$64)+('Equipment List &amp; Usage'!$S82*'Weekly Summary'!K$65)+('Equipment List &amp; Usage'!$T82*('Weekly Summary'!K$64+'Weekly Summary'!K$65))-SUM($I80:P80))),0)</f>
        <v>0</v>
      </c>
      <c r="R80" s="1381">
        <f ca="1">MAX(IF($F80="No",('Equipment List &amp; Usage'!$O82*'Weekly Summary'!L$52)+('Equipment List &amp; Usage'!$P82*'Weekly Summary'!L$53)+('Equipment List &amp; Usage'!$Q82*('Weekly Summary'!L$52+'Weekly Summary'!L$53))+('Equipment List &amp; Usage'!$R82*'Weekly Summary'!L$64)+('Equipment List &amp; Usage'!$S82*'Weekly Summary'!L$65)+('Equipment List &amp; Usage'!$T82*('Weekly Summary'!L$64+'Weekly Summary'!L$65)),
IF(R$10=0,('Equipment List &amp; Usage'!$O82*'Weekly Summary'!L$52)+('Equipment List &amp; Usage'!$P82*'Weekly Summary'!L$53)+('Equipment List &amp; Usage'!$Q82*('Weekly Summary'!L$52+'Weekly Summary'!L$53))+('Equipment List &amp; Usage'!$R82*'Weekly Summary'!L$64)+('Equipment List &amp; Usage'!$S82*'Weekly Summary'!L$65)+('Equipment List &amp; Usage'!$T82*('Weekly Summary'!L$64+'Weekly Summary'!L$65)),
('Equipment List &amp; Usage'!$O82*'Weekly Summary'!L$52)+('Equipment List &amp; Usage'!$P82*'Weekly Summary'!L$53)+('Equipment List &amp; Usage'!$Q82*('Weekly Summary'!L$52+'Weekly Summary'!L$53))+('Equipment List &amp; Usage'!$R82*'Weekly Summary'!L$64)+('Equipment List &amp; Usage'!$S82*'Weekly Summary'!L$65)+('Equipment List &amp; Usage'!$T82*('Weekly Summary'!L$64+'Weekly Summary'!L$65))-SUM($I80:Q80))),0)</f>
        <v>0</v>
      </c>
      <c r="S80" s="1381">
        <f ca="1">MAX(IF($F80="No",('Equipment List &amp; Usage'!$O82*'Weekly Summary'!M$52)+('Equipment List &amp; Usage'!$P82*'Weekly Summary'!M$53)+('Equipment List &amp; Usage'!$Q82*('Weekly Summary'!M$52+'Weekly Summary'!M$53))+('Equipment List &amp; Usage'!$R82*'Weekly Summary'!M$64)+('Equipment List &amp; Usage'!$S82*'Weekly Summary'!M$65)+('Equipment List &amp; Usage'!$T82*('Weekly Summary'!M$64+'Weekly Summary'!M$65)),
IF(S$10=0,('Equipment List &amp; Usage'!$O82*'Weekly Summary'!M$52)+('Equipment List &amp; Usage'!$P82*'Weekly Summary'!M$53)+('Equipment List &amp; Usage'!$Q82*('Weekly Summary'!M$52+'Weekly Summary'!M$53))+('Equipment List &amp; Usage'!$R82*'Weekly Summary'!M$64)+('Equipment List &amp; Usage'!$S82*'Weekly Summary'!M$65)+('Equipment List &amp; Usage'!$T82*('Weekly Summary'!M$64+'Weekly Summary'!M$65)),
('Equipment List &amp; Usage'!$O82*'Weekly Summary'!M$52)+('Equipment List &amp; Usage'!$P82*'Weekly Summary'!M$53)+('Equipment List &amp; Usage'!$Q82*('Weekly Summary'!M$52+'Weekly Summary'!M$53))+('Equipment List &amp; Usage'!$R82*'Weekly Summary'!M$64)+('Equipment List &amp; Usage'!$S82*'Weekly Summary'!M$65)+('Equipment List &amp; Usage'!$T82*('Weekly Summary'!M$64+'Weekly Summary'!M$65))-SUM($I80:R80))),0)</f>
        <v>0</v>
      </c>
      <c r="T80" s="1381">
        <f ca="1">MAX(IF($F80="No",('Equipment List &amp; Usage'!$O82*'Weekly Summary'!N$52)+('Equipment List &amp; Usage'!$P82*'Weekly Summary'!N$53)+('Equipment List &amp; Usage'!$Q82*('Weekly Summary'!N$52+'Weekly Summary'!N$53))+('Equipment List &amp; Usage'!$R82*'Weekly Summary'!N$64)+('Equipment List &amp; Usage'!$S82*'Weekly Summary'!N$65)+('Equipment List &amp; Usage'!$T82*('Weekly Summary'!N$64+'Weekly Summary'!N$65)),
IF(T$10=0,('Equipment List &amp; Usage'!$O82*'Weekly Summary'!N$52)+('Equipment List &amp; Usage'!$P82*'Weekly Summary'!N$53)+('Equipment List &amp; Usage'!$Q82*('Weekly Summary'!N$52+'Weekly Summary'!N$53))+('Equipment List &amp; Usage'!$R82*'Weekly Summary'!N$64)+('Equipment List &amp; Usage'!$S82*'Weekly Summary'!N$65)+('Equipment List &amp; Usage'!$T82*('Weekly Summary'!N$64+'Weekly Summary'!N$65)),
('Equipment List &amp; Usage'!$O82*'Weekly Summary'!N$52)+('Equipment List &amp; Usage'!$P82*'Weekly Summary'!N$53)+('Equipment List &amp; Usage'!$Q82*('Weekly Summary'!N$52+'Weekly Summary'!N$53))+('Equipment List &amp; Usage'!$R82*'Weekly Summary'!N$64)+('Equipment List &amp; Usage'!$S82*'Weekly Summary'!N$65)+('Equipment List &amp; Usage'!$T82*('Weekly Summary'!N$64+'Weekly Summary'!N$65))-SUM($I80:S80))),0)</f>
        <v>0</v>
      </c>
      <c r="U80" s="1381">
        <f ca="1">MAX(IF($F80="No",('Equipment List &amp; Usage'!$O82*'Weekly Summary'!O$52)+('Equipment List &amp; Usage'!$P82*'Weekly Summary'!O$53)+('Equipment List &amp; Usage'!$Q82*('Weekly Summary'!O$52+'Weekly Summary'!O$53))+('Equipment List &amp; Usage'!$R82*'Weekly Summary'!O$64)+('Equipment List &amp; Usage'!$S82*'Weekly Summary'!O$65)+('Equipment List &amp; Usage'!$T82*('Weekly Summary'!O$64+'Weekly Summary'!O$65)),
IF(U$10=0,('Equipment List &amp; Usage'!$O82*'Weekly Summary'!O$52)+('Equipment List &amp; Usage'!$P82*'Weekly Summary'!O$53)+('Equipment List &amp; Usage'!$Q82*('Weekly Summary'!O$52+'Weekly Summary'!O$53))+('Equipment List &amp; Usage'!$R82*'Weekly Summary'!O$64)+('Equipment List &amp; Usage'!$S82*'Weekly Summary'!O$65)+('Equipment List &amp; Usage'!$T82*('Weekly Summary'!O$64+'Weekly Summary'!O$65)),
('Equipment List &amp; Usage'!$O82*'Weekly Summary'!O$52)+('Equipment List &amp; Usage'!$P82*'Weekly Summary'!O$53)+('Equipment List &amp; Usage'!$Q82*('Weekly Summary'!O$52+'Weekly Summary'!O$53))+('Equipment List &amp; Usage'!$R82*'Weekly Summary'!O$64)+('Equipment List &amp; Usage'!$S82*'Weekly Summary'!O$65)+('Equipment List &amp; Usage'!$T82*('Weekly Summary'!O$64+'Weekly Summary'!O$65))-SUM($I80:T80))),0)</f>
        <v>0</v>
      </c>
      <c r="V80" s="1381">
        <f ca="1">MAX(IF($F80="No",('Equipment List &amp; Usage'!$O82*'Weekly Summary'!P$52)+('Equipment List &amp; Usage'!$P82*'Weekly Summary'!P$53)+('Equipment List &amp; Usage'!$Q82*('Weekly Summary'!P$52+'Weekly Summary'!P$53))+('Equipment List &amp; Usage'!$R82*'Weekly Summary'!P$64)+('Equipment List &amp; Usage'!$S82*'Weekly Summary'!P$65)+('Equipment List &amp; Usage'!$T82*('Weekly Summary'!P$64+'Weekly Summary'!P$65)),
IF(V$10=0,('Equipment List &amp; Usage'!$O82*'Weekly Summary'!P$52)+('Equipment List &amp; Usage'!$P82*'Weekly Summary'!P$53)+('Equipment List &amp; Usage'!$Q82*('Weekly Summary'!P$52+'Weekly Summary'!P$53))+('Equipment List &amp; Usage'!$R82*'Weekly Summary'!P$64)+('Equipment List &amp; Usage'!$S82*'Weekly Summary'!P$65)+('Equipment List &amp; Usage'!$T82*('Weekly Summary'!P$64+'Weekly Summary'!P$65)),
('Equipment List &amp; Usage'!$O82*'Weekly Summary'!P$52)+('Equipment List &amp; Usage'!$P82*'Weekly Summary'!P$53)+('Equipment List &amp; Usage'!$Q82*('Weekly Summary'!P$52+'Weekly Summary'!P$53))+('Equipment List &amp; Usage'!$R82*'Weekly Summary'!P$64)+('Equipment List &amp; Usage'!$S82*'Weekly Summary'!P$65)+('Equipment List &amp; Usage'!$T82*('Weekly Summary'!P$64+'Weekly Summary'!P$65))-SUM($I80:U80))),0)</f>
        <v>0</v>
      </c>
      <c r="W80" s="1381">
        <f ca="1">MAX(IF($F80="No",('Equipment List &amp; Usage'!$O82*'Weekly Summary'!Q$52)+('Equipment List &amp; Usage'!$P82*'Weekly Summary'!Q$53)+('Equipment List &amp; Usage'!$Q82*('Weekly Summary'!Q$52+'Weekly Summary'!Q$53))+('Equipment List &amp; Usage'!$R82*'Weekly Summary'!Q$64)+('Equipment List &amp; Usage'!$S82*'Weekly Summary'!Q$65)+('Equipment List &amp; Usage'!$T82*('Weekly Summary'!Q$64+'Weekly Summary'!Q$65)),
IF(W$10=0,('Equipment List &amp; Usage'!$O82*'Weekly Summary'!Q$52)+('Equipment List &amp; Usage'!$P82*'Weekly Summary'!Q$53)+('Equipment List &amp; Usage'!$Q82*('Weekly Summary'!Q$52+'Weekly Summary'!Q$53))+('Equipment List &amp; Usage'!$R82*'Weekly Summary'!Q$64)+('Equipment List &amp; Usage'!$S82*'Weekly Summary'!Q$65)+('Equipment List &amp; Usage'!$T82*('Weekly Summary'!Q$64+'Weekly Summary'!Q$65)),
('Equipment List &amp; Usage'!$O82*'Weekly Summary'!Q$52)+('Equipment List &amp; Usage'!$P82*'Weekly Summary'!Q$53)+('Equipment List &amp; Usage'!$Q82*('Weekly Summary'!Q$52+'Weekly Summary'!Q$53))+('Equipment List &amp; Usage'!$R82*'Weekly Summary'!Q$64)+('Equipment List &amp; Usage'!$S82*'Weekly Summary'!Q$65)+('Equipment List &amp; Usage'!$T82*('Weekly Summary'!Q$64+'Weekly Summary'!Q$65))-SUM($I80:V80))),0)</f>
        <v>0</v>
      </c>
      <c r="X80" s="1381">
        <f ca="1">MAX(IF($F80="No",('Equipment List &amp; Usage'!$O82*'Weekly Summary'!R$52)+('Equipment List &amp; Usage'!$P82*'Weekly Summary'!R$53)+('Equipment List &amp; Usage'!$Q82*('Weekly Summary'!R$52+'Weekly Summary'!R$53))+('Equipment List &amp; Usage'!$R82*'Weekly Summary'!R$64)+('Equipment List &amp; Usage'!$S82*'Weekly Summary'!R$65)+('Equipment List &amp; Usage'!$T82*('Weekly Summary'!R$64+'Weekly Summary'!R$65)),
IF(X$10=0,('Equipment List &amp; Usage'!$O82*'Weekly Summary'!R$52)+('Equipment List &amp; Usage'!$P82*'Weekly Summary'!R$53)+('Equipment List &amp; Usage'!$Q82*('Weekly Summary'!R$52+'Weekly Summary'!R$53))+('Equipment List &amp; Usage'!$R82*'Weekly Summary'!R$64)+('Equipment List &amp; Usage'!$S82*'Weekly Summary'!R$65)+('Equipment List &amp; Usage'!$T82*('Weekly Summary'!R$64+'Weekly Summary'!R$65)),
('Equipment List &amp; Usage'!$O82*'Weekly Summary'!R$52)+('Equipment List &amp; Usage'!$P82*'Weekly Summary'!R$53)+('Equipment List &amp; Usage'!$Q82*('Weekly Summary'!R$52+'Weekly Summary'!R$53))+('Equipment List &amp; Usage'!$R82*'Weekly Summary'!R$64)+('Equipment List &amp; Usage'!$S82*'Weekly Summary'!R$65)+('Equipment List &amp; Usage'!$T82*('Weekly Summary'!R$64+'Weekly Summary'!R$65))-SUM($I80:W80))),0)</f>
        <v>0</v>
      </c>
      <c r="Y80" s="1381">
        <f ca="1">MAX(IF($F80="No",('Equipment List &amp; Usage'!$O82*'Weekly Summary'!S$52)+('Equipment List &amp; Usage'!$P82*'Weekly Summary'!S$53)+('Equipment List &amp; Usage'!$Q82*('Weekly Summary'!S$52+'Weekly Summary'!S$53))+('Equipment List &amp; Usage'!$R82*'Weekly Summary'!S$64)+('Equipment List &amp; Usage'!$S82*'Weekly Summary'!S$65)+('Equipment List &amp; Usage'!$T82*('Weekly Summary'!S$64+'Weekly Summary'!S$65)),
IF(Y$10=0,('Equipment List &amp; Usage'!$O82*'Weekly Summary'!S$52)+('Equipment List &amp; Usage'!$P82*'Weekly Summary'!S$53)+('Equipment List &amp; Usage'!$Q82*('Weekly Summary'!S$52+'Weekly Summary'!S$53))+('Equipment List &amp; Usage'!$R82*'Weekly Summary'!S$64)+('Equipment List &amp; Usage'!$S82*'Weekly Summary'!S$65)+('Equipment List &amp; Usage'!$T82*('Weekly Summary'!S$64+'Weekly Summary'!S$65)),
('Equipment List &amp; Usage'!$O82*'Weekly Summary'!S$52)+('Equipment List &amp; Usage'!$P82*'Weekly Summary'!S$53)+('Equipment List &amp; Usage'!$Q82*('Weekly Summary'!S$52+'Weekly Summary'!S$53))+('Equipment List &amp; Usage'!$R82*'Weekly Summary'!S$64)+('Equipment List &amp; Usage'!$S82*'Weekly Summary'!S$65)+('Equipment List &amp; Usage'!$T82*('Weekly Summary'!S$64+'Weekly Summary'!S$65))-SUM($I80:X80))),0)</f>
        <v>0</v>
      </c>
      <c r="Z80" s="1381">
        <f ca="1">MAX(IF($F80="No",('Equipment List &amp; Usage'!$O82*'Weekly Summary'!T$52)+('Equipment List &amp; Usage'!$P82*'Weekly Summary'!T$53)+('Equipment List &amp; Usage'!$Q82*('Weekly Summary'!T$52+'Weekly Summary'!T$53))+('Equipment List &amp; Usage'!$R82*'Weekly Summary'!T$64)+('Equipment List &amp; Usage'!$S82*'Weekly Summary'!T$65)+('Equipment List &amp; Usage'!$T82*('Weekly Summary'!T$64+'Weekly Summary'!T$65)),
IF(Z$10=0,('Equipment List &amp; Usage'!$O82*'Weekly Summary'!T$52)+('Equipment List &amp; Usage'!$P82*'Weekly Summary'!T$53)+('Equipment List &amp; Usage'!$Q82*('Weekly Summary'!T$52+'Weekly Summary'!T$53))+('Equipment List &amp; Usage'!$R82*'Weekly Summary'!T$64)+('Equipment List &amp; Usage'!$S82*'Weekly Summary'!T$65)+('Equipment List &amp; Usage'!$T82*('Weekly Summary'!T$64+'Weekly Summary'!T$65)),
('Equipment List &amp; Usage'!$O82*'Weekly Summary'!T$52)+('Equipment List &amp; Usage'!$P82*'Weekly Summary'!T$53)+('Equipment List &amp; Usage'!$Q82*('Weekly Summary'!T$52+'Weekly Summary'!T$53))+('Equipment List &amp; Usage'!$R82*'Weekly Summary'!T$64)+('Equipment List &amp; Usage'!$S82*'Weekly Summary'!T$65)+('Equipment List &amp; Usage'!$T82*('Weekly Summary'!T$64+'Weekly Summary'!T$65))-SUM($I80:Y80))),0)</f>
        <v>0</v>
      </c>
      <c r="AA80" s="1381">
        <f ca="1">MAX(IF($F80="No",('Equipment List &amp; Usage'!$O82*'Weekly Summary'!U$52)+('Equipment List &amp; Usage'!$P82*'Weekly Summary'!U$53)+('Equipment List &amp; Usage'!$Q82*('Weekly Summary'!U$52+'Weekly Summary'!U$53))+('Equipment List &amp; Usage'!$R82*'Weekly Summary'!U$64)+('Equipment List &amp; Usage'!$S82*'Weekly Summary'!U$65)+('Equipment List &amp; Usage'!$T82*('Weekly Summary'!U$64+'Weekly Summary'!U$65)),
IF(AA$10=0,('Equipment List &amp; Usage'!$O82*'Weekly Summary'!U$52)+('Equipment List &amp; Usage'!$P82*'Weekly Summary'!U$53)+('Equipment List &amp; Usage'!$Q82*('Weekly Summary'!U$52+'Weekly Summary'!U$53))+('Equipment List &amp; Usage'!$R82*'Weekly Summary'!U$64)+('Equipment List &amp; Usage'!$S82*'Weekly Summary'!U$65)+('Equipment List &amp; Usage'!$T82*('Weekly Summary'!U$64+'Weekly Summary'!U$65)),
('Equipment List &amp; Usage'!$O82*'Weekly Summary'!U$52)+('Equipment List &amp; Usage'!$P82*'Weekly Summary'!U$53)+('Equipment List &amp; Usage'!$Q82*('Weekly Summary'!U$52+'Weekly Summary'!U$53))+('Equipment List &amp; Usage'!$R82*'Weekly Summary'!U$64)+('Equipment List &amp; Usage'!$S82*'Weekly Summary'!U$65)+('Equipment List &amp; Usage'!$T82*('Weekly Summary'!U$64+'Weekly Summary'!U$65))-SUM($I80:Z80))),0)</f>
        <v>0</v>
      </c>
      <c r="AB80" s="1381">
        <f ca="1">MAX(IF($F80="No",('Equipment List &amp; Usage'!$O82*'Weekly Summary'!V$52)+('Equipment List &amp; Usage'!$P82*'Weekly Summary'!V$53)+('Equipment List &amp; Usage'!$Q82*('Weekly Summary'!V$52+'Weekly Summary'!V$53))+('Equipment List &amp; Usage'!$R82*'Weekly Summary'!V$64)+('Equipment List &amp; Usage'!$S82*'Weekly Summary'!V$65)+('Equipment List &amp; Usage'!$T82*('Weekly Summary'!V$64+'Weekly Summary'!V$65)),
IF(AB$10=0,('Equipment List &amp; Usage'!$O82*'Weekly Summary'!V$52)+('Equipment List &amp; Usage'!$P82*'Weekly Summary'!V$53)+('Equipment List &amp; Usage'!$Q82*('Weekly Summary'!V$52+'Weekly Summary'!V$53))+('Equipment List &amp; Usage'!$R82*'Weekly Summary'!V$64)+('Equipment List &amp; Usage'!$S82*'Weekly Summary'!V$65)+('Equipment List &amp; Usage'!$T82*('Weekly Summary'!V$64+'Weekly Summary'!V$65)),
('Equipment List &amp; Usage'!$O82*'Weekly Summary'!V$52)+('Equipment List &amp; Usage'!$P82*'Weekly Summary'!V$53)+('Equipment List &amp; Usage'!$Q82*('Weekly Summary'!V$52+'Weekly Summary'!V$53))+('Equipment List &amp; Usage'!$R82*'Weekly Summary'!V$64)+('Equipment List &amp; Usage'!$S82*'Weekly Summary'!V$65)+('Equipment List &amp; Usage'!$T82*('Weekly Summary'!V$64+'Weekly Summary'!V$65))-SUM($I80:AA80))),0)</f>
        <v>0</v>
      </c>
      <c r="AC80" s="1381">
        <f ca="1">MAX(IF($F80="No",('Equipment List &amp; Usage'!$O82*'Weekly Summary'!W$52)+('Equipment List &amp; Usage'!$P82*'Weekly Summary'!W$53)+('Equipment List &amp; Usage'!$Q82*('Weekly Summary'!W$52+'Weekly Summary'!W$53))+('Equipment List &amp; Usage'!$R82*'Weekly Summary'!W$64)+('Equipment List &amp; Usage'!$S82*'Weekly Summary'!W$65)+('Equipment List &amp; Usage'!$T82*('Weekly Summary'!W$64+'Weekly Summary'!W$65)),
IF(AC$10=0,('Equipment List &amp; Usage'!$O82*'Weekly Summary'!W$52)+('Equipment List &amp; Usage'!$P82*'Weekly Summary'!W$53)+('Equipment List &amp; Usage'!$Q82*('Weekly Summary'!W$52+'Weekly Summary'!W$53))+('Equipment List &amp; Usage'!$R82*'Weekly Summary'!W$64)+('Equipment List &amp; Usage'!$S82*'Weekly Summary'!W$65)+('Equipment List &amp; Usage'!$T82*('Weekly Summary'!W$64+'Weekly Summary'!W$65)),
('Equipment List &amp; Usage'!$O82*'Weekly Summary'!W$52)+('Equipment List &amp; Usage'!$P82*'Weekly Summary'!W$53)+('Equipment List &amp; Usage'!$Q82*('Weekly Summary'!W$52+'Weekly Summary'!W$53))+('Equipment List &amp; Usage'!$R82*'Weekly Summary'!W$64)+('Equipment List &amp; Usage'!$S82*'Weekly Summary'!W$65)+('Equipment List &amp; Usage'!$T82*('Weekly Summary'!W$64+'Weekly Summary'!W$65))-SUM($I80:AB80))),0)</f>
        <v>0</v>
      </c>
      <c r="AD80" s="1381">
        <f ca="1">MAX(IF($F80="No",('Equipment List &amp; Usage'!$O82*'Weekly Summary'!X$52)+('Equipment List &amp; Usage'!$P82*'Weekly Summary'!X$53)+('Equipment List &amp; Usage'!$Q82*('Weekly Summary'!X$52+'Weekly Summary'!X$53))+('Equipment List &amp; Usage'!$R82*'Weekly Summary'!X$64)+('Equipment List &amp; Usage'!$S82*'Weekly Summary'!X$65)+('Equipment List &amp; Usage'!$T82*('Weekly Summary'!X$64+'Weekly Summary'!X$65)),
IF(AD$10=0,('Equipment List &amp; Usage'!$O82*'Weekly Summary'!X$52)+('Equipment List &amp; Usage'!$P82*'Weekly Summary'!X$53)+('Equipment List &amp; Usage'!$Q82*('Weekly Summary'!X$52+'Weekly Summary'!X$53))+('Equipment List &amp; Usage'!$R82*'Weekly Summary'!X$64)+('Equipment List &amp; Usage'!$S82*'Weekly Summary'!X$65)+('Equipment List &amp; Usage'!$T82*('Weekly Summary'!X$64+'Weekly Summary'!X$65)),
('Equipment List &amp; Usage'!$O82*'Weekly Summary'!X$52)+('Equipment List &amp; Usage'!$P82*'Weekly Summary'!X$53)+('Equipment List &amp; Usage'!$Q82*('Weekly Summary'!X$52+'Weekly Summary'!X$53))+('Equipment List &amp; Usage'!$R82*'Weekly Summary'!X$64)+('Equipment List &amp; Usage'!$S82*'Weekly Summary'!X$65)+('Equipment List &amp; Usage'!$T82*('Weekly Summary'!X$64+'Weekly Summary'!X$65))-SUM($I80:AC80))),0)</f>
        <v>0</v>
      </c>
      <c r="AE80" s="1381">
        <f ca="1">MAX(IF($F80="No",('Equipment List &amp; Usage'!$O82*'Weekly Summary'!Y$52)+('Equipment List &amp; Usage'!$P82*'Weekly Summary'!Y$53)+('Equipment List &amp; Usage'!$Q82*('Weekly Summary'!Y$52+'Weekly Summary'!Y$53))+('Equipment List &amp; Usage'!$R82*'Weekly Summary'!Y$64)+('Equipment List &amp; Usage'!$S82*'Weekly Summary'!Y$65)+('Equipment List &amp; Usage'!$T82*('Weekly Summary'!Y$64+'Weekly Summary'!Y$65)),
IF(AE$10=0,('Equipment List &amp; Usage'!$O82*'Weekly Summary'!Y$52)+('Equipment List &amp; Usage'!$P82*'Weekly Summary'!Y$53)+('Equipment List &amp; Usage'!$Q82*('Weekly Summary'!Y$52+'Weekly Summary'!Y$53))+('Equipment List &amp; Usage'!$R82*'Weekly Summary'!Y$64)+('Equipment List &amp; Usage'!$S82*'Weekly Summary'!Y$65)+('Equipment List &amp; Usage'!$T82*('Weekly Summary'!Y$64+'Weekly Summary'!Y$65)),
('Equipment List &amp; Usage'!$O82*'Weekly Summary'!Y$52)+('Equipment List &amp; Usage'!$P82*'Weekly Summary'!Y$53)+('Equipment List &amp; Usage'!$Q82*('Weekly Summary'!Y$52+'Weekly Summary'!Y$53))+('Equipment List &amp; Usage'!$R82*'Weekly Summary'!Y$64)+('Equipment List &amp; Usage'!$S82*'Weekly Summary'!Y$65)+('Equipment List &amp; Usage'!$T82*('Weekly Summary'!Y$64+'Weekly Summary'!Y$65))-SUM($I80:AD80))),0)</f>
        <v>0</v>
      </c>
      <c r="AF80" s="1381">
        <f ca="1">MAX(IF($F80="No",('Equipment List &amp; Usage'!$O82*'Weekly Summary'!Z$52)+('Equipment List &amp; Usage'!$P82*'Weekly Summary'!Z$53)+('Equipment List &amp; Usage'!$Q82*('Weekly Summary'!Z$52+'Weekly Summary'!Z$53))+('Equipment List &amp; Usage'!$R82*'Weekly Summary'!Z$64)+('Equipment List &amp; Usage'!$S82*'Weekly Summary'!Z$65)+('Equipment List &amp; Usage'!$T82*('Weekly Summary'!Z$64+'Weekly Summary'!Z$65)),
IF(AF$10=0,('Equipment List &amp; Usage'!$O82*'Weekly Summary'!Z$52)+('Equipment List &amp; Usage'!$P82*'Weekly Summary'!Z$53)+('Equipment List &amp; Usage'!$Q82*('Weekly Summary'!Z$52+'Weekly Summary'!Z$53))+('Equipment List &amp; Usage'!$R82*'Weekly Summary'!Z$64)+('Equipment List &amp; Usage'!$S82*'Weekly Summary'!Z$65)+('Equipment List &amp; Usage'!$T82*('Weekly Summary'!Z$64+'Weekly Summary'!Z$65)),
('Equipment List &amp; Usage'!$O82*'Weekly Summary'!Z$52)+('Equipment List &amp; Usage'!$P82*'Weekly Summary'!Z$53)+('Equipment List &amp; Usage'!$Q82*('Weekly Summary'!Z$52+'Weekly Summary'!Z$53))+('Equipment List &amp; Usage'!$R82*'Weekly Summary'!Z$64)+('Equipment List &amp; Usage'!$S82*'Weekly Summary'!Z$65)+('Equipment List &amp; Usage'!$T82*('Weekly Summary'!Z$64+'Weekly Summary'!Z$65))-SUM($I80:AE80))),0)</f>
        <v>0</v>
      </c>
      <c r="AG80" s="1381">
        <f ca="1">MAX(IF($F80="No",('Equipment List &amp; Usage'!$O82*'Weekly Summary'!AA$52)+('Equipment List &amp; Usage'!$P82*'Weekly Summary'!AA$53)+('Equipment List &amp; Usage'!$Q82*('Weekly Summary'!AA$52+'Weekly Summary'!AA$53))+('Equipment List &amp; Usage'!$R82*'Weekly Summary'!AA$64)+('Equipment List &amp; Usage'!$S82*'Weekly Summary'!AA$65)+('Equipment List &amp; Usage'!$T82*('Weekly Summary'!AA$64+'Weekly Summary'!AA$65)),
IF(AG$10=0,('Equipment List &amp; Usage'!$O82*'Weekly Summary'!AA$52)+('Equipment List &amp; Usage'!$P82*'Weekly Summary'!AA$53)+('Equipment List &amp; Usage'!$Q82*('Weekly Summary'!AA$52+'Weekly Summary'!AA$53))+('Equipment List &amp; Usage'!$R82*'Weekly Summary'!AA$64)+('Equipment List &amp; Usage'!$S82*'Weekly Summary'!AA$65)+('Equipment List &amp; Usage'!$T82*('Weekly Summary'!AA$64+'Weekly Summary'!AA$65)),
('Equipment List &amp; Usage'!$O82*'Weekly Summary'!AA$52)+('Equipment List &amp; Usage'!$P82*'Weekly Summary'!AA$53)+('Equipment List &amp; Usage'!$Q82*('Weekly Summary'!AA$52+'Weekly Summary'!AA$53))+('Equipment List &amp; Usage'!$R82*'Weekly Summary'!AA$64)+('Equipment List &amp; Usage'!$S82*'Weekly Summary'!AA$65)+('Equipment List &amp; Usage'!$T82*('Weekly Summary'!AA$64+'Weekly Summary'!AA$65))-SUM($I80:AF80))),0)</f>
        <v>0</v>
      </c>
      <c r="AH80" s="1381">
        <f ca="1">MAX(IF($F80="No",('Equipment List &amp; Usage'!$O82*'Weekly Summary'!AB$52)+('Equipment List &amp; Usage'!$P82*'Weekly Summary'!AB$53)+('Equipment List &amp; Usage'!$Q82*('Weekly Summary'!AB$52+'Weekly Summary'!AB$53))+('Equipment List &amp; Usage'!$R82*'Weekly Summary'!AB$64)+('Equipment List &amp; Usage'!$S82*'Weekly Summary'!AB$65)+('Equipment List &amp; Usage'!$T82*('Weekly Summary'!AB$64+'Weekly Summary'!AB$65)),
IF(AH$10=0,('Equipment List &amp; Usage'!$O82*'Weekly Summary'!AB$52)+('Equipment List &amp; Usage'!$P82*'Weekly Summary'!AB$53)+('Equipment List &amp; Usage'!$Q82*('Weekly Summary'!AB$52+'Weekly Summary'!AB$53))+('Equipment List &amp; Usage'!$R82*'Weekly Summary'!AB$64)+('Equipment List &amp; Usage'!$S82*'Weekly Summary'!AB$65)+('Equipment List &amp; Usage'!$T82*('Weekly Summary'!AB$64+'Weekly Summary'!AB$65)),
('Equipment List &amp; Usage'!$O82*'Weekly Summary'!AB$52)+('Equipment List &amp; Usage'!$P82*'Weekly Summary'!AB$53)+('Equipment List &amp; Usage'!$Q82*('Weekly Summary'!AB$52+'Weekly Summary'!AB$53))+('Equipment List &amp; Usage'!$R82*'Weekly Summary'!AB$64)+('Equipment List &amp; Usage'!$S82*'Weekly Summary'!AB$65)+('Equipment List &amp; Usage'!$T82*('Weekly Summary'!AB$64+'Weekly Summary'!AB$65))-SUM($I80:AG80))),0)</f>
        <v>0</v>
      </c>
      <c r="AI80" s="1381">
        <f ca="1">MAX(IF($F80="No",('Equipment List &amp; Usage'!$O82*'Weekly Summary'!AC$52)+('Equipment List &amp; Usage'!$P82*'Weekly Summary'!AC$53)+('Equipment List &amp; Usage'!$Q82*('Weekly Summary'!AC$52+'Weekly Summary'!AC$53))+('Equipment List &amp; Usage'!$R82*'Weekly Summary'!AC$64)+('Equipment List &amp; Usage'!$S82*'Weekly Summary'!AC$65)+('Equipment List &amp; Usage'!$T82*('Weekly Summary'!AC$64+'Weekly Summary'!AC$65)),
IF(AI$10=0,('Equipment List &amp; Usage'!$O82*'Weekly Summary'!AC$52)+('Equipment List &amp; Usage'!$P82*'Weekly Summary'!AC$53)+('Equipment List &amp; Usage'!$Q82*('Weekly Summary'!AC$52+'Weekly Summary'!AC$53))+('Equipment List &amp; Usage'!$R82*'Weekly Summary'!AC$64)+('Equipment List &amp; Usage'!$S82*'Weekly Summary'!AC$65)+('Equipment List &amp; Usage'!$T82*('Weekly Summary'!AC$64+'Weekly Summary'!AC$65)),
('Equipment List &amp; Usage'!$O82*'Weekly Summary'!AC$52)+('Equipment List &amp; Usage'!$P82*'Weekly Summary'!AC$53)+('Equipment List &amp; Usage'!$Q82*('Weekly Summary'!AC$52+'Weekly Summary'!AC$53))+('Equipment List &amp; Usage'!$R82*'Weekly Summary'!AC$64)+('Equipment List &amp; Usage'!$S82*'Weekly Summary'!AC$65)+('Equipment List &amp; Usage'!$T82*('Weekly Summary'!AC$64+'Weekly Summary'!AC$65))-SUM($I80:AH80))),0)</f>
        <v>0</v>
      </c>
      <c r="AJ80" s="1381">
        <f ca="1">MAX(IF($F80="No",('Equipment List &amp; Usage'!$O82*'Weekly Summary'!AD$52)+('Equipment List &amp; Usage'!$P82*'Weekly Summary'!AD$53)+('Equipment List &amp; Usage'!$Q82*('Weekly Summary'!AD$52+'Weekly Summary'!AD$53))+('Equipment List &amp; Usage'!$R82*'Weekly Summary'!AD$64)+('Equipment List &amp; Usage'!$S82*'Weekly Summary'!AD$65)+('Equipment List &amp; Usage'!$T82*('Weekly Summary'!AD$64+'Weekly Summary'!AD$65)),
IF(AJ$10=0,('Equipment List &amp; Usage'!$O82*'Weekly Summary'!AD$52)+('Equipment List &amp; Usage'!$P82*'Weekly Summary'!AD$53)+('Equipment List &amp; Usage'!$Q82*('Weekly Summary'!AD$52+'Weekly Summary'!AD$53))+('Equipment List &amp; Usage'!$R82*'Weekly Summary'!AD$64)+('Equipment List &amp; Usage'!$S82*'Weekly Summary'!AD$65)+('Equipment List &amp; Usage'!$T82*('Weekly Summary'!AD$64+'Weekly Summary'!AD$65)),
('Equipment List &amp; Usage'!$O82*'Weekly Summary'!AD$52)+('Equipment List &amp; Usage'!$P82*'Weekly Summary'!AD$53)+('Equipment List &amp; Usage'!$Q82*('Weekly Summary'!AD$52+'Weekly Summary'!AD$53))+('Equipment List &amp; Usage'!$R82*'Weekly Summary'!AD$64)+('Equipment List &amp; Usage'!$S82*'Weekly Summary'!AD$65)+('Equipment List &amp; Usage'!$T82*('Weekly Summary'!AD$64+'Weekly Summary'!AD$65))-SUM($I80:AI80))),0)</f>
        <v>0</v>
      </c>
      <c r="AK80" s="1381">
        <f ca="1">MAX(IF($F80="No",('Equipment List &amp; Usage'!$O82*'Weekly Summary'!AE$52)+('Equipment List &amp; Usage'!$P82*'Weekly Summary'!AE$53)+('Equipment List &amp; Usage'!$Q82*('Weekly Summary'!AE$52+'Weekly Summary'!AE$53))+('Equipment List &amp; Usage'!$R82*'Weekly Summary'!AE$64)+('Equipment List &amp; Usage'!$S82*'Weekly Summary'!AE$65)+('Equipment List &amp; Usage'!$T82*('Weekly Summary'!AE$64+'Weekly Summary'!AE$65)),
IF(AK$10=0,('Equipment List &amp; Usage'!$O82*'Weekly Summary'!AE$52)+('Equipment List &amp; Usage'!$P82*'Weekly Summary'!AE$53)+('Equipment List &amp; Usage'!$Q82*('Weekly Summary'!AE$52+'Weekly Summary'!AE$53))+('Equipment List &amp; Usage'!$R82*'Weekly Summary'!AE$64)+('Equipment List &amp; Usage'!$S82*'Weekly Summary'!AE$65)+('Equipment List &amp; Usage'!$T82*('Weekly Summary'!AE$64+'Weekly Summary'!AE$65)),
('Equipment List &amp; Usage'!$O82*'Weekly Summary'!AE$52)+('Equipment List &amp; Usage'!$P82*'Weekly Summary'!AE$53)+('Equipment List &amp; Usage'!$Q82*('Weekly Summary'!AE$52+'Weekly Summary'!AE$53))+('Equipment List &amp; Usage'!$R82*'Weekly Summary'!AE$64)+('Equipment List &amp; Usage'!$S82*'Weekly Summary'!AE$65)+('Equipment List &amp; Usage'!$T82*('Weekly Summary'!AE$64+'Weekly Summary'!AE$65))-SUM($I80:AJ80))),0)</f>
        <v>0</v>
      </c>
      <c r="AL80" s="1381">
        <f ca="1">MAX(IF($F80="No",('Equipment List &amp; Usage'!$O82*'Weekly Summary'!AF$52)+('Equipment List &amp; Usage'!$P82*'Weekly Summary'!AF$53)+('Equipment List &amp; Usage'!$Q82*('Weekly Summary'!AF$52+'Weekly Summary'!AF$53))+('Equipment List &amp; Usage'!$R82*'Weekly Summary'!AF$64)+('Equipment List &amp; Usage'!$S82*'Weekly Summary'!AF$65)+('Equipment List &amp; Usage'!$T82*('Weekly Summary'!AF$64+'Weekly Summary'!AF$65)),
IF(AL$10=0,('Equipment List &amp; Usage'!$O82*'Weekly Summary'!AF$52)+('Equipment List &amp; Usage'!$P82*'Weekly Summary'!AF$53)+('Equipment List &amp; Usage'!$Q82*('Weekly Summary'!AF$52+'Weekly Summary'!AF$53))+('Equipment List &amp; Usage'!$R82*'Weekly Summary'!AF$64)+('Equipment List &amp; Usage'!$S82*'Weekly Summary'!AF$65)+('Equipment List &amp; Usage'!$T82*('Weekly Summary'!AF$64+'Weekly Summary'!AF$65)),
('Equipment List &amp; Usage'!$O82*'Weekly Summary'!AF$52)+('Equipment List &amp; Usage'!$P82*'Weekly Summary'!AF$53)+('Equipment List &amp; Usage'!$Q82*('Weekly Summary'!AF$52+'Weekly Summary'!AF$53))+('Equipment List &amp; Usage'!$R82*'Weekly Summary'!AF$64)+('Equipment List &amp; Usage'!$S82*'Weekly Summary'!AF$65)+('Equipment List &amp; Usage'!$T82*('Weekly Summary'!AF$64+'Weekly Summary'!AF$65))-SUM($I80:AK80))),0)</f>
        <v>0</v>
      </c>
      <c r="AM80" s="1381">
        <f ca="1">MAX(IF($F80="No",('Equipment List &amp; Usage'!$O82*'Weekly Summary'!AG$52)+('Equipment List &amp; Usage'!$P82*'Weekly Summary'!AG$53)+('Equipment List &amp; Usage'!$Q82*('Weekly Summary'!AG$52+'Weekly Summary'!AG$53))+('Equipment List &amp; Usage'!$R82*'Weekly Summary'!AG$64)+('Equipment List &amp; Usage'!$S82*'Weekly Summary'!AG$65)+('Equipment List &amp; Usage'!$T82*('Weekly Summary'!AG$64+'Weekly Summary'!AG$65)),
IF(AM$10=0,('Equipment List &amp; Usage'!$O82*'Weekly Summary'!AG$52)+('Equipment List &amp; Usage'!$P82*'Weekly Summary'!AG$53)+('Equipment List &amp; Usage'!$Q82*('Weekly Summary'!AG$52+'Weekly Summary'!AG$53))+('Equipment List &amp; Usage'!$R82*'Weekly Summary'!AG$64)+('Equipment List &amp; Usage'!$S82*'Weekly Summary'!AG$65)+('Equipment List &amp; Usage'!$T82*('Weekly Summary'!AG$64+'Weekly Summary'!AG$65)),
('Equipment List &amp; Usage'!$O82*'Weekly Summary'!AG$52)+('Equipment List &amp; Usage'!$P82*'Weekly Summary'!AG$53)+('Equipment List &amp; Usage'!$Q82*('Weekly Summary'!AG$52+'Weekly Summary'!AG$53))+('Equipment List &amp; Usage'!$R82*'Weekly Summary'!AG$64)+('Equipment List &amp; Usage'!$S82*'Weekly Summary'!AG$65)+('Equipment List &amp; Usage'!$T82*('Weekly Summary'!AG$64+'Weekly Summary'!AG$65))-SUM($I80:AL80))),0)</f>
        <v>0</v>
      </c>
      <c r="AN80" s="1381">
        <f ca="1">MAX(IF($F80="No",('Equipment List &amp; Usage'!$O82*'Weekly Summary'!AH$52)+('Equipment List &amp; Usage'!$P82*'Weekly Summary'!AH$53)+('Equipment List &amp; Usage'!$Q82*('Weekly Summary'!AH$52+'Weekly Summary'!AH$53))+('Equipment List &amp; Usage'!$R82*'Weekly Summary'!AH$64)+('Equipment List &amp; Usage'!$S82*'Weekly Summary'!AH$65)+('Equipment List &amp; Usage'!$T82*('Weekly Summary'!AH$64+'Weekly Summary'!AH$65)),
IF(AN$10=0,('Equipment List &amp; Usage'!$O82*'Weekly Summary'!AH$52)+('Equipment List &amp; Usage'!$P82*'Weekly Summary'!AH$53)+('Equipment List &amp; Usage'!$Q82*('Weekly Summary'!AH$52+'Weekly Summary'!AH$53))+('Equipment List &amp; Usage'!$R82*'Weekly Summary'!AH$64)+('Equipment List &amp; Usage'!$S82*'Weekly Summary'!AH$65)+('Equipment List &amp; Usage'!$T82*('Weekly Summary'!AH$64+'Weekly Summary'!AH$65)),
('Equipment List &amp; Usage'!$O82*'Weekly Summary'!AH$52)+('Equipment List &amp; Usage'!$P82*'Weekly Summary'!AH$53)+('Equipment List &amp; Usage'!$Q82*('Weekly Summary'!AH$52+'Weekly Summary'!AH$53))+('Equipment List &amp; Usage'!$R82*'Weekly Summary'!AH$64)+('Equipment List &amp; Usage'!$S82*'Weekly Summary'!AH$65)+('Equipment List &amp; Usage'!$T82*('Weekly Summary'!AH$64+'Weekly Summary'!AH$65))-SUM($I80:AM80))),0)</f>
        <v>0</v>
      </c>
      <c r="AO80" s="1381">
        <f ca="1">MAX(IF($F80="No",('Equipment List &amp; Usage'!$O82*'Weekly Summary'!AI$52)+('Equipment List &amp; Usage'!$P82*'Weekly Summary'!AI$53)+('Equipment List &amp; Usage'!$Q82*('Weekly Summary'!AI$52+'Weekly Summary'!AI$53))+('Equipment List &amp; Usage'!$R82*'Weekly Summary'!AI$64)+('Equipment List &amp; Usage'!$S82*'Weekly Summary'!AI$65)+('Equipment List &amp; Usage'!$T82*('Weekly Summary'!AI$64+'Weekly Summary'!AI$65)),
IF(AO$10=0,('Equipment List &amp; Usage'!$O82*'Weekly Summary'!AI$52)+('Equipment List &amp; Usage'!$P82*'Weekly Summary'!AI$53)+('Equipment List &amp; Usage'!$Q82*('Weekly Summary'!AI$52+'Weekly Summary'!AI$53))+('Equipment List &amp; Usage'!$R82*'Weekly Summary'!AI$64)+('Equipment List &amp; Usage'!$S82*'Weekly Summary'!AI$65)+('Equipment List &amp; Usage'!$T82*('Weekly Summary'!AI$64+'Weekly Summary'!AI$65)),
('Equipment List &amp; Usage'!$O82*'Weekly Summary'!AI$52)+('Equipment List &amp; Usage'!$P82*'Weekly Summary'!AI$53)+('Equipment List &amp; Usage'!$Q82*('Weekly Summary'!AI$52+'Weekly Summary'!AI$53))+('Equipment List &amp; Usage'!$R82*'Weekly Summary'!AI$64)+('Equipment List &amp; Usage'!$S82*'Weekly Summary'!AI$65)+('Equipment List &amp; Usage'!$T82*('Weekly Summary'!AI$64+'Weekly Summary'!AI$65))-SUM($I80:AN80))),0)</f>
        <v>0</v>
      </c>
      <c r="AP80" s="1381">
        <f ca="1">MAX(IF($F80="No",('Equipment List &amp; Usage'!$O82*'Weekly Summary'!AJ$52)+('Equipment List &amp; Usage'!$P82*'Weekly Summary'!AJ$53)+('Equipment List &amp; Usage'!$Q82*('Weekly Summary'!AJ$52+'Weekly Summary'!AJ$53))+('Equipment List &amp; Usage'!$R82*'Weekly Summary'!AJ$64)+('Equipment List &amp; Usage'!$S82*'Weekly Summary'!AJ$65)+('Equipment List &amp; Usage'!$T82*('Weekly Summary'!AJ$64+'Weekly Summary'!AJ$65)),
IF(AP$10=0,('Equipment List &amp; Usage'!$O82*'Weekly Summary'!AJ$52)+('Equipment List &amp; Usage'!$P82*'Weekly Summary'!AJ$53)+('Equipment List &amp; Usage'!$Q82*('Weekly Summary'!AJ$52+'Weekly Summary'!AJ$53))+('Equipment List &amp; Usage'!$R82*'Weekly Summary'!AJ$64)+('Equipment List &amp; Usage'!$S82*'Weekly Summary'!AJ$65)+('Equipment List &amp; Usage'!$T82*('Weekly Summary'!AJ$64+'Weekly Summary'!AJ$65)),
('Equipment List &amp; Usage'!$O82*'Weekly Summary'!AJ$52)+('Equipment List &amp; Usage'!$P82*'Weekly Summary'!AJ$53)+('Equipment List &amp; Usage'!$Q82*('Weekly Summary'!AJ$52+'Weekly Summary'!AJ$53))+('Equipment List &amp; Usage'!$R82*'Weekly Summary'!AJ$64)+('Equipment List &amp; Usage'!$S82*'Weekly Summary'!AJ$65)+('Equipment List &amp; Usage'!$T82*('Weekly Summary'!AJ$64+'Weekly Summary'!AJ$65))-SUM($I80:AO80))),0)</f>
        <v>0</v>
      </c>
      <c r="AQ80" s="1381">
        <f ca="1">MAX(IF($F80="No",('Equipment List &amp; Usage'!$O82*'Weekly Summary'!AK$52)+('Equipment List &amp; Usage'!$P82*'Weekly Summary'!AK$53)+('Equipment List &amp; Usage'!$Q82*('Weekly Summary'!AK$52+'Weekly Summary'!AK$53))+('Equipment List &amp; Usage'!$R82*'Weekly Summary'!AK$64)+('Equipment List &amp; Usage'!$S82*'Weekly Summary'!AK$65)+('Equipment List &amp; Usage'!$T82*('Weekly Summary'!AK$64+'Weekly Summary'!AK$65)),
IF(AQ$10=0,('Equipment List &amp; Usage'!$O82*'Weekly Summary'!AK$52)+('Equipment List &amp; Usage'!$P82*'Weekly Summary'!AK$53)+('Equipment List &amp; Usage'!$Q82*('Weekly Summary'!AK$52+'Weekly Summary'!AK$53))+('Equipment List &amp; Usage'!$R82*'Weekly Summary'!AK$64)+('Equipment List &amp; Usage'!$S82*'Weekly Summary'!AK$65)+('Equipment List &amp; Usage'!$T82*('Weekly Summary'!AK$64+'Weekly Summary'!AK$65)),
('Equipment List &amp; Usage'!$O82*'Weekly Summary'!AK$52)+('Equipment List &amp; Usage'!$P82*'Weekly Summary'!AK$53)+('Equipment List &amp; Usage'!$Q82*('Weekly Summary'!AK$52+'Weekly Summary'!AK$53))+('Equipment List &amp; Usage'!$R82*'Weekly Summary'!AK$64)+('Equipment List &amp; Usage'!$S82*'Weekly Summary'!AK$65)+('Equipment List &amp; Usage'!$T82*('Weekly Summary'!AK$64+'Weekly Summary'!AK$65))-SUM($I80:AP80))),0)</f>
        <v>0</v>
      </c>
      <c r="AR80" s="1381">
        <f ca="1">MAX(IF($F80="No",('Equipment List &amp; Usage'!$O82*'Weekly Summary'!AL$52)+('Equipment List &amp; Usage'!$P82*'Weekly Summary'!AL$53)+('Equipment List &amp; Usage'!$Q82*('Weekly Summary'!AL$52+'Weekly Summary'!AL$53))+('Equipment List &amp; Usage'!$R82*'Weekly Summary'!AL$64)+('Equipment List &amp; Usage'!$S82*'Weekly Summary'!AL$65)+('Equipment List &amp; Usage'!$T82*('Weekly Summary'!AL$64+'Weekly Summary'!AL$65)),
IF(AR$10=0,('Equipment List &amp; Usage'!$O82*'Weekly Summary'!AL$52)+('Equipment List &amp; Usage'!$P82*'Weekly Summary'!AL$53)+('Equipment List &amp; Usage'!$Q82*('Weekly Summary'!AL$52+'Weekly Summary'!AL$53))+('Equipment List &amp; Usage'!$R82*'Weekly Summary'!AL$64)+('Equipment List &amp; Usage'!$S82*'Weekly Summary'!AL$65)+('Equipment List &amp; Usage'!$T82*('Weekly Summary'!AL$64+'Weekly Summary'!AL$65)),
('Equipment List &amp; Usage'!$O82*'Weekly Summary'!AL$52)+('Equipment List &amp; Usage'!$P82*'Weekly Summary'!AL$53)+('Equipment List &amp; Usage'!$Q82*('Weekly Summary'!AL$52+'Weekly Summary'!AL$53))+('Equipment List &amp; Usage'!$R82*'Weekly Summary'!AL$64)+('Equipment List &amp; Usage'!$S82*'Weekly Summary'!AL$65)+('Equipment List &amp; Usage'!$T82*('Weekly Summary'!AL$64+'Weekly Summary'!AL$65))-SUM($I80:AQ80))),0)</f>
        <v>0</v>
      </c>
      <c r="AS80" s="1381">
        <f ca="1">MAX(IF($F80="No",('Equipment List &amp; Usage'!$O82*'Weekly Summary'!AM$52)+('Equipment List &amp; Usage'!$P82*'Weekly Summary'!AM$53)+('Equipment List &amp; Usage'!$Q82*('Weekly Summary'!AM$52+'Weekly Summary'!AM$53))+('Equipment List &amp; Usage'!$R82*'Weekly Summary'!AM$64)+('Equipment List &amp; Usage'!$S82*'Weekly Summary'!AM$65)+('Equipment List &amp; Usage'!$T82*('Weekly Summary'!AM$64+'Weekly Summary'!AM$65)),
IF(AS$10=0,('Equipment List &amp; Usage'!$O82*'Weekly Summary'!AM$52)+('Equipment List &amp; Usage'!$P82*'Weekly Summary'!AM$53)+('Equipment List &amp; Usage'!$Q82*('Weekly Summary'!AM$52+'Weekly Summary'!AM$53))+('Equipment List &amp; Usage'!$R82*'Weekly Summary'!AM$64)+('Equipment List &amp; Usage'!$S82*'Weekly Summary'!AM$65)+('Equipment List &amp; Usage'!$T82*('Weekly Summary'!AM$64+'Weekly Summary'!AM$65)),
('Equipment List &amp; Usage'!$O82*'Weekly Summary'!AM$52)+('Equipment List &amp; Usage'!$P82*'Weekly Summary'!AM$53)+('Equipment List &amp; Usage'!$Q82*('Weekly Summary'!AM$52+'Weekly Summary'!AM$53))+('Equipment List &amp; Usage'!$R82*'Weekly Summary'!AM$64)+('Equipment List &amp; Usage'!$S82*'Weekly Summary'!AM$65)+('Equipment List &amp; Usage'!$T82*('Weekly Summary'!AM$64+'Weekly Summary'!AM$65))-SUM($I80:AR80))),0)</f>
        <v>0</v>
      </c>
      <c r="AT80" s="1381">
        <f ca="1">MAX(IF($F80="No",('Equipment List &amp; Usage'!$O82*'Weekly Summary'!AN$52)+('Equipment List &amp; Usage'!$P82*'Weekly Summary'!AN$53)+('Equipment List &amp; Usage'!$Q82*('Weekly Summary'!AN$52+'Weekly Summary'!AN$53))+('Equipment List &amp; Usage'!$R82*'Weekly Summary'!AN$64)+('Equipment List &amp; Usage'!$S82*'Weekly Summary'!AN$65)+('Equipment List &amp; Usage'!$T82*('Weekly Summary'!AN$64+'Weekly Summary'!AN$65)),
IF(AT$10=0,('Equipment List &amp; Usage'!$O82*'Weekly Summary'!AN$52)+('Equipment List &amp; Usage'!$P82*'Weekly Summary'!AN$53)+('Equipment List &amp; Usage'!$Q82*('Weekly Summary'!AN$52+'Weekly Summary'!AN$53))+('Equipment List &amp; Usage'!$R82*'Weekly Summary'!AN$64)+('Equipment List &amp; Usage'!$S82*'Weekly Summary'!AN$65)+('Equipment List &amp; Usage'!$T82*('Weekly Summary'!AN$64+'Weekly Summary'!AN$65)),
('Equipment List &amp; Usage'!$O82*'Weekly Summary'!AN$52)+('Equipment List &amp; Usage'!$P82*'Weekly Summary'!AN$53)+('Equipment List &amp; Usage'!$Q82*('Weekly Summary'!AN$52+'Weekly Summary'!AN$53))+('Equipment List &amp; Usage'!$R82*'Weekly Summary'!AN$64)+('Equipment List &amp; Usage'!$S82*'Weekly Summary'!AN$65)+('Equipment List &amp; Usage'!$T82*('Weekly Summary'!AN$64+'Weekly Summary'!AN$65))-SUM($I80:AS80))),0)</f>
        <v>0</v>
      </c>
      <c r="AU80" s="1381">
        <f ca="1">MAX(IF($F80="No",('Equipment List &amp; Usage'!$O82*'Weekly Summary'!AO$52)+('Equipment List &amp; Usage'!$P82*'Weekly Summary'!AO$53)+('Equipment List &amp; Usage'!$Q82*('Weekly Summary'!AO$52+'Weekly Summary'!AO$53))+('Equipment List &amp; Usage'!$R82*'Weekly Summary'!AO$64)+('Equipment List &amp; Usage'!$S82*'Weekly Summary'!AO$65)+('Equipment List &amp; Usage'!$T82*('Weekly Summary'!AO$64+'Weekly Summary'!AO$65)),
IF(AU$10=0,('Equipment List &amp; Usage'!$O82*'Weekly Summary'!AO$52)+('Equipment List &amp; Usage'!$P82*'Weekly Summary'!AO$53)+('Equipment List &amp; Usage'!$Q82*('Weekly Summary'!AO$52+'Weekly Summary'!AO$53))+('Equipment List &amp; Usage'!$R82*'Weekly Summary'!AO$64)+('Equipment List &amp; Usage'!$S82*'Weekly Summary'!AO$65)+('Equipment List &amp; Usage'!$T82*('Weekly Summary'!AO$64+'Weekly Summary'!AO$65)),
('Equipment List &amp; Usage'!$O82*'Weekly Summary'!AO$52)+('Equipment List &amp; Usage'!$P82*'Weekly Summary'!AO$53)+('Equipment List &amp; Usage'!$Q82*('Weekly Summary'!AO$52+'Weekly Summary'!AO$53))+('Equipment List &amp; Usage'!$R82*'Weekly Summary'!AO$64)+('Equipment List &amp; Usage'!$S82*'Weekly Summary'!AO$65)+('Equipment List &amp; Usage'!$T82*('Weekly Summary'!AO$64+'Weekly Summary'!AO$65))-SUM($I80:AT80))),0)</f>
        <v>0</v>
      </c>
      <c r="AV80" s="1381">
        <f ca="1">MAX(IF($F80="No",('Equipment List &amp; Usage'!$O82*'Weekly Summary'!AP$52)+('Equipment List &amp; Usage'!$P82*'Weekly Summary'!AP$53)+('Equipment List &amp; Usage'!$Q82*('Weekly Summary'!AP$52+'Weekly Summary'!AP$53))+('Equipment List &amp; Usage'!$R82*'Weekly Summary'!AP$64)+('Equipment List &amp; Usage'!$S82*'Weekly Summary'!AP$65)+('Equipment List &amp; Usage'!$T82*('Weekly Summary'!AP$64+'Weekly Summary'!AP$65)),
IF(AV$10=0,('Equipment List &amp; Usage'!$O82*'Weekly Summary'!AP$52)+('Equipment List &amp; Usage'!$P82*'Weekly Summary'!AP$53)+('Equipment List &amp; Usage'!$Q82*('Weekly Summary'!AP$52+'Weekly Summary'!AP$53))+('Equipment List &amp; Usage'!$R82*'Weekly Summary'!AP$64)+('Equipment List &amp; Usage'!$S82*'Weekly Summary'!AP$65)+('Equipment List &amp; Usage'!$T82*('Weekly Summary'!AP$64+'Weekly Summary'!AP$65)),
('Equipment List &amp; Usage'!$O82*'Weekly Summary'!AP$52)+('Equipment List &amp; Usage'!$P82*'Weekly Summary'!AP$53)+('Equipment List &amp; Usage'!$Q82*('Weekly Summary'!AP$52+'Weekly Summary'!AP$53))+('Equipment List &amp; Usage'!$R82*'Weekly Summary'!AP$64)+('Equipment List &amp; Usage'!$S82*'Weekly Summary'!AP$65)+('Equipment List &amp; Usage'!$T82*('Weekly Summary'!AP$64+'Weekly Summary'!AP$65))-SUM($I80:AU80))),0)</f>
        <v>0</v>
      </c>
      <c r="AW80" s="1381">
        <f ca="1">MAX(IF($F80="No",('Equipment List &amp; Usage'!$O82*'Weekly Summary'!AQ$52)+('Equipment List &amp; Usage'!$P82*'Weekly Summary'!AQ$53)+('Equipment List &amp; Usage'!$Q82*('Weekly Summary'!AQ$52+'Weekly Summary'!AQ$53))+('Equipment List &amp; Usage'!$R82*'Weekly Summary'!AQ$64)+('Equipment List &amp; Usage'!$S82*'Weekly Summary'!AQ$65)+('Equipment List &amp; Usage'!$T82*('Weekly Summary'!AQ$64+'Weekly Summary'!AQ$65)),
IF(AW$10=0,('Equipment List &amp; Usage'!$O82*'Weekly Summary'!AQ$52)+('Equipment List &amp; Usage'!$P82*'Weekly Summary'!AQ$53)+('Equipment List &amp; Usage'!$Q82*('Weekly Summary'!AQ$52+'Weekly Summary'!AQ$53))+('Equipment List &amp; Usage'!$R82*'Weekly Summary'!AQ$64)+('Equipment List &amp; Usage'!$S82*'Weekly Summary'!AQ$65)+('Equipment List &amp; Usage'!$T82*('Weekly Summary'!AQ$64+'Weekly Summary'!AQ$65)),
('Equipment List &amp; Usage'!$O82*'Weekly Summary'!AQ$52)+('Equipment List &amp; Usage'!$P82*'Weekly Summary'!AQ$53)+('Equipment List &amp; Usage'!$Q82*('Weekly Summary'!AQ$52+'Weekly Summary'!AQ$53))+('Equipment List &amp; Usage'!$R82*'Weekly Summary'!AQ$64)+('Equipment List &amp; Usage'!$S82*'Weekly Summary'!AQ$65)+('Equipment List &amp; Usage'!$T82*('Weekly Summary'!AQ$64+'Weekly Summary'!AQ$65))-SUM($I80:AV80))),0)</f>
        <v>0</v>
      </c>
      <c r="AX80" s="1381">
        <f ca="1">MAX(IF($F80="No",('Equipment List &amp; Usage'!$O82*'Weekly Summary'!AR$52)+('Equipment List &amp; Usage'!$P82*'Weekly Summary'!AR$53)+('Equipment List &amp; Usage'!$Q82*('Weekly Summary'!AR$52+'Weekly Summary'!AR$53))+('Equipment List &amp; Usage'!$R82*'Weekly Summary'!AR$64)+('Equipment List &amp; Usage'!$S82*'Weekly Summary'!AR$65)+('Equipment List &amp; Usage'!$T82*('Weekly Summary'!AR$64+'Weekly Summary'!AR$65)),
IF(AX$10=0,('Equipment List &amp; Usage'!$O82*'Weekly Summary'!AR$52)+('Equipment List &amp; Usage'!$P82*'Weekly Summary'!AR$53)+('Equipment List &amp; Usage'!$Q82*('Weekly Summary'!AR$52+'Weekly Summary'!AR$53))+('Equipment List &amp; Usage'!$R82*'Weekly Summary'!AR$64)+('Equipment List &amp; Usage'!$S82*'Weekly Summary'!AR$65)+('Equipment List &amp; Usage'!$T82*('Weekly Summary'!AR$64+'Weekly Summary'!AR$65)),
('Equipment List &amp; Usage'!$O82*'Weekly Summary'!AR$52)+('Equipment List &amp; Usage'!$P82*'Weekly Summary'!AR$53)+('Equipment List &amp; Usage'!$Q82*('Weekly Summary'!AR$52+'Weekly Summary'!AR$53))+('Equipment List &amp; Usage'!$R82*'Weekly Summary'!AR$64)+('Equipment List &amp; Usage'!$S82*'Weekly Summary'!AR$65)+('Equipment List &amp; Usage'!$T82*('Weekly Summary'!AR$64+'Weekly Summary'!AR$65))-SUM($I80:AW80))),0)</f>
        <v>0</v>
      </c>
      <c r="AY80" s="1381">
        <f ca="1">MAX(IF($F80="No",('Equipment List &amp; Usage'!$O82*'Weekly Summary'!AS$52)+('Equipment List &amp; Usage'!$P82*'Weekly Summary'!AS$53)+('Equipment List &amp; Usage'!$Q82*('Weekly Summary'!AS$52+'Weekly Summary'!AS$53))+('Equipment List &amp; Usage'!$R82*'Weekly Summary'!AS$64)+('Equipment List &amp; Usage'!$S82*'Weekly Summary'!AS$65)+('Equipment List &amp; Usage'!$T82*('Weekly Summary'!AS$64+'Weekly Summary'!AS$65)),
IF(AY$10=0,('Equipment List &amp; Usage'!$O82*'Weekly Summary'!AS$52)+('Equipment List &amp; Usage'!$P82*'Weekly Summary'!AS$53)+('Equipment List &amp; Usage'!$Q82*('Weekly Summary'!AS$52+'Weekly Summary'!AS$53))+('Equipment List &amp; Usage'!$R82*'Weekly Summary'!AS$64)+('Equipment List &amp; Usage'!$S82*'Weekly Summary'!AS$65)+('Equipment List &amp; Usage'!$T82*('Weekly Summary'!AS$64+'Weekly Summary'!AS$65)),
('Equipment List &amp; Usage'!$O82*'Weekly Summary'!AS$52)+('Equipment List &amp; Usage'!$P82*'Weekly Summary'!AS$53)+('Equipment List &amp; Usage'!$Q82*('Weekly Summary'!AS$52+'Weekly Summary'!AS$53))+('Equipment List &amp; Usage'!$R82*'Weekly Summary'!AS$64)+('Equipment List &amp; Usage'!$S82*'Weekly Summary'!AS$65)+('Equipment List &amp; Usage'!$T82*('Weekly Summary'!AS$64+'Weekly Summary'!AS$65))-SUM($I80:AX80))),0)</f>
        <v>0</v>
      </c>
      <c r="AZ80" s="1381">
        <f ca="1">MAX(IF($F80="No",('Equipment List &amp; Usage'!$O82*'Weekly Summary'!AT$52)+('Equipment List &amp; Usage'!$P82*'Weekly Summary'!AT$53)+('Equipment List &amp; Usage'!$Q82*('Weekly Summary'!AT$52+'Weekly Summary'!AT$53))+('Equipment List &amp; Usage'!$R82*'Weekly Summary'!AT$64)+('Equipment List &amp; Usage'!$S82*'Weekly Summary'!AT$65)+('Equipment List &amp; Usage'!$T82*('Weekly Summary'!AT$64+'Weekly Summary'!AT$65)),
IF(AZ$10=0,('Equipment List &amp; Usage'!$O82*'Weekly Summary'!AT$52)+('Equipment List &amp; Usage'!$P82*'Weekly Summary'!AT$53)+('Equipment List &amp; Usage'!$Q82*('Weekly Summary'!AT$52+'Weekly Summary'!AT$53))+('Equipment List &amp; Usage'!$R82*'Weekly Summary'!AT$64)+('Equipment List &amp; Usage'!$S82*'Weekly Summary'!AT$65)+('Equipment List &amp; Usage'!$T82*('Weekly Summary'!AT$64+'Weekly Summary'!AT$65)),
('Equipment List &amp; Usage'!$O82*'Weekly Summary'!AT$52)+('Equipment List &amp; Usage'!$P82*'Weekly Summary'!AT$53)+('Equipment List &amp; Usage'!$Q82*('Weekly Summary'!AT$52+'Weekly Summary'!AT$53))+('Equipment List &amp; Usage'!$R82*'Weekly Summary'!AT$64)+('Equipment List &amp; Usage'!$S82*'Weekly Summary'!AT$65)+('Equipment List &amp; Usage'!$T82*('Weekly Summary'!AT$64+'Weekly Summary'!AT$65))-SUM($I80:AY80))),0)</f>
        <v>0</v>
      </c>
      <c r="BA80" s="1381">
        <f ca="1">MAX(IF($F80="No",('Equipment List &amp; Usage'!$O82*'Weekly Summary'!AU$52)+('Equipment List &amp; Usage'!$P82*'Weekly Summary'!AU$53)+('Equipment List &amp; Usage'!$Q82*('Weekly Summary'!AU$52+'Weekly Summary'!AU$53))+('Equipment List &amp; Usage'!$R82*'Weekly Summary'!AU$64)+('Equipment List &amp; Usage'!$S82*'Weekly Summary'!AU$65)+('Equipment List &amp; Usage'!$T82*('Weekly Summary'!AU$64+'Weekly Summary'!AU$65)),
IF(BA$10=0,('Equipment List &amp; Usage'!$O82*'Weekly Summary'!AU$52)+('Equipment List &amp; Usage'!$P82*'Weekly Summary'!AU$53)+('Equipment List &amp; Usage'!$Q82*('Weekly Summary'!AU$52+'Weekly Summary'!AU$53))+('Equipment List &amp; Usage'!$R82*'Weekly Summary'!AU$64)+('Equipment List &amp; Usage'!$S82*'Weekly Summary'!AU$65)+('Equipment List &amp; Usage'!$T82*('Weekly Summary'!AU$64+'Weekly Summary'!AU$65)),
('Equipment List &amp; Usage'!$O82*'Weekly Summary'!AU$52)+('Equipment List &amp; Usage'!$P82*'Weekly Summary'!AU$53)+('Equipment List &amp; Usage'!$Q82*('Weekly Summary'!AU$52+'Weekly Summary'!AU$53))+('Equipment List &amp; Usage'!$R82*'Weekly Summary'!AU$64)+('Equipment List &amp; Usage'!$S82*'Weekly Summary'!AU$65)+('Equipment List &amp; Usage'!$T82*('Weekly Summary'!AU$64+'Weekly Summary'!AU$65))-SUM($I80:AZ80))),0)</f>
        <v>0</v>
      </c>
      <c r="BB80" s="1381">
        <f ca="1">MAX(IF($F80="No",('Equipment List &amp; Usage'!$O82*'Weekly Summary'!AV$52)+('Equipment List &amp; Usage'!$P82*'Weekly Summary'!AV$53)+('Equipment List &amp; Usage'!$Q82*('Weekly Summary'!AV$52+'Weekly Summary'!AV$53))+('Equipment List &amp; Usage'!$R82*'Weekly Summary'!AV$64)+('Equipment List &amp; Usage'!$S82*'Weekly Summary'!AV$65)+('Equipment List &amp; Usage'!$T82*('Weekly Summary'!AV$64+'Weekly Summary'!AV$65)),
IF(BB$10=0,('Equipment List &amp; Usage'!$O82*'Weekly Summary'!AV$52)+('Equipment List &amp; Usage'!$P82*'Weekly Summary'!AV$53)+('Equipment List &amp; Usage'!$Q82*('Weekly Summary'!AV$52+'Weekly Summary'!AV$53))+('Equipment List &amp; Usage'!$R82*'Weekly Summary'!AV$64)+('Equipment List &amp; Usage'!$S82*'Weekly Summary'!AV$65)+('Equipment List &amp; Usage'!$T82*('Weekly Summary'!AV$64+'Weekly Summary'!AV$65)),
('Equipment List &amp; Usage'!$O82*'Weekly Summary'!AV$52)+('Equipment List &amp; Usage'!$P82*'Weekly Summary'!AV$53)+('Equipment List &amp; Usage'!$Q82*('Weekly Summary'!AV$52+'Weekly Summary'!AV$53))+('Equipment List &amp; Usage'!$R82*'Weekly Summary'!AV$64)+('Equipment List &amp; Usage'!$S82*'Weekly Summary'!AV$65)+('Equipment List &amp; Usage'!$T82*('Weekly Summary'!AV$64+'Weekly Summary'!AV$65))-SUM($I80:BA80))),0)</f>
        <v>0</v>
      </c>
      <c r="BC80" s="1381">
        <f ca="1">MAX(IF($F80="No",('Equipment List &amp; Usage'!$O82*'Weekly Summary'!AW$52)+('Equipment List &amp; Usage'!$P82*'Weekly Summary'!AW$53)+('Equipment List &amp; Usage'!$Q82*('Weekly Summary'!AW$52+'Weekly Summary'!AW$53))+('Equipment List &amp; Usage'!$R82*'Weekly Summary'!AW$64)+('Equipment List &amp; Usage'!$S82*'Weekly Summary'!AW$65)+('Equipment List &amp; Usage'!$T82*('Weekly Summary'!AW$64+'Weekly Summary'!AW$65)),
IF(BC$10=0,('Equipment List &amp; Usage'!$O82*'Weekly Summary'!AW$52)+('Equipment List &amp; Usage'!$P82*'Weekly Summary'!AW$53)+('Equipment List &amp; Usage'!$Q82*('Weekly Summary'!AW$52+'Weekly Summary'!AW$53))+('Equipment List &amp; Usage'!$R82*'Weekly Summary'!AW$64)+('Equipment List &amp; Usage'!$S82*'Weekly Summary'!AW$65)+('Equipment List &amp; Usage'!$T82*('Weekly Summary'!AW$64+'Weekly Summary'!AW$65)),
('Equipment List &amp; Usage'!$O82*'Weekly Summary'!AW$52)+('Equipment List &amp; Usage'!$P82*'Weekly Summary'!AW$53)+('Equipment List &amp; Usage'!$Q82*('Weekly Summary'!AW$52+'Weekly Summary'!AW$53))+('Equipment List &amp; Usage'!$R82*'Weekly Summary'!AW$64)+('Equipment List &amp; Usage'!$S82*'Weekly Summary'!AW$65)+('Equipment List &amp; Usage'!$T82*('Weekly Summary'!AW$64+'Weekly Summary'!AW$65))-SUM($I80:BB80))),0)</f>
        <v>0</v>
      </c>
      <c r="BD80" s="1381">
        <f ca="1">MAX(IF($F80="No",('Equipment List &amp; Usage'!$O82*'Weekly Summary'!AX$52)+('Equipment List &amp; Usage'!$P82*'Weekly Summary'!AX$53)+('Equipment List &amp; Usage'!$Q82*('Weekly Summary'!AX$52+'Weekly Summary'!AX$53))+('Equipment List &amp; Usage'!$R82*'Weekly Summary'!AX$64)+('Equipment List &amp; Usage'!$S82*'Weekly Summary'!AX$65)+('Equipment List &amp; Usage'!$T82*('Weekly Summary'!AX$64+'Weekly Summary'!AX$65)),
IF(BD$10=0,('Equipment List &amp; Usage'!$O82*'Weekly Summary'!AX$52)+('Equipment List &amp; Usage'!$P82*'Weekly Summary'!AX$53)+('Equipment List &amp; Usage'!$Q82*('Weekly Summary'!AX$52+'Weekly Summary'!AX$53))+('Equipment List &amp; Usage'!$R82*'Weekly Summary'!AX$64)+('Equipment List &amp; Usage'!$S82*'Weekly Summary'!AX$65)+('Equipment List &amp; Usage'!$T82*('Weekly Summary'!AX$64+'Weekly Summary'!AX$65)),
('Equipment List &amp; Usage'!$O82*'Weekly Summary'!AX$52)+('Equipment List &amp; Usage'!$P82*'Weekly Summary'!AX$53)+('Equipment List &amp; Usage'!$Q82*('Weekly Summary'!AX$52+'Weekly Summary'!AX$53))+('Equipment List &amp; Usage'!$R82*'Weekly Summary'!AX$64)+('Equipment List &amp; Usage'!$S82*'Weekly Summary'!AX$65)+('Equipment List &amp; Usage'!$T82*('Weekly Summary'!AX$64+'Weekly Summary'!AX$65))-SUM($I80:BC80))),0)</f>
        <v>0</v>
      </c>
      <c r="BE80" s="1381">
        <f ca="1">MAX(IF($F80="No",('Equipment List &amp; Usage'!$O82*'Weekly Summary'!AY$52)+('Equipment List &amp; Usage'!$P82*'Weekly Summary'!AY$53)+('Equipment List &amp; Usage'!$Q82*('Weekly Summary'!AY$52+'Weekly Summary'!AY$53))+('Equipment List &amp; Usage'!$R82*'Weekly Summary'!AY$64)+('Equipment List &amp; Usage'!$S82*'Weekly Summary'!AY$65)+('Equipment List &amp; Usage'!$T82*('Weekly Summary'!AY$64+'Weekly Summary'!AY$65)),
IF(BE$10=0,('Equipment List &amp; Usage'!$O82*'Weekly Summary'!AY$52)+('Equipment List &amp; Usage'!$P82*'Weekly Summary'!AY$53)+('Equipment List &amp; Usage'!$Q82*('Weekly Summary'!AY$52+'Weekly Summary'!AY$53))+('Equipment List &amp; Usage'!$R82*'Weekly Summary'!AY$64)+('Equipment List &amp; Usage'!$S82*'Weekly Summary'!AY$65)+('Equipment List &amp; Usage'!$T82*('Weekly Summary'!AY$64+'Weekly Summary'!AY$65)),
('Equipment List &amp; Usage'!$O82*'Weekly Summary'!AY$52)+('Equipment List &amp; Usage'!$P82*'Weekly Summary'!AY$53)+('Equipment List &amp; Usage'!$Q82*('Weekly Summary'!AY$52+'Weekly Summary'!AY$53))+('Equipment List &amp; Usage'!$R82*'Weekly Summary'!AY$64)+('Equipment List &amp; Usage'!$S82*'Weekly Summary'!AY$65)+('Equipment List &amp; Usage'!$T82*('Weekly Summary'!AY$64+'Weekly Summary'!AY$65))-SUM($I80:BD80))),0)</f>
        <v>0</v>
      </c>
      <c r="BF80" s="1381">
        <f ca="1">MAX(IF($F80="No",('Equipment List &amp; Usage'!$O82*'Weekly Summary'!AZ$52)+('Equipment List &amp; Usage'!$P82*'Weekly Summary'!AZ$53)+('Equipment List &amp; Usage'!$Q82*('Weekly Summary'!AZ$52+'Weekly Summary'!AZ$53))+('Equipment List &amp; Usage'!$R82*'Weekly Summary'!AZ$64)+('Equipment List &amp; Usage'!$S82*'Weekly Summary'!AZ$65)+('Equipment List &amp; Usage'!$T82*('Weekly Summary'!AZ$64+'Weekly Summary'!AZ$65)),
IF(BF$10=0,('Equipment List &amp; Usage'!$O82*'Weekly Summary'!AZ$52)+('Equipment List &amp; Usage'!$P82*'Weekly Summary'!AZ$53)+('Equipment List &amp; Usage'!$Q82*('Weekly Summary'!AZ$52+'Weekly Summary'!AZ$53))+('Equipment List &amp; Usage'!$R82*'Weekly Summary'!AZ$64)+('Equipment List &amp; Usage'!$S82*'Weekly Summary'!AZ$65)+('Equipment List &amp; Usage'!$T82*('Weekly Summary'!AZ$64+'Weekly Summary'!AZ$65)),
('Equipment List &amp; Usage'!$O82*'Weekly Summary'!AZ$52)+('Equipment List &amp; Usage'!$P82*'Weekly Summary'!AZ$53)+('Equipment List &amp; Usage'!$Q82*('Weekly Summary'!AZ$52+'Weekly Summary'!AZ$53))+('Equipment List &amp; Usage'!$R82*'Weekly Summary'!AZ$64)+('Equipment List &amp; Usage'!$S82*'Weekly Summary'!AZ$65)+('Equipment List &amp; Usage'!$T82*('Weekly Summary'!AZ$64+'Weekly Summary'!AZ$65))-SUM($I80:BE80))),0)</f>
        <v>0</v>
      </c>
      <c r="BG80" s="1381">
        <f ca="1">MAX(IF($F80="No",('Equipment List &amp; Usage'!$O82*'Weekly Summary'!BA$52)+('Equipment List &amp; Usage'!$P82*'Weekly Summary'!BA$53)+('Equipment List &amp; Usage'!$Q82*('Weekly Summary'!BA$52+'Weekly Summary'!BA$53))+('Equipment List &amp; Usage'!$R82*'Weekly Summary'!BA$64)+('Equipment List &amp; Usage'!$S82*'Weekly Summary'!BA$65)+('Equipment List &amp; Usage'!$T82*('Weekly Summary'!BA$64+'Weekly Summary'!BA$65)),
IF(BG$10=0,('Equipment List &amp; Usage'!$O82*'Weekly Summary'!BA$52)+('Equipment List &amp; Usage'!$P82*'Weekly Summary'!BA$53)+('Equipment List &amp; Usage'!$Q82*('Weekly Summary'!BA$52+'Weekly Summary'!BA$53))+('Equipment List &amp; Usage'!$R82*'Weekly Summary'!BA$64)+('Equipment List &amp; Usage'!$S82*'Weekly Summary'!BA$65)+('Equipment List &amp; Usage'!$T82*('Weekly Summary'!BA$64+'Weekly Summary'!BA$65)),
('Equipment List &amp; Usage'!$O82*'Weekly Summary'!BA$52)+('Equipment List &amp; Usage'!$P82*'Weekly Summary'!BA$53)+('Equipment List &amp; Usage'!$Q82*('Weekly Summary'!BA$52+'Weekly Summary'!BA$53))+('Equipment List &amp; Usage'!$R82*'Weekly Summary'!BA$64)+('Equipment List &amp; Usage'!$S82*'Weekly Summary'!BA$65)+('Equipment List &amp; Usage'!$T82*('Weekly Summary'!BA$64+'Weekly Summary'!BA$65))-SUM($I80:BF80))),0)</f>
        <v>0</v>
      </c>
      <c r="BH80" s="1381">
        <f ca="1">MAX(IF($F80="No",('Equipment List &amp; Usage'!$O82*'Weekly Summary'!BB$52)+('Equipment List &amp; Usage'!$P82*'Weekly Summary'!BB$53)+('Equipment List &amp; Usage'!$Q82*('Weekly Summary'!BB$52+'Weekly Summary'!BB$53))+('Equipment List &amp; Usage'!$R82*'Weekly Summary'!BB$64)+('Equipment List &amp; Usage'!$S82*'Weekly Summary'!BB$65)+('Equipment List &amp; Usage'!$T82*('Weekly Summary'!BB$64+'Weekly Summary'!BB$65)),
IF(BH$10=0,('Equipment List &amp; Usage'!$O82*'Weekly Summary'!BB$52)+('Equipment List &amp; Usage'!$P82*'Weekly Summary'!BB$53)+('Equipment List &amp; Usage'!$Q82*('Weekly Summary'!BB$52+'Weekly Summary'!BB$53))+('Equipment List &amp; Usage'!$R82*'Weekly Summary'!BB$64)+('Equipment List &amp; Usage'!$S82*'Weekly Summary'!BB$65)+('Equipment List &amp; Usage'!$T82*('Weekly Summary'!BB$64+'Weekly Summary'!BB$65)),
('Equipment List &amp; Usage'!$O82*'Weekly Summary'!BB$52)+('Equipment List &amp; Usage'!$P82*'Weekly Summary'!BB$53)+('Equipment List &amp; Usage'!$Q82*('Weekly Summary'!BB$52+'Weekly Summary'!BB$53))+('Equipment List &amp; Usage'!$R82*'Weekly Summary'!BB$64)+('Equipment List &amp; Usage'!$S82*'Weekly Summary'!BB$65)+('Equipment List &amp; Usage'!$T82*('Weekly Summary'!BB$64+'Weekly Summary'!BB$65))-SUM($I80:BG80))),0)</f>
        <v>0</v>
      </c>
      <c r="BI80" s="1381">
        <f ca="1">MAX(IF($F80="No",('Equipment List &amp; Usage'!$O82*'Weekly Summary'!BC$52)+('Equipment List &amp; Usage'!$P82*'Weekly Summary'!BC$53)+('Equipment List &amp; Usage'!$Q82*('Weekly Summary'!BC$52+'Weekly Summary'!BC$53))+('Equipment List &amp; Usage'!$R82*'Weekly Summary'!BC$64)+('Equipment List &amp; Usage'!$S82*'Weekly Summary'!BC$65)+('Equipment List &amp; Usage'!$T82*('Weekly Summary'!BC$64+'Weekly Summary'!BC$65)),
IF(BI$10=0,('Equipment List &amp; Usage'!$O82*'Weekly Summary'!BC$52)+('Equipment List &amp; Usage'!$P82*'Weekly Summary'!BC$53)+('Equipment List &amp; Usage'!$Q82*('Weekly Summary'!BC$52+'Weekly Summary'!BC$53))+('Equipment List &amp; Usage'!$R82*'Weekly Summary'!BC$64)+('Equipment List &amp; Usage'!$S82*'Weekly Summary'!BC$65)+('Equipment List &amp; Usage'!$T82*('Weekly Summary'!BC$64+'Weekly Summary'!BC$65)),
('Equipment List &amp; Usage'!$O82*'Weekly Summary'!BC$52)+('Equipment List &amp; Usage'!$P82*'Weekly Summary'!BC$53)+('Equipment List &amp; Usage'!$Q82*('Weekly Summary'!BC$52+'Weekly Summary'!BC$53))+('Equipment List &amp; Usage'!$R82*'Weekly Summary'!BC$64)+('Equipment List &amp; Usage'!$S82*'Weekly Summary'!BC$65)+('Equipment List &amp; Usage'!$T82*('Weekly Summary'!BC$64+'Weekly Summary'!BC$65))-SUM($I80:BH80))),0)</f>
        <v>0</v>
      </c>
      <c r="BJ80" s="1382">
        <f ca="1">MAX(IF($F80="No",('Equipment List &amp; Usage'!$O82*'Weekly Summary'!BD$52)+('Equipment List &amp; Usage'!$P82*'Weekly Summary'!BD$53)+('Equipment List &amp; Usage'!$Q82*('Weekly Summary'!BD$52+'Weekly Summary'!BD$53))+('Equipment List &amp; Usage'!$R82*'Weekly Summary'!BD$64)+('Equipment List &amp; Usage'!$S82*'Weekly Summary'!BD$65)+('Equipment List &amp; Usage'!$T82*('Weekly Summary'!BD$64+'Weekly Summary'!BD$65)),
IF(BJ$10=0,('Equipment List &amp; Usage'!$O82*'Weekly Summary'!BD$52)+('Equipment List &amp; Usage'!$P82*'Weekly Summary'!BD$53)+('Equipment List &amp; Usage'!$Q82*('Weekly Summary'!BD$52+'Weekly Summary'!BD$53))+('Equipment List &amp; Usage'!$R82*'Weekly Summary'!BD$64)+('Equipment List &amp; Usage'!$S82*'Weekly Summary'!BD$65)+('Equipment List &amp; Usage'!$T82*('Weekly Summary'!BD$64+'Weekly Summary'!BD$65)),
('Equipment List &amp; Usage'!$O82*'Weekly Summary'!BD$52)+('Equipment List &amp; Usage'!$P82*'Weekly Summary'!BD$53)+('Equipment List &amp; Usage'!$Q82*('Weekly Summary'!BD$52+'Weekly Summary'!BD$53))+('Equipment List &amp; Usage'!$R82*'Weekly Summary'!BD$64)+('Equipment List &amp; Usage'!$S82*'Weekly Summary'!BD$65)+('Equipment List &amp; Usage'!$T82*('Weekly Summary'!BD$64+'Weekly Summary'!BD$65))-SUM($I80:BI80))),0)</f>
        <v>0</v>
      </c>
    </row>
    <row r="81" spans="2:62" s="15" customFormat="1" ht="30.65" customHeight="1" x14ac:dyDescent="0.35">
      <c r="B81" s="735" t="str">
        <f>'Equipment List &amp; Usage'!B83</f>
        <v>Case management - accessories &amp; consumables</v>
      </c>
      <c r="C81" s="526" t="str">
        <f>'Equipment List &amp; Usage'!C83</f>
        <v>Airway Management &amp; Intubation</v>
      </c>
      <c r="D81" s="526" t="str">
        <f>'Equipment List &amp; Usage'!D83</f>
        <v>Endotracheal tube introducer</v>
      </c>
      <c r="E81" s="526" t="str">
        <f>'Equipment List &amp; Usage'!E83</f>
        <v>Each</v>
      </c>
      <c r="F81" s="526" t="str">
        <f>'Equipment List &amp; Usage'!F83</f>
        <v>No</v>
      </c>
      <c r="G81" s="526" t="str">
        <f>'Equipment List &amp; Usage'!G83</f>
        <v>Type and sizes according to specifications.</v>
      </c>
      <c r="H81" s="1369">
        <f t="shared" ca="1" si="3"/>
        <v>134.15286663356636</v>
      </c>
      <c r="I81" s="909"/>
      <c r="J81" s="1344"/>
      <c r="K81" s="1381">
        <f ca="1">IF('User Dashboard'!$H$13=1,0,MAX(IF($F81="No",('Equipment List &amp; Usage'!$O83*'Weekly Summary'!E$52)+('Equipment List &amp; Usage'!$P83*'Weekly Summary'!E$53)+('Equipment List &amp; Usage'!$Q83*('Weekly Summary'!E$52+'Weekly Summary'!E$53))+('Equipment List &amp; Usage'!$R83*'Weekly Summary'!E$64)+('Equipment List &amp; Usage'!$S83*'Weekly Summary'!E$65)+('Equipment List &amp; Usage'!$T83*('Weekly Summary'!E$64+'Weekly Summary'!E$65)),
IF(K$10=0,('Equipment List &amp; Usage'!$O83*'Weekly Summary'!E$52)+('Equipment List &amp; Usage'!$P83*'Weekly Summary'!E$53)+('Equipment List &amp; Usage'!$Q83*('Weekly Summary'!E$52+'Weekly Summary'!E$53))+('Equipment List &amp; Usage'!$R83*'Weekly Summary'!E$64)+('Equipment List &amp; Usage'!$S83*'Weekly Summary'!E$65)+('Equipment List &amp; Usage'!$T83*('Weekly Summary'!E$64+'Weekly Summary'!E$65)),
('Equipment List &amp; Usage'!$O83*'Weekly Summary'!E$52)+('Equipment List &amp; Usage'!$P83*'Weekly Summary'!E$53)+('Equipment List &amp; Usage'!$Q83*('Weekly Summary'!E$52+'Weekly Summary'!E$53))+('Equipment List &amp; Usage'!$R83*'Weekly Summary'!E$64)+('Equipment List &amp; Usage'!$S83*'Weekly Summary'!E$65)+('Equipment List &amp; Usage'!$T83*('Weekly Summary'!E$64+'Weekly Summary'!E$65))-SUM($I81:I81))),0))</f>
        <v>0.19869249611205675</v>
      </c>
      <c r="L81" s="1381">
        <f ca="1">MAX(IF($F81="No",('Equipment List &amp; Usage'!$O83*'Weekly Summary'!F$52)+('Equipment List &amp; Usage'!$P83*'Weekly Summary'!F$53)+('Equipment List &amp; Usage'!$Q83*('Weekly Summary'!F$52+'Weekly Summary'!F$53))+('Equipment List &amp; Usage'!$R83*'Weekly Summary'!F$64)+('Equipment List &amp; Usage'!$S83*'Weekly Summary'!F$65)+('Equipment List &amp; Usage'!$T83*('Weekly Summary'!F$64+'Weekly Summary'!F$65)),
IF(L$10=0,('Equipment List &amp; Usage'!$O83*'Weekly Summary'!F$52)+('Equipment List &amp; Usage'!$P83*'Weekly Summary'!F$53)+('Equipment List &amp; Usage'!$Q83*('Weekly Summary'!F$52+'Weekly Summary'!F$53))+('Equipment List &amp; Usage'!$R83*'Weekly Summary'!F$64)+('Equipment List &amp; Usage'!$S83*'Weekly Summary'!F$65)+('Equipment List &amp; Usage'!$T83*('Weekly Summary'!F$64+'Weekly Summary'!F$65)),
('Equipment List &amp; Usage'!$O83*'Weekly Summary'!F$52)+('Equipment List &amp; Usage'!$P83*'Weekly Summary'!F$53)+('Equipment List &amp; Usage'!$Q83*('Weekly Summary'!F$52+'Weekly Summary'!F$53))+('Equipment List &amp; Usage'!$R83*'Weekly Summary'!F$64)+('Equipment List &amp; Usage'!$S83*'Weekly Summary'!F$65)+('Equipment List &amp; Usage'!$T83*('Weekly Summary'!F$64+'Weekly Summary'!F$65))-SUM($I81:K81))),0)</f>
        <v>0.68280837797721627</v>
      </c>
      <c r="M81" s="1381">
        <f ca="1">MAX(IF($F81="No",('Equipment List &amp; Usage'!$O83*'Weekly Summary'!G$52)+('Equipment List &amp; Usage'!$P83*'Weekly Summary'!G$53)+('Equipment List &amp; Usage'!$Q83*('Weekly Summary'!G$52+'Weekly Summary'!G$53))+('Equipment List &amp; Usage'!$R83*'Weekly Summary'!G$64)+('Equipment List &amp; Usage'!$S83*'Weekly Summary'!G$65)+('Equipment List &amp; Usage'!$T83*('Weekly Summary'!G$64+'Weekly Summary'!G$65)),
IF(M$10=0,('Equipment List &amp; Usage'!$O83*'Weekly Summary'!G$52)+('Equipment List &amp; Usage'!$P83*'Weekly Summary'!G$53)+('Equipment List &amp; Usage'!$Q83*('Weekly Summary'!G$52+'Weekly Summary'!G$53))+('Equipment List &amp; Usage'!$R83*'Weekly Summary'!G$64)+('Equipment List &amp; Usage'!$S83*'Weekly Summary'!G$65)+('Equipment List &amp; Usage'!$T83*('Weekly Summary'!G$64+'Weekly Summary'!G$65)),
('Equipment List &amp; Usage'!$O83*'Weekly Summary'!G$52)+('Equipment List &amp; Usage'!$P83*'Weekly Summary'!G$53)+('Equipment List &amp; Usage'!$Q83*('Weekly Summary'!G$52+'Weekly Summary'!G$53))+('Equipment List &amp; Usage'!$R83*'Weekly Summary'!G$64)+('Equipment List &amp; Usage'!$S83*'Weekly Summary'!G$65)+('Equipment List &amp; Usage'!$T83*('Weekly Summary'!G$64+'Weekly Summary'!G$65))-SUM($I81:L81))),0)</f>
        <v>2.3464538473228695</v>
      </c>
      <c r="N81" s="1381">
        <f ca="1">MAX(IF($F81="No",('Equipment List &amp; Usage'!$O83*'Weekly Summary'!H$52)+('Equipment List &amp; Usage'!$P83*'Weekly Summary'!H$53)+('Equipment List &amp; Usage'!$Q83*('Weekly Summary'!H$52+'Weekly Summary'!H$53))+('Equipment List &amp; Usage'!$R83*'Weekly Summary'!H$64)+('Equipment List &amp; Usage'!$S83*'Weekly Summary'!H$65)+('Equipment List &amp; Usage'!$T83*('Weekly Summary'!H$64+'Weekly Summary'!H$65)),
IF(N$10=0,('Equipment List &amp; Usage'!$O83*'Weekly Summary'!H$52)+('Equipment List &amp; Usage'!$P83*'Weekly Summary'!H$53)+('Equipment List &amp; Usage'!$Q83*('Weekly Summary'!H$52+'Weekly Summary'!H$53))+('Equipment List &amp; Usage'!$R83*'Weekly Summary'!H$64)+('Equipment List &amp; Usage'!$S83*'Weekly Summary'!H$65)+('Equipment List &amp; Usage'!$T83*('Weekly Summary'!H$64+'Weekly Summary'!H$65)),
('Equipment List &amp; Usage'!$O83*'Weekly Summary'!H$52)+('Equipment List &amp; Usage'!$P83*'Weekly Summary'!H$53)+('Equipment List &amp; Usage'!$Q83*('Weekly Summary'!H$52+'Weekly Summary'!H$53))+('Equipment List &amp; Usage'!$R83*'Weekly Summary'!H$64)+('Equipment List &amp; Usage'!$S83*'Weekly Summary'!H$65)+('Equipment List &amp; Usage'!$T83*('Weekly Summary'!H$64+'Weekly Summary'!H$65))-SUM($I81:M81))),0)</f>
        <v>8.0632617407996285</v>
      </c>
      <c r="O81" s="1381">
        <f ca="1">MAX(IF($F81="No",('Equipment List &amp; Usage'!$O83*'Weekly Summary'!I$52)+('Equipment List &amp; Usage'!$P83*'Weekly Summary'!I$53)+('Equipment List &amp; Usage'!$Q83*('Weekly Summary'!I$52+'Weekly Summary'!I$53))+('Equipment List &amp; Usage'!$R83*'Weekly Summary'!I$64)+('Equipment List &amp; Usage'!$S83*'Weekly Summary'!I$65)+('Equipment List &amp; Usage'!$T83*('Weekly Summary'!I$64+'Weekly Summary'!I$65)),
IF(O$10=0,('Equipment List &amp; Usage'!$O83*'Weekly Summary'!I$52)+('Equipment List &amp; Usage'!$P83*'Weekly Summary'!I$53)+('Equipment List &amp; Usage'!$Q83*('Weekly Summary'!I$52+'Weekly Summary'!I$53))+('Equipment List &amp; Usage'!$R83*'Weekly Summary'!I$64)+('Equipment List &amp; Usage'!$S83*'Weekly Summary'!I$65)+('Equipment List &amp; Usage'!$T83*('Weekly Summary'!I$64+'Weekly Summary'!I$65)),
('Equipment List &amp; Usage'!$O83*'Weekly Summary'!I$52)+('Equipment List &amp; Usage'!$P83*'Weekly Summary'!I$53)+('Equipment List &amp; Usage'!$Q83*('Weekly Summary'!I$52+'Weekly Summary'!I$53))+('Equipment List &amp; Usage'!$R83*'Weekly Summary'!I$64)+('Equipment List &amp; Usage'!$S83*'Weekly Summary'!I$65)+('Equipment List &amp; Usage'!$T83*('Weekly Summary'!I$64+'Weekly Summary'!I$65))-SUM($I81:N81))),0)</f>
        <v>27.705111326463218</v>
      </c>
      <c r="P81" s="1381">
        <f ca="1">MAX(IF($F81="No",('Equipment List &amp; Usage'!$O83*'Weekly Summary'!J$52)+('Equipment List &amp; Usage'!$P83*'Weekly Summary'!J$53)+('Equipment List &amp; Usage'!$Q83*('Weekly Summary'!J$52+'Weekly Summary'!J$53))+('Equipment List &amp; Usage'!$R83*'Weekly Summary'!J$64)+('Equipment List &amp; Usage'!$S83*'Weekly Summary'!J$65)+('Equipment List &amp; Usage'!$T83*('Weekly Summary'!J$64+'Weekly Summary'!J$65)),
IF(P$10=0,('Equipment List &amp; Usage'!$O83*'Weekly Summary'!J$52)+('Equipment List &amp; Usage'!$P83*'Weekly Summary'!J$53)+('Equipment List &amp; Usage'!$Q83*('Weekly Summary'!J$52+'Weekly Summary'!J$53))+('Equipment List &amp; Usage'!$R83*'Weekly Summary'!J$64)+('Equipment List &amp; Usage'!$S83*'Weekly Summary'!J$65)+('Equipment List &amp; Usage'!$T83*('Weekly Summary'!J$64+'Weekly Summary'!J$65)),
('Equipment List &amp; Usage'!$O83*'Weekly Summary'!J$52)+('Equipment List &amp; Usage'!$P83*'Weekly Summary'!J$53)+('Equipment List &amp; Usage'!$Q83*('Weekly Summary'!J$52+'Weekly Summary'!J$53))+('Equipment List &amp; Usage'!$R83*'Weekly Summary'!J$64)+('Equipment List &amp; Usage'!$S83*'Weekly Summary'!J$65)+('Equipment List &amp; Usage'!$T83*('Weekly Summary'!J$64+'Weekly Summary'!J$65))-SUM($I81:O81))),0)</f>
        <v>95.156538844891386</v>
      </c>
      <c r="Q81" s="1381">
        <f ca="1">MAX(IF($F81="No",('Equipment List &amp; Usage'!$O83*'Weekly Summary'!K$52)+('Equipment List &amp; Usage'!$P83*'Weekly Summary'!K$53)+('Equipment List &amp; Usage'!$Q83*('Weekly Summary'!K$52+'Weekly Summary'!K$53))+('Equipment List &amp; Usage'!$R83*'Weekly Summary'!K$64)+('Equipment List &amp; Usage'!$S83*'Weekly Summary'!K$65)+('Equipment List &amp; Usage'!$T83*('Weekly Summary'!K$64+'Weekly Summary'!K$65)),
IF(Q$10=0,('Equipment List &amp; Usage'!$O83*'Weekly Summary'!K$52)+('Equipment List &amp; Usage'!$P83*'Weekly Summary'!K$53)+('Equipment List &amp; Usage'!$Q83*('Weekly Summary'!K$52+'Weekly Summary'!K$53))+('Equipment List &amp; Usage'!$R83*'Weekly Summary'!K$64)+('Equipment List &amp; Usage'!$S83*'Weekly Summary'!K$65)+('Equipment List &amp; Usage'!$T83*('Weekly Summary'!K$64+'Weekly Summary'!K$65)),
('Equipment List &amp; Usage'!$O83*'Weekly Summary'!K$52)+('Equipment List &amp; Usage'!$P83*'Weekly Summary'!K$53)+('Equipment List &amp; Usage'!$Q83*('Weekly Summary'!K$52+'Weekly Summary'!K$53))+('Equipment List &amp; Usage'!$R83*'Weekly Summary'!K$64)+('Equipment List &amp; Usage'!$S83*'Weekly Summary'!K$65)+('Equipment List &amp; Usage'!$T83*('Weekly Summary'!K$64+'Weekly Summary'!K$65))-SUM($I81:P81))),0)</f>
        <v>0</v>
      </c>
      <c r="R81" s="1381">
        <f ca="1">MAX(IF($F81="No",('Equipment List &amp; Usage'!$O83*'Weekly Summary'!L$52)+('Equipment List &amp; Usage'!$P83*'Weekly Summary'!L$53)+('Equipment List &amp; Usage'!$Q83*('Weekly Summary'!L$52+'Weekly Summary'!L$53))+('Equipment List &amp; Usage'!$R83*'Weekly Summary'!L$64)+('Equipment List &amp; Usage'!$S83*'Weekly Summary'!L$65)+('Equipment List &amp; Usage'!$T83*('Weekly Summary'!L$64+'Weekly Summary'!L$65)),
IF(R$10=0,('Equipment List &amp; Usage'!$O83*'Weekly Summary'!L$52)+('Equipment List &amp; Usage'!$P83*'Weekly Summary'!L$53)+('Equipment List &amp; Usage'!$Q83*('Weekly Summary'!L$52+'Weekly Summary'!L$53))+('Equipment List &amp; Usage'!$R83*'Weekly Summary'!L$64)+('Equipment List &amp; Usage'!$S83*'Weekly Summary'!L$65)+('Equipment List &amp; Usage'!$T83*('Weekly Summary'!L$64+'Weekly Summary'!L$65)),
('Equipment List &amp; Usage'!$O83*'Weekly Summary'!L$52)+('Equipment List &amp; Usage'!$P83*'Weekly Summary'!L$53)+('Equipment List &amp; Usage'!$Q83*('Weekly Summary'!L$52+'Weekly Summary'!L$53))+('Equipment List &amp; Usage'!$R83*'Weekly Summary'!L$64)+('Equipment List &amp; Usage'!$S83*'Weekly Summary'!L$65)+('Equipment List &amp; Usage'!$T83*('Weekly Summary'!L$64+'Weekly Summary'!L$65))-SUM($I81:Q81))),0)</f>
        <v>0</v>
      </c>
      <c r="S81" s="1381">
        <f ca="1">MAX(IF($F81="No",('Equipment List &amp; Usage'!$O83*'Weekly Summary'!M$52)+('Equipment List &amp; Usage'!$P83*'Weekly Summary'!M$53)+('Equipment List &amp; Usage'!$Q83*('Weekly Summary'!M$52+'Weekly Summary'!M$53))+('Equipment List &amp; Usage'!$R83*'Weekly Summary'!M$64)+('Equipment List &amp; Usage'!$S83*'Weekly Summary'!M$65)+('Equipment List &amp; Usage'!$T83*('Weekly Summary'!M$64+'Weekly Summary'!M$65)),
IF(S$10=0,('Equipment List &amp; Usage'!$O83*'Weekly Summary'!M$52)+('Equipment List &amp; Usage'!$P83*'Weekly Summary'!M$53)+('Equipment List &amp; Usage'!$Q83*('Weekly Summary'!M$52+'Weekly Summary'!M$53))+('Equipment List &amp; Usage'!$R83*'Weekly Summary'!M$64)+('Equipment List &amp; Usage'!$S83*'Weekly Summary'!M$65)+('Equipment List &amp; Usage'!$T83*('Weekly Summary'!M$64+'Weekly Summary'!M$65)),
('Equipment List &amp; Usage'!$O83*'Weekly Summary'!M$52)+('Equipment List &amp; Usage'!$P83*'Weekly Summary'!M$53)+('Equipment List &amp; Usage'!$Q83*('Weekly Summary'!M$52+'Weekly Summary'!M$53))+('Equipment List &amp; Usage'!$R83*'Weekly Summary'!M$64)+('Equipment List &amp; Usage'!$S83*'Weekly Summary'!M$65)+('Equipment List &amp; Usage'!$T83*('Weekly Summary'!M$64+'Weekly Summary'!M$65))-SUM($I81:R81))),0)</f>
        <v>0</v>
      </c>
      <c r="T81" s="1381">
        <f ca="1">MAX(IF($F81="No",('Equipment List &amp; Usage'!$O83*'Weekly Summary'!N$52)+('Equipment List &amp; Usage'!$P83*'Weekly Summary'!N$53)+('Equipment List &amp; Usage'!$Q83*('Weekly Summary'!N$52+'Weekly Summary'!N$53))+('Equipment List &amp; Usage'!$R83*'Weekly Summary'!N$64)+('Equipment List &amp; Usage'!$S83*'Weekly Summary'!N$65)+('Equipment List &amp; Usage'!$T83*('Weekly Summary'!N$64+'Weekly Summary'!N$65)),
IF(T$10=0,('Equipment List &amp; Usage'!$O83*'Weekly Summary'!N$52)+('Equipment List &amp; Usage'!$P83*'Weekly Summary'!N$53)+('Equipment List &amp; Usage'!$Q83*('Weekly Summary'!N$52+'Weekly Summary'!N$53))+('Equipment List &amp; Usage'!$R83*'Weekly Summary'!N$64)+('Equipment List &amp; Usage'!$S83*'Weekly Summary'!N$65)+('Equipment List &amp; Usage'!$T83*('Weekly Summary'!N$64+'Weekly Summary'!N$65)),
('Equipment List &amp; Usage'!$O83*'Weekly Summary'!N$52)+('Equipment List &amp; Usage'!$P83*'Weekly Summary'!N$53)+('Equipment List &amp; Usage'!$Q83*('Weekly Summary'!N$52+'Weekly Summary'!N$53))+('Equipment List &amp; Usage'!$R83*'Weekly Summary'!N$64)+('Equipment List &amp; Usage'!$S83*'Weekly Summary'!N$65)+('Equipment List &amp; Usage'!$T83*('Weekly Summary'!N$64+'Weekly Summary'!N$65))-SUM($I81:S81))),0)</f>
        <v>0</v>
      </c>
      <c r="U81" s="1381">
        <f ca="1">MAX(IF($F81="No",('Equipment List &amp; Usage'!$O83*'Weekly Summary'!O$52)+('Equipment List &amp; Usage'!$P83*'Weekly Summary'!O$53)+('Equipment List &amp; Usage'!$Q83*('Weekly Summary'!O$52+'Weekly Summary'!O$53))+('Equipment List &amp; Usage'!$R83*'Weekly Summary'!O$64)+('Equipment List &amp; Usage'!$S83*'Weekly Summary'!O$65)+('Equipment List &amp; Usage'!$T83*('Weekly Summary'!O$64+'Weekly Summary'!O$65)),
IF(U$10=0,('Equipment List &amp; Usage'!$O83*'Weekly Summary'!O$52)+('Equipment List &amp; Usage'!$P83*'Weekly Summary'!O$53)+('Equipment List &amp; Usage'!$Q83*('Weekly Summary'!O$52+'Weekly Summary'!O$53))+('Equipment List &amp; Usage'!$R83*'Weekly Summary'!O$64)+('Equipment List &amp; Usage'!$S83*'Weekly Summary'!O$65)+('Equipment List &amp; Usage'!$T83*('Weekly Summary'!O$64+'Weekly Summary'!O$65)),
('Equipment List &amp; Usage'!$O83*'Weekly Summary'!O$52)+('Equipment List &amp; Usage'!$P83*'Weekly Summary'!O$53)+('Equipment List &amp; Usage'!$Q83*('Weekly Summary'!O$52+'Weekly Summary'!O$53))+('Equipment List &amp; Usage'!$R83*'Weekly Summary'!O$64)+('Equipment List &amp; Usage'!$S83*'Weekly Summary'!O$65)+('Equipment List &amp; Usage'!$T83*('Weekly Summary'!O$64+'Weekly Summary'!O$65))-SUM($I81:T81))),0)</f>
        <v>0</v>
      </c>
      <c r="V81" s="1381">
        <f ca="1">MAX(IF($F81="No",('Equipment List &amp; Usage'!$O83*'Weekly Summary'!P$52)+('Equipment List &amp; Usage'!$P83*'Weekly Summary'!P$53)+('Equipment List &amp; Usage'!$Q83*('Weekly Summary'!P$52+'Weekly Summary'!P$53))+('Equipment List &amp; Usage'!$R83*'Weekly Summary'!P$64)+('Equipment List &amp; Usage'!$S83*'Weekly Summary'!P$65)+('Equipment List &amp; Usage'!$T83*('Weekly Summary'!P$64+'Weekly Summary'!P$65)),
IF(V$10=0,('Equipment List &amp; Usage'!$O83*'Weekly Summary'!P$52)+('Equipment List &amp; Usage'!$P83*'Weekly Summary'!P$53)+('Equipment List &amp; Usage'!$Q83*('Weekly Summary'!P$52+'Weekly Summary'!P$53))+('Equipment List &amp; Usage'!$R83*'Weekly Summary'!P$64)+('Equipment List &amp; Usage'!$S83*'Weekly Summary'!P$65)+('Equipment List &amp; Usage'!$T83*('Weekly Summary'!P$64+'Weekly Summary'!P$65)),
('Equipment List &amp; Usage'!$O83*'Weekly Summary'!P$52)+('Equipment List &amp; Usage'!$P83*'Weekly Summary'!P$53)+('Equipment List &amp; Usage'!$Q83*('Weekly Summary'!P$52+'Weekly Summary'!P$53))+('Equipment List &amp; Usage'!$R83*'Weekly Summary'!P$64)+('Equipment List &amp; Usage'!$S83*'Weekly Summary'!P$65)+('Equipment List &amp; Usage'!$T83*('Weekly Summary'!P$64+'Weekly Summary'!P$65))-SUM($I81:U81))),0)</f>
        <v>0</v>
      </c>
      <c r="W81" s="1381">
        <f ca="1">MAX(IF($F81="No",('Equipment List &amp; Usage'!$O83*'Weekly Summary'!Q$52)+('Equipment List &amp; Usage'!$P83*'Weekly Summary'!Q$53)+('Equipment List &amp; Usage'!$Q83*('Weekly Summary'!Q$52+'Weekly Summary'!Q$53))+('Equipment List &amp; Usage'!$R83*'Weekly Summary'!Q$64)+('Equipment List &amp; Usage'!$S83*'Weekly Summary'!Q$65)+('Equipment List &amp; Usage'!$T83*('Weekly Summary'!Q$64+'Weekly Summary'!Q$65)),
IF(W$10=0,('Equipment List &amp; Usage'!$O83*'Weekly Summary'!Q$52)+('Equipment List &amp; Usage'!$P83*'Weekly Summary'!Q$53)+('Equipment List &amp; Usage'!$Q83*('Weekly Summary'!Q$52+'Weekly Summary'!Q$53))+('Equipment List &amp; Usage'!$R83*'Weekly Summary'!Q$64)+('Equipment List &amp; Usage'!$S83*'Weekly Summary'!Q$65)+('Equipment List &amp; Usage'!$T83*('Weekly Summary'!Q$64+'Weekly Summary'!Q$65)),
('Equipment List &amp; Usage'!$O83*'Weekly Summary'!Q$52)+('Equipment List &amp; Usage'!$P83*'Weekly Summary'!Q$53)+('Equipment List &amp; Usage'!$Q83*('Weekly Summary'!Q$52+'Weekly Summary'!Q$53))+('Equipment List &amp; Usage'!$R83*'Weekly Summary'!Q$64)+('Equipment List &amp; Usage'!$S83*'Weekly Summary'!Q$65)+('Equipment List &amp; Usage'!$T83*('Weekly Summary'!Q$64+'Weekly Summary'!Q$65))-SUM($I81:V81))),0)</f>
        <v>0</v>
      </c>
      <c r="X81" s="1381">
        <f ca="1">MAX(IF($F81="No",('Equipment List &amp; Usage'!$O83*'Weekly Summary'!R$52)+('Equipment List &amp; Usage'!$P83*'Weekly Summary'!R$53)+('Equipment List &amp; Usage'!$Q83*('Weekly Summary'!R$52+'Weekly Summary'!R$53))+('Equipment List &amp; Usage'!$R83*'Weekly Summary'!R$64)+('Equipment List &amp; Usage'!$S83*'Weekly Summary'!R$65)+('Equipment List &amp; Usage'!$T83*('Weekly Summary'!R$64+'Weekly Summary'!R$65)),
IF(X$10=0,('Equipment List &amp; Usage'!$O83*'Weekly Summary'!R$52)+('Equipment List &amp; Usage'!$P83*'Weekly Summary'!R$53)+('Equipment List &amp; Usage'!$Q83*('Weekly Summary'!R$52+'Weekly Summary'!R$53))+('Equipment List &amp; Usage'!$R83*'Weekly Summary'!R$64)+('Equipment List &amp; Usage'!$S83*'Weekly Summary'!R$65)+('Equipment List &amp; Usage'!$T83*('Weekly Summary'!R$64+'Weekly Summary'!R$65)),
('Equipment List &amp; Usage'!$O83*'Weekly Summary'!R$52)+('Equipment List &amp; Usage'!$P83*'Weekly Summary'!R$53)+('Equipment List &amp; Usage'!$Q83*('Weekly Summary'!R$52+'Weekly Summary'!R$53))+('Equipment List &amp; Usage'!$R83*'Weekly Summary'!R$64)+('Equipment List &amp; Usage'!$S83*'Weekly Summary'!R$65)+('Equipment List &amp; Usage'!$T83*('Weekly Summary'!R$64+'Weekly Summary'!R$65))-SUM($I81:W81))),0)</f>
        <v>0</v>
      </c>
      <c r="Y81" s="1381">
        <f ca="1">MAX(IF($F81="No",('Equipment List &amp; Usage'!$O83*'Weekly Summary'!S$52)+('Equipment List &amp; Usage'!$P83*'Weekly Summary'!S$53)+('Equipment List &amp; Usage'!$Q83*('Weekly Summary'!S$52+'Weekly Summary'!S$53))+('Equipment List &amp; Usage'!$R83*'Weekly Summary'!S$64)+('Equipment List &amp; Usage'!$S83*'Weekly Summary'!S$65)+('Equipment List &amp; Usage'!$T83*('Weekly Summary'!S$64+'Weekly Summary'!S$65)),
IF(Y$10=0,('Equipment List &amp; Usage'!$O83*'Weekly Summary'!S$52)+('Equipment List &amp; Usage'!$P83*'Weekly Summary'!S$53)+('Equipment List &amp; Usage'!$Q83*('Weekly Summary'!S$52+'Weekly Summary'!S$53))+('Equipment List &amp; Usage'!$R83*'Weekly Summary'!S$64)+('Equipment List &amp; Usage'!$S83*'Weekly Summary'!S$65)+('Equipment List &amp; Usage'!$T83*('Weekly Summary'!S$64+'Weekly Summary'!S$65)),
('Equipment List &amp; Usage'!$O83*'Weekly Summary'!S$52)+('Equipment List &amp; Usage'!$P83*'Weekly Summary'!S$53)+('Equipment List &amp; Usage'!$Q83*('Weekly Summary'!S$52+'Weekly Summary'!S$53))+('Equipment List &amp; Usage'!$R83*'Weekly Summary'!S$64)+('Equipment List &amp; Usage'!$S83*'Weekly Summary'!S$65)+('Equipment List &amp; Usage'!$T83*('Weekly Summary'!S$64+'Weekly Summary'!S$65))-SUM($I81:X81))),0)</f>
        <v>0</v>
      </c>
      <c r="Z81" s="1381">
        <f ca="1">MAX(IF($F81="No",('Equipment List &amp; Usage'!$O83*'Weekly Summary'!T$52)+('Equipment List &amp; Usage'!$P83*'Weekly Summary'!T$53)+('Equipment List &amp; Usage'!$Q83*('Weekly Summary'!T$52+'Weekly Summary'!T$53))+('Equipment List &amp; Usage'!$R83*'Weekly Summary'!T$64)+('Equipment List &amp; Usage'!$S83*'Weekly Summary'!T$65)+('Equipment List &amp; Usage'!$T83*('Weekly Summary'!T$64+'Weekly Summary'!T$65)),
IF(Z$10=0,('Equipment List &amp; Usage'!$O83*'Weekly Summary'!T$52)+('Equipment List &amp; Usage'!$P83*'Weekly Summary'!T$53)+('Equipment List &amp; Usage'!$Q83*('Weekly Summary'!T$52+'Weekly Summary'!T$53))+('Equipment List &amp; Usage'!$R83*'Weekly Summary'!T$64)+('Equipment List &amp; Usage'!$S83*'Weekly Summary'!T$65)+('Equipment List &amp; Usage'!$T83*('Weekly Summary'!T$64+'Weekly Summary'!T$65)),
('Equipment List &amp; Usage'!$O83*'Weekly Summary'!T$52)+('Equipment List &amp; Usage'!$P83*'Weekly Summary'!T$53)+('Equipment List &amp; Usage'!$Q83*('Weekly Summary'!T$52+'Weekly Summary'!T$53))+('Equipment List &amp; Usage'!$R83*'Weekly Summary'!T$64)+('Equipment List &amp; Usage'!$S83*'Weekly Summary'!T$65)+('Equipment List &amp; Usage'!$T83*('Weekly Summary'!T$64+'Weekly Summary'!T$65))-SUM($I81:Y81))),0)</f>
        <v>0</v>
      </c>
      <c r="AA81" s="1381">
        <f ca="1">MAX(IF($F81="No",('Equipment List &amp; Usage'!$O83*'Weekly Summary'!U$52)+('Equipment List &amp; Usage'!$P83*'Weekly Summary'!U$53)+('Equipment List &amp; Usage'!$Q83*('Weekly Summary'!U$52+'Weekly Summary'!U$53))+('Equipment List &amp; Usage'!$R83*'Weekly Summary'!U$64)+('Equipment List &amp; Usage'!$S83*'Weekly Summary'!U$65)+('Equipment List &amp; Usage'!$T83*('Weekly Summary'!U$64+'Weekly Summary'!U$65)),
IF(AA$10=0,('Equipment List &amp; Usage'!$O83*'Weekly Summary'!U$52)+('Equipment List &amp; Usage'!$P83*'Weekly Summary'!U$53)+('Equipment List &amp; Usage'!$Q83*('Weekly Summary'!U$52+'Weekly Summary'!U$53))+('Equipment List &amp; Usage'!$R83*'Weekly Summary'!U$64)+('Equipment List &amp; Usage'!$S83*'Weekly Summary'!U$65)+('Equipment List &amp; Usage'!$T83*('Weekly Summary'!U$64+'Weekly Summary'!U$65)),
('Equipment List &amp; Usage'!$O83*'Weekly Summary'!U$52)+('Equipment List &amp; Usage'!$P83*'Weekly Summary'!U$53)+('Equipment List &amp; Usage'!$Q83*('Weekly Summary'!U$52+'Weekly Summary'!U$53))+('Equipment List &amp; Usage'!$R83*'Weekly Summary'!U$64)+('Equipment List &amp; Usage'!$S83*'Weekly Summary'!U$65)+('Equipment List &amp; Usage'!$T83*('Weekly Summary'!U$64+'Weekly Summary'!U$65))-SUM($I81:Z81))),0)</f>
        <v>0</v>
      </c>
      <c r="AB81" s="1381">
        <f ca="1">MAX(IF($F81="No",('Equipment List &amp; Usage'!$O83*'Weekly Summary'!V$52)+('Equipment List &amp; Usage'!$P83*'Weekly Summary'!V$53)+('Equipment List &amp; Usage'!$Q83*('Weekly Summary'!V$52+'Weekly Summary'!V$53))+('Equipment List &amp; Usage'!$R83*'Weekly Summary'!V$64)+('Equipment List &amp; Usage'!$S83*'Weekly Summary'!V$65)+('Equipment List &amp; Usage'!$T83*('Weekly Summary'!V$64+'Weekly Summary'!V$65)),
IF(AB$10=0,('Equipment List &amp; Usage'!$O83*'Weekly Summary'!V$52)+('Equipment List &amp; Usage'!$P83*'Weekly Summary'!V$53)+('Equipment List &amp; Usage'!$Q83*('Weekly Summary'!V$52+'Weekly Summary'!V$53))+('Equipment List &amp; Usage'!$R83*'Weekly Summary'!V$64)+('Equipment List &amp; Usage'!$S83*'Weekly Summary'!V$65)+('Equipment List &amp; Usage'!$T83*('Weekly Summary'!V$64+'Weekly Summary'!V$65)),
('Equipment List &amp; Usage'!$O83*'Weekly Summary'!V$52)+('Equipment List &amp; Usage'!$P83*'Weekly Summary'!V$53)+('Equipment List &amp; Usage'!$Q83*('Weekly Summary'!V$52+'Weekly Summary'!V$53))+('Equipment List &amp; Usage'!$R83*'Weekly Summary'!V$64)+('Equipment List &amp; Usage'!$S83*'Weekly Summary'!V$65)+('Equipment List &amp; Usage'!$T83*('Weekly Summary'!V$64+'Weekly Summary'!V$65))-SUM($I81:AA81))),0)</f>
        <v>0</v>
      </c>
      <c r="AC81" s="1381">
        <f ca="1">MAX(IF($F81="No",('Equipment List &amp; Usage'!$O83*'Weekly Summary'!W$52)+('Equipment List &amp; Usage'!$P83*'Weekly Summary'!W$53)+('Equipment List &amp; Usage'!$Q83*('Weekly Summary'!W$52+'Weekly Summary'!W$53))+('Equipment List &amp; Usage'!$R83*'Weekly Summary'!W$64)+('Equipment List &amp; Usage'!$S83*'Weekly Summary'!W$65)+('Equipment List &amp; Usage'!$T83*('Weekly Summary'!W$64+'Weekly Summary'!W$65)),
IF(AC$10=0,('Equipment List &amp; Usage'!$O83*'Weekly Summary'!W$52)+('Equipment List &amp; Usage'!$P83*'Weekly Summary'!W$53)+('Equipment List &amp; Usage'!$Q83*('Weekly Summary'!W$52+'Weekly Summary'!W$53))+('Equipment List &amp; Usage'!$R83*'Weekly Summary'!W$64)+('Equipment List &amp; Usage'!$S83*'Weekly Summary'!W$65)+('Equipment List &amp; Usage'!$T83*('Weekly Summary'!W$64+'Weekly Summary'!W$65)),
('Equipment List &amp; Usage'!$O83*'Weekly Summary'!W$52)+('Equipment List &amp; Usage'!$P83*'Weekly Summary'!W$53)+('Equipment List &amp; Usage'!$Q83*('Weekly Summary'!W$52+'Weekly Summary'!W$53))+('Equipment List &amp; Usage'!$R83*'Weekly Summary'!W$64)+('Equipment List &amp; Usage'!$S83*'Weekly Summary'!W$65)+('Equipment List &amp; Usage'!$T83*('Weekly Summary'!W$64+'Weekly Summary'!W$65))-SUM($I81:AB81))),0)</f>
        <v>0</v>
      </c>
      <c r="AD81" s="1381">
        <f ca="1">MAX(IF($F81="No",('Equipment List &amp; Usage'!$O83*'Weekly Summary'!X$52)+('Equipment List &amp; Usage'!$P83*'Weekly Summary'!X$53)+('Equipment List &amp; Usage'!$Q83*('Weekly Summary'!X$52+'Weekly Summary'!X$53))+('Equipment List &amp; Usage'!$R83*'Weekly Summary'!X$64)+('Equipment List &amp; Usage'!$S83*'Weekly Summary'!X$65)+('Equipment List &amp; Usage'!$T83*('Weekly Summary'!X$64+'Weekly Summary'!X$65)),
IF(AD$10=0,('Equipment List &amp; Usage'!$O83*'Weekly Summary'!X$52)+('Equipment List &amp; Usage'!$P83*'Weekly Summary'!X$53)+('Equipment List &amp; Usage'!$Q83*('Weekly Summary'!X$52+'Weekly Summary'!X$53))+('Equipment List &amp; Usage'!$R83*'Weekly Summary'!X$64)+('Equipment List &amp; Usage'!$S83*'Weekly Summary'!X$65)+('Equipment List &amp; Usage'!$T83*('Weekly Summary'!X$64+'Weekly Summary'!X$65)),
('Equipment List &amp; Usage'!$O83*'Weekly Summary'!X$52)+('Equipment List &amp; Usage'!$P83*'Weekly Summary'!X$53)+('Equipment List &amp; Usage'!$Q83*('Weekly Summary'!X$52+'Weekly Summary'!X$53))+('Equipment List &amp; Usage'!$R83*'Weekly Summary'!X$64)+('Equipment List &amp; Usage'!$S83*'Weekly Summary'!X$65)+('Equipment List &amp; Usage'!$T83*('Weekly Summary'!X$64+'Weekly Summary'!X$65))-SUM($I81:AC81))),0)</f>
        <v>0</v>
      </c>
      <c r="AE81" s="1381">
        <f ca="1">MAX(IF($F81="No",('Equipment List &amp; Usage'!$O83*'Weekly Summary'!Y$52)+('Equipment List &amp; Usage'!$P83*'Weekly Summary'!Y$53)+('Equipment List &amp; Usage'!$Q83*('Weekly Summary'!Y$52+'Weekly Summary'!Y$53))+('Equipment List &amp; Usage'!$R83*'Weekly Summary'!Y$64)+('Equipment List &amp; Usage'!$S83*'Weekly Summary'!Y$65)+('Equipment List &amp; Usage'!$T83*('Weekly Summary'!Y$64+'Weekly Summary'!Y$65)),
IF(AE$10=0,('Equipment List &amp; Usage'!$O83*'Weekly Summary'!Y$52)+('Equipment List &amp; Usage'!$P83*'Weekly Summary'!Y$53)+('Equipment List &amp; Usage'!$Q83*('Weekly Summary'!Y$52+'Weekly Summary'!Y$53))+('Equipment List &amp; Usage'!$R83*'Weekly Summary'!Y$64)+('Equipment List &amp; Usage'!$S83*'Weekly Summary'!Y$65)+('Equipment List &amp; Usage'!$T83*('Weekly Summary'!Y$64+'Weekly Summary'!Y$65)),
('Equipment List &amp; Usage'!$O83*'Weekly Summary'!Y$52)+('Equipment List &amp; Usage'!$P83*'Weekly Summary'!Y$53)+('Equipment List &amp; Usage'!$Q83*('Weekly Summary'!Y$52+'Weekly Summary'!Y$53))+('Equipment List &amp; Usage'!$R83*'Weekly Summary'!Y$64)+('Equipment List &amp; Usage'!$S83*'Weekly Summary'!Y$65)+('Equipment List &amp; Usage'!$T83*('Weekly Summary'!Y$64+'Weekly Summary'!Y$65))-SUM($I81:AD81))),0)</f>
        <v>0</v>
      </c>
      <c r="AF81" s="1381">
        <f ca="1">MAX(IF($F81="No",('Equipment List &amp; Usage'!$O83*'Weekly Summary'!Z$52)+('Equipment List &amp; Usage'!$P83*'Weekly Summary'!Z$53)+('Equipment List &amp; Usage'!$Q83*('Weekly Summary'!Z$52+'Weekly Summary'!Z$53))+('Equipment List &amp; Usage'!$R83*'Weekly Summary'!Z$64)+('Equipment List &amp; Usage'!$S83*'Weekly Summary'!Z$65)+('Equipment List &amp; Usage'!$T83*('Weekly Summary'!Z$64+'Weekly Summary'!Z$65)),
IF(AF$10=0,('Equipment List &amp; Usage'!$O83*'Weekly Summary'!Z$52)+('Equipment List &amp; Usage'!$P83*'Weekly Summary'!Z$53)+('Equipment List &amp; Usage'!$Q83*('Weekly Summary'!Z$52+'Weekly Summary'!Z$53))+('Equipment List &amp; Usage'!$R83*'Weekly Summary'!Z$64)+('Equipment List &amp; Usage'!$S83*'Weekly Summary'!Z$65)+('Equipment List &amp; Usage'!$T83*('Weekly Summary'!Z$64+'Weekly Summary'!Z$65)),
('Equipment List &amp; Usage'!$O83*'Weekly Summary'!Z$52)+('Equipment List &amp; Usage'!$P83*'Weekly Summary'!Z$53)+('Equipment List &amp; Usage'!$Q83*('Weekly Summary'!Z$52+'Weekly Summary'!Z$53))+('Equipment List &amp; Usage'!$R83*'Weekly Summary'!Z$64)+('Equipment List &amp; Usage'!$S83*'Weekly Summary'!Z$65)+('Equipment List &amp; Usage'!$T83*('Weekly Summary'!Z$64+'Weekly Summary'!Z$65))-SUM($I81:AE81))),0)</f>
        <v>0</v>
      </c>
      <c r="AG81" s="1381">
        <f ca="1">MAX(IF($F81="No",('Equipment List &amp; Usage'!$O83*'Weekly Summary'!AA$52)+('Equipment List &amp; Usage'!$P83*'Weekly Summary'!AA$53)+('Equipment List &amp; Usage'!$Q83*('Weekly Summary'!AA$52+'Weekly Summary'!AA$53))+('Equipment List &amp; Usage'!$R83*'Weekly Summary'!AA$64)+('Equipment List &amp; Usage'!$S83*'Weekly Summary'!AA$65)+('Equipment List &amp; Usage'!$T83*('Weekly Summary'!AA$64+'Weekly Summary'!AA$65)),
IF(AG$10=0,('Equipment List &amp; Usage'!$O83*'Weekly Summary'!AA$52)+('Equipment List &amp; Usage'!$P83*'Weekly Summary'!AA$53)+('Equipment List &amp; Usage'!$Q83*('Weekly Summary'!AA$52+'Weekly Summary'!AA$53))+('Equipment List &amp; Usage'!$R83*'Weekly Summary'!AA$64)+('Equipment List &amp; Usage'!$S83*'Weekly Summary'!AA$65)+('Equipment List &amp; Usage'!$T83*('Weekly Summary'!AA$64+'Weekly Summary'!AA$65)),
('Equipment List &amp; Usage'!$O83*'Weekly Summary'!AA$52)+('Equipment List &amp; Usage'!$P83*'Weekly Summary'!AA$53)+('Equipment List &amp; Usage'!$Q83*('Weekly Summary'!AA$52+'Weekly Summary'!AA$53))+('Equipment List &amp; Usage'!$R83*'Weekly Summary'!AA$64)+('Equipment List &amp; Usage'!$S83*'Weekly Summary'!AA$65)+('Equipment List &amp; Usage'!$T83*('Weekly Summary'!AA$64+'Weekly Summary'!AA$65))-SUM($I81:AF81))),0)</f>
        <v>0</v>
      </c>
      <c r="AH81" s="1381">
        <f ca="1">MAX(IF($F81="No",('Equipment List &amp; Usage'!$O83*'Weekly Summary'!AB$52)+('Equipment List &amp; Usage'!$P83*'Weekly Summary'!AB$53)+('Equipment List &amp; Usage'!$Q83*('Weekly Summary'!AB$52+'Weekly Summary'!AB$53))+('Equipment List &amp; Usage'!$R83*'Weekly Summary'!AB$64)+('Equipment List &amp; Usage'!$S83*'Weekly Summary'!AB$65)+('Equipment List &amp; Usage'!$T83*('Weekly Summary'!AB$64+'Weekly Summary'!AB$65)),
IF(AH$10=0,('Equipment List &amp; Usage'!$O83*'Weekly Summary'!AB$52)+('Equipment List &amp; Usage'!$P83*'Weekly Summary'!AB$53)+('Equipment List &amp; Usage'!$Q83*('Weekly Summary'!AB$52+'Weekly Summary'!AB$53))+('Equipment List &amp; Usage'!$R83*'Weekly Summary'!AB$64)+('Equipment List &amp; Usage'!$S83*'Weekly Summary'!AB$65)+('Equipment List &amp; Usage'!$T83*('Weekly Summary'!AB$64+'Weekly Summary'!AB$65)),
('Equipment List &amp; Usage'!$O83*'Weekly Summary'!AB$52)+('Equipment List &amp; Usage'!$P83*'Weekly Summary'!AB$53)+('Equipment List &amp; Usage'!$Q83*('Weekly Summary'!AB$52+'Weekly Summary'!AB$53))+('Equipment List &amp; Usage'!$R83*'Weekly Summary'!AB$64)+('Equipment List &amp; Usage'!$S83*'Weekly Summary'!AB$65)+('Equipment List &amp; Usage'!$T83*('Weekly Summary'!AB$64+'Weekly Summary'!AB$65))-SUM($I81:AG81))),0)</f>
        <v>0</v>
      </c>
      <c r="AI81" s="1381">
        <f ca="1">MAX(IF($F81="No",('Equipment List &amp; Usage'!$O83*'Weekly Summary'!AC$52)+('Equipment List &amp; Usage'!$P83*'Weekly Summary'!AC$53)+('Equipment List &amp; Usage'!$Q83*('Weekly Summary'!AC$52+'Weekly Summary'!AC$53))+('Equipment List &amp; Usage'!$R83*'Weekly Summary'!AC$64)+('Equipment List &amp; Usage'!$S83*'Weekly Summary'!AC$65)+('Equipment List &amp; Usage'!$T83*('Weekly Summary'!AC$64+'Weekly Summary'!AC$65)),
IF(AI$10=0,('Equipment List &amp; Usage'!$O83*'Weekly Summary'!AC$52)+('Equipment List &amp; Usage'!$P83*'Weekly Summary'!AC$53)+('Equipment List &amp; Usage'!$Q83*('Weekly Summary'!AC$52+'Weekly Summary'!AC$53))+('Equipment List &amp; Usage'!$R83*'Weekly Summary'!AC$64)+('Equipment List &amp; Usage'!$S83*'Weekly Summary'!AC$65)+('Equipment List &amp; Usage'!$T83*('Weekly Summary'!AC$64+'Weekly Summary'!AC$65)),
('Equipment List &amp; Usage'!$O83*'Weekly Summary'!AC$52)+('Equipment List &amp; Usage'!$P83*'Weekly Summary'!AC$53)+('Equipment List &amp; Usage'!$Q83*('Weekly Summary'!AC$52+'Weekly Summary'!AC$53))+('Equipment List &amp; Usage'!$R83*'Weekly Summary'!AC$64)+('Equipment List &amp; Usage'!$S83*'Weekly Summary'!AC$65)+('Equipment List &amp; Usage'!$T83*('Weekly Summary'!AC$64+'Weekly Summary'!AC$65))-SUM($I81:AH81))),0)</f>
        <v>0</v>
      </c>
      <c r="AJ81" s="1381">
        <f ca="1">MAX(IF($F81="No",('Equipment List &amp; Usage'!$O83*'Weekly Summary'!AD$52)+('Equipment List &amp; Usage'!$P83*'Weekly Summary'!AD$53)+('Equipment List &amp; Usage'!$Q83*('Weekly Summary'!AD$52+'Weekly Summary'!AD$53))+('Equipment List &amp; Usage'!$R83*'Weekly Summary'!AD$64)+('Equipment List &amp; Usage'!$S83*'Weekly Summary'!AD$65)+('Equipment List &amp; Usage'!$T83*('Weekly Summary'!AD$64+'Weekly Summary'!AD$65)),
IF(AJ$10=0,('Equipment List &amp; Usage'!$O83*'Weekly Summary'!AD$52)+('Equipment List &amp; Usage'!$P83*'Weekly Summary'!AD$53)+('Equipment List &amp; Usage'!$Q83*('Weekly Summary'!AD$52+'Weekly Summary'!AD$53))+('Equipment List &amp; Usage'!$R83*'Weekly Summary'!AD$64)+('Equipment List &amp; Usage'!$S83*'Weekly Summary'!AD$65)+('Equipment List &amp; Usage'!$T83*('Weekly Summary'!AD$64+'Weekly Summary'!AD$65)),
('Equipment List &amp; Usage'!$O83*'Weekly Summary'!AD$52)+('Equipment List &amp; Usage'!$P83*'Weekly Summary'!AD$53)+('Equipment List &amp; Usage'!$Q83*('Weekly Summary'!AD$52+'Weekly Summary'!AD$53))+('Equipment List &amp; Usage'!$R83*'Weekly Summary'!AD$64)+('Equipment List &amp; Usage'!$S83*'Weekly Summary'!AD$65)+('Equipment List &amp; Usage'!$T83*('Weekly Summary'!AD$64+'Weekly Summary'!AD$65))-SUM($I81:AI81))),0)</f>
        <v>0</v>
      </c>
      <c r="AK81" s="1381">
        <f ca="1">MAX(IF($F81="No",('Equipment List &amp; Usage'!$O83*'Weekly Summary'!AE$52)+('Equipment List &amp; Usage'!$P83*'Weekly Summary'!AE$53)+('Equipment List &amp; Usage'!$Q83*('Weekly Summary'!AE$52+'Weekly Summary'!AE$53))+('Equipment List &amp; Usage'!$R83*'Weekly Summary'!AE$64)+('Equipment List &amp; Usage'!$S83*'Weekly Summary'!AE$65)+('Equipment List &amp; Usage'!$T83*('Weekly Summary'!AE$64+'Weekly Summary'!AE$65)),
IF(AK$10=0,('Equipment List &amp; Usage'!$O83*'Weekly Summary'!AE$52)+('Equipment List &amp; Usage'!$P83*'Weekly Summary'!AE$53)+('Equipment List &amp; Usage'!$Q83*('Weekly Summary'!AE$52+'Weekly Summary'!AE$53))+('Equipment List &amp; Usage'!$R83*'Weekly Summary'!AE$64)+('Equipment List &amp; Usage'!$S83*'Weekly Summary'!AE$65)+('Equipment List &amp; Usage'!$T83*('Weekly Summary'!AE$64+'Weekly Summary'!AE$65)),
('Equipment List &amp; Usage'!$O83*'Weekly Summary'!AE$52)+('Equipment List &amp; Usage'!$P83*'Weekly Summary'!AE$53)+('Equipment List &amp; Usage'!$Q83*('Weekly Summary'!AE$52+'Weekly Summary'!AE$53))+('Equipment List &amp; Usage'!$R83*'Weekly Summary'!AE$64)+('Equipment List &amp; Usage'!$S83*'Weekly Summary'!AE$65)+('Equipment List &amp; Usage'!$T83*('Weekly Summary'!AE$64+'Weekly Summary'!AE$65))-SUM($I81:AJ81))),0)</f>
        <v>0</v>
      </c>
      <c r="AL81" s="1381">
        <f ca="1">MAX(IF($F81="No",('Equipment List &amp; Usage'!$O83*'Weekly Summary'!AF$52)+('Equipment List &amp; Usage'!$P83*'Weekly Summary'!AF$53)+('Equipment List &amp; Usage'!$Q83*('Weekly Summary'!AF$52+'Weekly Summary'!AF$53))+('Equipment List &amp; Usage'!$R83*'Weekly Summary'!AF$64)+('Equipment List &amp; Usage'!$S83*'Weekly Summary'!AF$65)+('Equipment List &amp; Usage'!$T83*('Weekly Summary'!AF$64+'Weekly Summary'!AF$65)),
IF(AL$10=0,('Equipment List &amp; Usage'!$O83*'Weekly Summary'!AF$52)+('Equipment List &amp; Usage'!$P83*'Weekly Summary'!AF$53)+('Equipment List &amp; Usage'!$Q83*('Weekly Summary'!AF$52+'Weekly Summary'!AF$53))+('Equipment List &amp; Usage'!$R83*'Weekly Summary'!AF$64)+('Equipment List &amp; Usage'!$S83*'Weekly Summary'!AF$65)+('Equipment List &amp; Usage'!$T83*('Weekly Summary'!AF$64+'Weekly Summary'!AF$65)),
('Equipment List &amp; Usage'!$O83*'Weekly Summary'!AF$52)+('Equipment List &amp; Usage'!$P83*'Weekly Summary'!AF$53)+('Equipment List &amp; Usage'!$Q83*('Weekly Summary'!AF$52+'Weekly Summary'!AF$53))+('Equipment List &amp; Usage'!$R83*'Weekly Summary'!AF$64)+('Equipment List &amp; Usage'!$S83*'Weekly Summary'!AF$65)+('Equipment List &amp; Usage'!$T83*('Weekly Summary'!AF$64+'Weekly Summary'!AF$65))-SUM($I81:AK81))),0)</f>
        <v>0</v>
      </c>
      <c r="AM81" s="1381">
        <f ca="1">MAX(IF($F81="No",('Equipment List &amp; Usage'!$O83*'Weekly Summary'!AG$52)+('Equipment List &amp; Usage'!$P83*'Weekly Summary'!AG$53)+('Equipment List &amp; Usage'!$Q83*('Weekly Summary'!AG$52+'Weekly Summary'!AG$53))+('Equipment List &amp; Usage'!$R83*'Weekly Summary'!AG$64)+('Equipment List &amp; Usage'!$S83*'Weekly Summary'!AG$65)+('Equipment List &amp; Usage'!$T83*('Weekly Summary'!AG$64+'Weekly Summary'!AG$65)),
IF(AM$10=0,('Equipment List &amp; Usage'!$O83*'Weekly Summary'!AG$52)+('Equipment List &amp; Usage'!$P83*'Weekly Summary'!AG$53)+('Equipment List &amp; Usage'!$Q83*('Weekly Summary'!AG$52+'Weekly Summary'!AG$53))+('Equipment List &amp; Usage'!$R83*'Weekly Summary'!AG$64)+('Equipment List &amp; Usage'!$S83*'Weekly Summary'!AG$65)+('Equipment List &amp; Usage'!$T83*('Weekly Summary'!AG$64+'Weekly Summary'!AG$65)),
('Equipment List &amp; Usage'!$O83*'Weekly Summary'!AG$52)+('Equipment List &amp; Usage'!$P83*'Weekly Summary'!AG$53)+('Equipment List &amp; Usage'!$Q83*('Weekly Summary'!AG$52+'Weekly Summary'!AG$53))+('Equipment List &amp; Usage'!$R83*'Weekly Summary'!AG$64)+('Equipment List &amp; Usage'!$S83*'Weekly Summary'!AG$65)+('Equipment List &amp; Usage'!$T83*('Weekly Summary'!AG$64+'Weekly Summary'!AG$65))-SUM($I81:AL81))),0)</f>
        <v>0</v>
      </c>
      <c r="AN81" s="1381">
        <f ca="1">MAX(IF($F81="No",('Equipment List &amp; Usage'!$O83*'Weekly Summary'!AH$52)+('Equipment List &amp; Usage'!$P83*'Weekly Summary'!AH$53)+('Equipment List &amp; Usage'!$Q83*('Weekly Summary'!AH$52+'Weekly Summary'!AH$53))+('Equipment List &amp; Usage'!$R83*'Weekly Summary'!AH$64)+('Equipment List &amp; Usage'!$S83*'Weekly Summary'!AH$65)+('Equipment List &amp; Usage'!$T83*('Weekly Summary'!AH$64+'Weekly Summary'!AH$65)),
IF(AN$10=0,('Equipment List &amp; Usage'!$O83*'Weekly Summary'!AH$52)+('Equipment List &amp; Usage'!$P83*'Weekly Summary'!AH$53)+('Equipment List &amp; Usage'!$Q83*('Weekly Summary'!AH$52+'Weekly Summary'!AH$53))+('Equipment List &amp; Usage'!$R83*'Weekly Summary'!AH$64)+('Equipment List &amp; Usage'!$S83*'Weekly Summary'!AH$65)+('Equipment List &amp; Usage'!$T83*('Weekly Summary'!AH$64+'Weekly Summary'!AH$65)),
('Equipment List &amp; Usage'!$O83*'Weekly Summary'!AH$52)+('Equipment List &amp; Usage'!$P83*'Weekly Summary'!AH$53)+('Equipment List &amp; Usage'!$Q83*('Weekly Summary'!AH$52+'Weekly Summary'!AH$53))+('Equipment List &amp; Usage'!$R83*'Weekly Summary'!AH$64)+('Equipment List &amp; Usage'!$S83*'Weekly Summary'!AH$65)+('Equipment List &amp; Usage'!$T83*('Weekly Summary'!AH$64+'Weekly Summary'!AH$65))-SUM($I81:AM81))),0)</f>
        <v>0</v>
      </c>
      <c r="AO81" s="1381">
        <f ca="1">MAX(IF($F81="No",('Equipment List &amp; Usage'!$O83*'Weekly Summary'!AI$52)+('Equipment List &amp; Usage'!$P83*'Weekly Summary'!AI$53)+('Equipment List &amp; Usage'!$Q83*('Weekly Summary'!AI$52+'Weekly Summary'!AI$53))+('Equipment List &amp; Usage'!$R83*'Weekly Summary'!AI$64)+('Equipment List &amp; Usage'!$S83*'Weekly Summary'!AI$65)+('Equipment List &amp; Usage'!$T83*('Weekly Summary'!AI$64+'Weekly Summary'!AI$65)),
IF(AO$10=0,('Equipment List &amp; Usage'!$O83*'Weekly Summary'!AI$52)+('Equipment List &amp; Usage'!$P83*'Weekly Summary'!AI$53)+('Equipment List &amp; Usage'!$Q83*('Weekly Summary'!AI$52+'Weekly Summary'!AI$53))+('Equipment List &amp; Usage'!$R83*'Weekly Summary'!AI$64)+('Equipment List &amp; Usage'!$S83*'Weekly Summary'!AI$65)+('Equipment List &amp; Usage'!$T83*('Weekly Summary'!AI$64+'Weekly Summary'!AI$65)),
('Equipment List &amp; Usage'!$O83*'Weekly Summary'!AI$52)+('Equipment List &amp; Usage'!$P83*'Weekly Summary'!AI$53)+('Equipment List &amp; Usage'!$Q83*('Weekly Summary'!AI$52+'Weekly Summary'!AI$53))+('Equipment List &amp; Usage'!$R83*'Weekly Summary'!AI$64)+('Equipment List &amp; Usage'!$S83*'Weekly Summary'!AI$65)+('Equipment List &amp; Usage'!$T83*('Weekly Summary'!AI$64+'Weekly Summary'!AI$65))-SUM($I81:AN81))),0)</f>
        <v>0</v>
      </c>
      <c r="AP81" s="1381">
        <f ca="1">MAX(IF($F81="No",('Equipment List &amp; Usage'!$O83*'Weekly Summary'!AJ$52)+('Equipment List &amp; Usage'!$P83*'Weekly Summary'!AJ$53)+('Equipment List &amp; Usage'!$Q83*('Weekly Summary'!AJ$52+'Weekly Summary'!AJ$53))+('Equipment List &amp; Usage'!$R83*'Weekly Summary'!AJ$64)+('Equipment List &amp; Usage'!$S83*'Weekly Summary'!AJ$65)+('Equipment List &amp; Usage'!$T83*('Weekly Summary'!AJ$64+'Weekly Summary'!AJ$65)),
IF(AP$10=0,('Equipment List &amp; Usage'!$O83*'Weekly Summary'!AJ$52)+('Equipment List &amp; Usage'!$P83*'Weekly Summary'!AJ$53)+('Equipment List &amp; Usage'!$Q83*('Weekly Summary'!AJ$52+'Weekly Summary'!AJ$53))+('Equipment List &amp; Usage'!$R83*'Weekly Summary'!AJ$64)+('Equipment List &amp; Usage'!$S83*'Weekly Summary'!AJ$65)+('Equipment List &amp; Usage'!$T83*('Weekly Summary'!AJ$64+'Weekly Summary'!AJ$65)),
('Equipment List &amp; Usage'!$O83*'Weekly Summary'!AJ$52)+('Equipment List &amp; Usage'!$P83*'Weekly Summary'!AJ$53)+('Equipment List &amp; Usage'!$Q83*('Weekly Summary'!AJ$52+'Weekly Summary'!AJ$53))+('Equipment List &amp; Usage'!$R83*'Weekly Summary'!AJ$64)+('Equipment List &amp; Usage'!$S83*'Weekly Summary'!AJ$65)+('Equipment List &amp; Usage'!$T83*('Weekly Summary'!AJ$64+'Weekly Summary'!AJ$65))-SUM($I81:AO81))),0)</f>
        <v>0</v>
      </c>
      <c r="AQ81" s="1381">
        <f ca="1">MAX(IF($F81="No",('Equipment List &amp; Usage'!$O83*'Weekly Summary'!AK$52)+('Equipment List &amp; Usage'!$P83*'Weekly Summary'!AK$53)+('Equipment List &amp; Usage'!$Q83*('Weekly Summary'!AK$52+'Weekly Summary'!AK$53))+('Equipment List &amp; Usage'!$R83*'Weekly Summary'!AK$64)+('Equipment List &amp; Usage'!$S83*'Weekly Summary'!AK$65)+('Equipment List &amp; Usage'!$T83*('Weekly Summary'!AK$64+'Weekly Summary'!AK$65)),
IF(AQ$10=0,('Equipment List &amp; Usage'!$O83*'Weekly Summary'!AK$52)+('Equipment List &amp; Usage'!$P83*'Weekly Summary'!AK$53)+('Equipment List &amp; Usage'!$Q83*('Weekly Summary'!AK$52+'Weekly Summary'!AK$53))+('Equipment List &amp; Usage'!$R83*'Weekly Summary'!AK$64)+('Equipment List &amp; Usage'!$S83*'Weekly Summary'!AK$65)+('Equipment List &amp; Usage'!$T83*('Weekly Summary'!AK$64+'Weekly Summary'!AK$65)),
('Equipment List &amp; Usage'!$O83*'Weekly Summary'!AK$52)+('Equipment List &amp; Usage'!$P83*'Weekly Summary'!AK$53)+('Equipment List &amp; Usage'!$Q83*('Weekly Summary'!AK$52+'Weekly Summary'!AK$53))+('Equipment List &amp; Usage'!$R83*'Weekly Summary'!AK$64)+('Equipment List &amp; Usage'!$S83*'Weekly Summary'!AK$65)+('Equipment List &amp; Usage'!$T83*('Weekly Summary'!AK$64+'Weekly Summary'!AK$65))-SUM($I81:AP81))),0)</f>
        <v>0</v>
      </c>
      <c r="AR81" s="1381">
        <f ca="1">MAX(IF($F81="No",('Equipment List &amp; Usage'!$O83*'Weekly Summary'!AL$52)+('Equipment List &amp; Usage'!$P83*'Weekly Summary'!AL$53)+('Equipment List &amp; Usage'!$Q83*('Weekly Summary'!AL$52+'Weekly Summary'!AL$53))+('Equipment List &amp; Usage'!$R83*'Weekly Summary'!AL$64)+('Equipment List &amp; Usage'!$S83*'Weekly Summary'!AL$65)+('Equipment List &amp; Usage'!$T83*('Weekly Summary'!AL$64+'Weekly Summary'!AL$65)),
IF(AR$10=0,('Equipment List &amp; Usage'!$O83*'Weekly Summary'!AL$52)+('Equipment List &amp; Usage'!$P83*'Weekly Summary'!AL$53)+('Equipment List &amp; Usage'!$Q83*('Weekly Summary'!AL$52+'Weekly Summary'!AL$53))+('Equipment List &amp; Usage'!$R83*'Weekly Summary'!AL$64)+('Equipment List &amp; Usage'!$S83*'Weekly Summary'!AL$65)+('Equipment List &amp; Usage'!$T83*('Weekly Summary'!AL$64+'Weekly Summary'!AL$65)),
('Equipment List &amp; Usage'!$O83*'Weekly Summary'!AL$52)+('Equipment List &amp; Usage'!$P83*'Weekly Summary'!AL$53)+('Equipment List &amp; Usage'!$Q83*('Weekly Summary'!AL$52+'Weekly Summary'!AL$53))+('Equipment List &amp; Usage'!$R83*'Weekly Summary'!AL$64)+('Equipment List &amp; Usage'!$S83*'Weekly Summary'!AL$65)+('Equipment List &amp; Usage'!$T83*('Weekly Summary'!AL$64+'Weekly Summary'!AL$65))-SUM($I81:AQ81))),0)</f>
        <v>0</v>
      </c>
      <c r="AS81" s="1381">
        <f ca="1">MAX(IF($F81="No",('Equipment List &amp; Usage'!$O83*'Weekly Summary'!AM$52)+('Equipment List &amp; Usage'!$P83*'Weekly Summary'!AM$53)+('Equipment List &amp; Usage'!$Q83*('Weekly Summary'!AM$52+'Weekly Summary'!AM$53))+('Equipment List &amp; Usage'!$R83*'Weekly Summary'!AM$64)+('Equipment List &amp; Usage'!$S83*'Weekly Summary'!AM$65)+('Equipment List &amp; Usage'!$T83*('Weekly Summary'!AM$64+'Weekly Summary'!AM$65)),
IF(AS$10=0,('Equipment List &amp; Usage'!$O83*'Weekly Summary'!AM$52)+('Equipment List &amp; Usage'!$P83*'Weekly Summary'!AM$53)+('Equipment List &amp; Usage'!$Q83*('Weekly Summary'!AM$52+'Weekly Summary'!AM$53))+('Equipment List &amp; Usage'!$R83*'Weekly Summary'!AM$64)+('Equipment List &amp; Usage'!$S83*'Weekly Summary'!AM$65)+('Equipment List &amp; Usage'!$T83*('Weekly Summary'!AM$64+'Weekly Summary'!AM$65)),
('Equipment List &amp; Usage'!$O83*'Weekly Summary'!AM$52)+('Equipment List &amp; Usage'!$P83*'Weekly Summary'!AM$53)+('Equipment List &amp; Usage'!$Q83*('Weekly Summary'!AM$52+'Weekly Summary'!AM$53))+('Equipment List &amp; Usage'!$R83*'Weekly Summary'!AM$64)+('Equipment List &amp; Usage'!$S83*'Weekly Summary'!AM$65)+('Equipment List &amp; Usage'!$T83*('Weekly Summary'!AM$64+'Weekly Summary'!AM$65))-SUM($I81:AR81))),0)</f>
        <v>0</v>
      </c>
      <c r="AT81" s="1381">
        <f ca="1">MAX(IF($F81="No",('Equipment List &amp; Usage'!$O83*'Weekly Summary'!AN$52)+('Equipment List &amp; Usage'!$P83*'Weekly Summary'!AN$53)+('Equipment List &amp; Usage'!$Q83*('Weekly Summary'!AN$52+'Weekly Summary'!AN$53))+('Equipment List &amp; Usage'!$R83*'Weekly Summary'!AN$64)+('Equipment List &amp; Usage'!$S83*'Weekly Summary'!AN$65)+('Equipment List &amp; Usage'!$T83*('Weekly Summary'!AN$64+'Weekly Summary'!AN$65)),
IF(AT$10=0,('Equipment List &amp; Usage'!$O83*'Weekly Summary'!AN$52)+('Equipment List &amp; Usage'!$P83*'Weekly Summary'!AN$53)+('Equipment List &amp; Usage'!$Q83*('Weekly Summary'!AN$52+'Weekly Summary'!AN$53))+('Equipment List &amp; Usage'!$R83*'Weekly Summary'!AN$64)+('Equipment List &amp; Usage'!$S83*'Weekly Summary'!AN$65)+('Equipment List &amp; Usage'!$T83*('Weekly Summary'!AN$64+'Weekly Summary'!AN$65)),
('Equipment List &amp; Usage'!$O83*'Weekly Summary'!AN$52)+('Equipment List &amp; Usage'!$P83*'Weekly Summary'!AN$53)+('Equipment List &amp; Usage'!$Q83*('Weekly Summary'!AN$52+'Weekly Summary'!AN$53))+('Equipment List &amp; Usage'!$R83*'Weekly Summary'!AN$64)+('Equipment List &amp; Usage'!$S83*'Weekly Summary'!AN$65)+('Equipment List &amp; Usage'!$T83*('Weekly Summary'!AN$64+'Weekly Summary'!AN$65))-SUM($I81:AS81))),0)</f>
        <v>0</v>
      </c>
      <c r="AU81" s="1381">
        <f ca="1">MAX(IF($F81="No",('Equipment List &amp; Usage'!$O83*'Weekly Summary'!AO$52)+('Equipment List &amp; Usage'!$P83*'Weekly Summary'!AO$53)+('Equipment List &amp; Usage'!$Q83*('Weekly Summary'!AO$52+'Weekly Summary'!AO$53))+('Equipment List &amp; Usage'!$R83*'Weekly Summary'!AO$64)+('Equipment List &amp; Usage'!$S83*'Weekly Summary'!AO$65)+('Equipment List &amp; Usage'!$T83*('Weekly Summary'!AO$64+'Weekly Summary'!AO$65)),
IF(AU$10=0,('Equipment List &amp; Usage'!$O83*'Weekly Summary'!AO$52)+('Equipment List &amp; Usage'!$P83*'Weekly Summary'!AO$53)+('Equipment List &amp; Usage'!$Q83*('Weekly Summary'!AO$52+'Weekly Summary'!AO$53))+('Equipment List &amp; Usage'!$R83*'Weekly Summary'!AO$64)+('Equipment List &amp; Usage'!$S83*'Weekly Summary'!AO$65)+('Equipment List &amp; Usage'!$T83*('Weekly Summary'!AO$64+'Weekly Summary'!AO$65)),
('Equipment List &amp; Usage'!$O83*'Weekly Summary'!AO$52)+('Equipment List &amp; Usage'!$P83*'Weekly Summary'!AO$53)+('Equipment List &amp; Usage'!$Q83*('Weekly Summary'!AO$52+'Weekly Summary'!AO$53))+('Equipment List &amp; Usage'!$R83*'Weekly Summary'!AO$64)+('Equipment List &amp; Usage'!$S83*'Weekly Summary'!AO$65)+('Equipment List &amp; Usage'!$T83*('Weekly Summary'!AO$64+'Weekly Summary'!AO$65))-SUM($I81:AT81))),0)</f>
        <v>0</v>
      </c>
      <c r="AV81" s="1381">
        <f ca="1">MAX(IF($F81="No",('Equipment List &amp; Usage'!$O83*'Weekly Summary'!AP$52)+('Equipment List &amp; Usage'!$P83*'Weekly Summary'!AP$53)+('Equipment List &amp; Usage'!$Q83*('Weekly Summary'!AP$52+'Weekly Summary'!AP$53))+('Equipment List &amp; Usage'!$R83*'Weekly Summary'!AP$64)+('Equipment List &amp; Usage'!$S83*'Weekly Summary'!AP$65)+('Equipment List &amp; Usage'!$T83*('Weekly Summary'!AP$64+'Weekly Summary'!AP$65)),
IF(AV$10=0,('Equipment List &amp; Usage'!$O83*'Weekly Summary'!AP$52)+('Equipment List &amp; Usage'!$P83*'Weekly Summary'!AP$53)+('Equipment List &amp; Usage'!$Q83*('Weekly Summary'!AP$52+'Weekly Summary'!AP$53))+('Equipment List &amp; Usage'!$R83*'Weekly Summary'!AP$64)+('Equipment List &amp; Usage'!$S83*'Weekly Summary'!AP$65)+('Equipment List &amp; Usage'!$T83*('Weekly Summary'!AP$64+'Weekly Summary'!AP$65)),
('Equipment List &amp; Usage'!$O83*'Weekly Summary'!AP$52)+('Equipment List &amp; Usage'!$P83*'Weekly Summary'!AP$53)+('Equipment List &amp; Usage'!$Q83*('Weekly Summary'!AP$52+'Weekly Summary'!AP$53))+('Equipment List &amp; Usage'!$R83*'Weekly Summary'!AP$64)+('Equipment List &amp; Usage'!$S83*'Weekly Summary'!AP$65)+('Equipment List &amp; Usage'!$T83*('Weekly Summary'!AP$64+'Weekly Summary'!AP$65))-SUM($I81:AU81))),0)</f>
        <v>0</v>
      </c>
      <c r="AW81" s="1381">
        <f ca="1">MAX(IF($F81="No",('Equipment List &amp; Usage'!$O83*'Weekly Summary'!AQ$52)+('Equipment List &amp; Usage'!$P83*'Weekly Summary'!AQ$53)+('Equipment List &amp; Usage'!$Q83*('Weekly Summary'!AQ$52+'Weekly Summary'!AQ$53))+('Equipment List &amp; Usage'!$R83*'Weekly Summary'!AQ$64)+('Equipment List &amp; Usage'!$S83*'Weekly Summary'!AQ$65)+('Equipment List &amp; Usage'!$T83*('Weekly Summary'!AQ$64+'Weekly Summary'!AQ$65)),
IF(AW$10=0,('Equipment List &amp; Usage'!$O83*'Weekly Summary'!AQ$52)+('Equipment List &amp; Usage'!$P83*'Weekly Summary'!AQ$53)+('Equipment List &amp; Usage'!$Q83*('Weekly Summary'!AQ$52+'Weekly Summary'!AQ$53))+('Equipment List &amp; Usage'!$R83*'Weekly Summary'!AQ$64)+('Equipment List &amp; Usage'!$S83*'Weekly Summary'!AQ$65)+('Equipment List &amp; Usage'!$T83*('Weekly Summary'!AQ$64+'Weekly Summary'!AQ$65)),
('Equipment List &amp; Usage'!$O83*'Weekly Summary'!AQ$52)+('Equipment List &amp; Usage'!$P83*'Weekly Summary'!AQ$53)+('Equipment List &amp; Usage'!$Q83*('Weekly Summary'!AQ$52+'Weekly Summary'!AQ$53))+('Equipment List &amp; Usage'!$R83*'Weekly Summary'!AQ$64)+('Equipment List &amp; Usage'!$S83*'Weekly Summary'!AQ$65)+('Equipment List &amp; Usage'!$T83*('Weekly Summary'!AQ$64+'Weekly Summary'!AQ$65))-SUM($I81:AV81))),0)</f>
        <v>0</v>
      </c>
      <c r="AX81" s="1381">
        <f ca="1">MAX(IF($F81="No",('Equipment List &amp; Usage'!$O83*'Weekly Summary'!AR$52)+('Equipment List &amp; Usage'!$P83*'Weekly Summary'!AR$53)+('Equipment List &amp; Usage'!$Q83*('Weekly Summary'!AR$52+'Weekly Summary'!AR$53))+('Equipment List &amp; Usage'!$R83*'Weekly Summary'!AR$64)+('Equipment List &amp; Usage'!$S83*'Weekly Summary'!AR$65)+('Equipment List &amp; Usage'!$T83*('Weekly Summary'!AR$64+'Weekly Summary'!AR$65)),
IF(AX$10=0,('Equipment List &amp; Usage'!$O83*'Weekly Summary'!AR$52)+('Equipment List &amp; Usage'!$P83*'Weekly Summary'!AR$53)+('Equipment List &amp; Usage'!$Q83*('Weekly Summary'!AR$52+'Weekly Summary'!AR$53))+('Equipment List &amp; Usage'!$R83*'Weekly Summary'!AR$64)+('Equipment List &amp; Usage'!$S83*'Weekly Summary'!AR$65)+('Equipment List &amp; Usage'!$T83*('Weekly Summary'!AR$64+'Weekly Summary'!AR$65)),
('Equipment List &amp; Usage'!$O83*'Weekly Summary'!AR$52)+('Equipment List &amp; Usage'!$P83*'Weekly Summary'!AR$53)+('Equipment List &amp; Usage'!$Q83*('Weekly Summary'!AR$52+'Weekly Summary'!AR$53))+('Equipment List &amp; Usage'!$R83*'Weekly Summary'!AR$64)+('Equipment List &amp; Usage'!$S83*'Weekly Summary'!AR$65)+('Equipment List &amp; Usage'!$T83*('Weekly Summary'!AR$64+'Weekly Summary'!AR$65))-SUM($I81:AW81))),0)</f>
        <v>0</v>
      </c>
      <c r="AY81" s="1381">
        <f ca="1">MAX(IF($F81="No",('Equipment List &amp; Usage'!$O83*'Weekly Summary'!AS$52)+('Equipment List &amp; Usage'!$P83*'Weekly Summary'!AS$53)+('Equipment List &amp; Usage'!$Q83*('Weekly Summary'!AS$52+'Weekly Summary'!AS$53))+('Equipment List &amp; Usage'!$R83*'Weekly Summary'!AS$64)+('Equipment List &amp; Usage'!$S83*'Weekly Summary'!AS$65)+('Equipment List &amp; Usage'!$T83*('Weekly Summary'!AS$64+'Weekly Summary'!AS$65)),
IF(AY$10=0,('Equipment List &amp; Usage'!$O83*'Weekly Summary'!AS$52)+('Equipment List &amp; Usage'!$P83*'Weekly Summary'!AS$53)+('Equipment List &amp; Usage'!$Q83*('Weekly Summary'!AS$52+'Weekly Summary'!AS$53))+('Equipment List &amp; Usage'!$R83*'Weekly Summary'!AS$64)+('Equipment List &amp; Usage'!$S83*'Weekly Summary'!AS$65)+('Equipment List &amp; Usage'!$T83*('Weekly Summary'!AS$64+'Weekly Summary'!AS$65)),
('Equipment List &amp; Usage'!$O83*'Weekly Summary'!AS$52)+('Equipment List &amp; Usage'!$P83*'Weekly Summary'!AS$53)+('Equipment List &amp; Usage'!$Q83*('Weekly Summary'!AS$52+'Weekly Summary'!AS$53))+('Equipment List &amp; Usage'!$R83*'Weekly Summary'!AS$64)+('Equipment List &amp; Usage'!$S83*'Weekly Summary'!AS$65)+('Equipment List &amp; Usage'!$T83*('Weekly Summary'!AS$64+'Weekly Summary'!AS$65))-SUM($I81:AX81))),0)</f>
        <v>0</v>
      </c>
      <c r="AZ81" s="1381">
        <f ca="1">MAX(IF($F81="No",('Equipment List &amp; Usage'!$O83*'Weekly Summary'!AT$52)+('Equipment List &amp; Usage'!$P83*'Weekly Summary'!AT$53)+('Equipment List &amp; Usage'!$Q83*('Weekly Summary'!AT$52+'Weekly Summary'!AT$53))+('Equipment List &amp; Usage'!$R83*'Weekly Summary'!AT$64)+('Equipment List &amp; Usage'!$S83*'Weekly Summary'!AT$65)+('Equipment List &amp; Usage'!$T83*('Weekly Summary'!AT$64+'Weekly Summary'!AT$65)),
IF(AZ$10=0,('Equipment List &amp; Usage'!$O83*'Weekly Summary'!AT$52)+('Equipment List &amp; Usage'!$P83*'Weekly Summary'!AT$53)+('Equipment List &amp; Usage'!$Q83*('Weekly Summary'!AT$52+'Weekly Summary'!AT$53))+('Equipment List &amp; Usage'!$R83*'Weekly Summary'!AT$64)+('Equipment List &amp; Usage'!$S83*'Weekly Summary'!AT$65)+('Equipment List &amp; Usage'!$T83*('Weekly Summary'!AT$64+'Weekly Summary'!AT$65)),
('Equipment List &amp; Usage'!$O83*'Weekly Summary'!AT$52)+('Equipment List &amp; Usage'!$P83*'Weekly Summary'!AT$53)+('Equipment List &amp; Usage'!$Q83*('Weekly Summary'!AT$52+'Weekly Summary'!AT$53))+('Equipment List &amp; Usage'!$R83*'Weekly Summary'!AT$64)+('Equipment List &amp; Usage'!$S83*'Weekly Summary'!AT$65)+('Equipment List &amp; Usage'!$T83*('Weekly Summary'!AT$64+'Weekly Summary'!AT$65))-SUM($I81:AY81))),0)</f>
        <v>0</v>
      </c>
      <c r="BA81" s="1381">
        <f ca="1">MAX(IF($F81="No",('Equipment List &amp; Usage'!$O83*'Weekly Summary'!AU$52)+('Equipment List &amp; Usage'!$P83*'Weekly Summary'!AU$53)+('Equipment List &amp; Usage'!$Q83*('Weekly Summary'!AU$52+'Weekly Summary'!AU$53))+('Equipment List &amp; Usage'!$R83*'Weekly Summary'!AU$64)+('Equipment List &amp; Usage'!$S83*'Weekly Summary'!AU$65)+('Equipment List &amp; Usage'!$T83*('Weekly Summary'!AU$64+'Weekly Summary'!AU$65)),
IF(BA$10=0,('Equipment List &amp; Usage'!$O83*'Weekly Summary'!AU$52)+('Equipment List &amp; Usage'!$P83*'Weekly Summary'!AU$53)+('Equipment List &amp; Usage'!$Q83*('Weekly Summary'!AU$52+'Weekly Summary'!AU$53))+('Equipment List &amp; Usage'!$R83*'Weekly Summary'!AU$64)+('Equipment List &amp; Usage'!$S83*'Weekly Summary'!AU$65)+('Equipment List &amp; Usage'!$T83*('Weekly Summary'!AU$64+'Weekly Summary'!AU$65)),
('Equipment List &amp; Usage'!$O83*'Weekly Summary'!AU$52)+('Equipment List &amp; Usage'!$P83*'Weekly Summary'!AU$53)+('Equipment List &amp; Usage'!$Q83*('Weekly Summary'!AU$52+'Weekly Summary'!AU$53))+('Equipment List &amp; Usage'!$R83*'Weekly Summary'!AU$64)+('Equipment List &amp; Usage'!$S83*'Weekly Summary'!AU$65)+('Equipment List &amp; Usage'!$T83*('Weekly Summary'!AU$64+'Weekly Summary'!AU$65))-SUM($I81:AZ81))),0)</f>
        <v>0</v>
      </c>
      <c r="BB81" s="1381">
        <f ca="1">MAX(IF($F81="No",('Equipment List &amp; Usage'!$O83*'Weekly Summary'!AV$52)+('Equipment List &amp; Usage'!$P83*'Weekly Summary'!AV$53)+('Equipment List &amp; Usage'!$Q83*('Weekly Summary'!AV$52+'Weekly Summary'!AV$53))+('Equipment List &amp; Usage'!$R83*'Weekly Summary'!AV$64)+('Equipment List &amp; Usage'!$S83*'Weekly Summary'!AV$65)+('Equipment List &amp; Usage'!$T83*('Weekly Summary'!AV$64+'Weekly Summary'!AV$65)),
IF(BB$10=0,('Equipment List &amp; Usage'!$O83*'Weekly Summary'!AV$52)+('Equipment List &amp; Usage'!$P83*'Weekly Summary'!AV$53)+('Equipment List &amp; Usage'!$Q83*('Weekly Summary'!AV$52+'Weekly Summary'!AV$53))+('Equipment List &amp; Usage'!$R83*'Weekly Summary'!AV$64)+('Equipment List &amp; Usage'!$S83*'Weekly Summary'!AV$65)+('Equipment List &amp; Usage'!$T83*('Weekly Summary'!AV$64+'Weekly Summary'!AV$65)),
('Equipment List &amp; Usage'!$O83*'Weekly Summary'!AV$52)+('Equipment List &amp; Usage'!$P83*'Weekly Summary'!AV$53)+('Equipment List &amp; Usage'!$Q83*('Weekly Summary'!AV$52+'Weekly Summary'!AV$53))+('Equipment List &amp; Usage'!$R83*'Weekly Summary'!AV$64)+('Equipment List &amp; Usage'!$S83*'Weekly Summary'!AV$65)+('Equipment List &amp; Usage'!$T83*('Weekly Summary'!AV$64+'Weekly Summary'!AV$65))-SUM($I81:BA81))),0)</f>
        <v>0</v>
      </c>
      <c r="BC81" s="1381">
        <f ca="1">MAX(IF($F81="No",('Equipment List &amp; Usage'!$O83*'Weekly Summary'!AW$52)+('Equipment List &amp; Usage'!$P83*'Weekly Summary'!AW$53)+('Equipment List &amp; Usage'!$Q83*('Weekly Summary'!AW$52+'Weekly Summary'!AW$53))+('Equipment List &amp; Usage'!$R83*'Weekly Summary'!AW$64)+('Equipment List &amp; Usage'!$S83*'Weekly Summary'!AW$65)+('Equipment List &amp; Usage'!$T83*('Weekly Summary'!AW$64+'Weekly Summary'!AW$65)),
IF(BC$10=0,('Equipment List &amp; Usage'!$O83*'Weekly Summary'!AW$52)+('Equipment List &amp; Usage'!$P83*'Weekly Summary'!AW$53)+('Equipment List &amp; Usage'!$Q83*('Weekly Summary'!AW$52+'Weekly Summary'!AW$53))+('Equipment List &amp; Usage'!$R83*'Weekly Summary'!AW$64)+('Equipment List &amp; Usage'!$S83*'Weekly Summary'!AW$65)+('Equipment List &amp; Usage'!$T83*('Weekly Summary'!AW$64+'Weekly Summary'!AW$65)),
('Equipment List &amp; Usage'!$O83*'Weekly Summary'!AW$52)+('Equipment List &amp; Usage'!$P83*'Weekly Summary'!AW$53)+('Equipment List &amp; Usage'!$Q83*('Weekly Summary'!AW$52+'Weekly Summary'!AW$53))+('Equipment List &amp; Usage'!$R83*'Weekly Summary'!AW$64)+('Equipment List &amp; Usage'!$S83*'Weekly Summary'!AW$65)+('Equipment List &amp; Usage'!$T83*('Weekly Summary'!AW$64+'Weekly Summary'!AW$65))-SUM($I81:BB81))),0)</f>
        <v>0</v>
      </c>
      <c r="BD81" s="1381">
        <f ca="1">MAX(IF($F81="No",('Equipment List &amp; Usage'!$O83*'Weekly Summary'!AX$52)+('Equipment List &amp; Usage'!$P83*'Weekly Summary'!AX$53)+('Equipment List &amp; Usage'!$Q83*('Weekly Summary'!AX$52+'Weekly Summary'!AX$53))+('Equipment List &amp; Usage'!$R83*'Weekly Summary'!AX$64)+('Equipment List &amp; Usage'!$S83*'Weekly Summary'!AX$65)+('Equipment List &amp; Usage'!$T83*('Weekly Summary'!AX$64+'Weekly Summary'!AX$65)),
IF(BD$10=0,('Equipment List &amp; Usage'!$O83*'Weekly Summary'!AX$52)+('Equipment List &amp; Usage'!$P83*'Weekly Summary'!AX$53)+('Equipment List &amp; Usage'!$Q83*('Weekly Summary'!AX$52+'Weekly Summary'!AX$53))+('Equipment List &amp; Usage'!$R83*'Weekly Summary'!AX$64)+('Equipment List &amp; Usage'!$S83*'Weekly Summary'!AX$65)+('Equipment List &amp; Usage'!$T83*('Weekly Summary'!AX$64+'Weekly Summary'!AX$65)),
('Equipment List &amp; Usage'!$O83*'Weekly Summary'!AX$52)+('Equipment List &amp; Usage'!$P83*'Weekly Summary'!AX$53)+('Equipment List &amp; Usage'!$Q83*('Weekly Summary'!AX$52+'Weekly Summary'!AX$53))+('Equipment List &amp; Usage'!$R83*'Weekly Summary'!AX$64)+('Equipment List &amp; Usage'!$S83*'Weekly Summary'!AX$65)+('Equipment List &amp; Usage'!$T83*('Weekly Summary'!AX$64+'Weekly Summary'!AX$65))-SUM($I81:BC81))),0)</f>
        <v>0</v>
      </c>
      <c r="BE81" s="1381">
        <f ca="1">MAX(IF($F81="No",('Equipment List &amp; Usage'!$O83*'Weekly Summary'!AY$52)+('Equipment List &amp; Usage'!$P83*'Weekly Summary'!AY$53)+('Equipment List &amp; Usage'!$Q83*('Weekly Summary'!AY$52+'Weekly Summary'!AY$53))+('Equipment List &amp; Usage'!$R83*'Weekly Summary'!AY$64)+('Equipment List &amp; Usage'!$S83*'Weekly Summary'!AY$65)+('Equipment List &amp; Usage'!$T83*('Weekly Summary'!AY$64+'Weekly Summary'!AY$65)),
IF(BE$10=0,('Equipment List &amp; Usage'!$O83*'Weekly Summary'!AY$52)+('Equipment List &amp; Usage'!$P83*'Weekly Summary'!AY$53)+('Equipment List &amp; Usage'!$Q83*('Weekly Summary'!AY$52+'Weekly Summary'!AY$53))+('Equipment List &amp; Usage'!$R83*'Weekly Summary'!AY$64)+('Equipment List &amp; Usage'!$S83*'Weekly Summary'!AY$65)+('Equipment List &amp; Usage'!$T83*('Weekly Summary'!AY$64+'Weekly Summary'!AY$65)),
('Equipment List &amp; Usage'!$O83*'Weekly Summary'!AY$52)+('Equipment List &amp; Usage'!$P83*'Weekly Summary'!AY$53)+('Equipment List &amp; Usage'!$Q83*('Weekly Summary'!AY$52+'Weekly Summary'!AY$53))+('Equipment List &amp; Usage'!$R83*'Weekly Summary'!AY$64)+('Equipment List &amp; Usage'!$S83*'Weekly Summary'!AY$65)+('Equipment List &amp; Usage'!$T83*('Weekly Summary'!AY$64+'Weekly Summary'!AY$65))-SUM($I81:BD81))),0)</f>
        <v>0</v>
      </c>
      <c r="BF81" s="1381">
        <f ca="1">MAX(IF($F81="No",('Equipment List &amp; Usage'!$O83*'Weekly Summary'!AZ$52)+('Equipment List &amp; Usage'!$P83*'Weekly Summary'!AZ$53)+('Equipment List &amp; Usage'!$Q83*('Weekly Summary'!AZ$52+'Weekly Summary'!AZ$53))+('Equipment List &amp; Usage'!$R83*'Weekly Summary'!AZ$64)+('Equipment List &amp; Usage'!$S83*'Weekly Summary'!AZ$65)+('Equipment List &amp; Usage'!$T83*('Weekly Summary'!AZ$64+'Weekly Summary'!AZ$65)),
IF(BF$10=0,('Equipment List &amp; Usage'!$O83*'Weekly Summary'!AZ$52)+('Equipment List &amp; Usage'!$P83*'Weekly Summary'!AZ$53)+('Equipment List &amp; Usage'!$Q83*('Weekly Summary'!AZ$52+'Weekly Summary'!AZ$53))+('Equipment List &amp; Usage'!$R83*'Weekly Summary'!AZ$64)+('Equipment List &amp; Usage'!$S83*'Weekly Summary'!AZ$65)+('Equipment List &amp; Usage'!$T83*('Weekly Summary'!AZ$64+'Weekly Summary'!AZ$65)),
('Equipment List &amp; Usage'!$O83*'Weekly Summary'!AZ$52)+('Equipment List &amp; Usage'!$P83*'Weekly Summary'!AZ$53)+('Equipment List &amp; Usage'!$Q83*('Weekly Summary'!AZ$52+'Weekly Summary'!AZ$53))+('Equipment List &amp; Usage'!$R83*'Weekly Summary'!AZ$64)+('Equipment List &amp; Usage'!$S83*'Weekly Summary'!AZ$65)+('Equipment List &amp; Usage'!$T83*('Weekly Summary'!AZ$64+'Weekly Summary'!AZ$65))-SUM($I81:BE81))),0)</f>
        <v>0</v>
      </c>
      <c r="BG81" s="1381">
        <f ca="1">MAX(IF($F81="No",('Equipment List &amp; Usage'!$O83*'Weekly Summary'!BA$52)+('Equipment List &amp; Usage'!$P83*'Weekly Summary'!BA$53)+('Equipment List &amp; Usage'!$Q83*('Weekly Summary'!BA$52+'Weekly Summary'!BA$53))+('Equipment List &amp; Usage'!$R83*'Weekly Summary'!BA$64)+('Equipment List &amp; Usage'!$S83*'Weekly Summary'!BA$65)+('Equipment List &amp; Usage'!$T83*('Weekly Summary'!BA$64+'Weekly Summary'!BA$65)),
IF(BG$10=0,('Equipment List &amp; Usage'!$O83*'Weekly Summary'!BA$52)+('Equipment List &amp; Usage'!$P83*'Weekly Summary'!BA$53)+('Equipment List &amp; Usage'!$Q83*('Weekly Summary'!BA$52+'Weekly Summary'!BA$53))+('Equipment List &amp; Usage'!$R83*'Weekly Summary'!BA$64)+('Equipment List &amp; Usage'!$S83*'Weekly Summary'!BA$65)+('Equipment List &amp; Usage'!$T83*('Weekly Summary'!BA$64+'Weekly Summary'!BA$65)),
('Equipment List &amp; Usage'!$O83*'Weekly Summary'!BA$52)+('Equipment List &amp; Usage'!$P83*'Weekly Summary'!BA$53)+('Equipment List &amp; Usage'!$Q83*('Weekly Summary'!BA$52+'Weekly Summary'!BA$53))+('Equipment List &amp; Usage'!$R83*'Weekly Summary'!BA$64)+('Equipment List &amp; Usage'!$S83*'Weekly Summary'!BA$65)+('Equipment List &amp; Usage'!$T83*('Weekly Summary'!BA$64+'Weekly Summary'!BA$65))-SUM($I81:BF81))),0)</f>
        <v>0</v>
      </c>
      <c r="BH81" s="1381">
        <f ca="1">MAX(IF($F81="No",('Equipment List &amp; Usage'!$O83*'Weekly Summary'!BB$52)+('Equipment List &amp; Usage'!$P83*'Weekly Summary'!BB$53)+('Equipment List &amp; Usage'!$Q83*('Weekly Summary'!BB$52+'Weekly Summary'!BB$53))+('Equipment List &amp; Usage'!$R83*'Weekly Summary'!BB$64)+('Equipment List &amp; Usage'!$S83*'Weekly Summary'!BB$65)+('Equipment List &amp; Usage'!$T83*('Weekly Summary'!BB$64+'Weekly Summary'!BB$65)),
IF(BH$10=0,('Equipment List &amp; Usage'!$O83*'Weekly Summary'!BB$52)+('Equipment List &amp; Usage'!$P83*'Weekly Summary'!BB$53)+('Equipment List &amp; Usage'!$Q83*('Weekly Summary'!BB$52+'Weekly Summary'!BB$53))+('Equipment List &amp; Usage'!$R83*'Weekly Summary'!BB$64)+('Equipment List &amp; Usage'!$S83*'Weekly Summary'!BB$65)+('Equipment List &amp; Usage'!$T83*('Weekly Summary'!BB$64+'Weekly Summary'!BB$65)),
('Equipment List &amp; Usage'!$O83*'Weekly Summary'!BB$52)+('Equipment List &amp; Usage'!$P83*'Weekly Summary'!BB$53)+('Equipment List &amp; Usage'!$Q83*('Weekly Summary'!BB$52+'Weekly Summary'!BB$53))+('Equipment List &amp; Usage'!$R83*'Weekly Summary'!BB$64)+('Equipment List &amp; Usage'!$S83*'Weekly Summary'!BB$65)+('Equipment List &amp; Usage'!$T83*('Weekly Summary'!BB$64+'Weekly Summary'!BB$65))-SUM($I81:BG81))),0)</f>
        <v>0</v>
      </c>
      <c r="BI81" s="1381">
        <f ca="1">MAX(IF($F81="No",('Equipment List &amp; Usage'!$O83*'Weekly Summary'!BC$52)+('Equipment List &amp; Usage'!$P83*'Weekly Summary'!BC$53)+('Equipment List &amp; Usage'!$Q83*('Weekly Summary'!BC$52+'Weekly Summary'!BC$53))+('Equipment List &amp; Usage'!$R83*'Weekly Summary'!BC$64)+('Equipment List &amp; Usage'!$S83*'Weekly Summary'!BC$65)+('Equipment List &amp; Usage'!$T83*('Weekly Summary'!BC$64+'Weekly Summary'!BC$65)),
IF(BI$10=0,('Equipment List &amp; Usage'!$O83*'Weekly Summary'!BC$52)+('Equipment List &amp; Usage'!$P83*'Weekly Summary'!BC$53)+('Equipment List &amp; Usage'!$Q83*('Weekly Summary'!BC$52+'Weekly Summary'!BC$53))+('Equipment List &amp; Usage'!$R83*'Weekly Summary'!BC$64)+('Equipment List &amp; Usage'!$S83*'Weekly Summary'!BC$65)+('Equipment List &amp; Usage'!$T83*('Weekly Summary'!BC$64+'Weekly Summary'!BC$65)),
('Equipment List &amp; Usage'!$O83*'Weekly Summary'!BC$52)+('Equipment List &amp; Usage'!$P83*'Weekly Summary'!BC$53)+('Equipment List &amp; Usage'!$Q83*('Weekly Summary'!BC$52+'Weekly Summary'!BC$53))+('Equipment List &amp; Usage'!$R83*'Weekly Summary'!BC$64)+('Equipment List &amp; Usage'!$S83*'Weekly Summary'!BC$65)+('Equipment List &amp; Usage'!$T83*('Weekly Summary'!BC$64+'Weekly Summary'!BC$65))-SUM($I81:BH81))),0)</f>
        <v>0</v>
      </c>
      <c r="BJ81" s="1382">
        <f ca="1">MAX(IF($F81="No",('Equipment List &amp; Usage'!$O83*'Weekly Summary'!BD$52)+('Equipment List &amp; Usage'!$P83*'Weekly Summary'!BD$53)+('Equipment List &amp; Usage'!$Q83*('Weekly Summary'!BD$52+'Weekly Summary'!BD$53))+('Equipment List &amp; Usage'!$R83*'Weekly Summary'!BD$64)+('Equipment List &amp; Usage'!$S83*'Weekly Summary'!BD$65)+('Equipment List &amp; Usage'!$T83*('Weekly Summary'!BD$64+'Weekly Summary'!BD$65)),
IF(BJ$10=0,('Equipment List &amp; Usage'!$O83*'Weekly Summary'!BD$52)+('Equipment List &amp; Usage'!$P83*'Weekly Summary'!BD$53)+('Equipment List &amp; Usage'!$Q83*('Weekly Summary'!BD$52+'Weekly Summary'!BD$53))+('Equipment List &amp; Usage'!$R83*'Weekly Summary'!BD$64)+('Equipment List &amp; Usage'!$S83*'Weekly Summary'!BD$65)+('Equipment List &amp; Usage'!$T83*('Weekly Summary'!BD$64+'Weekly Summary'!BD$65)),
('Equipment List &amp; Usage'!$O83*'Weekly Summary'!BD$52)+('Equipment List &amp; Usage'!$P83*'Weekly Summary'!BD$53)+('Equipment List &amp; Usage'!$Q83*('Weekly Summary'!BD$52+'Weekly Summary'!BD$53))+('Equipment List &amp; Usage'!$R83*'Weekly Summary'!BD$64)+('Equipment List &amp; Usage'!$S83*'Weekly Summary'!BD$65)+('Equipment List &amp; Usage'!$T83*('Weekly Summary'!BD$64+'Weekly Summary'!BD$65))-SUM($I81:BI81))),0)</f>
        <v>0</v>
      </c>
    </row>
    <row r="82" spans="2:62" s="15" customFormat="1" ht="31.4" customHeight="1" collapsed="1" x14ac:dyDescent="0.35">
      <c r="B82" s="735" t="str">
        <f>'Equipment List &amp; Usage'!B84</f>
        <v>Case management - accessories &amp; consumables</v>
      </c>
      <c r="C82" s="526" t="str">
        <f>'Equipment List &amp; Usage'!C84</f>
        <v>Airway Management &amp; Intubation</v>
      </c>
      <c r="D82" s="526" t="str">
        <f>'Equipment List &amp; Usage'!D84</f>
        <v>Tube, endotracheal</v>
      </c>
      <c r="E82" s="526" t="str">
        <f>'Equipment List &amp; Usage'!E84</f>
        <v>Each</v>
      </c>
      <c r="F82" s="526" t="str">
        <f>'Equipment List &amp; Usage'!F84</f>
        <v>No</v>
      </c>
      <c r="G82" s="526" t="str">
        <f>'Equipment List &amp; Usage'!G84</f>
        <v>Type and sizes according to specifications.</v>
      </c>
      <c r="H82" s="1369">
        <f t="shared" ca="1" si="3"/>
        <v>134.15286663356636</v>
      </c>
      <c r="I82" s="909"/>
      <c r="J82" s="1344"/>
      <c r="K82" s="1381">
        <f ca="1">IF('User Dashboard'!$H$13=1,0,MAX(IF($F82="No",('Equipment List &amp; Usage'!$O84*'Weekly Summary'!E$52)+('Equipment List &amp; Usage'!$P84*'Weekly Summary'!E$53)+('Equipment List &amp; Usage'!$Q84*('Weekly Summary'!E$52+'Weekly Summary'!E$53))+('Equipment List &amp; Usage'!$R84*'Weekly Summary'!E$64)+('Equipment List &amp; Usage'!$S84*'Weekly Summary'!E$65)+('Equipment List &amp; Usage'!$T84*('Weekly Summary'!E$64+'Weekly Summary'!E$65)),
IF(K$10=0,('Equipment List &amp; Usage'!$O84*'Weekly Summary'!E$52)+('Equipment List &amp; Usage'!$P84*'Weekly Summary'!E$53)+('Equipment List &amp; Usage'!$Q84*('Weekly Summary'!E$52+'Weekly Summary'!E$53))+('Equipment List &amp; Usage'!$R84*'Weekly Summary'!E$64)+('Equipment List &amp; Usage'!$S84*'Weekly Summary'!E$65)+('Equipment List &amp; Usage'!$T84*('Weekly Summary'!E$64+'Weekly Summary'!E$65)),
('Equipment List &amp; Usage'!$O84*'Weekly Summary'!E$52)+('Equipment List &amp; Usage'!$P84*'Weekly Summary'!E$53)+('Equipment List &amp; Usage'!$Q84*('Weekly Summary'!E$52+'Weekly Summary'!E$53))+('Equipment List &amp; Usage'!$R84*'Weekly Summary'!E$64)+('Equipment List &amp; Usage'!$S84*'Weekly Summary'!E$65)+('Equipment List &amp; Usage'!$T84*('Weekly Summary'!E$64+'Weekly Summary'!E$65))-SUM($I82:I82))),0))</f>
        <v>0.19869249611205675</v>
      </c>
      <c r="L82" s="1381">
        <f ca="1">MAX(IF($F82="No",('Equipment List &amp; Usage'!$O84*'Weekly Summary'!F$52)+('Equipment List &amp; Usage'!$P84*'Weekly Summary'!F$53)+('Equipment List &amp; Usage'!$Q84*('Weekly Summary'!F$52+'Weekly Summary'!F$53))+('Equipment List &amp; Usage'!$R84*'Weekly Summary'!F$64)+('Equipment List &amp; Usage'!$S84*'Weekly Summary'!F$65)+('Equipment List &amp; Usage'!$T84*('Weekly Summary'!F$64+'Weekly Summary'!F$65)),
IF(L$10=0,('Equipment List &amp; Usage'!$O84*'Weekly Summary'!F$52)+('Equipment List &amp; Usage'!$P84*'Weekly Summary'!F$53)+('Equipment List &amp; Usage'!$Q84*('Weekly Summary'!F$52+'Weekly Summary'!F$53))+('Equipment List &amp; Usage'!$R84*'Weekly Summary'!F$64)+('Equipment List &amp; Usage'!$S84*'Weekly Summary'!F$65)+('Equipment List &amp; Usage'!$T84*('Weekly Summary'!F$64+'Weekly Summary'!F$65)),
('Equipment List &amp; Usage'!$O84*'Weekly Summary'!F$52)+('Equipment List &amp; Usage'!$P84*'Weekly Summary'!F$53)+('Equipment List &amp; Usage'!$Q84*('Weekly Summary'!F$52+'Weekly Summary'!F$53))+('Equipment List &amp; Usage'!$R84*'Weekly Summary'!F$64)+('Equipment List &amp; Usage'!$S84*'Weekly Summary'!F$65)+('Equipment List &amp; Usage'!$T84*('Weekly Summary'!F$64+'Weekly Summary'!F$65))-SUM($I82:K82))),0)</f>
        <v>0.68280837797721627</v>
      </c>
      <c r="M82" s="1381">
        <f ca="1">MAX(IF($F82="No",('Equipment List &amp; Usage'!$O84*'Weekly Summary'!G$52)+('Equipment List &amp; Usage'!$P84*'Weekly Summary'!G$53)+('Equipment List &amp; Usage'!$Q84*('Weekly Summary'!G$52+'Weekly Summary'!G$53))+('Equipment List &amp; Usage'!$R84*'Weekly Summary'!G$64)+('Equipment List &amp; Usage'!$S84*'Weekly Summary'!G$65)+('Equipment List &amp; Usage'!$T84*('Weekly Summary'!G$64+'Weekly Summary'!G$65)),
IF(M$10=0,('Equipment List &amp; Usage'!$O84*'Weekly Summary'!G$52)+('Equipment List &amp; Usage'!$P84*'Weekly Summary'!G$53)+('Equipment List &amp; Usage'!$Q84*('Weekly Summary'!G$52+'Weekly Summary'!G$53))+('Equipment List &amp; Usage'!$R84*'Weekly Summary'!G$64)+('Equipment List &amp; Usage'!$S84*'Weekly Summary'!G$65)+('Equipment List &amp; Usage'!$T84*('Weekly Summary'!G$64+'Weekly Summary'!G$65)),
('Equipment List &amp; Usage'!$O84*'Weekly Summary'!G$52)+('Equipment List &amp; Usage'!$P84*'Weekly Summary'!G$53)+('Equipment List &amp; Usage'!$Q84*('Weekly Summary'!G$52+'Weekly Summary'!G$53))+('Equipment List &amp; Usage'!$R84*'Weekly Summary'!G$64)+('Equipment List &amp; Usage'!$S84*'Weekly Summary'!G$65)+('Equipment List &amp; Usage'!$T84*('Weekly Summary'!G$64+'Weekly Summary'!G$65))-SUM($I82:L82))),0)</f>
        <v>2.3464538473228695</v>
      </c>
      <c r="N82" s="1381">
        <f ca="1">MAX(IF($F82="No",('Equipment List &amp; Usage'!$O84*'Weekly Summary'!H$52)+('Equipment List &amp; Usage'!$P84*'Weekly Summary'!H$53)+('Equipment List &amp; Usage'!$Q84*('Weekly Summary'!H$52+'Weekly Summary'!H$53))+('Equipment List &amp; Usage'!$R84*'Weekly Summary'!H$64)+('Equipment List &amp; Usage'!$S84*'Weekly Summary'!H$65)+('Equipment List &amp; Usage'!$T84*('Weekly Summary'!H$64+'Weekly Summary'!H$65)),
IF(N$10=0,('Equipment List &amp; Usage'!$O84*'Weekly Summary'!H$52)+('Equipment List &amp; Usage'!$P84*'Weekly Summary'!H$53)+('Equipment List &amp; Usage'!$Q84*('Weekly Summary'!H$52+'Weekly Summary'!H$53))+('Equipment List &amp; Usage'!$R84*'Weekly Summary'!H$64)+('Equipment List &amp; Usage'!$S84*'Weekly Summary'!H$65)+('Equipment List &amp; Usage'!$T84*('Weekly Summary'!H$64+'Weekly Summary'!H$65)),
('Equipment List &amp; Usage'!$O84*'Weekly Summary'!H$52)+('Equipment List &amp; Usage'!$P84*'Weekly Summary'!H$53)+('Equipment List &amp; Usage'!$Q84*('Weekly Summary'!H$52+'Weekly Summary'!H$53))+('Equipment List &amp; Usage'!$R84*'Weekly Summary'!H$64)+('Equipment List &amp; Usage'!$S84*'Weekly Summary'!H$65)+('Equipment List &amp; Usage'!$T84*('Weekly Summary'!H$64+'Weekly Summary'!H$65))-SUM($I82:M82))),0)</f>
        <v>8.0632617407996285</v>
      </c>
      <c r="O82" s="1381">
        <f ca="1">MAX(IF($F82="No",('Equipment List &amp; Usage'!$O84*'Weekly Summary'!I$52)+('Equipment List &amp; Usage'!$P84*'Weekly Summary'!I$53)+('Equipment List &amp; Usage'!$Q84*('Weekly Summary'!I$52+'Weekly Summary'!I$53))+('Equipment List &amp; Usage'!$R84*'Weekly Summary'!I$64)+('Equipment List &amp; Usage'!$S84*'Weekly Summary'!I$65)+('Equipment List &amp; Usage'!$T84*('Weekly Summary'!I$64+'Weekly Summary'!I$65)),
IF(O$10=0,('Equipment List &amp; Usage'!$O84*'Weekly Summary'!I$52)+('Equipment List &amp; Usage'!$P84*'Weekly Summary'!I$53)+('Equipment List &amp; Usage'!$Q84*('Weekly Summary'!I$52+'Weekly Summary'!I$53))+('Equipment List &amp; Usage'!$R84*'Weekly Summary'!I$64)+('Equipment List &amp; Usage'!$S84*'Weekly Summary'!I$65)+('Equipment List &amp; Usage'!$T84*('Weekly Summary'!I$64+'Weekly Summary'!I$65)),
('Equipment List &amp; Usage'!$O84*'Weekly Summary'!I$52)+('Equipment List &amp; Usage'!$P84*'Weekly Summary'!I$53)+('Equipment List &amp; Usage'!$Q84*('Weekly Summary'!I$52+'Weekly Summary'!I$53))+('Equipment List &amp; Usage'!$R84*'Weekly Summary'!I$64)+('Equipment List &amp; Usage'!$S84*'Weekly Summary'!I$65)+('Equipment List &amp; Usage'!$T84*('Weekly Summary'!I$64+'Weekly Summary'!I$65))-SUM($I82:N82))),0)</f>
        <v>27.705111326463218</v>
      </c>
      <c r="P82" s="1381">
        <f ca="1">MAX(IF($F82="No",('Equipment List &amp; Usage'!$O84*'Weekly Summary'!J$52)+('Equipment List &amp; Usage'!$P84*'Weekly Summary'!J$53)+('Equipment List &amp; Usage'!$Q84*('Weekly Summary'!J$52+'Weekly Summary'!J$53))+('Equipment List &amp; Usage'!$R84*'Weekly Summary'!J$64)+('Equipment List &amp; Usage'!$S84*'Weekly Summary'!J$65)+('Equipment List &amp; Usage'!$T84*('Weekly Summary'!J$64+'Weekly Summary'!J$65)),
IF(P$10=0,('Equipment List &amp; Usage'!$O84*'Weekly Summary'!J$52)+('Equipment List &amp; Usage'!$P84*'Weekly Summary'!J$53)+('Equipment List &amp; Usage'!$Q84*('Weekly Summary'!J$52+'Weekly Summary'!J$53))+('Equipment List &amp; Usage'!$R84*'Weekly Summary'!J$64)+('Equipment List &amp; Usage'!$S84*'Weekly Summary'!J$65)+('Equipment List &amp; Usage'!$T84*('Weekly Summary'!J$64+'Weekly Summary'!J$65)),
('Equipment List &amp; Usage'!$O84*'Weekly Summary'!J$52)+('Equipment List &amp; Usage'!$P84*'Weekly Summary'!J$53)+('Equipment List &amp; Usage'!$Q84*('Weekly Summary'!J$52+'Weekly Summary'!J$53))+('Equipment List &amp; Usage'!$R84*'Weekly Summary'!J$64)+('Equipment List &amp; Usage'!$S84*'Weekly Summary'!J$65)+('Equipment List &amp; Usage'!$T84*('Weekly Summary'!J$64+'Weekly Summary'!J$65))-SUM($I82:O82))),0)</f>
        <v>95.156538844891386</v>
      </c>
      <c r="Q82" s="1381">
        <f ca="1">MAX(IF($F82="No",('Equipment List &amp; Usage'!$O84*'Weekly Summary'!K$52)+('Equipment List &amp; Usage'!$P84*'Weekly Summary'!K$53)+('Equipment List &amp; Usage'!$Q84*('Weekly Summary'!K$52+'Weekly Summary'!K$53))+('Equipment List &amp; Usage'!$R84*'Weekly Summary'!K$64)+('Equipment List &amp; Usage'!$S84*'Weekly Summary'!K$65)+('Equipment List &amp; Usage'!$T84*('Weekly Summary'!K$64+'Weekly Summary'!K$65)),
IF(Q$10=0,('Equipment List &amp; Usage'!$O84*'Weekly Summary'!K$52)+('Equipment List &amp; Usage'!$P84*'Weekly Summary'!K$53)+('Equipment List &amp; Usage'!$Q84*('Weekly Summary'!K$52+'Weekly Summary'!K$53))+('Equipment List &amp; Usage'!$R84*'Weekly Summary'!K$64)+('Equipment List &amp; Usage'!$S84*'Weekly Summary'!K$65)+('Equipment List &amp; Usage'!$T84*('Weekly Summary'!K$64+'Weekly Summary'!K$65)),
('Equipment List &amp; Usage'!$O84*'Weekly Summary'!K$52)+('Equipment List &amp; Usage'!$P84*'Weekly Summary'!K$53)+('Equipment List &amp; Usage'!$Q84*('Weekly Summary'!K$52+'Weekly Summary'!K$53))+('Equipment List &amp; Usage'!$R84*'Weekly Summary'!K$64)+('Equipment List &amp; Usage'!$S84*'Weekly Summary'!K$65)+('Equipment List &amp; Usage'!$T84*('Weekly Summary'!K$64+'Weekly Summary'!K$65))-SUM($I82:P82))),0)</f>
        <v>0</v>
      </c>
      <c r="R82" s="1381">
        <f ca="1">MAX(IF($F82="No",('Equipment List &amp; Usage'!$O84*'Weekly Summary'!L$52)+('Equipment List &amp; Usage'!$P84*'Weekly Summary'!L$53)+('Equipment List &amp; Usage'!$Q84*('Weekly Summary'!L$52+'Weekly Summary'!L$53))+('Equipment List &amp; Usage'!$R84*'Weekly Summary'!L$64)+('Equipment List &amp; Usage'!$S84*'Weekly Summary'!L$65)+('Equipment List &amp; Usage'!$T84*('Weekly Summary'!L$64+'Weekly Summary'!L$65)),
IF(R$10=0,('Equipment List &amp; Usage'!$O84*'Weekly Summary'!L$52)+('Equipment List &amp; Usage'!$P84*'Weekly Summary'!L$53)+('Equipment List &amp; Usage'!$Q84*('Weekly Summary'!L$52+'Weekly Summary'!L$53))+('Equipment List &amp; Usage'!$R84*'Weekly Summary'!L$64)+('Equipment List &amp; Usage'!$S84*'Weekly Summary'!L$65)+('Equipment List &amp; Usage'!$T84*('Weekly Summary'!L$64+'Weekly Summary'!L$65)),
('Equipment List &amp; Usage'!$O84*'Weekly Summary'!L$52)+('Equipment List &amp; Usage'!$P84*'Weekly Summary'!L$53)+('Equipment List &amp; Usage'!$Q84*('Weekly Summary'!L$52+'Weekly Summary'!L$53))+('Equipment List &amp; Usage'!$R84*'Weekly Summary'!L$64)+('Equipment List &amp; Usage'!$S84*'Weekly Summary'!L$65)+('Equipment List &amp; Usage'!$T84*('Weekly Summary'!L$64+'Weekly Summary'!L$65))-SUM($I82:Q82))),0)</f>
        <v>0</v>
      </c>
      <c r="S82" s="1381">
        <f ca="1">MAX(IF($F82="No",('Equipment List &amp; Usage'!$O84*'Weekly Summary'!M$52)+('Equipment List &amp; Usage'!$P84*'Weekly Summary'!M$53)+('Equipment List &amp; Usage'!$Q84*('Weekly Summary'!M$52+'Weekly Summary'!M$53))+('Equipment List &amp; Usage'!$R84*'Weekly Summary'!M$64)+('Equipment List &amp; Usage'!$S84*'Weekly Summary'!M$65)+('Equipment List &amp; Usage'!$T84*('Weekly Summary'!M$64+'Weekly Summary'!M$65)),
IF(S$10=0,('Equipment List &amp; Usage'!$O84*'Weekly Summary'!M$52)+('Equipment List &amp; Usage'!$P84*'Weekly Summary'!M$53)+('Equipment List &amp; Usage'!$Q84*('Weekly Summary'!M$52+'Weekly Summary'!M$53))+('Equipment List &amp; Usage'!$R84*'Weekly Summary'!M$64)+('Equipment List &amp; Usage'!$S84*'Weekly Summary'!M$65)+('Equipment List &amp; Usage'!$T84*('Weekly Summary'!M$64+'Weekly Summary'!M$65)),
('Equipment List &amp; Usage'!$O84*'Weekly Summary'!M$52)+('Equipment List &amp; Usage'!$P84*'Weekly Summary'!M$53)+('Equipment List &amp; Usage'!$Q84*('Weekly Summary'!M$52+'Weekly Summary'!M$53))+('Equipment List &amp; Usage'!$R84*'Weekly Summary'!M$64)+('Equipment List &amp; Usage'!$S84*'Weekly Summary'!M$65)+('Equipment List &amp; Usage'!$T84*('Weekly Summary'!M$64+'Weekly Summary'!M$65))-SUM($I82:R82))),0)</f>
        <v>0</v>
      </c>
      <c r="T82" s="1381">
        <f ca="1">MAX(IF($F82="No",('Equipment List &amp; Usage'!$O84*'Weekly Summary'!N$52)+('Equipment List &amp; Usage'!$P84*'Weekly Summary'!N$53)+('Equipment List &amp; Usage'!$Q84*('Weekly Summary'!N$52+'Weekly Summary'!N$53))+('Equipment List &amp; Usage'!$R84*'Weekly Summary'!N$64)+('Equipment List &amp; Usage'!$S84*'Weekly Summary'!N$65)+('Equipment List &amp; Usage'!$T84*('Weekly Summary'!N$64+'Weekly Summary'!N$65)),
IF(T$10=0,('Equipment List &amp; Usage'!$O84*'Weekly Summary'!N$52)+('Equipment List &amp; Usage'!$P84*'Weekly Summary'!N$53)+('Equipment List &amp; Usage'!$Q84*('Weekly Summary'!N$52+'Weekly Summary'!N$53))+('Equipment List &amp; Usage'!$R84*'Weekly Summary'!N$64)+('Equipment List &amp; Usage'!$S84*'Weekly Summary'!N$65)+('Equipment List &amp; Usage'!$T84*('Weekly Summary'!N$64+'Weekly Summary'!N$65)),
('Equipment List &amp; Usage'!$O84*'Weekly Summary'!N$52)+('Equipment List &amp; Usage'!$P84*'Weekly Summary'!N$53)+('Equipment List &amp; Usage'!$Q84*('Weekly Summary'!N$52+'Weekly Summary'!N$53))+('Equipment List &amp; Usage'!$R84*'Weekly Summary'!N$64)+('Equipment List &amp; Usage'!$S84*'Weekly Summary'!N$65)+('Equipment List &amp; Usage'!$T84*('Weekly Summary'!N$64+'Weekly Summary'!N$65))-SUM($I82:S82))),0)</f>
        <v>0</v>
      </c>
      <c r="U82" s="1381">
        <f ca="1">MAX(IF($F82="No",('Equipment List &amp; Usage'!$O84*'Weekly Summary'!O$52)+('Equipment List &amp; Usage'!$P84*'Weekly Summary'!O$53)+('Equipment List &amp; Usage'!$Q84*('Weekly Summary'!O$52+'Weekly Summary'!O$53))+('Equipment List &amp; Usage'!$R84*'Weekly Summary'!O$64)+('Equipment List &amp; Usage'!$S84*'Weekly Summary'!O$65)+('Equipment List &amp; Usage'!$T84*('Weekly Summary'!O$64+'Weekly Summary'!O$65)),
IF(U$10=0,('Equipment List &amp; Usage'!$O84*'Weekly Summary'!O$52)+('Equipment List &amp; Usage'!$P84*'Weekly Summary'!O$53)+('Equipment List &amp; Usage'!$Q84*('Weekly Summary'!O$52+'Weekly Summary'!O$53))+('Equipment List &amp; Usage'!$R84*'Weekly Summary'!O$64)+('Equipment List &amp; Usage'!$S84*'Weekly Summary'!O$65)+('Equipment List &amp; Usage'!$T84*('Weekly Summary'!O$64+'Weekly Summary'!O$65)),
('Equipment List &amp; Usage'!$O84*'Weekly Summary'!O$52)+('Equipment List &amp; Usage'!$P84*'Weekly Summary'!O$53)+('Equipment List &amp; Usage'!$Q84*('Weekly Summary'!O$52+'Weekly Summary'!O$53))+('Equipment List &amp; Usage'!$R84*'Weekly Summary'!O$64)+('Equipment List &amp; Usage'!$S84*'Weekly Summary'!O$65)+('Equipment List &amp; Usage'!$T84*('Weekly Summary'!O$64+'Weekly Summary'!O$65))-SUM($I82:T82))),0)</f>
        <v>0</v>
      </c>
      <c r="V82" s="1381">
        <f ca="1">MAX(IF($F82="No",('Equipment List &amp; Usage'!$O84*'Weekly Summary'!P$52)+('Equipment List &amp; Usage'!$P84*'Weekly Summary'!P$53)+('Equipment List &amp; Usage'!$Q84*('Weekly Summary'!P$52+'Weekly Summary'!P$53))+('Equipment List &amp; Usage'!$R84*'Weekly Summary'!P$64)+('Equipment List &amp; Usage'!$S84*'Weekly Summary'!P$65)+('Equipment List &amp; Usage'!$T84*('Weekly Summary'!P$64+'Weekly Summary'!P$65)),
IF(V$10=0,('Equipment List &amp; Usage'!$O84*'Weekly Summary'!P$52)+('Equipment List &amp; Usage'!$P84*'Weekly Summary'!P$53)+('Equipment List &amp; Usage'!$Q84*('Weekly Summary'!P$52+'Weekly Summary'!P$53))+('Equipment List &amp; Usage'!$R84*'Weekly Summary'!P$64)+('Equipment List &amp; Usage'!$S84*'Weekly Summary'!P$65)+('Equipment List &amp; Usage'!$T84*('Weekly Summary'!P$64+'Weekly Summary'!P$65)),
('Equipment List &amp; Usage'!$O84*'Weekly Summary'!P$52)+('Equipment List &amp; Usage'!$P84*'Weekly Summary'!P$53)+('Equipment List &amp; Usage'!$Q84*('Weekly Summary'!P$52+'Weekly Summary'!P$53))+('Equipment List &amp; Usage'!$R84*'Weekly Summary'!P$64)+('Equipment List &amp; Usage'!$S84*'Weekly Summary'!P$65)+('Equipment List &amp; Usage'!$T84*('Weekly Summary'!P$64+'Weekly Summary'!P$65))-SUM($I82:U82))),0)</f>
        <v>0</v>
      </c>
      <c r="W82" s="1381">
        <f ca="1">MAX(IF($F82="No",('Equipment List &amp; Usage'!$O84*'Weekly Summary'!Q$52)+('Equipment List &amp; Usage'!$P84*'Weekly Summary'!Q$53)+('Equipment List &amp; Usage'!$Q84*('Weekly Summary'!Q$52+'Weekly Summary'!Q$53))+('Equipment List &amp; Usage'!$R84*'Weekly Summary'!Q$64)+('Equipment List &amp; Usage'!$S84*'Weekly Summary'!Q$65)+('Equipment List &amp; Usage'!$T84*('Weekly Summary'!Q$64+'Weekly Summary'!Q$65)),
IF(W$10=0,('Equipment List &amp; Usage'!$O84*'Weekly Summary'!Q$52)+('Equipment List &amp; Usage'!$P84*'Weekly Summary'!Q$53)+('Equipment List &amp; Usage'!$Q84*('Weekly Summary'!Q$52+'Weekly Summary'!Q$53))+('Equipment List &amp; Usage'!$R84*'Weekly Summary'!Q$64)+('Equipment List &amp; Usage'!$S84*'Weekly Summary'!Q$65)+('Equipment List &amp; Usage'!$T84*('Weekly Summary'!Q$64+'Weekly Summary'!Q$65)),
('Equipment List &amp; Usage'!$O84*'Weekly Summary'!Q$52)+('Equipment List &amp; Usage'!$P84*'Weekly Summary'!Q$53)+('Equipment List &amp; Usage'!$Q84*('Weekly Summary'!Q$52+'Weekly Summary'!Q$53))+('Equipment List &amp; Usage'!$R84*'Weekly Summary'!Q$64)+('Equipment List &amp; Usage'!$S84*'Weekly Summary'!Q$65)+('Equipment List &amp; Usage'!$T84*('Weekly Summary'!Q$64+'Weekly Summary'!Q$65))-SUM($I82:V82))),0)</f>
        <v>0</v>
      </c>
      <c r="X82" s="1381">
        <f ca="1">MAX(IF($F82="No",('Equipment List &amp; Usage'!$O84*'Weekly Summary'!R$52)+('Equipment List &amp; Usage'!$P84*'Weekly Summary'!R$53)+('Equipment List &amp; Usage'!$Q84*('Weekly Summary'!R$52+'Weekly Summary'!R$53))+('Equipment List &amp; Usage'!$R84*'Weekly Summary'!R$64)+('Equipment List &amp; Usage'!$S84*'Weekly Summary'!R$65)+('Equipment List &amp; Usage'!$T84*('Weekly Summary'!R$64+'Weekly Summary'!R$65)),
IF(X$10=0,('Equipment List &amp; Usage'!$O84*'Weekly Summary'!R$52)+('Equipment List &amp; Usage'!$P84*'Weekly Summary'!R$53)+('Equipment List &amp; Usage'!$Q84*('Weekly Summary'!R$52+'Weekly Summary'!R$53))+('Equipment List &amp; Usage'!$R84*'Weekly Summary'!R$64)+('Equipment List &amp; Usage'!$S84*'Weekly Summary'!R$65)+('Equipment List &amp; Usage'!$T84*('Weekly Summary'!R$64+'Weekly Summary'!R$65)),
('Equipment List &amp; Usage'!$O84*'Weekly Summary'!R$52)+('Equipment List &amp; Usage'!$P84*'Weekly Summary'!R$53)+('Equipment List &amp; Usage'!$Q84*('Weekly Summary'!R$52+'Weekly Summary'!R$53))+('Equipment List &amp; Usage'!$R84*'Weekly Summary'!R$64)+('Equipment List &amp; Usage'!$S84*'Weekly Summary'!R$65)+('Equipment List &amp; Usage'!$T84*('Weekly Summary'!R$64+'Weekly Summary'!R$65))-SUM($I82:W82))),0)</f>
        <v>0</v>
      </c>
      <c r="Y82" s="1381">
        <f ca="1">MAX(IF($F82="No",('Equipment List &amp; Usage'!$O84*'Weekly Summary'!S$52)+('Equipment List &amp; Usage'!$P84*'Weekly Summary'!S$53)+('Equipment List &amp; Usage'!$Q84*('Weekly Summary'!S$52+'Weekly Summary'!S$53))+('Equipment List &amp; Usage'!$R84*'Weekly Summary'!S$64)+('Equipment List &amp; Usage'!$S84*'Weekly Summary'!S$65)+('Equipment List &amp; Usage'!$T84*('Weekly Summary'!S$64+'Weekly Summary'!S$65)),
IF(Y$10=0,('Equipment List &amp; Usage'!$O84*'Weekly Summary'!S$52)+('Equipment List &amp; Usage'!$P84*'Weekly Summary'!S$53)+('Equipment List &amp; Usage'!$Q84*('Weekly Summary'!S$52+'Weekly Summary'!S$53))+('Equipment List &amp; Usage'!$R84*'Weekly Summary'!S$64)+('Equipment List &amp; Usage'!$S84*'Weekly Summary'!S$65)+('Equipment List &amp; Usage'!$T84*('Weekly Summary'!S$64+'Weekly Summary'!S$65)),
('Equipment List &amp; Usage'!$O84*'Weekly Summary'!S$52)+('Equipment List &amp; Usage'!$P84*'Weekly Summary'!S$53)+('Equipment List &amp; Usage'!$Q84*('Weekly Summary'!S$52+'Weekly Summary'!S$53))+('Equipment List &amp; Usage'!$R84*'Weekly Summary'!S$64)+('Equipment List &amp; Usage'!$S84*'Weekly Summary'!S$65)+('Equipment List &amp; Usage'!$T84*('Weekly Summary'!S$64+'Weekly Summary'!S$65))-SUM($I82:X82))),0)</f>
        <v>0</v>
      </c>
      <c r="Z82" s="1381">
        <f ca="1">MAX(IF($F82="No",('Equipment List &amp; Usage'!$O84*'Weekly Summary'!T$52)+('Equipment List &amp; Usage'!$P84*'Weekly Summary'!T$53)+('Equipment List &amp; Usage'!$Q84*('Weekly Summary'!T$52+'Weekly Summary'!T$53))+('Equipment List &amp; Usage'!$R84*'Weekly Summary'!T$64)+('Equipment List &amp; Usage'!$S84*'Weekly Summary'!T$65)+('Equipment List &amp; Usage'!$T84*('Weekly Summary'!T$64+'Weekly Summary'!T$65)),
IF(Z$10=0,('Equipment List &amp; Usage'!$O84*'Weekly Summary'!T$52)+('Equipment List &amp; Usage'!$P84*'Weekly Summary'!T$53)+('Equipment List &amp; Usage'!$Q84*('Weekly Summary'!T$52+'Weekly Summary'!T$53))+('Equipment List &amp; Usage'!$R84*'Weekly Summary'!T$64)+('Equipment List &amp; Usage'!$S84*'Weekly Summary'!T$65)+('Equipment List &amp; Usage'!$T84*('Weekly Summary'!T$64+'Weekly Summary'!T$65)),
('Equipment List &amp; Usage'!$O84*'Weekly Summary'!T$52)+('Equipment List &amp; Usage'!$P84*'Weekly Summary'!T$53)+('Equipment List &amp; Usage'!$Q84*('Weekly Summary'!T$52+'Weekly Summary'!T$53))+('Equipment List &amp; Usage'!$R84*'Weekly Summary'!T$64)+('Equipment List &amp; Usage'!$S84*'Weekly Summary'!T$65)+('Equipment List &amp; Usage'!$T84*('Weekly Summary'!T$64+'Weekly Summary'!T$65))-SUM($I82:Y82))),0)</f>
        <v>0</v>
      </c>
      <c r="AA82" s="1381">
        <f ca="1">MAX(IF($F82="No",('Equipment List &amp; Usage'!$O84*'Weekly Summary'!U$52)+('Equipment List &amp; Usage'!$P84*'Weekly Summary'!U$53)+('Equipment List &amp; Usage'!$Q84*('Weekly Summary'!U$52+'Weekly Summary'!U$53))+('Equipment List &amp; Usage'!$R84*'Weekly Summary'!U$64)+('Equipment List &amp; Usage'!$S84*'Weekly Summary'!U$65)+('Equipment List &amp; Usage'!$T84*('Weekly Summary'!U$64+'Weekly Summary'!U$65)),
IF(AA$10=0,('Equipment List &amp; Usage'!$O84*'Weekly Summary'!U$52)+('Equipment List &amp; Usage'!$P84*'Weekly Summary'!U$53)+('Equipment List &amp; Usage'!$Q84*('Weekly Summary'!U$52+'Weekly Summary'!U$53))+('Equipment List &amp; Usage'!$R84*'Weekly Summary'!U$64)+('Equipment List &amp; Usage'!$S84*'Weekly Summary'!U$65)+('Equipment List &amp; Usage'!$T84*('Weekly Summary'!U$64+'Weekly Summary'!U$65)),
('Equipment List &amp; Usage'!$O84*'Weekly Summary'!U$52)+('Equipment List &amp; Usage'!$P84*'Weekly Summary'!U$53)+('Equipment List &amp; Usage'!$Q84*('Weekly Summary'!U$52+'Weekly Summary'!U$53))+('Equipment List &amp; Usage'!$R84*'Weekly Summary'!U$64)+('Equipment List &amp; Usage'!$S84*'Weekly Summary'!U$65)+('Equipment List &amp; Usage'!$T84*('Weekly Summary'!U$64+'Weekly Summary'!U$65))-SUM($I82:Z82))),0)</f>
        <v>0</v>
      </c>
      <c r="AB82" s="1381">
        <f ca="1">MAX(IF($F82="No",('Equipment List &amp; Usage'!$O84*'Weekly Summary'!V$52)+('Equipment List &amp; Usage'!$P84*'Weekly Summary'!V$53)+('Equipment List &amp; Usage'!$Q84*('Weekly Summary'!V$52+'Weekly Summary'!V$53))+('Equipment List &amp; Usage'!$R84*'Weekly Summary'!V$64)+('Equipment List &amp; Usage'!$S84*'Weekly Summary'!V$65)+('Equipment List &amp; Usage'!$T84*('Weekly Summary'!V$64+'Weekly Summary'!V$65)),
IF(AB$10=0,('Equipment List &amp; Usage'!$O84*'Weekly Summary'!V$52)+('Equipment List &amp; Usage'!$P84*'Weekly Summary'!V$53)+('Equipment List &amp; Usage'!$Q84*('Weekly Summary'!V$52+'Weekly Summary'!V$53))+('Equipment List &amp; Usage'!$R84*'Weekly Summary'!V$64)+('Equipment List &amp; Usage'!$S84*'Weekly Summary'!V$65)+('Equipment List &amp; Usage'!$T84*('Weekly Summary'!V$64+'Weekly Summary'!V$65)),
('Equipment List &amp; Usage'!$O84*'Weekly Summary'!V$52)+('Equipment List &amp; Usage'!$P84*'Weekly Summary'!V$53)+('Equipment List &amp; Usage'!$Q84*('Weekly Summary'!V$52+'Weekly Summary'!V$53))+('Equipment List &amp; Usage'!$R84*'Weekly Summary'!V$64)+('Equipment List &amp; Usage'!$S84*'Weekly Summary'!V$65)+('Equipment List &amp; Usage'!$T84*('Weekly Summary'!V$64+'Weekly Summary'!V$65))-SUM($I82:AA82))),0)</f>
        <v>0</v>
      </c>
      <c r="AC82" s="1381">
        <f ca="1">MAX(IF($F82="No",('Equipment List &amp; Usage'!$O84*'Weekly Summary'!W$52)+('Equipment List &amp; Usage'!$P84*'Weekly Summary'!W$53)+('Equipment List &amp; Usage'!$Q84*('Weekly Summary'!W$52+'Weekly Summary'!W$53))+('Equipment List &amp; Usage'!$R84*'Weekly Summary'!W$64)+('Equipment List &amp; Usage'!$S84*'Weekly Summary'!W$65)+('Equipment List &amp; Usage'!$T84*('Weekly Summary'!W$64+'Weekly Summary'!W$65)),
IF(AC$10=0,('Equipment List &amp; Usage'!$O84*'Weekly Summary'!W$52)+('Equipment List &amp; Usage'!$P84*'Weekly Summary'!W$53)+('Equipment List &amp; Usage'!$Q84*('Weekly Summary'!W$52+'Weekly Summary'!W$53))+('Equipment List &amp; Usage'!$R84*'Weekly Summary'!W$64)+('Equipment List &amp; Usage'!$S84*'Weekly Summary'!W$65)+('Equipment List &amp; Usage'!$T84*('Weekly Summary'!W$64+'Weekly Summary'!W$65)),
('Equipment List &amp; Usage'!$O84*'Weekly Summary'!W$52)+('Equipment List &amp; Usage'!$P84*'Weekly Summary'!W$53)+('Equipment List &amp; Usage'!$Q84*('Weekly Summary'!W$52+'Weekly Summary'!W$53))+('Equipment List &amp; Usage'!$R84*'Weekly Summary'!W$64)+('Equipment List &amp; Usage'!$S84*'Weekly Summary'!W$65)+('Equipment List &amp; Usage'!$T84*('Weekly Summary'!W$64+'Weekly Summary'!W$65))-SUM($I82:AB82))),0)</f>
        <v>0</v>
      </c>
      <c r="AD82" s="1381">
        <f ca="1">MAX(IF($F82="No",('Equipment List &amp; Usage'!$O84*'Weekly Summary'!X$52)+('Equipment List &amp; Usage'!$P84*'Weekly Summary'!X$53)+('Equipment List &amp; Usage'!$Q84*('Weekly Summary'!X$52+'Weekly Summary'!X$53))+('Equipment List &amp; Usage'!$R84*'Weekly Summary'!X$64)+('Equipment List &amp; Usage'!$S84*'Weekly Summary'!X$65)+('Equipment List &amp; Usage'!$T84*('Weekly Summary'!X$64+'Weekly Summary'!X$65)),
IF(AD$10=0,('Equipment List &amp; Usage'!$O84*'Weekly Summary'!X$52)+('Equipment List &amp; Usage'!$P84*'Weekly Summary'!X$53)+('Equipment List &amp; Usage'!$Q84*('Weekly Summary'!X$52+'Weekly Summary'!X$53))+('Equipment List &amp; Usage'!$R84*'Weekly Summary'!X$64)+('Equipment List &amp; Usage'!$S84*'Weekly Summary'!X$65)+('Equipment List &amp; Usage'!$T84*('Weekly Summary'!X$64+'Weekly Summary'!X$65)),
('Equipment List &amp; Usage'!$O84*'Weekly Summary'!X$52)+('Equipment List &amp; Usage'!$P84*'Weekly Summary'!X$53)+('Equipment List &amp; Usage'!$Q84*('Weekly Summary'!X$52+'Weekly Summary'!X$53))+('Equipment List &amp; Usage'!$R84*'Weekly Summary'!X$64)+('Equipment List &amp; Usage'!$S84*'Weekly Summary'!X$65)+('Equipment List &amp; Usage'!$T84*('Weekly Summary'!X$64+'Weekly Summary'!X$65))-SUM($I82:AC82))),0)</f>
        <v>0</v>
      </c>
      <c r="AE82" s="1381">
        <f ca="1">MAX(IF($F82="No",('Equipment List &amp; Usage'!$O84*'Weekly Summary'!Y$52)+('Equipment List &amp; Usage'!$P84*'Weekly Summary'!Y$53)+('Equipment List &amp; Usage'!$Q84*('Weekly Summary'!Y$52+'Weekly Summary'!Y$53))+('Equipment List &amp; Usage'!$R84*'Weekly Summary'!Y$64)+('Equipment List &amp; Usage'!$S84*'Weekly Summary'!Y$65)+('Equipment List &amp; Usage'!$T84*('Weekly Summary'!Y$64+'Weekly Summary'!Y$65)),
IF(AE$10=0,('Equipment List &amp; Usage'!$O84*'Weekly Summary'!Y$52)+('Equipment List &amp; Usage'!$P84*'Weekly Summary'!Y$53)+('Equipment List &amp; Usage'!$Q84*('Weekly Summary'!Y$52+'Weekly Summary'!Y$53))+('Equipment List &amp; Usage'!$R84*'Weekly Summary'!Y$64)+('Equipment List &amp; Usage'!$S84*'Weekly Summary'!Y$65)+('Equipment List &amp; Usage'!$T84*('Weekly Summary'!Y$64+'Weekly Summary'!Y$65)),
('Equipment List &amp; Usage'!$O84*'Weekly Summary'!Y$52)+('Equipment List &amp; Usage'!$P84*'Weekly Summary'!Y$53)+('Equipment List &amp; Usage'!$Q84*('Weekly Summary'!Y$52+'Weekly Summary'!Y$53))+('Equipment List &amp; Usage'!$R84*'Weekly Summary'!Y$64)+('Equipment List &amp; Usage'!$S84*'Weekly Summary'!Y$65)+('Equipment List &amp; Usage'!$T84*('Weekly Summary'!Y$64+'Weekly Summary'!Y$65))-SUM($I82:AD82))),0)</f>
        <v>0</v>
      </c>
      <c r="AF82" s="1381">
        <f ca="1">MAX(IF($F82="No",('Equipment List &amp; Usage'!$O84*'Weekly Summary'!Z$52)+('Equipment List &amp; Usage'!$P84*'Weekly Summary'!Z$53)+('Equipment List &amp; Usage'!$Q84*('Weekly Summary'!Z$52+'Weekly Summary'!Z$53))+('Equipment List &amp; Usage'!$R84*'Weekly Summary'!Z$64)+('Equipment List &amp; Usage'!$S84*'Weekly Summary'!Z$65)+('Equipment List &amp; Usage'!$T84*('Weekly Summary'!Z$64+'Weekly Summary'!Z$65)),
IF(AF$10=0,('Equipment List &amp; Usage'!$O84*'Weekly Summary'!Z$52)+('Equipment List &amp; Usage'!$P84*'Weekly Summary'!Z$53)+('Equipment List &amp; Usage'!$Q84*('Weekly Summary'!Z$52+'Weekly Summary'!Z$53))+('Equipment List &amp; Usage'!$R84*'Weekly Summary'!Z$64)+('Equipment List &amp; Usage'!$S84*'Weekly Summary'!Z$65)+('Equipment List &amp; Usage'!$T84*('Weekly Summary'!Z$64+'Weekly Summary'!Z$65)),
('Equipment List &amp; Usage'!$O84*'Weekly Summary'!Z$52)+('Equipment List &amp; Usage'!$P84*'Weekly Summary'!Z$53)+('Equipment List &amp; Usage'!$Q84*('Weekly Summary'!Z$52+'Weekly Summary'!Z$53))+('Equipment List &amp; Usage'!$R84*'Weekly Summary'!Z$64)+('Equipment List &amp; Usage'!$S84*'Weekly Summary'!Z$65)+('Equipment List &amp; Usage'!$T84*('Weekly Summary'!Z$64+'Weekly Summary'!Z$65))-SUM($I82:AE82))),0)</f>
        <v>0</v>
      </c>
      <c r="AG82" s="1381">
        <f ca="1">MAX(IF($F82="No",('Equipment List &amp; Usage'!$O84*'Weekly Summary'!AA$52)+('Equipment List &amp; Usage'!$P84*'Weekly Summary'!AA$53)+('Equipment List &amp; Usage'!$Q84*('Weekly Summary'!AA$52+'Weekly Summary'!AA$53))+('Equipment List &amp; Usage'!$R84*'Weekly Summary'!AA$64)+('Equipment List &amp; Usage'!$S84*'Weekly Summary'!AA$65)+('Equipment List &amp; Usage'!$T84*('Weekly Summary'!AA$64+'Weekly Summary'!AA$65)),
IF(AG$10=0,('Equipment List &amp; Usage'!$O84*'Weekly Summary'!AA$52)+('Equipment List &amp; Usage'!$P84*'Weekly Summary'!AA$53)+('Equipment List &amp; Usage'!$Q84*('Weekly Summary'!AA$52+'Weekly Summary'!AA$53))+('Equipment List &amp; Usage'!$R84*'Weekly Summary'!AA$64)+('Equipment List &amp; Usage'!$S84*'Weekly Summary'!AA$65)+('Equipment List &amp; Usage'!$T84*('Weekly Summary'!AA$64+'Weekly Summary'!AA$65)),
('Equipment List &amp; Usage'!$O84*'Weekly Summary'!AA$52)+('Equipment List &amp; Usage'!$P84*'Weekly Summary'!AA$53)+('Equipment List &amp; Usage'!$Q84*('Weekly Summary'!AA$52+'Weekly Summary'!AA$53))+('Equipment List &amp; Usage'!$R84*'Weekly Summary'!AA$64)+('Equipment List &amp; Usage'!$S84*'Weekly Summary'!AA$65)+('Equipment List &amp; Usage'!$T84*('Weekly Summary'!AA$64+'Weekly Summary'!AA$65))-SUM($I82:AF82))),0)</f>
        <v>0</v>
      </c>
      <c r="AH82" s="1381">
        <f ca="1">MAX(IF($F82="No",('Equipment List &amp; Usage'!$O84*'Weekly Summary'!AB$52)+('Equipment List &amp; Usage'!$P84*'Weekly Summary'!AB$53)+('Equipment List &amp; Usage'!$Q84*('Weekly Summary'!AB$52+'Weekly Summary'!AB$53))+('Equipment List &amp; Usage'!$R84*'Weekly Summary'!AB$64)+('Equipment List &amp; Usage'!$S84*'Weekly Summary'!AB$65)+('Equipment List &amp; Usage'!$T84*('Weekly Summary'!AB$64+'Weekly Summary'!AB$65)),
IF(AH$10=0,('Equipment List &amp; Usage'!$O84*'Weekly Summary'!AB$52)+('Equipment List &amp; Usage'!$P84*'Weekly Summary'!AB$53)+('Equipment List &amp; Usage'!$Q84*('Weekly Summary'!AB$52+'Weekly Summary'!AB$53))+('Equipment List &amp; Usage'!$R84*'Weekly Summary'!AB$64)+('Equipment List &amp; Usage'!$S84*'Weekly Summary'!AB$65)+('Equipment List &amp; Usage'!$T84*('Weekly Summary'!AB$64+'Weekly Summary'!AB$65)),
('Equipment List &amp; Usage'!$O84*'Weekly Summary'!AB$52)+('Equipment List &amp; Usage'!$P84*'Weekly Summary'!AB$53)+('Equipment List &amp; Usage'!$Q84*('Weekly Summary'!AB$52+'Weekly Summary'!AB$53))+('Equipment List &amp; Usage'!$R84*'Weekly Summary'!AB$64)+('Equipment List &amp; Usage'!$S84*'Weekly Summary'!AB$65)+('Equipment List &amp; Usage'!$T84*('Weekly Summary'!AB$64+'Weekly Summary'!AB$65))-SUM($I82:AG82))),0)</f>
        <v>0</v>
      </c>
      <c r="AI82" s="1381">
        <f ca="1">MAX(IF($F82="No",('Equipment List &amp; Usage'!$O84*'Weekly Summary'!AC$52)+('Equipment List &amp; Usage'!$P84*'Weekly Summary'!AC$53)+('Equipment List &amp; Usage'!$Q84*('Weekly Summary'!AC$52+'Weekly Summary'!AC$53))+('Equipment List &amp; Usage'!$R84*'Weekly Summary'!AC$64)+('Equipment List &amp; Usage'!$S84*'Weekly Summary'!AC$65)+('Equipment List &amp; Usage'!$T84*('Weekly Summary'!AC$64+'Weekly Summary'!AC$65)),
IF(AI$10=0,('Equipment List &amp; Usage'!$O84*'Weekly Summary'!AC$52)+('Equipment List &amp; Usage'!$P84*'Weekly Summary'!AC$53)+('Equipment List &amp; Usage'!$Q84*('Weekly Summary'!AC$52+'Weekly Summary'!AC$53))+('Equipment List &amp; Usage'!$R84*'Weekly Summary'!AC$64)+('Equipment List &amp; Usage'!$S84*'Weekly Summary'!AC$65)+('Equipment List &amp; Usage'!$T84*('Weekly Summary'!AC$64+'Weekly Summary'!AC$65)),
('Equipment List &amp; Usage'!$O84*'Weekly Summary'!AC$52)+('Equipment List &amp; Usage'!$P84*'Weekly Summary'!AC$53)+('Equipment List &amp; Usage'!$Q84*('Weekly Summary'!AC$52+'Weekly Summary'!AC$53))+('Equipment List &amp; Usage'!$R84*'Weekly Summary'!AC$64)+('Equipment List &amp; Usage'!$S84*'Weekly Summary'!AC$65)+('Equipment List &amp; Usage'!$T84*('Weekly Summary'!AC$64+'Weekly Summary'!AC$65))-SUM($I82:AH82))),0)</f>
        <v>0</v>
      </c>
      <c r="AJ82" s="1381">
        <f ca="1">MAX(IF($F82="No",('Equipment List &amp; Usage'!$O84*'Weekly Summary'!AD$52)+('Equipment List &amp; Usage'!$P84*'Weekly Summary'!AD$53)+('Equipment List &amp; Usage'!$Q84*('Weekly Summary'!AD$52+'Weekly Summary'!AD$53))+('Equipment List &amp; Usage'!$R84*'Weekly Summary'!AD$64)+('Equipment List &amp; Usage'!$S84*'Weekly Summary'!AD$65)+('Equipment List &amp; Usage'!$T84*('Weekly Summary'!AD$64+'Weekly Summary'!AD$65)),
IF(AJ$10=0,('Equipment List &amp; Usage'!$O84*'Weekly Summary'!AD$52)+('Equipment List &amp; Usage'!$P84*'Weekly Summary'!AD$53)+('Equipment List &amp; Usage'!$Q84*('Weekly Summary'!AD$52+'Weekly Summary'!AD$53))+('Equipment List &amp; Usage'!$R84*'Weekly Summary'!AD$64)+('Equipment List &amp; Usage'!$S84*'Weekly Summary'!AD$65)+('Equipment List &amp; Usage'!$T84*('Weekly Summary'!AD$64+'Weekly Summary'!AD$65)),
('Equipment List &amp; Usage'!$O84*'Weekly Summary'!AD$52)+('Equipment List &amp; Usage'!$P84*'Weekly Summary'!AD$53)+('Equipment List &amp; Usage'!$Q84*('Weekly Summary'!AD$52+'Weekly Summary'!AD$53))+('Equipment List &amp; Usage'!$R84*'Weekly Summary'!AD$64)+('Equipment List &amp; Usage'!$S84*'Weekly Summary'!AD$65)+('Equipment List &amp; Usage'!$T84*('Weekly Summary'!AD$64+'Weekly Summary'!AD$65))-SUM($I82:AI82))),0)</f>
        <v>0</v>
      </c>
      <c r="AK82" s="1381">
        <f ca="1">MAX(IF($F82="No",('Equipment List &amp; Usage'!$O84*'Weekly Summary'!AE$52)+('Equipment List &amp; Usage'!$P84*'Weekly Summary'!AE$53)+('Equipment List &amp; Usage'!$Q84*('Weekly Summary'!AE$52+'Weekly Summary'!AE$53))+('Equipment List &amp; Usage'!$R84*'Weekly Summary'!AE$64)+('Equipment List &amp; Usage'!$S84*'Weekly Summary'!AE$65)+('Equipment List &amp; Usage'!$T84*('Weekly Summary'!AE$64+'Weekly Summary'!AE$65)),
IF(AK$10=0,('Equipment List &amp; Usage'!$O84*'Weekly Summary'!AE$52)+('Equipment List &amp; Usage'!$P84*'Weekly Summary'!AE$53)+('Equipment List &amp; Usage'!$Q84*('Weekly Summary'!AE$52+'Weekly Summary'!AE$53))+('Equipment List &amp; Usage'!$R84*'Weekly Summary'!AE$64)+('Equipment List &amp; Usage'!$S84*'Weekly Summary'!AE$65)+('Equipment List &amp; Usage'!$T84*('Weekly Summary'!AE$64+'Weekly Summary'!AE$65)),
('Equipment List &amp; Usage'!$O84*'Weekly Summary'!AE$52)+('Equipment List &amp; Usage'!$P84*'Weekly Summary'!AE$53)+('Equipment List &amp; Usage'!$Q84*('Weekly Summary'!AE$52+'Weekly Summary'!AE$53))+('Equipment List &amp; Usage'!$R84*'Weekly Summary'!AE$64)+('Equipment List &amp; Usage'!$S84*'Weekly Summary'!AE$65)+('Equipment List &amp; Usage'!$T84*('Weekly Summary'!AE$64+'Weekly Summary'!AE$65))-SUM($I82:AJ82))),0)</f>
        <v>0</v>
      </c>
      <c r="AL82" s="1381">
        <f ca="1">MAX(IF($F82="No",('Equipment List &amp; Usage'!$O84*'Weekly Summary'!AF$52)+('Equipment List &amp; Usage'!$P84*'Weekly Summary'!AF$53)+('Equipment List &amp; Usage'!$Q84*('Weekly Summary'!AF$52+'Weekly Summary'!AF$53))+('Equipment List &amp; Usage'!$R84*'Weekly Summary'!AF$64)+('Equipment List &amp; Usage'!$S84*'Weekly Summary'!AF$65)+('Equipment List &amp; Usage'!$T84*('Weekly Summary'!AF$64+'Weekly Summary'!AF$65)),
IF(AL$10=0,('Equipment List &amp; Usage'!$O84*'Weekly Summary'!AF$52)+('Equipment List &amp; Usage'!$P84*'Weekly Summary'!AF$53)+('Equipment List &amp; Usage'!$Q84*('Weekly Summary'!AF$52+'Weekly Summary'!AF$53))+('Equipment List &amp; Usage'!$R84*'Weekly Summary'!AF$64)+('Equipment List &amp; Usage'!$S84*'Weekly Summary'!AF$65)+('Equipment List &amp; Usage'!$T84*('Weekly Summary'!AF$64+'Weekly Summary'!AF$65)),
('Equipment List &amp; Usage'!$O84*'Weekly Summary'!AF$52)+('Equipment List &amp; Usage'!$P84*'Weekly Summary'!AF$53)+('Equipment List &amp; Usage'!$Q84*('Weekly Summary'!AF$52+'Weekly Summary'!AF$53))+('Equipment List &amp; Usage'!$R84*'Weekly Summary'!AF$64)+('Equipment List &amp; Usage'!$S84*'Weekly Summary'!AF$65)+('Equipment List &amp; Usage'!$T84*('Weekly Summary'!AF$64+'Weekly Summary'!AF$65))-SUM($I82:AK82))),0)</f>
        <v>0</v>
      </c>
      <c r="AM82" s="1381">
        <f ca="1">MAX(IF($F82="No",('Equipment List &amp; Usage'!$O84*'Weekly Summary'!AG$52)+('Equipment List &amp; Usage'!$P84*'Weekly Summary'!AG$53)+('Equipment List &amp; Usage'!$Q84*('Weekly Summary'!AG$52+'Weekly Summary'!AG$53))+('Equipment List &amp; Usage'!$R84*'Weekly Summary'!AG$64)+('Equipment List &amp; Usage'!$S84*'Weekly Summary'!AG$65)+('Equipment List &amp; Usage'!$T84*('Weekly Summary'!AG$64+'Weekly Summary'!AG$65)),
IF(AM$10=0,('Equipment List &amp; Usage'!$O84*'Weekly Summary'!AG$52)+('Equipment List &amp; Usage'!$P84*'Weekly Summary'!AG$53)+('Equipment List &amp; Usage'!$Q84*('Weekly Summary'!AG$52+'Weekly Summary'!AG$53))+('Equipment List &amp; Usage'!$R84*'Weekly Summary'!AG$64)+('Equipment List &amp; Usage'!$S84*'Weekly Summary'!AG$65)+('Equipment List &amp; Usage'!$T84*('Weekly Summary'!AG$64+'Weekly Summary'!AG$65)),
('Equipment List &amp; Usage'!$O84*'Weekly Summary'!AG$52)+('Equipment List &amp; Usage'!$P84*'Weekly Summary'!AG$53)+('Equipment List &amp; Usage'!$Q84*('Weekly Summary'!AG$52+'Weekly Summary'!AG$53))+('Equipment List &amp; Usage'!$R84*'Weekly Summary'!AG$64)+('Equipment List &amp; Usage'!$S84*'Weekly Summary'!AG$65)+('Equipment List &amp; Usage'!$T84*('Weekly Summary'!AG$64+'Weekly Summary'!AG$65))-SUM($I82:AL82))),0)</f>
        <v>0</v>
      </c>
      <c r="AN82" s="1381">
        <f ca="1">MAX(IF($F82="No",('Equipment List &amp; Usage'!$O84*'Weekly Summary'!AH$52)+('Equipment List &amp; Usage'!$P84*'Weekly Summary'!AH$53)+('Equipment List &amp; Usage'!$Q84*('Weekly Summary'!AH$52+'Weekly Summary'!AH$53))+('Equipment List &amp; Usage'!$R84*'Weekly Summary'!AH$64)+('Equipment List &amp; Usage'!$S84*'Weekly Summary'!AH$65)+('Equipment List &amp; Usage'!$T84*('Weekly Summary'!AH$64+'Weekly Summary'!AH$65)),
IF(AN$10=0,('Equipment List &amp; Usage'!$O84*'Weekly Summary'!AH$52)+('Equipment List &amp; Usage'!$P84*'Weekly Summary'!AH$53)+('Equipment List &amp; Usage'!$Q84*('Weekly Summary'!AH$52+'Weekly Summary'!AH$53))+('Equipment List &amp; Usage'!$R84*'Weekly Summary'!AH$64)+('Equipment List &amp; Usage'!$S84*'Weekly Summary'!AH$65)+('Equipment List &amp; Usage'!$T84*('Weekly Summary'!AH$64+'Weekly Summary'!AH$65)),
('Equipment List &amp; Usage'!$O84*'Weekly Summary'!AH$52)+('Equipment List &amp; Usage'!$P84*'Weekly Summary'!AH$53)+('Equipment List &amp; Usage'!$Q84*('Weekly Summary'!AH$52+'Weekly Summary'!AH$53))+('Equipment List &amp; Usage'!$R84*'Weekly Summary'!AH$64)+('Equipment List &amp; Usage'!$S84*'Weekly Summary'!AH$65)+('Equipment List &amp; Usage'!$T84*('Weekly Summary'!AH$64+'Weekly Summary'!AH$65))-SUM($I82:AM82))),0)</f>
        <v>0</v>
      </c>
      <c r="AO82" s="1381">
        <f ca="1">MAX(IF($F82="No",('Equipment List &amp; Usage'!$O84*'Weekly Summary'!AI$52)+('Equipment List &amp; Usage'!$P84*'Weekly Summary'!AI$53)+('Equipment List &amp; Usage'!$Q84*('Weekly Summary'!AI$52+'Weekly Summary'!AI$53))+('Equipment List &amp; Usage'!$R84*'Weekly Summary'!AI$64)+('Equipment List &amp; Usage'!$S84*'Weekly Summary'!AI$65)+('Equipment List &amp; Usage'!$T84*('Weekly Summary'!AI$64+'Weekly Summary'!AI$65)),
IF(AO$10=0,('Equipment List &amp; Usage'!$O84*'Weekly Summary'!AI$52)+('Equipment List &amp; Usage'!$P84*'Weekly Summary'!AI$53)+('Equipment List &amp; Usage'!$Q84*('Weekly Summary'!AI$52+'Weekly Summary'!AI$53))+('Equipment List &amp; Usage'!$R84*'Weekly Summary'!AI$64)+('Equipment List &amp; Usage'!$S84*'Weekly Summary'!AI$65)+('Equipment List &amp; Usage'!$T84*('Weekly Summary'!AI$64+'Weekly Summary'!AI$65)),
('Equipment List &amp; Usage'!$O84*'Weekly Summary'!AI$52)+('Equipment List &amp; Usage'!$P84*'Weekly Summary'!AI$53)+('Equipment List &amp; Usage'!$Q84*('Weekly Summary'!AI$52+'Weekly Summary'!AI$53))+('Equipment List &amp; Usage'!$R84*'Weekly Summary'!AI$64)+('Equipment List &amp; Usage'!$S84*'Weekly Summary'!AI$65)+('Equipment List &amp; Usage'!$T84*('Weekly Summary'!AI$64+'Weekly Summary'!AI$65))-SUM($I82:AN82))),0)</f>
        <v>0</v>
      </c>
      <c r="AP82" s="1381">
        <f ca="1">MAX(IF($F82="No",('Equipment List &amp; Usage'!$O84*'Weekly Summary'!AJ$52)+('Equipment List &amp; Usage'!$P84*'Weekly Summary'!AJ$53)+('Equipment List &amp; Usage'!$Q84*('Weekly Summary'!AJ$52+'Weekly Summary'!AJ$53))+('Equipment List &amp; Usage'!$R84*'Weekly Summary'!AJ$64)+('Equipment List &amp; Usage'!$S84*'Weekly Summary'!AJ$65)+('Equipment List &amp; Usage'!$T84*('Weekly Summary'!AJ$64+'Weekly Summary'!AJ$65)),
IF(AP$10=0,('Equipment List &amp; Usage'!$O84*'Weekly Summary'!AJ$52)+('Equipment List &amp; Usage'!$P84*'Weekly Summary'!AJ$53)+('Equipment List &amp; Usage'!$Q84*('Weekly Summary'!AJ$52+'Weekly Summary'!AJ$53))+('Equipment List &amp; Usage'!$R84*'Weekly Summary'!AJ$64)+('Equipment List &amp; Usage'!$S84*'Weekly Summary'!AJ$65)+('Equipment List &amp; Usage'!$T84*('Weekly Summary'!AJ$64+'Weekly Summary'!AJ$65)),
('Equipment List &amp; Usage'!$O84*'Weekly Summary'!AJ$52)+('Equipment List &amp; Usage'!$P84*'Weekly Summary'!AJ$53)+('Equipment List &amp; Usage'!$Q84*('Weekly Summary'!AJ$52+'Weekly Summary'!AJ$53))+('Equipment List &amp; Usage'!$R84*'Weekly Summary'!AJ$64)+('Equipment List &amp; Usage'!$S84*'Weekly Summary'!AJ$65)+('Equipment List &amp; Usage'!$T84*('Weekly Summary'!AJ$64+'Weekly Summary'!AJ$65))-SUM($I82:AO82))),0)</f>
        <v>0</v>
      </c>
      <c r="AQ82" s="1381">
        <f ca="1">MAX(IF($F82="No",('Equipment List &amp; Usage'!$O84*'Weekly Summary'!AK$52)+('Equipment List &amp; Usage'!$P84*'Weekly Summary'!AK$53)+('Equipment List &amp; Usage'!$Q84*('Weekly Summary'!AK$52+'Weekly Summary'!AK$53))+('Equipment List &amp; Usage'!$R84*'Weekly Summary'!AK$64)+('Equipment List &amp; Usage'!$S84*'Weekly Summary'!AK$65)+('Equipment List &amp; Usage'!$T84*('Weekly Summary'!AK$64+'Weekly Summary'!AK$65)),
IF(AQ$10=0,('Equipment List &amp; Usage'!$O84*'Weekly Summary'!AK$52)+('Equipment List &amp; Usage'!$P84*'Weekly Summary'!AK$53)+('Equipment List &amp; Usage'!$Q84*('Weekly Summary'!AK$52+'Weekly Summary'!AK$53))+('Equipment List &amp; Usage'!$R84*'Weekly Summary'!AK$64)+('Equipment List &amp; Usage'!$S84*'Weekly Summary'!AK$65)+('Equipment List &amp; Usage'!$T84*('Weekly Summary'!AK$64+'Weekly Summary'!AK$65)),
('Equipment List &amp; Usage'!$O84*'Weekly Summary'!AK$52)+('Equipment List &amp; Usage'!$P84*'Weekly Summary'!AK$53)+('Equipment List &amp; Usage'!$Q84*('Weekly Summary'!AK$52+'Weekly Summary'!AK$53))+('Equipment List &amp; Usage'!$R84*'Weekly Summary'!AK$64)+('Equipment List &amp; Usage'!$S84*'Weekly Summary'!AK$65)+('Equipment List &amp; Usage'!$T84*('Weekly Summary'!AK$64+'Weekly Summary'!AK$65))-SUM($I82:AP82))),0)</f>
        <v>0</v>
      </c>
      <c r="AR82" s="1381">
        <f ca="1">MAX(IF($F82="No",('Equipment List &amp; Usage'!$O84*'Weekly Summary'!AL$52)+('Equipment List &amp; Usage'!$P84*'Weekly Summary'!AL$53)+('Equipment List &amp; Usage'!$Q84*('Weekly Summary'!AL$52+'Weekly Summary'!AL$53))+('Equipment List &amp; Usage'!$R84*'Weekly Summary'!AL$64)+('Equipment List &amp; Usage'!$S84*'Weekly Summary'!AL$65)+('Equipment List &amp; Usage'!$T84*('Weekly Summary'!AL$64+'Weekly Summary'!AL$65)),
IF(AR$10=0,('Equipment List &amp; Usage'!$O84*'Weekly Summary'!AL$52)+('Equipment List &amp; Usage'!$P84*'Weekly Summary'!AL$53)+('Equipment List &amp; Usage'!$Q84*('Weekly Summary'!AL$52+'Weekly Summary'!AL$53))+('Equipment List &amp; Usage'!$R84*'Weekly Summary'!AL$64)+('Equipment List &amp; Usage'!$S84*'Weekly Summary'!AL$65)+('Equipment List &amp; Usage'!$T84*('Weekly Summary'!AL$64+'Weekly Summary'!AL$65)),
('Equipment List &amp; Usage'!$O84*'Weekly Summary'!AL$52)+('Equipment List &amp; Usage'!$P84*'Weekly Summary'!AL$53)+('Equipment List &amp; Usage'!$Q84*('Weekly Summary'!AL$52+'Weekly Summary'!AL$53))+('Equipment List &amp; Usage'!$R84*'Weekly Summary'!AL$64)+('Equipment List &amp; Usage'!$S84*'Weekly Summary'!AL$65)+('Equipment List &amp; Usage'!$T84*('Weekly Summary'!AL$64+'Weekly Summary'!AL$65))-SUM($I82:AQ82))),0)</f>
        <v>0</v>
      </c>
      <c r="AS82" s="1381">
        <f ca="1">MAX(IF($F82="No",('Equipment List &amp; Usage'!$O84*'Weekly Summary'!AM$52)+('Equipment List &amp; Usage'!$P84*'Weekly Summary'!AM$53)+('Equipment List &amp; Usage'!$Q84*('Weekly Summary'!AM$52+'Weekly Summary'!AM$53))+('Equipment List &amp; Usage'!$R84*'Weekly Summary'!AM$64)+('Equipment List &amp; Usage'!$S84*'Weekly Summary'!AM$65)+('Equipment List &amp; Usage'!$T84*('Weekly Summary'!AM$64+'Weekly Summary'!AM$65)),
IF(AS$10=0,('Equipment List &amp; Usage'!$O84*'Weekly Summary'!AM$52)+('Equipment List &amp; Usage'!$P84*'Weekly Summary'!AM$53)+('Equipment List &amp; Usage'!$Q84*('Weekly Summary'!AM$52+'Weekly Summary'!AM$53))+('Equipment List &amp; Usage'!$R84*'Weekly Summary'!AM$64)+('Equipment List &amp; Usage'!$S84*'Weekly Summary'!AM$65)+('Equipment List &amp; Usage'!$T84*('Weekly Summary'!AM$64+'Weekly Summary'!AM$65)),
('Equipment List &amp; Usage'!$O84*'Weekly Summary'!AM$52)+('Equipment List &amp; Usage'!$P84*'Weekly Summary'!AM$53)+('Equipment List &amp; Usage'!$Q84*('Weekly Summary'!AM$52+'Weekly Summary'!AM$53))+('Equipment List &amp; Usage'!$R84*'Weekly Summary'!AM$64)+('Equipment List &amp; Usage'!$S84*'Weekly Summary'!AM$65)+('Equipment List &amp; Usage'!$T84*('Weekly Summary'!AM$64+'Weekly Summary'!AM$65))-SUM($I82:AR82))),0)</f>
        <v>0</v>
      </c>
      <c r="AT82" s="1381">
        <f ca="1">MAX(IF($F82="No",('Equipment List &amp; Usage'!$O84*'Weekly Summary'!AN$52)+('Equipment List &amp; Usage'!$P84*'Weekly Summary'!AN$53)+('Equipment List &amp; Usage'!$Q84*('Weekly Summary'!AN$52+'Weekly Summary'!AN$53))+('Equipment List &amp; Usage'!$R84*'Weekly Summary'!AN$64)+('Equipment List &amp; Usage'!$S84*'Weekly Summary'!AN$65)+('Equipment List &amp; Usage'!$T84*('Weekly Summary'!AN$64+'Weekly Summary'!AN$65)),
IF(AT$10=0,('Equipment List &amp; Usage'!$O84*'Weekly Summary'!AN$52)+('Equipment List &amp; Usage'!$P84*'Weekly Summary'!AN$53)+('Equipment List &amp; Usage'!$Q84*('Weekly Summary'!AN$52+'Weekly Summary'!AN$53))+('Equipment List &amp; Usage'!$R84*'Weekly Summary'!AN$64)+('Equipment List &amp; Usage'!$S84*'Weekly Summary'!AN$65)+('Equipment List &amp; Usage'!$T84*('Weekly Summary'!AN$64+'Weekly Summary'!AN$65)),
('Equipment List &amp; Usage'!$O84*'Weekly Summary'!AN$52)+('Equipment List &amp; Usage'!$P84*'Weekly Summary'!AN$53)+('Equipment List &amp; Usage'!$Q84*('Weekly Summary'!AN$52+'Weekly Summary'!AN$53))+('Equipment List &amp; Usage'!$R84*'Weekly Summary'!AN$64)+('Equipment List &amp; Usage'!$S84*'Weekly Summary'!AN$65)+('Equipment List &amp; Usage'!$T84*('Weekly Summary'!AN$64+'Weekly Summary'!AN$65))-SUM($I82:AS82))),0)</f>
        <v>0</v>
      </c>
      <c r="AU82" s="1381">
        <f ca="1">MAX(IF($F82="No",('Equipment List &amp; Usage'!$O84*'Weekly Summary'!AO$52)+('Equipment List &amp; Usage'!$P84*'Weekly Summary'!AO$53)+('Equipment List &amp; Usage'!$Q84*('Weekly Summary'!AO$52+'Weekly Summary'!AO$53))+('Equipment List &amp; Usage'!$R84*'Weekly Summary'!AO$64)+('Equipment List &amp; Usage'!$S84*'Weekly Summary'!AO$65)+('Equipment List &amp; Usage'!$T84*('Weekly Summary'!AO$64+'Weekly Summary'!AO$65)),
IF(AU$10=0,('Equipment List &amp; Usage'!$O84*'Weekly Summary'!AO$52)+('Equipment List &amp; Usage'!$P84*'Weekly Summary'!AO$53)+('Equipment List &amp; Usage'!$Q84*('Weekly Summary'!AO$52+'Weekly Summary'!AO$53))+('Equipment List &amp; Usage'!$R84*'Weekly Summary'!AO$64)+('Equipment List &amp; Usage'!$S84*'Weekly Summary'!AO$65)+('Equipment List &amp; Usage'!$T84*('Weekly Summary'!AO$64+'Weekly Summary'!AO$65)),
('Equipment List &amp; Usage'!$O84*'Weekly Summary'!AO$52)+('Equipment List &amp; Usage'!$P84*'Weekly Summary'!AO$53)+('Equipment List &amp; Usage'!$Q84*('Weekly Summary'!AO$52+'Weekly Summary'!AO$53))+('Equipment List &amp; Usage'!$R84*'Weekly Summary'!AO$64)+('Equipment List &amp; Usage'!$S84*'Weekly Summary'!AO$65)+('Equipment List &amp; Usage'!$T84*('Weekly Summary'!AO$64+'Weekly Summary'!AO$65))-SUM($I82:AT82))),0)</f>
        <v>0</v>
      </c>
      <c r="AV82" s="1381">
        <f ca="1">MAX(IF($F82="No",('Equipment List &amp; Usage'!$O84*'Weekly Summary'!AP$52)+('Equipment List &amp; Usage'!$P84*'Weekly Summary'!AP$53)+('Equipment List &amp; Usage'!$Q84*('Weekly Summary'!AP$52+'Weekly Summary'!AP$53))+('Equipment List &amp; Usage'!$R84*'Weekly Summary'!AP$64)+('Equipment List &amp; Usage'!$S84*'Weekly Summary'!AP$65)+('Equipment List &amp; Usage'!$T84*('Weekly Summary'!AP$64+'Weekly Summary'!AP$65)),
IF(AV$10=0,('Equipment List &amp; Usage'!$O84*'Weekly Summary'!AP$52)+('Equipment List &amp; Usage'!$P84*'Weekly Summary'!AP$53)+('Equipment List &amp; Usage'!$Q84*('Weekly Summary'!AP$52+'Weekly Summary'!AP$53))+('Equipment List &amp; Usage'!$R84*'Weekly Summary'!AP$64)+('Equipment List &amp; Usage'!$S84*'Weekly Summary'!AP$65)+('Equipment List &amp; Usage'!$T84*('Weekly Summary'!AP$64+'Weekly Summary'!AP$65)),
('Equipment List &amp; Usage'!$O84*'Weekly Summary'!AP$52)+('Equipment List &amp; Usage'!$P84*'Weekly Summary'!AP$53)+('Equipment List &amp; Usage'!$Q84*('Weekly Summary'!AP$52+'Weekly Summary'!AP$53))+('Equipment List &amp; Usage'!$R84*'Weekly Summary'!AP$64)+('Equipment List &amp; Usage'!$S84*'Weekly Summary'!AP$65)+('Equipment List &amp; Usage'!$T84*('Weekly Summary'!AP$64+'Weekly Summary'!AP$65))-SUM($I82:AU82))),0)</f>
        <v>0</v>
      </c>
      <c r="AW82" s="1381">
        <f ca="1">MAX(IF($F82="No",('Equipment List &amp; Usage'!$O84*'Weekly Summary'!AQ$52)+('Equipment List &amp; Usage'!$P84*'Weekly Summary'!AQ$53)+('Equipment List &amp; Usage'!$Q84*('Weekly Summary'!AQ$52+'Weekly Summary'!AQ$53))+('Equipment List &amp; Usage'!$R84*'Weekly Summary'!AQ$64)+('Equipment List &amp; Usage'!$S84*'Weekly Summary'!AQ$65)+('Equipment List &amp; Usage'!$T84*('Weekly Summary'!AQ$64+'Weekly Summary'!AQ$65)),
IF(AW$10=0,('Equipment List &amp; Usage'!$O84*'Weekly Summary'!AQ$52)+('Equipment List &amp; Usage'!$P84*'Weekly Summary'!AQ$53)+('Equipment List &amp; Usage'!$Q84*('Weekly Summary'!AQ$52+'Weekly Summary'!AQ$53))+('Equipment List &amp; Usage'!$R84*'Weekly Summary'!AQ$64)+('Equipment List &amp; Usage'!$S84*'Weekly Summary'!AQ$65)+('Equipment List &amp; Usage'!$T84*('Weekly Summary'!AQ$64+'Weekly Summary'!AQ$65)),
('Equipment List &amp; Usage'!$O84*'Weekly Summary'!AQ$52)+('Equipment List &amp; Usage'!$P84*'Weekly Summary'!AQ$53)+('Equipment List &amp; Usage'!$Q84*('Weekly Summary'!AQ$52+'Weekly Summary'!AQ$53))+('Equipment List &amp; Usage'!$R84*'Weekly Summary'!AQ$64)+('Equipment List &amp; Usage'!$S84*'Weekly Summary'!AQ$65)+('Equipment List &amp; Usage'!$T84*('Weekly Summary'!AQ$64+'Weekly Summary'!AQ$65))-SUM($I82:AV82))),0)</f>
        <v>0</v>
      </c>
      <c r="AX82" s="1381">
        <f ca="1">MAX(IF($F82="No",('Equipment List &amp; Usage'!$O84*'Weekly Summary'!AR$52)+('Equipment List &amp; Usage'!$P84*'Weekly Summary'!AR$53)+('Equipment List &amp; Usage'!$Q84*('Weekly Summary'!AR$52+'Weekly Summary'!AR$53))+('Equipment List &amp; Usage'!$R84*'Weekly Summary'!AR$64)+('Equipment List &amp; Usage'!$S84*'Weekly Summary'!AR$65)+('Equipment List &amp; Usage'!$T84*('Weekly Summary'!AR$64+'Weekly Summary'!AR$65)),
IF(AX$10=0,('Equipment List &amp; Usage'!$O84*'Weekly Summary'!AR$52)+('Equipment List &amp; Usage'!$P84*'Weekly Summary'!AR$53)+('Equipment List &amp; Usage'!$Q84*('Weekly Summary'!AR$52+'Weekly Summary'!AR$53))+('Equipment List &amp; Usage'!$R84*'Weekly Summary'!AR$64)+('Equipment List &amp; Usage'!$S84*'Weekly Summary'!AR$65)+('Equipment List &amp; Usage'!$T84*('Weekly Summary'!AR$64+'Weekly Summary'!AR$65)),
('Equipment List &amp; Usage'!$O84*'Weekly Summary'!AR$52)+('Equipment List &amp; Usage'!$P84*'Weekly Summary'!AR$53)+('Equipment List &amp; Usage'!$Q84*('Weekly Summary'!AR$52+'Weekly Summary'!AR$53))+('Equipment List &amp; Usage'!$R84*'Weekly Summary'!AR$64)+('Equipment List &amp; Usage'!$S84*'Weekly Summary'!AR$65)+('Equipment List &amp; Usage'!$T84*('Weekly Summary'!AR$64+'Weekly Summary'!AR$65))-SUM($I82:AW82))),0)</f>
        <v>0</v>
      </c>
      <c r="AY82" s="1381">
        <f ca="1">MAX(IF($F82="No",('Equipment List &amp; Usage'!$O84*'Weekly Summary'!AS$52)+('Equipment List &amp; Usage'!$P84*'Weekly Summary'!AS$53)+('Equipment List &amp; Usage'!$Q84*('Weekly Summary'!AS$52+'Weekly Summary'!AS$53))+('Equipment List &amp; Usage'!$R84*'Weekly Summary'!AS$64)+('Equipment List &amp; Usage'!$S84*'Weekly Summary'!AS$65)+('Equipment List &amp; Usage'!$T84*('Weekly Summary'!AS$64+'Weekly Summary'!AS$65)),
IF(AY$10=0,('Equipment List &amp; Usage'!$O84*'Weekly Summary'!AS$52)+('Equipment List &amp; Usage'!$P84*'Weekly Summary'!AS$53)+('Equipment List &amp; Usage'!$Q84*('Weekly Summary'!AS$52+'Weekly Summary'!AS$53))+('Equipment List &amp; Usage'!$R84*'Weekly Summary'!AS$64)+('Equipment List &amp; Usage'!$S84*'Weekly Summary'!AS$65)+('Equipment List &amp; Usage'!$T84*('Weekly Summary'!AS$64+'Weekly Summary'!AS$65)),
('Equipment List &amp; Usage'!$O84*'Weekly Summary'!AS$52)+('Equipment List &amp; Usage'!$P84*'Weekly Summary'!AS$53)+('Equipment List &amp; Usage'!$Q84*('Weekly Summary'!AS$52+'Weekly Summary'!AS$53))+('Equipment List &amp; Usage'!$R84*'Weekly Summary'!AS$64)+('Equipment List &amp; Usage'!$S84*'Weekly Summary'!AS$65)+('Equipment List &amp; Usage'!$T84*('Weekly Summary'!AS$64+'Weekly Summary'!AS$65))-SUM($I82:AX82))),0)</f>
        <v>0</v>
      </c>
      <c r="AZ82" s="1381">
        <f ca="1">MAX(IF($F82="No",('Equipment List &amp; Usage'!$O84*'Weekly Summary'!AT$52)+('Equipment List &amp; Usage'!$P84*'Weekly Summary'!AT$53)+('Equipment List &amp; Usage'!$Q84*('Weekly Summary'!AT$52+'Weekly Summary'!AT$53))+('Equipment List &amp; Usage'!$R84*'Weekly Summary'!AT$64)+('Equipment List &amp; Usage'!$S84*'Weekly Summary'!AT$65)+('Equipment List &amp; Usage'!$T84*('Weekly Summary'!AT$64+'Weekly Summary'!AT$65)),
IF(AZ$10=0,('Equipment List &amp; Usage'!$O84*'Weekly Summary'!AT$52)+('Equipment List &amp; Usage'!$P84*'Weekly Summary'!AT$53)+('Equipment List &amp; Usage'!$Q84*('Weekly Summary'!AT$52+'Weekly Summary'!AT$53))+('Equipment List &amp; Usage'!$R84*'Weekly Summary'!AT$64)+('Equipment List &amp; Usage'!$S84*'Weekly Summary'!AT$65)+('Equipment List &amp; Usage'!$T84*('Weekly Summary'!AT$64+'Weekly Summary'!AT$65)),
('Equipment List &amp; Usage'!$O84*'Weekly Summary'!AT$52)+('Equipment List &amp; Usage'!$P84*'Weekly Summary'!AT$53)+('Equipment List &amp; Usage'!$Q84*('Weekly Summary'!AT$52+'Weekly Summary'!AT$53))+('Equipment List &amp; Usage'!$R84*'Weekly Summary'!AT$64)+('Equipment List &amp; Usage'!$S84*'Weekly Summary'!AT$65)+('Equipment List &amp; Usage'!$T84*('Weekly Summary'!AT$64+'Weekly Summary'!AT$65))-SUM($I82:AY82))),0)</f>
        <v>0</v>
      </c>
      <c r="BA82" s="1381">
        <f ca="1">MAX(IF($F82="No",('Equipment List &amp; Usage'!$O84*'Weekly Summary'!AU$52)+('Equipment List &amp; Usage'!$P84*'Weekly Summary'!AU$53)+('Equipment List &amp; Usage'!$Q84*('Weekly Summary'!AU$52+'Weekly Summary'!AU$53))+('Equipment List &amp; Usage'!$R84*'Weekly Summary'!AU$64)+('Equipment List &amp; Usage'!$S84*'Weekly Summary'!AU$65)+('Equipment List &amp; Usage'!$T84*('Weekly Summary'!AU$64+'Weekly Summary'!AU$65)),
IF(BA$10=0,('Equipment List &amp; Usage'!$O84*'Weekly Summary'!AU$52)+('Equipment List &amp; Usage'!$P84*'Weekly Summary'!AU$53)+('Equipment List &amp; Usage'!$Q84*('Weekly Summary'!AU$52+'Weekly Summary'!AU$53))+('Equipment List &amp; Usage'!$R84*'Weekly Summary'!AU$64)+('Equipment List &amp; Usage'!$S84*'Weekly Summary'!AU$65)+('Equipment List &amp; Usage'!$T84*('Weekly Summary'!AU$64+'Weekly Summary'!AU$65)),
('Equipment List &amp; Usage'!$O84*'Weekly Summary'!AU$52)+('Equipment List &amp; Usage'!$P84*'Weekly Summary'!AU$53)+('Equipment List &amp; Usage'!$Q84*('Weekly Summary'!AU$52+'Weekly Summary'!AU$53))+('Equipment List &amp; Usage'!$R84*'Weekly Summary'!AU$64)+('Equipment List &amp; Usage'!$S84*'Weekly Summary'!AU$65)+('Equipment List &amp; Usage'!$T84*('Weekly Summary'!AU$64+'Weekly Summary'!AU$65))-SUM($I82:AZ82))),0)</f>
        <v>0</v>
      </c>
      <c r="BB82" s="1381">
        <f ca="1">MAX(IF($F82="No",('Equipment List &amp; Usage'!$O84*'Weekly Summary'!AV$52)+('Equipment List &amp; Usage'!$P84*'Weekly Summary'!AV$53)+('Equipment List &amp; Usage'!$Q84*('Weekly Summary'!AV$52+'Weekly Summary'!AV$53))+('Equipment List &amp; Usage'!$R84*'Weekly Summary'!AV$64)+('Equipment List &amp; Usage'!$S84*'Weekly Summary'!AV$65)+('Equipment List &amp; Usage'!$T84*('Weekly Summary'!AV$64+'Weekly Summary'!AV$65)),
IF(BB$10=0,('Equipment List &amp; Usage'!$O84*'Weekly Summary'!AV$52)+('Equipment List &amp; Usage'!$P84*'Weekly Summary'!AV$53)+('Equipment List &amp; Usage'!$Q84*('Weekly Summary'!AV$52+'Weekly Summary'!AV$53))+('Equipment List &amp; Usage'!$R84*'Weekly Summary'!AV$64)+('Equipment List &amp; Usage'!$S84*'Weekly Summary'!AV$65)+('Equipment List &amp; Usage'!$T84*('Weekly Summary'!AV$64+'Weekly Summary'!AV$65)),
('Equipment List &amp; Usage'!$O84*'Weekly Summary'!AV$52)+('Equipment List &amp; Usage'!$P84*'Weekly Summary'!AV$53)+('Equipment List &amp; Usage'!$Q84*('Weekly Summary'!AV$52+'Weekly Summary'!AV$53))+('Equipment List &amp; Usage'!$R84*'Weekly Summary'!AV$64)+('Equipment List &amp; Usage'!$S84*'Weekly Summary'!AV$65)+('Equipment List &amp; Usage'!$T84*('Weekly Summary'!AV$64+'Weekly Summary'!AV$65))-SUM($I82:BA82))),0)</f>
        <v>0</v>
      </c>
      <c r="BC82" s="1381">
        <f ca="1">MAX(IF($F82="No",('Equipment List &amp; Usage'!$O84*'Weekly Summary'!AW$52)+('Equipment List &amp; Usage'!$P84*'Weekly Summary'!AW$53)+('Equipment List &amp; Usage'!$Q84*('Weekly Summary'!AW$52+'Weekly Summary'!AW$53))+('Equipment List &amp; Usage'!$R84*'Weekly Summary'!AW$64)+('Equipment List &amp; Usage'!$S84*'Weekly Summary'!AW$65)+('Equipment List &amp; Usage'!$T84*('Weekly Summary'!AW$64+'Weekly Summary'!AW$65)),
IF(BC$10=0,('Equipment List &amp; Usage'!$O84*'Weekly Summary'!AW$52)+('Equipment List &amp; Usage'!$P84*'Weekly Summary'!AW$53)+('Equipment List &amp; Usage'!$Q84*('Weekly Summary'!AW$52+'Weekly Summary'!AW$53))+('Equipment List &amp; Usage'!$R84*'Weekly Summary'!AW$64)+('Equipment List &amp; Usage'!$S84*'Weekly Summary'!AW$65)+('Equipment List &amp; Usage'!$T84*('Weekly Summary'!AW$64+'Weekly Summary'!AW$65)),
('Equipment List &amp; Usage'!$O84*'Weekly Summary'!AW$52)+('Equipment List &amp; Usage'!$P84*'Weekly Summary'!AW$53)+('Equipment List &amp; Usage'!$Q84*('Weekly Summary'!AW$52+'Weekly Summary'!AW$53))+('Equipment List &amp; Usage'!$R84*'Weekly Summary'!AW$64)+('Equipment List &amp; Usage'!$S84*'Weekly Summary'!AW$65)+('Equipment List &amp; Usage'!$T84*('Weekly Summary'!AW$64+'Weekly Summary'!AW$65))-SUM($I82:BB82))),0)</f>
        <v>0</v>
      </c>
      <c r="BD82" s="1381">
        <f ca="1">MAX(IF($F82="No",('Equipment List &amp; Usage'!$O84*'Weekly Summary'!AX$52)+('Equipment List &amp; Usage'!$P84*'Weekly Summary'!AX$53)+('Equipment List &amp; Usage'!$Q84*('Weekly Summary'!AX$52+'Weekly Summary'!AX$53))+('Equipment List &amp; Usage'!$R84*'Weekly Summary'!AX$64)+('Equipment List &amp; Usage'!$S84*'Weekly Summary'!AX$65)+('Equipment List &amp; Usage'!$T84*('Weekly Summary'!AX$64+'Weekly Summary'!AX$65)),
IF(BD$10=0,('Equipment List &amp; Usage'!$O84*'Weekly Summary'!AX$52)+('Equipment List &amp; Usage'!$P84*'Weekly Summary'!AX$53)+('Equipment List &amp; Usage'!$Q84*('Weekly Summary'!AX$52+'Weekly Summary'!AX$53))+('Equipment List &amp; Usage'!$R84*'Weekly Summary'!AX$64)+('Equipment List &amp; Usage'!$S84*'Weekly Summary'!AX$65)+('Equipment List &amp; Usage'!$T84*('Weekly Summary'!AX$64+'Weekly Summary'!AX$65)),
('Equipment List &amp; Usage'!$O84*'Weekly Summary'!AX$52)+('Equipment List &amp; Usage'!$P84*'Weekly Summary'!AX$53)+('Equipment List &amp; Usage'!$Q84*('Weekly Summary'!AX$52+'Weekly Summary'!AX$53))+('Equipment List &amp; Usage'!$R84*'Weekly Summary'!AX$64)+('Equipment List &amp; Usage'!$S84*'Weekly Summary'!AX$65)+('Equipment List &amp; Usage'!$T84*('Weekly Summary'!AX$64+'Weekly Summary'!AX$65))-SUM($I82:BC82))),0)</f>
        <v>0</v>
      </c>
      <c r="BE82" s="1381">
        <f ca="1">MAX(IF($F82="No",('Equipment List &amp; Usage'!$O84*'Weekly Summary'!AY$52)+('Equipment List &amp; Usage'!$P84*'Weekly Summary'!AY$53)+('Equipment List &amp; Usage'!$Q84*('Weekly Summary'!AY$52+'Weekly Summary'!AY$53))+('Equipment List &amp; Usage'!$R84*'Weekly Summary'!AY$64)+('Equipment List &amp; Usage'!$S84*'Weekly Summary'!AY$65)+('Equipment List &amp; Usage'!$T84*('Weekly Summary'!AY$64+'Weekly Summary'!AY$65)),
IF(BE$10=0,('Equipment List &amp; Usage'!$O84*'Weekly Summary'!AY$52)+('Equipment List &amp; Usage'!$P84*'Weekly Summary'!AY$53)+('Equipment List &amp; Usage'!$Q84*('Weekly Summary'!AY$52+'Weekly Summary'!AY$53))+('Equipment List &amp; Usage'!$R84*'Weekly Summary'!AY$64)+('Equipment List &amp; Usage'!$S84*'Weekly Summary'!AY$65)+('Equipment List &amp; Usage'!$T84*('Weekly Summary'!AY$64+'Weekly Summary'!AY$65)),
('Equipment List &amp; Usage'!$O84*'Weekly Summary'!AY$52)+('Equipment List &amp; Usage'!$P84*'Weekly Summary'!AY$53)+('Equipment List &amp; Usage'!$Q84*('Weekly Summary'!AY$52+'Weekly Summary'!AY$53))+('Equipment List &amp; Usage'!$R84*'Weekly Summary'!AY$64)+('Equipment List &amp; Usage'!$S84*'Weekly Summary'!AY$65)+('Equipment List &amp; Usage'!$T84*('Weekly Summary'!AY$64+'Weekly Summary'!AY$65))-SUM($I82:BD82))),0)</f>
        <v>0</v>
      </c>
      <c r="BF82" s="1381">
        <f ca="1">MAX(IF($F82="No",('Equipment List &amp; Usage'!$O84*'Weekly Summary'!AZ$52)+('Equipment List &amp; Usage'!$P84*'Weekly Summary'!AZ$53)+('Equipment List &amp; Usage'!$Q84*('Weekly Summary'!AZ$52+'Weekly Summary'!AZ$53))+('Equipment List &amp; Usage'!$R84*'Weekly Summary'!AZ$64)+('Equipment List &amp; Usage'!$S84*'Weekly Summary'!AZ$65)+('Equipment List &amp; Usage'!$T84*('Weekly Summary'!AZ$64+'Weekly Summary'!AZ$65)),
IF(BF$10=0,('Equipment List &amp; Usage'!$O84*'Weekly Summary'!AZ$52)+('Equipment List &amp; Usage'!$P84*'Weekly Summary'!AZ$53)+('Equipment List &amp; Usage'!$Q84*('Weekly Summary'!AZ$52+'Weekly Summary'!AZ$53))+('Equipment List &amp; Usage'!$R84*'Weekly Summary'!AZ$64)+('Equipment List &amp; Usage'!$S84*'Weekly Summary'!AZ$65)+('Equipment List &amp; Usage'!$T84*('Weekly Summary'!AZ$64+'Weekly Summary'!AZ$65)),
('Equipment List &amp; Usage'!$O84*'Weekly Summary'!AZ$52)+('Equipment List &amp; Usage'!$P84*'Weekly Summary'!AZ$53)+('Equipment List &amp; Usage'!$Q84*('Weekly Summary'!AZ$52+'Weekly Summary'!AZ$53))+('Equipment List &amp; Usage'!$R84*'Weekly Summary'!AZ$64)+('Equipment List &amp; Usage'!$S84*'Weekly Summary'!AZ$65)+('Equipment List &amp; Usage'!$T84*('Weekly Summary'!AZ$64+'Weekly Summary'!AZ$65))-SUM($I82:BE82))),0)</f>
        <v>0</v>
      </c>
      <c r="BG82" s="1381">
        <f ca="1">MAX(IF($F82="No",('Equipment List &amp; Usage'!$O84*'Weekly Summary'!BA$52)+('Equipment List &amp; Usage'!$P84*'Weekly Summary'!BA$53)+('Equipment List &amp; Usage'!$Q84*('Weekly Summary'!BA$52+'Weekly Summary'!BA$53))+('Equipment List &amp; Usage'!$R84*'Weekly Summary'!BA$64)+('Equipment List &amp; Usage'!$S84*'Weekly Summary'!BA$65)+('Equipment List &amp; Usage'!$T84*('Weekly Summary'!BA$64+'Weekly Summary'!BA$65)),
IF(BG$10=0,('Equipment List &amp; Usage'!$O84*'Weekly Summary'!BA$52)+('Equipment List &amp; Usage'!$P84*'Weekly Summary'!BA$53)+('Equipment List &amp; Usage'!$Q84*('Weekly Summary'!BA$52+'Weekly Summary'!BA$53))+('Equipment List &amp; Usage'!$R84*'Weekly Summary'!BA$64)+('Equipment List &amp; Usage'!$S84*'Weekly Summary'!BA$65)+('Equipment List &amp; Usage'!$T84*('Weekly Summary'!BA$64+'Weekly Summary'!BA$65)),
('Equipment List &amp; Usage'!$O84*'Weekly Summary'!BA$52)+('Equipment List &amp; Usage'!$P84*'Weekly Summary'!BA$53)+('Equipment List &amp; Usage'!$Q84*('Weekly Summary'!BA$52+'Weekly Summary'!BA$53))+('Equipment List &amp; Usage'!$R84*'Weekly Summary'!BA$64)+('Equipment List &amp; Usage'!$S84*'Weekly Summary'!BA$65)+('Equipment List &amp; Usage'!$T84*('Weekly Summary'!BA$64+'Weekly Summary'!BA$65))-SUM($I82:BF82))),0)</f>
        <v>0</v>
      </c>
      <c r="BH82" s="1381">
        <f ca="1">MAX(IF($F82="No",('Equipment List &amp; Usage'!$O84*'Weekly Summary'!BB$52)+('Equipment List &amp; Usage'!$P84*'Weekly Summary'!BB$53)+('Equipment List &amp; Usage'!$Q84*('Weekly Summary'!BB$52+'Weekly Summary'!BB$53))+('Equipment List &amp; Usage'!$R84*'Weekly Summary'!BB$64)+('Equipment List &amp; Usage'!$S84*'Weekly Summary'!BB$65)+('Equipment List &amp; Usage'!$T84*('Weekly Summary'!BB$64+'Weekly Summary'!BB$65)),
IF(BH$10=0,('Equipment List &amp; Usage'!$O84*'Weekly Summary'!BB$52)+('Equipment List &amp; Usage'!$P84*'Weekly Summary'!BB$53)+('Equipment List &amp; Usage'!$Q84*('Weekly Summary'!BB$52+'Weekly Summary'!BB$53))+('Equipment List &amp; Usage'!$R84*'Weekly Summary'!BB$64)+('Equipment List &amp; Usage'!$S84*'Weekly Summary'!BB$65)+('Equipment List &amp; Usage'!$T84*('Weekly Summary'!BB$64+'Weekly Summary'!BB$65)),
('Equipment List &amp; Usage'!$O84*'Weekly Summary'!BB$52)+('Equipment List &amp; Usage'!$P84*'Weekly Summary'!BB$53)+('Equipment List &amp; Usage'!$Q84*('Weekly Summary'!BB$52+'Weekly Summary'!BB$53))+('Equipment List &amp; Usage'!$R84*'Weekly Summary'!BB$64)+('Equipment List &amp; Usage'!$S84*'Weekly Summary'!BB$65)+('Equipment List &amp; Usage'!$T84*('Weekly Summary'!BB$64+'Weekly Summary'!BB$65))-SUM($I82:BG82))),0)</f>
        <v>0</v>
      </c>
      <c r="BI82" s="1381">
        <f ca="1">MAX(IF($F82="No",('Equipment List &amp; Usage'!$O84*'Weekly Summary'!BC$52)+('Equipment List &amp; Usage'!$P84*'Weekly Summary'!BC$53)+('Equipment List &amp; Usage'!$Q84*('Weekly Summary'!BC$52+'Weekly Summary'!BC$53))+('Equipment List &amp; Usage'!$R84*'Weekly Summary'!BC$64)+('Equipment List &amp; Usage'!$S84*'Weekly Summary'!BC$65)+('Equipment List &amp; Usage'!$T84*('Weekly Summary'!BC$64+'Weekly Summary'!BC$65)),
IF(BI$10=0,('Equipment List &amp; Usage'!$O84*'Weekly Summary'!BC$52)+('Equipment List &amp; Usage'!$P84*'Weekly Summary'!BC$53)+('Equipment List &amp; Usage'!$Q84*('Weekly Summary'!BC$52+'Weekly Summary'!BC$53))+('Equipment List &amp; Usage'!$R84*'Weekly Summary'!BC$64)+('Equipment List &amp; Usage'!$S84*'Weekly Summary'!BC$65)+('Equipment List &amp; Usage'!$T84*('Weekly Summary'!BC$64+'Weekly Summary'!BC$65)),
('Equipment List &amp; Usage'!$O84*'Weekly Summary'!BC$52)+('Equipment List &amp; Usage'!$P84*'Weekly Summary'!BC$53)+('Equipment List &amp; Usage'!$Q84*('Weekly Summary'!BC$52+'Weekly Summary'!BC$53))+('Equipment List &amp; Usage'!$R84*'Weekly Summary'!BC$64)+('Equipment List &amp; Usage'!$S84*'Weekly Summary'!BC$65)+('Equipment List &amp; Usage'!$T84*('Weekly Summary'!BC$64+'Weekly Summary'!BC$65))-SUM($I82:BH82))),0)</f>
        <v>0</v>
      </c>
      <c r="BJ82" s="1382">
        <f ca="1">MAX(IF($F82="No",('Equipment List &amp; Usage'!$O84*'Weekly Summary'!BD$52)+('Equipment List &amp; Usage'!$P84*'Weekly Summary'!BD$53)+('Equipment List &amp; Usage'!$Q84*('Weekly Summary'!BD$52+'Weekly Summary'!BD$53))+('Equipment List &amp; Usage'!$R84*'Weekly Summary'!BD$64)+('Equipment List &amp; Usage'!$S84*'Weekly Summary'!BD$65)+('Equipment List &amp; Usage'!$T84*('Weekly Summary'!BD$64+'Weekly Summary'!BD$65)),
IF(BJ$10=0,('Equipment List &amp; Usage'!$O84*'Weekly Summary'!BD$52)+('Equipment List &amp; Usage'!$P84*'Weekly Summary'!BD$53)+('Equipment List &amp; Usage'!$Q84*('Weekly Summary'!BD$52+'Weekly Summary'!BD$53))+('Equipment List &amp; Usage'!$R84*'Weekly Summary'!BD$64)+('Equipment List &amp; Usage'!$S84*'Weekly Summary'!BD$65)+('Equipment List &amp; Usage'!$T84*('Weekly Summary'!BD$64+'Weekly Summary'!BD$65)),
('Equipment List &amp; Usage'!$O84*'Weekly Summary'!BD$52)+('Equipment List &amp; Usage'!$P84*'Weekly Summary'!BD$53)+('Equipment List &amp; Usage'!$Q84*('Weekly Summary'!BD$52+'Weekly Summary'!BD$53))+('Equipment List &amp; Usage'!$R84*'Weekly Summary'!BD$64)+('Equipment List &amp; Usage'!$S84*'Weekly Summary'!BD$65)+('Equipment List &amp; Usage'!$T84*('Weekly Summary'!BD$64+'Weekly Summary'!BD$65))-SUM($I82:BI82))),0)</f>
        <v>0</v>
      </c>
    </row>
    <row r="83" spans="2:62" s="15" customFormat="1" ht="33" customHeight="1" collapsed="1" x14ac:dyDescent="0.35">
      <c r="B83" s="735" t="str">
        <f>'Equipment List &amp; Usage'!B85</f>
        <v>Case management - accessories &amp; consumables</v>
      </c>
      <c r="C83" s="526" t="str">
        <f>'Equipment List &amp; Usage'!C85</f>
        <v>Airway Management &amp; Intubation</v>
      </c>
      <c r="D83" s="526" t="str">
        <f>'Equipment List &amp; Usage'!D85</f>
        <v>Laryngeal mask airway (LMA)</v>
      </c>
      <c r="E83" s="526" t="str">
        <f>'Equipment List &amp; Usage'!E85</f>
        <v>Each</v>
      </c>
      <c r="F83" s="526" t="str">
        <f>'Equipment List &amp; Usage'!F85</f>
        <v>No</v>
      </c>
      <c r="G83" s="526" t="str">
        <f>'Equipment List &amp; Usage'!G85</f>
        <v>Sizes according to specifications.</v>
      </c>
      <c r="H83" s="1369">
        <f t="shared" ca="1" si="3"/>
        <v>134.15286663356636</v>
      </c>
      <c r="I83" s="909"/>
      <c r="J83" s="1344"/>
      <c r="K83" s="1381">
        <f ca="1">IF('User Dashboard'!$H$13=1,0,MAX(IF($F83="No",('Equipment List &amp; Usage'!$O85*'Weekly Summary'!E$52)+('Equipment List &amp; Usage'!$P85*'Weekly Summary'!E$53)+('Equipment List &amp; Usage'!$Q85*('Weekly Summary'!E$52+'Weekly Summary'!E$53))+('Equipment List &amp; Usage'!$R85*'Weekly Summary'!E$64)+('Equipment List &amp; Usage'!$S85*'Weekly Summary'!E$65)+('Equipment List &amp; Usage'!$T85*('Weekly Summary'!E$64+'Weekly Summary'!E$65)),
IF(K$10=0,('Equipment List &amp; Usage'!$O85*'Weekly Summary'!E$52)+('Equipment List &amp; Usage'!$P85*'Weekly Summary'!E$53)+('Equipment List &amp; Usage'!$Q85*('Weekly Summary'!E$52+'Weekly Summary'!E$53))+('Equipment List &amp; Usage'!$R85*'Weekly Summary'!E$64)+('Equipment List &amp; Usage'!$S85*'Weekly Summary'!E$65)+('Equipment List &amp; Usage'!$T85*('Weekly Summary'!E$64+'Weekly Summary'!E$65)),
('Equipment List &amp; Usage'!$O85*'Weekly Summary'!E$52)+('Equipment List &amp; Usage'!$P85*'Weekly Summary'!E$53)+('Equipment List &amp; Usage'!$Q85*('Weekly Summary'!E$52+'Weekly Summary'!E$53))+('Equipment List &amp; Usage'!$R85*'Weekly Summary'!E$64)+('Equipment List &amp; Usage'!$S85*'Weekly Summary'!E$65)+('Equipment List &amp; Usage'!$T85*('Weekly Summary'!E$64+'Weekly Summary'!E$65))-SUM($I83:I83))),0))</f>
        <v>0.19869249611205675</v>
      </c>
      <c r="L83" s="1381">
        <f ca="1">MAX(IF($F83="No",('Equipment List &amp; Usage'!$O85*'Weekly Summary'!F$52)+('Equipment List &amp; Usage'!$P85*'Weekly Summary'!F$53)+('Equipment List &amp; Usage'!$Q85*('Weekly Summary'!F$52+'Weekly Summary'!F$53))+('Equipment List &amp; Usage'!$R85*'Weekly Summary'!F$64)+('Equipment List &amp; Usage'!$S85*'Weekly Summary'!F$65)+('Equipment List &amp; Usage'!$T85*('Weekly Summary'!F$64+'Weekly Summary'!F$65)),
IF(L$10=0,('Equipment List &amp; Usage'!$O85*'Weekly Summary'!F$52)+('Equipment List &amp; Usage'!$P85*'Weekly Summary'!F$53)+('Equipment List &amp; Usage'!$Q85*('Weekly Summary'!F$52+'Weekly Summary'!F$53))+('Equipment List &amp; Usage'!$R85*'Weekly Summary'!F$64)+('Equipment List &amp; Usage'!$S85*'Weekly Summary'!F$65)+('Equipment List &amp; Usage'!$T85*('Weekly Summary'!F$64+'Weekly Summary'!F$65)),
('Equipment List &amp; Usage'!$O85*'Weekly Summary'!F$52)+('Equipment List &amp; Usage'!$P85*'Weekly Summary'!F$53)+('Equipment List &amp; Usage'!$Q85*('Weekly Summary'!F$52+'Weekly Summary'!F$53))+('Equipment List &amp; Usage'!$R85*'Weekly Summary'!F$64)+('Equipment List &amp; Usage'!$S85*'Weekly Summary'!F$65)+('Equipment List &amp; Usage'!$T85*('Weekly Summary'!F$64+'Weekly Summary'!F$65))-SUM($I83:K83))),0)</f>
        <v>0.68280837797721627</v>
      </c>
      <c r="M83" s="1381">
        <f ca="1">MAX(IF($F83="No",('Equipment List &amp; Usage'!$O85*'Weekly Summary'!G$52)+('Equipment List &amp; Usage'!$P85*'Weekly Summary'!G$53)+('Equipment List &amp; Usage'!$Q85*('Weekly Summary'!G$52+'Weekly Summary'!G$53))+('Equipment List &amp; Usage'!$R85*'Weekly Summary'!G$64)+('Equipment List &amp; Usage'!$S85*'Weekly Summary'!G$65)+('Equipment List &amp; Usage'!$T85*('Weekly Summary'!G$64+'Weekly Summary'!G$65)),
IF(M$10=0,('Equipment List &amp; Usage'!$O85*'Weekly Summary'!G$52)+('Equipment List &amp; Usage'!$P85*'Weekly Summary'!G$53)+('Equipment List &amp; Usage'!$Q85*('Weekly Summary'!G$52+'Weekly Summary'!G$53))+('Equipment List &amp; Usage'!$R85*'Weekly Summary'!G$64)+('Equipment List &amp; Usage'!$S85*'Weekly Summary'!G$65)+('Equipment List &amp; Usage'!$T85*('Weekly Summary'!G$64+'Weekly Summary'!G$65)),
('Equipment List &amp; Usage'!$O85*'Weekly Summary'!G$52)+('Equipment List &amp; Usage'!$P85*'Weekly Summary'!G$53)+('Equipment List &amp; Usage'!$Q85*('Weekly Summary'!G$52+'Weekly Summary'!G$53))+('Equipment List &amp; Usage'!$R85*'Weekly Summary'!G$64)+('Equipment List &amp; Usage'!$S85*'Weekly Summary'!G$65)+('Equipment List &amp; Usage'!$T85*('Weekly Summary'!G$64+'Weekly Summary'!G$65))-SUM($I83:L83))),0)</f>
        <v>2.3464538473228695</v>
      </c>
      <c r="N83" s="1381">
        <f ca="1">MAX(IF($F83="No",('Equipment List &amp; Usage'!$O85*'Weekly Summary'!H$52)+('Equipment List &amp; Usage'!$P85*'Weekly Summary'!H$53)+('Equipment List &amp; Usage'!$Q85*('Weekly Summary'!H$52+'Weekly Summary'!H$53))+('Equipment List &amp; Usage'!$R85*'Weekly Summary'!H$64)+('Equipment List &amp; Usage'!$S85*'Weekly Summary'!H$65)+('Equipment List &amp; Usage'!$T85*('Weekly Summary'!H$64+'Weekly Summary'!H$65)),
IF(N$10=0,('Equipment List &amp; Usage'!$O85*'Weekly Summary'!H$52)+('Equipment List &amp; Usage'!$P85*'Weekly Summary'!H$53)+('Equipment List &amp; Usage'!$Q85*('Weekly Summary'!H$52+'Weekly Summary'!H$53))+('Equipment List &amp; Usage'!$R85*'Weekly Summary'!H$64)+('Equipment List &amp; Usage'!$S85*'Weekly Summary'!H$65)+('Equipment List &amp; Usage'!$T85*('Weekly Summary'!H$64+'Weekly Summary'!H$65)),
('Equipment List &amp; Usage'!$O85*'Weekly Summary'!H$52)+('Equipment List &amp; Usage'!$P85*'Weekly Summary'!H$53)+('Equipment List &amp; Usage'!$Q85*('Weekly Summary'!H$52+'Weekly Summary'!H$53))+('Equipment List &amp; Usage'!$R85*'Weekly Summary'!H$64)+('Equipment List &amp; Usage'!$S85*'Weekly Summary'!H$65)+('Equipment List &amp; Usage'!$T85*('Weekly Summary'!H$64+'Weekly Summary'!H$65))-SUM($I83:M83))),0)</f>
        <v>8.0632617407996285</v>
      </c>
      <c r="O83" s="1381">
        <f ca="1">MAX(IF($F83="No",('Equipment List &amp; Usage'!$O85*'Weekly Summary'!I$52)+('Equipment List &amp; Usage'!$P85*'Weekly Summary'!I$53)+('Equipment List &amp; Usage'!$Q85*('Weekly Summary'!I$52+'Weekly Summary'!I$53))+('Equipment List &amp; Usage'!$R85*'Weekly Summary'!I$64)+('Equipment List &amp; Usage'!$S85*'Weekly Summary'!I$65)+('Equipment List &amp; Usage'!$T85*('Weekly Summary'!I$64+'Weekly Summary'!I$65)),
IF(O$10=0,('Equipment List &amp; Usage'!$O85*'Weekly Summary'!I$52)+('Equipment List &amp; Usage'!$P85*'Weekly Summary'!I$53)+('Equipment List &amp; Usage'!$Q85*('Weekly Summary'!I$52+'Weekly Summary'!I$53))+('Equipment List &amp; Usage'!$R85*'Weekly Summary'!I$64)+('Equipment List &amp; Usage'!$S85*'Weekly Summary'!I$65)+('Equipment List &amp; Usage'!$T85*('Weekly Summary'!I$64+'Weekly Summary'!I$65)),
('Equipment List &amp; Usage'!$O85*'Weekly Summary'!I$52)+('Equipment List &amp; Usage'!$P85*'Weekly Summary'!I$53)+('Equipment List &amp; Usage'!$Q85*('Weekly Summary'!I$52+'Weekly Summary'!I$53))+('Equipment List &amp; Usage'!$R85*'Weekly Summary'!I$64)+('Equipment List &amp; Usage'!$S85*'Weekly Summary'!I$65)+('Equipment List &amp; Usage'!$T85*('Weekly Summary'!I$64+'Weekly Summary'!I$65))-SUM($I83:N83))),0)</f>
        <v>27.705111326463218</v>
      </c>
      <c r="P83" s="1381">
        <f ca="1">MAX(IF($F83="No",('Equipment List &amp; Usage'!$O85*'Weekly Summary'!J$52)+('Equipment List &amp; Usage'!$P85*'Weekly Summary'!J$53)+('Equipment List &amp; Usage'!$Q85*('Weekly Summary'!J$52+'Weekly Summary'!J$53))+('Equipment List &amp; Usage'!$R85*'Weekly Summary'!J$64)+('Equipment List &amp; Usage'!$S85*'Weekly Summary'!J$65)+('Equipment List &amp; Usage'!$T85*('Weekly Summary'!J$64+'Weekly Summary'!J$65)),
IF(P$10=0,('Equipment List &amp; Usage'!$O85*'Weekly Summary'!J$52)+('Equipment List &amp; Usage'!$P85*'Weekly Summary'!J$53)+('Equipment List &amp; Usage'!$Q85*('Weekly Summary'!J$52+'Weekly Summary'!J$53))+('Equipment List &amp; Usage'!$R85*'Weekly Summary'!J$64)+('Equipment List &amp; Usage'!$S85*'Weekly Summary'!J$65)+('Equipment List &amp; Usage'!$T85*('Weekly Summary'!J$64+'Weekly Summary'!J$65)),
('Equipment List &amp; Usage'!$O85*'Weekly Summary'!J$52)+('Equipment List &amp; Usage'!$P85*'Weekly Summary'!J$53)+('Equipment List &amp; Usage'!$Q85*('Weekly Summary'!J$52+'Weekly Summary'!J$53))+('Equipment List &amp; Usage'!$R85*'Weekly Summary'!J$64)+('Equipment List &amp; Usage'!$S85*'Weekly Summary'!J$65)+('Equipment List &amp; Usage'!$T85*('Weekly Summary'!J$64+'Weekly Summary'!J$65))-SUM($I83:O83))),0)</f>
        <v>95.156538844891386</v>
      </c>
      <c r="Q83" s="1381">
        <f ca="1">MAX(IF($F83="No",('Equipment List &amp; Usage'!$O85*'Weekly Summary'!K$52)+('Equipment List &amp; Usage'!$P85*'Weekly Summary'!K$53)+('Equipment List &amp; Usage'!$Q85*('Weekly Summary'!K$52+'Weekly Summary'!K$53))+('Equipment List &amp; Usage'!$R85*'Weekly Summary'!K$64)+('Equipment List &amp; Usage'!$S85*'Weekly Summary'!K$65)+('Equipment List &amp; Usage'!$T85*('Weekly Summary'!K$64+'Weekly Summary'!K$65)),
IF(Q$10=0,('Equipment List &amp; Usage'!$O85*'Weekly Summary'!K$52)+('Equipment List &amp; Usage'!$P85*'Weekly Summary'!K$53)+('Equipment List &amp; Usage'!$Q85*('Weekly Summary'!K$52+'Weekly Summary'!K$53))+('Equipment List &amp; Usage'!$R85*'Weekly Summary'!K$64)+('Equipment List &amp; Usage'!$S85*'Weekly Summary'!K$65)+('Equipment List &amp; Usage'!$T85*('Weekly Summary'!K$64+'Weekly Summary'!K$65)),
('Equipment List &amp; Usage'!$O85*'Weekly Summary'!K$52)+('Equipment List &amp; Usage'!$P85*'Weekly Summary'!K$53)+('Equipment List &amp; Usage'!$Q85*('Weekly Summary'!K$52+'Weekly Summary'!K$53))+('Equipment List &amp; Usage'!$R85*'Weekly Summary'!K$64)+('Equipment List &amp; Usage'!$S85*'Weekly Summary'!K$65)+('Equipment List &amp; Usage'!$T85*('Weekly Summary'!K$64+'Weekly Summary'!K$65))-SUM($I83:P83))),0)</f>
        <v>0</v>
      </c>
      <c r="R83" s="1381">
        <f ca="1">MAX(IF($F83="No",('Equipment List &amp; Usage'!$O85*'Weekly Summary'!L$52)+('Equipment List &amp; Usage'!$P85*'Weekly Summary'!L$53)+('Equipment List &amp; Usage'!$Q85*('Weekly Summary'!L$52+'Weekly Summary'!L$53))+('Equipment List &amp; Usage'!$R85*'Weekly Summary'!L$64)+('Equipment List &amp; Usage'!$S85*'Weekly Summary'!L$65)+('Equipment List &amp; Usage'!$T85*('Weekly Summary'!L$64+'Weekly Summary'!L$65)),
IF(R$10=0,('Equipment List &amp; Usage'!$O85*'Weekly Summary'!L$52)+('Equipment List &amp; Usage'!$P85*'Weekly Summary'!L$53)+('Equipment List &amp; Usage'!$Q85*('Weekly Summary'!L$52+'Weekly Summary'!L$53))+('Equipment List &amp; Usage'!$R85*'Weekly Summary'!L$64)+('Equipment List &amp; Usage'!$S85*'Weekly Summary'!L$65)+('Equipment List &amp; Usage'!$T85*('Weekly Summary'!L$64+'Weekly Summary'!L$65)),
('Equipment List &amp; Usage'!$O85*'Weekly Summary'!L$52)+('Equipment List &amp; Usage'!$P85*'Weekly Summary'!L$53)+('Equipment List &amp; Usage'!$Q85*('Weekly Summary'!L$52+'Weekly Summary'!L$53))+('Equipment List &amp; Usage'!$R85*'Weekly Summary'!L$64)+('Equipment List &amp; Usage'!$S85*'Weekly Summary'!L$65)+('Equipment List &amp; Usage'!$T85*('Weekly Summary'!L$64+'Weekly Summary'!L$65))-SUM($I83:Q83))),0)</f>
        <v>0</v>
      </c>
      <c r="S83" s="1381">
        <f ca="1">MAX(IF($F83="No",('Equipment List &amp; Usage'!$O85*'Weekly Summary'!M$52)+('Equipment List &amp; Usage'!$P85*'Weekly Summary'!M$53)+('Equipment List &amp; Usage'!$Q85*('Weekly Summary'!M$52+'Weekly Summary'!M$53))+('Equipment List &amp; Usage'!$R85*'Weekly Summary'!M$64)+('Equipment List &amp; Usage'!$S85*'Weekly Summary'!M$65)+('Equipment List &amp; Usage'!$T85*('Weekly Summary'!M$64+'Weekly Summary'!M$65)),
IF(S$10=0,('Equipment List &amp; Usage'!$O85*'Weekly Summary'!M$52)+('Equipment List &amp; Usage'!$P85*'Weekly Summary'!M$53)+('Equipment List &amp; Usage'!$Q85*('Weekly Summary'!M$52+'Weekly Summary'!M$53))+('Equipment List &amp; Usage'!$R85*'Weekly Summary'!M$64)+('Equipment List &amp; Usage'!$S85*'Weekly Summary'!M$65)+('Equipment List &amp; Usage'!$T85*('Weekly Summary'!M$64+'Weekly Summary'!M$65)),
('Equipment List &amp; Usage'!$O85*'Weekly Summary'!M$52)+('Equipment List &amp; Usage'!$P85*'Weekly Summary'!M$53)+('Equipment List &amp; Usage'!$Q85*('Weekly Summary'!M$52+'Weekly Summary'!M$53))+('Equipment List &amp; Usage'!$R85*'Weekly Summary'!M$64)+('Equipment List &amp; Usage'!$S85*'Weekly Summary'!M$65)+('Equipment List &amp; Usage'!$T85*('Weekly Summary'!M$64+'Weekly Summary'!M$65))-SUM($I83:R83))),0)</f>
        <v>0</v>
      </c>
      <c r="T83" s="1381">
        <f ca="1">MAX(IF($F83="No",('Equipment List &amp; Usage'!$O85*'Weekly Summary'!N$52)+('Equipment List &amp; Usage'!$P85*'Weekly Summary'!N$53)+('Equipment List &amp; Usage'!$Q85*('Weekly Summary'!N$52+'Weekly Summary'!N$53))+('Equipment List &amp; Usage'!$R85*'Weekly Summary'!N$64)+('Equipment List &amp; Usage'!$S85*'Weekly Summary'!N$65)+('Equipment List &amp; Usage'!$T85*('Weekly Summary'!N$64+'Weekly Summary'!N$65)),
IF(T$10=0,('Equipment List &amp; Usage'!$O85*'Weekly Summary'!N$52)+('Equipment List &amp; Usage'!$P85*'Weekly Summary'!N$53)+('Equipment List &amp; Usage'!$Q85*('Weekly Summary'!N$52+'Weekly Summary'!N$53))+('Equipment List &amp; Usage'!$R85*'Weekly Summary'!N$64)+('Equipment List &amp; Usage'!$S85*'Weekly Summary'!N$65)+('Equipment List &amp; Usage'!$T85*('Weekly Summary'!N$64+'Weekly Summary'!N$65)),
('Equipment List &amp; Usage'!$O85*'Weekly Summary'!N$52)+('Equipment List &amp; Usage'!$P85*'Weekly Summary'!N$53)+('Equipment List &amp; Usage'!$Q85*('Weekly Summary'!N$52+'Weekly Summary'!N$53))+('Equipment List &amp; Usage'!$R85*'Weekly Summary'!N$64)+('Equipment List &amp; Usage'!$S85*'Weekly Summary'!N$65)+('Equipment List &amp; Usage'!$T85*('Weekly Summary'!N$64+'Weekly Summary'!N$65))-SUM($I83:S83))),0)</f>
        <v>0</v>
      </c>
      <c r="U83" s="1381">
        <f ca="1">MAX(IF($F83="No",('Equipment List &amp; Usage'!$O85*'Weekly Summary'!O$52)+('Equipment List &amp; Usage'!$P85*'Weekly Summary'!O$53)+('Equipment List &amp; Usage'!$Q85*('Weekly Summary'!O$52+'Weekly Summary'!O$53))+('Equipment List &amp; Usage'!$R85*'Weekly Summary'!O$64)+('Equipment List &amp; Usage'!$S85*'Weekly Summary'!O$65)+('Equipment List &amp; Usage'!$T85*('Weekly Summary'!O$64+'Weekly Summary'!O$65)),
IF(U$10=0,('Equipment List &amp; Usage'!$O85*'Weekly Summary'!O$52)+('Equipment List &amp; Usage'!$P85*'Weekly Summary'!O$53)+('Equipment List &amp; Usage'!$Q85*('Weekly Summary'!O$52+'Weekly Summary'!O$53))+('Equipment List &amp; Usage'!$R85*'Weekly Summary'!O$64)+('Equipment List &amp; Usage'!$S85*'Weekly Summary'!O$65)+('Equipment List &amp; Usage'!$T85*('Weekly Summary'!O$64+'Weekly Summary'!O$65)),
('Equipment List &amp; Usage'!$O85*'Weekly Summary'!O$52)+('Equipment List &amp; Usage'!$P85*'Weekly Summary'!O$53)+('Equipment List &amp; Usage'!$Q85*('Weekly Summary'!O$52+'Weekly Summary'!O$53))+('Equipment List &amp; Usage'!$R85*'Weekly Summary'!O$64)+('Equipment List &amp; Usage'!$S85*'Weekly Summary'!O$65)+('Equipment List &amp; Usage'!$T85*('Weekly Summary'!O$64+'Weekly Summary'!O$65))-SUM($I83:T83))),0)</f>
        <v>0</v>
      </c>
      <c r="V83" s="1381">
        <f ca="1">MAX(IF($F83="No",('Equipment List &amp; Usage'!$O85*'Weekly Summary'!P$52)+('Equipment List &amp; Usage'!$P85*'Weekly Summary'!P$53)+('Equipment List &amp; Usage'!$Q85*('Weekly Summary'!P$52+'Weekly Summary'!P$53))+('Equipment List &amp; Usage'!$R85*'Weekly Summary'!P$64)+('Equipment List &amp; Usage'!$S85*'Weekly Summary'!P$65)+('Equipment List &amp; Usage'!$T85*('Weekly Summary'!P$64+'Weekly Summary'!P$65)),
IF(V$10=0,('Equipment List &amp; Usage'!$O85*'Weekly Summary'!P$52)+('Equipment List &amp; Usage'!$P85*'Weekly Summary'!P$53)+('Equipment List &amp; Usage'!$Q85*('Weekly Summary'!P$52+'Weekly Summary'!P$53))+('Equipment List &amp; Usage'!$R85*'Weekly Summary'!P$64)+('Equipment List &amp; Usage'!$S85*'Weekly Summary'!P$65)+('Equipment List &amp; Usage'!$T85*('Weekly Summary'!P$64+'Weekly Summary'!P$65)),
('Equipment List &amp; Usage'!$O85*'Weekly Summary'!P$52)+('Equipment List &amp; Usage'!$P85*'Weekly Summary'!P$53)+('Equipment List &amp; Usage'!$Q85*('Weekly Summary'!P$52+'Weekly Summary'!P$53))+('Equipment List &amp; Usage'!$R85*'Weekly Summary'!P$64)+('Equipment List &amp; Usage'!$S85*'Weekly Summary'!P$65)+('Equipment List &amp; Usage'!$T85*('Weekly Summary'!P$64+'Weekly Summary'!P$65))-SUM($I83:U83))),0)</f>
        <v>0</v>
      </c>
      <c r="W83" s="1381">
        <f ca="1">MAX(IF($F83="No",('Equipment List &amp; Usage'!$O85*'Weekly Summary'!Q$52)+('Equipment List &amp; Usage'!$P85*'Weekly Summary'!Q$53)+('Equipment List &amp; Usage'!$Q85*('Weekly Summary'!Q$52+'Weekly Summary'!Q$53))+('Equipment List &amp; Usage'!$R85*'Weekly Summary'!Q$64)+('Equipment List &amp; Usage'!$S85*'Weekly Summary'!Q$65)+('Equipment List &amp; Usage'!$T85*('Weekly Summary'!Q$64+'Weekly Summary'!Q$65)),
IF(W$10=0,('Equipment List &amp; Usage'!$O85*'Weekly Summary'!Q$52)+('Equipment List &amp; Usage'!$P85*'Weekly Summary'!Q$53)+('Equipment List &amp; Usage'!$Q85*('Weekly Summary'!Q$52+'Weekly Summary'!Q$53))+('Equipment List &amp; Usage'!$R85*'Weekly Summary'!Q$64)+('Equipment List &amp; Usage'!$S85*'Weekly Summary'!Q$65)+('Equipment List &amp; Usage'!$T85*('Weekly Summary'!Q$64+'Weekly Summary'!Q$65)),
('Equipment List &amp; Usage'!$O85*'Weekly Summary'!Q$52)+('Equipment List &amp; Usage'!$P85*'Weekly Summary'!Q$53)+('Equipment List &amp; Usage'!$Q85*('Weekly Summary'!Q$52+'Weekly Summary'!Q$53))+('Equipment List &amp; Usage'!$R85*'Weekly Summary'!Q$64)+('Equipment List &amp; Usage'!$S85*'Weekly Summary'!Q$65)+('Equipment List &amp; Usage'!$T85*('Weekly Summary'!Q$64+'Weekly Summary'!Q$65))-SUM($I83:V83))),0)</f>
        <v>0</v>
      </c>
      <c r="X83" s="1381">
        <f ca="1">MAX(IF($F83="No",('Equipment List &amp; Usage'!$O85*'Weekly Summary'!R$52)+('Equipment List &amp; Usage'!$P85*'Weekly Summary'!R$53)+('Equipment List &amp; Usage'!$Q85*('Weekly Summary'!R$52+'Weekly Summary'!R$53))+('Equipment List &amp; Usage'!$R85*'Weekly Summary'!R$64)+('Equipment List &amp; Usage'!$S85*'Weekly Summary'!R$65)+('Equipment List &amp; Usage'!$T85*('Weekly Summary'!R$64+'Weekly Summary'!R$65)),
IF(X$10=0,('Equipment List &amp; Usage'!$O85*'Weekly Summary'!R$52)+('Equipment List &amp; Usage'!$P85*'Weekly Summary'!R$53)+('Equipment List &amp; Usage'!$Q85*('Weekly Summary'!R$52+'Weekly Summary'!R$53))+('Equipment List &amp; Usage'!$R85*'Weekly Summary'!R$64)+('Equipment List &amp; Usage'!$S85*'Weekly Summary'!R$65)+('Equipment List &amp; Usage'!$T85*('Weekly Summary'!R$64+'Weekly Summary'!R$65)),
('Equipment List &amp; Usage'!$O85*'Weekly Summary'!R$52)+('Equipment List &amp; Usage'!$P85*'Weekly Summary'!R$53)+('Equipment List &amp; Usage'!$Q85*('Weekly Summary'!R$52+'Weekly Summary'!R$53))+('Equipment List &amp; Usage'!$R85*'Weekly Summary'!R$64)+('Equipment List &amp; Usage'!$S85*'Weekly Summary'!R$65)+('Equipment List &amp; Usage'!$T85*('Weekly Summary'!R$64+'Weekly Summary'!R$65))-SUM($I83:W83))),0)</f>
        <v>0</v>
      </c>
      <c r="Y83" s="1381">
        <f ca="1">MAX(IF($F83="No",('Equipment List &amp; Usage'!$O85*'Weekly Summary'!S$52)+('Equipment List &amp; Usage'!$P85*'Weekly Summary'!S$53)+('Equipment List &amp; Usage'!$Q85*('Weekly Summary'!S$52+'Weekly Summary'!S$53))+('Equipment List &amp; Usage'!$R85*'Weekly Summary'!S$64)+('Equipment List &amp; Usage'!$S85*'Weekly Summary'!S$65)+('Equipment List &amp; Usage'!$T85*('Weekly Summary'!S$64+'Weekly Summary'!S$65)),
IF(Y$10=0,('Equipment List &amp; Usage'!$O85*'Weekly Summary'!S$52)+('Equipment List &amp; Usage'!$P85*'Weekly Summary'!S$53)+('Equipment List &amp; Usage'!$Q85*('Weekly Summary'!S$52+'Weekly Summary'!S$53))+('Equipment List &amp; Usage'!$R85*'Weekly Summary'!S$64)+('Equipment List &amp; Usage'!$S85*'Weekly Summary'!S$65)+('Equipment List &amp; Usage'!$T85*('Weekly Summary'!S$64+'Weekly Summary'!S$65)),
('Equipment List &amp; Usage'!$O85*'Weekly Summary'!S$52)+('Equipment List &amp; Usage'!$P85*'Weekly Summary'!S$53)+('Equipment List &amp; Usage'!$Q85*('Weekly Summary'!S$52+'Weekly Summary'!S$53))+('Equipment List &amp; Usage'!$R85*'Weekly Summary'!S$64)+('Equipment List &amp; Usage'!$S85*'Weekly Summary'!S$65)+('Equipment List &amp; Usage'!$T85*('Weekly Summary'!S$64+'Weekly Summary'!S$65))-SUM($I83:X83))),0)</f>
        <v>0</v>
      </c>
      <c r="Z83" s="1381">
        <f ca="1">MAX(IF($F83="No",('Equipment List &amp; Usage'!$O85*'Weekly Summary'!T$52)+('Equipment List &amp; Usage'!$P85*'Weekly Summary'!T$53)+('Equipment List &amp; Usage'!$Q85*('Weekly Summary'!T$52+'Weekly Summary'!T$53))+('Equipment List &amp; Usage'!$R85*'Weekly Summary'!T$64)+('Equipment List &amp; Usage'!$S85*'Weekly Summary'!T$65)+('Equipment List &amp; Usage'!$T85*('Weekly Summary'!T$64+'Weekly Summary'!T$65)),
IF(Z$10=0,('Equipment List &amp; Usage'!$O85*'Weekly Summary'!T$52)+('Equipment List &amp; Usage'!$P85*'Weekly Summary'!T$53)+('Equipment List &amp; Usage'!$Q85*('Weekly Summary'!T$52+'Weekly Summary'!T$53))+('Equipment List &amp; Usage'!$R85*'Weekly Summary'!T$64)+('Equipment List &amp; Usage'!$S85*'Weekly Summary'!T$65)+('Equipment List &amp; Usage'!$T85*('Weekly Summary'!T$64+'Weekly Summary'!T$65)),
('Equipment List &amp; Usage'!$O85*'Weekly Summary'!T$52)+('Equipment List &amp; Usage'!$P85*'Weekly Summary'!T$53)+('Equipment List &amp; Usage'!$Q85*('Weekly Summary'!T$52+'Weekly Summary'!T$53))+('Equipment List &amp; Usage'!$R85*'Weekly Summary'!T$64)+('Equipment List &amp; Usage'!$S85*'Weekly Summary'!T$65)+('Equipment List &amp; Usage'!$T85*('Weekly Summary'!T$64+'Weekly Summary'!T$65))-SUM($I83:Y83))),0)</f>
        <v>0</v>
      </c>
      <c r="AA83" s="1381">
        <f ca="1">MAX(IF($F83="No",('Equipment List &amp; Usage'!$O85*'Weekly Summary'!U$52)+('Equipment List &amp; Usage'!$P85*'Weekly Summary'!U$53)+('Equipment List &amp; Usage'!$Q85*('Weekly Summary'!U$52+'Weekly Summary'!U$53))+('Equipment List &amp; Usage'!$R85*'Weekly Summary'!U$64)+('Equipment List &amp; Usage'!$S85*'Weekly Summary'!U$65)+('Equipment List &amp; Usage'!$T85*('Weekly Summary'!U$64+'Weekly Summary'!U$65)),
IF(AA$10=0,('Equipment List &amp; Usage'!$O85*'Weekly Summary'!U$52)+('Equipment List &amp; Usage'!$P85*'Weekly Summary'!U$53)+('Equipment List &amp; Usage'!$Q85*('Weekly Summary'!U$52+'Weekly Summary'!U$53))+('Equipment List &amp; Usage'!$R85*'Weekly Summary'!U$64)+('Equipment List &amp; Usage'!$S85*'Weekly Summary'!U$65)+('Equipment List &amp; Usage'!$T85*('Weekly Summary'!U$64+'Weekly Summary'!U$65)),
('Equipment List &amp; Usage'!$O85*'Weekly Summary'!U$52)+('Equipment List &amp; Usage'!$P85*'Weekly Summary'!U$53)+('Equipment List &amp; Usage'!$Q85*('Weekly Summary'!U$52+'Weekly Summary'!U$53))+('Equipment List &amp; Usage'!$R85*'Weekly Summary'!U$64)+('Equipment List &amp; Usage'!$S85*'Weekly Summary'!U$65)+('Equipment List &amp; Usage'!$T85*('Weekly Summary'!U$64+'Weekly Summary'!U$65))-SUM($I83:Z83))),0)</f>
        <v>0</v>
      </c>
      <c r="AB83" s="1381">
        <f ca="1">MAX(IF($F83="No",('Equipment List &amp; Usage'!$O85*'Weekly Summary'!V$52)+('Equipment List &amp; Usage'!$P85*'Weekly Summary'!V$53)+('Equipment List &amp; Usage'!$Q85*('Weekly Summary'!V$52+'Weekly Summary'!V$53))+('Equipment List &amp; Usage'!$R85*'Weekly Summary'!V$64)+('Equipment List &amp; Usage'!$S85*'Weekly Summary'!V$65)+('Equipment List &amp; Usage'!$T85*('Weekly Summary'!V$64+'Weekly Summary'!V$65)),
IF(AB$10=0,('Equipment List &amp; Usage'!$O85*'Weekly Summary'!V$52)+('Equipment List &amp; Usage'!$P85*'Weekly Summary'!V$53)+('Equipment List &amp; Usage'!$Q85*('Weekly Summary'!V$52+'Weekly Summary'!V$53))+('Equipment List &amp; Usage'!$R85*'Weekly Summary'!V$64)+('Equipment List &amp; Usage'!$S85*'Weekly Summary'!V$65)+('Equipment List &amp; Usage'!$T85*('Weekly Summary'!V$64+'Weekly Summary'!V$65)),
('Equipment List &amp; Usage'!$O85*'Weekly Summary'!V$52)+('Equipment List &amp; Usage'!$P85*'Weekly Summary'!V$53)+('Equipment List &amp; Usage'!$Q85*('Weekly Summary'!V$52+'Weekly Summary'!V$53))+('Equipment List &amp; Usage'!$R85*'Weekly Summary'!V$64)+('Equipment List &amp; Usage'!$S85*'Weekly Summary'!V$65)+('Equipment List &amp; Usage'!$T85*('Weekly Summary'!V$64+'Weekly Summary'!V$65))-SUM($I83:AA83))),0)</f>
        <v>0</v>
      </c>
      <c r="AC83" s="1381">
        <f ca="1">MAX(IF($F83="No",('Equipment List &amp; Usage'!$O85*'Weekly Summary'!W$52)+('Equipment List &amp; Usage'!$P85*'Weekly Summary'!W$53)+('Equipment List &amp; Usage'!$Q85*('Weekly Summary'!W$52+'Weekly Summary'!W$53))+('Equipment List &amp; Usage'!$R85*'Weekly Summary'!W$64)+('Equipment List &amp; Usage'!$S85*'Weekly Summary'!W$65)+('Equipment List &amp; Usage'!$T85*('Weekly Summary'!W$64+'Weekly Summary'!W$65)),
IF(AC$10=0,('Equipment List &amp; Usage'!$O85*'Weekly Summary'!W$52)+('Equipment List &amp; Usage'!$P85*'Weekly Summary'!W$53)+('Equipment List &amp; Usage'!$Q85*('Weekly Summary'!W$52+'Weekly Summary'!W$53))+('Equipment List &amp; Usage'!$R85*'Weekly Summary'!W$64)+('Equipment List &amp; Usage'!$S85*'Weekly Summary'!W$65)+('Equipment List &amp; Usage'!$T85*('Weekly Summary'!W$64+'Weekly Summary'!W$65)),
('Equipment List &amp; Usage'!$O85*'Weekly Summary'!W$52)+('Equipment List &amp; Usage'!$P85*'Weekly Summary'!W$53)+('Equipment List &amp; Usage'!$Q85*('Weekly Summary'!W$52+'Weekly Summary'!W$53))+('Equipment List &amp; Usage'!$R85*'Weekly Summary'!W$64)+('Equipment List &amp; Usage'!$S85*'Weekly Summary'!W$65)+('Equipment List &amp; Usage'!$T85*('Weekly Summary'!W$64+'Weekly Summary'!W$65))-SUM($I83:AB83))),0)</f>
        <v>0</v>
      </c>
      <c r="AD83" s="1381">
        <f ca="1">MAX(IF($F83="No",('Equipment List &amp; Usage'!$O85*'Weekly Summary'!X$52)+('Equipment List &amp; Usage'!$P85*'Weekly Summary'!X$53)+('Equipment List &amp; Usage'!$Q85*('Weekly Summary'!X$52+'Weekly Summary'!X$53))+('Equipment List &amp; Usage'!$R85*'Weekly Summary'!X$64)+('Equipment List &amp; Usage'!$S85*'Weekly Summary'!X$65)+('Equipment List &amp; Usage'!$T85*('Weekly Summary'!X$64+'Weekly Summary'!X$65)),
IF(AD$10=0,('Equipment List &amp; Usage'!$O85*'Weekly Summary'!X$52)+('Equipment List &amp; Usage'!$P85*'Weekly Summary'!X$53)+('Equipment List &amp; Usage'!$Q85*('Weekly Summary'!X$52+'Weekly Summary'!X$53))+('Equipment List &amp; Usage'!$R85*'Weekly Summary'!X$64)+('Equipment List &amp; Usage'!$S85*'Weekly Summary'!X$65)+('Equipment List &amp; Usage'!$T85*('Weekly Summary'!X$64+'Weekly Summary'!X$65)),
('Equipment List &amp; Usage'!$O85*'Weekly Summary'!X$52)+('Equipment List &amp; Usage'!$P85*'Weekly Summary'!X$53)+('Equipment List &amp; Usage'!$Q85*('Weekly Summary'!X$52+'Weekly Summary'!X$53))+('Equipment List &amp; Usage'!$R85*'Weekly Summary'!X$64)+('Equipment List &amp; Usage'!$S85*'Weekly Summary'!X$65)+('Equipment List &amp; Usage'!$T85*('Weekly Summary'!X$64+'Weekly Summary'!X$65))-SUM($I83:AC83))),0)</f>
        <v>0</v>
      </c>
      <c r="AE83" s="1381">
        <f ca="1">MAX(IF($F83="No",('Equipment List &amp; Usage'!$O85*'Weekly Summary'!Y$52)+('Equipment List &amp; Usage'!$P85*'Weekly Summary'!Y$53)+('Equipment List &amp; Usage'!$Q85*('Weekly Summary'!Y$52+'Weekly Summary'!Y$53))+('Equipment List &amp; Usage'!$R85*'Weekly Summary'!Y$64)+('Equipment List &amp; Usage'!$S85*'Weekly Summary'!Y$65)+('Equipment List &amp; Usage'!$T85*('Weekly Summary'!Y$64+'Weekly Summary'!Y$65)),
IF(AE$10=0,('Equipment List &amp; Usage'!$O85*'Weekly Summary'!Y$52)+('Equipment List &amp; Usage'!$P85*'Weekly Summary'!Y$53)+('Equipment List &amp; Usage'!$Q85*('Weekly Summary'!Y$52+'Weekly Summary'!Y$53))+('Equipment List &amp; Usage'!$R85*'Weekly Summary'!Y$64)+('Equipment List &amp; Usage'!$S85*'Weekly Summary'!Y$65)+('Equipment List &amp; Usage'!$T85*('Weekly Summary'!Y$64+'Weekly Summary'!Y$65)),
('Equipment List &amp; Usage'!$O85*'Weekly Summary'!Y$52)+('Equipment List &amp; Usage'!$P85*'Weekly Summary'!Y$53)+('Equipment List &amp; Usage'!$Q85*('Weekly Summary'!Y$52+'Weekly Summary'!Y$53))+('Equipment List &amp; Usage'!$R85*'Weekly Summary'!Y$64)+('Equipment List &amp; Usage'!$S85*'Weekly Summary'!Y$65)+('Equipment List &amp; Usage'!$T85*('Weekly Summary'!Y$64+'Weekly Summary'!Y$65))-SUM($I83:AD83))),0)</f>
        <v>0</v>
      </c>
      <c r="AF83" s="1381">
        <f ca="1">MAX(IF($F83="No",('Equipment List &amp; Usage'!$O85*'Weekly Summary'!Z$52)+('Equipment List &amp; Usage'!$P85*'Weekly Summary'!Z$53)+('Equipment List &amp; Usage'!$Q85*('Weekly Summary'!Z$52+'Weekly Summary'!Z$53))+('Equipment List &amp; Usage'!$R85*'Weekly Summary'!Z$64)+('Equipment List &amp; Usage'!$S85*'Weekly Summary'!Z$65)+('Equipment List &amp; Usage'!$T85*('Weekly Summary'!Z$64+'Weekly Summary'!Z$65)),
IF(AF$10=0,('Equipment List &amp; Usage'!$O85*'Weekly Summary'!Z$52)+('Equipment List &amp; Usage'!$P85*'Weekly Summary'!Z$53)+('Equipment List &amp; Usage'!$Q85*('Weekly Summary'!Z$52+'Weekly Summary'!Z$53))+('Equipment List &amp; Usage'!$R85*'Weekly Summary'!Z$64)+('Equipment List &amp; Usage'!$S85*'Weekly Summary'!Z$65)+('Equipment List &amp; Usage'!$T85*('Weekly Summary'!Z$64+'Weekly Summary'!Z$65)),
('Equipment List &amp; Usage'!$O85*'Weekly Summary'!Z$52)+('Equipment List &amp; Usage'!$P85*'Weekly Summary'!Z$53)+('Equipment List &amp; Usage'!$Q85*('Weekly Summary'!Z$52+'Weekly Summary'!Z$53))+('Equipment List &amp; Usage'!$R85*'Weekly Summary'!Z$64)+('Equipment List &amp; Usage'!$S85*'Weekly Summary'!Z$65)+('Equipment List &amp; Usage'!$T85*('Weekly Summary'!Z$64+'Weekly Summary'!Z$65))-SUM($I83:AE83))),0)</f>
        <v>0</v>
      </c>
      <c r="AG83" s="1381">
        <f ca="1">MAX(IF($F83="No",('Equipment List &amp; Usage'!$O85*'Weekly Summary'!AA$52)+('Equipment List &amp; Usage'!$P85*'Weekly Summary'!AA$53)+('Equipment List &amp; Usage'!$Q85*('Weekly Summary'!AA$52+'Weekly Summary'!AA$53))+('Equipment List &amp; Usage'!$R85*'Weekly Summary'!AA$64)+('Equipment List &amp; Usage'!$S85*'Weekly Summary'!AA$65)+('Equipment List &amp; Usage'!$T85*('Weekly Summary'!AA$64+'Weekly Summary'!AA$65)),
IF(AG$10=0,('Equipment List &amp; Usage'!$O85*'Weekly Summary'!AA$52)+('Equipment List &amp; Usage'!$P85*'Weekly Summary'!AA$53)+('Equipment List &amp; Usage'!$Q85*('Weekly Summary'!AA$52+'Weekly Summary'!AA$53))+('Equipment List &amp; Usage'!$R85*'Weekly Summary'!AA$64)+('Equipment List &amp; Usage'!$S85*'Weekly Summary'!AA$65)+('Equipment List &amp; Usage'!$T85*('Weekly Summary'!AA$64+'Weekly Summary'!AA$65)),
('Equipment List &amp; Usage'!$O85*'Weekly Summary'!AA$52)+('Equipment List &amp; Usage'!$P85*'Weekly Summary'!AA$53)+('Equipment List &amp; Usage'!$Q85*('Weekly Summary'!AA$52+'Weekly Summary'!AA$53))+('Equipment List &amp; Usage'!$R85*'Weekly Summary'!AA$64)+('Equipment List &amp; Usage'!$S85*'Weekly Summary'!AA$65)+('Equipment List &amp; Usage'!$T85*('Weekly Summary'!AA$64+'Weekly Summary'!AA$65))-SUM($I83:AF83))),0)</f>
        <v>0</v>
      </c>
      <c r="AH83" s="1381">
        <f ca="1">MAX(IF($F83="No",('Equipment List &amp; Usage'!$O85*'Weekly Summary'!AB$52)+('Equipment List &amp; Usage'!$P85*'Weekly Summary'!AB$53)+('Equipment List &amp; Usage'!$Q85*('Weekly Summary'!AB$52+'Weekly Summary'!AB$53))+('Equipment List &amp; Usage'!$R85*'Weekly Summary'!AB$64)+('Equipment List &amp; Usage'!$S85*'Weekly Summary'!AB$65)+('Equipment List &amp; Usage'!$T85*('Weekly Summary'!AB$64+'Weekly Summary'!AB$65)),
IF(AH$10=0,('Equipment List &amp; Usage'!$O85*'Weekly Summary'!AB$52)+('Equipment List &amp; Usage'!$P85*'Weekly Summary'!AB$53)+('Equipment List &amp; Usage'!$Q85*('Weekly Summary'!AB$52+'Weekly Summary'!AB$53))+('Equipment List &amp; Usage'!$R85*'Weekly Summary'!AB$64)+('Equipment List &amp; Usage'!$S85*'Weekly Summary'!AB$65)+('Equipment List &amp; Usage'!$T85*('Weekly Summary'!AB$64+'Weekly Summary'!AB$65)),
('Equipment List &amp; Usage'!$O85*'Weekly Summary'!AB$52)+('Equipment List &amp; Usage'!$P85*'Weekly Summary'!AB$53)+('Equipment List &amp; Usage'!$Q85*('Weekly Summary'!AB$52+'Weekly Summary'!AB$53))+('Equipment List &amp; Usage'!$R85*'Weekly Summary'!AB$64)+('Equipment List &amp; Usage'!$S85*'Weekly Summary'!AB$65)+('Equipment List &amp; Usage'!$T85*('Weekly Summary'!AB$64+'Weekly Summary'!AB$65))-SUM($I83:AG83))),0)</f>
        <v>0</v>
      </c>
      <c r="AI83" s="1381">
        <f ca="1">MAX(IF($F83="No",('Equipment List &amp; Usage'!$O85*'Weekly Summary'!AC$52)+('Equipment List &amp; Usage'!$P85*'Weekly Summary'!AC$53)+('Equipment List &amp; Usage'!$Q85*('Weekly Summary'!AC$52+'Weekly Summary'!AC$53))+('Equipment List &amp; Usage'!$R85*'Weekly Summary'!AC$64)+('Equipment List &amp; Usage'!$S85*'Weekly Summary'!AC$65)+('Equipment List &amp; Usage'!$T85*('Weekly Summary'!AC$64+'Weekly Summary'!AC$65)),
IF(AI$10=0,('Equipment List &amp; Usage'!$O85*'Weekly Summary'!AC$52)+('Equipment List &amp; Usage'!$P85*'Weekly Summary'!AC$53)+('Equipment List &amp; Usage'!$Q85*('Weekly Summary'!AC$52+'Weekly Summary'!AC$53))+('Equipment List &amp; Usage'!$R85*'Weekly Summary'!AC$64)+('Equipment List &amp; Usage'!$S85*'Weekly Summary'!AC$65)+('Equipment List &amp; Usage'!$T85*('Weekly Summary'!AC$64+'Weekly Summary'!AC$65)),
('Equipment List &amp; Usage'!$O85*'Weekly Summary'!AC$52)+('Equipment List &amp; Usage'!$P85*'Weekly Summary'!AC$53)+('Equipment List &amp; Usage'!$Q85*('Weekly Summary'!AC$52+'Weekly Summary'!AC$53))+('Equipment List &amp; Usage'!$R85*'Weekly Summary'!AC$64)+('Equipment List &amp; Usage'!$S85*'Weekly Summary'!AC$65)+('Equipment List &amp; Usage'!$T85*('Weekly Summary'!AC$64+'Weekly Summary'!AC$65))-SUM($I83:AH83))),0)</f>
        <v>0</v>
      </c>
      <c r="AJ83" s="1381">
        <f ca="1">MAX(IF($F83="No",('Equipment List &amp; Usage'!$O85*'Weekly Summary'!AD$52)+('Equipment List &amp; Usage'!$P85*'Weekly Summary'!AD$53)+('Equipment List &amp; Usage'!$Q85*('Weekly Summary'!AD$52+'Weekly Summary'!AD$53))+('Equipment List &amp; Usage'!$R85*'Weekly Summary'!AD$64)+('Equipment List &amp; Usage'!$S85*'Weekly Summary'!AD$65)+('Equipment List &amp; Usage'!$T85*('Weekly Summary'!AD$64+'Weekly Summary'!AD$65)),
IF(AJ$10=0,('Equipment List &amp; Usage'!$O85*'Weekly Summary'!AD$52)+('Equipment List &amp; Usage'!$P85*'Weekly Summary'!AD$53)+('Equipment List &amp; Usage'!$Q85*('Weekly Summary'!AD$52+'Weekly Summary'!AD$53))+('Equipment List &amp; Usage'!$R85*'Weekly Summary'!AD$64)+('Equipment List &amp; Usage'!$S85*'Weekly Summary'!AD$65)+('Equipment List &amp; Usage'!$T85*('Weekly Summary'!AD$64+'Weekly Summary'!AD$65)),
('Equipment List &amp; Usage'!$O85*'Weekly Summary'!AD$52)+('Equipment List &amp; Usage'!$P85*'Weekly Summary'!AD$53)+('Equipment List &amp; Usage'!$Q85*('Weekly Summary'!AD$52+'Weekly Summary'!AD$53))+('Equipment List &amp; Usage'!$R85*'Weekly Summary'!AD$64)+('Equipment List &amp; Usage'!$S85*'Weekly Summary'!AD$65)+('Equipment List &amp; Usage'!$T85*('Weekly Summary'!AD$64+'Weekly Summary'!AD$65))-SUM($I83:AI83))),0)</f>
        <v>0</v>
      </c>
      <c r="AK83" s="1381">
        <f ca="1">MAX(IF($F83="No",('Equipment List &amp; Usage'!$O85*'Weekly Summary'!AE$52)+('Equipment List &amp; Usage'!$P85*'Weekly Summary'!AE$53)+('Equipment List &amp; Usage'!$Q85*('Weekly Summary'!AE$52+'Weekly Summary'!AE$53))+('Equipment List &amp; Usage'!$R85*'Weekly Summary'!AE$64)+('Equipment List &amp; Usage'!$S85*'Weekly Summary'!AE$65)+('Equipment List &amp; Usage'!$T85*('Weekly Summary'!AE$64+'Weekly Summary'!AE$65)),
IF(AK$10=0,('Equipment List &amp; Usage'!$O85*'Weekly Summary'!AE$52)+('Equipment List &amp; Usage'!$P85*'Weekly Summary'!AE$53)+('Equipment List &amp; Usage'!$Q85*('Weekly Summary'!AE$52+'Weekly Summary'!AE$53))+('Equipment List &amp; Usage'!$R85*'Weekly Summary'!AE$64)+('Equipment List &amp; Usage'!$S85*'Weekly Summary'!AE$65)+('Equipment List &amp; Usage'!$T85*('Weekly Summary'!AE$64+'Weekly Summary'!AE$65)),
('Equipment List &amp; Usage'!$O85*'Weekly Summary'!AE$52)+('Equipment List &amp; Usage'!$P85*'Weekly Summary'!AE$53)+('Equipment List &amp; Usage'!$Q85*('Weekly Summary'!AE$52+'Weekly Summary'!AE$53))+('Equipment List &amp; Usage'!$R85*'Weekly Summary'!AE$64)+('Equipment List &amp; Usage'!$S85*'Weekly Summary'!AE$65)+('Equipment List &amp; Usage'!$T85*('Weekly Summary'!AE$64+'Weekly Summary'!AE$65))-SUM($I83:AJ83))),0)</f>
        <v>0</v>
      </c>
      <c r="AL83" s="1381">
        <f ca="1">MAX(IF($F83="No",('Equipment List &amp; Usage'!$O85*'Weekly Summary'!AF$52)+('Equipment List &amp; Usage'!$P85*'Weekly Summary'!AF$53)+('Equipment List &amp; Usage'!$Q85*('Weekly Summary'!AF$52+'Weekly Summary'!AF$53))+('Equipment List &amp; Usage'!$R85*'Weekly Summary'!AF$64)+('Equipment List &amp; Usage'!$S85*'Weekly Summary'!AF$65)+('Equipment List &amp; Usage'!$T85*('Weekly Summary'!AF$64+'Weekly Summary'!AF$65)),
IF(AL$10=0,('Equipment List &amp; Usage'!$O85*'Weekly Summary'!AF$52)+('Equipment List &amp; Usage'!$P85*'Weekly Summary'!AF$53)+('Equipment List &amp; Usage'!$Q85*('Weekly Summary'!AF$52+'Weekly Summary'!AF$53))+('Equipment List &amp; Usage'!$R85*'Weekly Summary'!AF$64)+('Equipment List &amp; Usage'!$S85*'Weekly Summary'!AF$65)+('Equipment List &amp; Usage'!$T85*('Weekly Summary'!AF$64+'Weekly Summary'!AF$65)),
('Equipment List &amp; Usage'!$O85*'Weekly Summary'!AF$52)+('Equipment List &amp; Usage'!$P85*'Weekly Summary'!AF$53)+('Equipment List &amp; Usage'!$Q85*('Weekly Summary'!AF$52+'Weekly Summary'!AF$53))+('Equipment List &amp; Usage'!$R85*'Weekly Summary'!AF$64)+('Equipment List &amp; Usage'!$S85*'Weekly Summary'!AF$65)+('Equipment List &amp; Usage'!$T85*('Weekly Summary'!AF$64+'Weekly Summary'!AF$65))-SUM($I83:AK83))),0)</f>
        <v>0</v>
      </c>
      <c r="AM83" s="1381">
        <f ca="1">MAX(IF($F83="No",('Equipment List &amp; Usage'!$O85*'Weekly Summary'!AG$52)+('Equipment List &amp; Usage'!$P85*'Weekly Summary'!AG$53)+('Equipment List &amp; Usage'!$Q85*('Weekly Summary'!AG$52+'Weekly Summary'!AG$53))+('Equipment List &amp; Usage'!$R85*'Weekly Summary'!AG$64)+('Equipment List &amp; Usage'!$S85*'Weekly Summary'!AG$65)+('Equipment List &amp; Usage'!$T85*('Weekly Summary'!AG$64+'Weekly Summary'!AG$65)),
IF(AM$10=0,('Equipment List &amp; Usage'!$O85*'Weekly Summary'!AG$52)+('Equipment List &amp; Usage'!$P85*'Weekly Summary'!AG$53)+('Equipment List &amp; Usage'!$Q85*('Weekly Summary'!AG$52+'Weekly Summary'!AG$53))+('Equipment List &amp; Usage'!$R85*'Weekly Summary'!AG$64)+('Equipment List &amp; Usage'!$S85*'Weekly Summary'!AG$65)+('Equipment List &amp; Usage'!$T85*('Weekly Summary'!AG$64+'Weekly Summary'!AG$65)),
('Equipment List &amp; Usage'!$O85*'Weekly Summary'!AG$52)+('Equipment List &amp; Usage'!$P85*'Weekly Summary'!AG$53)+('Equipment List &amp; Usage'!$Q85*('Weekly Summary'!AG$52+'Weekly Summary'!AG$53))+('Equipment List &amp; Usage'!$R85*'Weekly Summary'!AG$64)+('Equipment List &amp; Usage'!$S85*'Weekly Summary'!AG$65)+('Equipment List &amp; Usage'!$T85*('Weekly Summary'!AG$64+'Weekly Summary'!AG$65))-SUM($I83:AL83))),0)</f>
        <v>0</v>
      </c>
      <c r="AN83" s="1381">
        <f ca="1">MAX(IF($F83="No",('Equipment List &amp; Usage'!$O85*'Weekly Summary'!AH$52)+('Equipment List &amp; Usage'!$P85*'Weekly Summary'!AH$53)+('Equipment List &amp; Usage'!$Q85*('Weekly Summary'!AH$52+'Weekly Summary'!AH$53))+('Equipment List &amp; Usage'!$R85*'Weekly Summary'!AH$64)+('Equipment List &amp; Usage'!$S85*'Weekly Summary'!AH$65)+('Equipment List &amp; Usage'!$T85*('Weekly Summary'!AH$64+'Weekly Summary'!AH$65)),
IF(AN$10=0,('Equipment List &amp; Usage'!$O85*'Weekly Summary'!AH$52)+('Equipment List &amp; Usage'!$P85*'Weekly Summary'!AH$53)+('Equipment List &amp; Usage'!$Q85*('Weekly Summary'!AH$52+'Weekly Summary'!AH$53))+('Equipment List &amp; Usage'!$R85*'Weekly Summary'!AH$64)+('Equipment List &amp; Usage'!$S85*'Weekly Summary'!AH$65)+('Equipment List &amp; Usage'!$T85*('Weekly Summary'!AH$64+'Weekly Summary'!AH$65)),
('Equipment List &amp; Usage'!$O85*'Weekly Summary'!AH$52)+('Equipment List &amp; Usage'!$P85*'Weekly Summary'!AH$53)+('Equipment List &amp; Usage'!$Q85*('Weekly Summary'!AH$52+'Weekly Summary'!AH$53))+('Equipment List &amp; Usage'!$R85*'Weekly Summary'!AH$64)+('Equipment List &amp; Usage'!$S85*'Weekly Summary'!AH$65)+('Equipment List &amp; Usage'!$T85*('Weekly Summary'!AH$64+'Weekly Summary'!AH$65))-SUM($I83:AM83))),0)</f>
        <v>0</v>
      </c>
      <c r="AO83" s="1381">
        <f ca="1">MAX(IF($F83="No",('Equipment List &amp; Usage'!$O85*'Weekly Summary'!AI$52)+('Equipment List &amp; Usage'!$P85*'Weekly Summary'!AI$53)+('Equipment List &amp; Usage'!$Q85*('Weekly Summary'!AI$52+'Weekly Summary'!AI$53))+('Equipment List &amp; Usage'!$R85*'Weekly Summary'!AI$64)+('Equipment List &amp; Usage'!$S85*'Weekly Summary'!AI$65)+('Equipment List &amp; Usage'!$T85*('Weekly Summary'!AI$64+'Weekly Summary'!AI$65)),
IF(AO$10=0,('Equipment List &amp; Usage'!$O85*'Weekly Summary'!AI$52)+('Equipment List &amp; Usage'!$P85*'Weekly Summary'!AI$53)+('Equipment List &amp; Usage'!$Q85*('Weekly Summary'!AI$52+'Weekly Summary'!AI$53))+('Equipment List &amp; Usage'!$R85*'Weekly Summary'!AI$64)+('Equipment List &amp; Usage'!$S85*'Weekly Summary'!AI$65)+('Equipment List &amp; Usage'!$T85*('Weekly Summary'!AI$64+'Weekly Summary'!AI$65)),
('Equipment List &amp; Usage'!$O85*'Weekly Summary'!AI$52)+('Equipment List &amp; Usage'!$P85*'Weekly Summary'!AI$53)+('Equipment List &amp; Usage'!$Q85*('Weekly Summary'!AI$52+'Weekly Summary'!AI$53))+('Equipment List &amp; Usage'!$R85*'Weekly Summary'!AI$64)+('Equipment List &amp; Usage'!$S85*'Weekly Summary'!AI$65)+('Equipment List &amp; Usage'!$T85*('Weekly Summary'!AI$64+'Weekly Summary'!AI$65))-SUM($I83:AN83))),0)</f>
        <v>0</v>
      </c>
      <c r="AP83" s="1381">
        <f ca="1">MAX(IF($F83="No",('Equipment List &amp; Usage'!$O85*'Weekly Summary'!AJ$52)+('Equipment List &amp; Usage'!$P85*'Weekly Summary'!AJ$53)+('Equipment List &amp; Usage'!$Q85*('Weekly Summary'!AJ$52+'Weekly Summary'!AJ$53))+('Equipment List &amp; Usage'!$R85*'Weekly Summary'!AJ$64)+('Equipment List &amp; Usage'!$S85*'Weekly Summary'!AJ$65)+('Equipment List &amp; Usage'!$T85*('Weekly Summary'!AJ$64+'Weekly Summary'!AJ$65)),
IF(AP$10=0,('Equipment List &amp; Usage'!$O85*'Weekly Summary'!AJ$52)+('Equipment List &amp; Usage'!$P85*'Weekly Summary'!AJ$53)+('Equipment List &amp; Usage'!$Q85*('Weekly Summary'!AJ$52+'Weekly Summary'!AJ$53))+('Equipment List &amp; Usage'!$R85*'Weekly Summary'!AJ$64)+('Equipment List &amp; Usage'!$S85*'Weekly Summary'!AJ$65)+('Equipment List &amp; Usage'!$T85*('Weekly Summary'!AJ$64+'Weekly Summary'!AJ$65)),
('Equipment List &amp; Usage'!$O85*'Weekly Summary'!AJ$52)+('Equipment List &amp; Usage'!$P85*'Weekly Summary'!AJ$53)+('Equipment List &amp; Usage'!$Q85*('Weekly Summary'!AJ$52+'Weekly Summary'!AJ$53))+('Equipment List &amp; Usage'!$R85*'Weekly Summary'!AJ$64)+('Equipment List &amp; Usage'!$S85*'Weekly Summary'!AJ$65)+('Equipment List &amp; Usage'!$T85*('Weekly Summary'!AJ$64+'Weekly Summary'!AJ$65))-SUM($I83:AO83))),0)</f>
        <v>0</v>
      </c>
      <c r="AQ83" s="1381">
        <f ca="1">MAX(IF($F83="No",('Equipment List &amp; Usage'!$O85*'Weekly Summary'!AK$52)+('Equipment List &amp; Usage'!$P85*'Weekly Summary'!AK$53)+('Equipment List &amp; Usage'!$Q85*('Weekly Summary'!AK$52+'Weekly Summary'!AK$53))+('Equipment List &amp; Usage'!$R85*'Weekly Summary'!AK$64)+('Equipment List &amp; Usage'!$S85*'Weekly Summary'!AK$65)+('Equipment List &amp; Usage'!$T85*('Weekly Summary'!AK$64+'Weekly Summary'!AK$65)),
IF(AQ$10=0,('Equipment List &amp; Usage'!$O85*'Weekly Summary'!AK$52)+('Equipment List &amp; Usage'!$P85*'Weekly Summary'!AK$53)+('Equipment List &amp; Usage'!$Q85*('Weekly Summary'!AK$52+'Weekly Summary'!AK$53))+('Equipment List &amp; Usage'!$R85*'Weekly Summary'!AK$64)+('Equipment List &amp; Usage'!$S85*'Weekly Summary'!AK$65)+('Equipment List &amp; Usage'!$T85*('Weekly Summary'!AK$64+'Weekly Summary'!AK$65)),
('Equipment List &amp; Usage'!$O85*'Weekly Summary'!AK$52)+('Equipment List &amp; Usage'!$P85*'Weekly Summary'!AK$53)+('Equipment List &amp; Usage'!$Q85*('Weekly Summary'!AK$52+'Weekly Summary'!AK$53))+('Equipment List &amp; Usage'!$R85*'Weekly Summary'!AK$64)+('Equipment List &amp; Usage'!$S85*'Weekly Summary'!AK$65)+('Equipment List &amp; Usage'!$T85*('Weekly Summary'!AK$64+'Weekly Summary'!AK$65))-SUM($I83:AP83))),0)</f>
        <v>0</v>
      </c>
      <c r="AR83" s="1381">
        <f ca="1">MAX(IF($F83="No",('Equipment List &amp; Usage'!$O85*'Weekly Summary'!AL$52)+('Equipment List &amp; Usage'!$P85*'Weekly Summary'!AL$53)+('Equipment List &amp; Usage'!$Q85*('Weekly Summary'!AL$52+'Weekly Summary'!AL$53))+('Equipment List &amp; Usage'!$R85*'Weekly Summary'!AL$64)+('Equipment List &amp; Usage'!$S85*'Weekly Summary'!AL$65)+('Equipment List &amp; Usage'!$T85*('Weekly Summary'!AL$64+'Weekly Summary'!AL$65)),
IF(AR$10=0,('Equipment List &amp; Usage'!$O85*'Weekly Summary'!AL$52)+('Equipment List &amp; Usage'!$P85*'Weekly Summary'!AL$53)+('Equipment List &amp; Usage'!$Q85*('Weekly Summary'!AL$52+'Weekly Summary'!AL$53))+('Equipment List &amp; Usage'!$R85*'Weekly Summary'!AL$64)+('Equipment List &amp; Usage'!$S85*'Weekly Summary'!AL$65)+('Equipment List &amp; Usage'!$T85*('Weekly Summary'!AL$64+'Weekly Summary'!AL$65)),
('Equipment List &amp; Usage'!$O85*'Weekly Summary'!AL$52)+('Equipment List &amp; Usage'!$P85*'Weekly Summary'!AL$53)+('Equipment List &amp; Usage'!$Q85*('Weekly Summary'!AL$52+'Weekly Summary'!AL$53))+('Equipment List &amp; Usage'!$R85*'Weekly Summary'!AL$64)+('Equipment List &amp; Usage'!$S85*'Weekly Summary'!AL$65)+('Equipment List &amp; Usage'!$T85*('Weekly Summary'!AL$64+'Weekly Summary'!AL$65))-SUM($I83:AQ83))),0)</f>
        <v>0</v>
      </c>
      <c r="AS83" s="1381">
        <f ca="1">MAX(IF($F83="No",('Equipment List &amp; Usage'!$O85*'Weekly Summary'!AM$52)+('Equipment List &amp; Usage'!$P85*'Weekly Summary'!AM$53)+('Equipment List &amp; Usage'!$Q85*('Weekly Summary'!AM$52+'Weekly Summary'!AM$53))+('Equipment List &amp; Usage'!$R85*'Weekly Summary'!AM$64)+('Equipment List &amp; Usage'!$S85*'Weekly Summary'!AM$65)+('Equipment List &amp; Usage'!$T85*('Weekly Summary'!AM$64+'Weekly Summary'!AM$65)),
IF(AS$10=0,('Equipment List &amp; Usage'!$O85*'Weekly Summary'!AM$52)+('Equipment List &amp; Usage'!$P85*'Weekly Summary'!AM$53)+('Equipment List &amp; Usage'!$Q85*('Weekly Summary'!AM$52+'Weekly Summary'!AM$53))+('Equipment List &amp; Usage'!$R85*'Weekly Summary'!AM$64)+('Equipment List &amp; Usage'!$S85*'Weekly Summary'!AM$65)+('Equipment List &amp; Usage'!$T85*('Weekly Summary'!AM$64+'Weekly Summary'!AM$65)),
('Equipment List &amp; Usage'!$O85*'Weekly Summary'!AM$52)+('Equipment List &amp; Usage'!$P85*'Weekly Summary'!AM$53)+('Equipment List &amp; Usage'!$Q85*('Weekly Summary'!AM$52+'Weekly Summary'!AM$53))+('Equipment List &amp; Usage'!$R85*'Weekly Summary'!AM$64)+('Equipment List &amp; Usage'!$S85*'Weekly Summary'!AM$65)+('Equipment List &amp; Usage'!$T85*('Weekly Summary'!AM$64+'Weekly Summary'!AM$65))-SUM($I83:AR83))),0)</f>
        <v>0</v>
      </c>
      <c r="AT83" s="1381">
        <f ca="1">MAX(IF($F83="No",('Equipment List &amp; Usage'!$O85*'Weekly Summary'!AN$52)+('Equipment List &amp; Usage'!$P85*'Weekly Summary'!AN$53)+('Equipment List &amp; Usage'!$Q85*('Weekly Summary'!AN$52+'Weekly Summary'!AN$53))+('Equipment List &amp; Usage'!$R85*'Weekly Summary'!AN$64)+('Equipment List &amp; Usage'!$S85*'Weekly Summary'!AN$65)+('Equipment List &amp; Usage'!$T85*('Weekly Summary'!AN$64+'Weekly Summary'!AN$65)),
IF(AT$10=0,('Equipment List &amp; Usage'!$O85*'Weekly Summary'!AN$52)+('Equipment List &amp; Usage'!$P85*'Weekly Summary'!AN$53)+('Equipment List &amp; Usage'!$Q85*('Weekly Summary'!AN$52+'Weekly Summary'!AN$53))+('Equipment List &amp; Usage'!$R85*'Weekly Summary'!AN$64)+('Equipment List &amp; Usage'!$S85*'Weekly Summary'!AN$65)+('Equipment List &amp; Usage'!$T85*('Weekly Summary'!AN$64+'Weekly Summary'!AN$65)),
('Equipment List &amp; Usage'!$O85*'Weekly Summary'!AN$52)+('Equipment List &amp; Usage'!$P85*'Weekly Summary'!AN$53)+('Equipment List &amp; Usage'!$Q85*('Weekly Summary'!AN$52+'Weekly Summary'!AN$53))+('Equipment List &amp; Usage'!$R85*'Weekly Summary'!AN$64)+('Equipment List &amp; Usage'!$S85*'Weekly Summary'!AN$65)+('Equipment List &amp; Usage'!$T85*('Weekly Summary'!AN$64+'Weekly Summary'!AN$65))-SUM($I83:AS83))),0)</f>
        <v>0</v>
      </c>
      <c r="AU83" s="1381">
        <f ca="1">MAX(IF($F83="No",('Equipment List &amp; Usage'!$O85*'Weekly Summary'!AO$52)+('Equipment List &amp; Usage'!$P85*'Weekly Summary'!AO$53)+('Equipment List &amp; Usage'!$Q85*('Weekly Summary'!AO$52+'Weekly Summary'!AO$53))+('Equipment List &amp; Usage'!$R85*'Weekly Summary'!AO$64)+('Equipment List &amp; Usage'!$S85*'Weekly Summary'!AO$65)+('Equipment List &amp; Usage'!$T85*('Weekly Summary'!AO$64+'Weekly Summary'!AO$65)),
IF(AU$10=0,('Equipment List &amp; Usage'!$O85*'Weekly Summary'!AO$52)+('Equipment List &amp; Usage'!$P85*'Weekly Summary'!AO$53)+('Equipment List &amp; Usage'!$Q85*('Weekly Summary'!AO$52+'Weekly Summary'!AO$53))+('Equipment List &amp; Usage'!$R85*'Weekly Summary'!AO$64)+('Equipment List &amp; Usage'!$S85*'Weekly Summary'!AO$65)+('Equipment List &amp; Usage'!$T85*('Weekly Summary'!AO$64+'Weekly Summary'!AO$65)),
('Equipment List &amp; Usage'!$O85*'Weekly Summary'!AO$52)+('Equipment List &amp; Usage'!$P85*'Weekly Summary'!AO$53)+('Equipment List &amp; Usage'!$Q85*('Weekly Summary'!AO$52+'Weekly Summary'!AO$53))+('Equipment List &amp; Usage'!$R85*'Weekly Summary'!AO$64)+('Equipment List &amp; Usage'!$S85*'Weekly Summary'!AO$65)+('Equipment List &amp; Usage'!$T85*('Weekly Summary'!AO$64+'Weekly Summary'!AO$65))-SUM($I83:AT83))),0)</f>
        <v>0</v>
      </c>
      <c r="AV83" s="1381">
        <f ca="1">MAX(IF($F83="No",('Equipment List &amp; Usage'!$O85*'Weekly Summary'!AP$52)+('Equipment List &amp; Usage'!$P85*'Weekly Summary'!AP$53)+('Equipment List &amp; Usage'!$Q85*('Weekly Summary'!AP$52+'Weekly Summary'!AP$53))+('Equipment List &amp; Usage'!$R85*'Weekly Summary'!AP$64)+('Equipment List &amp; Usage'!$S85*'Weekly Summary'!AP$65)+('Equipment List &amp; Usage'!$T85*('Weekly Summary'!AP$64+'Weekly Summary'!AP$65)),
IF(AV$10=0,('Equipment List &amp; Usage'!$O85*'Weekly Summary'!AP$52)+('Equipment List &amp; Usage'!$P85*'Weekly Summary'!AP$53)+('Equipment List &amp; Usage'!$Q85*('Weekly Summary'!AP$52+'Weekly Summary'!AP$53))+('Equipment List &amp; Usage'!$R85*'Weekly Summary'!AP$64)+('Equipment List &amp; Usage'!$S85*'Weekly Summary'!AP$65)+('Equipment List &amp; Usage'!$T85*('Weekly Summary'!AP$64+'Weekly Summary'!AP$65)),
('Equipment List &amp; Usage'!$O85*'Weekly Summary'!AP$52)+('Equipment List &amp; Usage'!$P85*'Weekly Summary'!AP$53)+('Equipment List &amp; Usage'!$Q85*('Weekly Summary'!AP$52+'Weekly Summary'!AP$53))+('Equipment List &amp; Usage'!$R85*'Weekly Summary'!AP$64)+('Equipment List &amp; Usage'!$S85*'Weekly Summary'!AP$65)+('Equipment List &amp; Usage'!$T85*('Weekly Summary'!AP$64+'Weekly Summary'!AP$65))-SUM($I83:AU83))),0)</f>
        <v>0</v>
      </c>
      <c r="AW83" s="1381">
        <f ca="1">MAX(IF($F83="No",('Equipment List &amp; Usage'!$O85*'Weekly Summary'!AQ$52)+('Equipment List &amp; Usage'!$P85*'Weekly Summary'!AQ$53)+('Equipment List &amp; Usage'!$Q85*('Weekly Summary'!AQ$52+'Weekly Summary'!AQ$53))+('Equipment List &amp; Usage'!$R85*'Weekly Summary'!AQ$64)+('Equipment List &amp; Usage'!$S85*'Weekly Summary'!AQ$65)+('Equipment List &amp; Usage'!$T85*('Weekly Summary'!AQ$64+'Weekly Summary'!AQ$65)),
IF(AW$10=0,('Equipment List &amp; Usage'!$O85*'Weekly Summary'!AQ$52)+('Equipment List &amp; Usage'!$P85*'Weekly Summary'!AQ$53)+('Equipment List &amp; Usage'!$Q85*('Weekly Summary'!AQ$52+'Weekly Summary'!AQ$53))+('Equipment List &amp; Usage'!$R85*'Weekly Summary'!AQ$64)+('Equipment List &amp; Usage'!$S85*'Weekly Summary'!AQ$65)+('Equipment List &amp; Usage'!$T85*('Weekly Summary'!AQ$64+'Weekly Summary'!AQ$65)),
('Equipment List &amp; Usage'!$O85*'Weekly Summary'!AQ$52)+('Equipment List &amp; Usage'!$P85*'Weekly Summary'!AQ$53)+('Equipment List &amp; Usage'!$Q85*('Weekly Summary'!AQ$52+'Weekly Summary'!AQ$53))+('Equipment List &amp; Usage'!$R85*'Weekly Summary'!AQ$64)+('Equipment List &amp; Usage'!$S85*'Weekly Summary'!AQ$65)+('Equipment List &amp; Usage'!$T85*('Weekly Summary'!AQ$64+'Weekly Summary'!AQ$65))-SUM($I83:AV83))),0)</f>
        <v>0</v>
      </c>
      <c r="AX83" s="1381">
        <f ca="1">MAX(IF($F83="No",('Equipment List &amp; Usage'!$O85*'Weekly Summary'!AR$52)+('Equipment List &amp; Usage'!$P85*'Weekly Summary'!AR$53)+('Equipment List &amp; Usage'!$Q85*('Weekly Summary'!AR$52+'Weekly Summary'!AR$53))+('Equipment List &amp; Usage'!$R85*'Weekly Summary'!AR$64)+('Equipment List &amp; Usage'!$S85*'Weekly Summary'!AR$65)+('Equipment List &amp; Usage'!$T85*('Weekly Summary'!AR$64+'Weekly Summary'!AR$65)),
IF(AX$10=0,('Equipment List &amp; Usage'!$O85*'Weekly Summary'!AR$52)+('Equipment List &amp; Usage'!$P85*'Weekly Summary'!AR$53)+('Equipment List &amp; Usage'!$Q85*('Weekly Summary'!AR$52+'Weekly Summary'!AR$53))+('Equipment List &amp; Usage'!$R85*'Weekly Summary'!AR$64)+('Equipment List &amp; Usage'!$S85*'Weekly Summary'!AR$65)+('Equipment List &amp; Usage'!$T85*('Weekly Summary'!AR$64+'Weekly Summary'!AR$65)),
('Equipment List &amp; Usage'!$O85*'Weekly Summary'!AR$52)+('Equipment List &amp; Usage'!$P85*'Weekly Summary'!AR$53)+('Equipment List &amp; Usage'!$Q85*('Weekly Summary'!AR$52+'Weekly Summary'!AR$53))+('Equipment List &amp; Usage'!$R85*'Weekly Summary'!AR$64)+('Equipment List &amp; Usage'!$S85*'Weekly Summary'!AR$65)+('Equipment List &amp; Usage'!$T85*('Weekly Summary'!AR$64+'Weekly Summary'!AR$65))-SUM($I83:AW83))),0)</f>
        <v>0</v>
      </c>
      <c r="AY83" s="1381">
        <f ca="1">MAX(IF($F83="No",('Equipment List &amp; Usage'!$O85*'Weekly Summary'!AS$52)+('Equipment List &amp; Usage'!$P85*'Weekly Summary'!AS$53)+('Equipment List &amp; Usage'!$Q85*('Weekly Summary'!AS$52+'Weekly Summary'!AS$53))+('Equipment List &amp; Usage'!$R85*'Weekly Summary'!AS$64)+('Equipment List &amp; Usage'!$S85*'Weekly Summary'!AS$65)+('Equipment List &amp; Usage'!$T85*('Weekly Summary'!AS$64+'Weekly Summary'!AS$65)),
IF(AY$10=0,('Equipment List &amp; Usage'!$O85*'Weekly Summary'!AS$52)+('Equipment List &amp; Usage'!$P85*'Weekly Summary'!AS$53)+('Equipment List &amp; Usage'!$Q85*('Weekly Summary'!AS$52+'Weekly Summary'!AS$53))+('Equipment List &amp; Usage'!$R85*'Weekly Summary'!AS$64)+('Equipment List &amp; Usage'!$S85*'Weekly Summary'!AS$65)+('Equipment List &amp; Usage'!$T85*('Weekly Summary'!AS$64+'Weekly Summary'!AS$65)),
('Equipment List &amp; Usage'!$O85*'Weekly Summary'!AS$52)+('Equipment List &amp; Usage'!$P85*'Weekly Summary'!AS$53)+('Equipment List &amp; Usage'!$Q85*('Weekly Summary'!AS$52+'Weekly Summary'!AS$53))+('Equipment List &amp; Usage'!$R85*'Weekly Summary'!AS$64)+('Equipment List &amp; Usage'!$S85*'Weekly Summary'!AS$65)+('Equipment List &amp; Usage'!$T85*('Weekly Summary'!AS$64+'Weekly Summary'!AS$65))-SUM($I83:AX83))),0)</f>
        <v>0</v>
      </c>
      <c r="AZ83" s="1381">
        <f ca="1">MAX(IF($F83="No",('Equipment List &amp; Usage'!$O85*'Weekly Summary'!AT$52)+('Equipment List &amp; Usage'!$P85*'Weekly Summary'!AT$53)+('Equipment List &amp; Usage'!$Q85*('Weekly Summary'!AT$52+'Weekly Summary'!AT$53))+('Equipment List &amp; Usage'!$R85*'Weekly Summary'!AT$64)+('Equipment List &amp; Usage'!$S85*'Weekly Summary'!AT$65)+('Equipment List &amp; Usage'!$T85*('Weekly Summary'!AT$64+'Weekly Summary'!AT$65)),
IF(AZ$10=0,('Equipment List &amp; Usage'!$O85*'Weekly Summary'!AT$52)+('Equipment List &amp; Usage'!$P85*'Weekly Summary'!AT$53)+('Equipment List &amp; Usage'!$Q85*('Weekly Summary'!AT$52+'Weekly Summary'!AT$53))+('Equipment List &amp; Usage'!$R85*'Weekly Summary'!AT$64)+('Equipment List &amp; Usage'!$S85*'Weekly Summary'!AT$65)+('Equipment List &amp; Usage'!$T85*('Weekly Summary'!AT$64+'Weekly Summary'!AT$65)),
('Equipment List &amp; Usage'!$O85*'Weekly Summary'!AT$52)+('Equipment List &amp; Usage'!$P85*'Weekly Summary'!AT$53)+('Equipment List &amp; Usage'!$Q85*('Weekly Summary'!AT$52+'Weekly Summary'!AT$53))+('Equipment List &amp; Usage'!$R85*'Weekly Summary'!AT$64)+('Equipment List &amp; Usage'!$S85*'Weekly Summary'!AT$65)+('Equipment List &amp; Usage'!$T85*('Weekly Summary'!AT$64+'Weekly Summary'!AT$65))-SUM($I83:AY83))),0)</f>
        <v>0</v>
      </c>
      <c r="BA83" s="1381">
        <f ca="1">MAX(IF($F83="No",('Equipment List &amp; Usage'!$O85*'Weekly Summary'!AU$52)+('Equipment List &amp; Usage'!$P85*'Weekly Summary'!AU$53)+('Equipment List &amp; Usage'!$Q85*('Weekly Summary'!AU$52+'Weekly Summary'!AU$53))+('Equipment List &amp; Usage'!$R85*'Weekly Summary'!AU$64)+('Equipment List &amp; Usage'!$S85*'Weekly Summary'!AU$65)+('Equipment List &amp; Usage'!$T85*('Weekly Summary'!AU$64+'Weekly Summary'!AU$65)),
IF(BA$10=0,('Equipment List &amp; Usage'!$O85*'Weekly Summary'!AU$52)+('Equipment List &amp; Usage'!$P85*'Weekly Summary'!AU$53)+('Equipment List &amp; Usage'!$Q85*('Weekly Summary'!AU$52+'Weekly Summary'!AU$53))+('Equipment List &amp; Usage'!$R85*'Weekly Summary'!AU$64)+('Equipment List &amp; Usage'!$S85*'Weekly Summary'!AU$65)+('Equipment List &amp; Usage'!$T85*('Weekly Summary'!AU$64+'Weekly Summary'!AU$65)),
('Equipment List &amp; Usage'!$O85*'Weekly Summary'!AU$52)+('Equipment List &amp; Usage'!$P85*'Weekly Summary'!AU$53)+('Equipment List &amp; Usage'!$Q85*('Weekly Summary'!AU$52+'Weekly Summary'!AU$53))+('Equipment List &amp; Usage'!$R85*'Weekly Summary'!AU$64)+('Equipment List &amp; Usage'!$S85*'Weekly Summary'!AU$65)+('Equipment List &amp; Usage'!$T85*('Weekly Summary'!AU$64+'Weekly Summary'!AU$65))-SUM($I83:AZ83))),0)</f>
        <v>0</v>
      </c>
      <c r="BB83" s="1381">
        <f ca="1">MAX(IF($F83="No",('Equipment List &amp; Usage'!$O85*'Weekly Summary'!AV$52)+('Equipment List &amp; Usage'!$P85*'Weekly Summary'!AV$53)+('Equipment List &amp; Usage'!$Q85*('Weekly Summary'!AV$52+'Weekly Summary'!AV$53))+('Equipment List &amp; Usage'!$R85*'Weekly Summary'!AV$64)+('Equipment List &amp; Usage'!$S85*'Weekly Summary'!AV$65)+('Equipment List &amp; Usage'!$T85*('Weekly Summary'!AV$64+'Weekly Summary'!AV$65)),
IF(BB$10=0,('Equipment List &amp; Usage'!$O85*'Weekly Summary'!AV$52)+('Equipment List &amp; Usage'!$P85*'Weekly Summary'!AV$53)+('Equipment List &amp; Usage'!$Q85*('Weekly Summary'!AV$52+'Weekly Summary'!AV$53))+('Equipment List &amp; Usage'!$R85*'Weekly Summary'!AV$64)+('Equipment List &amp; Usage'!$S85*'Weekly Summary'!AV$65)+('Equipment List &amp; Usage'!$T85*('Weekly Summary'!AV$64+'Weekly Summary'!AV$65)),
('Equipment List &amp; Usage'!$O85*'Weekly Summary'!AV$52)+('Equipment List &amp; Usage'!$P85*'Weekly Summary'!AV$53)+('Equipment List &amp; Usage'!$Q85*('Weekly Summary'!AV$52+'Weekly Summary'!AV$53))+('Equipment List &amp; Usage'!$R85*'Weekly Summary'!AV$64)+('Equipment List &amp; Usage'!$S85*'Weekly Summary'!AV$65)+('Equipment List &amp; Usage'!$T85*('Weekly Summary'!AV$64+'Weekly Summary'!AV$65))-SUM($I83:BA83))),0)</f>
        <v>0</v>
      </c>
      <c r="BC83" s="1381">
        <f ca="1">MAX(IF($F83="No",('Equipment List &amp; Usage'!$O85*'Weekly Summary'!AW$52)+('Equipment List &amp; Usage'!$P85*'Weekly Summary'!AW$53)+('Equipment List &amp; Usage'!$Q85*('Weekly Summary'!AW$52+'Weekly Summary'!AW$53))+('Equipment List &amp; Usage'!$R85*'Weekly Summary'!AW$64)+('Equipment List &amp; Usage'!$S85*'Weekly Summary'!AW$65)+('Equipment List &amp; Usage'!$T85*('Weekly Summary'!AW$64+'Weekly Summary'!AW$65)),
IF(BC$10=0,('Equipment List &amp; Usage'!$O85*'Weekly Summary'!AW$52)+('Equipment List &amp; Usage'!$P85*'Weekly Summary'!AW$53)+('Equipment List &amp; Usage'!$Q85*('Weekly Summary'!AW$52+'Weekly Summary'!AW$53))+('Equipment List &amp; Usage'!$R85*'Weekly Summary'!AW$64)+('Equipment List &amp; Usage'!$S85*'Weekly Summary'!AW$65)+('Equipment List &amp; Usage'!$T85*('Weekly Summary'!AW$64+'Weekly Summary'!AW$65)),
('Equipment List &amp; Usage'!$O85*'Weekly Summary'!AW$52)+('Equipment List &amp; Usage'!$P85*'Weekly Summary'!AW$53)+('Equipment List &amp; Usage'!$Q85*('Weekly Summary'!AW$52+'Weekly Summary'!AW$53))+('Equipment List &amp; Usage'!$R85*'Weekly Summary'!AW$64)+('Equipment List &amp; Usage'!$S85*'Weekly Summary'!AW$65)+('Equipment List &amp; Usage'!$T85*('Weekly Summary'!AW$64+'Weekly Summary'!AW$65))-SUM($I83:BB83))),0)</f>
        <v>0</v>
      </c>
      <c r="BD83" s="1381">
        <f ca="1">MAX(IF($F83="No",('Equipment List &amp; Usage'!$O85*'Weekly Summary'!AX$52)+('Equipment List &amp; Usage'!$P85*'Weekly Summary'!AX$53)+('Equipment List &amp; Usage'!$Q85*('Weekly Summary'!AX$52+'Weekly Summary'!AX$53))+('Equipment List &amp; Usage'!$R85*'Weekly Summary'!AX$64)+('Equipment List &amp; Usage'!$S85*'Weekly Summary'!AX$65)+('Equipment List &amp; Usage'!$T85*('Weekly Summary'!AX$64+'Weekly Summary'!AX$65)),
IF(BD$10=0,('Equipment List &amp; Usage'!$O85*'Weekly Summary'!AX$52)+('Equipment List &amp; Usage'!$P85*'Weekly Summary'!AX$53)+('Equipment List &amp; Usage'!$Q85*('Weekly Summary'!AX$52+'Weekly Summary'!AX$53))+('Equipment List &amp; Usage'!$R85*'Weekly Summary'!AX$64)+('Equipment List &amp; Usage'!$S85*'Weekly Summary'!AX$65)+('Equipment List &amp; Usage'!$T85*('Weekly Summary'!AX$64+'Weekly Summary'!AX$65)),
('Equipment List &amp; Usage'!$O85*'Weekly Summary'!AX$52)+('Equipment List &amp; Usage'!$P85*'Weekly Summary'!AX$53)+('Equipment List &amp; Usage'!$Q85*('Weekly Summary'!AX$52+'Weekly Summary'!AX$53))+('Equipment List &amp; Usage'!$R85*'Weekly Summary'!AX$64)+('Equipment List &amp; Usage'!$S85*'Weekly Summary'!AX$65)+('Equipment List &amp; Usage'!$T85*('Weekly Summary'!AX$64+'Weekly Summary'!AX$65))-SUM($I83:BC83))),0)</f>
        <v>0</v>
      </c>
      <c r="BE83" s="1381">
        <f ca="1">MAX(IF($F83="No",('Equipment List &amp; Usage'!$O85*'Weekly Summary'!AY$52)+('Equipment List &amp; Usage'!$P85*'Weekly Summary'!AY$53)+('Equipment List &amp; Usage'!$Q85*('Weekly Summary'!AY$52+'Weekly Summary'!AY$53))+('Equipment List &amp; Usage'!$R85*'Weekly Summary'!AY$64)+('Equipment List &amp; Usage'!$S85*'Weekly Summary'!AY$65)+('Equipment List &amp; Usage'!$T85*('Weekly Summary'!AY$64+'Weekly Summary'!AY$65)),
IF(BE$10=0,('Equipment List &amp; Usage'!$O85*'Weekly Summary'!AY$52)+('Equipment List &amp; Usage'!$P85*'Weekly Summary'!AY$53)+('Equipment List &amp; Usage'!$Q85*('Weekly Summary'!AY$52+'Weekly Summary'!AY$53))+('Equipment List &amp; Usage'!$R85*'Weekly Summary'!AY$64)+('Equipment List &amp; Usage'!$S85*'Weekly Summary'!AY$65)+('Equipment List &amp; Usage'!$T85*('Weekly Summary'!AY$64+'Weekly Summary'!AY$65)),
('Equipment List &amp; Usage'!$O85*'Weekly Summary'!AY$52)+('Equipment List &amp; Usage'!$P85*'Weekly Summary'!AY$53)+('Equipment List &amp; Usage'!$Q85*('Weekly Summary'!AY$52+'Weekly Summary'!AY$53))+('Equipment List &amp; Usage'!$R85*'Weekly Summary'!AY$64)+('Equipment List &amp; Usage'!$S85*'Weekly Summary'!AY$65)+('Equipment List &amp; Usage'!$T85*('Weekly Summary'!AY$64+'Weekly Summary'!AY$65))-SUM($I83:BD83))),0)</f>
        <v>0</v>
      </c>
      <c r="BF83" s="1381">
        <f ca="1">MAX(IF($F83="No",('Equipment List &amp; Usage'!$O85*'Weekly Summary'!AZ$52)+('Equipment List &amp; Usage'!$P85*'Weekly Summary'!AZ$53)+('Equipment List &amp; Usage'!$Q85*('Weekly Summary'!AZ$52+'Weekly Summary'!AZ$53))+('Equipment List &amp; Usage'!$R85*'Weekly Summary'!AZ$64)+('Equipment List &amp; Usage'!$S85*'Weekly Summary'!AZ$65)+('Equipment List &amp; Usage'!$T85*('Weekly Summary'!AZ$64+'Weekly Summary'!AZ$65)),
IF(BF$10=0,('Equipment List &amp; Usage'!$O85*'Weekly Summary'!AZ$52)+('Equipment List &amp; Usage'!$P85*'Weekly Summary'!AZ$53)+('Equipment List &amp; Usage'!$Q85*('Weekly Summary'!AZ$52+'Weekly Summary'!AZ$53))+('Equipment List &amp; Usage'!$R85*'Weekly Summary'!AZ$64)+('Equipment List &amp; Usage'!$S85*'Weekly Summary'!AZ$65)+('Equipment List &amp; Usage'!$T85*('Weekly Summary'!AZ$64+'Weekly Summary'!AZ$65)),
('Equipment List &amp; Usage'!$O85*'Weekly Summary'!AZ$52)+('Equipment List &amp; Usage'!$P85*'Weekly Summary'!AZ$53)+('Equipment List &amp; Usage'!$Q85*('Weekly Summary'!AZ$52+'Weekly Summary'!AZ$53))+('Equipment List &amp; Usage'!$R85*'Weekly Summary'!AZ$64)+('Equipment List &amp; Usage'!$S85*'Weekly Summary'!AZ$65)+('Equipment List &amp; Usage'!$T85*('Weekly Summary'!AZ$64+'Weekly Summary'!AZ$65))-SUM($I83:BE83))),0)</f>
        <v>0</v>
      </c>
      <c r="BG83" s="1381">
        <f ca="1">MAX(IF($F83="No",('Equipment List &amp; Usage'!$O85*'Weekly Summary'!BA$52)+('Equipment List &amp; Usage'!$P85*'Weekly Summary'!BA$53)+('Equipment List &amp; Usage'!$Q85*('Weekly Summary'!BA$52+'Weekly Summary'!BA$53))+('Equipment List &amp; Usage'!$R85*'Weekly Summary'!BA$64)+('Equipment List &amp; Usage'!$S85*'Weekly Summary'!BA$65)+('Equipment List &amp; Usage'!$T85*('Weekly Summary'!BA$64+'Weekly Summary'!BA$65)),
IF(BG$10=0,('Equipment List &amp; Usage'!$O85*'Weekly Summary'!BA$52)+('Equipment List &amp; Usage'!$P85*'Weekly Summary'!BA$53)+('Equipment List &amp; Usage'!$Q85*('Weekly Summary'!BA$52+'Weekly Summary'!BA$53))+('Equipment List &amp; Usage'!$R85*'Weekly Summary'!BA$64)+('Equipment List &amp; Usage'!$S85*'Weekly Summary'!BA$65)+('Equipment List &amp; Usage'!$T85*('Weekly Summary'!BA$64+'Weekly Summary'!BA$65)),
('Equipment List &amp; Usage'!$O85*'Weekly Summary'!BA$52)+('Equipment List &amp; Usage'!$P85*'Weekly Summary'!BA$53)+('Equipment List &amp; Usage'!$Q85*('Weekly Summary'!BA$52+'Weekly Summary'!BA$53))+('Equipment List &amp; Usage'!$R85*'Weekly Summary'!BA$64)+('Equipment List &amp; Usage'!$S85*'Weekly Summary'!BA$65)+('Equipment List &amp; Usage'!$T85*('Weekly Summary'!BA$64+'Weekly Summary'!BA$65))-SUM($I83:BF83))),0)</f>
        <v>0</v>
      </c>
      <c r="BH83" s="1381">
        <f ca="1">MAX(IF($F83="No",('Equipment List &amp; Usage'!$O85*'Weekly Summary'!BB$52)+('Equipment List &amp; Usage'!$P85*'Weekly Summary'!BB$53)+('Equipment List &amp; Usage'!$Q85*('Weekly Summary'!BB$52+'Weekly Summary'!BB$53))+('Equipment List &amp; Usage'!$R85*'Weekly Summary'!BB$64)+('Equipment List &amp; Usage'!$S85*'Weekly Summary'!BB$65)+('Equipment List &amp; Usage'!$T85*('Weekly Summary'!BB$64+'Weekly Summary'!BB$65)),
IF(BH$10=0,('Equipment List &amp; Usage'!$O85*'Weekly Summary'!BB$52)+('Equipment List &amp; Usage'!$P85*'Weekly Summary'!BB$53)+('Equipment List &amp; Usage'!$Q85*('Weekly Summary'!BB$52+'Weekly Summary'!BB$53))+('Equipment List &amp; Usage'!$R85*'Weekly Summary'!BB$64)+('Equipment List &amp; Usage'!$S85*'Weekly Summary'!BB$65)+('Equipment List &amp; Usage'!$T85*('Weekly Summary'!BB$64+'Weekly Summary'!BB$65)),
('Equipment List &amp; Usage'!$O85*'Weekly Summary'!BB$52)+('Equipment List &amp; Usage'!$P85*'Weekly Summary'!BB$53)+('Equipment List &amp; Usage'!$Q85*('Weekly Summary'!BB$52+'Weekly Summary'!BB$53))+('Equipment List &amp; Usage'!$R85*'Weekly Summary'!BB$64)+('Equipment List &amp; Usage'!$S85*'Weekly Summary'!BB$65)+('Equipment List &amp; Usage'!$T85*('Weekly Summary'!BB$64+'Weekly Summary'!BB$65))-SUM($I83:BG83))),0)</f>
        <v>0</v>
      </c>
      <c r="BI83" s="1381">
        <f ca="1">MAX(IF($F83="No",('Equipment List &amp; Usage'!$O85*'Weekly Summary'!BC$52)+('Equipment List &amp; Usage'!$P85*'Weekly Summary'!BC$53)+('Equipment List &amp; Usage'!$Q85*('Weekly Summary'!BC$52+'Weekly Summary'!BC$53))+('Equipment List &amp; Usage'!$R85*'Weekly Summary'!BC$64)+('Equipment List &amp; Usage'!$S85*'Weekly Summary'!BC$65)+('Equipment List &amp; Usage'!$T85*('Weekly Summary'!BC$64+'Weekly Summary'!BC$65)),
IF(BI$10=0,('Equipment List &amp; Usage'!$O85*'Weekly Summary'!BC$52)+('Equipment List &amp; Usage'!$P85*'Weekly Summary'!BC$53)+('Equipment List &amp; Usage'!$Q85*('Weekly Summary'!BC$52+'Weekly Summary'!BC$53))+('Equipment List &amp; Usage'!$R85*'Weekly Summary'!BC$64)+('Equipment List &amp; Usage'!$S85*'Weekly Summary'!BC$65)+('Equipment List &amp; Usage'!$T85*('Weekly Summary'!BC$64+'Weekly Summary'!BC$65)),
('Equipment List &amp; Usage'!$O85*'Weekly Summary'!BC$52)+('Equipment List &amp; Usage'!$P85*'Weekly Summary'!BC$53)+('Equipment List &amp; Usage'!$Q85*('Weekly Summary'!BC$52+'Weekly Summary'!BC$53))+('Equipment List &amp; Usage'!$R85*'Weekly Summary'!BC$64)+('Equipment List &amp; Usage'!$S85*'Weekly Summary'!BC$65)+('Equipment List &amp; Usage'!$T85*('Weekly Summary'!BC$64+'Weekly Summary'!BC$65))-SUM($I83:BH83))),0)</f>
        <v>0</v>
      </c>
      <c r="BJ83" s="1382">
        <f ca="1">MAX(IF($F83="No",('Equipment List &amp; Usage'!$O85*'Weekly Summary'!BD$52)+('Equipment List &amp; Usage'!$P85*'Weekly Summary'!BD$53)+('Equipment List &amp; Usage'!$Q85*('Weekly Summary'!BD$52+'Weekly Summary'!BD$53))+('Equipment List &amp; Usage'!$R85*'Weekly Summary'!BD$64)+('Equipment List &amp; Usage'!$S85*'Weekly Summary'!BD$65)+('Equipment List &amp; Usage'!$T85*('Weekly Summary'!BD$64+'Weekly Summary'!BD$65)),
IF(BJ$10=0,('Equipment List &amp; Usage'!$O85*'Weekly Summary'!BD$52)+('Equipment List &amp; Usage'!$P85*'Weekly Summary'!BD$53)+('Equipment List &amp; Usage'!$Q85*('Weekly Summary'!BD$52+'Weekly Summary'!BD$53))+('Equipment List &amp; Usage'!$R85*'Weekly Summary'!BD$64)+('Equipment List &amp; Usage'!$S85*'Weekly Summary'!BD$65)+('Equipment List &amp; Usage'!$T85*('Weekly Summary'!BD$64+'Weekly Summary'!BD$65)),
('Equipment List &amp; Usage'!$O85*'Weekly Summary'!BD$52)+('Equipment List &amp; Usage'!$P85*'Weekly Summary'!BD$53)+('Equipment List &amp; Usage'!$Q85*('Weekly Summary'!BD$52+'Weekly Summary'!BD$53))+('Equipment List &amp; Usage'!$R85*'Weekly Summary'!BD$64)+('Equipment List &amp; Usage'!$S85*'Weekly Summary'!BD$65)+('Equipment List &amp; Usage'!$T85*('Weekly Summary'!BD$64+'Weekly Summary'!BD$65))-SUM($I83:BI83))),0)</f>
        <v>0</v>
      </c>
    </row>
    <row r="84" spans="2:62" ht="44" thickBot="1" x14ac:dyDescent="0.4">
      <c r="B84" s="736" t="str">
        <f>'Equipment List &amp; Usage'!B86</f>
        <v>Case management - accessories &amp; consumables</v>
      </c>
      <c r="C84" s="737" t="str">
        <f>'Equipment List &amp; Usage'!C86</f>
        <v>Airway Management &amp; Intubation</v>
      </c>
      <c r="D84" s="737" t="str">
        <f>'Equipment List &amp; Usage'!D86</f>
        <v>Lubricating jelly - for critical patient gastro-enteral feeding and airway management &amp; intubation</v>
      </c>
      <c r="E84" s="737" t="str">
        <f>'Equipment List &amp; Usage'!E86</f>
        <v>Each</v>
      </c>
      <c r="F84" s="737" t="str">
        <f>'Equipment List &amp; Usage'!F86</f>
        <v>No</v>
      </c>
      <c r="G84" s="737" t="str">
        <f>'Equipment List &amp; Usage'!G86</f>
        <v>N/A</v>
      </c>
      <c r="H84" s="1373">
        <f t="shared" ca="1" si="3"/>
        <v>5.0307324987587396</v>
      </c>
      <c r="J84" s="1345"/>
      <c r="K84" s="1383">
        <f ca="1">IF('User Dashboard'!$H$13=1,0,MAX(IF($F84="No",('Equipment List &amp; Usage'!$O86*'Weekly Summary'!E$52)+('Equipment List &amp; Usage'!$P86*'Weekly Summary'!E$53)+('Equipment List &amp; Usage'!$Q86*('Weekly Summary'!E$52+'Weekly Summary'!E$53))+('Equipment List &amp; Usage'!$R86*'Weekly Summary'!E$64)+('Equipment List &amp; Usage'!$S86*'Weekly Summary'!E$65)+('Equipment List &amp; Usage'!$T86*('Weekly Summary'!E$64+'Weekly Summary'!E$65)),
IF(K$10=0,('Equipment List &amp; Usage'!$O86*'Weekly Summary'!E$52)+('Equipment List &amp; Usage'!$P86*'Weekly Summary'!E$53)+('Equipment List &amp; Usage'!$Q86*('Weekly Summary'!E$52+'Weekly Summary'!E$53))+('Equipment List &amp; Usage'!$R86*'Weekly Summary'!E$64)+('Equipment List &amp; Usage'!$S86*'Weekly Summary'!E$65)+('Equipment List &amp; Usage'!$T86*('Weekly Summary'!E$64+'Weekly Summary'!E$65)),
('Equipment List &amp; Usage'!$O86*'Weekly Summary'!E$52)+('Equipment List &amp; Usage'!$P86*'Weekly Summary'!E$53)+('Equipment List &amp; Usage'!$Q86*('Weekly Summary'!E$52+'Weekly Summary'!E$53))+('Equipment List &amp; Usage'!$R86*'Weekly Summary'!E$64)+('Equipment List &amp; Usage'!$S86*'Weekly Summary'!E$65)+('Equipment List &amp; Usage'!$T86*('Weekly Summary'!E$64+'Weekly Summary'!E$65))-SUM($I84:I84))),0))</f>
        <v>7.4509686042021281E-3</v>
      </c>
      <c r="L84" s="1383">
        <f ca="1">MAX(IF($F84="No",('Equipment List &amp; Usage'!$O86*'Weekly Summary'!F$52)+('Equipment List &amp; Usage'!$P86*'Weekly Summary'!F$53)+('Equipment List &amp; Usage'!$Q86*('Weekly Summary'!F$52+'Weekly Summary'!F$53))+('Equipment List &amp; Usage'!$R86*'Weekly Summary'!F$64)+('Equipment List &amp; Usage'!$S86*'Weekly Summary'!F$65)+('Equipment List &amp; Usage'!$T86*('Weekly Summary'!F$64+'Weekly Summary'!F$65)),
IF(L$10=0,('Equipment List &amp; Usage'!$O86*'Weekly Summary'!F$52)+('Equipment List &amp; Usage'!$P86*'Weekly Summary'!F$53)+('Equipment List &amp; Usage'!$Q86*('Weekly Summary'!F$52+'Weekly Summary'!F$53))+('Equipment List &amp; Usage'!$R86*'Weekly Summary'!F$64)+('Equipment List &amp; Usage'!$S86*'Weekly Summary'!F$65)+('Equipment List &amp; Usage'!$T86*('Weekly Summary'!F$64+'Weekly Summary'!F$65)),
('Equipment List &amp; Usage'!$O86*'Weekly Summary'!F$52)+('Equipment List &amp; Usage'!$P86*'Weekly Summary'!F$53)+('Equipment List &amp; Usage'!$Q86*('Weekly Summary'!F$52+'Weekly Summary'!F$53))+('Equipment List &amp; Usage'!$R86*'Weekly Summary'!F$64)+('Equipment List &amp; Usage'!$S86*'Weekly Summary'!F$65)+('Equipment List &amp; Usage'!$T86*('Weekly Summary'!F$64+'Weekly Summary'!F$65))-SUM($I84:K84))),0)</f>
        <v>2.5605314174145612E-2</v>
      </c>
      <c r="M84" s="1383">
        <f ca="1">MAX(IF($F84="No",('Equipment List &amp; Usage'!$O86*'Weekly Summary'!G$52)+('Equipment List &amp; Usage'!$P86*'Weekly Summary'!G$53)+('Equipment List &amp; Usage'!$Q86*('Weekly Summary'!G$52+'Weekly Summary'!G$53))+('Equipment List &amp; Usage'!$R86*'Weekly Summary'!G$64)+('Equipment List &amp; Usage'!$S86*'Weekly Summary'!G$65)+('Equipment List &amp; Usage'!$T86*('Weekly Summary'!G$64+'Weekly Summary'!G$65)),
IF(M$10=0,('Equipment List &amp; Usage'!$O86*'Weekly Summary'!G$52)+('Equipment List &amp; Usage'!$P86*'Weekly Summary'!G$53)+('Equipment List &amp; Usage'!$Q86*('Weekly Summary'!G$52+'Weekly Summary'!G$53))+('Equipment List &amp; Usage'!$R86*'Weekly Summary'!G$64)+('Equipment List &amp; Usage'!$S86*'Weekly Summary'!G$65)+('Equipment List &amp; Usage'!$T86*('Weekly Summary'!G$64+'Weekly Summary'!G$65)),
('Equipment List &amp; Usage'!$O86*'Weekly Summary'!G$52)+('Equipment List &amp; Usage'!$P86*'Weekly Summary'!G$53)+('Equipment List &amp; Usage'!$Q86*('Weekly Summary'!G$52+'Weekly Summary'!G$53))+('Equipment List &amp; Usage'!$R86*'Weekly Summary'!G$64)+('Equipment List &amp; Usage'!$S86*'Weekly Summary'!G$65)+('Equipment List &amp; Usage'!$T86*('Weekly Summary'!G$64+'Weekly Summary'!G$65))-SUM($I84:L84))),0)</f>
        <v>8.7992019274607619E-2</v>
      </c>
      <c r="N84" s="1383">
        <f ca="1">MAX(IF($F84="No",('Equipment List &amp; Usage'!$O86*'Weekly Summary'!H$52)+('Equipment List &amp; Usage'!$P86*'Weekly Summary'!H$53)+('Equipment List &amp; Usage'!$Q86*('Weekly Summary'!H$52+'Weekly Summary'!H$53))+('Equipment List &amp; Usage'!$R86*'Weekly Summary'!H$64)+('Equipment List &amp; Usage'!$S86*'Weekly Summary'!H$65)+('Equipment List &amp; Usage'!$T86*('Weekly Summary'!H$64+'Weekly Summary'!H$65)),
IF(N$10=0,('Equipment List &amp; Usage'!$O86*'Weekly Summary'!H$52)+('Equipment List &amp; Usage'!$P86*'Weekly Summary'!H$53)+('Equipment List &amp; Usage'!$Q86*('Weekly Summary'!H$52+'Weekly Summary'!H$53))+('Equipment List &amp; Usage'!$R86*'Weekly Summary'!H$64)+('Equipment List &amp; Usage'!$S86*'Weekly Summary'!H$65)+('Equipment List &amp; Usage'!$T86*('Weekly Summary'!H$64+'Weekly Summary'!H$65)),
('Equipment List &amp; Usage'!$O86*'Weekly Summary'!H$52)+('Equipment List &amp; Usage'!$P86*'Weekly Summary'!H$53)+('Equipment List &amp; Usage'!$Q86*('Weekly Summary'!H$52+'Weekly Summary'!H$53))+('Equipment List &amp; Usage'!$R86*'Weekly Summary'!H$64)+('Equipment List &amp; Usage'!$S86*'Weekly Summary'!H$65)+('Equipment List &amp; Usage'!$T86*('Weekly Summary'!H$64+'Weekly Summary'!H$65))-SUM($I84:M84))),0)</f>
        <v>0.30237231527998615</v>
      </c>
      <c r="O84" s="1383">
        <f ca="1">MAX(IF($F84="No",('Equipment List &amp; Usage'!$O86*'Weekly Summary'!I$52)+('Equipment List &amp; Usage'!$P86*'Weekly Summary'!I$53)+('Equipment List &amp; Usage'!$Q86*('Weekly Summary'!I$52+'Weekly Summary'!I$53))+('Equipment List &amp; Usage'!$R86*'Weekly Summary'!I$64)+('Equipment List &amp; Usage'!$S86*'Weekly Summary'!I$65)+('Equipment List &amp; Usage'!$T86*('Weekly Summary'!I$64+'Weekly Summary'!I$65)),
IF(O$10=0,('Equipment List &amp; Usage'!$O86*'Weekly Summary'!I$52)+('Equipment List &amp; Usage'!$P86*'Weekly Summary'!I$53)+('Equipment List &amp; Usage'!$Q86*('Weekly Summary'!I$52+'Weekly Summary'!I$53))+('Equipment List &amp; Usage'!$R86*'Weekly Summary'!I$64)+('Equipment List &amp; Usage'!$S86*'Weekly Summary'!I$65)+('Equipment List &amp; Usage'!$T86*('Weekly Summary'!I$64+'Weekly Summary'!I$65)),
('Equipment List &amp; Usage'!$O86*'Weekly Summary'!I$52)+('Equipment List &amp; Usage'!$P86*'Weekly Summary'!I$53)+('Equipment List &amp; Usage'!$Q86*('Weekly Summary'!I$52+'Weekly Summary'!I$53))+('Equipment List &amp; Usage'!$R86*'Weekly Summary'!I$64)+('Equipment List &amp; Usage'!$S86*'Weekly Summary'!I$65)+('Equipment List &amp; Usage'!$T86*('Weekly Summary'!I$64+'Weekly Summary'!I$65))-SUM($I84:N84))),0)</f>
        <v>1.0389416747423708</v>
      </c>
      <c r="P84" s="1383">
        <f ca="1">MAX(IF($F84="No",('Equipment List &amp; Usage'!$O86*'Weekly Summary'!J$52)+('Equipment List &amp; Usage'!$P86*'Weekly Summary'!J$53)+('Equipment List &amp; Usage'!$Q86*('Weekly Summary'!J$52+'Weekly Summary'!J$53))+('Equipment List &amp; Usage'!$R86*'Weekly Summary'!J$64)+('Equipment List &amp; Usage'!$S86*'Weekly Summary'!J$65)+('Equipment List &amp; Usage'!$T86*('Weekly Summary'!J$64+'Weekly Summary'!J$65)),
IF(P$10=0,('Equipment List &amp; Usage'!$O86*'Weekly Summary'!J$52)+('Equipment List &amp; Usage'!$P86*'Weekly Summary'!J$53)+('Equipment List &amp; Usage'!$Q86*('Weekly Summary'!J$52+'Weekly Summary'!J$53))+('Equipment List &amp; Usage'!$R86*'Weekly Summary'!J$64)+('Equipment List &amp; Usage'!$S86*'Weekly Summary'!J$65)+('Equipment List &amp; Usage'!$T86*('Weekly Summary'!J$64+'Weekly Summary'!J$65)),
('Equipment List &amp; Usage'!$O86*'Weekly Summary'!J$52)+('Equipment List &amp; Usage'!$P86*'Weekly Summary'!J$53)+('Equipment List &amp; Usage'!$Q86*('Weekly Summary'!J$52+'Weekly Summary'!J$53))+('Equipment List &amp; Usage'!$R86*'Weekly Summary'!J$64)+('Equipment List &amp; Usage'!$S86*'Weekly Summary'!J$65)+('Equipment List &amp; Usage'!$T86*('Weekly Summary'!J$64+'Weekly Summary'!J$65))-SUM($I84:O84))),0)</f>
        <v>3.5683702066834275</v>
      </c>
      <c r="Q84" s="1383">
        <f ca="1">MAX(IF($F84="No",('Equipment List &amp; Usage'!$O86*'Weekly Summary'!K$52)+('Equipment List &amp; Usage'!$P86*'Weekly Summary'!K$53)+('Equipment List &amp; Usage'!$Q86*('Weekly Summary'!K$52+'Weekly Summary'!K$53))+('Equipment List &amp; Usage'!$R86*'Weekly Summary'!K$64)+('Equipment List &amp; Usage'!$S86*'Weekly Summary'!K$65)+('Equipment List &amp; Usage'!$T86*('Weekly Summary'!K$64+'Weekly Summary'!K$65)),
IF(Q$10=0,('Equipment List &amp; Usage'!$O86*'Weekly Summary'!K$52)+('Equipment List &amp; Usage'!$P86*'Weekly Summary'!K$53)+('Equipment List &amp; Usage'!$Q86*('Weekly Summary'!K$52+'Weekly Summary'!K$53))+('Equipment List &amp; Usage'!$R86*'Weekly Summary'!K$64)+('Equipment List &amp; Usage'!$S86*'Weekly Summary'!K$65)+('Equipment List &amp; Usage'!$T86*('Weekly Summary'!K$64+'Weekly Summary'!K$65)),
('Equipment List &amp; Usage'!$O86*'Weekly Summary'!K$52)+('Equipment List &amp; Usage'!$P86*'Weekly Summary'!K$53)+('Equipment List &amp; Usage'!$Q86*('Weekly Summary'!K$52+'Weekly Summary'!K$53))+('Equipment List &amp; Usage'!$R86*'Weekly Summary'!K$64)+('Equipment List &amp; Usage'!$S86*'Weekly Summary'!K$65)+('Equipment List &amp; Usage'!$T86*('Weekly Summary'!K$64+'Weekly Summary'!K$65))-SUM($I84:P84))),0)</f>
        <v>0</v>
      </c>
      <c r="R84" s="1383">
        <f ca="1">MAX(IF($F84="No",('Equipment List &amp; Usage'!$O86*'Weekly Summary'!L$52)+('Equipment List &amp; Usage'!$P86*'Weekly Summary'!L$53)+('Equipment List &amp; Usage'!$Q86*('Weekly Summary'!L$52+'Weekly Summary'!L$53))+('Equipment List &amp; Usage'!$R86*'Weekly Summary'!L$64)+('Equipment List &amp; Usage'!$S86*'Weekly Summary'!L$65)+('Equipment List &amp; Usage'!$T86*('Weekly Summary'!L$64+'Weekly Summary'!L$65)),
IF(R$10=0,('Equipment List &amp; Usage'!$O86*'Weekly Summary'!L$52)+('Equipment List &amp; Usage'!$P86*'Weekly Summary'!L$53)+('Equipment List &amp; Usage'!$Q86*('Weekly Summary'!L$52+'Weekly Summary'!L$53))+('Equipment List &amp; Usage'!$R86*'Weekly Summary'!L$64)+('Equipment List &amp; Usage'!$S86*'Weekly Summary'!L$65)+('Equipment List &amp; Usage'!$T86*('Weekly Summary'!L$64+'Weekly Summary'!L$65)),
('Equipment List &amp; Usage'!$O86*'Weekly Summary'!L$52)+('Equipment List &amp; Usage'!$P86*'Weekly Summary'!L$53)+('Equipment List &amp; Usage'!$Q86*('Weekly Summary'!L$52+'Weekly Summary'!L$53))+('Equipment List &amp; Usage'!$R86*'Weekly Summary'!L$64)+('Equipment List &amp; Usage'!$S86*'Weekly Summary'!L$65)+('Equipment List &amp; Usage'!$T86*('Weekly Summary'!L$64+'Weekly Summary'!L$65))-SUM($I84:Q84))),0)</f>
        <v>0</v>
      </c>
      <c r="S84" s="1383">
        <f ca="1">MAX(IF($F84="No",('Equipment List &amp; Usage'!$O86*'Weekly Summary'!M$52)+('Equipment List &amp; Usage'!$P86*'Weekly Summary'!M$53)+('Equipment List &amp; Usage'!$Q86*('Weekly Summary'!M$52+'Weekly Summary'!M$53))+('Equipment List &amp; Usage'!$R86*'Weekly Summary'!M$64)+('Equipment List &amp; Usage'!$S86*'Weekly Summary'!M$65)+('Equipment List &amp; Usage'!$T86*('Weekly Summary'!M$64+'Weekly Summary'!M$65)),
IF(S$10=0,('Equipment List &amp; Usage'!$O86*'Weekly Summary'!M$52)+('Equipment List &amp; Usage'!$P86*'Weekly Summary'!M$53)+('Equipment List &amp; Usage'!$Q86*('Weekly Summary'!M$52+'Weekly Summary'!M$53))+('Equipment List &amp; Usage'!$R86*'Weekly Summary'!M$64)+('Equipment List &amp; Usage'!$S86*'Weekly Summary'!M$65)+('Equipment List &amp; Usage'!$T86*('Weekly Summary'!M$64+'Weekly Summary'!M$65)),
('Equipment List &amp; Usage'!$O86*'Weekly Summary'!M$52)+('Equipment List &amp; Usage'!$P86*'Weekly Summary'!M$53)+('Equipment List &amp; Usage'!$Q86*('Weekly Summary'!M$52+'Weekly Summary'!M$53))+('Equipment List &amp; Usage'!$R86*'Weekly Summary'!M$64)+('Equipment List &amp; Usage'!$S86*'Weekly Summary'!M$65)+('Equipment List &amp; Usage'!$T86*('Weekly Summary'!M$64+'Weekly Summary'!M$65))-SUM($I84:R84))),0)</f>
        <v>0</v>
      </c>
      <c r="T84" s="1383">
        <f ca="1">MAX(IF($F84="No",('Equipment List &amp; Usage'!$O86*'Weekly Summary'!N$52)+('Equipment List &amp; Usage'!$P86*'Weekly Summary'!N$53)+('Equipment List &amp; Usage'!$Q86*('Weekly Summary'!N$52+'Weekly Summary'!N$53))+('Equipment List &amp; Usage'!$R86*'Weekly Summary'!N$64)+('Equipment List &amp; Usage'!$S86*'Weekly Summary'!N$65)+('Equipment List &amp; Usage'!$T86*('Weekly Summary'!N$64+'Weekly Summary'!N$65)),
IF(T$10=0,('Equipment List &amp; Usage'!$O86*'Weekly Summary'!N$52)+('Equipment List &amp; Usage'!$P86*'Weekly Summary'!N$53)+('Equipment List &amp; Usage'!$Q86*('Weekly Summary'!N$52+'Weekly Summary'!N$53))+('Equipment List &amp; Usage'!$R86*'Weekly Summary'!N$64)+('Equipment List &amp; Usage'!$S86*'Weekly Summary'!N$65)+('Equipment List &amp; Usage'!$T86*('Weekly Summary'!N$64+'Weekly Summary'!N$65)),
('Equipment List &amp; Usage'!$O86*'Weekly Summary'!N$52)+('Equipment List &amp; Usage'!$P86*'Weekly Summary'!N$53)+('Equipment List &amp; Usage'!$Q86*('Weekly Summary'!N$52+'Weekly Summary'!N$53))+('Equipment List &amp; Usage'!$R86*'Weekly Summary'!N$64)+('Equipment List &amp; Usage'!$S86*'Weekly Summary'!N$65)+('Equipment List &amp; Usage'!$T86*('Weekly Summary'!N$64+'Weekly Summary'!N$65))-SUM($I84:S84))),0)</f>
        <v>0</v>
      </c>
      <c r="U84" s="1383">
        <f ca="1">MAX(IF($F84="No",('Equipment List &amp; Usage'!$O86*'Weekly Summary'!O$52)+('Equipment List &amp; Usage'!$P86*'Weekly Summary'!O$53)+('Equipment List &amp; Usage'!$Q86*('Weekly Summary'!O$52+'Weekly Summary'!O$53))+('Equipment List &amp; Usage'!$R86*'Weekly Summary'!O$64)+('Equipment List &amp; Usage'!$S86*'Weekly Summary'!O$65)+('Equipment List &amp; Usage'!$T86*('Weekly Summary'!O$64+'Weekly Summary'!O$65)),
IF(U$10=0,('Equipment List &amp; Usage'!$O86*'Weekly Summary'!O$52)+('Equipment List &amp; Usage'!$P86*'Weekly Summary'!O$53)+('Equipment List &amp; Usage'!$Q86*('Weekly Summary'!O$52+'Weekly Summary'!O$53))+('Equipment List &amp; Usage'!$R86*'Weekly Summary'!O$64)+('Equipment List &amp; Usage'!$S86*'Weekly Summary'!O$65)+('Equipment List &amp; Usage'!$T86*('Weekly Summary'!O$64+'Weekly Summary'!O$65)),
('Equipment List &amp; Usage'!$O86*'Weekly Summary'!O$52)+('Equipment List &amp; Usage'!$P86*'Weekly Summary'!O$53)+('Equipment List &amp; Usage'!$Q86*('Weekly Summary'!O$52+'Weekly Summary'!O$53))+('Equipment List &amp; Usage'!$R86*'Weekly Summary'!O$64)+('Equipment List &amp; Usage'!$S86*'Weekly Summary'!O$65)+('Equipment List &amp; Usage'!$T86*('Weekly Summary'!O$64+'Weekly Summary'!O$65))-SUM($I84:T84))),0)</f>
        <v>0</v>
      </c>
      <c r="V84" s="1383">
        <f ca="1">MAX(IF($F84="No",('Equipment List &amp; Usage'!$O86*'Weekly Summary'!P$52)+('Equipment List &amp; Usage'!$P86*'Weekly Summary'!P$53)+('Equipment List &amp; Usage'!$Q86*('Weekly Summary'!P$52+'Weekly Summary'!P$53))+('Equipment List &amp; Usage'!$R86*'Weekly Summary'!P$64)+('Equipment List &amp; Usage'!$S86*'Weekly Summary'!P$65)+('Equipment List &amp; Usage'!$T86*('Weekly Summary'!P$64+'Weekly Summary'!P$65)),
IF(V$10=0,('Equipment List &amp; Usage'!$O86*'Weekly Summary'!P$52)+('Equipment List &amp; Usage'!$P86*'Weekly Summary'!P$53)+('Equipment List &amp; Usage'!$Q86*('Weekly Summary'!P$52+'Weekly Summary'!P$53))+('Equipment List &amp; Usage'!$R86*'Weekly Summary'!P$64)+('Equipment List &amp; Usage'!$S86*'Weekly Summary'!P$65)+('Equipment List &amp; Usage'!$T86*('Weekly Summary'!P$64+'Weekly Summary'!P$65)),
('Equipment List &amp; Usage'!$O86*'Weekly Summary'!P$52)+('Equipment List &amp; Usage'!$P86*'Weekly Summary'!P$53)+('Equipment List &amp; Usage'!$Q86*('Weekly Summary'!P$52+'Weekly Summary'!P$53))+('Equipment List &amp; Usage'!$R86*'Weekly Summary'!P$64)+('Equipment List &amp; Usage'!$S86*'Weekly Summary'!P$65)+('Equipment List &amp; Usage'!$T86*('Weekly Summary'!P$64+'Weekly Summary'!P$65))-SUM($I84:U84))),0)</f>
        <v>0</v>
      </c>
      <c r="W84" s="1383">
        <f ca="1">MAX(IF($F84="No",('Equipment List &amp; Usage'!$O86*'Weekly Summary'!Q$52)+('Equipment List &amp; Usage'!$P86*'Weekly Summary'!Q$53)+('Equipment List &amp; Usage'!$Q86*('Weekly Summary'!Q$52+'Weekly Summary'!Q$53))+('Equipment List &amp; Usage'!$R86*'Weekly Summary'!Q$64)+('Equipment List &amp; Usage'!$S86*'Weekly Summary'!Q$65)+('Equipment List &amp; Usage'!$T86*('Weekly Summary'!Q$64+'Weekly Summary'!Q$65)),
IF(W$10=0,('Equipment List &amp; Usage'!$O86*'Weekly Summary'!Q$52)+('Equipment List &amp; Usage'!$P86*'Weekly Summary'!Q$53)+('Equipment List &amp; Usage'!$Q86*('Weekly Summary'!Q$52+'Weekly Summary'!Q$53))+('Equipment List &amp; Usage'!$R86*'Weekly Summary'!Q$64)+('Equipment List &amp; Usage'!$S86*'Weekly Summary'!Q$65)+('Equipment List &amp; Usage'!$T86*('Weekly Summary'!Q$64+'Weekly Summary'!Q$65)),
('Equipment List &amp; Usage'!$O86*'Weekly Summary'!Q$52)+('Equipment List &amp; Usage'!$P86*'Weekly Summary'!Q$53)+('Equipment List &amp; Usage'!$Q86*('Weekly Summary'!Q$52+'Weekly Summary'!Q$53))+('Equipment List &amp; Usage'!$R86*'Weekly Summary'!Q$64)+('Equipment List &amp; Usage'!$S86*'Weekly Summary'!Q$65)+('Equipment List &amp; Usage'!$T86*('Weekly Summary'!Q$64+'Weekly Summary'!Q$65))-SUM($I84:V84))),0)</f>
        <v>0</v>
      </c>
      <c r="X84" s="1383">
        <f ca="1">MAX(IF($F84="No",('Equipment List &amp; Usage'!$O86*'Weekly Summary'!R$52)+('Equipment List &amp; Usage'!$P86*'Weekly Summary'!R$53)+('Equipment List &amp; Usage'!$Q86*('Weekly Summary'!R$52+'Weekly Summary'!R$53))+('Equipment List &amp; Usage'!$R86*'Weekly Summary'!R$64)+('Equipment List &amp; Usage'!$S86*'Weekly Summary'!R$65)+('Equipment List &amp; Usage'!$T86*('Weekly Summary'!R$64+'Weekly Summary'!R$65)),
IF(X$10=0,('Equipment List &amp; Usage'!$O86*'Weekly Summary'!R$52)+('Equipment List &amp; Usage'!$P86*'Weekly Summary'!R$53)+('Equipment List &amp; Usage'!$Q86*('Weekly Summary'!R$52+'Weekly Summary'!R$53))+('Equipment List &amp; Usage'!$R86*'Weekly Summary'!R$64)+('Equipment List &amp; Usage'!$S86*'Weekly Summary'!R$65)+('Equipment List &amp; Usage'!$T86*('Weekly Summary'!R$64+'Weekly Summary'!R$65)),
('Equipment List &amp; Usage'!$O86*'Weekly Summary'!R$52)+('Equipment List &amp; Usage'!$P86*'Weekly Summary'!R$53)+('Equipment List &amp; Usage'!$Q86*('Weekly Summary'!R$52+'Weekly Summary'!R$53))+('Equipment List &amp; Usage'!$R86*'Weekly Summary'!R$64)+('Equipment List &amp; Usage'!$S86*'Weekly Summary'!R$65)+('Equipment List &amp; Usage'!$T86*('Weekly Summary'!R$64+'Weekly Summary'!R$65))-SUM($I84:W84))),0)</f>
        <v>0</v>
      </c>
      <c r="Y84" s="1383">
        <f ca="1">MAX(IF($F84="No",('Equipment List &amp; Usage'!$O86*'Weekly Summary'!S$52)+('Equipment List &amp; Usage'!$P86*'Weekly Summary'!S$53)+('Equipment List &amp; Usage'!$Q86*('Weekly Summary'!S$52+'Weekly Summary'!S$53))+('Equipment List &amp; Usage'!$R86*'Weekly Summary'!S$64)+('Equipment List &amp; Usage'!$S86*'Weekly Summary'!S$65)+('Equipment List &amp; Usage'!$T86*('Weekly Summary'!S$64+'Weekly Summary'!S$65)),
IF(Y$10=0,('Equipment List &amp; Usage'!$O86*'Weekly Summary'!S$52)+('Equipment List &amp; Usage'!$P86*'Weekly Summary'!S$53)+('Equipment List &amp; Usage'!$Q86*('Weekly Summary'!S$52+'Weekly Summary'!S$53))+('Equipment List &amp; Usage'!$R86*'Weekly Summary'!S$64)+('Equipment List &amp; Usage'!$S86*'Weekly Summary'!S$65)+('Equipment List &amp; Usage'!$T86*('Weekly Summary'!S$64+'Weekly Summary'!S$65)),
('Equipment List &amp; Usage'!$O86*'Weekly Summary'!S$52)+('Equipment List &amp; Usage'!$P86*'Weekly Summary'!S$53)+('Equipment List &amp; Usage'!$Q86*('Weekly Summary'!S$52+'Weekly Summary'!S$53))+('Equipment List &amp; Usage'!$R86*'Weekly Summary'!S$64)+('Equipment List &amp; Usage'!$S86*'Weekly Summary'!S$65)+('Equipment List &amp; Usage'!$T86*('Weekly Summary'!S$64+'Weekly Summary'!S$65))-SUM($I84:X84))),0)</f>
        <v>0</v>
      </c>
      <c r="Z84" s="1383">
        <f ca="1">MAX(IF($F84="No",('Equipment List &amp; Usage'!$O86*'Weekly Summary'!T$52)+('Equipment List &amp; Usage'!$P86*'Weekly Summary'!T$53)+('Equipment List &amp; Usage'!$Q86*('Weekly Summary'!T$52+'Weekly Summary'!T$53))+('Equipment List &amp; Usage'!$R86*'Weekly Summary'!T$64)+('Equipment List &amp; Usage'!$S86*'Weekly Summary'!T$65)+('Equipment List &amp; Usage'!$T86*('Weekly Summary'!T$64+'Weekly Summary'!T$65)),
IF(Z$10=0,('Equipment List &amp; Usage'!$O86*'Weekly Summary'!T$52)+('Equipment List &amp; Usage'!$P86*'Weekly Summary'!T$53)+('Equipment List &amp; Usage'!$Q86*('Weekly Summary'!T$52+'Weekly Summary'!T$53))+('Equipment List &amp; Usage'!$R86*'Weekly Summary'!T$64)+('Equipment List &amp; Usage'!$S86*'Weekly Summary'!T$65)+('Equipment List &amp; Usage'!$T86*('Weekly Summary'!T$64+'Weekly Summary'!T$65)),
('Equipment List &amp; Usage'!$O86*'Weekly Summary'!T$52)+('Equipment List &amp; Usage'!$P86*'Weekly Summary'!T$53)+('Equipment List &amp; Usage'!$Q86*('Weekly Summary'!T$52+'Weekly Summary'!T$53))+('Equipment List &amp; Usage'!$R86*'Weekly Summary'!T$64)+('Equipment List &amp; Usage'!$S86*'Weekly Summary'!T$65)+('Equipment List &amp; Usage'!$T86*('Weekly Summary'!T$64+'Weekly Summary'!T$65))-SUM($I84:Y84))),0)</f>
        <v>0</v>
      </c>
      <c r="AA84" s="1383">
        <f ca="1">MAX(IF($F84="No",('Equipment List &amp; Usage'!$O86*'Weekly Summary'!U$52)+('Equipment List &amp; Usage'!$P86*'Weekly Summary'!U$53)+('Equipment List &amp; Usage'!$Q86*('Weekly Summary'!U$52+'Weekly Summary'!U$53))+('Equipment List &amp; Usage'!$R86*'Weekly Summary'!U$64)+('Equipment List &amp; Usage'!$S86*'Weekly Summary'!U$65)+('Equipment List &amp; Usage'!$T86*('Weekly Summary'!U$64+'Weekly Summary'!U$65)),
IF(AA$10=0,('Equipment List &amp; Usage'!$O86*'Weekly Summary'!U$52)+('Equipment List &amp; Usage'!$P86*'Weekly Summary'!U$53)+('Equipment List &amp; Usage'!$Q86*('Weekly Summary'!U$52+'Weekly Summary'!U$53))+('Equipment List &amp; Usage'!$R86*'Weekly Summary'!U$64)+('Equipment List &amp; Usage'!$S86*'Weekly Summary'!U$65)+('Equipment List &amp; Usage'!$T86*('Weekly Summary'!U$64+'Weekly Summary'!U$65)),
('Equipment List &amp; Usage'!$O86*'Weekly Summary'!U$52)+('Equipment List &amp; Usage'!$P86*'Weekly Summary'!U$53)+('Equipment List &amp; Usage'!$Q86*('Weekly Summary'!U$52+'Weekly Summary'!U$53))+('Equipment List &amp; Usage'!$R86*'Weekly Summary'!U$64)+('Equipment List &amp; Usage'!$S86*'Weekly Summary'!U$65)+('Equipment List &amp; Usage'!$T86*('Weekly Summary'!U$64+'Weekly Summary'!U$65))-SUM($I84:Z84))),0)</f>
        <v>0</v>
      </c>
      <c r="AB84" s="1383">
        <f ca="1">MAX(IF($F84="No",('Equipment List &amp; Usage'!$O86*'Weekly Summary'!V$52)+('Equipment List &amp; Usage'!$P86*'Weekly Summary'!V$53)+('Equipment List &amp; Usage'!$Q86*('Weekly Summary'!V$52+'Weekly Summary'!V$53))+('Equipment List &amp; Usage'!$R86*'Weekly Summary'!V$64)+('Equipment List &amp; Usage'!$S86*'Weekly Summary'!V$65)+('Equipment List &amp; Usage'!$T86*('Weekly Summary'!V$64+'Weekly Summary'!V$65)),
IF(AB$10=0,('Equipment List &amp; Usage'!$O86*'Weekly Summary'!V$52)+('Equipment List &amp; Usage'!$P86*'Weekly Summary'!V$53)+('Equipment List &amp; Usage'!$Q86*('Weekly Summary'!V$52+'Weekly Summary'!V$53))+('Equipment List &amp; Usage'!$R86*'Weekly Summary'!V$64)+('Equipment List &amp; Usage'!$S86*'Weekly Summary'!V$65)+('Equipment List &amp; Usage'!$T86*('Weekly Summary'!V$64+'Weekly Summary'!V$65)),
('Equipment List &amp; Usage'!$O86*'Weekly Summary'!V$52)+('Equipment List &amp; Usage'!$P86*'Weekly Summary'!V$53)+('Equipment List &amp; Usage'!$Q86*('Weekly Summary'!V$52+'Weekly Summary'!V$53))+('Equipment List &amp; Usage'!$R86*'Weekly Summary'!V$64)+('Equipment List &amp; Usage'!$S86*'Weekly Summary'!V$65)+('Equipment List &amp; Usage'!$T86*('Weekly Summary'!V$64+'Weekly Summary'!V$65))-SUM($I84:AA84))),0)</f>
        <v>0</v>
      </c>
      <c r="AC84" s="1383">
        <f ca="1">MAX(IF($F84="No",('Equipment List &amp; Usage'!$O86*'Weekly Summary'!W$52)+('Equipment List &amp; Usage'!$P86*'Weekly Summary'!W$53)+('Equipment List &amp; Usage'!$Q86*('Weekly Summary'!W$52+'Weekly Summary'!W$53))+('Equipment List &amp; Usage'!$R86*'Weekly Summary'!W$64)+('Equipment List &amp; Usage'!$S86*'Weekly Summary'!W$65)+('Equipment List &amp; Usage'!$T86*('Weekly Summary'!W$64+'Weekly Summary'!W$65)),
IF(AC$10=0,('Equipment List &amp; Usage'!$O86*'Weekly Summary'!W$52)+('Equipment List &amp; Usage'!$P86*'Weekly Summary'!W$53)+('Equipment List &amp; Usage'!$Q86*('Weekly Summary'!W$52+'Weekly Summary'!W$53))+('Equipment List &amp; Usage'!$R86*'Weekly Summary'!W$64)+('Equipment List &amp; Usage'!$S86*'Weekly Summary'!W$65)+('Equipment List &amp; Usage'!$T86*('Weekly Summary'!W$64+'Weekly Summary'!W$65)),
('Equipment List &amp; Usage'!$O86*'Weekly Summary'!W$52)+('Equipment List &amp; Usage'!$P86*'Weekly Summary'!W$53)+('Equipment List &amp; Usage'!$Q86*('Weekly Summary'!W$52+'Weekly Summary'!W$53))+('Equipment List &amp; Usage'!$R86*'Weekly Summary'!W$64)+('Equipment List &amp; Usage'!$S86*'Weekly Summary'!W$65)+('Equipment List &amp; Usage'!$T86*('Weekly Summary'!W$64+'Weekly Summary'!W$65))-SUM($I84:AB84))),0)</f>
        <v>0</v>
      </c>
      <c r="AD84" s="1383">
        <f ca="1">MAX(IF($F84="No",('Equipment List &amp; Usage'!$O86*'Weekly Summary'!X$52)+('Equipment List &amp; Usage'!$P86*'Weekly Summary'!X$53)+('Equipment List &amp; Usage'!$Q86*('Weekly Summary'!X$52+'Weekly Summary'!X$53))+('Equipment List &amp; Usage'!$R86*'Weekly Summary'!X$64)+('Equipment List &amp; Usage'!$S86*'Weekly Summary'!X$65)+('Equipment List &amp; Usage'!$T86*('Weekly Summary'!X$64+'Weekly Summary'!X$65)),
IF(AD$10=0,('Equipment List &amp; Usage'!$O86*'Weekly Summary'!X$52)+('Equipment List &amp; Usage'!$P86*'Weekly Summary'!X$53)+('Equipment List &amp; Usage'!$Q86*('Weekly Summary'!X$52+'Weekly Summary'!X$53))+('Equipment List &amp; Usage'!$R86*'Weekly Summary'!X$64)+('Equipment List &amp; Usage'!$S86*'Weekly Summary'!X$65)+('Equipment List &amp; Usage'!$T86*('Weekly Summary'!X$64+'Weekly Summary'!X$65)),
('Equipment List &amp; Usage'!$O86*'Weekly Summary'!X$52)+('Equipment List &amp; Usage'!$P86*'Weekly Summary'!X$53)+('Equipment List &amp; Usage'!$Q86*('Weekly Summary'!X$52+'Weekly Summary'!X$53))+('Equipment List &amp; Usage'!$R86*'Weekly Summary'!X$64)+('Equipment List &amp; Usage'!$S86*'Weekly Summary'!X$65)+('Equipment List &amp; Usage'!$T86*('Weekly Summary'!X$64+'Weekly Summary'!X$65))-SUM($I84:AC84))),0)</f>
        <v>0</v>
      </c>
      <c r="AE84" s="1383">
        <f ca="1">MAX(IF($F84="No",('Equipment List &amp; Usage'!$O86*'Weekly Summary'!Y$52)+('Equipment List &amp; Usage'!$P86*'Weekly Summary'!Y$53)+('Equipment List &amp; Usage'!$Q86*('Weekly Summary'!Y$52+'Weekly Summary'!Y$53))+('Equipment List &amp; Usage'!$R86*'Weekly Summary'!Y$64)+('Equipment List &amp; Usage'!$S86*'Weekly Summary'!Y$65)+('Equipment List &amp; Usage'!$T86*('Weekly Summary'!Y$64+'Weekly Summary'!Y$65)),
IF(AE$10=0,('Equipment List &amp; Usage'!$O86*'Weekly Summary'!Y$52)+('Equipment List &amp; Usage'!$P86*'Weekly Summary'!Y$53)+('Equipment List &amp; Usage'!$Q86*('Weekly Summary'!Y$52+'Weekly Summary'!Y$53))+('Equipment List &amp; Usage'!$R86*'Weekly Summary'!Y$64)+('Equipment List &amp; Usage'!$S86*'Weekly Summary'!Y$65)+('Equipment List &amp; Usage'!$T86*('Weekly Summary'!Y$64+'Weekly Summary'!Y$65)),
('Equipment List &amp; Usage'!$O86*'Weekly Summary'!Y$52)+('Equipment List &amp; Usage'!$P86*'Weekly Summary'!Y$53)+('Equipment List &amp; Usage'!$Q86*('Weekly Summary'!Y$52+'Weekly Summary'!Y$53))+('Equipment List &amp; Usage'!$R86*'Weekly Summary'!Y$64)+('Equipment List &amp; Usage'!$S86*'Weekly Summary'!Y$65)+('Equipment List &amp; Usage'!$T86*('Weekly Summary'!Y$64+'Weekly Summary'!Y$65))-SUM($I84:AD84))),0)</f>
        <v>0</v>
      </c>
      <c r="AF84" s="1383">
        <f ca="1">MAX(IF($F84="No",('Equipment List &amp; Usage'!$O86*'Weekly Summary'!Z$52)+('Equipment List &amp; Usage'!$P86*'Weekly Summary'!Z$53)+('Equipment List &amp; Usage'!$Q86*('Weekly Summary'!Z$52+'Weekly Summary'!Z$53))+('Equipment List &amp; Usage'!$R86*'Weekly Summary'!Z$64)+('Equipment List &amp; Usage'!$S86*'Weekly Summary'!Z$65)+('Equipment List &amp; Usage'!$T86*('Weekly Summary'!Z$64+'Weekly Summary'!Z$65)),
IF(AF$10=0,('Equipment List &amp; Usage'!$O86*'Weekly Summary'!Z$52)+('Equipment List &amp; Usage'!$P86*'Weekly Summary'!Z$53)+('Equipment List &amp; Usage'!$Q86*('Weekly Summary'!Z$52+'Weekly Summary'!Z$53))+('Equipment List &amp; Usage'!$R86*'Weekly Summary'!Z$64)+('Equipment List &amp; Usage'!$S86*'Weekly Summary'!Z$65)+('Equipment List &amp; Usage'!$T86*('Weekly Summary'!Z$64+'Weekly Summary'!Z$65)),
('Equipment List &amp; Usage'!$O86*'Weekly Summary'!Z$52)+('Equipment List &amp; Usage'!$P86*'Weekly Summary'!Z$53)+('Equipment List &amp; Usage'!$Q86*('Weekly Summary'!Z$52+'Weekly Summary'!Z$53))+('Equipment List &amp; Usage'!$R86*'Weekly Summary'!Z$64)+('Equipment List &amp; Usage'!$S86*'Weekly Summary'!Z$65)+('Equipment List &amp; Usage'!$T86*('Weekly Summary'!Z$64+'Weekly Summary'!Z$65))-SUM($I84:AE84))),0)</f>
        <v>0</v>
      </c>
      <c r="AG84" s="1383">
        <f ca="1">MAX(IF($F84="No",('Equipment List &amp; Usage'!$O86*'Weekly Summary'!AA$52)+('Equipment List &amp; Usage'!$P86*'Weekly Summary'!AA$53)+('Equipment List &amp; Usage'!$Q86*('Weekly Summary'!AA$52+'Weekly Summary'!AA$53))+('Equipment List &amp; Usage'!$R86*'Weekly Summary'!AA$64)+('Equipment List &amp; Usage'!$S86*'Weekly Summary'!AA$65)+('Equipment List &amp; Usage'!$T86*('Weekly Summary'!AA$64+'Weekly Summary'!AA$65)),
IF(AG$10=0,('Equipment List &amp; Usage'!$O86*'Weekly Summary'!AA$52)+('Equipment List &amp; Usage'!$P86*'Weekly Summary'!AA$53)+('Equipment List &amp; Usage'!$Q86*('Weekly Summary'!AA$52+'Weekly Summary'!AA$53))+('Equipment List &amp; Usage'!$R86*'Weekly Summary'!AA$64)+('Equipment List &amp; Usage'!$S86*'Weekly Summary'!AA$65)+('Equipment List &amp; Usage'!$T86*('Weekly Summary'!AA$64+'Weekly Summary'!AA$65)),
('Equipment List &amp; Usage'!$O86*'Weekly Summary'!AA$52)+('Equipment List &amp; Usage'!$P86*'Weekly Summary'!AA$53)+('Equipment List &amp; Usage'!$Q86*('Weekly Summary'!AA$52+'Weekly Summary'!AA$53))+('Equipment List &amp; Usage'!$R86*'Weekly Summary'!AA$64)+('Equipment List &amp; Usage'!$S86*'Weekly Summary'!AA$65)+('Equipment List &amp; Usage'!$T86*('Weekly Summary'!AA$64+'Weekly Summary'!AA$65))-SUM($I84:AF84))),0)</f>
        <v>0</v>
      </c>
      <c r="AH84" s="1383">
        <f ca="1">MAX(IF($F84="No",('Equipment List &amp; Usage'!$O86*'Weekly Summary'!AB$52)+('Equipment List &amp; Usage'!$P86*'Weekly Summary'!AB$53)+('Equipment List &amp; Usage'!$Q86*('Weekly Summary'!AB$52+'Weekly Summary'!AB$53))+('Equipment List &amp; Usage'!$R86*'Weekly Summary'!AB$64)+('Equipment List &amp; Usage'!$S86*'Weekly Summary'!AB$65)+('Equipment List &amp; Usage'!$T86*('Weekly Summary'!AB$64+'Weekly Summary'!AB$65)),
IF(AH$10=0,('Equipment List &amp; Usage'!$O86*'Weekly Summary'!AB$52)+('Equipment List &amp; Usage'!$P86*'Weekly Summary'!AB$53)+('Equipment List &amp; Usage'!$Q86*('Weekly Summary'!AB$52+'Weekly Summary'!AB$53))+('Equipment List &amp; Usage'!$R86*'Weekly Summary'!AB$64)+('Equipment List &amp; Usage'!$S86*'Weekly Summary'!AB$65)+('Equipment List &amp; Usage'!$T86*('Weekly Summary'!AB$64+'Weekly Summary'!AB$65)),
('Equipment List &amp; Usage'!$O86*'Weekly Summary'!AB$52)+('Equipment List &amp; Usage'!$P86*'Weekly Summary'!AB$53)+('Equipment List &amp; Usage'!$Q86*('Weekly Summary'!AB$52+'Weekly Summary'!AB$53))+('Equipment List &amp; Usage'!$R86*'Weekly Summary'!AB$64)+('Equipment List &amp; Usage'!$S86*'Weekly Summary'!AB$65)+('Equipment List &amp; Usage'!$T86*('Weekly Summary'!AB$64+'Weekly Summary'!AB$65))-SUM($I84:AG84))),0)</f>
        <v>0</v>
      </c>
      <c r="AI84" s="1383">
        <f ca="1">MAX(IF($F84="No",('Equipment List &amp; Usage'!$O86*'Weekly Summary'!AC$52)+('Equipment List &amp; Usage'!$P86*'Weekly Summary'!AC$53)+('Equipment List &amp; Usage'!$Q86*('Weekly Summary'!AC$52+'Weekly Summary'!AC$53))+('Equipment List &amp; Usage'!$R86*'Weekly Summary'!AC$64)+('Equipment List &amp; Usage'!$S86*'Weekly Summary'!AC$65)+('Equipment List &amp; Usage'!$T86*('Weekly Summary'!AC$64+'Weekly Summary'!AC$65)),
IF(AI$10=0,('Equipment List &amp; Usage'!$O86*'Weekly Summary'!AC$52)+('Equipment List &amp; Usage'!$P86*'Weekly Summary'!AC$53)+('Equipment List &amp; Usage'!$Q86*('Weekly Summary'!AC$52+'Weekly Summary'!AC$53))+('Equipment List &amp; Usage'!$R86*'Weekly Summary'!AC$64)+('Equipment List &amp; Usage'!$S86*'Weekly Summary'!AC$65)+('Equipment List &amp; Usage'!$T86*('Weekly Summary'!AC$64+'Weekly Summary'!AC$65)),
('Equipment List &amp; Usage'!$O86*'Weekly Summary'!AC$52)+('Equipment List &amp; Usage'!$P86*'Weekly Summary'!AC$53)+('Equipment List &amp; Usage'!$Q86*('Weekly Summary'!AC$52+'Weekly Summary'!AC$53))+('Equipment List &amp; Usage'!$R86*'Weekly Summary'!AC$64)+('Equipment List &amp; Usage'!$S86*'Weekly Summary'!AC$65)+('Equipment List &amp; Usage'!$T86*('Weekly Summary'!AC$64+'Weekly Summary'!AC$65))-SUM($I84:AH84))),0)</f>
        <v>0</v>
      </c>
      <c r="AJ84" s="1383">
        <f ca="1">MAX(IF($F84="No",('Equipment List &amp; Usage'!$O86*'Weekly Summary'!AD$52)+('Equipment List &amp; Usage'!$P86*'Weekly Summary'!AD$53)+('Equipment List &amp; Usage'!$Q86*('Weekly Summary'!AD$52+'Weekly Summary'!AD$53))+('Equipment List &amp; Usage'!$R86*'Weekly Summary'!AD$64)+('Equipment List &amp; Usage'!$S86*'Weekly Summary'!AD$65)+('Equipment List &amp; Usage'!$T86*('Weekly Summary'!AD$64+'Weekly Summary'!AD$65)),
IF(AJ$10=0,('Equipment List &amp; Usage'!$O86*'Weekly Summary'!AD$52)+('Equipment List &amp; Usage'!$P86*'Weekly Summary'!AD$53)+('Equipment List &amp; Usage'!$Q86*('Weekly Summary'!AD$52+'Weekly Summary'!AD$53))+('Equipment List &amp; Usage'!$R86*'Weekly Summary'!AD$64)+('Equipment List &amp; Usage'!$S86*'Weekly Summary'!AD$65)+('Equipment List &amp; Usage'!$T86*('Weekly Summary'!AD$64+'Weekly Summary'!AD$65)),
('Equipment List &amp; Usage'!$O86*'Weekly Summary'!AD$52)+('Equipment List &amp; Usage'!$P86*'Weekly Summary'!AD$53)+('Equipment List &amp; Usage'!$Q86*('Weekly Summary'!AD$52+'Weekly Summary'!AD$53))+('Equipment List &amp; Usage'!$R86*'Weekly Summary'!AD$64)+('Equipment List &amp; Usage'!$S86*'Weekly Summary'!AD$65)+('Equipment List &amp; Usage'!$T86*('Weekly Summary'!AD$64+'Weekly Summary'!AD$65))-SUM($I84:AI84))),0)</f>
        <v>0</v>
      </c>
      <c r="AK84" s="1383">
        <f ca="1">MAX(IF($F84="No",('Equipment List &amp; Usage'!$O86*'Weekly Summary'!AE$52)+('Equipment List &amp; Usage'!$P86*'Weekly Summary'!AE$53)+('Equipment List &amp; Usage'!$Q86*('Weekly Summary'!AE$52+'Weekly Summary'!AE$53))+('Equipment List &amp; Usage'!$R86*'Weekly Summary'!AE$64)+('Equipment List &amp; Usage'!$S86*'Weekly Summary'!AE$65)+('Equipment List &amp; Usage'!$T86*('Weekly Summary'!AE$64+'Weekly Summary'!AE$65)),
IF(AK$10=0,('Equipment List &amp; Usage'!$O86*'Weekly Summary'!AE$52)+('Equipment List &amp; Usage'!$P86*'Weekly Summary'!AE$53)+('Equipment List &amp; Usage'!$Q86*('Weekly Summary'!AE$52+'Weekly Summary'!AE$53))+('Equipment List &amp; Usage'!$R86*'Weekly Summary'!AE$64)+('Equipment List &amp; Usage'!$S86*'Weekly Summary'!AE$65)+('Equipment List &amp; Usage'!$T86*('Weekly Summary'!AE$64+'Weekly Summary'!AE$65)),
('Equipment List &amp; Usage'!$O86*'Weekly Summary'!AE$52)+('Equipment List &amp; Usage'!$P86*'Weekly Summary'!AE$53)+('Equipment List &amp; Usage'!$Q86*('Weekly Summary'!AE$52+'Weekly Summary'!AE$53))+('Equipment List &amp; Usage'!$R86*'Weekly Summary'!AE$64)+('Equipment List &amp; Usage'!$S86*'Weekly Summary'!AE$65)+('Equipment List &amp; Usage'!$T86*('Weekly Summary'!AE$64+'Weekly Summary'!AE$65))-SUM($I84:AJ84))),0)</f>
        <v>0</v>
      </c>
      <c r="AL84" s="1383">
        <f ca="1">MAX(IF($F84="No",('Equipment List &amp; Usage'!$O86*'Weekly Summary'!AF$52)+('Equipment List &amp; Usage'!$P86*'Weekly Summary'!AF$53)+('Equipment List &amp; Usage'!$Q86*('Weekly Summary'!AF$52+'Weekly Summary'!AF$53))+('Equipment List &amp; Usage'!$R86*'Weekly Summary'!AF$64)+('Equipment List &amp; Usage'!$S86*'Weekly Summary'!AF$65)+('Equipment List &amp; Usage'!$T86*('Weekly Summary'!AF$64+'Weekly Summary'!AF$65)),
IF(AL$10=0,('Equipment List &amp; Usage'!$O86*'Weekly Summary'!AF$52)+('Equipment List &amp; Usage'!$P86*'Weekly Summary'!AF$53)+('Equipment List &amp; Usage'!$Q86*('Weekly Summary'!AF$52+'Weekly Summary'!AF$53))+('Equipment List &amp; Usage'!$R86*'Weekly Summary'!AF$64)+('Equipment List &amp; Usage'!$S86*'Weekly Summary'!AF$65)+('Equipment List &amp; Usage'!$T86*('Weekly Summary'!AF$64+'Weekly Summary'!AF$65)),
('Equipment List &amp; Usage'!$O86*'Weekly Summary'!AF$52)+('Equipment List &amp; Usage'!$P86*'Weekly Summary'!AF$53)+('Equipment List &amp; Usage'!$Q86*('Weekly Summary'!AF$52+'Weekly Summary'!AF$53))+('Equipment List &amp; Usage'!$R86*'Weekly Summary'!AF$64)+('Equipment List &amp; Usage'!$S86*'Weekly Summary'!AF$65)+('Equipment List &amp; Usage'!$T86*('Weekly Summary'!AF$64+'Weekly Summary'!AF$65))-SUM($I84:AK84))),0)</f>
        <v>0</v>
      </c>
      <c r="AM84" s="1383">
        <f ca="1">MAX(IF($F84="No",('Equipment List &amp; Usage'!$O86*'Weekly Summary'!AG$52)+('Equipment List &amp; Usage'!$P86*'Weekly Summary'!AG$53)+('Equipment List &amp; Usage'!$Q86*('Weekly Summary'!AG$52+'Weekly Summary'!AG$53))+('Equipment List &amp; Usage'!$R86*'Weekly Summary'!AG$64)+('Equipment List &amp; Usage'!$S86*'Weekly Summary'!AG$65)+('Equipment List &amp; Usage'!$T86*('Weekly Summary'!AG$64+'Weekly Summary'!AG$65)),
IF(AM$10=0,('Equipment List &amp; Usage'!$O86*'Weekly Summary'!AG$52)+('Equipment List &amp; Usage'!$P86*'Weekly Summary'!AG$53)+('Equipment List &amp; Usage'!$Q86*('Weekly Summary'!AG$52+'Weekly Summary'!AG$53))+('Equipment List &amp; Usage'!$R86*'Weekly Summary'!AG$64)+('Equipment List &amp; Usage'!$S86*'Weekly Summary'!AG$65)+('Equipment List &amp; Usage'!$T86*('Weekly Summary'!AG$64+'Weekly Summary'!AG$65)),
('Equipment List &amp; Usage'!$O86*'Weekly Summary'!AG$52)+('Equipment List &amp; Usage'!$P86*'Weekly Summary'!AG$53)+('Equipment List &amp; Usage'!$Q86*('Weekly Summary'!AG$52+'Weekly Summary'!AG$53))+('Equipment List &amp; Usage'!$R86*'Weekly Summary'!AG$64)+('Equipment List &amp; Usage'!$S86*'Weekly Summary'!AG$65)+('Equipment List &amp; Usage'!$T86*('Weekly Summary'!AG$64+'Weekly Summary'!AG$65))-SUM($I84:AL84))),0)</f>
        <v>0</v>
      </c>
      <c r="AN84" s="1383">
        <f ca="1">MAX(IF($F84="No",('Equipment List &amp; Usage'!$O86*'Weekly Summary'!AH$52)+('Equipment List &amp; Usage'!$P86*'Weekly Summary'!AH$53)+('Equipment List &amp; Usage'!$Q86*('Weekly Summary'!AH$52+'Weekly Summary'!AH$53))+('Equipment List &amp; Usage'!$R86*'Weekly Summary'!AH$64)+('Equipment List &amp; Usage'!$S86*'Weekly Summary'!AH$65)+('Equipment List &amp; Usage'!$T86*('Weekly Summary'!AH$64+'Weekly Summary'!AH$65)),
IF(AN$10=0,('Equipment List &amp; Usage'!$O86*'Weekly Summary'!AH$52)+('Equipment List &amp; Usage'!$P86*'Weekly Summary'!AH$53)+('Equipment List &amp; Usage'!$Q86*('Weekly Summary'!AH$52+'Weekly Summary'!AH$53))+('Equipment List &amp; Usage'!$R86*'Weekly Summary'!AH$64)+('Equipment List &amp; Usage'!$S86*'Weekly Summary'!AH$65)+('Equipment List &amp; Usage'!$T86*('Weekly Summary'!AH$64+'Weekly Summary'!AH$65)),
('Equipment List &amp; Usage'!$O86*'Weekly Summary'!AH$52)+('Equipment List &amp; Usage'!$P86*'Weekly Summary'!AH$53)+('Equipment List &amp; Usage'!$Q86*('Weekly Summary'!AH$52+'Weekly Summary'!AH$53))+('Equipment List &amp; Usage'!$R86*'Weekly Summary'!AH$64)+('Equipment List &amp; Usage'!$S86*'Weekly Summary'!AH$65)+('Equipment List &amp; Usage'!$T86*('Weekly Summary'!AH$64+'Weekly Summary'!AH$65))-SUM($I84:AM84))),0)</f>
        <v>0</v>
      </c>
      <c r="AO84" s="1383">
        <f ca="1">MAX(IF($F84="No",('Equipment List &amp; Usage'!$O86*'Weekly Summary'!AI$52)+('Equipment List &amp; Usage'!$P86*'Weekly Summary'!AI$53)+('Equipment List &amp; Usage'!$Q86*('Weekly Summary'!AI$52+'Weekly Summary'!AI$53))+('Equipment List &amp; Usage'!$R86*'Weekly Summary'!AI$64)+('Equipment List &amp; Usage'!$S86*'Weekly Summary'!AI$65)+('Equipment List &amp; Usage'!$T86*('Weekly Summary'!AI$64+'Weekly Summary'!AI$65)),
IF(AO$10=0,('Equipment List &amp; Usage'!$O86*'Weekly Summary'!AI$52)+('Equipment List &amp; Usage'!$P86*'Weekly Summary'!AI$53)+('Equipment List &amp; Usage'!$Q86*('Weekly Summary'!AI$52+'Weekly Summary'!AI$53))+('Equipment List &amp; Usage'!$R86*'Weekly Summary'!AI$64)+('Equipment List &amp; Usage'!$S86*'Weekly Summary'!AI$65)+('Equipment List &amp; Usage'!$T86*('Weekly Summary'!AI$64+'Weekly Summary'!AI$65)),
('Equipment List &amp; Usage'!$O86*'Weekly Summary'!AI$52)+('Equipment List &amp; Usage'!$P86*'Weekly Summary'!AI$53)+('Equipment List &amp; Usage'!$Q86*('Weekly Summary'!AI$52+'Weekly Summary'!AI$53))+('Equipment List &amp; Usage'!$R86*'Weekly Summary'!AI$64)+('Equipment List &amp; Usage'!$S86*'Weekly Summary'!AI$65)+('Equipment List &amp; Usage'!$T86*('Weekly Summary'!AI$64+'Weekly Summary'!AI$65))-SUM($I84:AN84))),0)</f>
        <v>0</v>
      </c>
      <c r="AP84" s="1383">
        <f ca="1">MAX(IF($F84="No",('Equipment List &amp; Usage'!$O86*'Weekly Summary'!AJ$52)+('Equipment List &amp; Usage'!$P86*'Weekly Summary'!AJ$53)+('Equipment List &amp; Usage'!$Q86*('Weekly Summary'!AJ$52+'Weekly Summary'!AJ$53))+('Equipment List &amp; Usage'!$R86*'Weekly Summary'!AJ$64)+('Equipment List &amp; Usage'!$S86*'Weekly Summary'!AJ$65)+('Equipment List &amp; Usage'!$T86*('Weekly Summary'!AJ$64+'Weekly Summary'!AJ$65)),
IF(AP$10=0,('Equipment List &amp; Usage'!$O86*'Weekly Summary'!AJ$52)+('Equipment List &amp; Usage'!$P86*'Weekly Summary'!AJ$53)+('Equipment List &amp; Usage'!$Q86*('Weekly Summary'!AJ$52+'Weekly Summary'!AJ$53))+('Equipment List &amp; Usage'!$R86*'Weekly Summary'!AJ$64)+('Equipment List &amp; Usage'!$S86*'Weekly Summary'!AJ$65)+('Equipment List &amp; Usage'!$T86*('Weekly Summary'!AJ$64+'Weekly Summary'!AJ$65)),
('Equipment List &amp; Usage'!$O86*'Weekly Summary'!AJ$52)+('Equipment List &amp; Usage'!$P86*'Weekly Summary'!AJ$53)+('Equipment List &amp; Usage'!$Q86*('Weekly Summary'!AJ$52+'Weekly Summary'!AJ$53))+('Equipment List &amp; Usage'!$R86*'Weekly Summary'!AJ$64)+('Equipment List &amp; Usage'!$S86*'Weekly Summary'!AJ$65)+('Equipment List &amp; Usage'!$T86*('Weekly Summary'!AJ$64+'Weekly Summary'!AJ$65))-SUM($I84:AO84))),0)</f>
        <v>0</v>
      </c>
      <c r="AQ84" s="1383">
        <f ca="1">MAX(IF($F84="No",('Equipment List &amp; Usage'!$O86*'Weekly Summary'!AK$52)+('Equipment List &amp; Usage'!$P86*'Weekly Summary'!AK$53)+('Equipment List &amp; Usage'!$Q86*('Weekly Summary'!AK$52+'Weekly Summary'!AK$53))+('Equipment List &amp; Usage'!$R86*'Weekly Summary'!AK$64)+('Equipment List &amp; Usage'!$S86*'Weekly Summary'!AK$65)+('Equipment List &amp; Usage'!$T86*('Weekly Summary'!AK$64+'Weekly Summary'!AK$65)),
IF(AQ$10=0,('Equipment List &amp; Usage'!$O86*'Weekly Summary'!AK$52)+('Equipment List &amp; Usage'!$P86*'Weekly Summary'!AK$53)+('Equipment List &amp; Usage'!$Q86*('Weekly Summary'!AK$52+'Weekly Summary'!AK$53))+('Equipment List &amp; Usage'!$R86*'Weekly Summary'!AK$64)+('Equipment List &amp; Usage'!$S86*'Weekly Summary'!AK$65)+('Equipment List &amp; Usage'!$T86*('Weekly Summary'!AK$64+'Weekly Summary'!AK$65)),
('Equipment List &amp; Usage'!$O86*'Weekly Summary'!AK$52)+('Equipment List &amp; Usage'!$P86*'Weekly Summary'!AK$53)+('Equipment List &amp; Usage'!$Q86*('Weekly Summary'!AK$52+'Weekly Summary'!AK$53))+('Equipment List &amp; Usage'!$R86*'Weekly Summary'!AK$64)+('Equipment List &amp; Usage'!$S86*'Weekly Summary'!AK$65)+('Equipment List &amp; Usage'!$T86*('Weekly Summary'!AK$64+'Weekly Summary'!AK$65))-SUM($I84:AP84))),0)</f>
        <v>0</v>
      </c>
      <c r="AR84" s="1383">
        <f ca="1">MAX(IF($F84="No",('Equipment List &amp; Usage'!$O86*'Weekly Summary'!AL$52)+('Equipment List &amp; Usage'!$P86*'Weekly Summary'!AL$53)+('Equipment List &amp; Usage'!$Q86*('Weekly Summary'!AL$52+'Weekly Summary'!AL$53))+('Equipment List &amp; Usage'!$R86*'Weekly Summary'!AL$64)+('Equipment List &amp; Usage'!$S86*'Weekly Summary'!AL$65)+('Equipment List &amp; Usage'!$T86*('Weekly Summary'!AL$64+'Weekly Summary'!AL$65)),
IF(AR$10=0,('Equipment List &amp; Usage'!$O86*'Weekly Summary'!AL$52)+('Equipment List &amp; Usage'!$P86*'Weekly Summary'!AL$53)+('Equipment List &amp; Usage'!$Q86*('Weekly Summary'!AL$52+'Weekly Summary'!AL$53))+('Equipment List &amp; Usage'!$R86*'Weekly Summary'!AL$64)+('Equipment List &amp; Usage'!$S86*'Weekly Summary'!AL$65)+('Equipment List &amp; Usage'!$T86*('Weekly Summary'!AL$64+'Weekly Summary'!AL$65)),
('Equipment List &amp; Usage'!$O86*'Weekly Summary'!AL$52)+('Equipment List &amp; Usage'!$P86*'Weekly Summary'!AL$53)+('Equipment List &amp; Usage'!$Q86*('Weekly Summary'!AL$52+'Weekly Summary'!AL$53))+('Equipment List &amp; Usage'!$R86*'Weekly Summary'!AL$64)+('Equipment List &amp; Usage'!$S86*'Weekly Summary'!AL$65)+('Equipment List &amp; Usage'!$T86*('Weekly Summary'!AL$64+'Weekly Summary'!AL$65))-SUM($I84:AQ84))),0)</f>
        <v>0</v>
      </c>
      <c r="AS84" s="1383">
        <f ca="1">MAX(IF($F84="No",('Equipment List &amp; Usage'!$O86*'Weekly Summary'!AM$52)+('Equipment List &amp; Usage'!$P86*'Weekly Summary'!AM$53)+('Equipment List &amp; Usage'!$Q86*('Weekly Summary'!AM$52+'Weekly Summary'!AM$53))+('Equipment List &amp; Usage'!$R86*'Weekly Summary'!AM$64)+('Equipment List &amp; Usage'!$S86*'Weekly Summary'!AM$65)+('Equipment List &amp; Usage'!$T86*('Weekly Summary'!AM$64+'Weekly Summary'!AM$65)),
IF(AS$10=0,('Equipment List &amp; Usage'!$O86*'Weekly Summary'!AM$52)+('Equipment List &amp; Usage'!$P86*'Weekly Summary'!AM$53)+('Equipment List &amp; Usage'!$Q86*('Weekly Summary'!AM$52+'Weekly Summary'!AM$53))+('Equipment List &amp; Usage'!$R86*'Weekly Summary'!AM$64)+('Equipment List &amp; Usage'!$S86*'Weekly Summary'!AM$65)+('Equipment List &amp; Usage'!$T86*('Weekly Summary'!AM$64+'Weekly Summary'!AM$65)),
('Equipment List &amp; Usage'!$O86*'Weekly Summary'!AM$52)+('Equipment List &amp; Usage'!$P86*'Weekly Summary'!AM$53)+('Equipment List &amp; Usage'!$Q86*('Weekly Summary'!AM$52+'Weekly Summary'!AM$53))+('Equipment List &amp; Usage'!$R86*'Weekly Summary'!AM$64)+('Equipment List &amp; Usage'!$S86*'Weekly Summary'!AM$65)+('Equipment List &amp; Usage'!$T86*('Weekly Summary'!AM$64+'Weekly Summary'!AM$65))-SUM($I84:AR84))),0)</f>
        <v>0</v>
      </c>
      <c r="AT84" s="1383">
        <f ca="1">MAX(IF($F84="No",('Equipment List &amp; Usage'!$O86*'Weekly Summary'!AN$52)+('Equipment List &amp; Usage'!$P86*'Weekly Summary'!AN$53)+('Equipment List &amp; Usage'!$Q86*('Weekly Summary'!AN$52+'Weekly Summary'!AN$53))+('Equipment List &amp; Usage'!$R86*'Weekly Summary'!AN$64)+('Equipment List &amp; Usage'!$S86*'Weekly Summary'!AN$65)+('Equipment List &amp; Usage'!$T86*('Weekly Summary'!AN$64+'Weekly Summary'!AN$65)),
IF(AT$10=0,('Equipment List &amp; Usage'!$O86*'Weekly Summary'!AN$52)+('Equipment List &amp; Usage'!$P86*'Weekly Summary'!AN$53)+('Equipment List &amp; Usage'!$Q86*('Weekly Summary'!AN$52+'Weekly Summary'!AN$53))+('Equipment List &amp; Usage'!$R86*'Weekly Summary'!AN$64)+('Equipment List &amp; Usage'!$S86*'Weekly Summary'!AN$65)+('Equipment List &amp; Usage'!$T86*('Weekly Summary'!AN$64+'Weekly Summary'!AN$65)),
('Equipment List &amp; Usage'!$O86*'Weekly Summary'!AN$52)+('Equipment List &amp; Usage'!$P86*'Weekly Summary'!AN$53)+('Equipment List &amp; Usage'!$Q86*('Weekly Summary'!AN$52+'Weekly Summary'!AN$53))+('Equipment List &amp; Usage'!$R86*'Weekly Summary'!AN$64)+('Equipment List &amp; Usage'!$S86*'Weekly Summary'!AN$65)+('Equipment List &amp; Usage'!$T86*('Weekly Summary'!AN$64+'Weekly Summary'!AN$65))-SUM($I84:AS84))),0)</f>
        <v>0</v>
      </c>
      <c r="AU84" s="1383">
        <f ca="1">MAX(IF($F84="No",('Equipment List &amp; Usage'!$O86*'Weekly Summary'!AO$52)+('Equipment List &amp; Usage'!$P86*'Weekly Summary'!AO$53)+('Equipment List &amp; Usage'!$Q86*('Weekly Summary'!AO$52+'Weekly Summary'!AO$53))+('Equipment List &amp; Usage'!$R86*'Weekly Summary'!AO$64)+('Equipment List &amp; Usage'!$S86*'Weekly Summary'!AO$65)+('Equipment List &amp; Usage'!$T86*('Weekly Summary'!AO$64+'Weekly Summary'!AO$65)),
IF(AU$10=0,('Equipment List &amp; Usage'!$O86*'Weekly Summary'!AO$52)+('Equipment List &amp; Usage'!$P86*'Weekly Summary'!AO$53)+('Equipment List &amp; Usage'!$Q86*('Weekly Summary'!AO$52+'Weekly Summary'!AO$53))+('Equipment List &amp; Usage'!$R86*'Weekly Summary'!AO$64)+('Equipment List &amp; Usage'!$S86*'Weekly Summary'!AO$65)+('Equipment List &amp; Usage'!$T86*('Weekly Summary'!AO$64+'Weekly Summary'!AO$65)),
('Equipment List &amp; Usage'!$O86*'Weekly Summary'!AO$52)+('Equipment List &amp; Usage'!$P86*'Weekly Summary'!AO$53)+('Equipment List &amp; Usage'!$Q86*('Weekly Summary'!AO$52+'Weekly Summary'!AO$53))+('Equipment List &amp; Usage'!$R86*'Weekly Summary'!AO$64)+('Equipment List &amp; Usage'!$S86*'Weekly Summary'!AO$65)+('Equipment List &amp; Usage'!$T86*('Weekly Summary'!AO$64+'Weekly Summary'!AO$65))-SUM($I84:AT84))),0)</f>
        <v>0</v>
      </c>
      <c r="AV84" s="1383">
        <f ca="1">MAX(IF($F84="No",('Equipment List &amp; Usage'!$O86*'Weekly Summary'!AP$52)+('Equipment List &amp; Usage'!$P86*'Weekly Summary'!AP$53)+('Equipment List &amp; Usage'!$Q86*('Weekly Summary'!AP$52+'Weekly Summary'!AP$53))+('Equipment List &amp; Usage'!$R86*'Weekly Summary'!AP$64)+('Equipment List &amp; Usage'!$S86*'Weekly Summary'!AP$65)+('Equipment List &amp; Usage'!$T86*('Weekly Summary'!AP$64+'Weekly Summary'!AP$65)),
IF(AV$10=0,('Equipment List &amp; Usage'!$O86*'Weekly Summary'!AP$52)+('Equipment List &amp; Usage'!$P86*'Weekly Summary'!AP$53)+('Equipment List &amp; Usage'!$Q86*('Weekly Summary'!AP$52+'Weekly Summary'!AP$53))+('Equipment List &amp; Usage'!$R86*'Weekly Summary'!AP$64)+('Equipment List &amp; Usage'!$S86*'Weekly Summary'!AP$65)+('Equipment List &amp; Usage'!$T86*('Weekly Summary'!AP$64+'Weekly Summary'!AP$65)),
('Equipment List &amp; Usage'!$O86*'Weekly Summary'!AP$52)+('Equipment List &amp; Usage'!$P86*'Weekly Summary'!AP$53)+('Equipment List &amp; Usage'!$Q86*('Weekly Summary'!AP$52+'Weekly Summary'!AP$53))+('Equipment List &amp; Usage'!$R86*'Weekly Summary'!AP$64)+('Equipment List &amp; Usage'!$S86*'Weekly Summary'!AP$65)+('Equipment List &amp; Usage'!$T86*('Weekly Summary'!AP$64+'Weekly Summary'!AP$65))-SUM($I84:AU84))),0)</f>
        <v>0</v>
      </c>
      <c r="AW84" s="1383">
        <f ca="1">MAX(IF($F84="No",('Equipment List &amp; Usage'!$O86*'Weekly Summary'!AQ$52)+('Equipment List &amp; Usage'!$P86*'Weekly Summary'!AQ$53)+('Equipment List &amp; Usage'!$Q86*('Weekly Summary'!AQ$52+'Weekly Summary'!AQ$53))+('Equipment List &amp; Usage'!$R86*'Weekly Summary'!AQ$64)+('Equipment List &amp; Usage'!$S86*'Weekly Summary'!AQ$65)+('Equipment List &amp; Usage'!$T86*('Weekly Summary'!AQ$64+'Weekly Summary'!AQ$65)),
IF(AW$10=0,('Equipment List &amp; Usage'!$O86*'Weekly Summary'!AQ$52)+('Equipment List &amp; Usage'!$P86*'Weekly Summary'!AQ$53)+('Equipment List &amp; Usage'!$Q86*('Weekly Summary'!AQ$52+'Weekly Summary'!AQ$53))+('Equipment List &amp; Usage'!$R86*'Weekly Summary'!AQ$64)+('Equipment List &amp; Usage'!$S86*'Weekly Summary'!AQ$65)+('Equipment List &amp; Usage'!$T86*('Weekly Summary'!AQ$64+'Weekly Summary'!AQ$65)),
('Equipment List &amp; Usage'!$O86*'Weekly Summary'!AQ$52)+('Equipment List &amp; Usage'!$P86*'Weekly Summary'!AQ$53)+('Equipment List &amp; Usage'!$Q86*('Weekly Summary'!AQ$52+'Weekly Summary'!AQ$53))+('Equipment List &amp; Usage'!$R86*'Weekly Summary'!AQ$64)+('Equipment List &amp; Usage'!$S86*'Weekly Summary'!AQ$65)+('Equipment List &amp; Usage'!$T86*('Weekly Summary'!AQ$64+'Weekly Summary'!AQ$65))-SUM($I84:AV84))),0)</f>
        <v>0</v>
      </c>
      <c r="AX84" s="1383">
        <f ca="1">MAX(IF($F84="No",('Equipment List &amp; Usage'!$O86*'Weekly Summary'!AR$52)+('Equipment List &amp; Usage'!$P86*'Weekly Summary'!AR$53)+('Equipment List &amp; Usage'!$Q86*('Weekly Summary'!AR$52+'Weekly Summary'!AR$53))+('Equipment List &amp; Usage'!$R86*'Weekly Summary'!AR$64)+('Equipment List &amp; Usage'!$S86*'Weekly Summary'!AR$65)+('Equipment List &amp; Usage'!$T86*('Weekly Summary'!AR$64+'Weekly Summary'!AR$65)),
IF(AX$10=0,('Equipment List &amp; Usage'!$O86*'Weekly Summary'!AR$52)+('Equipment List &amp; Usage'!$P86*'Weekly Summary'!AR$53)+('Equipment List &amp; Usage'!$Q86*('Weekly Summary'!AR$52+'Weekly Summary'!AR$53))+('Equipment List &amp; Usage'!$R86*'Weekly Summary'!AR$64)+('Equipment List &amp; Usage'!$S86*'Weekly Summary'!AR$65)+('Equipment List &amp; Usage'!$T86*('Weekly Summary'!AR$64+'Weekly Summary'!AR$65)),
('Equipment List &amp; Usage'!$O86*'Weekly Summary'!AR$52)+('Equipment List &amp; Usage'!$P86*'Weekly Summary'!AR$53)+('Equipment List &amp; Usage'!$Q86*('Weekly Summary'!AR$52+'Weekly Summary'!AR$53))+('Equipment List &amp; Usage'!$R86*'Weekly Summary'!AR$64)+('Equipment List &amp; Usage'!$S86*'Weekly Summary'!AR$65)+('Equipment List &amp; Usage'!$T86*('Weekly Summary'!AR$64+'Weekly Summary'!AR$65))-SUM($I84:AW84))),0)</f>
        <v>0</v>
      </c>
      <c r="AY84" s="1383">
        <f ca="1">MAX(IF($F84="No",('Equipment List &amp; Usage'!$O86*'Weekly Summary'!AS$52)+('Equipment List &amp; Usage'!$P86*'Weekly Summary'!AS$53)+('Equipment List &amp; Usage'!$Q86*('Weekly Summary'!AS$52+'Weekly Summary'!AS$53))+('Equipment List &amp; Usage'!$R86*'Weekly Summary'!AS$64)+('Equipment List &amp; Usage'!$S86*'Weekly Summary'!AS$65)+('Equipment List &amp; Usage'!$T86*('Weekly Summary'!AS$64+'Weekly Summary'!AS$65)),
IF(AY$10=0,('Equipment List &amp; Usage'!$O86*'Weekly Summary'!AS$52)+('Equipment List &amp; Usage'!$P86*'Weekly Summary'!AS$53)+('Equipment List &amp; Usage'!$Q86*('Weekly Summary'!AS$52+'Weekly Summary'!AS$53))+('Equipment List &amp; Usage'!$R86*'Weekly Summary'!AS$64)+('Equipment List &amp; Usage'!$S86*'Weekly Summary'!AS$65)+('Equipment List &amp; Usage'!$T86*('Weekly Summary'!AS$64+'Weekly Summary'!AS$65)),
('Equipment List &amp; Usage'!$O86*'Weekly Summary'!AS$52)+('Equipment List &amp; Usage'!$P86*'Weekly Summary'!AS$53)+('Equipment List &amp; Usage'!$Q86*('Weekly Summary'!AS$52+'Weekly Summary'!AS$53))+('Equipment List &amp; Usage'!$R86*'Weekly Summary'!AS$64)+('Equipment List &amp; Usage'!$S86*'Weekly Summary'!AS$65)+('Equipment List &amp; Usage'!$T86*('Weekly Summary'!AS$64+'Weekly Summary'!AS$65))-SUM($I84:AX84))),0)</f>
        <v>0</v>
      </c>
      <c r="AZ84" s="1383">
        <f ca="1">MAX(IF($F84="No",('Equipment List &amp; Usage'!$O86*'Weekly Summary'!AT$52)+('Equipment List &amp; Usage'!$P86*'Weekly Summary'!AT$53)+('Equipment List &amp; Usage'!$Q86*('Weekly Summary'!AT$52+'Weekly Summary'!AT$53))+('Equipment List &amp; Usage'!$R86*'Weekly Summary'!AT$64)+('Equipment List &amp; Usage'!$S86*'Weekly Summary'!AT$65)+('Equipment List &amp; Usage'!$T86*('Weekly Summary'!AT$64+'Weekly Summary'!AT$65)),
IF(AZ$10=0,('Equipment List &amp; Usage'!$O86*'Weekly Summary'!AT$52)+('Equipment List &amp; Usage'!$P86*'Weekly Summary'!AT$53)+('Equipment List &amp; Usage'!$Q86*('Weekly Summary'!AT$52+'Weekly Summary'!AT$53))+('Equipment List &amp; Usage'!$R86*'Weekly Summary'!AT$64)+('Equipment List &amp; Usage'!$S86*'Weekly Summary'!AT$65)+('Equipment List &amp; Usage'!$T86*('Weekly Summary'!AT$64+'Weekly Summary'!AT$65)),
('Equipment List &amp; Usage'!$O86*'Weekly Summary'!AT$52)+('Equipment List &amp; Usage'!$P86*'Weekly Summary'!AT$53)+('Equipment List &amp; Usage'!$Q86*('Weekly Summary'!AT$52+'Weekly Summary'!AT$53))+('Equipment List &amp; Usage'!$R86*'Weekly Summary'!AT$64)+('Equipment List &amp; Usage'!$S86*'Weekly Summary'!AT$65)+('Equipment List &amp; Usage'!$T86*('Weekly Summary'!AT$64+'Weekly Summary'!AT$65))-SUM($I84:AY84))),0)</f>
        <v>0</v>
      </c>
      <c r="BA84" s="1383">
        <f ca="1">MAX(IF($F84="No",('Equipment List &amp; Usage'!$O86*'Weekly Summary'!AU$52)+('Equipment List &amp; Usage'!$P86*'Weekly Summary'!AU$53)+('Equipment List &amp; Usage'!$Q86*('Weekly Summary'!AU$52+'Weekly Summary'!AU$53))+('Equipment List &amp; Usage'!$R86*'Weekly Summary'!AU$64)+('Equipment List &amp; Usage'!$S86*'Weekly Summary'!AU$65)+('Equipment List &amp; Usage'!$T86*('Weekly Summary'!AU$64+'Weekly Summary'!AU$65)),
IF(BA$10=0,('Equipment List &amp; Usage'!$O86*'Weekly Summary'!AU$52)+('Equipment List &amp; Usage'!$P86*'Weekly Summary'!AU$53)+('Equipment List &amp; Usage'!$Q86*('Weekly Summary'!AU$52+'Weekly Summary'!AU$53))+('Equipment List &amp; Usage'!$R86*'Weekly Summary'!AU$64)+('Equipment List &amp; Usage'!$S86*'Weekly Summary'!AU$65)+('Equipment List &amp; Usage'!$T86*('Weekly Summary'!AU$64+'Weekly Summary'!AU$65)),
('Equipment List &amp; Usage'!$O86*'Weekly Summary'!AU$52)+('Equipment List &amp; Usage'!$P86*'Weekly Summary'!AU$53)+('Equipment List &amp; Usage'!$Q86*('Weekly Summary'!AU$52+'Weekly Summary'!AU$53))+('Equipment List &amp; Usage'!$R86*'Weekly Summary'!AU$64)+('Equipment List &amp; Usage'!$S86*'Weekly Summary'!AU$65)+('Equipment List &amp; Usage'!$T86*('Weekly Summary'!AU$64+'Weekly Summary'!AU$65))-SUM($I84:AZ84))),0)</f>
        <v>0</v>
      </c>
      <c r="BB84" s="1383">
        <f ca="1">MAX(IF($F84="No",('Equipment List &amp; Usage'!$O86*'Weekly Summary'!AV$52)+('Equipment List &amp; Usage'!$P86*'Weekly Summary'!AV$53)+('Equipment List &amp; Usage'!$Q86*('Weekly Summary'!AV$52+'Weekly Summary'!AV$53))+('Equipment List &amp; Usage'!$R86*'Weekly Summary'!AV$64)+('Equipment List &amp; Usage'!$S86*'Weekly Summary'!AV$65)+('Equipment List &amp; Usage'!$T86*('Weekly Summary'!AV$64+'Weekly Summary'!AV$65)),
IF(BB$10=0,('Equipment List &amp; Usage'!$O86*'Weekly Summary'!AV$52)+('Equipment List &amp; Usage'!$P86*'Weekly Summary'!AV$53)+('Equipment List &amp; Usage'!$Q86*('Weekly Summary'!AV$52+'Weekly Summary'!AV$53))+('Equipment List &amp; Usage'!$R86*'Weekly Summary'!AV$64)+('Equipment List &amp; Usage'!$S86*'Weekly Summary'!AV$65)+('Equipment List &amp; Usage'!$T86*('Weekly Summary'!AV$64+'Weekly Summary'!AV$65)),
('Equipment List &amp; Usage'!$O86*'Weekly Summary'!AV$52)+('Equipment List &amp; Usage'!$P86*'Weekly Summary'!AV$53)+('Equipment List &amp; Usage'!$Q86*('Weekly Summary'!AV$52+'Weekly Summary'!AV$53))+('Equipment List &amp; Usage'!$R86*'Weekly Summary'!AV$64)+('Equipment List &amp; Usage'!$S86*'Weekly Summary'!AV$65)+('Equipment List &amp; Usage'!$T86*('Weekly Summary'!AV$64+'Weekly Summary'!AV$65))-SUM($I84:BA84))),0)</f>
        <v>0</v>
      </c>
      <c r="BC84" s="1383">
        <f ca="1">MAX(IF($F84="No",('Equipment List &amp; Usage'!$O86*'Weekly Summary'!AW$52)+('Equipment List &amp; Usage'!$P86*'Weekly Summary'!AW$53)+('Equipment List &amp; Usage'!$Q86*('Weekly Summary'!AW$52+'Weekly Summary'!AW$53))+('Equipment List &amp; Usage'!$R86*'Weekly Summary'!AW$64)+('Equipment List &amp; Usage'!$S86*'Weekly Summary'!AW$65)+('Equipment List &amp; Usage'!$T86*('Weekly Summary'!AW$64+'Weekly Summary'!AW$65)),
IF(BC$10=0,('Equipment List &amp; Usage'!$O86*'Weekly Summary'!AW$52)+('Equipment List &amp; Usage'!$P86*'Weekly Summary'!AW$53)+('Equipment List &amp; Usage'!$Q86*('Weekly Summary'!AW$52+'Weekly Summary'!AW$53))+('Equipment List &amp; Usage'!$R86*'Weekly Summary'!AW$64)+('Equipment List &amp; Usage'!$S86*'Weekly Summary'!AW$65)+('Equipment List &amp; Usage'!$T86*('Weekly Summary'!AW$64+'Weekly Summary'!AW$65)),
('Equipment List &amp; Usage'!$O86*'Weekly Summary'!AW$52)+('Equipment List &amp; Usage'!$P86*'Weekly Summary'!AW$53)+('Equipment List &amp; Usage'!$Q86*('Weekly Summary'!AW$52+'Weekly Summary'!AW$53))+('Equipment List &amp; Usage'!$R86*'Weekly Summary'!AW$64)+('Equipment List &amp; Usage'!$S86*'Weekly Summary'!AW$65)+('Equipment List &amp; Usage'!$T86*('Weekly Summary'!AW$64+'Weekly Summary'!AW$65))-SUM($I84:BB84))),0)</f>
        <v>0</v>
      </c>
      <c r="BD84" s="1383">
        <f ca="1">MAX(IF($F84="No",('Equipment List &amp; Usage'!$O86*'Weekly Summary'!AX$52)+('Equipment List &amp; Usage'!$P86*'Weekly Summary'!AX$53)+('Equipment List &amp; Usage'!$Q86*('Weekly Summary'!AX$52+'Weekly Summary'!AX$53))+('Equipment List &amp; Usage'!$R86*'Weekly Summary'!AX$64)+('Equipment List &amp; Usage'!$S86*'Weekly Summary'!AX$65)+('Equipment List &amp; Usage'!$T86*('Weekly Summary'!AX$64+'Weekly Summary'!AX$65)),
IF(BD$10=0,('Equipment List &amp; Usage'!$O86*'Weekly Summary'!AX$52)+('Equipment List &amp; Usage'!$P86*'Weekly Summary'!AX$53)+('Equipment List &amp; Usage'!$Q86*('Weekly Summary'!AX$52+'Weekly Summary'!AX$53))+('Equipment List &amp; Usage'!$R86*'Weekly Summary'!AX$64)+('Equipment List &amp; Usage'!$S86*'Weekly Summary'!AX$65)+('Equipment List &amp; Usage'!$T86*('Weekly Summary'!AX$64+'Weekly Summary'!AX$65)),
('Equipment List &amp; Usage'!$O86*'Weekly Summary'!AX$52)+('Equipment List &amp; Usage'!$P86*'Weekly Summary'!AX$53)+('Equipment List &amp; Usage'!$Q86*('Weekly Summary'!AX$52+'Weekly Summary'!AX$53))+('Equipment List &amp; Usage'!$R86*'Weekly Summary'!AX$64)+('Equipment List &amp; Usage'!$S86*'Weekly Summary'!AX$65)+('Equipment List &amp; Usage'!$T86*('Weekly Summary'!AX$64+'Weekly Summary'!AX$65))-SUM($I84:BC84))),0)</f>
        <v>0</v>
      </c>
      <c r="BE84" s="1383">
        <f ca="1">MAX(IF($F84="No",('Equipment List &amp; Usage'!$O86*'Weekly Summary'!AY$52)+('Equipment List &amp; Usage'!$P86*'Weekly Summary'!AY$53)+('Equipment List &amp; Usage'!$Q86*('Weekly Summary'!AY$52+'Weekly Summary'!AY$53))+('Equipment List &amp; Usage'!$R86*'Weekly Summary'!AY$64)+('Equipment List &amp; Usage'!$S86*'Weekly Summary'!AY$65)+('Equipment List &amp; Usage'!$T86*('Weekly Summary'!AY$64+'Weekly Summary'!AY$65)),
IF(BE$10=0,('Equipment List &amp; Usage'!$O86*'Weekly Summary'!AY$52)+('Equipment List &amp; Usage'!$P86*'Weekly Summary'!AY$53)+('Equipment List &amp; Usage'!$Q86*('Weekly Summary'!AY$52+'Weekly Summary'!AY$53))+('Equipment List &amp; Usage'!$R86*'Weekly Summary'!AY$64)+('Equipment List &amp; Usage'!$S86*'Weekly Summary'!AY$65)+('Equipment List &amp; Usage'!$T86*('Weekly Summary'!AY$64+'Weekly Summary'!AY$65)),
('Equipment List &amp; Usage'!$O86*'Weekly Summary'!AY$52)+('Equipment List &amp; Usage'!$P86*'Weekly Summary'!AY$53)+('Equipment List &amp; Usage'!$Q86*('Weekly Summary'!AY$52+'Weekly Summary'!AY$53))+('Equipment List &amp; Usage'!$R86*'Weekly Summary'!AY$64)+('Equipment List &amp; Usage'!$S86*'Weekly Summary'!AY$65)+('Equipment List &amp; Usage'!$T86*('Weekly Summary'!AY$64+'Weekly Summary'!AY$65))-SUM($I84:BD84))),0)</f>
        <v>0</v>
      </c>
      <c r="BF84" s="1383">
        <f ca="1">MAX(IF($F84="No",('Equipment List &amp; Usage'!$O86*'Weekly Summary'!AZ$52)+('Equipment List &amp; Usage'!$P86*'Weekly Summary'!AZ$53)+('Equipment List &amp; Usage'!$Q86*('Weekly Summary'!AZ$52+'Weekly Summary'!AZ$53))+('Equipment List &amp; Usage'!$R86*'Weekly Summary'!AZ$64)+('Equipment List &amp; Usage'!$S86*'Weekly Summary'!AZ$65)+('Equipment List &amp; Usage'!$T86*('Weekly Summary'!AZ$64+'Weekly Summary'!AZ$65)),
IF(BF$10=0,('Equipment List &amp; Usage'!$O86*'Weekly Summary'!AZ$52)+('Equipment List &amp; Usage'!$P86*'Weekly Summary'!AZ$53)+('Equipment List &amp; Usage'!$Q86*('Weekly Summary'!AZ$52+'Weekly Summary'!AZ$53))+('Equipment List &amp; Usage'!$R86*'Weekly Summary'!AZ$64)+('Equipment List &amp; Usage'!$S86*'Weekly Summary'!AZ$65)+('Equipment List &amp; Usage'!$T86*('Weekly Summary'!AZ$64+'Weekly Summary'!AZ$65)),
('Equipment List &amp; Usage'!$O86*'Weekly Summary'!AZ$52)+('Equipment List &amp; Usage'!$P86*'Weekly Summary'!AZ$53)+('Equipment List &amp; Usage'!$Q86*('Weekly Summary'!AZ$52+'Weekly Summary'!AZ$53))+('Equipment List &amp; Usage'!$R86*'Weekly Summary'!AZ$64)+('Equipment List &amp; Usage'!$S86*'Weekly Summary'!AZ$65)+('Equipment List &amp; Usage'!$T86*('Weekly Summary'!AZ$64+'Weekly Summary'!AZ$65))-SUM($I84:BE84))),0)</f>
        <v>0</v>
      </c>
      <c r="BG84" s="1383">
        <f ca="1">MAX(IF($F84="No",('Equipment List &amp; Usage'!$O86*'Weekly Summary'!BA$52)+('Equipment List &amp; Usage'!$P86*'Weekly Summary'!BA$53)+('Equipment List &amp; Usage'!$Q86*('Weekly Summary'!BA$52+'Weekly Summary'!BA$53))+('Equipment List &amp; Usage'!$R86*'Weekly Summary'!BA$64)+('Equipment List &amp; Usage'!$S86*'Weekly Summary'!BA$65)+('Equipment List &amp; Usage'!$T86*('Weekly Summary'!BA$64+'Weekly Summary'!BA$65)),
IF(BG$10=0,('Equipment List &amp; Usage'!$O86*'Weekly Summary'!BA$52)+('Equipment List &amp; Usage'!$P86*'Weekly Summary'!BA$53)+('Equipment List &amp; Usage'!$Q86*('Weekly Summary'!BA$52+'Weekly Summary'!BA$53))+('Equipment List &amp; Usage'!$R86*'Weekly Summary'!BA$64)+('Equipment List &amp; Usage'!$S86*'Weekly Summary'!BA$65)+('Equipment List &amp; Usage'!$T86*('Weekly Summary'!BA$64+'Weekly Summary'!BA$65)),
('Equipment List &amp; Usage'!$O86*'Weekly Summary'!BA$52)+('Equipment List &amp; Usage'!$P86*'Weekly Summary'!BA$53)+('Equipment List &amp; Usage'!$Q86*('Weekly Summary'!BA$52+'Weekly Summary'!BA$53))+('Equipment List &amp; Usage'!$R86*'Weekly Summary'!BA$64)+('Equipment List &amp; Usage'!$S86*'Weekly Summary'!BA$65)+('Equipment List &amp; Usage'!$T86*('Weekly Summary'!BA$64+'Weekly Summary'!BA$65))-SUM($I84:BF84))),0)</f>
        <v>0</v>
      </c>
      <c r="BH84" s="1383">
        <f ca="1">MAX(IF($F84="No",('Equipment List &amp; Usage'!$O86*'Weekly Summary'!BB$52)+('Equipment List &amp; Usage'!$P86*'Weekly Summary'!BB$53)+('Equipment List &amp; Usage'!$Q86*('Weekly Summary'!BB$52+'Weekly Summary'!BB$53))+('Equipment List &amp; Usage'!$R86*'Weekly Summary'!BB$64)+('Equipment List &amp; Usage'!$S86*'Weekly Summary'!BB$65)+('Equipment List &amp; Usage'!$T86*('Weekly Summary'!BB$64+'Weekly Summary'!BB$65)),
IF(BH$10=0,('Equipment List &amp; Usage'!$O86*'Weekly Summary'!BB$52)+('Equipment List &amp; Usage'!$P86*'Weekly Summary'!BB$53)+('Equipment List &amp; Usage'!$Q86*('Weekly Summary'!BB$52+'Weekly Summary'!BB$53))+('Equipment List &amp; Usage'!$R86*'Weekly Summary'!BB$64)+('Equipment List &amp; Usage'!$S86*'Weekly Summary'!BB$65)+('Equipment List &amp; Usage'!$T86*('Weekly Summary'!BB$64+'Weekly Summary'!BB$65)),
('Equipment List &amp; Usage'!$O86*'Weekly Summary'!BB$52)+('Equipment List &amp; Usage'!$P86*'Weekly Summary'!BB$53)+('Equipment List &amp; Usage'!$Q86*('Weekly Summary'!BB$52+'Weekly Summary'!BB$53))+('Equipment List &amp; Usage'!$R86*'Weekly Summary'!BB$64)+('Equipment List &amp; Usage'!$S86*'Weekly Summary'!BB$65)+('Equipment List &amp; Usage'!$T86*('Weekly Summary'!BB$64+'Weekly Summary'!BB$65))-SUM($I84:BG84))),0)</f>
        <v>0</v>
      </c>
      <c r="BI84" s="1383">
        <f ca="1">MAX(IF($F84="No",('Equipment List &amp; Usage'!$O86*'Weekly Summary'!BC$52)+('Equipment List &amp; Usage'!$P86*'Weekly Summary'!BC$53)+('Equipment List &amp; Usage'!$Q86*('Weekly Summary'!BC$52+'Weekly Summary'!BC$53))+('Equipment List &amp; Usage'!$R86*'Weekly Summary'!BC$64)+('Equipment List &amp; Usage'!$S86*'Weekly Summary'!BC$65)+('Equipment List &amp; Usage'!$T86*('Weekly Summary'!BC$64+'Weekly Summary'!BC$65)),
IF(BI$10=0,('Equipment List &amp; Usage'!$O86*'Weekly Summary'!BC$52)+('Equipment List &amp; Usage'!$P86*'Weekly Summary'!BC$53)+('Equipment List &amp; Usage'!$Q86*('Weekly Summary'!BC$52+'Weekly Summary'!BC$53))+('Equipment List &amp; Usage'!$R86*'Weekly Summary'!BC$64)+('Equipment List &amp; Usage'!$S86*'Weekly Summary'!BC$65)+('Equipment List &amp; Usage'!$T86*('Weekly Summary'!BC$64+'Weekly Summary'!BC$65)),
('Equipment List &amp; Usage'!$O86*'Weekly Summary'!BC$52)+('Equipment List &amp; Usage'!$P86*'Weekly Summary'!BC$53)+('Equipment List &amp; Usage'!$Q86*('Weekly Summary'!BC$52+'Weekly Summary'!BC$53))+('Equipment List &amp; Usage'!$R86*'Weekly Summary'!BC$64)+('Equipment List &amp; Usage'!$S86*'Weekly Summary'!BC$65)+('Equipment List &amp; Usage'!$T86*('Weekly Summary'!BC$64+'Weekly Summary'!BC$65))-SUM($I84:BH84))),0)</f>
        <v>0</v>
      </c>
      <c r="BJ84" s="1384">
        <f ca="1">MAX(IF($F84="No",('Equipment List &amp; Usage'!$O86*'Weekly Summary'!BD$52)+('Equipment List &amp; Usage'!$P86*'Weekly Summary'!BD$53)+('Equipment List &amp; Usage'!$Q86*('Weekly Summary'!BD$52+'Weekly Summary'!BD$53))+('Equipment List &amp; Usage'!$R86*'Weekly Summary'!BD$64)+('Equipment List &amp; Usage'!$S86*'Weekly Summary'!BD$65)+('Equipment List &amp; Usage'!$T86*('Weekly Summary'!BD$64+'Weekly Summary'!BD$65)),
IF(BJ$10=0,('Equipment List &amp; Usage'!$O86*'Weekly Summary'!BD$52)+('Equipment List &amp; Usage'!$P86*'Weekly Summary'!BD$53)+('Equipment List &amp; Usage'!$Q86*('Weekly Summary'!BD$52+'Weekly Summary'!BD$53))+('Equipment List &amp; Usage'!$R86*'Weekly Summary'!BD$64)+('Equipment List &amp; Usage'!$S86*'Weekly Summary'!BD$65)+('Equipment List &amp; Usage'!$T86*('Weekly Summary'!BD$64+'Weekly Summary'!BD$65)),
('Equipment List &amp; Usage'!$O86*'Weekly Summary'!BD$52)+('Equipment List &amp; Usage'!$P86*'Weekly Summary'!BD$53)+('Equipment List &amp; Usage'!$Q86*('Weekly Summary'!BD$52+'Weekly Summary'!BD$53))+('Equipment List &amp; Usage'!$R86*'Weekly Summary'!BD$64)+('Equipment List &amp; Usage'!$S86*'Weekly Summary'!BD$65)+('Equipment List &amp; Usage'!$T86*('Weekly Summary'!BD$64+'Weekly Summary'!BD$65))-SUM($I84:BI84))),0)</f>
        <v>0</v>
      </c>
    </row>
    <row r="90" spans="2:62" x14ac:dyDescent="0.35">
      <c r="B90" s="1389" t="s">
        <v>1898</v>
      </c>
      <c r="C90" s="1389"/>
      <c r="D90" s="1389"/>
      <c r="E90" s="1389"/>
      <c r="F90" s="1389"/>
      <c r="G90" s="1389"/>
    </row>
    <row r="91" spans="2:62" x14ac:dyDescent="0.35">
      <c r="B91" s="909" t="s">
        <v>1897</v>
      </c>
      <c r="C91" s="909"/>
    </row>
  </sheetData>
  <sheetProtection algorithmName="SHA-512" hashValue="G1SJc1zt5D578jpgmKM8rZmCWNgZaS5Xu05A6hthccm4v8I0Cvi1b9/7bnPXOudnRSMJduRNdRh2TVW1VqsMLQ==" saltValue="Qm89br6tBsb1QklI51oXEA==" spinCount="100000" sheet="1" objects="1" scenarios="1"/>
  <mergeCells count="3">
    <mergeCell ref="B48:G48"/>
    <mergeCell ref="B4:D7"/>
    <mergeCell ref="B90:G90"/>
  </mergeCells>
  <hyperlinks>
    <hyperlink ref="G45" location="Toggle_Drugs" display="Click to see list of drugs" xr:uid="{00000000-0004-0000-0900-000000000000}"/>
    <hyperlink ref="G46" location="Toggle_Consumables" display="Click to see list of consumables" xr:uid="{00000000-0004-0000-0900-000001000000}"/>
    <hyperlink ref="G8" location="Toggle_biomedical" display="Biomedical Equipment" xr:uid="{00000000-0004-0000-0900-000002000000}"/>
    <hyperlink ref="G7" location="Toggle_Diagnostics" display="Diagnostics" xr:uid="{00000000-0004-0000-0900-000003000000}"/>
    <hyperlink ref="G6" location="Toggle_PPE" display="PPE" xr:uid="{00000000-0004-0000-0900-000004000000}"/>
    <hyperlink ref="G5" location="Toggle_Hygiene" display="Hygiene" xr:uid="{00000000-0004-0000-0900-000005000000}"/>
    <hyperlink ref="B90" r:id="rId1" display="https://creativecommons.org/licenses/by-nc-sa/3.0/igo" xr:uid="{74B51218-FE62-42ED-8684-D739C3912B85}"/>
  </hyperlinks>
  <pageMargins left="0.7" right="0.7" top="0.75" bottom="0.75" header="0.3" footer="0.3"/>
  <pageSetup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ellIs" priority="3" operator="between" id="{9FADF950-472A-4003-B851-3BE16D37E13C}">
            <xm:f>'Back Calculations'!$C$123</xm:f>
            <xm:f>'Back Calculations'!$C$124</xm:f>
            <x14:dxf>
              <font>
                <color rgb="FF9C6500"/>
              </font>
              <fill>
                <patternFill>
                  <bgColor rgb="FFFFEB9C"/>
                </patternFill>
              </fill>
            </x14:dxf>
          </x14:cfRule>
          <xm:sqref>K10:BJ10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R145"/>
  <sheetViews>
    <sheetView showGridLines="0" zoomScale="85" zoomScaleNormal="85" workbookViewId="0">
      <selection activeCell="B4" sqref="B4:K4"/>
    </sheetView>
  </sheetViews>
  <sheetFormatPr defaultColWidth="8.453125" defaultRowHeight="14.5" x14ac:dyDescent="0.35"/>
  <cols>
    <col min="1" max="1" width="3.453125" customWidth="1"/>
    <col min="2" max="2" width="9.453125" customWidth="1"/>
    <col min="3" max="3" width="54.453125" customWidth="1"/>
    <col min="4" max="4" width="18.453125" bestFit="1" customWidth="1"/>
    <col min="5" max="18" width="17.1796875" customWidth="1"/>
    <col min="19" max="19" width="17.1796875" style="41" customWidth="1"/>
    <col min="20" max="30" width="17.1796875" customWidth="1"/>
    <col min="31" max="56" width="17.1796875" style="41" customWidth="1"/>
    <col min="57" max="57" width="3.81640625" style="41" customWidth="1"/>
    <col min="58" max="58" width="18.26953125" style="41" customWidth="1"/>
    <col min="59" max="59" width="4.453125" style="41" customWidth="1"/>
    <col min="60" max="60" width="14.453125" style="41" customWidth="1"/>
    <col min="61" max="70" width="13" style="41" customWidth="1"/>
    <col min="72" max="72" width="23.453125" bestFit="1" customWidth="1"/>
    <col min="74" max="74" width="22.453125" bestFit="1" customWidth="1"/>
  </cols>
  <sheetData>
    <row r="1" spans="2:60" ht="37" customHeight="1" x14ac:dyDescent="0.35"/>
    <row r="2" spans="2:60" s="23" customFormat="1" ht="18.5" x14ac:dyDescent="0.45">
      <c r="B2" s="23" t="s">
        <v>1887</v>
      </c>
      <c r="E2" s="24"/>
      <c r="F2" s="24"/>
      <c r="G2" s="24"/>
    </row>
    <row r="4" spans="2:60" x14ac:dyDescent="0.35">
      <c r="B4" s="1588" t="s">
        <v>968</v>
      </c>
      <c r="C4" s="1588"/>
      <c r="D4" s="1588"/>
      <c r="E4" s="1588"/>
      <c r="F4" s="1588"/>
      <c r="G4" s="1588"/>
      <c r="H4" s="1588"/>
      <c r="I4" s="1588"/>
      <c r="J4" s="1588"/>
      <c r="K4" s="1588"/>
      <c r="L4" s="65"/>
      <c r="M4" s="65"/>
      <c r="N4" s="65"/>
      <c r="O4" s="65"/>
    </row>
    <row r="5" spans="2:60" s="722" customFormat="1" x14ac:dyDescent="0.35">
      <c r="B5" s="879" t="s">
        <v>1520</v>
      </c>
      <c r="C5" s="872"/>
      <c r="D5" s="872"/>
      <c r="E5" s="872"/>
      <c r="F5" s="872"/>
      <c r="H5" s="872"/>
      <c r="I5" s="872"/>
      <c r="J5" s="1032" t="s">
        <v>1361</v>
      </c>
      <c r="K5" s="872"/>
      <c r="L5" s="65"/>
      <c r="M5" s="65"/>
      <c r="N5" s="65"/>
      <c r="O5" s="65"/>
    </row>
    <row r="6" spans="2:60" s="129" customFormat="1" x14ac:dyDescent="0.35">
      <c r="B6" s="1588" t="s">
        <v>1519</v>
      </c>
      <c r="C6" s="1588"/>
      <c r="D6" s="1588"/>
      <c r="E6" s="1588"/>
      <c r="F6" s="1588"/>
      <c r="G6" s="1588"/>
      <c r="H6" s="1588"/>
      <c r="I6" s="1588"/>
      <c r="J6" s="1588"/>
      <c r="K6" s="1588"/>
      <c r="BH6" s="28"/>
    </row>
    <row r="7" spans="2:60" ht="17.149999999999999" customHeight="1" x14ac:dyDescent="0.35">
      <c r="B7" s="65"/>
      <c r="C7" s="65"/>
      <c r="D7" s="65"/>
      <c r="E7" s="65"/>
      <c r="F7" s="65"/>
      <c r="G7" s="65"/>
      <c r="H7" s="65"/>
      <c r="I7" s="65"/>
      <c r="J7" s="65"/>
      <c r="K7" s="65"/>
      <c r="L7" s="65"/>
      <c r="M7" s="65"/>
      <c r="N7" s="65"/>
      <c r="O7" s="65"/>
    </row>
    <row r="8" spans="2:60" s="11" customFormat="1" x14ac:dyDescent="0.35">
      <c r="B8" s="42" t="s">
        <v>771</v>
      </c>
      <c r="C8" s="42"/>
    </row>
    <row r="9" spans="2:60" s="6" customFormat="1" x14ac:dyDescent="0.35">
      <c r="B9" s="17" t="s">
        <v>1779</v>
      </c>
      <c r="C9" s="202"/>
      <c r="D9" s="202"/>
    </row>
    <row r="10" spans="2:60" s="41" customFormat="1" x14ac:dyDescent="0.35">
      <c r="B10" s="41" t="s">
        <v>1336</v>
      </c>
      <c r="D10" s="232">
        <f>IF(ISBLANK(Inputs!$I$97),Output_beds_in_country,Inputs!$I$97)</f>
        <v>37359</v>
      </c>
    </row>
    <row r="11" spans="2:60" s="41" customFormat="1" x14ac:dyDescent="0.35">
      <c r="B11" s="41" t="s">
        <v>1335</v>
      </c>
      <c r="D11" s="232">
        <f>((1-Inputs!I100)*Inputs!I97)</f>
        <v>22415.399999999998</v>
      </c>
      <c r="E11" s="238" t="s">
        <v>818</v>
      </c>
      <c r="L11" s="32"/>
    </row>
    <row r="12" spans="2:60" s="41" customFormat="1" x14ac:dyDescent="0.35">
      <c r="B12" s="41" t="s">
        <v>641</v>
      </c>
      <c r="D12" s="233">
        <f>D11-D13</f>
        <v>21526.255799999999</v>
      </c>
      <c r="E12" s="238" t="s">
        <v>1322</v>
      </c>
      <c r="H12" s="55"/>
    </row>
    <row r="13" spans="2:60" s="41" customFormat="1" x14ac:dyDescent="0.35">
      <c r="B13" s="41" t="s">
        <v>640</v>
      </c>
      <c r="D13" s="232">
        <f>IF(ISBLANK(Inputs!I102),$D$10*IF(Inputs!$E$35="Manual",'WB Beds'!$BR$840,INDEX('HCW, Staff, Beds Summary'!$L$7:$L$270,MATCH(Inputs!$E$35,'WB Beds'!$B$827:$B$1090,0))/100),$D$10*Inputs!I102)</f>
        <v>889.14420000000007</v>
      </c>
      <c r="E13" s="239" t="s">
        <v>1321</v>
      </c>
      <c r="H13" s="55"/>
    </row>
    <row r="14" spans="2:60" s="909" customFormat="1" x14ac:dyDescent="0.35">
      <c r="D14" s="239"/>
      <c r="E14" s="239"/>
      <c r="H14" s="55"/>
    </row>
    <row r="15" spans="2:60" s="909" customFormat="1" x14ac:dyDescent="0.35">
      <c r="B15" s="18" t="s">
        <v>1780</v>
      </c>
      <c r="C15" s="18"/>
      <c r="D15" s="202"/>
      <c r="E15" s="239"/>
      <c r="H15" s="55"/>
    </row>
    <row r="16" spans="2:60" s="41" customFormat="1" x14ac:dyDescent="0.35">
      <c r="B16" s="41" t="s">
        <v>877</v>
      </c>
      <c r="C16" s="129"/>
      <c r="D16" s="232">
        <f ca="1">IF(ISBLANK(Inputs!$I$62),'Back Calculations'!$C$30,Inputs!$I$62*Inputs!$I$66)</f>
        <v>14493.149589194836</v>
      </c>
      <c r="E16" s="239" t="s">
        <v>1039</v>
      </c>
    </row>
    <row r="17" spans="2:70" s="41" customFormat="1" x14ac:dyDescent="0.35">
      <c r="B17" s="191" t="s">
        <v>1516</v>
      </c>
      <c r="C17" s="1"/>
      <c r="D17" s="641">
        <f ca="1">IF(ISBLANK(Inputs!$I$62),'Back Calculations'!$C$31,Inputs!$I$62*Inputs!$I$67)</f>
        <v>2054.2504108051635</v>
      </c>
      <c r="E17" s="1257" t="s">
        <v>1039</v>
      </c>
    </row>
    <row r="18" spans="2:70" s="41" customFormat="1" x14ac:dyDescent="0.35">
      <c r="B18" s="41" t="s">
        <v>799</v>
      </c>
      <c r="C18" s="129"/>
      <c r="D18" s="232">
        <f>IF(ISBLANK(Inputs!$I$162),'Back Calculations'!$C$32,IF(ISBLANK(Inputs!I164),Inputs!$I$162,Inputs!$I$162*Inputs!I164))</f>
        <v>312</v>
      </c>
      <c r="E18" s="239" t="s">
        <v>1304</v>
      </c>
      <c r="H18" s="55"/>
    </row>
    <row r="19" spans="2:70" s="41" customFormat="1" x14ac:dyDescent="0.35">
      <c r="B19" s="41" t="s">
        <v>876</v>
      </c>
      <c r="C19" s="129"/>
      <c r="D19" s="232">
        <f ca="1">'Back Calculations'!$C$33</f>
        <v>26862.195500635196</v>
      </c>
      <c r="E19" s="239" t="s">
        <v>1707</v>
      </c>
      <c r="H19" s="55"/>
    </row>
    <row r="20" spans="2:70" s="129" customFormat="1" x14ac:dyDescent="0.35">
      <c r="D20" s="239"/>
      <c r="E20" s="239"/>
      <c r="H20" s="55"/>
    </row>
    <row r="21" spans="2:70" s="25" customFormat="1" hidden="1" x14ac:dyDescent="0.35">
      <c r="B21" s="175" t="s">
        <v>969</v>
      </c>
    </row>
    <row r="22" spans="2:70" s="129" customFormat="1" hidden="1" x14ac:dyDescent="0.35">
      <c r="B22" s="129" t="s">
        <v>1071</v>
      </c>
      <c r="D22" s="232"/>
      <c r="E22" s="397" t="s">
        <v>1072</v>
      </c>
      <c r="F22" s="398"/>
      <c r="G22" s="398"/>
      <c r="H22" s="55"/>
    </row>
    <row r="23" spans="2:70" s="129" customFormat="1" hidden="1" x14ac:dyDescent="0.35">
      <c r="D23" s="239"/>
      <c r="E23" s="239"/>
      <c r="H23" s="55"/>
    </row>
    <row r="24" spans="2:70" s="25" customFormat="1" hidden="1" x14ac:dyDescent="0.35">
      <c r="B24" s="175" t="s">
        <v>1077</v>
      </c>
    </row>
    <row r="25" spans="2:70" s="129" customFormat="1" hidden="1" x14ac:dyDescent="0.35">
      <c r="B25" s="129" t="s">
        <v>1071</v>
      </c>
      <c r="D25" s="232">
        <v>1000000000</v>
      </c>
      <c r="E25" s="397" t="s">
        <v>1072</v>
      </c>
      <c r="F25" s="398"/>
      <c r="G25" s="398"/>
      <c r="H25" s="55"/>
    </row>
    <row r="26" spans="2:70" hidden="1" x14ac:dyDescent="0.35">
      <c r="S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row>
    <row r="27" spans="2:70" s="25" customFormat="1" hidden="1" x14ac:dyDescent="0.35">
      <c r="B27" s="175" t="s">
        <v>1105</v>
      </c>
    </row>
    <row r="28" spans="2:70" s="129" customFormat="1" hidden="1" x14ac:dyDescent="0.35">
      <c r="B28" s="129" t="s">
        <v>1074</v>
      </c>
      <c r="D28" s="232"/>
      <c r="E28" s="397" t="s">
        <v>1072</v>
      </c>
      <c r="F28" s="398"/>
      <c r="G28" s="398"/>
      <c r="H28" s="55"/>
    </row>
    <row r="29" spans="2:70" s="129" customFormat="1" hidden="1" x14ac:dyDescent="0.35">
      <c r="B29" s="129" t="s">
        <v>1073</v>
      </c>
      <c r="D29" s="232"/>
      <c r="E29" s="397" t="s">
        <v>1072</v>
      </c>
      <c r="F29" s="398"/>
      <c r="G29" s="398"/>
      <c r="H29" s="55"/>
    </row>
    <row r="30" spans="2:70" s="129" customFormat="1" hidden="1" x14ac:dyDescent="0.35">
      <c r="D30" s="239"/>
      <c r="E30" s="239"/>
      <c r="H30" s="55"/>
    </row>
    <row r="31" spans="2:70" s="25" customFormat="1" hidden="1" x14ac:dyDescent="0.35">
      <c r="B31" s="175" t="s">
        <v>1075</v>
      </c>
    </row>
    <row r="32" spans="2:70" s="129" customFormat="1" hidden="1" x14ac:dyDescent="0.35">
      <c r="B32" s="129" t="s">
        <v>1076</v>
      </c>
      <c r="D32" s="232"/>
      <c r="E32" s="397" t="s">
        <v>1072</v>
      </c>
      <c r="F32" s="398"/>
      <c r="G32" s="398"/>
      <c r="H32" s="55"/>
    </row>
    <row r="33" spans="1:70" s="129" customFormat="1" hidden="1" x14ac:dyDescent="0.35">
      <c r="D33" s="239"/>
      <c r="E33" s="239"/>
      <c r="H33" s="55"/>
    </row>
    <row r="34" spans="1:70" s="41" customFormat="1" hidden="1" x14ac:dyDescent="0.35">
      <c r="E34" s="29"/>
    </row>
    <row r="35" spans="1:70" s="395" customFormat="1" x14ac:dyDescent="0.35">
      <c r="B35" s="396" t="s">
        <v>1781</v>
      </c>
      <c r="D35" s="1587" t="s">
        <v>1078</v>
      </c>
      <c r="E35" s="1587"/>
      <c r="F35" s="1587"/>
      <c r="G35" s="1587"/>
      <c r="H35" s="1587"/>
      <c r="I35" s="1587"/>
      <c r="J35" s="1587"/>
      <c r="K35" s="1587"/>
      <c r="L35" s="1587"/>
      <c r="M35" s="1587"/>
      <c r="N35" s="1587"/>
      <c r="O35" s="1587"/>
      <c r="P35" s="1587"/>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c r="BA35" s="506"/>
      <c r="BB35" s="506"/>
      <c r="BC35" s="506"/>
      <c r="BD35" s="506"/>
    </row>
    <row r="36" spans="1:70" s="6" customFormat="1" x14ac:dyDescent="0.35">
      <c r="B36" s="35"/>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6"/>
      <c r="AC36" s="886"/>
      <c r="AD36" s="886"/>
      <c r="AE36" s="886"/>
      <c r="AF36" s="886"/>
      <c r="AG36" s="886"/>
      <c r="AH36" s="886"/>
      <c r="AI36" s="886"/>
      <c r="AJ36" s="886"/>
      <c r="AK36" s="886"/>
      <c r="AL36" s="886"/>
      <c r="AM36" s="886"/>
      <c r="AN36" s="886"/>
      <c r="AO36" s="886"/>
      <c r="AP36" s="886"/>
      <c r="AQ36" s="886"/>
      <c r="AR36" s="886"/>
      <c r="AS36" s="886"/>
      <c r="AT36" s="886"/>
      <c r="AU36" s="886"/>
      <c r="AV36" s="886"/>
      <c r="AW36" s="886"/>
      <c r="AX36" s="886"/>
      <c r="AY36" s="886"/>
      <c r="AZ36" s="886"/>
      <c r="BA36" s="886"/>
      <c r="BB36" s="886"/>
      <c r="BC36" s="886"/>
      <c r="BD36" s="886"/>
    </row>
    <row r="37" spans="1:70" ht="29" x14ac:dyDescent="0.35">
      <c r="D37" s="27" t="s">
        <v>1578</v>
      </c>
      <c r="E37" s="885" t="s">
        <v>1577</v>
      </c>
      <c r="F37" s="884"/>
      <c r="G37" s="884"/>
      <c r="H37" s="884"/>
      <c r="I37" s="884"/>
      <c r="J37" s="884"/>
      <c r="K37" s="884"/>
      <c r="L37" s="884"/>
      <c r="M37" s="884"/>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884"/>
      <c r="AS37" s="884"/>
      <c r="AT37" s="884"/>
      <c r="AU37" s="884"/>
      <c r="AV37" s="884"/>
      <c r="AW37" s="884"/>
      <c r="AX37" s="884"/>
      <c r="AY37" s="884"/>
      <c r="AZ37" s="884"/>
      <c r="BA37" s="884"/>
      <c r="BB37" s="884"/>
      <c r="BC37" s="884"/>
      <c r="BD37" s="884"/>
      <c r="BE37"/>
      <c r="BF37" s="1586" t="s">
        <v>599</v>
      </c>
      <c r="BG37"/>
      <c r="BH37" s="1585" t="s">
        <v>655</v>
      </c>
      <c r="BI37"/>
      <c r="BJ37"/>
      <c r="BK37"/>
      <c r="BL37"/>
      <c r="BM37"/>
      <c r="BN37"/>
      <c r="BO37"/>
      <c r="BP37"/>
      <c r="BQ37"/>
      <c r="BR37"/>
    </row>
    <row r="38" spans="1:70" s="909" customFormat="1" x14ac:dyDescent="0.35">
      <c r="D38" s="27"/>
      <c r="E38" s="885"/>
      <c r="F38" s="884"/>
      <c r="G38" s="884"/>
      <c r="H38" s="884"/>
      <c r="I38" s="884"/>
      <c r="J38" s="884"/>
      <c r="K38" s="884"/>
      <c r="L38" s="884"/>
      <c r="M38" s="884"/>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c r="AX38" s="884"/>
      <c r="AY38" s="884"/>
      <c r="AZ38" s="884"/>
      <c r="BA38" s="884"/>
      <c r="BB38" s="884"/>
      <c r="BC38" s="884"/>
      <c r="BD38" s="884"/>
      <c r="BF38" s="1586"/>
      <c r="BH38" s="1585"/>
    </row>
    <row r="39" spans="1:70" s="909" customFormat="1" x14ac:dyDescent="0.35">
      <c r="D39" s="1387">
        <f>'User Dashboard'!$H$14</f>
        <v>44065</v>
      </c>
      <c r="E39" s="1387">
        <f>DATE(YEAR(D39),MONTH(D39),DAY(D39)+7)</f>
        <v>44072</v>
      </c>
      <c r="F39" s="1387">
        <f>DATE(YEAR(E39),MONTH(E39),DAY(E39)+7)</f>
        <v>44079</v>
      </c>
      <c r="G39" s="1387">
        <f t="shared" ref="G39:BD39" si="0">DATE(YEAR(F39),MONTH(F39),DAY(F39)+7)</f>
        <v>44086</v>
      </c>
      <c r="H39" s="1387">
        <f t="shared" si="0"/>
        <v>44093</v>
      </c>
      <c r="I39" s="1387">
        <f t="shared" si="0"/>
        <v>44100</v>
      </c>
      <c r="J39" s="1387">
        <f t="shared" si="0"/>
        <v>44107</v>
      </c>
      <c r="K39" s="1387">
        <f t="shared" si="0"/>
        <v>44114</v>
      </c>
      <c r="L39" s="1387">
        <f t="shared" si="0"/>
        <v>44121</v>
      </c>
      <c r="M39" s="1387">
        <f t="shared" si="0"/>
        <v>44128</v>
      </c>
      <c r="N39" s="1387">
        <f t="shared" si="0"/>
        <v>44135</v>
      </c>
      <c r="O39" s="1387">
        <f t="shared" si="0"/>
        <v>44142</v>
      </c>
      <c r="P39" s="1387">
        <f t="shared" si="0"/>
        <v>44149</v>
      </c>
      <c r="Q39" s="1387">
        <f t="shared" si="0"/>
        <v>44156</v>
      </c>
      <c r="R39" s="1387">
        <f t="shared" si="0"/>
        <v>44163</v>
      </c>
      <c r="S39" s="1387">
        <f t="shared" si="0"/>
        <v>44170</v>
      </c>
      <c r="T39" s="1387">
        <f t="shared" si="0"/>
        <v>44177</v>
      </c>
      <c r="U39" s="1387">
        <f t="shared" si="0"/>
        <v>44184</v>
      </c>
      <c r="V39" s="1387">
        <f t="shared" si="0"/>
        <v>44191</v>
      </c>
      <c r="W39" s="1387">
        <f t="shared" si="0"/>
        <v>44198</v>
      </c>
      <c r="X39" s="1387">
        <f t="shared" si="0"/>
        <v>44205</v>
      </c>
      <c r="Y39" s="1387">
        <f t="shared" si="0"/>
        <v>44212</v>
      </c>
      <c r="Z39" s="1387">
        <f t="shared" si="0"/>
        <v>44219</v>
      </c>
      <c r="AA39" s="1387">
        <f t="shared" si="0"/>
        <v>44226</v>
      </c>
      <c r="AB39" s="1387">
        <f t="shared" si="0"/>
        <v>44233</v>
      </c>
      <c r="AC39" s="1387">
        <f t="shared" si="0"/>
        <v>44240</v>
      </c>
      <c r="AD39" s="1387">
        <f t="shared" si="0"/>
        <v>44247</v>
      </c>
      <c r="AE39" s="1387">
        <f t="shared" si="0"/>
        <v>44254</v>
      </c>
      <c r="AF39" s="1387">
        <f t="shared" si="0"/>
        <v>44261</v>
      </c>
      <c r="AG39" s="1387">
        <f t="shared" si="0"/>
        <v>44268</v>
      </c>
      <c r="AH39" s="1387">
        <f t="shared" si="0"/>
        <v>44275</v>
      </c>
      <c r="AI39" s="1387">
        <f t="shared" si="0"/>
        <v>44282</v>
      </c>
      <c r="AJ39" s="1387">
        <f t="shared" si="0"/>
        <v>44289</v>
      </c>
      <c r="AK39" s="1387">
        <f t="shared" si="0"/>
        <v>44296</v>
      </c>
      <c r="AL39" s="1387">
        <f t="shared" si="0"/>
        <v>44303</v>
      </c>
      <c r="AM39" s="1387">
        <f t="shared" si="0"/>
        <v>44310</v>
      </c>
      <c r="AN39" s="1387">
        <f t="shared" si="0"/>
        <v>44317</v>
      </c>
      <c r="AO39" s="1387">
        <f t="shared" si="0"/>
        <v>44324</v>
      </c>
      <c r="AP39" s="1387">
        <f t="shared" si="0"/>
        <v>44331</v>
      </c>
      <c r="AQ39" s="1387">
        <f t="shared" si="0"/>
        <v>44338</v>
      </c>
      <c r="AR39" s="1387">
        <f t="shared" si="0"/>
        <v>44345</v>
      </c>
      <c r="AS39" s="1387">
        <f t="shared" si="0"/>
        <v>44352</v>
      </c>
      <c r="AT39" s="1387">
        <f t="shared" si="0"/>
        <v>44359</v>
      </c>
      <c r="AU39" s="1387">
        <f t="shared" si="0"/>
        <v>44366</v>
      </c>
      <c r="AV39" s="1387">
        <f t="shared" si="0"/>
        <v>44373</v>
      </c>
      <c r="AW39" s="1387">
        <f t="shared" si="0"/>
        <v>44380</v>
      </c>
      <c r="AX39" s="1387">
        <f t="shared" si="0"/>
        <v>44387</v>
      </c>
      <c r="AY39" s="1387">
        <f t="shared" si="0"/>
        <v>44394</v>
      </c>
      <c r="AZ39" s="1387">
        <f t="shared" si="0"/>
        <v>44401</v>
      </c>
      <c r="BA39" s="1387">
        <f t="shared" si="0"/>
        <v>44408</v>
      </c>
      <c r="BB39" s="1387">
        <f t="shared" si="0"/>
        <v>44415</v>
      </c>
      <c r="BC39" s="1387">
        <f t="shared" si="0"/>
        <v>44422</v>
      </c>
      <c r="BD39" s="1387">
        <f t="shared" si="0"/>
        <v>44429</v>
      </c>
      <c r="BF39" s="1586"/>
      <c r="BH39" s="1585"/>
    </row>
    <row r="40" spans="1:70" x14ac:dyDescent="0.35">
      <c r="D40" s="1335">
        <v>0</v>
      </c>
      <c r="E40" s="1335">
        <v>1</v>
      </c>
      <c r="F40" s="1335">
        <v>2</v>
      </c>
      <c r="G40" s="1335">
        <v>3</v>
      </c>
      <c r="H40" s="1335">
        <v>4</v>
      </c>
      <c r="I40" s="1355">
        <v>5</v>
      </c>
      <c r="J40" s="1355">
        <v>6</v>
      </c>
      <c r="K40" s="1355">
        <v>7</v>
      </c>
      <c r="L40" s="1355">
        <v>8</v>
      </c>
      <c r="M40" s="1335">
        <v>9</v>
      </c>
      <c r="N40" s="1335">
        <v>10</v>
      </c>
      <c r="O40" s="1335">
        <v>11</v>
      </c>
      <c r="P40" s="1335">
        <v>12</v>
      </c>
      <c r="Q40" s="1335">
        <v>13</v>
      </c>
      <c r="R40" s="1335">
        <v>14</v>
      </c>
      <c r="S40" s="1335">
        <v>15</v>
      </c>
      <c r="T40" s="1335">
        <v>16</v>
      </c>
      <c r="U40" s="1335">
        <v>17</v>
      </c>
      <c r="V40" s="1335">
        <v>18</v>
      </c>
      <c r="W40" s="1335">
        <v>19</v>
      </c>
      <c r="X40" s="1335">
        <v>20</v>
      </c>
      <c r="Y40" s="1335">
        <v>21</v>
      </c>
      <c r="Z40" s="1335">
        <v>22</v>
      </c>
      <c r="AA40" s="1335">
        <v>23</v>
      </c>
      <c r="AB40" s="1335">
        <v>24</v>
      </c>
      <c r="AC40" s="1335">
        <v>25</v>
      </c>
      <c r="AD40" s="1335">
        <v>26</v>
      </c>
      <c r="AE40" s="1335">
        <v>27</v>
      </c>
      <c r="AF40" s="1335">
        <v>28</v>
      </c>
      <c r="AG40" s="1335">
        <v>29</v>
      </c>
      <c r="AH40" s="1335">
        <v>30</v>
      </c>
      <c r="AI40" s="1335">
        <v>31</v>
      </c>
      <c r="AJ40" s="1335">
        <v>32</v>
      </c>
      <c r="AK40" s="1335">
        <v>33</v>
      </c>
      <c r="AL40" s="1335">
        <v>34</v>
      </c>
      <c r="AM40" s="1335">
        <v>35</v>
      </c>
      <c r="AN40" s="1335">
        <v>36</v>
      </c>
      <c r="AO40" s="1335">
        <v>37</v>
      </c>
      <c r="AP40" s="1335">
        <v>38</v>
      </c>
      <c r="AQ40" s="1335">
        <v>39</v>
      </c>
      <c r="AR40" s="1335">
        <v>40</v>
      </c>
      <c r="AS40" s="1335">
        <v>41</v>
      </c>
      <c r="AT40" s="1335">
        <v>42</v>
      </c>
      <c r="AU40" s="1335">
        <v>43</v>
      </c>
      <c r="AV40" s="1335">
        <v>44</v>
      </c>
      <c r="AW40" s="1335">
        <v>45</v>
      </c>
      <c r="AX40" s="1335">
        <v>46</v>
      </c>
      <c r="AY40" s="1335">
        <v>47</v>
      </c>
      <c r="AZ40" s="1335">
        <v>48</v>
      </c>
      <c r="BA40" s="1335">
        <v>49</v>
      </c>
      <c r="BB40" s="1335">
        <v>50</v>
      </c>
      <c r="BC40" s="1335">
        <v>51</v>
      </c>
      <c r="BD40" s="1335">
        <v>52</v>
      </c>
      <c r="BE40"/>
      <c r="BF40" s="1586"/>
      <c r="BG40"/>
      <c r="BH40" s="1585"/>
      <c r="BI40"/>
      <c r="BJ40"/>
      <c r="BK40"/>
      <c r="BL40"/>
      <c r="BM40"/>
      <c r="BN40"/>
      <c r="BO40"/>
      <c r="BP40"/>
      <c r="BQ40"/>
      <c r="BR40"/>
    </row>
    <row r="41" spans="1:70" s="25" customFormat="1" x14ac:dyDescent="0.35">
      <c r="C41" s="175" t="s">
        <v>1788</v>
      </c>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F41" s="237"/>
    </row>
    <row r="42" spans="1:70" s="6" customFormat="1" x14ac:dyDescent="0.35">
      <c r="C42" s="17" t="s">
        <v>916</v>
      </c>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F42" s="21"/>
    </row>
    <row r="43" spans="1:70" x14ac:dyDescent="0.35">
      <c r="A43" s="6"/>
      <c r="B43" s="6"/>
      <c r="C43" s="6" t="s">
        <v>1079</v>
      </c>
      <c r="D43" s="233">
        <f>IFERROR(VLOOKUP(D$40,'Patient Calcs'!$B13:$D65,3,FALSE),0)</f>
        <v>1</v>
      </c>
      <c r="E43" s="233">
        <f>IFERROR(VLOOKUP(E$40,'Patient Calcs'!$B13:$D65,3,FALSE),0)</f>
        <v>2.9803874416808513</v>
      </c>
      <c r="F43" s="233">
        <f>IFERROR(VLOOKUP(F$40,'Patient Calcs'!$B13:$D65,3,FALSE),0)</f>
        <v>10.242125669658243</v>
      </c>
      <c r="G43" s="233">
        <f>IFERROR(VLOOKUP(G$40,'Patient Calcs'!$B13:$D65,3,FALSE),0)</f>
        <v>35.196807709843043</v>
      </c>
      <c r="H43" s="233">
        <f>IFERROR(VLOOKUP(H$40,'Patient Calcs'!$B13:$D65,3,FALSE),0)</f>
        <v>120.94892611199444</v>
      </c>
      <c r="I43" s="233">
        <f>IFERROR(VLOOKUP(I$40,'Patient Calcs'!$B13:$D65,3,FALSE),0)</f>
        <v>415.57666989694826</v>
      </c>
      <c r="J43" s="233">
        <f>IFERROR(VLOOKUP(J$40,'Patient Calcs'!$B13:$D65,3,FALSE),0)</f>
        <v>1427.3480826733708</v>
      </c>
      <c r="K43" s="233">
        <f>IFERROR(VLOOKUP(K$40,'Patient Calcs'!$B13:$D65,3,FALSE),0)</f>
        <v>0</v>
      </c>
      <c r="L43" s="233">
        <f>IFERROR(VLOOKUP(L$40,'Patient Calcs'!$B13:$D65,3,FALSE),0)</f>
        <v>0</v>
      </c>
      <c r="M43" s="233">
        <f>IFERROR(VLOOKUP(M$40,'Patient Calcs'!$B13:$D65,3,FALSE),0)</f>
        <v>0</v>
      </c>
      <c r="N43" s="233">
        <f>IFERROR(VLOOKUP(N$40,'Patient Calcs'!$B13:$D65,3,FALSE),0)</f>
        <v>0</v>
      </c>
      <c r="O43" s="233">
        <f>IFERROR(VLOOKUP(O$40,'Patient Calcs'!$B13:$D65,3,FALSE),0)</f>
        <v>0</v>
      </c>
      <c r="P43" s="233">
        <f>IFERROR(VLOOKUP(P$40,'Patient Calcs'!$B13:$D65,3,FALSE),0)</f>
        <v>0</v>
      </c>
      <c r="Q43" s="233">
        <f>IFERROR(VLOOKUP(Q$40,'Patient Calcs'!$B13:$D65,3,FALSE),0)</f>
        <v>0</v>
      </c>
      <c r="R43" s="233">
        <f>IFERROR(VLOOKUP(R$40,'Patient Calcs'!$B13:$D65,3,FALSE),0)</f>
        <v>0</v>
      </c>
      <c r="S43" s="233">
        <f>IFERROR(VLOOKUP(S$40,'Patient Calcs'!$B13:$D65,3,FALSE),0)</f>
        <v>0</v>
      </c>
      <c r="T43" s="233">
        <f>IFERROR(VLOOKUP(T$40,'Patient Calcs'!$B13:$D65,3,FALSE),0)</f>
        <v>0</v>
      </c>
      <c r="U43" s="233">
        <f>IFERROR(VLOOKUP(U$40,'Patient Calcs'!$B13:$D65,3,FALSE),0)</f>
        <v>0</v>
      </c>
      <c r="V43" s="233">
        <f>IFERROR(VLOOKUP(V$40,'Patient Calcs'!$B13:$D65,3,FALSE),0)</f>
        <v>0</v>
      </c>
      <c r="W43" s="233">
        <f>IFERROR(VLOOKUP(W$40,'Patient Calcs'!$B13:$D65,3,FALSE),0)</f>
        <v>0</v>
      </c>
      <c r="X43" s="233">
        <f>IFERROR(VLOOKUP(X$40,'Patient Calcs'!$B13:$D65,3,FALSE),0)</f>
        <v>0</v>
      </c>
      <c r="Y43" s="233">
        <f>IFERROR(VLOOKUP(Y$40,'Patient Calcs'!$B13:$D65,3,FALSE),0)</f>
        <v>0</v>
      </c>
      <c r="Z43" s="233">
        <f>IFERROR(VLOOKUP(Z$40,'Patient Calcs'!$B13:$D65,3,FALSE),0)</f>
        <v>0</v>
      </c>
      <c r="AA43" s="233">
        <f>IFERROR(VLOOKUP(AA$40,'Patient Calcs'!$B13:$D65,3,FALSE),0)</f>
        <v>0</v>
      </c>
      <c r="AB43" s="233">
        <f>IFERROR(VLOOKUP(AB$40,'Patient Calcs'!$B13:$D65,3,FALSE),0)</f>
        <v>0</v>
      </c>
      <c r="AC43" s="233">
        <f>IFERROR(VLOOKUP(AC$40,'Patient Calcs'!$B13:$D65,3,FALSE),0)</f>
        <v>0</v>
      </c>
      <c r="AD43" s="233">
        <f>IFERROR(VLOOKUP(AD$40,'Patient Calcs'!$B13:$D65,3,FALSE),0)</f>
        <v>0</v>
      </c>
      <c r="AE43" s="233">
        <f>IFERROR(VLOOKUP(AE$40,'Patient Calcs'!$B13:$D65,3,FALSE),0)</f>
        <v>0</v>
      </c>
      <c r="AF43" s="233">
        <f>IFERROR(VLOOKUP(AF$40,'Patient Calcs'!$B13:$D65,3,FALSE),0)</f>
        <v>0</v>
      </c>
      <c r="AG43" s="233">
        <f>IFERROR(VLOOKUP(AG$40,'Patient Calcs'!$B13:$D65,3,FALSE),0)</f>
        <v>0</v>
      </c>
      <c r="AH43" s="233">
        <f>IFERROR(VLOOKUP(AH$40,'Patient Calcs'!$B13:$D65,3,FALSE),0)</f>
        <v>0</v>
      </c>
      <c r="AI43" s="233">
        <f>IFERROR(VLOOKUP(AI$40,'Patient Calcs'!$B13:$D65,3,FALSE),0)</f>
        <v>0</v>
      </c>
      <c r="AJ43" s="233">
        <f>IFERROR(VLOOKUP(AJ$40,'Patient Calcs'!$B13:$D65,3,FALSE),0)</f>
        <v>0</v>
      </c>
      <c r="AK43" s="233">
        <f>IFERROR(VLOOKUP(AK$40,'Patient Calcs'!$B13:$D65,3,FALSE),0)</f>
        <v>0</v>
      </c>
      <c r="AL43" s="233">
        <f>IFERROR(VLOOKUP(AL$40,'Patient Calcs'!$B13:$D65,3,FALSE),0)</f>
        <v>0</v>
      </c>
      <c r="AM43" s="233">
        <f>IFERROR(VLOOKUP(AM$40,'Patient Calcs'!$B13:$D65,3,FALSE),0)</f>
        <v>0</v>
      </c>
      <c r="AN43" s="233">
        <f>IFERROR(VLOOKUP(AN$40,'Patient Calcs'!$B13:$D65,3,FALSE),0)</f>
        <v>0</v>
      </c>
      <c r="AO43" s="233">
        <f>IFERROR(VLOOKUP(AO$40,'Patient Calcs'!$B13:$D65,3,FALSE),0)</f>
        <v>0</v>
      </c>
      <c r="AP43" s="233">
        <f>IFERROR(VLOOKUP(AP$40,'Patient Calcs'!$B13:$D65,3,FALSE),0)</f>
        <v>0</v>
      </c>
      <c r="AQ43" s="233">
        <f>IFERROR(VLOOKUP(AQ$40,'Patient Calcs'!$B13:$D65,3,FALSE),0)</f>
        <v>0</v>
      </c>
      <c r="AR43" s="233">
        <f>IFERROR(VLOOKUP(AR$40,'Patient Calcs'!$B13:$D65,3,FALSE),0)</f>
        <v>0</v>
      </c>
      <c r="AS43" s="233">
        <f>IFERROR(VLOOKUP(AS$40,'Patient Calcs'!$B13:$D65,3,FALSE),0)</f>
        <v>0</v>
      </c>
      <c r="AT43" s="233">
        <f>IFERROR(VLOOKUP(AT$40,'Patient Calcs'!$B13:$D65,3,FALSE),0)</f>
        <v>0</v>
      </c>
      <c r="AU43" s="233">
        <f>IFERROR(VLOOKUP(AU$40,'Patient Calcs'!$B13:$D65,3,FALSE),0)</f>
        <v>0</v>
      </c>
      <c r="AV43" s="233">
        <f>IFERROR(VLOOKUP(AV$40,'Patient Calcs'!$B13:$D65,3,FALSE),0)</f>
        <v>0</v>
      </c>
      <c r="AW43" s="233">
        <f>IFERROR(VLOOKUP(AW$40,'Patient Calcs'!$B13:$D65,3,FALSE),0)</f>
        <v>0</v>
      </c>
      <c r="AX43" s="233">
        <f>IFERROR(VLOOKUP(AX$40,'Patient Calcs'!$B13:$D65,3,FALSE),0)</f>
        <v>0</v>
      </c>
      <c r="AY43" s="233">
        <f>IFERROR(VLOOKUP(AY$40,'Patient Calcs'!$B13:$D65,3,FALSE),0)</f>
        <v>0</v>
      </c>
      <c r="AZ43" s="233">
        <f>IFERROR(VLOOKUP(AZ$40,'Patient Calcs'!$B13:$D65,3,FALSE),0)</f>
        <v>0</v>
      </c>
      <c r="BA43" s="233">
        <f>IFERROR(VLOOKUP(BA$40,'Patient Calcs'!$B13:$D65,3,FALSE),0)</f>
        <v>0</v>
      </c>
      <c r="BB43" s="233">
        <f>IFERROR(VLOOKUP(BB$40,'Patient Calcs'!$B13:$D65,3,FALSE),0)</f>
        <v>0</v>
      </c>
      <c r="BC43" s="233">
        <f>IFERROR(VLOOKUP(BC$40,'Patient Calcs'!$B13:$D65,3,FALSE),0)</f>
        <v>0</v>
      </c>
      <c r="BD43" s="233">
        <f>IFERROR(VLOOKUP(BD$40,'Patient Calcs'!$B13:$D65,3,FALSE),0)</f>
        <v>0</v>
      </c>
      <c r="BE43" s="29"/>
      <c r="BF43" s="236">
        <f t="shared" ref="BF43:BF53" si="1">SUMIFS($D43:$BD43,$D$40:$BD$40,"&lt;="&amp;WeekSuppliedUntil,$D$40:$BD$40,"&gt;="&amp;Start_week_for_forecasting)</f>
        <v>2012.2929995034956</v>
      </c>
      <c r="BG43"/>
      <c r="BH43" s="232">
        <f t="array" ref="BH43">MAX(IF(D$40:BD$40&gt;=Start_week_for_forecasting,IF(D$40:BD$40&lt;=WeekSuppliedUntil,D43:BD43)))</f>
        <v>1427.3480826733708</v>
      </c>
      <c r="BI43"/>
      <c r="BJ43"/>
      <c r="BK43"/>
      <c r="BL43"/>
      <c r="BM43"/>
      <c r="BN43"/>
      <c r="BO43"/>
      <c r="BP43"/>
      <c r="BQ43"/>
      <c r="BR43"/>
    </row>
    <row r="44" spans="1:70" x14ac:dyDescent="0.35">
      <c r="C44" s="6" t="s">
        <v>304</v>
      </c>
      <c r="D44" s="233">
        <f>IFERROR(VLOOKUP(D$40,'Patient Calcs'!$B13:$F65,5,FALSE),0)</f>
        <v>0.4</v>
      </c>
      <c r="E44" s="233">
        <f>IFERROR(VLOOKUP(E$40,'Patient Calcs'!$B13:$F65,5,FALSE),0)</f>
        <v>1.1921549766723405</v>
      </c>
      <c r="F44" s="233">
        <f>IFERROR(VLOOKUP(F$40,'Patient Calcs'!$B13:$F65,5,FALSE),0)</f>
        <v>4.0968502678632976</v>
      </c>
      <c r="G44" s="233">
        <f>IFERROR(VLOOKUP(G$40,'Patient Calcs'!$B13:$F65,5,FALSE),0)</f>
        <v>14.078723083937218</v>
      </c>
      <c r="H44" s="233">
        <f>IFERROR(VLOOKUP(H$40,'Patient Calcs'!$B13:$F65,5,FALSE),0)</f>
        <v>48.379570444797778</v>
      </c>
      <c r="I44" s="233">
        <f>IFERROR(VLOOKUP(I$40,'Patient Calcs'!$B13:$F65,5,FALSE),0)</f>
        <v>166.23066795877932</v>
      </c>
      <c r="J44" s="233">
        <f>IFERROR(VLOOKUP(J$40,'Patient Calcs'!$B13:$F65,5,FALSE),0)</f>
        <v>570.93923306934835</v>
      </c>
      <c r="K44" s="233">
        <f>IFERROR(VLOOKUP(K$40,'Patient Calcs'!$B13:$F65,5,FALSE),0)</f>
        <v>0</v>
      </c>
      <c r="L44" s="233">
        <f>IFERROR(VLOOKUP(L$40,'Patient Calcs'!$B13:$F65,5,FALSE),0)</f>
        <v>0</v>
      </c>
      <c r="M44" s="233">
        <f>IFERROR(VLOOKUP(M$40,'Patient Calcs'!$B13:$F65,5,FALSE),0)</f>
        <v>0</v>
      </c>
      <c r="N44" s="233">
        <f>IFERROR(VLOOKUP(N$40,'Patient Calcs'!$B13:$F65,5,FALSE),0)</f>
        <v>0</v>
      </c>
      <c r="O44" s="233">
        <f>IFERROR(VLOOKUP(O$40,'Patient Calcs'!$B13:$F65,5,FALSE),0)</f>
        <v>0</v>
      </c>
      <c r="P44" s="233">
        <f>IFERROR(VLOOKUP(P$40,'Patient Calcs'!$B13:$F65,5,FALSE),0)</f>
        <v>0</v>
      </c>
      <c r="Q44" s="233">
        <f>IFERROR(VLOOKUP(Q$40,'Patient Calcs'!$B13:$F65,5,FALSE),0)</f>
        <v>0</v>
      </c>
      <c r="R44" s="233">
        <f>IFERROR(VLOOKUP(R$40,'Patient Calcs'!$B13:$F65,5,FALSE),0)</f>
        <v>0</v>
      </c>
      <c r="S44" s="233">
        <f>IFERROR(VLOOKUP(S$40,'Patient Calcs'!$B13:$F65,5,FALSE),0)</f>
        <v>0</v>
      </c>
      <c r="T44" s="233">
        <f>IFERROR(VLOOKUP(T$40,'Patient Calcs'!$B13:$F65,5,FALSE),0)</f>
        <v>0</v>
      </c>
      <c r="U44" s="233">
        <f>IFERROR(VLOOKUP(U$40,'Patient Calcs'!$B13:$F65,5,FALSE),0)</f>
        <v>0</v>
      </c>
      <c r="V44" s="233">
        <f>IFERROR(VLOOKUP(V$40,'Patient Calcs'!$B13:$F65,5,FALSE),0)</f>
        <v>0</v>
      </c>
      <c r="W44" s="233">
        <f>IFERROR(VLOOKUP(W$40,'Patient Calcs'!$B13:$F65,5,FALSE),0)</f>
        <v>0</v>
      </c>
      <c r="X44" s="233">
        <f>IFERROR(VLOOKUP(X$40,'Patient Calcs'!$B13:$F65,5,FALSE),0)</f>
        <v>0</v>
      </c>
      <c r="Y44" s="233">
        <f>IFERROR(VLOOKUP(Y$40,'Patient Calcs'!$B13:$F65,5,FALSE),0)</f>
        <v>0</v>
      </c>
      <c r="Z44" s="233">
        <f>IFERROR(VLOOKUP(Z$40,'Patient Calcs'!$B13:$F65,5,FALSE),0)</f>
        <v>0</v>
      </c>
      <c r="AA44" s="233">
        <f>IFERROR(VLOOKUP(AA$40,'Patient Calcs'!$B13:$F65,5,FALSE),0)</f>
        <v>0</v>
      </c>
      <c r="AB44" s="233">
        <f>IFERROR(VLOOKUP(AB$40,'Patient Calcs'!$B13:$F65,5,FALSE),0)</f>
        <v>0</v>
      </c>
      <c r="AC44" s="233">
        <f>IFERROR(VLOOKUP(AC$40,'Patient Calcs'!$B13:$F65,5,FALSE),0)</f>
        <v>0</v>
      </c>
      <c r="AD44" s="233">
        <f>IFERROR(VLOOKUP(AD$40,'Patient Calcs'!$B13:$F65,5,FALSE),0)</f>
        <v>0</v>
      </c>
      <c r="AE44" s="233">
        <f>IFERROR(VLOOKUP(AE$40,'Patient Calcs'!$B13:$F65,5,FALSE),0)</f>
        <v>0</v>
      </c>
      <c r="AF44" s="233">
        <f>IFERROR(VLOOKUP(AF$40,'Patient Calcs'!$B13:$F65,5,FALSE),0)</f>
        <v>0</v>
      </c>
      <c r="AG44" s="233">
        <f>IFERROR(VLOOKUP(AG$40,'Patient Calcs'!$B13:$F65,5,FALSE),0)</f>
        <v>0</v>
      </c>
      <c r="AH44" s="233">
        <f>IFERROR(VLOOKUP(AH$40,'Patient Calcs'!$B13:$F65,5,FALSE),0)</f>
        <v>0</v>
      </c>
      <c r="AI44" s="233">
        <f>IFERROR(VLOOKUP(AI$40,'Patient Calcs'!$B13:$F65,5,FALSE),0)</f>
        <v>0</v>
      </c>
      <c r="AJ44" s="233">
        <f>IFERROR(VLOOKUP(AJ$40,'Patient Calcs'!$B13:$F65,5,FALSE),0)</f>
        <v>0</v>
      </c>
      <c r="AK44" s="233">
        <f>IFERROR(VLOOKUP(AK$40,'Patient Calcs'!$B13:$F65,5,FALSE),0)</f>
        <v>0</v>
      </c>
      <c r="AL44" s="233">
        <f>IFERROR(VLOOKUP(AL$40,'Patient Calcs'!$B13:$F65,5,FALSE),0)</f>
        <v>0</v>
      </c>
      <c r="AM44" s="233">
        <f>IFERROR(VLOOKUP(AM$40,'Patient Calcs'!$B13:$F65,5,FALSE),0)</f>
        <v>0</v>
      </c>
      <c r="AN44" s="233">
        <f>IFERROR(VLOOKUP(AN$40,'Patient Calcs'!$B13:$F65,5,FALSE),0)</f>
        <v>0</v>
      </c>
      <c r="AO44" s="233">
        <f>IFERROR(VLOOKUP(AO$40,'Patient Calcs'!$B13:$F65,5,FALSE),0)</f>
        <v>0</v>
      </c>
      <c r="AP44" s="233">
        <f>IFERROR(VLOOKUP(AP$40,'Patient Calcs'!$B13:$F65,5,FALSE),0)</f>
        <v>0</v>
      </c>
      <c r="AQ44" s="233">
        <f>IFERROR(VLOOKUP(AQ$40,'Patient Calcs'!$B13:$F65,5,FALSE),0)</f>
        <v>0</v>
      </c>
      <c r="AR44" s="233">
        <f>IFERROR(VLOOKUP(AR$40,'Patient Calcs'!$B13:$F65,5,FALSE),0)</f>
        <v>0</v>
      </c>
      <c r="AS44" s="233">
        <f>IFERROR(VLOOKUP(AS$40,'Patient Calcs'!$B13:$F65,5,FALSE),0)</f>
        <v>0</v>
      </c>
      <c r="AT44" s="233">
        <f>IFERROR(VLOOKUP(AT$40,'Patient Calcs'!$B13:$F65,5,FALSE),0)</f>
        <v>0</v>
      </c>
      <c r="AU44" s="233">
        <f>IFERROR(VLOOKUP(AU$40,'Patient Calcs'!$B13:$F65,5,FALSE),0)</f>
        <v>0</v>
      </c>
      <c r="AV44" s="233">
        <f>IFERROR(VLOOKUP(AV$40,'Patient Calcs'!$B13:$F65,5,FALSE),0)</f>
        <v>0</v>
      </c>
      <c r="AW44" s="233">
        <f>IFERROR(VLOOKUP(AW$40,'Patient Calcs'!$B13:$F65,5,FALSE),0)</f>
        <v>0</v>
      </c>
      <c r="AX44" s="233">
        <f>IFERROR(VLOOKUP(AX$40,'Patient Calcs'!$B13:$F65,5,FALSE),0)</f>
        <v>0</v>
      </c>
      <c r="AY44" s="233">
        <f>IFERROR(VLOOKUP(AY$40,'Patient Calcs'!$B13:$F65,5,FALSE),0)</f>
        <v>0</v>
      </c>
      <c r="AZ44" s="233">
        <f>IFERROR(VLOOKUP(AZ$40,'Patient Calcs'!$B13:$F65,5,FALSE),0)</f>
        <v>0</v>
      </c>
      <c r="BA44" s="233">
        <f>IFERROR(VLOOKUP(BA$40,'Patient Calcs'!$B13:$F65,5,FALSE),0)</f>
        <v>0</v>
      </c>
      <c r="BB44" s="233">
        <f>IFERROR(VLOOKUP(BB$40,'Patient Calcs'!$B13:$F65,5,FALSE),0)</f>
        <v>0</v>
      </c>
      <c r="BC44" s="233">
        <f>IFERROR(VLOOKUP(BC$40,'Patient Calcs'!$B13:$F65,5,FALSE),0)</f>
        <v>0</v>
      </c>
      <c r="BD44" s="233">
        <f>IFERROR(VLOOKUP(BD$40,'Patient Calcs'!$B13:$F65,5,FALSE),0)</f>
        <v>0</v>
      </c>
      <c r="BE44" s="29"/>
      <c r="BF44" s="236">
        <f t="shared" si="1"/>
        <v>804.91719980139828</v>
      </c>
      <c r="BG44"/>
      <c r="BH44"/>
      <c r="BI44"/>
      <c r="BJ44"/>
      <c r="BK44"/>
      <c r="BL44"/>
      <c r="BM44"/>
      <c r="BN44"/>
      <c r="BO44"/>
      <c r="BP44"/>
      <c r="BQ44"/>
      <c r="BR44"/>
    </row>
    <row r="45" spans="1:70" s="129" customFormat="1" x14ac:dyDescent="0.35">
      <c r="C45" s="6" t="s">
        <v>960</v>
      </c>
      <c r="D45" s="233">
        <f>IFERROR(VLOOKUP(D$40,'Patient Calcs'!$B13:$H65,7,FALSE),0)</f>
        <v>0.4</v>
      </c>
      <c r="E45" s="233">
        <f>IFERROR(VLOOKUP(E$40,'Patient Calcs'!$B13:$H65,7,FALSE),0)</f>
        <v>1.1921549766723405</v>
      </c>
      <c r="F45" s="233">
        <f>IFERROR(VLOOKUP(F$40,'Patient Calcs'!$B13:$H65,7,FALSE),0)</f>
        <v>4.0968502678632976</v>
      </c>
      <c r="G45" s="233">
        <f>IFERROR(VLOOKUP(G$40,'Patient Calcs'!$B13:$H65,7,FALSE),0)</f>
        <v>14.078723083937218</v>
      </c>
      <c r="H45" s="233">
        <f>IFERROR(VLOOKUP(H$40,'Patient Calcs'!$B13:$H65,7,FALSE),0)</f>
        <v>48.379570444797778</v>
      </c>
      <c r="I45" s="233">
        <f>IFERROR(VLOOKUP(I$40,'Patient Calcs'!$B13:$H65,7,FALSE),0)</f>
        <v>166.23066795877932</v>
      </c>
      <c r="J45" s="233">
        <f>IFERROR(VLOOKUP(J$40,'Patient Calcs'!$B13:$H65,7,FALSE),0)</f>
        <v>570.93923306934835</v>
      </c>
      <c r="K45" s="233">
        <f>IFERROR(VLOOKUP(K$40,'Patient Calcs'!$B13:$H65,7,FALSE),0)</f>
        <v>0</v>
      </c>
      <c r="L45" s="233">
        <f>IFERROR(VLOOKUP(L$40,'Patient Calcs'!$B13:$H65,7,FALSE),0)</f>
        <v>0</v>
      </c>
      <c r="M45" s="233">
        <f>IFERROR(VLOOKUP(M$40,'Patient Calcs'!$B13:$H65,7,FALSE),0)</f>
        <v>0</v>
      </c>
      <c r="N45" s="233">
        <f>IFERROR(VLOOKUP(N$40,'Patient Calcs'!$B13:$H65,7,FALSE),0)</f>
        <v>0</v>
      </c>
      <c r="O45" s="233">
        <f>IFERROR(VLOOKUP(O$40,'Patient Calcs'!$B13:$H65,7,FALSE),0)</f>
        <v>0</v>
      </c>
      <c r="P45" s="233">
        <f>IFERROR(VLOOKUP(P$40,'Patient Calcs'!$B13:$H65,7,FALSE),0)</f>
        <v>0</v>
      </c>
      <c r="Q45" s="233">
        <f>IFERROR(VLOOKUP(Q$40,'Patient Calcs'!$B13:$H65,7,FALSE),0)</f>
        <v>0</v>
      </c>
      <c r="R45" s="233">
        <f>IFERROR(VLOOKUP(R$40,'Patient Calcs'!$B13:$H65,7,FALSE),0)</f>
        <v>0</v>
      </c>
      <c r="S45" s="233">
        <f>IFERROR(VLOOKUP(S$40,'Patient Calcs'!$B13:$H65,7,FALSE),0)</f>
        <v>0</v>
      </c>
      <c r="T45" s="233">
        <f>IFERROR(VLOOKUP(T$40,'Patient Calcs'!$B13:$H65,7,FALSE),0)</f>
        <v>0</v>
      </c>
      <c r="U45" s="233">
        <f>IFERROR(VLOOKUP(U$40,'Patient Calcs'!$B13:$H65,7,FALSE),0)</f>
        <v>0</v>
      </c>
      <c r="V45" s="233">
        <f>IFERROR(VLOOKUP(V$40,'Patient Calcs'!$B13:$H65,7,FALSE),0)</f>
        <v>0</v>
      </c>
      <c r="W45" s="233">
        <f>IFERROR(VLOOKUP(W$40,'Patient Calcs'!$B13:$H65,7,FALSE),0)</f>
        <v>0</v>
      </c>
      <c r="X45" s="233">
        <f>IFERROR(VLOOKUP(X$40,'Patient Calcs'!$B13:$H65,7,FALSE),0)</f>
        <v>0</v>
      </c>
      <c r="Y45" s="233">
        <f>IFERROR(VLOOKUP(Y$40,'Patient Calcs'!$B13:$H65,7,FALSE),0)</f>
        <v>0</v>
      </c>
      <c r="Z45" s="233">
        <f>IFERROR(VLOOKUP(Z$40,'Patient Calcs'!$B13:$H65,7,FALSE),0)</f>
        <v>0</v>
      </c>
      <c r="AA45" s="233">
        <f>IFERROR(VLOOKUP(AA$40,'Patient Calcs'!$B13:$H65,7,FALSE),0)</f>
        <v>0</v>
      </c>
      <c r="AB45" s="233">
        <f>IFERROR(VLOOKUP(AB$40,'Patient Calcs'!$B13:$H65,7,FALSE),0)</f>
        <v>0</v>
      </c>
      <c r="AC45" s="233">
        <f>IFERROR(VLOOKUP(AC$40,'Patient Calcs'!$B13:$H65,7,FALSE),0)</f>
        <v>0</v>
      </c>
      <c r="AD45" s="233">
        <f>IFERROR(VLOOKUP(AD$40,'Patient Calcs'!$B13:$H65,7,FALSE),0)</f>
        <v>0</v>
      </c>
      <c r="AE45" s="233">
        <f>IFERROR(VLOOKUP(AE$40,'Patient Calcs'!$B13:$H65,7,FALSE),0)</f>
        <v>0</v>
      </c>
      <c r="AF45" s="233">
        <f>IFERROR(VLOOKUP(AF$40,'Patient Calcs'!$B13:$H65,7,FALSE),0)</f>
        <v>0</v>
      </c>
      <c r="AG45" s="233">
        <f>IFERROR(VLOOKUP(AG$40,'Patient Calcs'!$B13:$H65,7,FALSE),0)</f>
        <v>0</v>
      </c>
      <c r="AH45" s="233">
        <f>IFERROR(VLOOKUP(AH$40,'Patient Calcs'!$B13:$H65,7,FALSE),0)</f>
        <v>0</v>
      </c>
      <c r="AI45" s="233">
        <f>IFERROR(VLOOKUP(AI$40,'Patient Calcs'!$B13:$H65,7,FALSE),0)</f>
        <v>0</v>
      </c>
      <c r="AJ45" s="233">
        <f>IFERROR(VLOOKUP(AJ$40,'Patient Calcs'!$B13:$H65,7,FALSE),0)</f>
        <v>0</v>
      </c>
      <c r="AK45" s="233">
        <f>IFERROR(VLOOKUP(AK$40,'Patient Calcs'!$B13:$H65,7,FALSE),0)</f>
        <v>0</v>
      </c>
      <c r="AL45" s="233">
        <f>IFERROR(VLOOKUP(AL$40,'Patient Calcs'!$B13:$H65,7,FALSE),0)</f>
        <v>0</v>
      </c>
      <c r="AM45" s="233">
        <f>IFERROR(VLOOKUP(AM$40,'Patient Calcs'!$B13:$H65,7,FALSE),0)</f>
        <v>0</v>
      </c>
      <c r="AN45" s="233">
        <f>IFERROR(VLOOKUP(AN$40,'Patient Calcs'!$B13:$H65,7,FALSE),0)</f>
        <v>0</v>
      </c>
      <c r="AO45" s="233">
        <f>IFERROR(VLOOKUP(AO$40,'Patient Calcs'!$B13:$H65,7,FALSE),0)</f>
        <v>0</v>
      </c>
      <c r="AP45" s="233">
        <f>IFERROR(VLOOKUP(AP$40,'Patient Calcs'!$B13:$H65,7,FALSE),0)</f>
        <v>0</v>
      </c>
      <c r="AQ45" s="233">
        <f>IFERROR(VLOOKUP(AQ$40,'Patient Calcs'!$B13:$H65,7,FALSE),0)</f>
        <v>0</v>
      </c>
      <c r="AR45" s="233">
        <f>IFERROR(VLOOKUP(AR$40,'Patient Calcs'!$B13:$H65,7,FALSE),0)</f>
        <v>0</v>
      </c>
      <c r="AS45" s="233">
        <f>IFERROR(VLOOKUP(AS$40,'Patient Calcs'!$B13:$H65,7,FALSE),0)</f>
        <v>0</v>
      </c>
      <c r="AT45" s="233">
        <f>IFERROR(VLOOKUP(AT$40,'Patient Calcs'!$B13:$H65,7,FALSE),0)</f>
        <v>0</v>
      </c>
      <c r="AU45" s="233">
        <f>IFERROR(VLOOKUP(AU$40,'Patient Calcs'!$B13:$H65,7,FALSE),0)</f>
        <v>0</v>
      </c>
      <c r="AV45" s="233">
        <f>IFERROR(VLOOKUP(AV$40,'Patient Calcs'!$B13:$H65,7,FALSE),0)</f>
        <v>0</v>
      </c>
      <c r="AW45" s="233">
        <f>IFERROR(VLOOKUP(AW$40,'Patient Calcs'!$B13:$H65,7,FALSE),0)</f>
        <v>0</v>
      </c>
      <c r="AX45" s="233">
        <f>IFERROR(VLOOKUP(AX$40,'Patient Calcs'!$B13:$H65,7,FALSE),0)</f>
        <v>0</v>
      </c>
      <c r="AY45" s="233">
        <f>IFERROR(VLOOKUP(AY$40,'Patient Calcs'!$B13:$H65,7,FALSE),0)</f>
        <v>0</v>
      </c>
      <c r="AZ45" s="233">
        <f>IFERROR(VLOOKUP(AZ$40,'Patient Calcs'!$B13:$H65,7,FALSE),0)</f>
        <v>0</v>
      </c>
      <c r="BA45" s="233">
        <f>IFERROR(VLOOKUP(BA$40,'Patient Calcs'!$B13:$H65,7,FALSE),0)</f>
        <v>0</v>
      </c>
      <c r="BB45" s="233">
        <f>IFERROR(VLOOKUP(BB$40,'Patient Calcs'!$B13:$H65,7,FALSE),0)</f>
        <v>0</v>
      </c>
      <c r="BC45" s="233">
        <f>IFERROR(VLOOKUP(BC$40,'Patient Calcs'!$B13:$H65,7,FALSE),0)</f>
        <v>0</v>
      </c>
      <c r="BD45" s="233">
        <f>IFERROR(VLOOKUP(BD$40,'Patient Calcs'!$B13:$H65,7,FALSE),0)</f>
        <v>0</v>
      </c>
      <c r="BE45" s="29"/>
      <c r="BF45" s="236">
        <f>SUMIFS($D45:$BD45,$D$40:$BD$40,"&lt;="&amp;WeekSuppliedUntil,$D$40:$BD$40,"&gt;="&amp;Start_week_for_forecasting)</f>
        <v>804.91719980139828</v>
      </c>
    </row>
    <row r="46" spans="1:70" x14ac:dyDescent="0.35">
      <c r="C46" s="6" t="s">
        <v>303</v>
      </c>
      <c r="D46" s="233">
        <f>IFERROR(VLOOKUP(D$40,'Patient Calcs'!$B13:$J65,9,FALSE),0)</f>
        <v>0.15</v>
      </c>
      <c r="E46" s="233">
        <f>IFERROR(VLOOKUP(E$40,'Patient Calcs'!$B13:$J65,9,FALSE),0)</f>
        <v>0.44705811625212771</v>
      </c>
      <c r="F46" s="233">
        <f>IFERROR(VLOOKUP(F$40,'Patient Calcs'!$B13:$J65,9,FALSE),0)</f>
        <v>1.5363188504487364</v>
      </c>
      <c r="G46" s="233">
        <f>IFERROR(VLOOKUP(G$40,'Patient Calcs'!$B13:$J65,9,FALSE),0)</f>
        <v>5.2795211564764566</v>
      </c>
      <c r="H46" s="233">
        <f>IFERROR(VLOOKUP(H$40,'Patient Calcs'!$B13:$J65,9,FALSE),0)</f>
        <v>18.142338916799165</v>
      </c>
      <c r="I46" s="233">
        <f>IFERROR(VLOOKUP(I$40,'Patient Calcs'!$B13:$J65,9,FALSE),0)</f>
        <v>62.336500484542235</v>
      </c>
      <c r="J46" s="233">
        <f>IFERROR(VLOOKUP(J$40,'Patient Calcs'!$B13:$J65,9,FALSE),0)</f>
        <v>214.1022124010056</v>
      </c>
      <c r="K46" s="233">
        <f>IFERROR(VLOOKUP(K$40,'Patient Calcs'!$B13:$J65,9,FALSE),0)</f>
        <v>0</v>
      </c>
      <c r="L46" s="233">
        <f>IFERROR(VLOOKUP(L$40,'Patient Calcs'!$B13:$J65,9,FALSE),0)</f>
        <v>0</v>
      </c>
      <c r="M46" s="233">
        <f>IFERROR(VLOOKUP(M$40,'Patient Calcs'!$B13:$J65,9,FALSE),0)</f>
        <v>0</v>
      </c>
      <c r="N46" s="233">
        <f>IFERROR(VLOOKUP(N$40,'Patient Calcs'!$B13:$J65,9,FALSE),0)</f>
        <v>0</v>
      </c>
      <c r="O46" s="233">
        <f>IFERROR(VLOOKUP(O$40,'Patient Calcs'!$B13:$J65,9,FALSE),0)</f>
        <v>0</v>
      </c>
      <c r="P46" s="233">
        <f>IFERROR(VLOOKUP(P$40,'Patient Calcs'!$B13:$J65,9,FALSE),0)</f>
        <v>0</v>
      </c>
      <c r="Q46" s="233">
        <f>IFERROR(VLOOKUP(Q$40,'Patient Calcs'!$B13:$J65,9,FALSE),0)</f>
        <v>0</v>
      </c>
      <c r="R46" s="233">
        <f>IFERROR(VLOOKUP(R$40,'Patient Calcs'!$B13:$J65,9,FALSE),0)</f>
        <v>0</v>
      </c>
      <c r="S46" s="233">
        <f>IFERROR(VLOOKUP(S$40,'Patient Calcs'!$B13:$J65,9,FALSE),0)</f>
        <v>0</v>
      </c>
      <c r="T46" s="233">
        <f>IFERROR(VLOOKUP(T$40,'Patient Calcs'!$B13:$J65,9,FALSE),0)</f>
        <v>0</v>
      </c>
      <c r="U46" s="233">
        <f>IFERROR(VLOOKUP(U$40,'Patient Calcs'!$B13:$J65,9,FALSE),0)</f>
        <v>0</v>
      </c>
      <c r="V46" s="233">
        <f>IFERROR(VLOOKUP(V$40,'Patient Calcs'!$B13:$J65,9,FALSE),0)</f>
        <v>0</v>
      </c>
      <c r="W46" s="233">
        <f>IFERROR(VLOOKUP(W$40,'Patient Calcs'!$B13:$J65,9,FALSE),0)</f>
        <v>0</v>
      </c>
      <c r="X46" s="233">
        <f>IFERROR(VLOOKUP(X$40,'Patient Calcs'!$B13:$J65,9,FALSE),0)</f>
        <v>0</v>
      </c>
      <c r="Y46" s="233">
        <f>IFERROR(VLOOKUP(Y$40,'Patient Calcs'!$B13:$J65,9,FALSE),0)</f>
        <v>0</v>
      </c>
      <c r="Z46" s="233">
        <f>IFERROR(VLOOKUP(Z$40,'Patient Calcs'!$B13:$J65,9,FALSE),0)</f>
        <v>0</v>
      </c>
      <c r="AA46" s="233">
        <f>IFERROR(VLOOKUP(AA$40,'Patient Calcs'!$B13:$J65,9,FALSE),0)</f>
        <v>0</v>
      </c>
      <c r="AB46" s="233">
        <f>IFERROR(VLOOKUP(AB$40,'Patient Calcs'!$B13:$J65,9,FALSE),0)</f>
        <v>0</v>
      </c>
      <c r="AC46" s="233">
        <f>IFERROR(VLOOKUP(AC$40,'Patient Calcs'!$B13:$J65,9,FALSE),0)</f>
        <v>0</v>
      </c>
      <c r="AD46" s="233">
        <f>IFERROR(VLOOKUP(AD$40,'Patient Calcs'!$B13:$J65,9,FALSE),0)</f>
        <v>0</v>
      </c>
      <c r="AE46" s="233">
        <f>IFERROR(VLOOKUP(AE$40,'Patient Calcs'!$B13:$J65,9,FALSE),0)</f>
        <v>0</v>
      </c>
      <c r="AF46" s="233">
        <f>IFERROR(VLOOKUP(AF$40,'Patient Calcs'!$B13:$J65,9,FALSE),0)</f>
        <v>0</v>
      </c>
      <c r="AG46" s="233">
        <f>IFERROR(VLOOKUP(AG$40,'Patient Calcs'!$B13:$J65,9,FALSE),0)</f>
        <v>0</v>
      </c>
      <c r="AH46" s="233">
        <f>IFERROR(VLOOKUP(AH$40,'Patient Calcs'!$B13:$J65,9,FALSE),0)</f>
        <v>0</v>
      </c>
      <c r="AI46" s="233">
        <f>IFERROR(VLOOKUP(AI$40,'Patient Calcs'!$B13:$J65,9,FALSE),0)</f>
        <v>0</v>
      </c>
      <c r="AJ46" s="233">
        <f>IFERROR(VLOOKUP(AJ$40,'Patient Calcs'!$B13:$J65,9,FALSE),0)</f>
        <v>0</v>
      </c>
      <c r="AK46" s="233">
        <f>IFERROR(VLOOKUP(AK$40,'Patient Calcs'!$B13:$J65,9,FALSE),0)</f>
        <v>0</v>
      </c>
      <c r="AL46" s="233">
        <f>IFERROR(VLOOKUP(AL$40,'Patient Calcs'!$B13:$J65,9,FALSE),0)</f>
        <v>0</v>
      </c>
      <c r="AM46" s="233">
        <f>IFERROR(VLOOKUP(AM$40,'Patient Calcs'!$B13:$J65,9,FALSE),0)</f>
        <v>0</v>
      </c>
      <c r="AN46" s="233">
        <f>IFERROR(VLOOKUP(AN$40,'Patient Calcs'!$B13:$J65,9,FALSE),0)</f>
        <v>0</v>
      </c>
      <c r="AO46" s="233">
        <f>IFERROR(VLOOKUP(AO$40,'Patient Calcs'!$B13:$J65,9,FALSE),0)</f>
        <v>0</v>
      </c>
      <c r="AP46" s="233">
        <f>IFERROR(VLOOKUP(AP$40,'Patient Calcs'!$B13:$J65,9,FALSE),0)</f>
        <v>0</v>
      </c>
      <c r="AQ46" s="233">
        <f>IFERROR(VLOOKUP(AQ$40,'Patient Calcs'!$B13:$J65,9,FALSE),0)</f>
        <v>0</v>
      </c>
      <c r="AR46" s="233">
        <f>IFERROR(VLOOKUP(AR$40,'Patient Calcs'!$B13:$J65,9,FALSE),0)</f>
        <v>0</v>
      </c>
      <c r="AS46" s="233">
        <f>IFERROR(VLOOKUP(AS$40,'Patient Calcs'!$B13:$J65,9,FALSE),0)</f>
        <v>0</v>
      </c>
      <c r="AT46" s="233">
        <f>IFERROR(VLOOKUP(AT$40,'Patient Calcs'!$B13:$J65,9,FALSE),0)</f>
        <v>0</v>
      </c>
      <c r="AU46" s="233">
        <f>IFERROR(VLOOKUP(AU$40,'Patient Calcs'!$B13:$J65,9,FALSE),0)</f>
        <v>0</v>
      </c>
      <c r="AV46" s="233">
        <f>IFERROR(VLOOKUP(AV$40,'Patient Calcs'!$B13:$J65,9,FALSE),0)</f>
        <v>0</v>
      </c>
      <c r="AW46" s="233">
        <f>IFERROR(VLOOKUP(AW$40,'Patient Calcs'!$B13:$J65,9,FALSE),0)</f>
        <v>0</v>
      </c>
      <c r="AX46" s="233">
        <f>IFERROR(VLOOKUP(AX$40,'Patient Calcs'!$B13:$J65,9,FALSE),0)</f>
        <v>0</v>
      </c>
      <c r="AY46" s="233">
        <f>IFERROR(VLOOKUP(AY$40,'Patient Calcs'!$B13:$J65,9,FALSE),0)</f>
        <v>0</v>
      </c>
      <c r="AZ46" s="233">
        <f>IFERROR(VLOOKUP(AZ$40,'Patient Calcs'!$B13:$J65,9,FALSE),0)</f>
        <v>0</v>
      </c>
      <c r="BA46" s="233">
        <f>IFERROR(VLOOKUP(BA$40,'Patient Calcs'!$B13:$J65,9,FALSE),0)</f>
        <v>0</v>
      </c>
      <c r="BB46" s="233">
        <f>IFERROR(VLOOKUP(BB$40,'Patient Calcs'!$B13:$J65,9,FALSE),0)</f>
        <v>0</v>
      </c>
      <c r="BC46" s="233">
        <f>IFERROR(VLOOKUP(BC$40,'Patient Calcs'!$B13:$J65,9,FALSE),0)</f>
        <v>0</v>
      </c>
      <c r="BD46" s="233">
        <f>IFERROR(VLOOKUP(BD$40,'Patient Calcs'!$B13:$J65,9,FALSE),0)</f>
        <v>0</v>
      </c>
      <c r="BE46" s="29"/>
      <c r="BF46" s="236">
        <f t="shared" si="1"/>
        <v>301.84394992552433</v>
      </c>
      <c r="BG46"/>
      <c r="BH46"/>
      <c r="BI46"/>
      <c r="BJ46"/>
      <c r="BK46"/>
      <c r="BL46"/>
      <c r="BM46"/>
      <c r="BN46"/>
      <c r="BO46"/>
      <c r="BP46"/>
      <c r="BQ46"/>
      <c r="BR46"/>
    </row>
    <row r="47" spans="1:70" x14ac:dyDescent="0.35">
      <c r="C47" s="6" t="s">
        <v>305</v>
      </c>
      <c r="D47" s="233">
        <f>IFERROR(VLOOKUP(D$40,'Patient Calcs'!$B13:$L65,11,FALSE),0)</f>
        <v>0.05</v>
      </c>
      <c r="E47" s="233">
        <f>IFERROR(VLOOKUP(E$40,'Patient Calcs'!$B13:$L65,11,FALSE),0)</f>
        <v>0.14901937208404256</v>
      </c>
      <c r="F47" s="233">
        <f>IFERROR(VLOOKUP(F$40,'Patient Calcs'!$B13:$L65,11,FALSE),0)</f>
        <v>0.51210628348291221</v>
      </c>
      <c r="G47" s="233">
        <f>IFERROR(VLOOKUP(G$40,'Patient Calcs'!$B13:$L65,11,FALSE),0)</f>
        <v>1.7598403854921523</v>
      </c>
      <c r="H47" s="233">
        <f>IFERROR(VLOOKUP(H$40,'Patient Calcs'!$B13:$L65,11,FALSE),0)</f>
        <v>6.0474463055997223</v>
      </c>
      <c r="I47" s="233">
        <f>IFERROR(VLOOKUP(I$40,'Patient Calcs'!$B13:$L65,11,FALSE),0)</f>
        <v>20.778833494847415</v>
      </c>
      <c r="J47" s="233">
        <f>IFERROR(VLOOKUP(J$40,'Patient Calcs'!$B13:$L65,11,FALSE),0)</f>
        <v>71.367404133668543</v>
      </c>
      <c r="K47" s="233">
        <f>IFERROR(VLOOKUP(K$40,'Patient Calcs'!$B13:$L65,11,FALSE),0)</f>
        <v>0</v>
      </c>
      <c r="L47" s="233">
        <f>IFERROR(VLOOKUP(L$40,'Patient Calcs'!$B13:$L65,11,FALSE),0)</f>
        <v>0</v>
      </c>
      <c r="M47" s="233">
        <f>IFERROR(VLOOKUP(M$40,'Patient Calcs'!$B13:$L65,11,FALSE),0)</f>
        <v>0</v>
      </c>
      <c r="N47" s="233">
        <f>IFERROR(VLOOKUP(N$40,'Patient Calcs'!$B13:$L65,11,FALSE),0)</f>
        <v>0</v>
      </c>
      <c r="O47" s="233">
        <f>IFERROR(VLOOKUP(O$40,'Patient Calcs'!$B13:$L65,11,FALSE),0)</f>
        <v>0</v>
      </c>
      <c r="P47" s="233">
        <f>IFERROR(VLOOKUP(P$40,'Patient Calcs'!$B13:$L65,11,FALSE),0)</f>
        <v>0</v>
      </c>
      <c r="Q47" s="233">
        <f>IFERROR(VLOOKUP(Q$40,'Patient Calcs'!$B13:$L65,11,FALSE),0)</f>
        <v>0</v>
      </c>
      <c r="R47" s="233">
        <f>IFERROR(VLOOKUP(R$40,'Patient Calcs'!$B13:$L65,11,FALSE),0)</f>
        <v>0</v>
      </c>
      <c r="S47" s="233">
        <f>IFERROR(VLOOKUP(S$40,'Patient Calcs'!$B13:$L65,11,FALSE),0)</f>
        <v>0</v>
      </c>
      <c r="T47" s="233">
        <f>IFERROR(VLOOKUP(T$40,'Patient Calcs'!$B13:$L65,11,FALSE),0)</f>
        <v>0</v>
      </c>
      <c r="U47" s="233">
        <f>IFERROR(VLOOKUP(U$40,'Patient Calcs'!$B13:$L65,11,FALSE),0)</f>
        <v>0</v>
      </c>
      <c r="V47" s="233">
        <f>IFERROR(VLOOKUP(V$40,'Patient Calcs'!$B13:$L65,11,FALSE),0)</f>
        <v>0</v>
      </c>
      <c r="W47" s="233">
        <f>IFERROR(VLOOKUP(W$40,'Patient Calcs'!$B13:$L65,11,FALSE),0)</f>
        <v>0</v>
      </c>
      <c r="X47" s="233">
        <f>IFERROR(VLOOKUP(X$40,'Patient Calcs'!$B13:$L65,11,FALSE),0)</f>
        <v>0</v>
      </c>
      <c r="Y47" s="233">
        <f>IFERROR(VLOOKUP(Y$40,'Patient Calcs'!$B13:$L65,11,FALSE),0)</f>
        <v>0</v>
      </c>
      <c r="Z47" s="233">
        <f>IFERROR(VLOOKUP(Z$40,'Patient Calcs'!$B13:$L65,11,FALSE),0)</f>
        <v>0</v>
      </c>
      <c r="AA47" s="233">
        <f>IFERROR(VLOOKUP(AA$40,'Patient Calcs'!$B13:$L65,11,FALSE),0)</f>
        <v>0</v>
      </c>
      <c r="AB47" s="233">
        <f>IFERROR(VLOOKUP(AB$40,'Patient Calcs'!$B13:$L65,11,FALSE),0)</f>
        <v>0</v>
      </c>
      <c r="AC47" s="233">
        <f>IFERROR(VLOOKUP(AC$40,'Patient Calcs'!$B13:$L65,11,FALSE),0)</f>
        <v>0</v>
      </c>
      <c r="AD47" s="233">
        <f>IFERROR(VLOOKUP(AD$40,'Patient Calcs'!$B13:$L65,11,FALSE),0)</f>
        <v>0</v>
      </c>
      <c r="AE47" s="233">
        <f>IFERROR(VLOOKUP(AE$40,'Patient Calcs'!$B13:$L65,11,FALSE),0)</f>
        <v>0</v>
      </c>
      <c r="AF47" s="233">
        <f>IFERROR(VLOOKUP(AF$40,'Patient Calcs'!$B13:$L65,11,FALSE),0)</f>
        <v>0</v>
      </c>
      <c r="AG47" s="233">
        <f>IFERROR(VLOOKUP(AG$40,'Patient Calcs'!$B13:$L65,11,FALSE),0)</f>
        <v>0</v>
      </c>
      <c r="AH47" s="233">
        <f>IFERROR(VLOOKUP(AH$40,'Patient Calcs'!$B13:$L65,11,FALSE),0)</f>
        <v>0</v>
      </c>
      <c r="AI47" s="233">
        <f>IFERROR(VLOOKUP(AI$40,'Patient Calcs'!$B13:$L65,11,FALSE),0)</f>
        <v>0</v>
      </c>
      <c r="AJ47" s="233">
        <f>IFERROR(VLOOKUP(AJ$40,'Patient Calcs'!$B13:$L65,11,FALSE),0)</f>
        <v>0</v>
      </c>
      <c r="AK47" s="233">
        <f>IFERROR(VLOOKUP(AK$40,'Patient Calcs'!$B13:$L65,11,FALSE),0)</f>
        <v>0</v>
      </c>
      <c r="AL47" s="233">
        <f>IFERROR(VLOOKUP(AL$40,'Patient Calcs'!$B13:$L65,11,FALSE),0)</f>
        <v>0</v>
      </c>
      <c r="AM47" s="233">
        <f>IFERROR(VLOOKUP(AM$40,'Patient Calcs'!$B13:$L65,11,FALSE),0)</f>
        <v>0</v>
      </c>
      <c r="AN47" s="233">
        <f>IFERROR(VLOOKUP(AN$40,'Patient Calcs'!$B13:$L65,11,FALSE),0)</f>
        <v>0</v>
      </c>
      <c r="AO47" s="233">
        <f>IFERROR(VLOOKUP(AO$40,'Patient Calcs'!$B13:$L65,11,FALSE),0)</f>
        <v>0</v>
      </c>
      <c r="AP47" s="233">
        <f>IFERROR(VLOOKUP(AP$40,'Patient Calcs'!$B13:$L65,11,FALSE),0)</f>
        <v>0</v>
      </c>
      <c r="AQ47" s="233">
        <f>IFERROR(VLOOKUP(AQ$40,'Patient Calcs'!$B13:$L65,11,FALSE),0)</f>
        <v>0</v>
      </c>
      <c r="AR47" s="233">
        <f>IFERROR(VLOOKUP(AR$40,'Patient Calcs'!$B13:$L65,11,FALSE),0)</f>
        <v>0</v>
      </c>
      <c r="AS47" s="233">
        <f>IFERROR(VLOOKUP(AS$40,'Patient Calcs'!$B13:$L65,11,FALSE),0)</f>
        <v>0</v>
      </c>
      <c r="AT47" s="233">
        <f>IFERROR(VLOOKUP(AT$40,'Patient Calcs'!$B13:$L65,11,FALSE),0)</f>
        <v>0</v>
      </c>
      <c r="AU47" s="233">
        <f>IFERROR(VLOOKUP(AU$40,'Patient Calcs'!$B13:$L65,11,FALSE),0)</f>
        <v>0</v>
      </c>
      <c r="AV47" s="233">
        <f>IFERROR(VLOOKUP(AV$40,'Patient Calcs'!$B13:$L65,11,FALSE),0)</f>
        <v>0</v>
      </c>
      <c r="AW47" s="233">
        <f>IFERROR(VLOOKUP(AW$40,'Patient Calcs'!$B13:$L65,11,FALSE),0)</f>
        <v>0</v>
      </c>
      <c r="AX47" s="233">
        <f>IFERROR(VLOOKUP(AX$40,'Patient Calcs'!$B13:$L65,11,FALSE),0)</f>
        <v>0</v>
      </c>
      <c r="AY47" s="233">
        <f>IFERROR(VLOOKUP(AY$40,'Patient Calcs'!$B13:$L65,11,FALSE),0)</f>
        <v>0</v>
      </c>
      <c r="AZ47" s="233">
        <f>IFERROR(VLOOKUP(AZ$40,'Patient Calcs'!$B13:$L65,11,FALSE),0)</f>
        <v>0</v>
      </c>
      <c r="BA47" s="233">
        <f>IFERROR(VLOOKUP(BA$40,'Patient Calcs'!$B13:$L65,11,FALSE),0)</f>
        <v>0</v>
      </c>
      <c r="BB47" s="233">
        <f>IFERROR(VLOOKUP(BB$40,'Patient Calcs'!$B13:$L65,11,FALSE),0)</f>
        <v>0</v>
      </c>
      <c r="BC47" s="233">
        <f>IFERROR(VLOOKUP(BC$40,'Patient Calcs'!$B13:$L65,11,FALSE),0)</f>
        <v>0</v>
      </c>
      <c r="BD47" s="233">
        <f>IFERROR(VLOOKUP(BD$40,'Patient Calcs'!$B13:$L65,11,FALSE),0)</f>
        <v>0</v>
      </c>
      <c r="BE47" s="29"/>
      <c r="BF47" s="236">
        <f t="shared" si="1"/>
        <v>100.61464997517479</v>
      </c>
      <c r="BG47"/>
      <c r="BH47"/>
      <c r="BI47"/>
      <c r="BJ47"/>
      <c r="BK47"/>
      <c r="BL47"/>
      <c r="BM47"/>
      <c r="BN47"/>
      <c r="BO47"/>
      <c r="BP47"/>
      <c r="BQ47"/>
      <c r="BR47"/>
    </row>
    <row r="48" spans="1:70" ht="13.5" customHeight="1" x14ac:dyDescent="0.35">
      <c r="C48" s="507" t="s">
        <v>944</v>
      </c>
      <c r="D48" s="233">
        <f>IFERROR(VLOOKUP(D$40,'Patient Calcs'!$B13:$Z65,25,FALSE),0)</f>
        <v>10</v>
      </c>
      <c r="E48" s="233">
        <f>IFERROR(VLOOKUP(E$40,'Patient Calcs'!$B13:$Z65,25,FALSE),0)</f>
        <v>29.803874416808512</v>
      </c>
      <c r="F48" s="233">
        <f>IFERROR(VLOOKUP(F$40,'Patient Calcs'!$B13:$Z65,25,FALSE),0)</f>
        <v>102.42125669658243</v>
      </c>
      <c r="G48" s="233">
        <f>IFERROR(VLOOKUP(G$40,'Patient Calcs'!$B13:$Z65,25,FALSE),0)</f>
        <v>351.9680770984304</v>
      </c>
      <c r="H48" s="233">
        <f>IFERROR(VLOOKUP(H$40,'Patient Calcs'!$B13:$Z65,25,FALSE),0)</f>
        <v>1209.4892611199443</v>
      </c>
      <c r="I48" s="233">
        <f>IFERROR(VLOOKUP(I$40,'Patient Calcs'!$B13:$Z65,25,FALSE),0)</f>
        <v>4155.7666989694826</v>
      </c>
      <c r="J48" s="233">
        <f>IFERROR(VLOOKUP(J$40,'Patient Calcs'!$B13:$Z65,25,FALSE),0)</f>
        <v>14273.480826733707</v>
      </c>
      <c r="K48" s="233">
        <f>IFERROR(VLOOKUP(K$40,'Patient Calcs'!$B13:$Z65,25,FALSE),0)</f>
        <v>0</v>
      </c>
      <c r="L48" s="233">
        <f>IFERROR(VLOOKUP(L$40,'Patient Calcs'!$B13:$Z65,25,FALSE),0)</f>
        <v>0</v>
      </c>
      <c r="M48" s="233">
        <f>IFERROR(VLOOKUP(M$40,'Patient Calcs'!$B13:$Z65,25,FALSE),0)</f>
        <v>0</v>
      </c>
      <c r="N48" s="233">
        <f>IFERROR(VLOOKUP(N$40,'Patient Calcs'!$B13:$Z65,25,FALSE),0)</f>
        <v>0</v>
      </c>
      <c r="O48" s="233">
        <f>IFERROR(VLOOKUP(O$40,'Patient Calcs'!$B13:$Z65,25,FALSE),0)</f>
        <v>0</v>
      </c>
      <c r="P48" s="233">
        <f>IFERROR(VLOOKUP(P$40,'Patient Calcs'!$B13:$Z65,25,FALSE),0)</f>
        <v>0</v>
      </c>
      <c r="Q48" s="233">
        <f>IFERROR(VLOOKUP(Q$40,'Patient Calcs'!$B13:$Z65,25,FALSE),0)</f>
        <v>0</v>
      </c>
      <c r="R48" s="233">
        <f>IFERROR(VLOOKUP(R$40,'Patient Calcs'!$B13:$Z65,25,FALSE),0)</f>
        <v>0</v>
      </c>
      <c r="S48" s="233">
        <f>IFERROR(VLOOKUP(S$40,'Patient Calcs'!$B13:$Z65,25,FALSE),0)</f>
        <v>0</v>
      </c>
      <c r="T48" s="233">
        <f>IFERROR(VLOOKUP(T$40,'Patient Calcs'!$B13:$Z65,25,FALSE),0)</f>
        <v>0</v>
      </c>
      <c r="U48" s="233">
        <f>IFERROR(VLOOKUP(U$40,'Patient Calcs'!$B13:$Z65,25,FALSE),0)</f>
        <v>0</v>
      </c>
      <c r="V48" s="233">
        <f>IFERROR(VLOOKUP(V$40,'Patient Calcs'!$B13:$Z65,25,FALSE),0)</f>
        <v>0</v>
      </c>
      <c r="W48" s="233">
        <f>IFERROR(VLOOKUP(W$40,'Patient Calcs'!$B13:$Z65,25,FALSE),0)</f>
        <v>0</v>
      </c>
      <c r="X48" s="233">
        <f>IFERROR(VLOOKUP(X$40,'Patient Calcs'!$B13:$Z65,25,FALSE),0)</f>
        <v>0</v>
      </c>
      <c r="Y48" s="233">
        <f>IFERROR(VLOOKUP(Y$40,'Patient Calcs'!$B13:$Z65,25,FALSE),0)</f>
        <v>0</v>
      </c>
      <c r="Z48" s="233">
        <f>IFERROR(VLOOKUP(Z$40,'Patient Calcs'!$B13:$Z65,25,FALSE),0)</f>
        <v>0</v>
      </c>
      <c r="AA48" s="233">
        <f>IFERROR(VLOOKUP(AA$40,'Patient Calcs'!$B13:$Z65,25,FALSE),0)</f>
        <v>0</v>
      </c>
      <c r="AB48" s="233">
        <f>IFERROR(VLOOKUP(AB$40,'Patient Calcs'!$B13:$Z65,25,FALSE),0)</f>
        <v>0</v>
      </c>
      <c r="AC48" s="233">
        <f>IFERROR(VLOOKUP(AC$40,'Patient Calcs'!$B13:$Z65,25,FALSE),0)</f>
        <v>0</v>
      </c>
      <c r="AD48" s="233">
        <f>IFERROR(VLOOKUP(AD$40,'Patient Calcs'!$B13:$Z65,25,FALSE),0)</f>
        <v>0</v>
      </c>
      <c r="AE48" s="233">
        <f>IFERROR(VLOOKUP(AE$40,'Patient Calcs'!$B13:$Z65,25,FALSE),0)</f>
        <v>0</v>
      </c>
      <c r="AF48" s="233">
        <f>IFERROR(VLOOKUP(AF$40,'Patient Calcs'!$B13:$Z65,25,FALSE),0)</f>
        <v>0</v>
      </c>
      <c r="AG48" s="233">
        <f>IFERROR(VLOOKUP(AG$40,'Patient Calcs'!$B13:$Z65,25,FALSE),0)</f>
        <v>0</v>
      </c>
      <c r="AH48" s="233">
        <f>IFERROR(VLOOKUP(AH$40,'Patient Calcs'!$B13:$Z65,25,FALSE),0)</f>
        <v>0</v>
      </c>
      <c r="AI48" s="233">
        <f>IFERROR(VLOOKUP(AI$40,'Patient Calcs'!$B13:$Z65,25,FALSE),0)</f>
        <v>0</v>
      </c>
      <c r="AJ48" s="233">
        <f>IFERROR(VLOOKUP(AJ$40,'Patient Calcs'!$B13:$Z65,25,FALSE),0)</f>
        <v>0</v>
      </c>
      <c r="AK48" s="233">
        <f>IFERROR(VLOOKUP(AK$40,'Patient Calcs'!$B13:$Z65,25,FALSE),0)</f>
        <v>0</v>
      </c>
      <c r="AL48" s="233">
        <f>IFERROR(VLOOKUP(AL$40,'Patient Calcs'!$B13:$Z65,25,FALSE),0)</f>
        <v>0</v>
      </c>
      <c r="AM48" s="233">
        <f>IFERROR(VLOOKUP(AM$40,'Patient Calcs'!$B13:$Z65,25,FALSE),0)</f>
        <v>0</v>
      </c>
      <c r="AN48" s="233">
        <f>IFERROR(VLOOKUP(AN$40,'Patient Calcs'!$B13:$Z65,25,FALSE),0)</f>
        <v>0</v>
      </c>
      <c r="AO48" s="233">
        <f>IFERROR(VLOOKUP(AO$40,'Patient Calcs'!$B13:$Z65,25,FALSE),0)</f>
        <v>0</v>
      </c>
      <c r="AP48" s="233">
        <f>IFERROR(VLOOKUP(AP$40,'Patient Calcs'!$B13:$Z65,25,FALSE),0)</f>
        <v>0</v>
      </c>
      <c r="AQ48" s="233">
        <f>IFERROR(VLOOKUP(AQ$40,'Patient Calcs'!$B13:$Z65,25,FALSE),0)</f>
        <v>0</v>
      </c>
      <c r="AR48" s="233">
        <f>IFERROR(VLOOKUP(AR$40,'Patient Calcs'!$B13:$Z65,25,FALSE),0)</f>
        <v>0</v>
      </c>
      <c r="AS48" s="233">
        <f>IFERROR(VLOOKUP(AS$40,'Patient Calcs'!$B13:$Z65,25,FALSE),0)</f>
        <v>0</v>
      </c>
      <c r="AT48" s="233">
        <f>IFERROR(VLOOKUP(AT$40,'Patient Calcs'!$B13:$Z65,25,FALSE),0)</f>
        <v>0</v>
      </c>
      <c r="AU48" s="233">
        <f>IFERROR(VLOOKUP(AU$40,'Patient Calcs'!$B13:$Z65,25,FALSE),0)</f>
        <v>0</v>
      </c>
      <c r="AV48" s="233">
        <f>IFERROR(VLOOKUP(AV$40,'Patient Calcs'!$B13:$Z65,25,FALSE),0)</f>
        <v>0</v>
      </c>
      <c r="AW48" s="233">
        <f>IFERROR(VLOOKUP(AW$40,'Patient Calcs'!$B13:$Z65,25,FALSE),0)</f>
        <v>0</v>
      </c>
      <c r="AX48" s="233">
        <f>IFERROR(VLOOKUP(AX$40,'Patient Calcs'!$B13:$Z65,25,FALSE),0)</f>
        <v>0</v>
      </c>
      <c r="AY48" s="233">
        <f>IFERROR(VLOOKUP(AY$40,'Patient Calcs'!$B13:$Z65,25,FALSE),0)</f>
        <v>0</v>
      </c>
      <c r="AZ48" s="233">
        <f>IFERROR(VLOOKUP(AZ$40,'Patient Calcs'!$B13:$Z65,25,FALSE),0)</f>
        <v>0</v>
      </c>
      <c r="BA48" s="233">
        <f>IFERROR(VLOOKUP(BA$40,'Patient Calcs'!$B13:$Z65,25,FALSE),0)</f>
        <v>0</v>
      </c>
      <c r="BB48" s="233">
        <f>IFERROR(VLOOKUP(BB$40,'Patient Calcs'!$B13:$Z65,25,FALSE),0)</f>
        <v>0</v>
      </c>
      <c r="BC48" s="233">
        <f>IFERROR(VLOOKUP(BC$40,'Patient Calcs'!$B13:$Z65,25,FALSE),0)</f>
        <v>0</v>
      </c>
      <c r="BD48" s="233">
        <f>IFERROR(VLOOKUP(BD$40,'Patient Calcs'!$B13:$Z65,25,FALSE),0)</f>
        <v>0</v>
      </c>
      <c r="BE48" s="29"/>
      <c r="BF48" s="236">
        <f t="shared" si="1"/>
        <v>20122.929995034956</v>
      </c>
      <c r="BG48"/>
      <c r="BH48"/>
      <c r="BI48"/>
      <c r="BJ48"/>
      <c r="BK48"/>
      <c r="BL48"/>
      <c r="BM48"/>
      <c r="BN48"/>
      <c r="BO48"/>
      <c r="BP48"/>
      <c r="BQ48"/>
      <c r="BR48"/>
    </row>
    <row r="49" spans="2:70" s="129" customFormat="1" ht="13.5" hidden="1" customHeight="1" x14ac:dyDescent="0.35">
      <c r="B49" s="403" t="s">
        <v>1103</v>
      </c>
      <c r="C49" s="412" t="s">
        <v>1104</v>
      </c>
      <c r="D49" s="234">
        <f ca="1">D61</f>
        <v>0.4</v>
      </c>
      <c r="E49" s="234" t="str">
        <f ca="1">IFERROR(IF((D61-E75+E44)&gt;$D$25,$D$25-(D61-E75),E44),"")</f>
        <v/>
      </c>
      <c r="F49" s="234" t="str">
        <f t="shared" ref="F49:BD49" ca="1" si="2">IFERROR(IF((E61-F75+F44)&gt;$D$25,$D$25-(E61-F75),F44),"")</f>
        <v/>
      </c>
      <c r="G49" s="234" t="str">
        <f t="shared" ca="1" si="2"/>
        <v/>
      </c>
      <c r="H49" s="234" t="str">
        <f t="shared" ca="1" si="2"/>
        <v/>
      </c>
      <c r="I49" s="234" t="str">
        <f t="shared" ca="1" si="2"/>
        <v/>
      </c>
      <c r="J49" s="234" t="str">
        <f t="shared" ca="1" si="2"/>
        <v/>
      </c>
      <c r="K49" s="234" t="str">
        <f t="shared" ca="1" si="2"/>
        <v/>
      </c>
      <c r="L49" s="234" t="str">
        <f t="shared" ca="1" si="2"/>
        <v/>
      </c>
      <c r="M49" s="234" t="str">
        <f t="shared" ca="1" si="2"/>
        <v/>
      </c>
      <c r="N49" s="234" t="str">
        <f t="shared" ca="1" si="2"/>
        <v/>
      </c>
      <c r="O49" s="234" t="str">
        <f t="shared" ca="1" si="2"/>
        <v/>
      </c>
      <c r="P49" s="234" t="str">
        <f t="shared" ca="1" si="2"/>
        <v/>
      </c>
      <c r="Q49" s="234" t="str">
        <f t="shared" ca="1" si="2"/>
        <v/>
      </c>
      <c r="R49" s="234" t="str">
        <f t="shared" ca="1" si="2"/>
        <v/>
      </c>
      <c r="S49" s="234" t="str">
        <f t="shared" ca="1" si="2"/>
        <v/>
      </c>
      <c r="T49" s="234" t="str">
        <f t="shared" ca="1" si="2"/>
        <v/>
      </c>
      <c r="U49" s="234" t="str">
        <f t="shared" ca="1" si="2"/>
        <v/>
      </c>
      <c r="V49" s="234" t="str">
        <f t="shared" ca="1" si="2"/>
        <v/>
      </c>
      <c r="W49" s="234" t="str">
        <f t="shared" ca="1" si="2"/>
        <v/>
      </c>
      <c r="X49" s="234" t="str">
        <f t="shared" ca="1" si="2"/>
        <v/>
      </c>
      <c r="Y49" s="234" t="str">
        <f t="shared" ca="1" si="2"/>
        <v/>
      </c>
      <c r="Z49" s="234" t="str">
        <f t="shared" ca="1" si="2"/>
        <v/>
      </c>
      <c r="AA49" s="234" t="str">
        <f t="shared" ca="1" si="2"/>
        <v/>
      </c>
      <c r="AB49" s="234" t="str">
        <f t="shared" ca="1" si="2"/>
        <v/>
      </c>
      <c r="AC49" s="234" t="str">
        <f t="shared" ca="1" si="2"/>
        <v/>
      </c>
      <c r="AD49" s="234" t="str">
        <f t="shared" ca="1" si="2"/>
        <v/>
      </c>
      <c r="AE49" s="234" t="str">
        <f t="shared" ca="1" si="2"/>
        <v/>
      </c>
      <c r="AF49" s="234" t="str">
        <f t="shared" ca="1" si="2"/>
        <v/>
      </c>
      <c r="AG49" s="234" t="str">
        <f t="shared" ca="1" si="2"/>
        <v/>
      </c>
      <c r="AH49" s="234" t="str">
        <f t="shared" ca="1" si="2"/>
        <v/>
      </c>
      <c r="AI49" s="234" t="str">
        <f t="shared" ca="1" si="2"/>
        <v/>
      </c>
      <c r="AJ49" s="234" t="str">
        <f t="shared" ca="1" si="2"/>
        <v/>
      </c>
      <c r="AK49" s="234" t="str">
        <f t="shared" ca="1" si="2"/>
        <v/>
      </c>
      <c r="AL49" s="234" t="str">
        <f t="shared" ca="1" si="2"/>
        <v/>
      </c>
      <c r="AM49" s="234" t="str">
        <f t="shared" ca="1" si="2"/>
        <v/>
      </c>
      <c r="AN49" s="234" t="str">
        <f t="shared" ca="1" si="2"/>
        <v/>
      </c>
      <c r="AO49" s="234" t="str">
        <f t="shared" ca="1" si="2"/>
        <v/>
      </c>
      <c r="AP49" s="234" t="str">
        <f t="shared" ca="1" si="2"/>
        <v/>
      </c>
      <c r="AQ49" s="234" t="str">
        <f t="shared" ca="1" si="2"/>
        <v/>
      </c>
      <c r="AR49" s="234" t="str">
        <f t="shared" ca="1" si="2"/>
        <v/>
      </c>
      <c r="AS49" s="234" t="str">
        <f t="shared" ca="1" si="2"/>
        <v/>
      </c>
      <c r="AT49" s="234" t="str">
        <f t="shared" ca="1" si="2"/>
        <v/>
      </c>
      <c r="AU49" s="234" t="str">
        <f t="shared" ca="1" si="2"/>
        <v/>
      </c>
      <c r="AV49" s="234" t="str">
        <f t="shared" ca="1" si="2"/>
        <v/>
      </c>
      <c r="AW49" s="234" t="str">
        <f t="shared" ca="1" si="2"/>
        <v/>
      </c>
      <c r="AX49" s="234" t="str">
        <f t="shared" ca="1" si="2"/>
        <v/>
      </c>
      <c r="AY49" s="234" t="str">
        <f t="shared" ca="1" si="2"/>
        <v/>
      </c>
      <c r="AZ49" s="234" t="str">
        <f t="shared" ca="1" si="2"/>
        <v/>
      </c>
      <c r="BA49" s="234" t="str">
        <f t="shared" ca="1" si="2"/>
        <v/>
      </c>
      <c r="BB49" s="234" t="str">
        <f t="shared" ca="1" si="2"/>
        <v/>
      </c>
      <c r="BC49" s="234" t="str">
        <f t="shared" ca="1" si="2"/>
        <v/>
      </c>
      <c r="BD49" s="234" t="str">
        <f t="shared" ca="1" si="2"/>
        <v/>
      </c>
      <c r="BE49" s="29"/>
      <c r="BF49" s="236">
        <f ca="1">SUMIFS($D49:$BD49,$D$40:$BD$40,"&lt;="&amp;WeekSuppliedUntil,$D$40:$BD$40,"&gt;="&amp;Start_week_for_forecasting)</f>
        <v>0</v>
      </c>
    </row>
    <row r="50" spans="2:70" s="129" customFormat="1" ht="13.5" hidden="1" customHeight="1" x14ac:dyDescent="0.35">
      <c r="C50" s="412" t="s">
        <v>1081</v>
      </c>
      <c r="D50" s="234">
        <f ca="1">D62</f>
        <v>0</v>
      </c>
      <c r="E50" s="234" t="str">
        <f ca="1">IFERROR(IF((D62-E76+E45)&gt;$D$22,$D$22-(D62-E76),E45),"")</f>
        <v/>
      </c>
      <c r="F50" s="234" t="str">
        <f t="shared" ref="F50:BD50" ca="1" si="3">IFERROR(IF((E62-F76+F45)&gt;$D$22,$D$22-(E62-F76),F45),"")</f>
        <v/>
      </c>
      <c r="G50" s="234" t="str">
        <f t="shared" ca="1" si="3"/>
        <v/>
      </c>
      <c r="H50" s="234" t="str">
        <f t="shared" ca="1" si="3"/>
        <v/>
      </c>
      <c r="I50" s="234" t="str">
        <f t="shared" ca="1" si="3"/>
        <v/>
      </c>
      <c r="J50" s="234" t="str">
        <f t="shared" ca="1" si="3"/>
        <v/>
      </c>
      <c r="K50" s="234" t="str">
        <f t="shared" ca="1" si="3"/>
        <v/>
      </c>
      <c r="L50" s="234" t="str">
        <f t="shared" ca="1" si="3"/>
        <v/>
      </c>
      <c r="M50" s="234" t="str">
        <f t="shared" ca="1" si="3"/>
        <v/>
      </c>
      <c r="N50" s="234" t="str">
        <f t="shared" ca="1" si="3"/>
        <v/>
      </c>
      <c r="O50" s="234" t="str">
        <f t="shared" ca="1" si="3"/>
        <v/>
      </c>
      <c r="P50" s="234" t="str">
        <f t="shared" ca="1" si="3"/>
        <v/>
      </c>
      <c r="Q50" s="234" t="str">
        <f t="shared" ca="1" si="3"/>
        <v/>
      </c>
      <c r="R50" s="234" t="str">
        <f t="shared" ca="1" si="3"/>
        <v/>
      </c>
      <c r="S50" s="234" t="str">
        <f t="shared" ca="1" si="3"/>
        <v/>
      </c>
      <c r="T50" s="234" t="str">
        <f t="shared" ca="1" si="3"/>
        <v/>
      </c>
      <c r="U50" s="234" t="str">
        <f t="shared" ca="1" si="3"/>
        <v/>
      </c>
      <c r="V50" s="234" t="str">
        <f t="shared" ca="1" si="3"/>
        <v/>
      </c>
      <c r="W50" s="234" t="str">
        <f t="shared" ca="1" si="3"/>
        <v/>
      </c>
      <c r="X50" s="234" t="str">
        <f t="shared" ca="1" si="3"/>
        <v/>
      </c>
      <c r="Y50" s="234" t="str">
        <f t="shared" ca="1" si="3"/>
        <v/>
      </c>
      <c r="Z50" s="234" t="str">
        <f t="shared" ca="1" si="3"/>
        <v/>
      </c>
      <c r="AA50" s="234" t="str">
        <f t="shared" ca="1" si="3"/>
        <v/>
      </c>
      <c r="AB50" s="234" t="str">
        <f t="shared" ca="1" si="3"/>
        <v/>
      </c>
      <c r="AC50" s="234" t="str">
        <f t="shared" ca="1" si="3"/>
        <v/>
      </c>
      <c r="AD50" s="234" t="str">
        <f t="shared" ca="1" si="3"/>
        <v/>
      </c>
      <c r="AE50" s="234" t="str">
        <f t="shared" ca="1" si="3"/>
        <v/>
      </c>
      <c r="AF50" s="234" t="str">
        <f t="shared" ca="1" si="3"/>
        <v/>
      </c>
      <c r="AG50" s="234" t="str">
        <f t="shared" ca="1" si="3"/>
        <v/>
      </c>
      <c r="AH50" s="234" t="str">
        <f t="shared" ca="1" si="3"/>
        <v/>
      </c>
      <c r="AI50" s="234" t="str">
        <f t="shared" ca="1" si="3"/>
        <v/>
      </c>
      <c r="AJ50" s="234" t="str">
        <f t="shared" ca="1" si="3"/>
        <v/>
      </c>
      <c r="AK50" s="234" t="str">
        <f t="shared" ca="1" si="3"/>
        <v/>
      </c>
      <c r="AL50" s="234" t="str">
        <f t="shared" ca="1" si="3"/>
        <v/>
      </c>
      <c r="AM50" s="234" t="str">
        <f t="shared" ca="1" si="3"/>
        <v/>
      </c>
      <c r="AN50" s="234" t="str">
        <f t="shared" ca="1" si="3"/>
        <v/>
      </c>
      <c r="AO50" s="234" t="str">
        <f t="shared" ca="1" si="3"/>
        <v/>
      </c>
      <c r="AP50" s="234" t="str">
        <f t="shared" ca="1" si="3"/>
        <v/>
      </c>
      <c r="AQ50" s="234" t="str">
        <f t="shared" ca="1" si="3"/>
        <v/>
      </c>
      <c r="AR50" s="234" t="str">
        <f t="shared" ca="1" si="3"/>
        <v/>
      </c>
      <c r="AS50" s="234" t="str">
        <f t="shared" ca="1" si="3"/>
        <v/>
      </c>
      <c r="AT50" s="234" t="str">
        <f t="shared" ca="1" si="3"/>
        <v/>
      </c>
      <c r="AU50" s="234" t="str">
        <f t="shared" ca="1" si="3"/>
        <v/>
      </c>
      <c r="AV50" s="234" t="str">
        <f t="shared" ca="1" si="3"/>
        <v/>
      </c>
      <c r="AW50" s="234" t="str">
        <f t="shared" ca="1" si="3"/>
        <v/>
      </c>
      <c r="AX50" s="234" t="str">
        <f t="shared" ca="1" si="3"/>
        <v/>
      </c>
      <c r="AY50" s="234" t="str">
        <f t="shared" ca="1" si="3"/>
        <v/>
      </c>
      <c r="AZ50" s="234" t="str">
        <f t="shared" ca="1" si="3"/>
        <v/>
      </c>
      <c r="BA50" s="234" t="str">
        <f t="shared" ca="1" si="3"/>
        <v/>
      </c>
      <c r="BB50" s="234" t="str">
        <f t="shared" ca="1" si="3"/>
        <v/>
      </c>
      <c r="BC50" s="234" t="str">
        <f t="shared" ca="1" si="3"/>
        <v/>
      </c>
      <c r="BD50" s="234" t="str">
        <f t="shared" ca="1" si="3"/>
        <v/>
      </c>
      <c r="BE50" s="29"/>
      <c r="BF50" s="236">
        <f ca="1">SUMIFS($D50:$BD50,$D$40:$BD$40,"&lt;="&amp;WeekSuppliedUntil,$D$40:$BD$40,"&gt;="&amp;Start_week_for_forecasting)</f>
        <v>0</v>
      </c>
    </row>
    <row r="51" spans="2:70" s="6" customFormat="1" ht="13.5" customHeight="1" x14ac:dyDescent="0.35">
      <c r="C51" s="17" t="s">
        <v>1782</v>
      </c>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34"/>
      <c r="BF51" s="1259"/>
    </row>
    <row r="52" spans="2:70" s="5" customFormat="1" ht="13.5" customHeight="1" x14ac:dyDescent="0.35">
      <c r="C52" s="1261" t="s">
        <v>649</v>
      </c>
      <c r="D52" s="314">
        <f ca="1">D64</f>
        <v>0.15</v>
      </c>
      <c r="E52" s="314">
        <f ca="1">IFERROR(IF((D64-E78+E46)&gt;$D$12,$D$12-(D64-E78),E46),"")</f>
        <v>0.44705811625212771</v>
      </c>
      <c r="F52" s="314">
        <f t="shared" ref="F52:BD52" ca="1" si="4">IFERROR(IF((E64-F78+F46)&gt;$D$12,$D$12-(E64-F78),F46),"")</f>
        <v>1.5363188504487364</v>
      </c>
      <c r="G52" s="314">
        <f ca="1">IFERROR(IF((F64-G78+G46)&gt;$D$12,$D$12-(F64-G78),G46),"")</f>
        <v>5.2795211564764566</v>
      </c>
      <c r="H52" s="314">
        <f t="shared" ca="1" si="4"/>
        <v>18.142338916799165</v>
      </c>
      <c r="I52" s="314">
        <f t="shared" ca="1" si="4"/>
        <v>62.336500484542235</v>
      </c>
      <c r="J52" s="314">
        <f t="shared" ca="1" si="4"/>
        <v>214.1022124010056</v>
      </c>
      <c r="K52" s="314">
        <f t="shared" ca="1" si="4"/>
        <v>0</v>
      </c>
      <c r="L52" s="314">
        <f t="shared" ca="1" si="4"/>
        <v>0</v>
      </c>
      <c r="M52" s="314">
        <f t="shared" ca="1" si="4"/>
        <v>0</v>
      </c>
      <c r="N52" s="314">
        <f t="shared" ca="1" si="4"/>
        <v>0</v>
      </c>
      <c r="O52" s="314">
        <f t="shared" ca="1" si="4"/>
        <v>0</v>
      </c>
      <c r="P52" s="314">
        <f t="shared" ca="1" si="4"/>
        <v>0</v>
      </c>
      <c r="Q52" s="314">
        <f t="shared" ca="1" si="4"/>
        <v>0</v>
      </c>
      <c r="R52" s="314">
        <f t="shared" ca="1" si="4"/>
        <v>0</v>
      </c>
      <c r="S52" s="314">
        <f t="shared" ca="1" si="4"/>
        <v>0</v>
      </c>
      <c r="T52" s="314">
        <f ca="1">IFERROR(IF((S64-T78+T46)&gt;$D$12,$D$12-(S64-T78),T46),"")</f>
        <v>0</v>
      </c>
      <c r="U52" s="314">
        <f t="shared" ca="1" si="4"/>
        <v>0</v>
      </c>
      <c r="V52" s="314">
        <f t="shared" ca="1" si="4"/>
        <v>0</v>
      </c>
      <c r="W52" s="314">
        <f t="shared" ca="1" si="4"/>
        <v>0</v>
      </c>
      <c r="X52" s="314">
        <f t="shared" ca="1" si="4"/>
        <v>0</v>
      </c>
      <c r="Y52" s="314">
        <f t="shared" ca="1" si="4"/>
        <v>0</v>
      </c>
      <c r="Z52" s="314">
        <f t="shared" ca="1" si="4"/>
        <v>0</v>
      </c>
      <c r="AA52" s="314">
        <f t="shared" ca="1" si="4"/>
        <v>0</v>
      </c>
      <c r="AB52" s="314">
        <f t="shared" ca="1" si="4"/>
        <v>0</v>
      </c>
      <c r="AC52" s="314">
        <f t="shared" ca="1" si="4"/>
        <v>0</v>
      </c>
      <c r="AD52" s="314">
        <f t="shared" ca="1" si="4"/>
        <v>0</v>
      </c>
      <c r="AE52" s="314">
        <f t="shared" ca="1" si="4"/>
        <v>0</v>
      </c>
      <c r="AF52" s="314">
        <f t="shared" ca="1" si="4"/>
        <v>0</v>
      </c>
      <c r="AG52" s="314">
        <f t="shared" ca="1" si="4"/>
        <v>0</v>
      </c>
      <c r="AH52" s="314">
        <f t="shared" ca="1" si="4"/>
        <v>0</v>
      </c>
      <c r="AI52" s="314">
        <f t="shared" ca="1" si="4"/>
        <v>0</v>
      </c>
      <c r="AJ52" s="314">
        <f t="shared" ca="1" si="4"/>
        <v>0</v>
      </c>
      <c r="AK52" s="314">
        <f t="shared" ca="1" si="4"/>
        <v>0</v>
      </c>
      <c r="AL52" s="314">
        <f t="shared" ca="1" si="4"/>
        <v>0</v>
      </c>
      <c r="AM52" s="314">
        <f t="shared" ca="1" si="4"/>
        <v>0</v>
      </c>
      <c r="AN52" s="314">
        <f t="shared" ca="1" si="4"/>
        <v>0</v>
      </c>
      <c r="AO52" s="314">
        <f t="shared" ca="1" si="4"/>
        <v>0</v>
      </c>
      <c r="AP52" s="314">
        <f t="shared" ca="1" si="4"/>
        <v>0</v>
      </c>
      <c r="AQ52" s="314">
        <f t="shared" ca="1" si="4"/>
        <v>0</v>
      </c>
      <c r="AR52" s="314">
        <f t="shared" ca="1" si="4"/>
        <v>0</v>
      </c>
      <c r="AS52" s="314">
        <f t="shared" ca="1" si="4"/>
        <v>0</v>
      </c>
      <c r="AT52" s="314">
        <f t="shared" ca="1" si="4"/>
        <v>0</v>
      </c>
      <c r="AU52" s="314">
        <f t="shared" ca="1" si="4"/>
        <v>0</v>
      </c>
      <c r="AV52" s="314">
        <f t="shared" ca="1" si="4"/>
        <v>0</v>
      </c>
      <c r="AW52" s="314">
        <f t="shared" ca="1" si="4"/>
        <v>0</v>
      </c>
      <c r="AX52" s="314">
        <f t="shared" ca="1" si="4"/>
        <v>0</v>
      </c>
      <c r="AY52" s="314">
        <f t="shared" ca="1" si="4"/>
        <v>0</v>
      </c>
      <c r="AZ52" s="314">
        <f t="shared" ca="1" si="4"/>
        <v>0</v>
      </c>
      <c r="BA52" s="314">
        <f t="shared" ca="1" si="4"/>
        <v>0</v>
      </c>
      <c r="BB52" s="314">
        <f t="shared" ca="1" si="4"/>
        <v>0</v>
      </c>
      <c r="BC52" s="314">
        <f t="shared" ca="1" si="4"/>
        <v>0</v>
      </c>
      <c r="BD52" s="314">
        <f t="shared" ca="1" si="4"/>
        <v>0</v>
      </c>
      <c r="BE52" s="1264"/>
      <c r="BF52" s="318">
        <f t="shared" ca="1" si="1"/>
        <v>301.84394992552433</v>
      </c>
    </row>
    <row r="53" spans="2:70" s="5" customFormat="1" ht="13.5" customHeight="1" x14ac:dyDescent="0.35">
      <c r="C53" s="1261" t="s">
        <v>650</v>
      </c>
      <c r="D53" s="314">
        <f ca="1">D65</f>
        <v>0.05</v>
      </c>
      <c r="E53" s="314">
        <f ca="1">IFERROR(IF((D65-E79+E47)&gt;$D$13,$D$13-(D65-E79),E47),"")</f>
        <v>0.14901937208404256</v>
      </c>
      <c r="F53" s="314">
        <f t="shared" ref="F53:BD53" ca="1" si="5">IFERROR(IF((E65-F79+F47)&gt;$D$13,$D$13-(E65-F79),F47),"")</f>
        <v>0.51210628348291221</v>
      </c>
      <c r="G53" s="314">
        <f ca="1">IFERROR(IF((F65-G79+G47)&gt;$D$13,$D$13-(F65-G79),G47),"")</f>
        <v>1.7598403854921523</v>
      </c>
      <c r="H53" s="314">
        <f ca="1">IFERROR(IF((G65-H79+H47)&gt;$D$13,$D$13-(G65-H79),H47),"")</f>
        <v>6.0474463055997223</v>
      </c>
      <c r="I53" s="314">
        <f t="shared" ca="1" si="5"/>
        <v>20.778833494847415</v>
      </c>
      <c r="J53" s="314">
        <f t="shared" ca="1" si="5"/>
        <v>71.367404133668543</v>
      </c>
      <c r="K53" s="314">
        <f t="shared" ca="1" si="5"/>
        <v>0</v>
      </c>
      <c r="L53" s="314">
        <f t="shared" ca="1" si="5"/>
        <v>0</v>
      </c>
      <c r="M53" s="314">
        <f t="shared" ca="1" si="5"/>
        <v>0</v>
      </c>
      <c r="N53" s="314">
        <f t="shared" ca="1" si="5"/>
        <v>0</v>
      </c>
      <c r="O53" s="314">
        <f t="shared" ca="1" si="5"/>
        <v>0</v>
      </c>
      <c r="P53" s="314">
        <f t="shared" ca="1" si="5"/>
        <v>0</v>
      </c>
      <c r="Q53" s="314">
        <f t="shared" ca="1" si="5"/>
        <v>0</v>
      </c>
      <c r="R53" s="314">
        <f t="shared" ca="1" si="5"/>
        <v>0</v>
      </c>
      <c r="S53" s="314">
        <f t="shared" ca="1" si="5"/>
        <v>0</v>
      </c>
      <c r="T53" s="314">
        <f t="shared" ca="1" si="5"/>
        <v>0</v>
      </c>
      <c r="U53" s="314">
        <f t="shared" ca="1" si="5"/>
        <v>0</v>
      </c>
      <c r="V53" s="314">
        <f t="shared" ca="1" si="5"/>
        <v>0</v>
      </c>
      <c r="W53" s="314">
        <f t="shared" ca="1" si="5"/>
        <v>0</v>
      </c>
      <c r="X53" s="314">
        <f t="shared" ca="1" si="5"/>
        <v>0</v>
      </c>
      <c r="Y53" s="314">
        <f t="shared" ca="1" si="5"/>
        <v>0</v>
      </c>
      <c r="Z53" s="314">
        <f t="shared" ca="1" si="5"/>
        <v>0</v>
      </c>
      <c r="AA53" s="314">
        <f t="shared" ca="1" si="5"/>
        <v>0</v>
      </c>
      <c r="AB53" s="314">
        <f t="shared" ca="1" si="5"/>
        <v>0</v>
      </c>
      <c r="AC53" s="314">
        <f t="shared" ca="1" si="5"/>
        <v>0</v>
      </c>
      <c r="AD53" s="314">
        <f t="shared" ca="1" si="5"/>
        <v>0</v>
      </c>
      <c r="AE53" s="314">
        <f t="shared" ca="1" si="5"/>
        <v>0</v>
      </c>
      <c r="AF53" s="314">
        <f t="shared" ca="1" si="5"/>
        <v>0</v>
      </c>
      <c r="AG53" s="314">
        <f t="shared" ca="1" si="5"/>
        <v>0</v>
      </c>
      <c r="AH53" s="314">
        <f t="shared" ca="1" si="5"/>
        <v>0</v>
      </c>
      <c r="AI53" s="314">
        <f t="shared" ca="1" si="5"/>
        <v>0</v>
      </c>
      <c r="AJ53" s="314">
        <f t="shared" ca="1" si="5"/>
        <v>0</v>
      </c>
      <c r="AK53" s="314">
        <f t="shared" ca="1" si="5"/>
        <v>0</v>
      </c>
      <c r="AL53" s="314">
        <f t="shared" ca="1" si="5"/>
        <v>0</v>
      </c>
      <c r="AM53" s="314">
        <f t="shared" ca="1" si="5"/>
        <v>0</v>
      </c>
      <c r="AN53" s="314">
        <f t="shared" ca="1" si="5"/>
        <v>0</v>
      </c>
      <c r="AO53" s="314">
        <f t="shared" ca="1" si="5"/>
        <v>0</v>
      </c>
      <c r="AP53" s="314">
        <f t="shared" ca="1" si="5"/>
        <v>0</v>
      </c>
      <c r="AQ53" s="314">
        <f t="shared" ca="1" si="5"/>
        <v>0</v>
      </c>
      <c r="AR53" s="314">
        <f t="shared" ca="1" si="5"/>
        <v>0</v>
      </c>
      <c r="AS53" s="314">
        <f t="shared" ca="1" si="5"/>
        <v>0</v>
      </c>
      <c r="AT53" s="314">
        <f t="shared" ca="1" si="5"/>
        <v>0</v>
      </c>
      <c r="AU53" s="314">
        <f t="shared" ca="1" si="5"/>
        <v>0</v>
      </c>
      <c r="AV53" s="314">
        <f t="shared" ca="1" si="5"/>
        <v>0</v>
      </c>
      <c r="AW53" s="314">
        <f t="shared" ca="1" si="5"/>
        <v>0</v>
      </c>
      <c r="AX53" s="314">
        <f t="shared" ca="1" si="5"/>
        <v>0</v>
      </c>
      <c r="AY53" s="314">
        <f t="shared" ca="1" si="5"/>
        <v>0</v>
      </c>
      <c r="AZ53" s="314">
        <f t="shared" ca="1" si="5"/>
        <v>0</v>
      </c>
      <c r="BA53" s="314">
        <f t="shared" ca="1" si="5"/>
        <v>0</v>
      </c>
      <c r="BB53" s="314">
        <f t="shared" ca="1" si="5"/>
        <v>0</v>
      </c>
      <c r="BC53" s="314">
        <f t="shared" ca="1" si="5"/>
        <v>0</v>
      </c>
      <c r="BD53" s="314">
        <f t="shared" ca="1" si="5"/>
        <v>0</v>
      </c>
      <c r="BE53" s="1264"/>
      <c r="BF53" s="318">
        <f t="shared" ca="1" si="1"/>
        <v>100.61464997517479</v>
      </c>
    </row>
    <row r="54" spans="2:70" x14ac:dyDescent="0.35">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c r="BF54"/>
      <c r="BG54"/>
      <c r="BH54"/>
      <c r="BI54"/>
      <c r="BJ54"/>
      <c r="BK54"/>
      <c r="BL54"/>
      <c r="BM54"/>
      <c r="BN54"/>
      <c r="BO54"/>
      <c r="BP54"/>
      <c r="BQ54"/>
      <c r="BR54"/>
    </row>
    <row r="55" spans="2:70" s="25" customFormat="1" x14ac:dyDescent="0.35">
      <c r="C55" s="227" t="s">
        <v>1080</v>
      </c>
      <c r="BF55" s="237"/>
    </row>
    <row r="56" spans="2:70" s="6" customFormat="1" x14ac:dyDescent="0.35">
      <c r="C56" s="17" t="s">
        <v>916</v>
      </c>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F56" s="21"/>
    </row>
    <row r="57" spans="2:70" x14ac:dyDescent="0.35">
      <c r="C57" s="6" t="s">
        <v>304</v>
      </c>
      <c r="D57" s="233">
        <f ca="1">IFERROR(VLOOKUP(D$40,'Patient Calcs'!$B13:$U65,20,FALSE),0)</f>
        <v>0.4</v>
      </c>
      <c r="E57" s="233">
        <f ca="1">IFERROR(VLOOKUP(E$40,'Patient Calcs'!$B13:$U65,20,FALSE),0)</f>
        <v>1.5921549766723406</v>
      </c>
      <c r="F57" s="233">
        <f ca="1">IFERROR(VLOOKUP(F$40,'Patient Calcs'!$B13:$U65,20,FALSE),0)</f>
        <v>5.2890052445356384</v>
      </c>
      <c r="G57" s="233">
        <f ca="1">IFERROR(VLOOKUP(G$40,'Patient Calcs'!$B13:$U65,20,FALSE),0)</f>
        <v>18.175573351800516</v>
      </c>
      <c r="H57" s="233">
        <f ca="1">IFERROR(VLOOKUP(H$40,'Patient Calcs'!$B13:$U65,20,FALSE),0)</f>
        <v>62.458293528734998</v>
      </c>
      <c r="I57" s="233">
        <f ca="1">IFERROR(VLOOKUP(I$40,'Patient Calcs'!$B13:$U65,20,FALSE),0)</f>
        <v>214.61023840357709</v>
      </c>
      <c r="J57" s="233">
        <f ca="1">IFERROR(VLOOKUP(J$40,'Patient Calcs'!$B13:$U65,20,FALSE),0)</f>
        <v>737.16990102812758</v>
      </c>
      <c r="K57" s="233">
        <f>IFERROR(VLOOKUP(K$40,'Patient Calcs'!$B13:$U65,20,FALSE),0)</f>
        <v>0</v>
      </c>
      <c r="L57" s="233">
        <f>IFERROR(VLOOKUP(L$40,'Patient Calcs'!$B13:$U65,20,FALSE),0)</f>
        <v>0</v>
      </c>
      <c r="M57" s="233">
        <f>IFERROR(VLOOKUP(M$40,'Patient Calcs'!$B13:$U65,20,FALSE),0)</f>
        <v>0</v>
      </c>
      <c r="N57" s="233">
        <f>IFERROR(VLOOKUP(N$40,'Patient Calcs'!$B13:$U65,20,FALSE),0)</f>
        <v>0</v>
      </c>
      <c r="O57" s="233">
        <f>IFERROR(VLOOKUP(O$40,'Patient Calcs'!$B13:$U65,20,FALSE),0)</f>
        <v>0</v>
      </c>
      <c r="P57" s="233">
        <f>IFERROR(VLOOKUP(P$40,'Patient Calcs'!$B13:$U65,20,FALSE),0)</f>
        <v>0</v>
      </c>
      <c r="Q57" s="233">
        <f>IFERROR(VLOOKUP(Q$40,'Patient Calcs'!$B13:$U65,20,FALSE),0)</f>
        <v>0</v>
      </c>
      <c r="R57" s="233">
        <f>IFERROR(VLOOKUP(R$40,'Patient Calcs'!$B13:$U65,20,FALSE),0)</f>
        <v>0</v>
      </c>
      <c r="S57" s="233">
        <f>IFERROR(VLOOKUP(S$40,'Patient Calcs'!$B13:$U65,20,FALSE),0)</f>
        <v>0</v>
      </c>
      <c r="T57" s="233">
        <f>IFERROR(VLOOKUP(T$40,'Patient Calcs'!$B13:$U65,20,FALSE),0)</f>
        <v>0</v>
      </c>
      <c r="U57" s="233">
        <f>IFERROR(VLOOKUP(U$40,'Patient Calcs'!$B13:$U65,20,FALSE),0)</f>
        <v>0</v>
      </c>
      <c r="V57" s="233">
        <f>IFERROR(VLOOKUP(V$40,'Patient Calcs'!$B13:$U65,20,FALSE),0)</f>
        <v>0</v>
      </c>
      <c r="W57" s="233">
        <f>IFERROR(VLOOKUP(W$40,'Patient Calcs'!$B13:$U65,20,FALSE),0)</f>
        <v>0</v>
      </c>
      <c r="X57" s="233">
        <f>IFERROR(VLOOKUP(X$40,'Patient Calcs'!$B13:$U65,20,FALSE),0)</f>
        <v>0</v>
      </c>
      <c r="Y57" s="233">
        <f>IFERROR(VLOOKUP(Y$40,'Patient Calcs'!$B13:$U65,20,FALSE),0)</f>
        <v>0</v>
      </c>
      <c r="Z57" s="233">
        <f>IFERROR(VLOOKUP(Z$40,'Patient Calcs'!$B13:$U65,20,FALSE),0)</f>
        <v>0</v>
      </c>
      <c r="AA57" s="233">
        <f>IFERROR(VLOOKUP(AA$40,'Patient Calcs'!$B13:$U65,20,FALSE),0)</f>
        <v>0</v>
      </c>
      <c r="AB57" s="233">
        <f>IFERROR(VLOOKUP(AB$40,'Patient Calcs'!$B13:$U65,20,FALSE),0)</f>
        <v>0</v>
      </c>
      <c r="AC57" s="233">
        <f>IFERROR(VLOOKUP(AC$40,'Patient Calcs'!$B13:$U65,20,FALSE),0)</f>
        <v>0</v>
      </c>
      <c r="AD57" s="233">
        <f>IFERROR(VLOOKUP(AD$40,'Patient Calcs'!$B13:$U65,20,FALSE),0)</f>
        <v>0</v>
      </c>
      <c r="AE57" s="233">
        <f>IFERROR(VLOOKUP(AE$40,'Patient Calcs'!$B13:$U65,20,FALSE),0)</f>
        <v>0</v>
      </c>
      <c r="AF57" s="233">
        <f>IFERROR(VLOOKUP(AF$40,'Patient Calcs'!$B13:$U65,20,FALSE),0)</f>
        <v>0</v>
      </c>
      <c r="AG57" s="233">
        <f>IFERROR(VLOOKUP(AG$40,'Patient Calcs'!$B13:$U65,20,FALSE),0)</f>
        <v>0</v>
      </c>
      <c r="AH57" s="233">
        <f>IFERROR(VLOOKUP(AH$40,'Patient Calcs'!$B13:$U65,20,FALSE),0)</f>
        <v>0</v>
      </c>
      <c r="AI57" s="233">
        <f>IFERROR(VLOOKUP(AI$40,'Patient Calcs'!$B13:$U65,20,FALSE),0)</f>
        <v>0</v>
      </c>
      <c r="AJ57" s="233">
        <f>IFERROR(VLOOKUP(AJ$40,'Patient Calcs'!$B13:$U65,20,FALSE),0)</f>
        <v>0</v>
      </c>
      <c r="AK57" s="233">
        <f>IFERROR(VLOOKUP(AK$40,'Patient Calcs'!$B13:$U65,20,FALSE),0)</f>
        <v>0</v>
      </c>
      <c r="AL57" s="233">
        <f>IFERROR(VLOOKUP(AL$40,'Patient Calcs'!$B13:$U65,20,FALSE),0)</f>
        <v>0</v>
      </c>
      <c r="AM57" s="233">
        <f>IFERROR(VLOOKUP(AM$40,'Patient Calcs'!$B13:$U65,20,FALSE),0)</f>
        <v>0</v>
      </c>
      <c r="AN57" s="233">
        <f>IFERROR(VLOOKUP(AN$40,'Patient Calcs'!$B13:$U65,20,FALSE),0)</f>
        <v>0</v>
      </c>
      <c r="AO57" s="233">
        <f>IFERROR(VLOOKUP(AO$40,'Patient Calcs'!$B13:$U65,20,FALSE),0)</f>
        <v>0</v>
      </c>
      <c r="AP57" s="233">
        <f>IFERROR(VLOOKUP(AP$40,'Patient Calcs'!$B13:$U65,20,FALSE),0)</f>
        <v>0</v>
      </c>
      <c r="AQ57" s="233">
        <f>IFERROR(VLOOKUP(AQ$40,'Patient Calcs'!$B13:$U65,20,FALSE),0)</f>
        <v>0</v>
      </c>
      <c r="AR57" s="233">
        <f>IFERROR(VLOOKUP(AR$40,'Patient Calcs'!$B13:$U65,20,FALSE),0)</f>
        <v>0</v>
      </c>
      <c r="AS57" s="233">
        <f>IFERROR(VLOOKUP(AS$40,'Patient Calcs'!$B13:$U65,20,FALSE),0)</f>
        <v>0</v>
      </c>
      <c r="AT57" s="233">
        <f>IFERROR(VLOOKUP(AT$40,'Patient Calcs'!$B13:$U65,20,FALSE),0)</f>
        <v>0</v>
      </c>
      <c r="AU57" s="233">
        <f>IFERROR(VLOOKUP(AU$40,'Patient Calcs'!$B13:$U65,20,FALSE),0)</f>
        <v>0</v>
      </c>
      <c r="AV57" s="233">
        <f>IFERROR(VLOOKUP(AV$40,'Patient Calcs'!$B13:$U65,20,FALSE),0)</f>
        <v>0</v>
      </c>
      <c r="AW57" s="233">
        <f>IFERROR(VLOOKUP(AW$40,'Patient Calcs'!$B13:$U65,20,FALSE),0)</f>
        <v>0</v>
      </c>
      <c r="AX57" s="233">
        <f>IFERROR(VLOOKUP(AX$40,'Patient Calcs'!$B13:$U65,20,FALSE),0)</f>
        <v>0</v>
      </c>
      <c r="AY57" s="233">
        <f>IFERROR(VLOOKUP(AY$40,'Patient Calcs'!$B13:$U65,20,FALSE),0)</f>
        <v>0</v>
      </c>
      <c r="AZ57" s="233">
        <f>IFERROR(VLOOKUP(AZ$40,'Patient Calcs'!$B13:$U65,20,FALSE),0)</f>
        <v>0</v>
      </c>
      <c r="BA57" s="233">
        <f>IFERROR(VLOOKUP(BA$40,'Patient Calcs'!$B13:$U65,20,FALSE),0)</f>
        <v>0</v>
      </c>
      <c r="BB57" s="233">
        <f>IFERROR(VLOOKUP(BB$40,'Patient Calcs'!$B13:$U65,20,FALSE),0)</f>
        <v>0</v>
      </c>
      <c r="BC57" s="233">
        <f>IFERROR(VLOOKUP(BC$40,'Patient Calcs'!$B13:$U65,20,FALSE),0)</f>
        <v>0</v>
      </c>
      <c r="BD57" s="233">
        <f>IFERROR(VLOOKUP(BD$40,'Patient Calcs'!$B13:$U65,20,FALSE),0)</f>
        <v>0</v>
      </c>
      <c r="BE57"/>
      <c r="BF57" s="56"/>
      <c r="BG57"/>
      <c r="BH57"/>
      <c r="BI57"/>
      <c r="BJ57"/>
      <c r="BK57"/>
      <c r="BL57"/>
      <c r="BM57"/>
      <c r="BN57"/>
      <c r="BO57"/>
      <c r="BP57"/>
      <c r="BQ57"/>
      <c r="BR57"/>
    </row>
    <row r="58" spans="2:70" s="129" customFormat="1" x14ac:dyDescent="0.35">
      <c r="C58" s="6" t="s">
        <v>960</v>
      </c>
      <c r="D58" s="233">
        <f ca="1">IFERROR(VLOOKUP(D$40,'Patient Calcs'!$B13:$V65,21,FALSE),0)</f>
        <v>0.4</v>
      </c>
      <c r="E58" s="233">
        <f ca="1">IFERROR(VLOOKUP(E$40,'Patient Calcs'!$B13:$V65,21,FALSE),0)</f>
        <v>1.5921549766723406</v>
      </c>
      <c r="F58" s="233">
        <f ca="1">IFERROR(VLOOKUP(F$40,'Patient Calcs'!$B13:$V65,21,FALSE),0)</f>
        <v>5.2890052445356384</v>
      </c>
      <c r="G58" s="233">
        <f ca="1">IFERROR(VLOOKUP(G$40,'Patient Calcs'!$B13:$V65,21,FALSE),0)</f>
        <v>18.175573351800516</v>
      </c>
      <c r="H58" s="233">
        <f ca="1">IFERROR(VLOOKUP(H$40,'Patient Calcs'!$B13:$V65,21,FALSE),0)</f>
        <v>62.458293528734998</v>
      </c>
      <c r="I58" s="233">
        <f ca="1">IFERROR(VLOOKUP(I$40,'Patient Calcs'!$B13:$V65,21,FALSE),0)</f>
        <v>214.61023840357709</v>
      </c>
      <c r="J58" s="233">
        <f ca="1">IFERROR(VLOOKUP(J$40,'Patient Calcs'!$B13:$V65,21,FALSE),0)</f>
        <v>737.16990102812758</v>
      </c>
      <c r="K58" s="233">
        <f>IFERROR(VLOOKUP(K$40,'Patient Calcs'!$B13:$V65,21,FALSE),0)</f>
        <v>0</v>
      </c>
      <c r="L58" s="233">
        <f>IFERROR(VLOOKUP(L$40,'Patient Calcs'!$B13:$V65,21,FALSE),0)</f>
        <v>0</v>
      </c>
      <c r="M58" s="233">
        <f>IFERROR(VLOOKUP(M$40,'Patient Calcs'!$B13:$V65,21,FALSE),0)</f>
        <v>0</v>
      </c>
      <c r="N58" s="233">
        <f>IFERROR(VLOOKUP(N$40,'Patient Calcs'!$B13:$V65,21,FALSE),0)</f>
        <v>0</v>
      </c>
      <c r="O58" s="233">
        <f>IFERROR(VLOOKUP(O$40,'Patient Calcs'!$B13:$V65,21,FALSE),0)</f>
        <v>0</v>
      </c>
      <c r="P58" s="233">
        <f>IFERROR(VLOOKUP(P$40,'Patient Calcs'!$B13:$V65,21,FALSE),0)</f>
        <v>0</v>
      </c>
      <c r="Q58" s="233">
        <f>IFERROR(VLOOKUP(Q$40,'Patient Calcs'!$B13:$V65,21,FALSE),0)</f>
        <v>0</v>
      </c>
      <c r="R58" s="233">
        <f>IFERROR(VLOOKUP(R$40,'Patient Calcs'!$B13:$V65,21,FALSE),0)</f>
        <v>0</v>
      </c>
      <c r="S58" s="233">
        <f>IFERROR(VLOOKUP(S$40,'Patient Calcs'!$B13:$V65,21,FALSE),0)</f>
        <v>0</v>
      </c>
      <c r="T58" s="233">
        <f>IFERROR(VLOOKUP(T$40,'Patient Calcs'!$B13:$V65,21,FALSE),0)</f>
        <v>0</v>
      </c>
      <c r="U58" s="233">
        <f>IFERROR(VLOOKUP(U$40,'Patient Calcs'!$B13:$V65,21,FALSE),0)</f>
        <v>0</v>
      </c>
      <c r="V58" s="233">
        <f>IFERROR(VLOOKUP(V$40,'Patient Calcs'!$B13:$V65,21,FALSE),0)</f>
        <v>0</v>
      </c>
      <c r="W58" s="233">
        <f>IFERROR(VLOOKUP(W$40,'Patient Calcs'!$B13:$V65,21,FALSE),0)</f>
        <v>0</v>
      </c>
      <c r="X58" s="233">
        <f>IFERROR(VLOOKUP(X$40,'Patient Calcs'!$B13:$V65,21,FALSE),0)</f>
        <v>0</v>
      </c>
      <c r="Y58" s="233">
        <f>IFERROR(VLOOKUP(Y$40,'Patient Calcs'!$B13:$V65,21,FALSE),0)</f>
        <v>0</v>
      </c>
      <c r="Z58" s="233">
        <f>IFERROR(VLOOKUP(Z$40,'Patient Calcs'!$B13:$V65,21,FALSE),0)</f>
        <v>0</v>
      </c>
      <c r="AA58" s="233">
        <f>IFERROR(VLOOKUP(AA$40,'Patient Calcs'!$B13:$V65,21,FALSE),0)</f>
        <v>0</v>
      </c>
      <c r="AB58" s="233">
        <f>IFERROR(VLOOKUP(AB$40,'Patient Calcs'!$B13:$V65,21,FALSE),0)</f>
        <v>0</v>
      </c>
      <c r="AC58" s="233">
        <f>IFERROR(VLOOKUP(AC$40,'Patient Calcs'!$B13:$V65,21,FALSE),0)</f>
        <v>0</v>
      </c>
      <c r="AD58" s="233">
        <f>IFERROR(VLOOKUP(AD$40,'Patient Calcs'!$B13:$V65,21,FALSE),0)</f>
        <v>0</v>
      </c>
      <c r="AE58" s="233">
        <f>IFERROR(VLOOKUP(AE$40,'Patient Calcs'!$B13:$V65,21,FALSE),0)</f>
        <v>0</v>
      </c>
      <c r="AF58" s="233">
        <f>IFERROR(VLOOKUP(AF$40,'Patient Calcs'!$B13:$V65,21,FALSE),0)</f>
        <v>0</v>
      </c>
      <c r="AG58" s="233">
        <f>IFERROR(VLOOKUP(AG$40,'Patient Calcs'!$B13:$V65,21,FALSE),0)</f>
        <v>0</v>
      </c>
      <c r="AH58" s="233">
        <f>IFERROR(VLOOKUP(AH$40,'Patient Calcs'!$B13:$V65,21,FALSE),0)</f>
        <v>0</v>
      </c>
      <c r="AI58" s="233">
        <f>IFERROR(VLOOKUP(AI$40,'Patient Calcs'!$B13:$V65,21,FALSE),0)</f>
        <v>0</v>
      </c>
      <c r="AJ58" s="233">
        <f>IFERROR(VLOOKUP(AJ$40,'Patient Calcs'!$B13:$V65,21,FALSE),0)</f>
        <v>0</v>
      </c>
      <c r="AK58" s="233">
        <f>IFERROR(VLOOKUP(AK$40,'Patient Calcs'!$B13:$V65,21,FALSE),0)</f>
        <v>0</v>
      </c>
      <c r="AL58" s="233">
        <f>IFERROR(VLOOKUP(AL$40,'Patient Calcs'!$B13:$V65,21,FALSE),0)</f>
        <v>0</v>
      </c>
      <c r="AM58" s="233">
        <f>IFERROR(VLOOKUP(AM$40,'Patient Calcs'!$B13:$V65,21,FALSE),0)</f>
        <v>0</v>
      </c>
      <c r="AN58" s="233">
        <f>IFERROR(VLOOKUP(AN$40,'Patient Calcs'!$B13:$V65,21,FALSE),0)</f>
        <v>0</v>
      </c>
      <c r="AO58" s="233">
        <f>IFERROR(VLOOKUP(AO$40,'Patient Calcs'!$B13:$V65,21,FALSE),0)</f>
        <v>0</v>
      </c>
      <c r="AP58" s="233">
        <f>IFERROR(VLOOKUP(AP$40,'Patient Calcs'!$B13:$V65,21,FALSE),0)</f>
        <v>0</v>
      </c>
      <c r="AQ58" s="233">
        <f>IFERROR(VLOOKUP(AQ$40,'Patient Calcs'!$B13:$V65,21,FALSE),0)</f>
        <v>0</v>
      </c>
      <c r="AR58" s="233">
        <f>IFERROR(VLOOKUP(AR$40,'Patient Calcs'!$B13:$V65,21,FALSE),0)</f>
        <v>0</v>
      </c>
      <c r="AS58" s="233">
        <f>IFERROR(VLOOKUP(AS$40,'Patient Calcs'!$B13:$V65,21,FALSE),0)</f>
        <v>0</v>
      </c>
      <c r="AT58" s="233">
        <f>IFERROR(VLOOKUP(AT$40,'Patient Calcs'!$B13:$V65,21,FALSE),0)</f>
        <v>0</v>
      </c>
      <c r="AU58" s="233">
        <f>IFERROR(VLOOKUP(AU$40,'Patient Calcs'!$B13:$V65,21,FALSE),0)</f>
        <v>0</v>
      </c>
      <c r="AV58" s="233">
        <f>IFERROR(VLOOKUP(AV$40,'Patient Calcs'!$B13:$V65,21,FALSE),0)</f>
        <v>0</v>
      </c>
      <c r="AW58" s="233">
        <f>IFERROR(VLOOKUP(AW$40,'Patient Calcs'!$B13:$V65,21,FALSE),0)</f>
        <v>0</v>
      </c>
      <c r="AX58" s="233">
        <f>IFERROR(VLOOKUP(AX$40,'Patient Calcs'!$B13:$V65,21,FALSE),0)</f>
        <v>0</v>
      </c>
      <c r="AY58" s="233">
        <f>IFERROR(VLOOKUP(AY$40,'Patient Calcs'!$B13:$V65,21,FALSE),0)</f>
        <v>0</v>
      </c>
      <c r="AZ58" s="233">
        <f>IFERROR(VLOOKUP(AZ$40,'Patient Calcs'!$B13:$V65,21,FALSE),0)</f>
        <v>0</v>
      </c>
      <c r="BA58" s="233">
        <f>IFERROR(VLOOKUP(BA$40,'Patient Calcs'!$B13:$V65,21,FALSE),0)</f>
        <v>0</v>
      </c>
      <c r="BB58" s="233">
        <f>IFERROR(VLOOKUP(BB$40,'Patient Calcs'!$B13:$V65,21,FALSE),0)</f>
        <v>0</v>
      </c>
      <c r="BC58" s="233">
        <f>IFERROR(VLOOKUP(BC$40,'Patient Calcs'!$B13:$V65,21,FALSE),0)</f>
        <v>0</v>
      </c>
      <c r="BD58" s="233">
        <f>IFERROR(VLOOKUP(BD$40,'Patient Calcs'!$B13:$V65,21,FALSE),0)</f>
        <v>0</v>
      </c>
      <c r="BF58" s="56"/>
    </row>
    <row r="59" spans="2:70" x14ac:dyDescent="0.35">
      <c r="C59" s="6" t="s">
        <v>303</v>
      </c>
      <c r="D59" s="233">
        <f ca="1">IFERROR(VLOOKUP(D$40,'Patient Calcs'!$B13:$W65,22,FALSE),0)</f>
        <v>0.15</v>
      </c>
      <c r="E59" s="233">
        <f ca="1">IFERROR(VLOOKUP(E$40,'Patient Calcs'!$B13:$W65,22,FALSE),0)</f>
        <v>0.44705811625212766</v>
      </c>
      <c r="F59" s="233">
        <f ca="1">IFERROR(VLOOKUP(F$40,'Patient Calcs'!$B13:$W65,22,FALSE),0)</f>
        <v>1.5363188504487368</v>
      </c>
      <c r="G59" s="233">
        <f ca="1">IFERROR(VLOOKUP(G$40,'Patient Calcs'!$B13:$W65,22,FALSE),0)</f>
        <v>5.2795211564764566</v>
      </c>
      <c r="H59" s="233">
        <f ca="1">IFERROR(VLOOKUP(H$40,'Patient Calcs'!$B13:$W65,22,FALSE),0)</f>
        <v>18.142338916799165</v>
      </c>
      <c r="I59" s="233">
        <f ca="1">IFERROR(VLOOKUP(I$40,'Patient Calcs'!$B13:$W65,22,FALSE),0)</f>
        <v>62.336500484542228</v>
      </c>
      <c r="J59" s="233">
        <f ca="1">IFERROR(VLOOKUP(J$40,'Patient Calcs'!$B13:$W65,22,FALSE),0)</f>
        <v>214.1022124010056</v>
      </c>
      <c r="K59" s="233">
        <f>IFERROR(VLOOKUP(K$40,'Patient Calcs'!$B13:$W65,22,FALSE),0)</f>
        <v>0</v>
      </c>
      <c r="L59" s="233">
        <f>IFERROR(VLOOKUP(L$40,'Patient Calcs'!$B13:$W65,22,FALSE),0)</f>
        <v>0</v>
      </c>
      <c r="M59" s="233">
        <f>IFERROR(VLOOKUP(M$40,'Patient Calcs'!$B13:$W65,22,FALSE),0)</f>
        <v>0</v>
      </c>
      <c r="N59" s="233">
        <f>IFERROR(VLOOKUP(N$40,'Patient Calcs'!$B13:$W65,22,FALSE),0)</f>
        <v>0</v>
      </c>
      <c r="O59" s="233">
        <f>IFERROR(VLOOKUP(O$40,'Patient Calcs'!$B13:$W65,22,FALSE),0)</f>
        <v>0</v>
      </c>
      <c r="P59" s="233">
        <f>IFERROR(VLOOKUP(P$40,'Patient Calcs'!$B13:$W65,22,FALSE),0)</f>
        <v>0</v>
      </c>
      <c r="Q59" s="233">
        <f>IFERROR(VLOOKUP(Q$40,'Patient Calcs'!$B13:$W65,22,FALSE),0)</f>
        <v>0</v>
      </c>
      <c r="R59" s="233">
        <f>IFERROR(VLOOKUP(R$40,'Patient Calcs'!$B13:$W65,22,FALSE),0)</f>
        <v>0</v>
      </c>
      <c r="S59" s="233">
        <f>IFERROR(VLOOKUP(S$40,'Patient Calcs'!$B13:$W65,22,FALSE),0)</f>
        <v>0</v>
      </c>
      <c r="T59" s="233">
        <f>IFERROR(VLOOKUP(T$40,'Patient Calcs'!$B13:$W65,22,FALSE),0)</f>
        <v>0</v>
      </c>
      <c r="U59" s="233">
        <f>IFERROR(VLOOKUP(U$40,'Patient Calcs'!$B13:$W65,22,FALSE),0)</f>
        <v>0</v>
      </c>
      <c r="V59" s="233">
        <f>IFERROR(VLOOKUP(V$40,'Patient Calcs'!$B13:$W65,22,FALSE),0)</f>
        <v>0</v>
      </c>
      <c r="W59" s="233">
        <f>IFERROR(VLOOKUP(W$40,'Patient Calcs'!$B13:$W65,22,FALSE),0)</f>
        <v>0</v>
      </c>
      <c r="X59" s="233">
        <f>IFERROR(VLOOKUP(X$40,'Patient Calcs'!$B13:$W65,22,FALSE),0)</f>
        <v>0</v>
      </c>
      <c r="Y59" s="233">
        <f>IFERROR(VLOOKUP(Y$40,'Patient Calcs'!$B13:$W65,22,FALSE),0)</f>
        <v>0</v>
      </c>
      <c r="Z59" s="233">
        <f>IFERROR(VLOOKUP(Z$40,'Patient Calcs'!$B13:$W65,22,FALSE),0)</f>
        <v>0</v>
      </c>
      <c r="AA59" s="233">
        <f>IFERROR(VLOOKUP(AA$40,'Patient Calcs'!$B13:$W65,22,FALSE),0)</f>
        <v>0</v>
      </c>
      <c r="AB59" s="233">
        <f>IFERROR(VLOOKUP(AB$40,'Patient Calcs'!$B13:$W65,22,FALSE),0)</f>
        <v>0</v>
      </c>
      <c r="AC59" s="233">
        <f>IFERROR(VLOOKUP(AC$40,'Patient Calcs'!$B13:$W65,22,FALSE),0)</f>
        <v>0</v>
      </c>
      <c r="AD59" s="233">
        <f>IFERROR(VLOOKUP(AD$40,'Patient Calcs'!$B13:$W65,22,FALSE),0)</f>
        <v>0</v>
      </c>
      <c r="AE59" s="233">
        <f>IFERROR(VLOOKUP(AE$40,'Patient Calcs'!$B13:$W65,22,FALSE),0)</f>
        <v>0</v>
      </c>
      <c r="AF59" s="233">
        <f>IFERROR(VLOOKUP(AF$40,'Patient Calcs'!$B13:$W65,22,FALSE),0)</f>
        <v>0</v>
      </c>
      <c r="AG59" s="233">
        <f>IFERROR(VLOOKUP(AG$40,'Patient Calcs'!$B13:$W65,22,FALSE),0)</f>
        <v>0</v>
      </c>
      <c r="AH59" s="233">
        <f>IFERROR(VLOOKUP(AH$40,'Patient Calcs'!$B13:$W65,22,FALSE),0)</f>
        <v>0</v>
      </c>
      <c r="AI59" s="233">
        <f>IFERROR(VLOOKUP(AI$40,'Patient Calcs'!$B13:$W65,22,FALSE),0)</f>
        <v>0</v>
      </c>
      <c r="AJ59" s="233">
        <f>IFERROR(VLOOKUP(AJ$40,'Patient Calcs'!$B13:$W65,22,FALSE),0)</f>
        <v>0</v>
      </c>
      <c r="AK59" s="233">
        <f>IFERROR(VLOOKUP(AK$40,'Patient Calcs'!$B13:$W65,22,FALSE),0)</f>
        <v>0</v>
      </c>
      <c r="AL59" s="233">
        <f>IFERROR(VLOOKUP(AL$40,'Patient Calcs'!$B13:$W65,22,FALSE),0)</f>
        <v>0</v>
      </c>
      <c r="AM59" s="233">
        <f>IFERROR(VLOOKUP(AM$40,'Patient Calcs'!$B13:$W65,22,FALSE),0)</f>
        <v>0</v>
      </c>
      <c r="AN59" s="233">
        <f>IFERROR(VLOOKUP(AN$40,'Patient Calcs'!$B13:$W65,22,FALSE),0)</f>
        <v>0</v>
      </c>
      <c r="AO59" s="233">
        <f>IFERROR(VLOOKUP(AO$40,'Patient Calcs'!$B13:$W65,22,FALSE),0)</f>
        <v>0</v>
      </c>
      <c r="AP59" s="233">
        <f>IFERROR(VLOOKUP(AP$40,'Patient Calcs'!$B13:$W65,22,FALSE),0)</f>
        <v>0</v>
      </c>
      <c r="AQ59" s="233">
        <f>IFERROR(VLOOKUP(AQ$40,'Patient Calcs'!$B13:$W65,22,FALSE),0)</f>
        <v>0</v>
      </c>
      <c r="AR59" s="233">
        <f>IFERROR(VLOOKUP(AR$40,'Patient Calcs'!$B13:$W65,22,FALSE),0)</f>
        <v>0</v>
      </c>
      <c r="AS59" s="233">
        <f>IFERROR(VLOOKUP(AS$40,'Patient Calcs'!$B13:$W65,22,FALSE),0)</f>
        <v>0</v>
      </c>
      <c r="AT59" s="233">
        <f>IFERROR(VLOOKUP(AT$40,'Patient Calcs'!$B13:$W65,22,FALSE),0)</f>
        <v>0</v>
      </c>
      <c r="AU59" s="233">
        <f>IFERROR(VLOOKUP(AU$40,'Patient Calcs'!$B13:$W65,22,FALSE),0)</f>
        <v>0</v>
      </c>
      <c r="AV59" s="233">
        <f>IFERROR(VLOOKUP(AV$40,'Patient Calcs'!$B13:$W65,22,FALSE),0)</f>
        <v>0</v>
      </c>
      <c r="AW59" s="233">
        <f>IFERROR(VLOOKUP(AW$40,'Patient Calcs'!$B13:$W65,22,FALSE),0)</f>
        <v>0</v>
      </c>
      <c r="AX59" s="233">
        <f>IFERROR(VLOOKUP(AX$40,'Patient Calcs'!$B13:$W65,22,FALSE),0)</f>
        <v>0</v>
      </c>
      <c r="AY59" s="233">
        <f>IFERROR(VLOOKUP(AY$40,'Patient Calcs'!$B13:$W65,22,FALSE),0)</f>
        <v>0</v>
      </c>
      <c r="AZ59" s="233">
        <f>IFERROR(VLOOKUP(AZ$40,'Patient Calcs'!$B13:$W65,22,FALSE),0)</f>
        <v>0</v>
      </c>
      <c r="BA59" s="233">
        <f>IFERROR(VLOOKUP(BA$40,'Patient Calcs'!$B13:$W65,22,FALSE),0)</f>
        <v>0</v>
      </c>
      <c r="BB59" s="233">
        <f>IFERROR(VLOOKUP(BB$40,'Patient Calcs'!$B13:$W65,22,FALSE),0)</f>
        <v>0</v>
      </c>
      <c r="BC59" s="233">
        <f>IFERROR(VLOOKUP(BC$40,'Patient Calcs'!$B13:$W65,22,FALSE),0)</f>
        <v>0</v>
      </c>
      <c r="BD59" s="233">
        <f>IFERROR(VLOOKUP(BD$40,'Patient Calcs'!$B13:$W65,22,FALSE),0)</f>
        <v>0</v>
      </c>
      <c r="BE59"/>
      <c r="BF59" s="56"/>
      <c r="BG59"/>
      <c r="BH59"/>
      <c r="BI59"/>
      <c r="BJ59"/>
      <c r="BK59"/>
      <c r="BL59"/>
      <c r="BM59"/>
      <c r="BN59"/>
      <c r="BO59"/>
      <c r="BP59"/>
      <c r="BQ59"/>
      <c r="BR59"/>
    </row>
    <row r="60" spans="2:70" x14ac:dyDescent="0.35">
      <c r="C60" s="6" t="s">
        <v>305</v>
      </c>
      <c r="D60" s="233">
        <f ca="1">IFERROR(VLOOKUP(D$40,'Patient Calcs'!$B13:$X65,23,FALSE),0)</f>
        <v>0.05</v>
      </c>
      <c r="E60" s="233">
        <f ca="1">IFERROR(VLOOKUP(E$40,'Patient Calcs'!$B13:$X65,23,FALSE),0)</f>
        <v>0.19901937208404258</v>
      </c>
      <c r="F60" s="233">
        <f ca="1">IFERROR(VLOOKUP(F$40,'Patient Calcs'!$B13:$X65,23,FALSE),0)</f>
        <v>0.6611256555669548</v>
      </c>
      <c r="G60" s="233">
        <f ca="1">IFERROR(VLOOKUP(G$40,'Patient Calcs'!$B13:$X65,23,FALSE),0)</f>
        <v>2.2719466689750645</v>
      </c>
      <c r="H60" s="233">
        <f ca="1">IFERROR(VLOOKUP(H$40,'Patient Calcs'!$B13:$X65,23,FALSE),0)</f>
        <v>7.8072866910918748</v>
      </c>
      <c r="I60" s="233">
        <f ca="1">IFERROR(VLOOKUP(I$40,'Patient Calcs'!$B13:$X65,23,FALSE),0)</f>
        <v>26.826279800447136</v>
      </c>
      <c r="J60" s="233">
        <f ca="1">IFERROR(VLOOKUP(J$40,'Patient Calcs'!$B13:$X65,23,FALSE),0)</f>
        <v>92.146237628515948</v>
      </c>
      <c r="K60" s="233">
        <f>IFERROR(VLOOKUP(K$40,'Patient Calcs'!$B13:$X65,23,FALSE),0)</f>
        <v>0</v>
      </c>
      <c r="L60" s="233">
        <f>IFERROR(VLOOKUP(L$40,'Patient Calcs'!$B13:$X65,23,FALSE),0)</f>
        <v>0</v>
      </c>
      <c r="M60" s="233">
        <f>IFERROR(VLOOKUP(M$40,'Patient Calcs'!$B13:$X65,23,FALSE),0)</f>
        <v>0</v>
      </c>
      <c r="N60" s="233">
        <f>IFERROR(VLOOKUP(N$40,'Patient Calcs'!$B13:$X65,23,FALSE),0)</f>
        <v>0</v>
      </c>
      <c r="O60" s="233">
        <f>IFERROR(VLOOKUP(O$40,'Patient Calcs'!$B13:$X65,23,FALSE),0)</f>
        <v>0</v>
      </c>
      <c r="P60" s="233">
        <f>IFERROR(VLOOKUP(P$40,'Patient Calcs'!$B13:$X65,23,FALSE),0)</f>
        <v>0</v>
      </c>
      <c r="Q60" s="233">
        <f>IFERROR(VLOOKUP(Q$40,'Patient Calcs'!$B13:$X65,23,FALSE),0)</f>
        <v>0</v>
      </c>
      <c r="R60" s="233">
        <f>IFERROR(VLOOKUP(R$40,'Patient Calcs'!$B13:$X65,23,FALSE),0)</f>
        <v>0</v>
      </c>
      <c r="S60" s="233">
        <f>IFERROR(VLOOKUP(S$40,'Patient Calcs'!$B13:$X65,23,FALSE),0)</f>
        <v>0</v>
      </c>
      <c r="T60" s="233">
        <f>IFERROR(VLOOKUP(T$40,'Patient Calcs'!$B13:$X65,23,FALSE),0)</f>
        <v>0</v>
      </c>
      <c r="U60" s="233">
        <f>IFERROR(VLOOKUP(U$40,'Patient Calcs'!$B13:$X65,23,FALSE),0)</f>
        <v>0</v>
      </c>
      <c r="V60" s="233">
        <f>IFERROR(VLOOKUP(V$40,'Patient Calcs'!$B13:$X65,23,FALSE),0)</f>
        <v>0</v>
      </c>
      <c r="W60" s="233">
        <f>IFERROR(VLOOKUP(W$40,'Patient Calcs'!$B13:$X65,23,FALSE),0)</f>
        <v>0</v>
      </c>
      <c r="X60" s="233">
        <f>IFERROR(VLOOKUP(X$40,'Patient Calcs'!$B13:$X65,23,FALSE),0)</f>
        <v>0</v>
      </c>
      <c r="Y60" s="233">
        <f>IFERROR(VLOOKUP(Y$40,'Patient Calcs'!$B13:$X65,23,FALSE),0)</f>
        <v>0</v>
      </c>
      <c r="Z60" s="233">
        <f>IFERROR(VLOOKUP(Z$40,'Patient Calcs'!$B13:$X65,23,FALSE),0)</f>
        <v>0</v>
      </c>
      <c r="AA60" s="233">
        <f>IFERROR(VLOOKUP(AA$40,'Patient Calcs'!$B13:$X65,23,FALSE),0)</f>
        <v>0</v>
      </c>
      <c r="AB60" s="233">
        <f>IFERROR(VLOOKUP(AB$40,'Patient Calcs'!$B13:$X65,23,FALSE),0)</f>
        <v>0</v>
      </c>
      <c r="AC60" s="233">
        <f>IFERROR(VLOOKUP(AC$40,'Patient Calcs'!$B13:$X65,23,FALSE),0)</f>
        <v>0</v>
      </c>
      <c r="AD60" s="233">
        <f>IFERROR(VLOOKUP(AD$40,'Patient Calcs'!$B13:$X65,23,FALSE),0)</f>
        <v>0</v>
      </c>
      <c r="AE60" s="233">
        <f>IFERROR(VLOOKUP(AE$40,'Patient Calcs'!$B13:$X65,23,FALSE),0)</f>
        <v>0</v>
      </c>
      <c r="AF60" s="233">
        <f>IFERROR(VLOOKUP(AF$40,'Patient Calcs'!$B13:$X65,23,FALSE),0)</f>
        <v>0</v>
      </c>
      <c r="AG60" s="233">
        <f>IFERROR(VLOOKUP(AG$40,'Patient Calcs'!$B13:$X65,23,FALSE),0)</f>
        <v>0</v>
      </c>
      <c r="AH60" s="233">
        <f>IFERROR(VLOOKUP(AH$40,'Patient Calcs'!$B13:$X65,23,FALSE),0)</f>
        <v>0</v>
      </c>
      <c r="AI60" s="233">
        <f>IFERROR(VLOOKUP(AI$40,'Patient Calcs'!$B13:$X65,23,FALSE),0)</f>
        <v>0</v>
      </c>
      <c r="AJ60" s="233">
        <f>IFERROR(VLOOKUP(AJ$40,'Patient Calcs'!$B13:$X65,23,FALSE),0)</f>
        <v>0</v>
      </c>
      <c r="AK60" s="233">
        <f>IFERROR(VLOOKUP(AK$40,'Patient Calcs'!$B13:$X65,23,FALSE),0)</f>
        <v>0</v>
      </c>
      <c r="AL60" s="233">
        <f>IFERROR(VLOOKUP(AL$40,'Patient Calcs'!$B13:$X65,23,FALSE),0)</f>
        <v>0</v>
      </c>
      <c r="AM60" s="233">
        <f>IFERROR(VLOOKUP(AM$40,'Patient Calcs'!$B13:$X65,23,FALSE),0)</f>
        <v>0</v>
      </c>
      <c r="AN60" s="233">
        <f>IFERROR(VLOOKUP(AN$40,'Patient Calcs'!$B13:$X65,23,FALSE),0)</f>
        <v>0</v>
      </c>
      <c r="AO60" s="233">
        <f>IFERROR(VLOOKUP(AO$40,'Patient Calcs'!$B13:$X65,23,FALSE),0)</f>
        <v>0</v>
      </c>
      <c r="AP60" s="233">
        <f>IFERROR(VLOOKUP(AP$40,'Patient Calcs'!$B13:$X65,23,FALSE),0)</f>
        <v>0</v>
      </c>
      <c r="AQ60" s="233">
        <f>IFERROR(VLOOKUP(AQ$40,'Patient Calcs'!$B13:$X65,23,FALSE),0)</f>
        <v>0</v>
      </c>
      <c r="AR60" s="233">
        <f>IFERROR(VLOOKUP(AR$40,'Patient Calcs'!$B13:$X65,23,FALSE),0)</f>
        <v>0</v>
      </c>
      <c r="AS60" s="233">
        <f>IFERROR(VLOOKUP(AS$40,'Patient Calcs'!$B13:$X65,23,FALSE),0)</f>
        <v>0</v>
      </c>
      <c r="AT60" s="233">
        <f>IFERROR(VLOOKUP(AT$40,'Patient Calcs'!$B13:$X65,23,FALSE),0)</f>
        <v>0</v>
      </c>
      <c r="AU60" s="233">
        <f>IFERROR(VLOOKUP(AU$40,'Patient Calcs'!$B13:$X65,23,FALSE),0)</f>
        <v>0</v>
      </c>
      <c r="AV60" s="233">
        <f>IFERROR(VLOOKUP(AV$40,'Patient Calcs'!$B13:$X65,23,FALSE),0)</f>
        <v>0</v>
      </c>
      <c r="AW60" s="233">
        <f>IFERROR(VLOOKUP(AW$40,'Patient Calcs'!$B13:$X65,23,FALSE),0)</f>
        <v>0</v>
      </c>
      <c r="AX60" s="233">
        <f>IFERROR(VLOOKUP(AX$40,'Patient Calcs'!$B13:$X65,23,FALSE),0)</f>
        <v>0</v>
      </c>
      <c r="AY60" s="233">
        <f>IFERROR(VLOOKUP(AY$40,'Patient Calcs'!$B13:$X65,23,FALSE),0)</f>
        <v>0</v>
      </c>
      <c r="AZ60" s="233">
        <f>IFERROR(VLOOKUP(AZ$40,'Patient Calcs'!$B13:$X65,23,FALSE),0)</f>
        <v>0</v>
      </c>
      <c r="BA60" s="233">
        <f>IFERROR(VLOOKUP(BA$40,'Patient Calcs'!$B13:$X65,23,FALSE),0)</f>
        <v>0</v>
      </c>
      <c r="BB60" s="233">
        <f>IFERROR(VLOOKUP(BB$40,'Patient Calcs'!$B13:$X65,23,FALSE),0)</f>
        <v>0</v>
      </c>
      <c r="BC60" s="233">
        <f>IFERROR(VLOOKUP(BC$40,'Patient Calcs'!$B13:$X65,23,FALSE),0)</f>
        <v>0</v>
      </c>
      <c r="BD60" s="233">
        <f>IFERROR(VLOOKUP(BD$40,'Patient Calcs'!$B13:$X65,23,FALSE),0)</f>
        <v>0</v>
      </c>
      <c r="BE60"/>
      <c r="BF60" s="56"/>
      <c r="BG60"/>
      <c r="BH60"/>
      <c r="BI60"/>
      <c r="BJ60"/>
      <c r="BK60"/>
      <c r="BL60"/>
      <c r="BM60"/>
      <c r="BN60"/>
      <c r="BO60"/>
      <c r="BP60"/>
      <c r="BQ60"/>
      <c r="BR60"/>
    </row>
    <row r="61" spans="2:70" s="129" customFormat="1" hidden="1" x14ac:dyDescent="0.35">
      <c r="B61" s="403" t="s">
        <v>1103</v>
      </c>
      <c r="C61" s="412" t="s">
        <v>1088</v>
      </c>
      <c r="D61" s="234">
        <f ca="1">IFERROR(IF(D57="","",IF(D57&lt;$D$25,D57,$D$25)),"")</f>
        <v>0.4</v>
      </c>
      <c r="E61" s="234">
        <f ca="1">IFERROR(IF(E57="","",IF(E57&lt;$D$25,E57,$D$25)),"")</f>
        <v>1.5921549766723406</v>
      </c>
      <c r="F61" s="234">
        <f t="shared" ref="F61:AI61" ca="1" si="6">IFERROR(IF(F57="","",IF(F57&lt;$D$25,F57,$D$25)),"")</f>
        <v>5.2890052445356384</v>
      </c>
      <c r="G61" s="234">
        <f t="shared" ca="1" si="6"/>
        <v>18.175573351800516</v>
      </c>
      <c r="H61" s="234">
        <f t="shared" ca="1" si="6"/>
        <v>62.458293528734998</v>
      </c>
      <c r="I61" s="234">
        <f t="shared" ca="1" si="6"/>
        <v>214.61023840357709</v>
      </c>
      <c r="J61" s="234">
        <f t="shared" ca="1" si="6"/>
        <v>737.16990102812758</v>
      </c>
      <c r="K61" s="234">
        <f t="shared" si="6"/>
        <v>0</v>
      </c>
      <c r="L61" s="234">
        <f t="shared" si="6"/>
        <v>0</v>
      </c>
      <c r="M61" s="234">
        <f t="shared" si="6"/>
        <v>0</v>
      </c>
      <c r="N61" s="234">
        <f t="shared" si="6"/>
        <v>0</v>
      </c>
      <c r="O61" s="234">
        <f t="shared" si="6"/>
        <v>0</v>
      </c>
      <c r="P61" s="234">
        <f t="shared" si="6"/>
        <v>0</v>
      </c>
      <c r="Q61" s="234">
        <f t="shared" si="6"/>
        <v>0</v>
      </c>
      <c r="R61" s="234">
        <f t="shared" si="6"/>
        <v>0</v>
      </c>
      <c r="S61" s="234">
        <f t="shared" si="6"/>
        <v>0</v>
      </c>
      <c r="T61" s="234">
        <f t="shared" si="6"/>
        <v>0</v>
      </c>
      <c r="U61" s="234">
        <f t="shared" si="6"/>
        <v>0</v>
      </c>
      <c r="V61" s="234">
        <f t="shared" si="6"/>
        <v>0</v>
      </c>
      <c r="W61" s="234">
        <f t="shared" si="6"/>
        <v>0</v>
      </c>
      <c r="X61" s="234">
        <f t="shared" si="6"/>
        <v>0</v>
      </c>
      <c r="Y61" s="234">
        <f t="shared" si="6"/>
        <v>0</v>
      </c>
      <c r="Z61" s="234">
        <f t="shared" si="6"/>
        <v>0</v>
      </c>
      <c r="AA61" s="234">
        <f t="shared" si="6"/>
        <v>0</v>
      </c>
      <c r="AB61" s="234">
        <f t="shared" si="6"/>
        <v>0</v>
      </c>
      <c r="AC61" s="234">
        <f t="shared" si="6"/>
        <v>0</v>
      </c>
      <c r="AD61" s="234">
        <f t="shared" si="6"/>
        <v>0</v>
      </c>
      <c r="AE61" s="234">
        <f t="shared" si="6"/>
        <v>0</v>
      </c>
      <c r="AF61" s="234">
        <f t="shared" si="6"/>
        <v>0</v>
      </c>
      <c r="AG61" s="234">
        <f t="shared" si="6"/>
        <v>0</v>
      </c>
      <c r="AH61" s="234">
        <f t="shared" si="6"/>
        <v>0</v>
      </c>
      <c r="AI61" s="234">
        <f t="shared" si="6"/>
        <v>0</v>
      </c>
      <c r="AJ61" s="234">
        <f t="shared" ref="AJ61:BD61" si="7">IFERROR(IF(AJ57="","",IF(AJ57&lt;$D$25,AJ57,$D$25)),"")</f>
        <v>0</v>
      </c>
      <c r="AK61" s="234">
        <f t="shared" si="7"/>
        <v>0</v>
      </c>
      <c r="AL61" s="234">
        <f t="shared" si="7"/>
        <v>0</v>
      </c>
      <c r="AM61" s="234">
        <f t="shared" si="7"/>
        <v>0</v>
      </c>
      <c r="AN61" s="234">
        <f t="shared" si="7"/>
        <v>0</v>
      </c>
      <c r="AO61" s="234">
        <f t="shared" si="7"/>
        <v>0</v>
      </c>
      <c r="AP61" s="234">
        <f t="shared" si="7"/>
        <v>0</v>
      </c>
      <c r="AQ61" s="234">
        <f t="shared" si="7"/>
        <v>0</v>
      </c>
      <c r="AR61" s="234">
        <f t="shared" si="7"/>
        <v>0</v>
      </c>
      <c r="AS61" s="234">
        <f t="shared" si="7"/>
        <v>0</v>
      </c>
      <c r="AT61" s="234">
        <f t="shared" si="7"/>
        <v>0</v>
      </c>
      <c r="AU61" s="234">
        <f t="shared" si="7"/>
        <v>0</v>
      </c>
      <c r="AV61" s="234">
        <f t="shared" si="7"/>
        <v>0</v>
      </c>
      <c r="AW61" s="234">
        <f t="shared" si="7"/>
        <v>0</v>
      </c>
      <c r="AX61" s="234">
        <f t="shared" si="7"/>
        <v>0</v>
      </c>
      <c r="AY61" s="234">
        <f t="shared" si="7"/>
        <v>0</v>
      </c>
      <c r="AZ61" s="234">
        <f t="shared" si="7"/>
        <v>0</v>
      </c>
      <c r="BA61" s="234">
        <f t="shared" si="7"/>
        <v>0</v>
      </c>
      <c r="BB61" s="234">
        <f t="shared" si="7"/>
        <v>0</v>
      </c>
      <c r="BC61" s="234">
        <f t="shared" si="7"/>
        <v>0</v>
      </c>
      <c r="BD61" s="234">
        <f t="shared" si="7"/>
        <v>0</v>
      </c>
      <c r="BF61" s="56"/>
    </row>
    <row r="62" spans="2:70" s="129" customFormat="1" hidden="1" x14ac:dyDescent="0.35">
      <c r="C62" s="412" t="s">
        <v>1083</v>
      </c>
      <c r="D62" s="234">
        <f ca="1">IFERROR(IF(D58="","",IF(D58&lt;$D$22,D58,$D$22)),"")</f>
        <v>0</v>
      </c>
      <c r="E62" s="234">
        <f t="shared" ref="E62:BD62" ca="1" si="8">IFERROR(IF(E58="","",IF(E58&lt;$D$22,E58,$D$22)),"")</f>
        <v>0</v>
      </c>
      <c r="F62" s="234">
        <f t="shared" ca="1" si="8"/>
        <v>0</v>
      </c>
      <c r="G62" s="234">
        <f ca="1">IFERROR(IF(G58="","",IF(G58&lt;$D$22,G58,$D$22)),"")</f>
        <v>0</v>
      </c>
      <c r="H62" s="234">
        <f t="shared" ca="1" si="8"/>
        <v>0</v>
      </c>
      <c r="I62" s="234">
        <f t="shared" ca="1" si="8"/>
        <v>0</v>
      </c>
      <c r="J62" s="234">
        <f t="shared" ca="1" si="8"/>
        <v>0</v>
      </c>
      <c r="K62" s="234">
        <f t="shared" si="8"/>
        <v>0</v>
      </c>
      <c r="L62" s="234">
        <f t="shared" si="8"/>
        <v>0</v>
      </c>
      <c r="M62" s="234">
        <f t="shared" si="8"/>
        <v>0</v>
      </c>
      <c r="N62" s="234">
        <f t="shared" si="8"/>
        <v>0</v>
      </c>
      <c r="O62" s="234">
        <f t="shared" si="8"/>
        <v>0</v>
      </c>
      <c r="P62" s="234">
        <f t="shared" si="8"/>
        <v>0</v>
      </c>
      <c r="Q62" s="234">
        <f t="shared" si="8"/>
        <v>0</v>
      </c>
      <c r="R62" s="234">
        <f t="shared" si="8"/>
        <v>0</v>
      </c>
      <c r="S62" s="234">
        <f t="shared" si="8"/>
        <v>0</v>
      </c>
      <c r="T62" s="234">
        <f t="shared" si="8"/>
        <v>0</v>
      </c>
      <c r="U62" s="234">
        <f t="shared" si="8"/>
        <v>0</v>
      </c>
      <c r="V62" s="234">
        <f t="shared" si="8"/>
        <v>0</v>
      </c>
      <c r="W62" s="234">
        <f t="shared" si="8"/>
        <v>0</v>
      </c>
      <c r="X62" s="234">
        <f t="shared" si="8"/>
        <v>0</v>
      </c>
      <c r="Y62" s="234">
        <f t="shared" si="8"/>
        <v>0</v>
      </c>
      <c r="Z62" s="234">
        <f t="shared" si="8"/>
        <v>0</v>
      </c>
      <c r="AA62" s="234">
        <f t="shared" si="8"/>
        <v>0</v>
      </c>
      <c r="AB62" s="234">
        <f t="shared" si="8"/>
        <v>0</v>
      </c>
      <c r="AC62" s="234">
        <f t="shared" si="8"/>
        <v>0</v>
      </c>
      <c r="AD62" s="234">
        <f t="shared" si="8"/>
        <v>0</v>
      </c>
      <c r="AE62" s="234">
        <f t="shared" si="8"/>
        <v>0</v>
      </c>
      <c r="AF62" s="234">
        <f t="shared" si="8"/>
        <v>0</v>
      </c>
      <c r="AG62" s="234">
        <f t="shared" si="8"/>
        <v>0</v>
      </c>
      <c r="AH62" s="234">
        <f t="shared" si="8"/>
        <v>0</v>
      </c>
      <c r="AI62" s="234">
        <f t="shared" si="8"/>
        <v>0</v>
      </c>
      <c r="AJ62" s="234">
        <f t="shared" si="8"/>
        <v>0</v>
      </c>
      <c r="AK62" s="234">
        <f t="shared" si="8"/>
        <v>0</v>
      </c>
      <c r="AL62" s="234">
        <f t="shared" si="8"/>
        <v>0</v>
      </c>
      <c r="AM62" s="234">
        <f t="shared" si="8"/>
        <v>0</v>
      </c>
      <c r="AN62" s="234">
        <f t="shared" si="8"/>
        <v>0</v>
      </c>
      <c r="AO62" s="234">
        <f t="shared" si="8"/>
        <v>0</v>
      </c>
      <c r="AP62" s="234">
        <f t="shared" si="8"/>
        <v>0</v>
      </c>
      <c r="AQ62" s="234">
        <f t="shared" si="8"/>
        <v>0</v>
      </c>
      <c r="AR62" s="234">
        <f t="shared" si="8"/>
        <v>0</v>
      </c>
      <c r="AS62" s="234">
        <f t="shared" si="8"/>
        <v>0</v>
      </c>
      <c r="AT62" s="234">
        <f t="shared" si="8"/>
        <v>0</v>
      </c>
      <c r="AU62" s="234">
        <f t="shared" si="8"/>
        <v>0</v>
      </c>
      <c r="AV62" s="234">
        <f t="shared" si="8"/>
        <v>0</v>
      </c>
      <c r="AW62" s="234">
        <f t="shared" si="8"/>
        <v>0</v>
      </c>
      <c r="AX62" s="234">
        <f t="shared" si="8"/>
        <v>0</v>
      </c>
      <c r="AY62" s="234">
        <f t="shared" si="8"/>
        <v>0</v>
      </c>
      <c r="AZ62" s="234">
        <f t="shared" si="8"/>
        <v>0</v>
      </c>
      <c r="BA62" s="234">
        <f t="shared" si="8"/>
        <v>0</v>
      </c>
      <c r="BB62" s="234">
        <f t="shared" si="8"/>
        <v>0</v>
      </c>
      <c r="BC62" s="234">
        <f t="shared" si="8"/>
        <v>0</v>
      </c>
      <c r="BD62" s="234">
        <f t="shared" si="8"/>
        <v>0</v>
      </c>
      <c r="BF62" s="493" t="s">
        <v>1226</v>
      </c>
    </row>
    <row r="63" spans="2:70" s="6" customFormat="1" ht="13.5" customHeight="1" x14ac:dyDescent="0.35">
      <c r="C63" s="17" t="s">
        <v>1783</v>
      </c>
      <c r="D63" s="1258"/>
      <c r="E63" s="1258"/>
      <c r="F63" s="1258"/>
      <c r="G63" s="1258"/>
      <c r="H63" s="1258"/>
      <c r="I63" s="1258"/>
      <c r="J63" s="1258"/>
      <c r="K63" s="1258"/>
      <c r="L63" s="1258"/>
      <c r="M63" s="1258"/>
      <c r="N63" s="1258"/>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34"/>
      <c r="BF63" s="1259"/>
    </row>
    <row r="64" spans="2:70" s="5" customFormat="1" x14ac:dyDescent="0.35">
      <c r="C64" s="1261" t="s">
        <v>653</v>
      </c>
      <c r="D64" s="314">
        <f ca="1">IFERROR(IF(D59="","",IF(D59&lt;$D$12,D59,$D$12)),0)</f>
        <v>0.15</v>
      </c>
      <c r="E64" s="314">
        <f t="shared" ref="E64:BD64" ca="1" si="9">IFERROR(IF(E59="","",IF(E59&lt;$D$12,E59,$D$12)),0)</f>
        <v>0.44705811625212766</v>
      </c>
      <c r="F64" s="314">
        <f t="shared" ca="1" si="9"/>
        <v>1.5363188504487368</v>
      </c>
      <c r="G64" s="314">
        <f t="shared" ca="1" si="9"/>
        <v>5.2795211564764566</v>
      </c>
      <c r="H64" s="314">
        <f t="shared" ca="1" si="9"/>
        <v>18.142338916799165</v>
      </c>
      <c r="I64" s="314">
        <f t="shared" ca="1" si="9"/>
        <v>62.336500484542228</v>
      </c>
      <c r="J64" s="314">
        <f t="shared" ca="1" si="9"/>
        <v>214.1022124010056</v>
      </c>
      <c r="K64" s="314">
        <f t="shared" si="9"/>
        <v>0</v>
      </c>
      <c r="L64" s="314">
        <f t="shared" si="9"/>
        <v>0</v>
      </c>
      <c r="M64" s="314">
        <f t="shared" si="9"/>
        <v>0</v>
      </c>
      <c r="N64" s="314">
        <f t="shared" si="9"/>
        <v>0</v>
      </c>
      <c r="O64" s="314">
        <f t="shared" si="9"/>
        <v>0</v>
      </c>
      <c r="P64" s="314">
        <f t="shared" si="9"/>
        <v>0</v>
      </c>
      <c r="Q64" s="314">
        <f t="shared" si="9"/>
        <v>0</v>
      </c>
      <c r="R64" s="314">
        <f t="shared" si="9"/>
        <v>0</v>
      </c>
      <c r="S64" s="314">
        <f t="shared" si="9"/>
        <v>0</v>
      </c>
      <c r="T64" s="314">
        <f t="shared" si="9"/>
        <v>0</v>
      </c>
      <c r="U64" s="314">
        <f t="shared" si="9"/>
        <v>0</v>
      </c>
      <c r="V64" s="314">
        <f t="shared" si="9"/>
        <v>0</v>
      </c>
      <c r="W64" s="314">
        <f t="shared" si="9"/>
        <v>0</v>
      </c>
      <c r="X64" s="314">
        <f t="shared" si="9"/>
        <v>0</v>
      </c>
      <c r="Y64" s="314">
        <f t="shared" si="9"/>
        <v>0</v>
      </c>
      <c r="Z64" s="314">
        <f t="shared" si="9"/>
        <v>0</v>
      </c>
      <c r="AA64" s="314">
        <f t="shared" si="9"/>
        <v>0</v>
      </c>
      <c r="AB64" s="314">
        <f t="shared" si="9"/>
        <v>0</v>
      </c>
      <c r="AC64" s="314">
        <f t="shared" si="9"/>
        <v>0</v>
      </c>
      <c r="AD64" s="314">
        <f t="shared" si="9"/>
        <v>0</v>
      </c>
      <c r="AE64" s="314">
        <f t="shared" si="9"/>
        <v>0</v>
      </c>
      <c r="AF64" s="314">
        <f t="shared" si="9"/>
        <v>0</v>
      </c>
      <c r="AG64" s="314">
        <f t="shared" si="9"/>
        <v>0</v>
      </c>
      <c r="AH64" s="314">
        <f t="shared" si="9"/>
        <v>0</v>
      </c>
      <c r="AI64" s="314">
        <f t="shared" si="9"/>
        <v>0</v>
      </c>
      <c r="AJ64" s="314">
        <f t="shared" si="9"/>
        <v>0</v>
      </c>
      <c r="AK64" s="314">
        <f t="shared" si="9"/>
        <v>0</v>
      </c>
      <c r="AL64" s="314">
        <f t="shared" si="9"/>
        <v>0</v>
      </c>
      <c r="AM64" s="314">
        <f t="shared" si="9"/>
        <v>0</v>
      </c>
      <c r="AN64" s="314">
        <f t="shared" si="9"/>
        <v>0</v>
      </c>
      <c r="AO64" s="314">
        <f t="shared" si="9"/>
        <v>0</v>
      </c>
      <c r="AP64" s="314">
        <f t="shared" si="9"/>
        <v>0</v>
      </c>
      <c r="AQ64" s="314">
        <f t="shared" si="9"/>
        <v>0</v>
      </c>
      <c r="AR64" s="314">
        <f t="shared" si="9"/>
        <v>0</v>
      </c>
      <c r="AS64" s="314">
        <f t="shared" si="9"/>
        <v>0</v>
      </c>
      <c r="AT64" s="314">
        <f t="shared" si="9"/>
        <v>0</v>
      </c>
      <c r="AU64" s="314">
        <f t="shared" si="9"/>
        <v>0</v>
      </c>
      <c r="AV64" s="314">
        <f t="shared" si="9"/>
        <v>0</v>
      </c>
      <c r="AW64" s="314">
        <f t="shared" si="9"/>
        <v>0</v>
      </c>
      <c r="AX64" s="314">
        <f t="shared" si="9"/>
        <v>0</v>
      </c>
      <c r="AY64" s="314">
        <f t="shared" si="9"/>
        <v>0</v>
      </c>
      <c r="AZ64" s="314">
        <f t="shared" si="9"/>
        <v>0</v>
      </c>
      <c r="BA64" s="314">
        <f t="shared" si="9"/>
        <v>0</v>
      </c>
      <c r="BB64" s="314">
        <f t="shared" si="9"/>
        <v>0</v>
      </c>
      <c r="BC64" s="314">
        <f t="shared" si="9"/>
        <v>0</v>
      </c>
      <c r="BD64" s="314">
        <f t="shared" si="9"/>
        <v>0</v>
      </c>
      <c r="BF64" s="318">
        <f ca="1">SUMIFS($D64:$BD64,$D$40:$BD$40,"&lt;="&amp;WeekSuppliedUntil,$D$40:$BD$40,"&gt;="&amp;Start_week_for_forecasting)</f>
        <v>301.84394992552433</v>
      </c>
      <c r="BH64" s="1260">
        <f t="array" aca="1" ref="BH64" ca="1">MAX(IF(D$40:BD$40&gt;=Start_week_for_forecasting,IF(D$40:BD$40&lt;=WeekSuppliedUntil,D64:BD64)))</f>
        <v>214.1022124010056</v>
      </c>
    </row>
    <row r="65" spans="2:70" s="5" customFormat="1" x14ac:dyDescent="0.35">
      <c r="C65" s="1261" t="s">
        <v>654</v>
      </c>
      <c r="D65" s="314">
        <f ca="1">IFERROR(IF(D60="","",IF(D60&lt;$D$13,D60,$D$13)),0)</f>
        <v>0.05</v>
      </c>
      <c r="E65" s="314">
        <f t="shared" ref="E65:BD65" ca="1" si="10">IFERROR(IF(E60="","",IF(E60&lt;$D$13,E60,$D$13)),0)</f>
        <v>0.19901937208404258</v>
      </c>
      <c r="F65" s="314">
        <f t="shared" ca="1" si="10"/>
        <v>0.6611256555669548</v>
      </c>
      <c r="G65" s="314">
        <f t="shared" ca="1" si="10"/>
        <v>2.2719466689750645</v>
      </c>
      <c r="H65" s="314">
        <f t="shared" ca="1" si="10"/>
        <v>7.8072866910918748</v>
      </c>
      <c r="I65" s="314">
        <f t="shared" ca="1" si="10"/>
        <v>26.826279800447136</v>
      </c>
      <c r="J65" s="314">
        <f t="shared" ca="1" si="10"/>
        <v>92.146237628515948</v>
      </c>
      <c r="K65" s="314">
        <f t="shared" si="10"/>
        <v>0</v>
      </c>
      <c r="L65" s="314">
        <f t="shared" si="10"/>
        <v>0</v>
      </c>
      <c r="M65" s="314">
        <f t="shared" si="10"/>
        <v>0</v>
      </c>
      <c r="N65" s="314">
        <f t="shared" si="10"/>
        <v>0</v>
      </c>
      <c r="O65" s="314">
        <f t="shared" si="10"/>
        <v>0</v>
      </c>
      <c r="P65" s="314">
        <f t="shared" si="10"/>
        <v>0</v>
      </c>
      <c r="Q65" s="314">
        <f t="shared" si="10"/>
        <v>0</v>
      </c>
      <c r="R65" s="314">
        <f t="shared" si="10"/>
        <v>0</v>
      </c>
      <c r="S65" s="314">
        <f t="shared" si="10"/>
        <v>0</v>
      </c>
      <c r="T65" s="314">
        <f t="shared" si="10"/>
        <v>0</v>
      </c>
      <c r="U65" s="314">
        <f t="shared" si="10"/>
        <v>0</v>
      </c>
      <c r="V65" s="314">
        <f t="shared" si="10"/>
        <v>0</v>
      </c>
      <c r="W65" s="314">
        <f t="shared" si="10"/>
        <v>0</v>
      </c>
      <c r="X65" s="314">
        <f t="shared" si="10"/>
        <v>0</v>
      </c>
      <c r="Y65" s="314">
        <f t="shared" si="10"/>
        <v>0</v>
      </c>
      <c r="Z65" s="314">
        <f t="shared" si="10"/>
        <v>0</v>
      </c>
      <c r="AA65" s="314">
        <f t="shared" si="10"/>
        <v>0</v>
      </c>
      <c r="AB65" s="314">
        <f t="shared" si="10"/>
        <v>0</v>
      </c>
      <c r="AC65" s="314">
        <f t="shared" si="10"/>
        <v>0</v>
      </c>
      <c r="AD65" s="314">
        <f t="shared" si="10"/>
        <v>0</v>
      </c>
      <c r="AE65" s="314">
        <f t="shared" si="10"/>
        <v>0</v>
      </c>
      <c r="AF65" s="314">
        <f t="shared" si="10"/>
        <v>0</v>
      </c>
      <c r="AG65" s="314">
        <f t="shared" si="10"/>
        <v>0</v>
      </c>
      <c r="AH65" s="314">
        <f t="shared" si="10"/>
        <v>0</v>
      </c>
      <c r="AI65" s="314">
        <f t="shared" si="10"/>
        <v>0</v>
      </c>
      <c r="AJ65" s="314">
        <f t="shared" si="10"/>
        <v>0</v>
      </c>
      <c r="AK65" s="314">
        <f t="shared" si="10"/>
        <v>0</v>
      </c>
      <c r="AL65" s="314">
        <f t="shared" si="10"/>
        <v>0</v>
      </c>
      <c r="AM65" s="314">
        <f t="shared" si="10"/>
        <v>0</v>
      </c>
      <c r="AN65" s="314">
        <f t="shared" si="10"/>
        <v>0</v>
      </c>
      <c r="AO65" s="314">
        <f t="shared" si="10"/>
        <v>0</v>
      </c>
      <c r="AP65" s="314">
        <f t="shared" si="10"/>
        <v>0</v>
      </c>
      <c r="AQ65" s="314">
        <f t="shared" si="10"/>
        <v>0</v>
      </c>
      <c r="AR65" s="314">
        <f t="shared" si="10"/>
        <v>0</v>
      </c>
      <c r="AS65" s="314">
        <f t="shared" si="10"/>
        <v>0</v>
      </c>
      <c r="AT65" s="314">
        <f t="shared" si="10"/>
        <v>0</v>
      </c>
      <c r="AU65" s="314">
        <f t="shared" si="10"/>
        <v>0</v>
      </c>
      <c r="AV65" s="314">
        <f t="shared" si="10"/>
        <v>0</v>
      </c>
      <c r="AW65" s="314">
        <f t="shared" si="10"/>
        <v>0</v>
      </c>
      <c r="AX65" s="314">
        <f t="shared" si="10"/>
        <v>0</v>
      </c>
      <c r="AY65" s="314">
        <f t="shared" si="10"/>
        <v>0</v>
      </c>
      <c r="AZ65" s="314">
        <f t="shared" si="10"/>
        <v>0</v>
      </c>
      <c r="BA65" s="314">
        <f t="shared" si="10"/>
        <v>0</v>
      </c>
      <c r="BB65" s="314">
        <f t="shared" si="10"/>
        <v>0</v>
      </c>
      <c r="BC65" s="314">
        <f t="shared" si="10"/>
        <v>0</v>
      </c>
      <c r="BD65" s="314">
        <f t="shared" si="10"/>
        <v>0</v>
      </c>
      <c r="BF65" s="318">
        <f ca="1">SUMIFS($D65:$BD65,$D$40:$BD$40,"&lt;="&amp;WeekSuppliedUntil,$D$40:$BD$40,"&gt;="&amp;Start_week_for_forecasting)</f>
        <v>129.91189581668101</v>
      </c>
      <c r="BH65" s="341">
        <f t="array" aca="1" ref="BH65" ca="1">MAX(IF(D$40:BD$40&gt;=Start_week_for_forecasting,IF(D$40:BD$40&lt;=WeekSuppliedUntil,D65:BD65)))</f>
        <v>92.146237628515948</v>
      </c>
    </row>
    <row r="66" spans="2:70" s="1262" customFormat="1" x14ac:dyDescent="0.35">
      <c r="C66" s="1262" t="s">
        <v>588</v>
      </c>
      <c r="D66" s="1260">
        <f t="shared" ref="D66:AI66" ca="1" si="11">IFERROR(IF(D64="","",SUM(D64:D65)),"")</f>
        <v>0.2</v>
      </c>
      <c r="E66" s="1260">
        <f t="shared" ca="1" si="11"/>
        <v>0.64607748833617018</v>
      </c>
      <c r="F66" s="1260">
        <f t="shared" ca="1" si="11"/>
        <v>2.1974445060156915</v>
      </c>
      <c r="G66" s="1260">
        <f t="shared" ca="1" si="11"/>
        <v>7.5514678254515211</v>
      </c>
      <c r="H66" s="1260">
        <f t="shared" ca="1" si="11"/>
        <v>25.94962560789104</v>
      </c>
      <c r="I66" s="1260">
        <f t="shared" ca="1" si="11"/>
        <v>89.162780284989367</v>
      </c>
      <c r="J66" s="1260">
        <f t="shared" ca="1" si="11"/>
        <v>306.24845002952156</v>
      </c>
      <c r="K66" s="1260">
        <f t="shared" si="11"/>
        <v>0</v>
      </c>
      <c r="L66" s="1260">
        <f t="shared" si="11"/>
        <v>0</v>
      </c>
      <c r="M66" s="1260">
        <f t="shared" si="11"/>
        <v>0</v>
      </c>
      <c r="N66" s="1260">
        <f t="shared" si="11"/>
        <v>0</v>
      </c>
      <c r="O66" s="1260">
        <f t="shared" si="11"/>
        <v>0</v>
      </c>
      <c r="P66" s="1260">
        <f t="shared" si="11"/>
        <v>0</v>
      </c>
      <c r="Q66" s="1260">
        <f t="shared" si="11"/>
        <v>0</v>
      </c>
      <c r="R66" s="1260">
        <f t="shared" si="11"/>
        <v>0</v>
      </c>
      <c r="S66" s="1260">
        <f t="shared" si="11"/>
        <v>0</v>
      </c>
      <c r="T66" s="1260">
        <f t="shared" si="11"/>
        <v>0</v>
      </c>
      <c r="U66" s="1260">
        <f t="shared" si="11"/>
        <v>0</v>
      </c>
      <c r="V66" s="1260">
        <f t="shared" si="11"/>
        <v>0</v>
      </c>
      <c r="W66" s="1260">
        <f t="shared" si="11"/>
        <v>0</v>
      </c>
      <c r="X66" s="1260">
        <f t="shared" si="11"/>
        <v>0</v>
      </c>
      <c r="Y66" s="1260">
        <f t="shared" si="11"/>
        <v>0</v>
      </c>
      <c r="Z66" s="1260">
        <f t="shared" si="11"/>
        <v>0</v>
      </c>
      <c r="AA66" s="1260">
        <f t="shared" si="11"/>
        <v>0</v>
      </c>
      <c r="AB66" s="1260">
        <f t="shared" si="11"/>
        <v>0</v>
      </c>
      <c r="AC66" s="1260">
        <f t="shared" si="11"/>
        <v>0</v>
      </c>
      <c r="AD66" s="1260">
        <f t="shared" si="11"/>
        <v>0</v>
      </c>
      <c r="AE66" s="1260">
        <f t="shared" si="11"/>
        <v>0</v>
      </c>
      <c r="AF66" s="1260">
        <f t="shared" si="11"/>
        <v>0</v>
      </c>
      <c r="AG66" s="1260">
        <f t="shared" si="11"/>
        <v>0</v>
      </c>
      <c r="AH66" s="1260">
        <f t="shared" si="11"/>
        <v>0</v>
      </c>
      <c r="AI66" s="1260">
        <f t="shared" si="11"/>
        <v>0</v>
      </c>
      <c r="AJ66" s="1260">
        <f t="shared" ref="AJ66:BD66" si="12">IFERROR(IF(AJ64="","",SUM(AJ64:AJ65)),"")</f>
        <v>0</v>
      </c>
      <c r="AK66" s="1260">
        <f t="shared" si="12"/>
        <v>0</v>
      </c>
      <c r="AL66" s="1260">
        <f t="shared" si="12"/>
        <v>0</v>
      </c>
      <c r="AM66" s="1260">
        <f t="shared" si="12"/>
        <v>0</v>
      </c>
      <c r="AN66" s="1260">
        <f t="shared" si="12"/>
        <v>0</v>
      </c>
      <c r="AO66" s="1260">
        <f t="shared" si="12"/>
        <v>0</v>
      </c>
      <c r="AP66" s="1260">
        <f t="shared" si="12"/>
        <v>0</v>
      </c>
      <c r="AQ66" s="1260">
        <f t="shared" si="12"/>
        <v>0</v>
      </c>
      <c r="AR66" s="1260">
        <f t="shared" si="12"/>
        <v>0</v>
      </c>
      <c r="AS66" s="1260">
        <f t="shared" si="12"/>
        <v>0</v>
      </c>
      <c r="AT66" s="1260">
        <f t="shared" si="12"/>
        <v>0</v>
      </c>
      <c r="AU66" s="1260">
        <f t="shared" si="12"/>
        <v>0</v>
      </c>
      <c r="AV66" s="1260">
        <f t="shared" si="12"/>
        <v>0</v>
      </c>
      <c r="AW66" s="1260">
        <f t="shared" si="12"/>
        <v>0</v>
      </c>
      <c r="AX66" s="1260">
        <f t="shared" si="12"/>
        <v>0</v>
      </c>
      <c r="AY66" s="1260">
        <f t="shared" si="12"/>
        <v>0</v>
      </c>
      <c r="AZ66" s="1260">
        <f t="shared" si="12"/>
        <v>0</v>
      </c>
      <c r="BA66" s="1260">
        <f t="shared" si="12"/>
        <v>0</v>
      </c>
      <c r="BB66" s="1260">
        <f t="shared" si="12"/>
        <v>0</v>
      </c>
      <c r="BC66" s="1260">
        <f t="shared" si="12"/>
        <v>0</v>
      </c>
      <c r="BD66" s="1260">
        <f t="shared" si="12"/>
        <v>0</v>
      </c>
      <c r="BF66" s="1260">
        <f ca="1">SUMIFS($D66:$BD66,$D$40:$BD$40,"&lt;="&amp;WeekSuppliedUntil,$D$40:$BD$40,"&gt;="&amp;Start_week_for_forecasting)</f>
        <v>431.75584574220534</v>
      </c>
      <c r="BG66" s="549"/>
      <c r="BH66" s="1260">
        <f t="array" aca="1" ref="BH66" ca="1">MAX(IF(D$40:BD$40&gt;=Start_week_for_forecasting,IF(D$40:BD$40&lt;=WeekSuppliedUntil,D66:BD66)))</f>
        <v>306.24845002952156</v>
      </c>
    </row>
    <row r="67" spans="2:70" s="5" customFormat="1" x14ac:dyDescent="0.35">
      <c r="C67" s="5" t="s">
        <v>1785</v>
      </c>
      <c r="D67" s="341">
        <f ca="1">IF(ROUNDUP(SUM('Weekly Summary'!D64:D65)/NumberOfBeds_per_centre,0)=0,0,ROUNDUP(SUM('Weekly Summary'!D64:D65)/NumberOfBeds_per_centre,0))</f>
        <v>1</v>
      </c>
      <c r="E67" s="341">
        <f ca="1">IF(ROUNDUP(SUM('Weekly Summary'!E64:E65)/NumberOfBeds_per_centre,0)=0,0,ROUNDUP(SUM('Weekly Summary'!E64:E65)/NumberOfBeds_per_centre,0))</f>
        <v>1</v>
      </c>
      <c r="F67" s="341">
        <f ca="1">IF(ROUNDUP(SUM('Weekly Summary'!F64:F65)/NumberOfBeds_per_centre,0)=0,0,ROUNDUP(SUM('Weekly Summary'!F64:F65)/NumberOfBeds_per_centre,0))</f>
        <v>1</v>
      </c>
      <c r="G67" s="341">
        <f ca="1">IF(ROUNDUP(SUM('Weekly Summary'!G64:G65)/NumberOfBeds_per_centre,0)=0,0,ROUNDUP(SUM('Weekly Summary'!G64:G65)/NumberOfBeds_per_centre,0))</f>
        <v>1</v>
      </c>
      <c r="H67" s="341">
        <f ca="1">IF(ROUNDUP(SUM('Weekly Summary'!H64:H65)/NumberOfBeds_per_centre,0)=0,0,ROUNDUP(SUM('Weekly Summary'!H64:H65)/NumberOfBeds_per_centre,0))</f>
        <v>1</v>
      </c>
      <c r="I67" s="341">
        <f ca="1">IF(ROUNDUP(SUM('Weekly Summary'!I64:I65)/NumberOfBeds_per_centre,0)=0,0,ROUNDUP(SUM('Weekly Summary'!I64:I65)/NumberOfBeds_per_centre,0))</f>
        <v>3</v>
      </c>
      <c r="J67" s="341">
        <f ca="1">IF(ROUNDUP(SUM('Weekly Summary'!J64:J65)/NumberOfBeds_per_centre,0)=0,0,ROUNDUP(SUM('Weekly Summary'!J64:J65)/NumberOfBeds_per_centre,0))</f>
        <v>8</v>
      </c>
      <c r="K67" s="341">
        <f>IF(ROUNDUP(SUM('Weekly Summary'!K64:K65)/NumberOfBeds_per_centre,0)=0,0,ROUNDUP(SUM('Weekly Summary'!K64:K65)/NumberOfBeds_per_centre,0))</f>
        <v>0</v>
      </c>
      <c r="L67" s="1339">
        <f>IF(ROUNDUP(SUM('Weekly Summary'!L64:L65)/NumberOfBeds_per_centre,0)=0,0,ROUNDUP(SUM('Weekly Summary'!L64:L65)/NumberOfBeds_per_centre,0))</f>
        <v>0</v>
      </c>
      <c r="M67" s="1339">
        <f>IF(ROUNDUP(SUM('Weekly Summary'!M64:M65)/NumberOfBeds_per_centre,0)=0,0,ROUNDUP(SUM('Weekly Summary'!M64:M65)/NumberOfBeds_per_centre,0))</f>
        <v>0</v>
      </c>
      <c r="N67" s="341">
        <f>IF(ROUNDUP(SUM('Weekly Summary'!N64:N65)/NumberOfBeds_per_centre,0)=0,0,ROUNDUP(SUM('Weekly Summary'!N64:N65)/NumberOfBeds_per_centre,0))</f>
        <v>0</v>
      </c>
      <c r="O67" s="341">
        <f>IF(ROUNDUP(SUM('Weekly Summary'!O64:O65)/NumberOfBeds_per_centre,0)=0,0,ROUNDUP(SUM('Weekly Summary'!O64:O65)/NumberOfBeds_per_centre,0))</f>
        <v>0</v>
      </c>
      <c r="P67" s="341">
        <f>IF(ROUNDUP(SUM('Weekly Summary'!P64:P65)/NumberOfBeds_per_centre,0)=0,0,ROUNDUP(SUM('Weekly Summary'!P64:P65)/NumberOfBeds_per_centre,0))</f>
        <v>0</v>
      </c>
      <c r="Q67" s="341">
        <f>IF(ROUNDUP(SUM('Weekly Summary'!Q64:Q65)/NumberOfBeds_per_centre,0)=0,0,ROUNDUP(SUM('Weekly Summary'!Q64:Q65)/NumberOfBeds_per_centre,0))</f>
        <v>0</v>
      </c>
      <c r="R67" s="341">
        <f>IF(ROUNDUP(SUM('Weekly Summary'!R64:R65)/NumberOfBeds_per_centre,0)=0,0,ROUNDUP(SUM('Weekly Summary'!R64:R65)/NumberOfBeds_per_centre,0))</f>
        <v>0</v>
      </c>
      <c r="S67" s="341">
        <f>IF(ROUNDUP(SUM('Weekly Summary'!S64:S65)/NumberOfBeds_per_centre,0)=0,0,ROUNDUP(SUM('Weekly Summary'!S64:S65)/NumberOfBeds_per_centre,0))</f>
        <v>0</v>
      </c>
      <c r="T67" s="341">
        <f>IF(ROUNDUP(SUM('Weekly Summary'!T64:T65)/NumberOfBeds_per_centre,0)=0,0,ROUNDUP(SUM('Weekly Summary'!T64:T65)/NumberOfBeds_per_centre,0))</f>
        <v>0</v>
      </c>
      <c r="U67" s="341">
        <f>IF(ROUNDUP(SUM('Weekly Summary'!U64:U65)/NumberOfBeds_per_centre,0)=0,0,ROUNDUP(SUM('Weekly Summary'!U64:U65)/NumberOfBeds_per_centre,0))</f>
        <v>0</v>
      </c>
      <c r="V67" s="341">
        <f>IF(ROUNDUP(SUM('Weekly Summary'!V64:V65)/NumberOfBeds_per_centre,0)=0,0,ROUNDUP(SUM('Weekly Summary'!V64:V65)/NumberOfBeds_per_centre,0))</f>
        <v>0</v>
      </c>
      <c r="W67" s="341">
        <f>IF(ROUNDUP(SUM('Weekly Summary'!W64:W65)/NumberOfBeds_per_centre,0)=0,0,ROUNDUP(SUM('Weekly Summary'!W64:W65)/NumberOfBeds_per_centre,0))</f>
        <v>0</v>
      </c>
      <c r="X67" s="341">
        <f>IF(ROUNDUP(SUM('Weekly Summary'!X64:X65)/NumberOfBeds_per_centre,0)=0,0,ROUNDUP(SUM('Weekly Summary'!X64:X65)/NumberOfBeds_per_centre,0))</f>
        <v>0</v>
      </c>
      <c r="Y67" s="341">
        <f>IF(ROUNDUP(SUM('Weekly Summary'!Y64:Y65)/NumberOfBeds_per_centre,0)=0,0,ROUNDUP(SUM('Weekly Summary'!Y64:Y65)/NumberOfBeds_per_centre,0))</f>
        <v>0</v>
      </c>
      <c r="Z67" s="341">
        <f>IF(ROUNDUP(SUM('Weekly Summary'!Z64:Z65)/NumberOfBeds_per_centre,0)=0,0,ROUNDUP(SUM('Weekly Summary'!Z64:Z65)/NumberOfBeds_per_centre,0))</f>
        <v>0</v>
      </c>
      <c r="AA67" s="341">
        <f>IF(ROUNDUP(SUM('Weekly Summary'!AA64:AA65)/NumberOfBeds_per_centre,0)=0,0,ROUNDUP(SUM('Weekly Summary'!AA64:AA65)/NumberOfBeds_per_centre,0))</f>
        <v>0</v>
      </c>
      <c r="AB67" s="341">
        <f>IF(ROUNDUP(SUM('Weekly Summary'!AB64:AB65)/NumberOfBeds_per_centre,0)=0,0,ROUNDUP(SUM('Weekly Summary'!AB64:AB65)/NumberOfBeds_per_centre,0))</f>
        <v>0</v>
      </c>
      <c r="AC67" s="341">
        <f>IF(ROUNDUP(SUM('Weekly Summary'!AC64:AC65)/NumberOfBeds_per_centre,0)=0,0,ROUNDUP(SUM('Weekly Summary'!AC64:AC65)/NumberOfBeds_per_centre,0))</f>
        <v>0</v>
      </c>
      <c r="AD67" s="341">
        <f>IF(ROUNDUP(SUM('Weekly Summary'!AD64:AD65)/NumberOfBeds_per_centre,0)=0,0,ROUNDUP(SUM('Weekly Summary'!AD64:AD65)/NumberOfBeds_per_centre,0))</f>
        <v>0</v>
      </c>
      <c r="AE67" s="341">
        <f>IF(ROUNDUP(SUM('Weekly Summary'!AE64:AE65)/NumberOfBeds_per_centre,0)=0,0,ROUNDUP(SUM('Weekly Summary'!AE64:AE65)/NumberOfBeds_per_centre,0))</f>
        <v>0</v>
      </c>
      <c r="AF67" s="341">
        <f>IF(ROUNDUP(SUM('Weekly Summary'!AF64:AF65)/NumberOfBeds_per_centre,0)=0,0,ROUNDUP(SUM('Weekly Summary'!AF64:AF65)/NumberOfBeds_per_centre,0))</f>
        <v>0</v>
      </c>
      <c r="AG67" s="341">
        <f>IF(ROUNDUP(SUM('Weekly Summary'!AG64:AG65)/NumberOfBeds_per_centre,0)=0,0,ROUNDUP(SUM('Weekly Summary'!AG64:AG65)/NumberOfBeds_per_centre,0))</f>
        <v>0</v>
      </c>
      <c r="AH67" s="341">
        <f>IF(ROUNDUP(SUM('Weekly Summary'!AH64:AH65)/NumberOfBeds_per_centre,0)=0,0,ROUNDUP(SUM('Weekly Summary'!AH64:AH65)/NumberOfBeds_per_centre,0))</f>
        <v>0</v>
      </c>
      <c r="AI67" s="341">
        <f>IF(ROUNDUP(SUM('Weekly Summary'!AI64:AI65)/NumberOfBeds_per_centre,0)=0,0,ROUNDUP(SUM('Weekly Summary'!AI64:AI65)/NumberOfBeds_per_centre,0))</f>
        <v>0</v>
      </c>
      <c r="AJ67" s="341">
        <f>IF(ROUNDUP(SUM('Weekly Summary'!AJ64:AJ65)/NumberOfBeds_per_centre,0)=0,0,ROUNDUP(SUM('Weekly Summary'!AJ64:AJ65)/NumberOfBeds_per_centre,0))</f>
        <v>0</v>
      </c>
      <c r="AK67" s="341">
        <f>IF(ROUNDUP(SUM('Weekly Summary'!AK64:AK65)/NumberOfBeds_per_centre,0)=0,0,ROUNDUP(SUM('Weekly Summary'!AK64:AK65)/NumberOfBeds_per_centre,0))</f>
        <v>0</v>
      </c>
      <c r="AL67" s="341">
        <f>IF(ROUNDUP(SUM('Weekly Summary'!AL64:AL65)/NumberOfBeds_per_centre,0)=0,0,ROUNDUP(SUM('Weekly Summary'!AL64:AL65)/NumberOfBeds_per_centre,0))</f>
        <v>0</v>
      </c>
      <c r="AM67" s="341">
        <f>IF(ROUNDUP(SUM('Weekly Summary'!AM64:AM65)/NumberOfBeds_per_centre,0)=0,0,ROUNDUP(SUM('Weekly Summary'!AM64:AM65)/NumberOfBeds_per_centre,0))</f>
        <v>0</v>
      </c>
      <c r="AN67" s="341">
        <f>IF(ROUNDUP(SUM('Weekly Summary'!AN64:AN65)/NumberOfBeds_per_centre,0)=0,0,ROUNDUP(SUM('Weekly Summary'!AN64:AN65)/NumberOfBeds_per_centre,0))</f>
        <v>0</v>
      </c>
      <c r="AO67" s="341">
        <f>IF(ROUNDUP(SUM('Weekly Summary'!AO64:AO65)/NumberOfBeds_per_centre,0)=0,0,ROUNDUP(SUM('Weekly Summary'!AO64:AO65)/NumberOfBeds_per_centre,0))</f>
        <v>0</v>
      </c>
      <c r="AP67" s="341">
        <f>IF(ROUNDUP(SUM('Weekly Summary'!AP64:AP65)/NumberOfBeds_per_centre,0)=0,0,ROUNDUP(SUM('Weekly Summary'!AP64:AP65)/NumberOfBeds_per_centre,0))</f>
        <v>0</v>
      </c>
      <c r="AQ67" s="341">
        <f>IF(ROUNDUP(SUM('Weekly Summary'!AQ64:AQ65)/NumberOfBeds_per_centre,0)=0,0,ROUNDUP(SUM('Weekly Summary'!AQ64:AQ65)/NumberOfBeds_per_centre,0))</f>
        <v>0</v>
      </c>
      <c r="AR67" s="341">
        <f>IF(ROUNDUP(SUM('Weekly Summary'!AR64:AR65)/NumberOfBeds_per_centre,0)=0,0,ROUNDUP(SUM('Weekly Summary'!AR64:AR65)/NumberOfBeds_per_centre,0))</f>
        <v>0</v>
      </c>
      <c r="AS67" s="341">
        <f>IF(ROUNDUP(SUM('Weekly Summary'!AS64:AS65)/NumberOfBeds_per_centre,0)=0,0,ROUNDUP(SUM('Weekly Summary'!AS64:AS65)/NumberOfBeds_per_centre,0))</f>
        <v>0</v>
      </c>
      <c r="AT67" s="341">
        <f>IF(ROUNDUP(SUM('Weekly Summary'!AT64:AT65)/NumberOfBeds_per_centre,0)=0,0,ROUNDUP(SUM('Weekly Summary'!AT64:AT65)/NumberOfBeds_per_centre,0))</f>
        <v>0</v>
      </c>
      <c r="AU67" s="341">
        <f>IF(ROUNDUP(SUM('Weekly Summary'!AU64:AU65)/NumberOfBeds_per_centre,0)=0,0,ROUNDUP(SUM('Weekly Summary'!AU64:AU65)/NumberOfBeds_per_centre,0))</f>
        <v>0</v>
      </c>
      <c r="AV67" s="341">
        <f>IF(ROUNDUP(SUM('Weekly Summary'!AV64:AV65)/NumberOfBeds_per_centre,0)=0,0,ROUNDUP(SUM('Weekly Summary'!AV64:AV65)/NumberOfBeds_per_centre,0))</f>
        <v>0</v>
      </c>
      <c r="AW67" s="341">
        <f>IF(ROUNDUP(SUM('Weekly Summary'!AW64:AW65)/NumberOfBeds_per_centre,0)=0,0,ROUNDUP(SUM('Weekly Summary'!AW64:AW65)/NumberOfBeds_per_centre,0))</f>
        <v>0</v>
      </c>
      <c r="AX67" s="341">
        <f>IF(ROUNDUP(SUM('Weekly Summary'!AX64:AX65)/NumberOfBeds_per_centre,0)=0,0,ROUNDUP(SUM('Weekly Summary'!AX64:AX65)/NumberOfBeds_per_centre,0))</f>
        <v>0</v>
      </c>
      <c r="AY67" s="341">
        <f>IF(ROUNDUP(SUM('Weekly Summary'!AY64:AY65)/NumberOfBeds_per_centre,0)=0,0,ROUNDUP(SUM('Weekly Summary'!AY64:AY65)/NumberOfBeds_per_centre,0))</f>
        <v>0</v>
      </c>
      <c r="AZ67" s="341">
        <f>IF(ROUNDUP(SUM('Weekly Summary'!AZ64:AZ65)/NumberOfBeds_per_centre,0)=0,0,ROUNDUP(SUM('Weekly Summary'!AZ64:AZ65)/NumberOfBeds_per_centre,0))</f>
        <v>0</v>
      </c>
      <c r="BA67" s="341">
        <f>IF(ROUNDUP(SUM('Weekly Summary'!BA64:BA65)/NumberOfBeds_per_centre,0)=0,0,ROUNDUP(SUM('Weekly Summary'!BA64:BA65)/NumberOfBeds_per_centre,0))</f>
        <v>0</v>
      </c>
      <c r="BB67" s="341">
        <f>IF(ROUNDUP(SUM('Weekly Summary'!BB64:BB65)/NumberOfBeds_per_centre,0)=0,0,ROUNDUP(SUM('Weekly Summary'!BB64:BB65)/NumberOfBeds_per_centre,0))</f>
        <v>0</v>
      </c>
      <c r="BC67" s="341">
        <f>IF(ROUNDUP(SUM('Weekly Summary'!BC64:BC65)/NumberOfBeds_per_centre,0)=0,0,ROUNDUP(SUM('Weekly Summary'!BC64:BC65)/NumberOfBeds_per_centre,0))</f>
        <v>0</v>
      </c>
      <c r="BD67" s="341">
        <f>IF(ROUNDUP(SUM('Weekly Summary'!BD64:BD65)/NumberOfBeds_per_centre,0)=0,0,ROUNDUP(SUM('Weekly Summary'!BD64:BD65)/NumberOfBeds_per_centre,0))</f>
        <v>0</v>
      </c>
      <c r="BF67" s="341">
        <f ca="1">SUMIFS($D67:$BD67,$D$40:$BD$40,"&lt;="&amp;WeekSuppliedUntil,$D$40:$BD$40,"&gt;="&amp;Start_week_for_forecasting)</f>
        <v>15</v>
      </c>
      <c r="BH67" s="341">
        <f t="array" aca="1" ref="BH67" ca="1">MAX(IF(D$40:BD$40&gt;=Start_week_for_forecasting,IF(D$40:BD$40&lt;=WeekSuppliedUntil,D67:BD67)))</f>
        <v>8</v>
      </c>
    </row>
    <row r="68" spans="2:70" x14ac:dyDescent="0.35">
      <c r="C68" s="5"/>
      <c r="D68" s="29"/>
      <c r="E68" s="29"/>
      <c r="F68" s="29"/>
      <c r="G68" s="29"/>
      <c r="H68" s="29"/>
      <c r="I68" s="29"/>
      <c r="J68" s="29"/>
      <c r="K68" s="1363"/>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c r="BF68"/>
      <c r="BG68"/>
      <c r="BH68"/>
      <c r="BI68"/>
      <c r="BJ68"/>
      <c r="BK68"/>
      <c r="BL68"/>
      <c r="BM68"/>
      <c r="BN68"/>
      <c r="BO68"/>
      <c r="BP68"/>
      <c r="BQ68"/>
      <c r="BR68"/>
    </row>
    <row r="69" spans="2:70" s="25" customFormat="1" x14ac:dyDescent="0.35">
      <c r="C69" s="175" t="s">
        <v>592</v>
      </c>
    </row>
    <row r="70" spans="2:70" s="6" customFormat="1" x14ac:dyDescent="0.35">
      <c r="C70" s="17" t="s">
        <v>916</v>
      </c>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F70" s="21"/>
    </row>
    <row r="71" spans="2:70" ht="15.65" customHeight="1" x14ac:dyDescent="0.35">
      <c r="C71" s="6" t="s">
        <v>304</v>
      </c>
      <c r="D71" s="233">
        <f ca="1">IFERROR(VLOOKUP(D$40,'Patient Calcs'!$B13:$N65,13,FALSE),0)</f>
        <v>0</v>
      </c>
      <c r="E71" s="233">
        <f ca="1">IFERROR(VLOOKUP(E$40,'Patient Calcs'!$B13:$N65,13,FALSE),0)</f>
        <v>0</v>
      </c>
      <c r="F71" s="233">
        <f ca="1">IFERROR(VLOOKUP(F$40,'Patient Calcs'!$B13:$N65,13,FALSE),0)</f>
        <v>0.4</v>
      </c>
      <c r="G71" s="233">
        <f ca="1">IFERROR(VLOOKUP(G$40,'Patient Calcs'!$B13:$N65,13,FALSE),0)</f>
        <v>1.1921549766723405</v>
      </c>
      <c r="H71" s="233">
        <f ca="1">IFERROR(VLOOKUP(H$40,'Patient Calcs'!$B13:$N65,13,FALSE),0)</f>
        <v>4.0968502678632976</v>
      </c>
      <c r="I71" s="233">
        <f ca="1">IFERROR(VLOOKUP(I$40,'Patient Calcs'!$B13:$N65,13,FALSE),0)</f>
        <v>14.078723083937218</v>
      </c>
      <c r="J71" s="233">
        <f ca="1">IFERROR(VLOOKUP(J$40,'Patient Calcs'!$B13:$N65,13,FALSE),0)</f>
        <v>48.379570444797778</v>
      </c>
      <c r="K71" s="233">
        <f>IFERROR(VLOOKUP(K$40,'Patient Calcs'!$B13:$N65,13,FALSE),0)</f>
        <v>0</v>
      </c>
      <c r="L71" s="233">
        <f>IFERROR(VLOOKUP(L$40,'Patient Calcs'!$B13:$N65,13,FALSE),0)</f>
        <v>0</v>
      </c>
      <c r="M71" s="233">
        <f>IFERROR(VLOOKUP(M$40,'Patient Calcs'!$B13:$N65,13,FALSE),0)</f>
        <v>0</v>
      </c>
      <c r="N71" s="233">
        <f>IFERROR(VLOOKUP(N$40,'Patient Calcs'!$B13:$N65,13,FALSE),0)</f>
        <v>0</v>
      </c>
      <c r="O71" s="233">
        <f>IFERROR(VLOOKUP(O$40,'Patient Calcs'!$B13:$N65,13,FALSE),0)</f>
        <v>0</v>
      </c>
      <c r="P71" s="233">
        <f>IFERROR(VLOOKUP(P$40,'Patient Calcs'!$B13:$N65,13,FALSE),0)</f>
        <v>0</v>
      </c>
      <c r="Q71" s="233">
        <f>IFERROR(VLOOKUP(Q$40,'Patient Calcs'!$B13:$N65,13,FALSE),0)</f>
        <v>0</v>
      </c>
      <c r="R71" s="233">
        <f>IFERROR(VLOOKUP(R$40,'Patient Calcs'!$B13:$N65,13,FALSE),0)</f>
        <v>0</v>
      </c>
      <c r="S71" s="233">
        <f>IFERROR(VLOOKUP(S$40,'Patient Calcs'!$B13:$N65,13,FALSE),0)</f>
        <v>0</v>
      </c>
      <c r="T71" s="233">
        <f>IFERROR(VLOOKUP(T$40,'Patient Calcs'!$B13:$N65,13,FALSE),0)</f>
        <v>0</v>
      </c>
      <c r="U71" s="233">
        <f>IFERROR(VLOOKUP(U$40,'Patient Calcs'!$B13:$N65,13,FALSE),0)</f>
        <v>0</v>
      </c>
      <c r="V71" s="233">
        <f>IFERROR(VLOOKUP(V$40,'Patient Calcs'!$B13:$N65,13,FALSE),0)</f>
        <v>0</v>
      </c>
      <c r="W71" s="233">
        <f>IFERROR(VLOOKUP(W$40,'Patient Calcs'!$B13:$N65,13,FALSE),0)</f>
        <v>0</v>
      </c>
      <c r="X71" s="233">
        <f>IFERROR(VLOOKUP(X$40,'Patient Calcs'!$B13:$N65,13,FALSE),0)</f>
        <v>0</v>
      </c>
      <c r="Y71" s="233">
        <f>IFERROR(VLOOKUP(Y$40,'Patient Calcs'!$B13:$N65,13,FALSE),0)</f>
        <v>0</v>
      </c>
      <c r="Z71" s="233">
        <f>IFERROR(VLOOKUP(Z$40,'Patient Calcs'!$B13:$N65,13,FALSE),0)</f>
        <v>0</v>
      </c>
      <c r="AA71" s="233">
        <f>IFERROR(VLOOKUP(AA$40,'Patient Calcs'!$B13:$N65,13,FALSE),0)</f>
        <v>0</v>
      </c>
      <c r="AB71" s="233">
        <f>IFERROR(VLOOKUP(AB$40,'Patient Calcs'!$B13:$N65,13,FALSE),0)</f>
        <v>0</v>
      </c>
      <c r="AC71" s="233">
        <f>IFERROR(VLOOKUP(AC$40,'Patient Calcs'!$B13:$N65,13,FALSE),0)</f>
        <v>0</v>
      </c>
      <c r="AD71" s="233">
        <f>IFERROR(VLOOKUP(AD$40,'Patient Calcs'!$B13:$N65,13,FALSE),0)</f>
        <v>0</v>
      </c>
      <c r="AE71" s="233">
        <f>IFERROR(VLOOKUP(AE$40,'Patient Calcs'!$B13:$N65,13,FALSE),0)</f>
        <v>0</v>
      </c>
      <c r="AF71" s="233">
        <f>IFERROR(VLOOKUP(AF$40,'Patient Calcs'!$B13:$N65,13,FALSE),0)</f>
        <v>0</v>
      </c>
      <c r="AG71" s="233">
        <f>IFERROR(VLOOKUP(AG$40,'Patient Calcs'!$B13:$N65,13,FALSE),0)</f>
        <v>0</v>
      </c>
      <c r="AH71" s="233">
        <f>IFERROR(VLOOKUP(AH$40,'Patient Calcs'!$B13:$N65,13,FALSE),0)</f>
        <v>0</v>
      </c>
      <c r="AI71" s="233">
        <f>IFERROR(VLOOKUP(AI$40,'Patient Calcs'!$B13:$N65,13,FALSE),0)</f>
        <v>0</v>
      </c>
      <c r="AJ71" s="233">
        <f>IFERROR(VLOOKUP(AJ$40,'Patient Calcs'!$B13:$N65,13,FALSE),0)</f>
        <v>0</v>
      </c>
      <c r="AK71" s="233">
        <f>IFERROR(VLOOKUP(AK$40,'Patient Calcs'!$B13:$N65,13,FALSE),0)</f>
        <v>0</v>
      </c>
      <c r="AL71" s="233">
        <f>IFERROR(VLOOKUP(AL$40,'Patient Calcs'!$B13:$N65,13,FALSE),0)</f>
        <v>0</v>
      </c>
      <c r="AM71" s="233">
        <f>IFERROR(VLOOKUP(AM$40,'Patient Calcs'!$B13:$N65,13,FALSE),0)</f>
        <v>0</v>
      </c>
      <c r="AN71" s="233">
        <f>IFERROR(VLOOKUP(AN$40,'Patient Calcs'!$B13:$N65,13,FALSE),0)</f>
        <v>0</v>
      </c>
      <c r="AO71" s="233">
        <f>IFERROR(VLOOKUP(AO$40,'Patient Calcs'!$B13:$N65,13,FALSE),0)</f>
        <v>0</v>
      </c>
      <c r="AP71" s="233">
        <f>IFERROR(VLOOKUP(AP$40,'Patient Calcs'!$B13:$N65,13,FALSE),0)</f>
        <v>0</v>
      </c>
      <c r="AQ71" s="233">
        <f>IFERROR(VLOOKUP(AQ$40,'Patient Calcs'!$B13:$N65,13,FALSE),0)</f>
        <v>0</v>
      </c>
      <c r="AR71" s="233">
        <f>IFERROR(VLOOKUP(AR$40,'Patient Calcs'!$B13:$N65,13,FALSE),0)</f>
        <v>0</v>
      </c>
      <c r="AS71" s="233">
        <f>IFERROR(VLOOKUP(AS$40,'Patient Calcs'!$B13:$N65,13,FALSE),0)</f>
        <v>0</v>
      </c>
      <c r="AT71" s="233">
        <f>IFERROR(VLOOKUP(AT$40,'Patient Calcs'!$B13:$N65,13,FALSE),0)</f>
        <v>0</v>
      </c>
      <c r="AU71" s="233">
        <f>IFERROR(VLOOKUP(AU$40,'Patient Calcs'!$B13:$N65,13,FALSE),0)</f>
        <v>0</v>
      </c>
      <c r="AV71" s="233">
        <f>IFERROR(VLOOKUP(AV$40,'Patient Calcs'!$B13:$N65,13,FALSE),0)</f>
        <v>0</v>
      </c>
      <c r="AW71" s="233">
        <f>IFERROR(VLOOKUP(AW$40,'Patient Calcs'!$B13:$N65,13,FALSE),0)</f>
        <v>0</v>
      </c>
      <c r="AX71" s="233">
        <f>IFERROR(VLOOKUP(AX$40,'Patient Calcs'!$B13:$N65,13,FALSE),0)</f>
        <v>0</v>
      </c>
      <c r="AY71" s="233">
        <f>IFERROR(VLOOKUP(AY$40,'Patient Calcs'!$B13:$N65,13,FALSE),0)</f>
        <v>0</v>
      </c>
      <c r="AZ71" s="233">
        <f>IFERROR(VLOOKUP(AZ$40,'Patient Calcs'!$B13:$N65,13,FALSE),0)</f>
        <v>0</v>
      </c>
      <c r="BA71" s="233">
        <f>IFERROR(VLOOKUP(BA$40,'Patient Calcs'!$B13:$N65,13,FALSE),0)</f>
        <v>0</v>
      </c>
      <c r="BB71" s="233">
        <f>IFERROR(VLOOKUP(BB$40,'Patient Calcs'!$B13:$N65,13,FALSE),0)</f>
        <v>0</v>
      </c>
      <c r="BC71" s="233">
        <f>IFERROR(VLOOKUP(BC$40,'Patient Calcs'!$B13:$N65,13,FALSE),0)</f>
        <v>0</v>
      </c>
      <c r="BD71" s="233">
        <f>IFERROR(VLOOKUP(BD$40,'Patient Calcs'!$B13:$N65,13,FALSE),0)</f>
        <v>0</v>
      </c>
      <c r="BE71"/>
      <c r="BF71"/>
      <c r="BG71"/>
      <c r="BH71"/>
      <c r="BI71"/>
      <c r="BJ71"/>
      <c r="BK71"/>
      <c r="BL71"/>
      <c r="BM71"/>
      <c r="BN71"/>
      <c r="BO71"/>
      <c r="BP71"/>
      <c r="BQ71"/>
      <c r="BR71"/>
    </row>
    <row r="72" spans="2:70" s="129" customFormat="1" ht="15.65" customHeight="1" x14ac:dyDescent="0.35">
      <c r="C72" s="6" t="s">
        <v>960</v>
      </c>
      <c r="D72" s="233">
        <f ca="1">IFERROR(VLOOKUP(D$40,'Patient Calcs'!$B13:$P65,15,FALSE),0)</f>
        <v>0</v>
      </c>
      <c r="E72" s="233">
        <f ca="1">IFERROR(VLOOKUP(E$40,'Patient Calcs'!$B13:$P65,15,FALSE),0)</f>
        <v>0</v>
      </c>
      <c r="F72" s="233">
        <f ca="1">IFERROR(VLOOKUP(F$40,'Patient Calcs'!$B13:$P65,15,FALSE),0)</f>
        <v>0.4</v>
      </c>
      <c r="G72" s="233">
        <f ca="1">IFERROR(VLOOKUP(G$40,'Patient Calcs'!$B13:$P65,15,FALSE),0)</f>
        <v>1.1921549766723405</v>
      </c>
      <c r="H72" s="233">
        <f ca="1">IFERROR(VLOOKUP(H$40,'Patient Calcs'!$B13:$P65,15,FALSE),0)</f>
        <v>4.0968502678632976</v>
      </c>
      <c r="I72" s="233">
        <f ca="1">IFERROR(VLOOKUP(I$40,'Patient Calcs'!$B13:$P65,15,FALSE),0)</f>
        <v>14.078723083937218</v>
      </c>
      <c r="J72" s="233">
        <f ca="1">IFERROR(VLOOKUP(J$40,'Patient Calcs'!$B13:$P65,15,FALSE),0)</f>
        <v>48.379570444797778</v>
      </c>
      <c r="K72" s="233">
        <f>IFERROR(VLOOKUP(K$40,'Patient Calcs'!$B13:$P65,15,FALSE),0)</f>
        <v>0</v>
      </c>
      <c r="L72" s="233">
        <f>IFERROR(VLOOKUP(L$40,'Patient Calcs'!$B13:$P65,15,FALSE),0)</f>
        <v>0</v>
      </c>
      <c r="M72" s="233">
        <f>IFERROR(VLOOKUP(M$40,'Patient Calcs'!$B13:$P65,15,FALSE),0)</f>
        <v>0</v>
      </c>
      <c r="N72" s="233">
        <f>IFERROR(VLOOKUP(N$40,'Patient Calcs'!$B13:$P65,15,FALSE),0)</f>
        <v>0</v>
      </c>
      <c r="O72" s="233">
        <f>IFERROR(VLOOKUP(O$40,'Patient Calcs'!$B13:$P65,15,FALSE),0)</f>
        <v>0</v>
      </c>
      <c r="P72" s="233">
        <f>IFERROR(VLOOKUP(P$40,'Patient Calcs'!$B13:$P65,15,FALSE),0)</f>
        <v>0</v>
      </c>
      <c r="Q72" s="233">
        <f>IFERROR(VLOOKUP(Q$40,'Patient Calcs'!$B13:$P65,15,FALSE),0)</f>
        <v>0</v>
      </c>
      <c r="R72" s="233">
        <f>IFERROR(VLOOKUP(R$40,'Patient Calcs'!$B13:$P65,15,FALSE),0)</f>
        <v>0</v>
      </c>
      <c r="S72" s="233">
        <f>IFERROR(VLOOKUP(S$40,'Patient Calcs'!$B13:$P65,15,FALSE),0)</f>
        <v>0</v>
      </c>
      <c r="T72" s="233">
        <f>IFERROR(VLOOKUP(T$40,'Patient Calcs'!$B13:$P65,15,FALSE),0)</f>
        <v>0</v>
      </c>
      <c r="U72" s="233">
        <f>IFERROR(VLOOKUP(U$40,'Patient Calcs'!$B13:$P65,15,FALSE),0)</f>
        <v>0</v>
      </c>
      <c r="V72" s="233">
        <f>IFERROR(VLOOKUP(V$40,'Patient Calcs'!$B13:$P65,15,FALSE),0)</f>
        <v>0</v>
      </c>
      <c r="W72" s="233">
        <f>IFERROR(VLOOKUP(W$40,'Patient Calcs'!$B13:$P65,15,FALSE),0)</f>
        <v>0</v>
      </c>
      <c r="X72" s="233">
        <f>IFERROR(VLOOKUP(X$40,'Patient Calcs'!$B13:$P65,15,FALSE),0)</f>
        <v>0</v>
      </c>
      <c r="Y72" s="233">
        <f>IFERROR(VLOOKUP(Y$40,'Patient Calcs'!$B13:$P65,15,FALSE),0)</f>
        <v>0</v>
      </c>
      <c r="Z72" s="233">
        <f>IFERROR(VLOOKUP(Z$40,'Patient Calcs'!$B13:$P65,15,FALSE),0)</f>
        <v>0</v>
      </c>
      <c r="AA72" s="233">
        <f>IFERROR(VLOOKUP(AA$40,'Patient Calcs'!$B13:$P65,15,FALSE),0)</f>
        <v>0</v>
      </c>
      <c r="AB72" s="233">
        <f>IFERROR(VLOOKUP(AB$40,'Patient Calcs'!$B13:$P65,15,FALSE),0)</f>
        <v>0</v>
      </c>
      <c r="AC72" s="233">
        <f>IFERROR(VLOOKUP(AC$40,'Patient Calcs'!$B13:$P65,15,FALSE),0)</f>
        <v>0</v>
      </c>
      <c r="AD72" s="233">
        <f>IFERROR(VLOOKUP(AD$40,'Patient Calcs'!$B13:$P65,15,FALSE),0)</f>
        <v>0</v>
      </c>
      <c r="AE72" s="233">
        <f>IFERROR(VLOOKUP(AE$40,'Patient Calcs'!$B13:$P65,15,FALSE),0)</f>
        <v>0</v>
      </c>
      <c r="AF72" s="233">
        <f>IFERROR(VLOOKUP(AF$40,'Patient Calcs'!$B13:$P65,15,FALSE),0)</f>
        <v>0</v>
      </c>
      <c r="AG72" s="233">
        <f>IFERROR(VLOOKUP(AG$40,'Patient Calcs'!$B13:$P65,15,FALSE),0)</f>
        <v>0</v>
      </c>
      <c r="AH72" s="233">
        <f>IFERROR(VLOOKUP(AH$40,'Patient Calcs'!$B13:$P65,15,FALSE),0)</f>
        <v>0</v>
      </c>
      <c r="AI72" s="233">
        <f>IFERROR(VLOOKUP(AI$40,'Patient Calcs'!$B13:$P65,15,FALSE),0)</f>
        <v>0</v>
      </c>
      <c r="AJ72" s="233">
        <f>IFERROR(VLOOKUP(AJ$40,'Patient Calcs'!$B13:$P65,15,FALSE),0)</f>
        <v>0</v>
      </c>
      <c r="AK72" s="233">
        <f>IFERROR(VLOOKUP(AK$40,'Patient Calcs'!$B13:$P65,15,FALSE),0)</f>
        <v>0</v>
      </c>
      <c r="AL72" s="233">
        <f>IFERROR(VLOOKUP(AL$40,'Patient Calcs'!$B13:$P65,15,FALSE),0)</f>
        <v>0</v>
      </c>
      <c r="AM72" s="233">
        <f>IFERROR(VLOOKUP(AM$40,'Patient Calcs'!$B13:$P65,15,FALSE),0)</f>
        <v>0</v>
      </c>
      <c r="AN72" s="233">
        <f>IFERROR(VLOOKUP(AN$40,'Patient Calcs'!$B13:$P65,15,FALSE),0)</f>
        <v>0</v>
      </c>
      <c r="AO72" s="233">
        <f>IFERROR(VLOOKUP(AO$40,'Patient Calcs'!$B13:$P65,15,FALSE),0)</f>
        <v>0</v>
      </c>
      <c r="AP72" s="233">
        <f>IFERROR(VLOOKUP(AP$40,'Patient Calcs'!$B13:$P65,15,FALSE),0)</f>
        <v>0</v>
      </c>
      <c r="AQ72" s="233">
        <f>IFERROR(VLOOKUP(AQ$40,'Patient Calcs'!$B13:$P65,15,FALSE),0)</f>
        <v>0</v>
      </c>
      <c r="AR72" s="233">
        <f>IFERROR(VLOOKUP(AR$40,'Patient Calcs'!$B13:$P65,15,FALSE),0)</f>
        <v>0</v>
      </c>
      <c r="AS72" s="233">
        <f>IFERROR(VLOOKUP(AS$40,'Patient Calcs'!$B13:$P65,15,FALSE),0)</f>
        <v>0</v>
      </c>
      <c r="AT72" s="233">
        <f>IFERROR(VLOOKUP(AT$40,'Patient Calcs'!$B13:$P65,15,FALSE),0)</f>
        <v>0</v>
      </c>
      <c r="AU72" s="233">
        <f>IFERROR(VLOOKUP(AU$40,'Patient Calcs'!$B13:$P65,15,FALSE),0)</f>
        <v>0</v>
      </c>
      <c r="AV72" s="233">
        <f>IFERROR(VLOOKUP(AV$40,'Patient Calcs'!$B13:$P65,15,FALSE),0)</f>
        <v>0</v>
      </c>
      <c r="AW72" s="233">
        <f>IFERROR(VLOOKUP(AW$40,'Patient Calcs'!$B13:$P65,15,FALSE),0)</f>
        <v>0</v>
      </c>
      <c r="AX72" s="233">
        <f>IFERROR(VLOOKUP(AX$40,'Patient Calcs'!$B13:$P65,15,FALSE),0)</f>
        <v>0</v>
      </c>
      <c r="AY72" s="233">
        <f>IFERROR(VLOOKUP(AY$40,'Patient Calcs'!$B13:$P65,15,FALSE),0)</f>
        <v>0</v>
      </c>
      <c r="AZ72" s="233">
        <f>IFERROR(VLOOKUP(AZ$40,'Patient Calcs'!$B13:$P65,15,FALSE),0)</f>
        <v>0</v>
      </c>
      <c r="BA72" s="233">
        <f>IFERROR(VLOOKUP(BA$40,'Patient Calcs'!$B13:$P65,15,FALSE),0)</f>
        <v>0</v>
      </c>
      <c r="BB72" s="233">
        <f>IFERROR(VLOOKUP(BB$40,'Patient Calcs'!$B13:$P65,15,FALSE),0)</f>
        <v>0</v>
      </c>
      <c r="BC72" s="233">
        <f>IFERROR(VLOOKUP(BC$40,'Patient Calcs'!$B13:$P65,15,FALSE),0)</f>
        <v>0</v>
      </c>
      <c r="BD72" s="233">
        <f>IFERROR(VLOOKUP(BD$40,'Patient Calcs'!$B13:$P65,15,FALSE),0)</f>
        <v>0</v>
      </c>
    </row>
    <row r="73" spans="2:70" ht="15.65" customHeight="1" x14ac:dyDescent="0.35">
      <c r="C73" s="6" t="s">
        <v>303</v>
      </c>
      <c r="D73" s="233">
        <f ca="1">IF(D$40&lt;=WeekSuppliedUntil,IFERROR(VLOOKUP(D$40,'Patient Calcs'!$B13:$R65,17,FALSE),0),OFFSET(D46,0,-BedStay_Severe))</f>
        <v>0</v>
      </c>
      <c r="E73" s="233">
        <f ca="1">IF(E$40&lt;=WeekSuppliedUntil,IFERROR(VLOOKUP(E$40,'Patient Calcs'!$B13:$R65,17,FALSE),0),OFFSET(E46,0,-BedStay_Severe))</f>
        <v>0.15</v>
      </c>
      <c r="F73" s="233">
        <f ca="1">IF(F$40&lt;=WeekSuppliedUntil,IFERROR(VLOOKUP(F$40,'Patient Calcs'!$B13:$R65,17,FALSE),0),OFFSET(F46,0,-BedStay_Severe))</f>
        <v>0.44705811625212771</v>
      </c>
      <c r="G73" s="233">
        <f ca="1">IF(G$40&lt;=WeekSuppliedUntil,IFERROR(VLOOKUP(G$40,'Patient Calcs'!$B13:$R65,17,FALSE),0),OFFSET(G46,0,-BedStay_Severe))</f>
        <v>1.5363188504487364</v>
      </c>
      <c r="H73" s="233">
        <f ca="1">IF(H$40&lt;=WeekSuppliedUntil,IFERROR(VLOOKUP(H$40,'Patient Calcs'!$B13:$R65,17,FALSE),0),OFFSET(H46,0,-BedStay_Severe))</f>
        <v>5.2795211564764566</v>
      </c>
      <c r="I73" s="233">
        <f ca="1">IF(I$40&lt;=WeekSuppliedUntil,IFERROR(VLOOKUP(I$40,'Patient Calcs'!$B13:$R65,17,FALSE),0),OFFSET(I46,0,-BedStay_Severe))</f>
        <v>18.142338916799165</v>
      </c>
      <c r="J73" s="233">
        <f ca="1">IF(J$40&lt;=WeekSuppliedUntil,IFERROR(VLOOKUP(J$40,'Patient Calcs'!$B13:$R65,17,FALSE),0),OFFSET(J46,0,-BedStay_Severe))</f>
        <v>62.336500484542235</v>
      </c>
      <c r="K73" s="233">
        <f ca="1">IF(K$40&lt;=WeekSuppliedUntil,IFERROR(VLOOKUP(K$40,'Patient Calcs'!$B13:$R65,17,FALSE),0),OFFSET(K46,0,-BedStay_Severe))</f>
        <v>214.1022124010056</v>
      </c>
      <c r="L73" s="233">
        <f ca="1">IF(L$40&lt;=WeekSuppliedUntil,IFERROR(VLOOKUP(L$40,'Patient Calcs'!$B13:$R65,17,FALSE),0),OFFSET(L46,0,-BedStay_Severe))</f>
        <v>0</v>
      </c>
      <c r="M73" s="233">
        <f ca="1">IF(M$40&lt;=WeekSuppliedUntil,IFERROR(VLOOKUP(M$40,'Patient Calcs'!$B13:$R65,17,FALSE),0),OFFSET(M46,0,-BedStay_Severe))</f>
        <v>0</v>
      </c>
      <c r="N73" s="233">
        <f ca="1">IF(N$40&lt;=WeekSuppliedUntil,IFERROR(VLOOKUP(N$40,'Patient Calcs'!$B13:$R65,17,FALSE),0),OFFSET(N46,0,-BedStay_Severe))</f>
        <v>0</v>
      </c>
      <c r="O73" s="233">
        <f ca="1">IF(O$40&lt;=WeekSuppliedUntil,IFERROR(VLOOKUP(O$40,'Patient Calcs'!$B13:$R65,17,FALSE),0),OFFSET(O46,0,-BedStay_Severe))</f>
        <v>0</v>
      </c>
      <c r="P73" s="233">
        <f ca="1">IF(P$40&lt;=WeekSuppliedUntil,IFERROR(VLOOKUP(P$40,'Patient Calcs'!$B13:$R65,17,FALSE),0),OFFSET(P46,0,-BedStay_Severe))</f>
        <v>0</v>
      </c>
      <c r="Q73" s="233">
        <f ca="1">IF(Q$40&lt;=WeekSuppliedUntil,IFERROR(VLOOKUP(Q$40,'Patient Calcs'!$B13:$R65,17,FALSE),0),OFFSET(Q46,0,-BedStay_Severe))</f>
        <v>0</v>
      </c>
      <c r="R73" s="233">
        <f ca="1">IF(R$40&lt;=WeekSuppliedUntil,IFERROR(VLOOKUP(R$40,'Patient Calcs'!$B13:$R65,17,FALSE),0),OFFSET(R46,0,-BedStay_Severe))</f>
        <v>0</v>
      </c>
      <c r="S73" s="233">
        <f ca="1">IF(S$40&lt;=WeekSuppliedUntil,IFERROR(VLOOKUP(S$40,'Patient Calcs'!$B13:$R65,17,FALSE),0),OFFSET(S46,0,-BedStay_Severe))</f>
        <v>0</v>
      </c>
      <c r="T73" s="233">
        <f ca="1">IF(T$40&lt;=WeekSuppliedUntil,IFERROR(VLOOKUP(T$40,'Patient Calcs'!$B13:$R65,17,FALSE),0),OFFSET(T46,0,-BedStay_Severe))</f>
        <v>0</v>
      </c>
      <c r="U73" s="233">
        <f ca="1">IF(U$40&lt;=WeekSuppliedUntil,IFERROR(VLOOKUP(U$40,'Patient Calcs'!$B13:$R65,17,FALSE),0),OFFSET(U46,0,-BedStay_Severe))</f>
        <v>0</v>
      </c>
      <c r="V73" s="233">
        <f ca="1">IF(V$40&lt;=WeekSuppliedUntil,IFERROR(VLOOKUP(V$40,'Patient Calcs'!$B13:$R65,17,FALSE),0),OFFSET(V46,0,-BedStay_Severe))</f>
        <v>0</v>
      </c>
      <c r="W73" s="233">
        <f ca="1">IF(W$40&lt;=WeekSuppliedUntil,IFERROR(VLOOKUP(W$40,'Patient Calcs'!$B13:$R65,17,FALSE),0),OFFSET(W46,0,-BedStay_Severe))</f>
        <v>0</v>
      </c>
      <c r="X73" s="233">
        <f ca="1">IF(X$40&lt;=WeekSuppliedUntil,IFERROR(VLOOKUP(X$40,'Patient Calcs'!$B13:$R65,17,FALSE),0),OFFSET(X46,0,-BedStay_Severe))</f>
        <v>0</v>
      </c>
      <c r="Y73" s="233">
        <f ca="1">IF(Y$40&lt;=WeekSuppliedUntil,IFERROR(VLOOKUP(Y$40,'Patient Calcs'!$B13:$R65,17,FALSE),0),OFFSET(Y46,0,-BedStay_Severe))</f>
        <v>0</v>
      </c>
      <c r="Z73" s="233">
        <f ca="1">IF(Z$40&lt;=WeekSuppliedUntil,IFERROR(VLOOKUP(Z$40,'Patient Calcs'!$B13:$R65,17,FALSE),0),OFFSET(Z46,0,-BedStay_Severe))</f>
        <v>0</v>
      </c>
      <c r="AA73" s="233">
        <f ca="1">IF(AA$40&lt;=WeekSuppliedUntil,IFERROR(VLOOKUP(AA$40,'Patient Calcs'!$B13:$R65,17,FALSE),0),OFFSET(AA46,0,-BedStay_Severe))</f>
        <v>0</v>
      </c>
      <c r="AB73" s="233">
        <f ca="1">IF(AB$40&lt;=WeekSuppliedUntil,IFERROR(VLOOKUP(AB$40,'Patient Calcs'!$B13:$R65,17,FALSE),0),OFFSET(AB46,0,-BedStay_Severe))</f>
        <v>0</v>
      </c>
      <c r="AC73" s="233">
        <f ca="1">IF(AC$40&lt;=WeekSuppliedUntil,IFERROR(VLOOKUP(AC$40,'Patient Calcs'!$B13:$R65,17,FALSE),0),OFFSET(AC46,0,-BedStay_Severe))</f>
        <v>0</v>
      </c>
      <c r="AD73" s="233">
        <f ca="1">IF(AD$40&lt;=WeekSuppliedUntil,IFERROR(VLOOKUP(AD$40,'Patient Calcs'!$B13:$R65,17,FALSE),0),OFFSET(AD46,0,-BedStay_Severe))</f>
        <v>0</v>
      </c>
      <c r="AE73" s="233">
        <f ca="1">IF(AE$40&lt;=WeekSuppliedUntil,IFERROR(VLOOKUP(AE$40,'Patient Calcs'!$B13:$R65,17,FALSE),0),OFFSET(AE46,0,-BedStay_Severe))</f>
        <v>0</v>
      </c>
      <c r="AF73" s="233">
        <f ca="1">IF(AF$40&lt;=WeekSuppliedUntil,IFERROR(VLOOKUP(AF$40,'Patient Calcs'!$B13:$R65,17,FALSE),0),OFFSET(AF46,0,-BedStay_Severe))</f>
        <v>0</v>
      </c>
      <c r="AG73" s="233">
        <f ca="1">IF(AG$40&lt;=WeekSuppliedUntil,IFERROR(VLOOKUP(AG$40,'Patient Calcs'!$B13:$R65,17,FALSE),0),OFFSET(AG46,0,-BedStay_Severe))</f>
        <v>0</v>
      </c>
      <c r="AH73" s="233">
        <f ca="1">IF(AH$40&lt;=WeekSuppliedUntil,IFERROR(VLOOKUP(AH$40,'Patient Calcs'!$B13:$R65,17,FALSE),0),OFFSET(AH46,0,-BedStay_Severe))</f>
        <v>0</v>
      </c>
      <c r="AI73" s="233">
        <f ca="1">IF(AI$40&lt;=WeekSuppliedUntil,IFERROR(VLOOKUP(AI$40,'Patient Calcs'!$B13:$R65,17,FALSE),0),OFFSET(AI46,0,-BedStay_Severe))</f>
        <v>0</v>
      </c>
      <c r="AJ73" s="233">
        <f ca="1">IF(AJ$40&lt;=WeekSuppliedUntil,IFERROR(VLOOKUP(AJ$40,'Patient Calcs'!$B13:$R65,17,FALSE),0),OFFSET(AJ46,0,-BedStay_Severe))</f>
        <v>0</v>
      </c>
      <c r="AK73" s="233">
        <f ca="1">IF(AK$40&lt;=WeekSuppliedUntil,IFERROR(VLOOKUP(AK$40,'Patient Calcs'!$B13:$R65,17,FALSE),0),OFFSET(AK46,0,-BedStay_Severe))</f>
        <v>0</v>
      </c>
      <c r="AL73" s="233">
        <f ca="1">IF(AL$40&lt;=WeekSuppliedUntil,IFERROR(VLOOKUP(AL$40,'Patient Calcs'!$B13:$R65,17,FALSE),0),OFFSET(AL46,0,-BedStay_Severe))</f>
        <v>0</v>
      </c>
      <c r="AM73" s="233">
        <f ca="1">IF(AM$40&lt;=WeekSuppliedUntil,IFERROR(VLOOKUP(AM$40,'Patient Calcs'!$B13:$R65,17,FALSE),0),OFFSET(AM46,0,-BedStay_Severe))</f>
        <v>0</v>
      </c>
      <c r="AN73" s="233">
        <f ca="1">IF(AN$40&lt;=WeekSuppliedUntil,IFERROR(VLOOKUP(AN$40,'Patient Calcs'!$B13:$R65,17,FALSE),0),OFFSET(AN46,0,-BedStay_Severe))</f>
        <v>0</v>
      </c>
      <c r="AO73" s="233">
        <f ca="1">IF(AO$40&lt;=WeekSuppliedUntil,IFERROR(VLOOKUP(AO$40,'Patient Calcs'!$B13:$R65,17,FALSE),0),OFFSET(AO46,0,-BedStay_Severe))</f>
        <v>0</v>
      </c>
      <c r="AP73" s="233">
        <f ca="1">IF(AP$40&lt;=WeekSuppliedUntil,IFERROR(VLOOKUP(AP$40,'Patient Calcs'!$B13:$R65,17,FALSE),0),OFFSET(AP46,0,-BedStay_Severe))</f>
        <v>0</v>
      </c>
      <c r="AQ73" s="233">
        <f ca="1">IF(AQ$40&lt;=WeekSuppliedUntil,IFERROR(VLOOKUP(AQ$40,'Patient Calcs'!$B13:$R65,17,FALSE),0),OFFSET(AQ46,0,-BedStay_Severe))</f>
        <v>0</v>
      </c>
      <c r="AR73" s="233">
        <f ca="1">IF(AR$40&lt;=WeekSuppliedUntil,IFERROR(VLOOKUP(AR$40,'Patient Calcs'!$B13:$R65,17,FALSE),0),OFFSET(AR46,0,-BedStay_Severe))</f>
        <v>0</v>
      </c>
      <c r="AS73" s="233">
        <f ca="1">IF(AS$40&lt;=WeekSuppliedUntil,IFERROR(VLOOKUP(AS$40,'Patient Calcs'!$B13:$R65,17,FALSE),0),OFFSET(AS46,0,-BedStay_Severe))</f>
        <v>0</v>
      </c>
      <c r="AT73" s="233">
        <f ca="1">IF(AT$40&lt;=WeekSuppliedUntil,IFERROR(VLOOKUP(AT$40,'Patient Calcs'!$B13:$R65,17,FALSE),0),OFFSET(AT46,0,-BedStay_Severe))</f>
        <v>0</v>
      </c>
      <c r="AU73" s="233">
        <f ca="1">IF(AU$40&lt;=WeekSuppliedUntil,IFERROR(VLOOKUP(AU$40,'Patient Calcs'!$B13:$R65,17,FALSE),0),OFFSET(AU46,0,-BedStay_Severe))</f>
        <v>0</v>
      </c>
      <c r="AV73" s="233">
        <f ca="1">IF(AV$40&lt;=WeekSuppliedUntil,IFERROR(VLOOKUP(AV$40,'Patient Calcs'!$B13:$R65,17,FALSE),0),OFFSET(AV46,0,-BedStay_Severe))</f>
        <v>0</v>
      </c>
      <c r="AW73" s="233">
        <f ca="1">IF(AW$40&lt;=WeekSuppliedUntil,IFERROR(VLOOKUP(AW$40,'Patient Calcs'!$B13:$R65,17,FALSE),0),OFFSET(AW46,0,-BedStay_Severe))</f>
        <v>0</v>
      </c>
      <c r="AX73" s="233">
        <f ca="1">IF(AX$40&lt;=WeekSuppliedUntil,IFERROR(VLOOKUP(AX$40,'Patient Calcs'!$B13:$R65,17,FALSE),0),OFFSET(AX46,0,-BedStay_Severe))</f>
        <v>0</v>
      </c>
      <c r="AY73" s="233">
        <f ca="1">IF(AY$40&lt;=WeekSuppliedUntil,IFERROR(VLOOKUP(AY$40,'Patient Calcs'!$B13:$R65,17,FALSE),0),OFFSET(AY46,0,-BedStay_Severe))</f>
        <v>0</v>
      </c>
      <c r="AZ73" s="233">
        <f ca="1">IF(AZ$40&lt;=WeekSuppliedUntil,IFERROR(VLOOKUP(AZ$40,'Patient Calcs'!$B13:$R65,17,FALSE),0),OFFSET(AZ46,0,-BedStay_Severe))</f>
        <v>0</v>
      </c>
      <c r="BA73" s="233">
        <f ca="1">IF(BA$40&lt;=WeekSuppliedUntil,IFERROR(VLOOKUP(BA$40,'Patient Calcs'!$B13:$R65,17,FALSE),0),OFFSET(BA46,0,-BedStay_Severe))</f>
        <v>0</v>
      </c>
      <c r="BB73" s="233">
        <f ca="1">IF(BB$40&lt;=WeekSuppliedUntil,IFERROR(VLOOKUP(BB$40,'Patient Calcs'!$B13:$R65,17,FALSE),0),OFFSET(BB46,0,-BedStay_Severe))</f>
        <v>0</v>
      </c>
      <c r="BC73" s="233">
        <f ca="1">IF(BC$40&lt;=WeekSuppliedUntil,IFERROR(VLOOKUP(BC$40,'Patient Calcs'!$B13:$R65,17,FALSE),0),OFFSET(BC46,0,-BedStay_Severe))</f>
        <v>0</v>
      </c>
      <c r="BD73" s="233">
        <f ca="1">IF(BD$40&lt;=WeekSuppliedUntil,IFERROR(VLOOKUP(BD$40,'Patient Calcs'!$B13:$R65,17,FALSE),0),OFFSET(BD46,0,-BedStay_Severe))</f>
        <v>0</v>
      </c>
      <c r="BE73"/>
      <c r="BF73"/>
      <c r="BG73"/>
      <c r="BH73"/>
      <c r="BI73"/>
      <c r="BJ73"/>
      <c r="BK73"/>
      <c r="BL73"/>
      <c r="BM73"/>
      <c r="BN73"/>
      <c r="BO73"/>
      <c r="BP73"/>
      <c r="BQ73"/>
      <c r="BR73"/>
    </row>
    <row r="74" spans="2:70" ht="15.65" customHeight="1" x14ac:dyDescent="0.35">
      <c r="C74" s="6" t="s">
        <v>305</v>
      </c>
      <c r="D74" s="233">
        <f ca="1">IF(D40&lt;=WeekSuppliedUntil,IFERROR(VLOOKUP(D$40,'Patient Calcs'!$B13:$T65,19,FALSE),0),(OFFSET(D47,0,-BedStay_Critical)))</f>
        <v>0</v>
      </c>
      <c r="E74" s="233">
        <f ca="1">IF(E40&lt;=WeekSuppliedUntil,IFERROR(VLOOKUP(E$40,'Patient Calcs'!$B13:$T65,19,FALSE),0),(OFFSET(E47,0,-BedStay_Critical)))</f>
        <v>0</v>
      </c>
      <c r="F74" s="233">
        <f ca="1">IF(F40&lt;=WeekSuppliedUntil,IFERROR(VLOOKUP(F$40,'Patient Calcs'!$B13:$T65,19,FALSE),0),(OFFSET(F47,0,-BedStay_Critical)))</f>
        <v>0.05</v>
      </c>
      <c r="G74" s="233">
        <f ca="1">IF(G40&lt;=WeekSuppliedUntil,IFERROR(VLOOKUP(G$40,'Patient Calcs'!$B13:$T65,19,FALSE),0),(OFFSET(G47,0,-BedStay_Critical)))</f>
        <v>0.14901937208404256</v>
      </c>
      <c r="H74" s="233">
        <f ca="1">IF(H40&lt;=WeekSuppliedUntil,IFERROR(VLOOKUP(H$40,'Patient Calcs'!$B13:$T65,19,FALSE),0),(OFFSET(H47,0,-BedStay_Critical)))</f>
        <v>0.51210628348291221</v>
      </c>
      <c r="I74" s="233">
        <f ca="1">IF(I40&lt;=WeekSuppliedUntil,IFERROR(VLOOKUP(I$40,'Patient Calcs'!$B13:$T65,19,FALSE),0),(OFFSET(I47,0,-BedStay_Critical)))</f>
        <v>1.7598403854921523</v>
      </c>
      <c r="J74" s="233">
        <f ca="1">IF(J40&lt;=WeekSuppliedUntil,IFERROR(VLOOKUP(J$40,'Patient Calcs'!$B13:$T65,19,FALSE),0),(OFFSET(J47,0,-BedStay_Critical)))</f>
        <v>6.0474463055997223</v>
      </c>
      <c r="K74" s="233">
        <f ca="1">IF(K40&lt;=WeekSuppliedUntil,IFERROR(VLOOKUP(K$40,'Patient Calcs'!$B13:$T65,19,FALSE),0),(OFFSET(K47,0,-BedStay_Critical)))</f>
        <v>20.778833494847415</v>
      </c>
      <c r="L74" s="233">
        <f ca="1">IF(L40&lt;=WeekSuppliedUntil,IFERROR(VLOOKUP(L$40,'Patient Calcs'!$B13:$T65,19,FALSE),0),(OFFSET(L47,0,-BedStay_Critical)))</f>
        <v>71.367404133668543</v>
      </c>
      <c r="M74" s="233">
        <f ca="1">IF(M40&lt;=WeekSuppliedUntil,IFERROR(VLOOKUP(M$40,'Patient Calcs'!$B13:$T65,19,FALSE),0),(OFFSET(M47,0,-BedStay_Critical)))</f>
        <v>0</v>
      </c>
      <c r="N74" s="233">
        <f ca="1">IF(N40&lt;=WeekSuppliedUntil,IFERROR(VLOOKUP(N$40,'Patient Calcs'!$B13:$T65,19,FALSE),0),(OFFSET(N47,0,-BedStay_Critical)))</f>
        <v>0</v>
      </c>
      <c r="O74" s="233">
        <f ca="1">IF(O40&lt;=WeekSuppliedUntil,IFERROR(VLOOKUP(O$40,'Patient Calcs'!$B13:$T65,19,FALSE),0),(OFFSET(O47,0,-BedStay_Critical)))</f>
        <v>0</v>
      </c>
      <c r="P74" s="233">
        <f ca="1">IF(P40&lt;=WeekSuppliedUntil,IFERROR(VLOOKUP(P$40,'Patient Calcs'!$B13:$T65,19,FALSE),0),(OFFSET(P47,0,-BedStay_Critical)))</f>
        <v>0</v>
      </c>
      <c r="Q74" s="233">
        <f ca="1">IF(Q40&lt;=WeekSuppliedUntil,IFERROR(VLOOKUP(Q$40,'Patient Calcs'!$B13:$T65,19,FALSE),0),(OFFSET(Q47,0,-BedStay_Critical)))</f>
        <v>0</v>
      </c>
      <c r="R74" s="233">
        <f ca="1">IF(R40&lt;=WeekSuppliedUntil,IFERROR(VLOOKUP(R$40,'Patient Calcs'!$B13:$T65,19,FALSE),0),(OFFSET(R47,0,-BedStay_Critical)))</f>
        <v>0</v>
      </c>
      <c r="S74" s="233">
        <f ca="1">IF(S40&lt;=WeekSuppliedUntil,IFERROR(VLOOKUP(S$40,'Patient Calcs'!$B13:$T65,19,FALSE),0),(OFFSET(S47,0,-BedStay_Critical)))</f>
        <v>0</v>
      </c>
      <c r="T74" s="233">
        <f ca="1">IF(T40&lt;=WeekSuppliedUntil,IFERROR(VLOOKUP(T$40,'Patient Calcs'!$B13:$T65,19,FALSE),0),(OFFSET(T47,0,-BedStay_Critical)))</f>
        <v>0</v>
      </c>
      <c r="U74" s="233">
        <f ca="1">IF(U40&lt;=WeekSuppliedUntil,IFERROR(VLOOKUP(U$40,'Patient Calcs'!$B13:$T65,19,FALSE),0),(OFFSET(U47,0,-BedStay_Critical)))</f>
        <v>0</v>
      </c>
      <c r="V74" s="233">
        <f ca="1">IF(V40&lt;=WeekSuppliedUntil,IFERROR(VLOOKUP(V$40,'Patient Calcs'!$B13:$T65,19,FALSE),0),(OFFSET(V47,0,-BedStay_Critical)))</f>
        <v>0</v>
      </c>
      <c r="W74" s="233">
        <f ca="1">IF(W40&lt;=WeekSuppliedUntil,IFERROR(VLOOKUP(W$40,'Patient Calcs'!$B13:$T65,19,FALSE),0),(OFFSET(W47,0,-BedStay_Critical)))</f>
        <v>0</v>
      </c>
      <c r="X74" s="233">
        <f ca="1">IF(X40&lt;=WeekSuppliedUntil,IFERROR(VLOOKUP(X$40,'Patient Calcs'!$B13:$T65,19,FALSE),0),(OFFSET(X47,0,-BedStay_Critical)))</f>
        <v>0</v>
      </c>
      <c r="Y74" s="233">
        <f ca="1">IF(Y40&lt;=WeekSuppliedUntil,IFERROR(VLOOKUP(Y$40,'Patient Calcs'!$B13:$T65,19,FALSE),0),(OFFSET(Y47,0,-BedStay_Critical)))</f>
        <v>0</v>
      </c>
      <c r="Z74" s="233">
        <f ca="1">IF(Z40&lt;=WeekSuppliedUntil,IFERROR(VLOOKUP(Z$40,'Patient Calcs'!$B13:$T65,19,FALSE),0),(OFFSET(Z47,0,-BedStay_Critical)))</f>
        <v>0</v>
      </c>
      <c r="AA74" s="233">
        <f ca="1">IF(AA40&lt;=WeekSuppliedUntil,IFERROR(VLOOKUP(AA$40,'Patient Calcs'!$B13:$T65,19,FALSE),0),(OFFSET(AA47,0,-BedStay_Critical)))</f>
        <v>0</v>
      </c>
      <c r="AB74" s="233">
        <f ca="1">IF(AB40&lt;=WeekSuppliedUntil,IFERROR(VLOOKUP(AB$40,'Patient Calcs'!$B13:$T65,19,FALSE),0),(OFFSET(AB47,0,-BedStay_Critical)))</f>
        <v>0</v>
      </c>
      <c r="AC74" s="233">
        <f ca="1">IF(AC40&lt;=WeekSuppliedUntil,IFERROR(VLOOKUP(AC$40,'Patient Calcs'!$B13:$T65,19,FALSE),0),(OFFSET(AC47,0,-BedStay_Critical)))</f>
        <v>0</v>
      </c>
      <c r="AD74" s="233">
        <f ca="1">IF(AD40&lt;=WeekSuppliedUntil,IFERROR(VLOOKUP(AD$40,'Patient Calcs'!$B13:$T65,19,FALSE),0),(OFFSET(AD47,0,-BedStay_Critical)))</f>
        <v>0</v>
      </c>
      <c r="AE74" s="233">
        <f ca="1">IF(AE40&lt;=WeekSuppliedUntil,IFERROR(VLOOKUP(AE$40,'Patient Calcs'!$B13:$T65,19,FALSE),0),(OFFSET(AE47,0,-BedStay_Critical)))</f>
        <v>0</v>
      </c>
      <c r="AF74" s="233">
        <f ca="1">IF(AF40&lt;=WeekSuppliedUntil,IFERROR(VLOOKUP(AF$40,'Patient Calcs'!$B13:$T65,19,FALSE),0),(OFFSET(AF47,0,-BedStay_Critical)))</f>
        <v>0</v>
      </c>
      <c r="AG74" s="233">
        <f ca="1">IF(AG40&lt;=WeekSuppliedUntil,IFERROR(VLOOKUP(AG$40,'Patient Calcs'!$B13:$T65,19,FALSE),0),(OFFSET(AG47,0,-BedStay_Critical)))</f>
        <v>0</v>
      </c>
      <c r="AH74" s="233">
        <f ca="1">IF(AH40&lt;=WeekSuppliedUntil,IFERROR(VLOOKUP(AH$40,'Patient Calcs'!$B13:$T65,19,FALSE),0),(OFFSET(AH47,0,-BedStay_Critical)))</f>
        <v>0</v>
      </c>
      <c r="AI74" s="233">
        <f ca="1">IF(AI40&lt;=WeekSuppliedUntil,IFERROR(VLOOKUP(AI$40,'Patient Calcs'!$B13:$T65,19,FALSE),0),(OFFSET(AI47,0,-BedStay_Critical)))</f>
        <v>0</v>
      </c>
      <c r="AJ74" s="233">
        <f ca="1">IF(AJ40&lt;=WeekSuppliedUntil,IFERROR(VLOOKUP(AJ$40,'Patient Calcs'!$B13:$T65,19,FALSE),0),(OFFSET(AJ47,0,-BedStay_Critical)))</f>
        <v>0</v>
      </c>
      <c r="AK74" s="233">
        <f ca="1">IF(AK40&lt;=WeekSuppliedUntil,IFERROR(VLOOKUP(AK$40,'Patient Calcs'!$B13:$T65,19,FALSE),0),(OFFSET(AK47,0,-BedStay_Critical)))</f>
        <v>0</v>
      </c>
      <c r="AL74" s="233">
        <f ca="1">IF(AL40&lt;=WeekSuppliedUntil,IFERROR(VLOOKUP(AL$40,'Patient Calcs'!$B13:$T65,19,FALSE),0),(OFFSET(AL47,0,-BedStay_Critical)))</f>
        <v>0</v>
      </c>
      <c r="AM74" s="233">
        <f ca="1">IF(AM40&lt;=WeekSuppliedUntil,IFERROR(VLOOKUP(AM$40,'Patient Calcs'!$B13:$T65,19,FALSE),0),(OFFSET(AM47,0,-BedStay_Critical)))</f>
        <v>0</v>
      </c>
      <c r="AN74" s="233">
        <f ca="1">IF(AN40&lt;=WeekSuppliedUntil,IFERROR(VLOOKUP(AN$40,'Patient Calcs'!$B13:$T65,19,FALSE),0),(OFFSET(AN47,0,-BedStay_Critical)))</f>
        <v>0</v>
      </c>
      <c r="AO74" s="233">
        <f ca="1">IF(AO40&lt;=WeekSuppliedUntil,IFERROR(VLOOKUP(AO$40,'Patient Calcs'!$B13:$T65,19,FALSE),0),(OFFSET(AO47,0,-BedStay_Critical)))</f>
        <v>0</v>
      </c>
      <c r="AP74" s="233">
        <f ca="1">IF(AP40&lt;=WeekSuppliedUntil,IFERROR(VLOOKUP(AP$40,'Patient Calcs'!$B13:$T65,19,FALSE),0),(OFFSET(AP47,0,-BedStay_Critical)))</f>
        <v>0</v>
      </c>
      <c r="AQ74" s="233">
        <f ca="1">IF(AQ40&lt;=WeekSuppliedUntil,IFERROR(VLOOKUP(AQ$40,'Patient Calcs'!$B13:$T65,19,FALSE),0),(OFFSET(AQ47,0,-BedStay_Critical)))</f>
        <v>0</v>
      </c>
      <c r="AR74" s="233">
        <f ca="1">IF(AR40&lt;=WeekSuppliedUntil,IFERROR(VLOOKUP(AR$40,'Patient Calcs'!$B13:$T65,19,FALSE),0),(OFFSET(AR47,0,-BedStay_Critical)))</f>
        <v>0</v>
      </c>
      <c r="AS74" s="233">
        <f ca="1">IF(AS40&lt;=WeekSuppliedUntil,IFERROR(VLOOKUP(AS$40,'Patient Calcs'!$B13:$T65,19,FALSE),0),(OFFSET(AS47,0,-BedStay_Critical)))</f>
        <v>0</v>
      </c>
      <c r="AT74" s="233">
        <f ca="1">IF(AT40&lt;=WeekSuppliedUntil,IFERROR(VLOOKUP(AT$40,'Patient Calcs'!$B13:$T65,19,FALSE),0),(OFFSET(AT47,0,-BedStay_Critical)))</f>
        <v>0</v>
      </c>
      <c r="AU74" s="233">
        <f ca="1">IF(AU40&lt;=WeekSuppliedUntil,IFERROR(VLOOKUP(AU$40,'Patient Calcs'!$B13:$T65,19,FALSE),0),(OFFSET(AU47,0,-BedStay_Critical)))</f>
        <v>0</v>
      </c>
      <c r="AV74" s="233">
        <f ca="1">IF(AV40&lt;=WeekSuppliedUntil,IFERROR(VLOOKUP(AV$40,'Patient Calcs'!$B13:$T65,19,FALSE),0),(OFFSET(AV47,0,-BedStay_Critical)))</f>
        <v>0</v>
      </c>
      <c r="AW74" s="233">
        <f ca="1">IF(AW40&lt;=WeekSuppliedUntil,IFERROR(VLOOKUP(AW$40,'Patient Calcs'!$B13:$T65,19,FALSE),0),(OFFSET(AW47,0,-BedStay_Critical)))</f>
        <v>0</v>
      </c>
      <c r="AX74" s="233">
        <f ca="1">IF(AX40&lt;=WeekSuppliedUntil,IFERROR(VLOOKUP(AX$40,'Patient Calcs'!$B13:$T65,19,FALSE),0),(OFFSET(AX47,0,-BedStay_Critical)))</f>
        <v>0</v>
      </c>
      <c r="AY74" s="233">
        <f ca="1">IF(AY40&lt;=WeekSuppliedUntil,IFERROR(VLOOKUP(AY$40,'Patient Calcs'!$B13:$T65,19,FALSE),0),(OFFSET(AY47,0,-BedStay_Critical)))</f>
        <v>0</v>
      </c>
      <c r="AZ74" s="233">
        <f ca="1">IF(AZ40&lt;=WeekSuppliedUntil,IFERROR(VLOOKUP(AZ$40,'Patient Calcs'!$B13:$T65,19,FALSE),0),(OFFSET(AZ47,0,-BedStay_Critical)))</f>
        <v>0</v>
      </c>
      <c r="BA74" s="233">
        <f ca="1">IF(BA40&lt;=WeekSuppliedUntil,IFERROR(VLOOKUP(BA$40,'Patient Calcs'!$B13:$T65,19,FALSE),0),(OFFSET(BA47,0,-BedStay_Critical)))</f>
        <v>0</v>
      </c>
      <c r="BB74" s="233">
        <f ca="1">IF(BB40&lt;=WeekSuppliedUntil,IFERROR(VLOOKUP(BB$40,'Patient Calcs'!$B13:$T65,19,FALSE),0),(OFFSET(BB47,0,-BedStay_Critical)))</f>
        <v>0</v>
      </c>
      <c r="BC74" s="233">
        <f ca="1">IF(BC40&lt;=WeekSuppliedUntil,IFERROR(VLOOKUP(BC$40,'Patient Calcs'!$B13:$T65,19,FALSE),0),(OFFSET(BC47,0,-BedStay_Critical)))</f>
        <v>0</v>
      </c>
      <c r="BD74" s="233">
        <f ca="1">IF(BD40&lt;=WeekSuppliedUntil,IFERROR(VLOOKUP(BD$40,'Patient Calcs'!$B13:$T65,19,FALSE),0),(OFFSET(BD47,0,-BedStay_Critical)))</f>
        <v>0</v>
      </c>
      <c r="BE74"/>
      <c r="BF74"/>
      <c r="BG74"/>
      <c r="BH74"/>
      <c r="BI74"/>
      <c r="BJ74"/>
      <c r="BK74"/>
      <c r="BL74"/>
      <c r="BM74"/>
      <c r="BN74"/>
      <c r="BO74"/>
      <c r="BP74"/>
      <c r="BQ74"/>
      <c r="BR74"/>
    </row>
    <row r="75" spans="2:70" s="129" customFormat="1" ht="15.65" hidden="1" customHeight="1" x14ac:dyDescent="0.35">
      <c r="B75" s="403" t="s">
        <v>1318</v>
      </c>
      <c r="C75" s="411" t="s">
        <v>1086</v>
      </c>
      <c r="D75" s="235" t="str">
        <f t="shared" ref="D75:AI75" ca="1" si="13">IFERROR(IF(ISTEXT((OFFSET(D$49,0,-BedStay_Mild))),0,(OFFSET(D$49,0,-BedStay_Mild))),"")</f>
        <v/>
      </c>
      <c r="E75" s="235" t="str">
        <f t="shared" ca="1" si="13"/>
        <v/>
      </c>
      <c r="F75" s="235" t="str">
        <f t="shared" ca="1" si="13"/>
        <v/>
      </c>
      <c r="G75" s="235" t="str">
        <f t="shared" ca="1" si="13"/>
        <v/>
      </c>
      <c r="H75" s="235" t="str">
        <f t="shared" ca="1" si="13"/>
        <v/>
      </c>
      <c r="I75" s="235" t="str">
        <f t="shared" ca="1" si="13"/>
        <v/>
      </c>
      <c r="J75" s="235" t="str">
        <f t="shared" ca="1" si="13"/>
        <v/>
      </c>
      <c r="K75" s="235" t="str">
        <f t="shared" ca="1" si="13"/>
        <v/>
      </c>
      <c r="L75" s="235" t="str">
        <f t="shared" ca="1" si="13"/>
        <v/>
      </c>
      <c r="M75" s="235" t="str">
        <f t="shared" ca="1" si="13"/>
        <v/>
      </c>
      <c r="N75" s="235" t="str">
        <f t="shared" ca="1" si="13"/>
        <v/>
      </c>
      <c r="O75" s="235" t="str">
        <f t="shared" ca="1" si="13"/>
        <v/>
      </c>
      <c r="P75" s="235" t="str">
        <f t="shared" ca="1" si="13"/>
        <v/>
      </c>
      <c r="Q75" s="235" t="str">
        <f t="shared" ca="1" si="13"/>
        <v/>
      </c>
      <c r="R75" s="235" t="str">
        <f t="shared" ca="1" si="13"/>
        <v/>
      </c>
      <c r="S75" s="235" t="str">
        <f t="shared" ca="1" si="13"/>
        <v/>
      </c>
      <c r="T75" s="235" t="str">
        <f t="shared" ca="1" si="13"/>
        <v/>
      </c>
      <c r="U75" s="235" t="str">
        <f t="shared" ca="1" si="13"/>
        <v/>
      </c>
      <c r="V75" s="235" t="str">
        <f t="shared" ca="1" si="13"/>
        <v/>
      </c>
      <c r="W75" s="235" t="str">
        <f t="shared" ca="1" si="13"/>
        <v/>
      </c>
      <c r="X75" s="235" t="str">
        <f t="shared" ca="1" si="13"/>
        <v/>
      </c>
      <c r="Y75" s="235" t="str">
        <f t="shared" ca="1" si="13"/>
        <v/>
      </c>
      <c r="Z75" s="235" t="str">
        <f t="shared" ca="1" si="13"/>
        <v/>
      </c>
      <c r="AA75" s="235" t="str">
        <f t="shared" ca="1" si="13"/>
        <v/>
      </c>
      <c r="AB75" s="235" t="str">
        <f t="shared" ca="1" si="13"/>
        <v/>
      </c>
      <c r="AC75" s="235" t="str">
        <f t="shared" ca="1" si="13"/>
        <v/>
      </c>
      <c r="AD75" s="235" t="str">
        <f t="shared" ca="1" si="13"/>
        <v/>
      </c>
      <c r="AE75" s="235" t="str">
        <f t="shared" ca="1" si="13"/>
        <v/>
      </c>
      <c r="AF75" s="235" t="str">
        <f t="shared" ca="1" si="13"/>
        <v/>
      </c>
      <c r="AG75" s="235" t="str">
        <f t="shared" ca="1" si="13"/>
        <v/>
      </c>
      <c r="AH75" s="235" t="str">
        <f t="shared" ca="1" si="13"/>
        <v/>
      </c>
      <c r="AI75" s="235" t="str">
        <f t="shared" ca="1" si="13"/>
        <v/>
      </c>
      <c r="AJ75" s="235" t="str">
        <f t="shared" ref="AJ75:BD75" ca="1" si="14">IFERROR(IF(ISTEXT((OFFSET(AJ$49,0,-BedStay_Mild))),0,(OFFSET(AJ$49,0,-BedStay_Mild))),"")</f>
        <v/>
      </c>
      <c r="AK75" s="235" t="str">
        <f t="shared" ca="1" si="14"/>
        <v/>
      </c>
      <c r="AL75" s="235" t="str">
        <f t="shared" ca="1" si="14"/>
        <v/>
      </c>
      <c r="AM75" s="235" t="str">
        <f t="shared" ca="1" si="14"/>
        <v/>
      </c>
      <c r="AN75" s="235" t="str">
        <f t="shared" ca="1" si="14"/>
        <v/>
      </c>
      <c r="AO75" s="235" t="str">
        <f t="shared" ca="1" si="14"/>
        <v/>
      </c>
      <c r="AP75" s="235" t="str">
        <f t="shared" ca="1" si="14"/>
        <v/>
      </c>
      <c r="AQ75" s="235" t="str">
        <f t="shared" ca="1" si="14"/>
        <v/>
      </c>
      <c r="AR75" s="235" t="str">
        <f t="shared" ca="1" si="14"/>
        <v/>
      </c>
      <c r="AS75" s="235" t="str">
        <f t="shared" ca="1" si="14"/>
        <v/>
      </c>
      <c r="AT75" s="235" t="str">
        <f t="shared" ca="1" si="14"/>
        <v/>
      </c>
      <c r="AU75" s="235" t="str">
        <f t="shared" ca="1" si="14"/>
        <v/>
      </c>
      <c r="AV75" s="235" t="str">
        <f t="shared" ca="1" si="14"/>
        <v/>
      </c>
      <c r="AW75" s="235" t="str">
        <f t="shared" ca="1" si="14"/>
        <v/>
      </c>
      <c r="AX75" s="235" t="str">
        <f t="shared" ca="1" si="14"/>
        <v/>
      </c>
      <c r="AY75" s="235" t="str">
        <f t="shared" ca="1" si="14"/>
        <v/>
      </c>
      <c r="AZ75" s="235" t="str">
        <f t="shared" ca="1" si="14"/>
        <v/>
      </c>
      <c r="BA75" s="235" t="str">
        <f t="shared" ca="1" si="14"/>
        <v/>
      </c>
      <c r="BB75" s="235" t="str">
        <f t="shared" ca="1" si="14"/>
        <v/>
      </c>
      <c r="BC75" s="235" t="str">
        <f t="shared" ca="1" si="14"/>
        <v/>
      </c>
      <c r="BD75" s="235" t="str">
        <f t="shared" ca="1" si="14"/>
        <v/>
      </c>
    </row>
    <row r="76" spans="2:70" s="129" customFormat="1" hidden="1" x14ac:dyDescent="0.35">
      <c r="B76" s="403" t="s">
        <v>1318</v>
      </c>
      <c r="C76" s="411" t="s">
        <v>1082</v>
      </c>
      <c r="D76" s="235" t="str">
        <f t="shared" ref="D76:AI76" ca="1" si="15">IFERROR(IF(ISTEXT((OFFSET(D$50,0,-BedStay_Moderate))),0,(OFFSET(D$50,0,-BedStay_Moderate))),"")</f>
        <v/>
      </c>
      <c r="E76" s="235" t="str">
        <f t="shared" ca="1" si="15"/>
        <v/>
      </c>
      <c r="F76" s="235" t="str">
        <f t="shared" ca="1" si="15"/>
        <v/>
      </c>
      <c r="G76" s="235" t="str">
        <f t="shared" ca="1" si="15"/>
        <v/>
      </c>
      <c r="H76" s="235" t="str">
        <f t="shared" ca="1" si="15"/>
        <v/>
      </c>
      <c r="I76" s="235" t="str">
        <f t="shared" ca="1" si="15"/>
        <v/>
      </c>
      <c r="J76" s="235" t="str">
        <f t="shared" ca="1" si="15"/>
        <v/>
      </c>
      <c r="K76" s="235" t="str">
        <f t="shared" ca="1" si="15"/>
        <v/>
      </c>
      <c r="L76" s="235" t="str">
        <f t="shared" ca="1" si="15"/>
        <v/>
      </c>
      <c r="M76" s="235" t="str">
        <f t="shared" ca="1" si="15"/>
        <v/>
      </c>
      <c r="N76" s="235" t="str">
        <f t="shared" ca="1" si="15"/>
        <v/>
      </c>
      <c r="O76" s="235" t="str">
        <f t="shared" ca="1" si="15"/>
        <v/>
      </c>
      <c r="P76" s="235" t="str">
        <f t="shared" ca="1" si="15"/>
        <v/>
      </c>
      <c r="Q76" s="235" t="str">
        <f t="shared" ca="1" si="15"/>
        <v/>
      </c>
      <c r="R76" s="235" t="str">
        <f t="shared" ca="1" si="15"/>
        <v/>
      </c>
      <c r="S76" s="235" t="str">
        <f t="shared" ca="1" si="15"/>
        <v/>
      </c>
      <c r="T76" s="235" t="str">
        <f t="shared" ca="1" si="15"/>
        <v/>
      </c>
      <c r="U76" s="235" t="str">
        <f t="shared" ca="1" si="15"/>
        <v/>
      </c>
      <c r="V76" s="235" t="str">
        <f t="shared" ca="1" si="15"/>
        <v/>
      </c>
      <c r="W76" s="235" t="str">
        <f t="shared" ca="1" si="15"/>
        <v/>
      </c>
      <c r="X76" s="235" t="str">
        <f t="shared" ca="1" si="15"/>
        <v/>
      </c>
      <c r="Y76" s="235" t="str">
        <f t="shared" ca="1" si="15"/>
        <v/>
      </c>
      <c r="Z76" s="235" t="str">
        <f t="shared" ca="1" si="15"/>
        <v/>
      </c>
      <c r="AA76" s="235" t="str">
        <f t="shared" ca="1" si="15"/>
        <v/>
      </c>
      <c r="AB76" s="235" t="str">
        <f t="shared" ca="1" si="15"/>
        <v/>
      </c>
      <c r="AC76" s="235" t="str">
        <f t="shared" ca="1" si="15"/>
        <v/>
      </c>
      <c r="AD76" s="235" t="str">
        <f t="shared" ca="1" si="15"/>
        <v/>
      </c>
      <c r="AE76" s="235" t="str">
        <f t="shared" ca="1" si="15"/>
        <v/>
      </c>
      <c r="AF76" s="235" t="str">
        <f t="shared" ca="1" si="15"/>
        <v/>
      </c>
      <c r="AG76" s="235" t="str">
        <f t="shared" ca="1" si="15"/>
        <v/>
      </c>
      <c r="AH76" s="235" t="str">
        <f t="shared" ca="1" si="15"/>
        <v/>
      </c>
      <c r="AI76" s="235" t="str">
        <f t="shared" ca="1" si="15"/>
        <v/>
      </c>
      <c r="AJ76" s="235" t="str">
        <f t="shared" ref="AJ76:BD76" ca="1" si="16">IFERROR(IF(ISTEXT((OFFSET(AJ$50,0,-BedStay_Moderate))),0,(OFFSET(AJ$50,0,-BedStay_Moderate))),"")</f>
        <v/>
      </c>
      <c r="AK76" s="235" t="str">
        <f t="shared" ca="1" si="16"/>
        <v/>
      </c>
      <c r="AL76" s="235" t="str">
        <f t="shared" ca="1" si="16"/>
        <v/>
      </c>
      <c r="AM76" s="235" t="str">
        <f t="shared" ca="1" si="16"/>
        <v/>
      </c>
      <c r="AN76" s="235" t="str">
        <f t="shared" ca="1" si="16"/>
        <v/>
      </c>
      <c r="AO76" s="235" t="str">
        <f t="shared" ca="1" si="16"/>
        <v/>
      </c>
      <c r="AP76" s="235" t="str">
        <f t="shared" ca="1" si="16"/>
        <v/>
      </c>
      <c r="AQ76" s="235" t="str">
        <f t="shared" ca="1" si="16"/>
        <v/>
      </c>
      <c r="AR76" s="235" t="str">
        <f t="shared" ca="1" si="16"/>
        <v/>
      </c>
      <c r="AS76" s="235" t="str">
        <f t="shared" ca="1" si="16"/>
        <v/>
      </c>
      <c r="AT76" s="235" t="str">
        <f t="shared" ca="1" si="16"/>
        <v/>
      </c>
      <c r="AU76" s="235" t="str">
        <f t="shared" ca="1" si="16"/>
        <v/>
      </c>
      <c r="AV76" s="235" t="str">
        <f t="shared" ca="1" si="16"/>
        <v/>
      </c>
      <c r="AW76" s="235" t="str">
        <f t="shared" ca="1" si="16"/>
        <v/>
      </c>
      <c r="AX76" s="235" t="str">
        <f t="shared" ca="1" si="16"/>
        <v/>
      </c>
      <c r="AY76" s="235" t="str">
        <f t="shared" ca="1" si="16"/>
        <v/>
      </c>
      <c r="AZ76" s="235" t="str">
        <f t="shared" ca="1" si="16"/>
        <v/>
      </c>
      <c r="BA76" s="235" t="str">
        <f t="shared" ca="1" si="16"/>
        <v/>
      </c>
      <c r="BB76" s="235" t="str">
        <f t="shared" ca="1" si="16"/>
        <v/>
      </c>
      <c r="BC76" s="235" t="str">
        <f t="shared" ca="1" si="16"/>
        <v/>
      </c>
      <c r="BD76" s="235" t="str">
        <f t="shared" ca="1" si="16"/>
        <v/>
      </c>
    </row>
    <row r="77" spans="2:70" s="6" customFormat="1" ht="13.5" customHeight="1" x14ac:dyDescent="0.35">
      <c r="C77" s="17" t="s">
        <v>1784</v>
      </c>
      <c r="D77" s="1258"/>
      <c r="E77" s="1258"/>
      <c r="F77" s="1258"/>
      <c r="G77" s="1258"/>
      <c r="H77" s="1258"/>
      <c r="I77" s="1258"/>
      <c r="J77" s="1258"/>
      <c r="K77" s="1258"/>
      <c r="L77" s="1258"/>
      <c r="M77" s="1258"/>
      <c r="N77" s="1258"/>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34"/>
      <c r="BF77" s="1259"/>
    </row>
    <row r="78" spans="2:70" s="5" customFormat="1" x14ac:dyDescent="0.35">
      <c r="C78" s="1263" t="s">
        <v>651</v>
      </c>
      <c r="D78" s="341">
        <f t="shared" ref="D78:AI78" ca="1" si="17">IFERROR(IF(ISTEXT((OFFSET(D$52,0,-BedStay_Severe))),0,(OFFSET(D$52,0,-BedStay_Severe))),0)</f>
        <v>0</v>
      </c>
      <c r="E78" s="341">
        <f t="shared" ca="1" si="17"/>
        <v>0.15</v>
      </c>
      <c r="F78" s="341">
        <f t="shared" ca="1" si="17"/>
        <v>0.44705811625212771</v>
      </c>
      <c r="G78" s="341">
        <f t="shared" ca="1" si="17"/>
        <v>1.5363188504487364</v>
      </c>
      <c r="H78" s="341">
        <f t="shared" ca="1" si="17"/>
        <v>5.2795211564764566</v>
      </c>
      <c r="I78" s="341">
        <f t="shared" ca="1" si="17"/>
        <v>18.142338916799165</v>
      </c>
      <c r="J78" s="341">
        <f t="shared" ca="1" si="17"/>
        <v>62.336500484542235</v>
      </c>
      <c r="K78" s="341">
        <f t="shared" ca="1" si="17"/>
        <v>214.1022124010056</v>
      </c>
      <c r="L78" s="341">
        <f ca="1">IFERROR(IF(ISTEXT((OFFSET(L$52,0,-BedStay_Severe))),0,(OFFSET(L$52,0,-BedStay_Severe))),0)</f>
        <v>0</v>
      </c>
      <c r="M78" s="341">
        <f t="shared" ca="1" si="17"/>
        <v>0</v>
      </c>
      <c r="N78" s="341">
        <f t="shared" ca="1" si="17"/>
        <v>0</v>
      </c>
      <c r="O78" s="341">
        <f t="shared" ca="1" si="17"/>
        <v>0</v>
      </c>
      <c r="P78" s="341">
        <f t="shared" ca="1" si="17"/>
        <v>0</v>
      </c>
      <c r="Q78" s="341">
        <f t="shared" ca="1" si="17"/>
        <v>0</v>
      </c>
      <c r="R78" s="341">
        <f t="shared" ca="1" si="17"/>
        <v>0</v>
      </c>
      <c r="S78" s="341">
        <f t="shared" ca="1" si="17"/>
        <v>0</v>
      </c>
      <c r="T78" s="341">
        <f t="shared" ca="1" si="17"/>
        <v>0</v>
      </c>
      <c r="U78" s="341">
        <f t="shared" ca="1" si="17"/>
        <v>0</v>
      </c>
      <c r="V78" s="341">
        <f t="shared" ca="1" si="17"/>
        <v>0</v>
      </c>
      <c r="W78" s="341">
        <f t="shared" ca="1" si="17"/>
        <v>0</v>
      </c>
      <c r="X78" s="341">
        <f t="shared" ca="1" si="17"/>
        <v>0</v>
      </c>
      <c r="Y78" s="341">
        <f t="shared" ca="1" si="17"/>
        <v>0</v>
      </c>
      <c r="Z78" s="341">
        <f t="shared" ca="1" si="17"/>
        <v>0</v>
      </c>
      <c r="AA78" s="341">
        <f t="shared" ca="1" si="17"/>
        <v>0</v>
      </c>
      <c r="AB78" s="341">
        <f t="shared" ca="1" si="17"/>
        <v>0</v>
      </c>
      <c r="AC78" s="341">
        <f t="shared" ca="1" si="17"/>
        <v>0</v>
      </c>
      <c r="AD78" s="341">
        <f t="shared" ca="1" si="17"/>
        <v>0</v>
      </c>
      <c r="AE78" s="341">
        <f t="shared" ca="1" si="17"/>
        <v>0</v>
      </c>
      <c r="AF78" s="341">
        <f t="shared" ca="1" si="17"/>
        <v>0</v>
      </c>
      <c r="AG78" s="341">
        <f t="shared" ca="1" si="17"/>
        <v>0</v>
      </c>
      <c r="AH78" s="341">
        <f t="shared" ca="1" si="17"/>
        <v>0</v>
      </c>
      <c r="AI78" s="341">
        <f t="shared" ca="1" si="17"/>
        <v>0</v>
      </c>
      <c r="AJ78" s="341">
        <f t="shared" ref="AJ78:BD78" ca="1" si="18">IFERROR(IF(ISTEXT((OFFSET(AJ$52,0,-BedStay_Severe))),0,(OFFSET(AJ$52,0,-BedStay_Severe))),0)</f>
        <v>0</v>
      </c>
      <c r="AK78" s="341">
        <f t="shared" ca="1" si="18"/>
        <v>0</v>
      </c>
      <c r="AL78" s="341">
        <f t="shared" ca="1" si="18"/>
        <v>0</v>
      </c>
      <c r="AM78" s="341">
        <f t="shared" ca="1" si="18"/>
        <v>0</v>
      </c>
      <c r="AN78" s="341">
        <f t="shared" ca="1" si="18"/>
        <v>0</v>
      </c>
      <c r="AO78" s="341">
        <f t="shared" ca="1" si="18"/>
        <v>0</v>
      </c>
      <c r="AP78" s="341">
        <f t="shared" ca="1" si="18"/>
        <v>0</v>
      </c>
      <c r="AQ78" s="341">
        <f t="shared" ca="1" si="18"/>
        <v>0</v>
      </c>
      <c r="AR78" s="341">
        <f t="shared" ca="1" si="18"/>
        <v>0</v>
      </c>
      <c r="AS78" s="341">
        <f t="shared" ca="1" si="18"/>
        <v>0</v>
      </c>
      <c r="AT78" s="341">
        <f t="shared" ca="1" si="18"/>
        <v>0</v>
      </c>
      <c r="AU78" s="341">
        <f t="shared" ca="1" si="18"/>
        <v>0</v>
      </c>
      <c r="AV78" s="341">
        <f t="shared" ca="1" si="18"/>
        <v>0</v>
      </c>
      <c r="AW78" s="341">
        <f t="shared" ca="1" si="18"/>
        <v>0</v>
      </c>
      <c r="AX78" s="341">
        <f t="shared" ca="1" si="18"/>
        <v>0</v>
      </c>
      <c r="AY78" s="341">
        <f t="shared" ca="1" si="18"/>
        <v>0</v>
      </c>
      <c r="AZ78" s="341">
        <f t="shared" ca="1" si="18"/>
        <v>0</v>
      </c>
      <c r="BA78" s="341">
        <f t="shared" ca="1" si="18"/>
        <v>0</v>
      </c>
      <c r="BB78" s="341">
        <f t="shared" ca="1" si="18"/>
        <v>0</v>
      </c>
      <c r="BC78" s="341">
        <f t="shared" ca="1" si="18"/>
        <v>0</v>
      </c>
      <c r="BD78" s="341">
        <f t="shared" ca="1" si="18"/>
        <v>0</v>
      </c>
      <c r="BE78" s="5" t="s">
        <v>1756</v>
      </c>
      <c r="BF78" s="1264"/>
    </row>
    <row r="79" spans="2:70" s="5" customFormat="1" x14ac:dyDescent="0.35">
      <c r="C79" s="1263" t="s">
        <v>652</v>
      </c>
      <c r="D79" s="341">
        <f t="shared" ref="D79:AI79" ca="1" si="19">IFERROR(IF(ISTEXT((OFFSET(D$53,0,-BedStay_Critical))),0,(OFFSET(D$53,0,-BedStay_Critical))),0)</f>
        <v>0</v>
      </c>
      <c r="E79" s="341">
        <f t="shared" ca="1" si="19"/>
        <v>0</v>
      </c>
      <c r="F79" s="341">
        <f t="shared" ca="1" si="19"/>
        <v>0.05</v>
      </c>
      <c r="G79" s="341">
        <f t="shared" ca="1" si="19"/>
        <v>0.14901937208404256</v>
      </c>
      <c r="H79" s="341">
        <f t="shared" ca="1" si="19"/>
        <v>0.51210628348291221</v>
      </c>
      <c r="I79" s="341">
        <f t="shared" ca="1" si="19"/>
        <v>1.7598403854921523</v>
      </c>
      <c r="J79" s="341">
        <f t="shared" ca="1" si="19"/>
        <v>6.0474463055997223</v>
      </c>
      <c r="K79" s="341">
        <f t="shared" ca="1" si="19"/>
        <v>20.778833494847415</v>
      </c>
      <c r="L79" s="341">
        <f t="shared" ca="1" si="19"/>
        <v>71.367404133668543</v>
      </c>
      <c r="M79" s="341">
        <f t="shared" ca="1" si="19"/>
        <v>0</v>
      </c>
      <c r="N79" s="341">
        <f t="shared" ca="1" si="19"/>
        <v>0</v>
      </c>
      <c r="O79" s="341">
        <f t="shared" ca="1" si="19"/>
        <v>0</v>
      </c>
      <c r="P79" s="341">
        <f t="shared" ca="1" si="19"/>
        <v>0</v>
      </c>
      <c r="Q79" s="341">
        <f t="shared" ca="1" si="19"/>
        <v>0</v>
      </c>
      <c r="R79" s="341">
        <f t="shared" ca="1" si="19"/>
        <v>0</v>
      </c>
      <c r="S79" s="341">
        <f t="shared" ca="1" si="19"/>
        <v>0</v>
      </c>
      <c r="T79" s="341">
        <f t="shared" ca="1" si="19"/>
        <v>0</v>
      </c>
      <c r="U79" s="341">
        <f t="shared" ca="1" si="19"/>
        <v>0</v>
      </c>
      <c r="V79" s="341">
        <f t="shared" ca="1" si="19"/>
        <v>0</v>
      </c>
      <c r="W79" s="341">
        <f t="shared" ca="1" si="19"/>
        <v>0</v>
      </c>
      <c r="X79" s="341">
        <f t="shared" ca="1" si="19"/>
        <v>0</v>
      </c>
      <c r="Y79" s="341">
        <f t="shared" ca="1" si="19"/>
        <v>0</v>
      </c>
      <c r="Z79" s="341">
        <f t="shared" ca="1" si="19"/>
        <v>0</v>
      </c>
      <c r="AA79" s="341">
        <f t="shared" ca="1" si="19"/>
        <v>0</v>
      </c>
      <c r="AB79" s="341">
        <f t="shared" ca="1" si="19"/>
        <v>0</v>
      </c>
      <c r="AC79" s="341">
        <f t="shared" ca="1" si="19"/>
        <v>0</v>
      </c>
      <c r="AD79" s="341">
        <f t="shared" ca="1" si="19"/>
        <v>0</v>
      </c>
      <c r="AE79" s="341">
        <f t="shared" ca="1" si="19"/>
        <v>0</v>
      </c>
      <c r="AF79" s="341">
        <f t="shared" ca="1" si="19"/>
        <v>0</v>
      </c>
      <c r="AG79" s="341">
        <f t="shared" ca="1" si="19"/>
        <v>0</v>
      </c>
      <c r="AH79" s="341">
        <f t="shared" ca="1" si="19"/>
        <v>0</v>
      </c>
      <c r="AI79" s="341">
        <f t="shared" ca="1" si="19"/>
        <v>0</v>
      </c>
      <c r="AJ79" s="341">
        <f t="shared" ref="AJ79:BD79" ca="1" si="20">IFERROR(IF(ISTEXT((OFFSET(AJ$53,0,-BedStay_Critical))),0,(OFFSET(AJ$53,0,-BedStay_Critical))),0)</f>
        <v>0</v>
      </c>
      <c r="AK79" s="341">
        <f t="shared" ca="1" si="20"/>
        <v>0</v>
      </c>
      <c r="AL79" s="341">
        <f t="shared" ca="1" si="20"/>
        <v>0</v>
      </c>
      <c r="AM79" s="341">
        <f t="shared" ca="1" si="20"/>
        <v>0</v>
      </c>
      <c r="AN79" s="341">
        <f t="shared" ca="1" si="20"/>
        <v>0</v>
      </c>
      <c r="AO79" s="341">
        <f t="shared" ca="1" si="20"/>
        <v>0</v>
      </c>
      <c r="AP79" s="341">
        <f t="shared" ca="1" si="20"/>
        <v>0</v>
      </c>
      <c r="AQ79" s="341">
        <f t="shared" ca="1" si="20"/>
        <v>0</v>
      </c>
      <c r="AR79" s="341">
        <f t="shared" ca="1" si="20"/>
        <v>0</v>
      </c>
      <c r="AS79" s="341">
        <f t="shared" ca="1" si="20"/>
        <v>0</v>
      </c>
      <c r="AT79" s="341">
        <f t="shared" ca="1" si="20"/>
        <v>0</v>
      </c>
      <c r="AU79" s="341">
        <f t="shared" ca="1" si="20"/>
        <v>0</v>
      </c>
      <c r="AV79" s="341">
        <f t="shared" ca="1" si="20"/>
        <v>0</v>
      </c>
      <c r="AW79" s="341">
        <f t="shared" ca="1" si="20"/>
        <v>0</v>
      </c>
      <c r="AX79" s="341">
        <f t="shared" ca="1" si="20"/>
        <v>0</v>
      </c>
      <c r="AY79" s="341">
        <f t="shared" ca="1" si="20"/>
        <v>0</v>
      </c>
      <c r="AZ79" s="341">
        <f t="shared" ca="1" si="20"/>
        <v>0</v>
      </c>
      <c r="BA79" s="341">
        <f t="shared" ca="1" si="20"/>
        <v>0</v>
      </c>
      <c r="BB79" s="341">
        <f t="shared" ca="1" si="20"/>
        <v>0</v>
      </c>
      <c r="BC79" s="341">
        <f t="shared" ca="1" si="20"/>
        <v>0</v>
      </c>
      <c r="BD79" s="341">
        <f t="shared" ca="1" si="20"/>
        <v>0</v>
      </c>
    </row>
    <row r="80" spans="2:70" x14ac:dyDescent="0.35">
      <c r="E80" s="41"/>
      <c r="F80" s="41"/>
      <c r="G80" s="41"/>
      <c r="H80" s="41"/>
      <c r="I80" s="41"/>
      <c r="J80" s="41"/>
      <c r="K80" s="41"/>
      <c r="L80" s="41"/>
      <c r="M80" s="41"/>
      <c r="N80" s="41"/>
      <c r="O80" s="41"/>
      <c r="P80" s="41"/>
      <c r="Q80" s="41"/>
      <c r="R80" s="41"/>
      <c r="T80" s="41"/>
      <c r="U80" s="41"/>
      <c r="V80" s="41"/>
      <c r="W80" s="41"/>
      <c r="X80" s="41"/>
      <c r="Y80" s="41"/>
      <c r="Z80" s="41"/>
      <c r="AA80" s="41"/>
      <c r="AB80" s="41"/>
      <c r="AC80" s="41"/>
      <c r="AD80" s="41"/>
      <c r="BE80"/>
      <c r="BF80"/>
      <c r="BG80"/>
      <c r="BH80"/>
      <c r="BI80"/>
      <c r="BJ80"/>
      <c r="BK80"/>
      <c r="BL80"/>
      <c r="BM80"/>
      <c r="BN80"/>
      <c r="BO80"/>
      <c r="BP80"/>
      <c r="BQ80"/>
      <c r="BR80"/>
    </row>
    <row r="81" spans="2:70" s="25" customFormat="1" collapsed="1" x14ac:dyDescent="0.35">
      <c r="C81" s="175" t="s">
        <v>997</v>
      </c>
    </row>
    <row r="82" spans="2:70" s="6" customFormat="1" x14ac:dyDescent="0.35">
      <c r="B82" s="315" t="s">
        <v>917</v>
      </c>
      <c r="C82" s="17" t="s">
        <v>1789</v>
      </c>
      <c r="BF82" s="909"/>
      <c r="BG82" s="909"/>
      <c r="BH82" s="909"/>
    </row>
    <row r="83" spans="2:70" s="129" customFormat="1" x14ac:dyDescent="0.35">
      <c r="B83" s="316" t="s">
        <v>916</v>
      </c>
      <c r="C83" s="3" t="s">
        <v>919</v>
      </c>
      <c r="D83" s="314">
        <f ca="1">SUM(D84:D85)</f>
        <v>0.2</v>
      </c>
      <c r="E83" s="314">
        <f t="shared" ref="E83:BD83" ca="1" si="21">SUM(E84:E85)</f>
        <v>0.72597748833617026</v>
      </c>
      <c r="F83" s="314">
        <f t="shared" ca="1" si="21"/>
        <v>2.4605774626059915</v>
      </c>
      <c r="G83" s="314">
        <f t="shared" ca="1" si="21"/>
        <v>8.4443233524992358</v>
      </c>
      <c r="H83" s="314">
        <f ca="1">SUM(H84:H85)</f>
        <v>29.017903685648957</v>
      </c>
      <c r="I83" s="314">
        <f t="shared" ca="1" si="21"/>
        <v>99.706519674083808</v>
      </c>
      <c r="J83" s="314">
        <f t="shared" ca="1" si="21"/>
        <v>342.47674910708758</v>
      </c>
      <c r="K83" s="314">
        <f t="shared" ca="1" si="21"/>
        <v>195.80193268669456</v>
      </c>
      <c r="L83" s="314">
        <f t="shared" ca="1" si="21"/>
        <v>35.683702066834272</v>
      </c>
      <c r="M83" s="314">
        <f t="shared" ca="1" si="21"/>
        <v>0</v>
      </c>
      <c r="N83" s="314">
        <f t="shared" ca="1" si="21"/>
        <v>0</v>
      </c>
      <c r="O83" s="314">
        <f t="shared" ca="1" si="21"/>
        <v>0</v>
      </c>
      <c r="P83" s="314">
        <f t="shared" ca="1" si="21"/>
        <v>0</v>
      </c>
      <c r="Q83" s="314">
        <f t="shared" ca="1" si="21"/>
        <v>0</v>
      </c>
      <c r="R83" s="314">
        <f t="shared" ca="1" si="21"/>
        <v>0</v>
      </c>
      <c r="S83" s="314">
        <f t="shared" ca="1" si="21"/>
        <v>0</v>
      </c>
      <c r="T83" s="314">
        <f t="shared" ca="1" si="21"/>
        <v>0</v>
      </c>
      <c r="U83" s="314">
        <f t="shared" ca="1" si="21"/>
        <v>0</v>
      </c>
      <c r="V83" s="314">
        <f t="shared" ca="1" si="21"/>
        <v>0</v>
      </c>
      <c r="W83" s="314">
        <f t="shared" ca="1" si="21"/>
        <v>0</v>
      </c>
      <c r="X83" s="314">
        <f t="shared" ca="1" si="21"/>
        <v>0</v>
      </c>
      <c r="Y83" s="314">
        <f t="shared" ca="1" si="21"/>
        <v>0</v>
      </c>
      <c r="Z83" s="314">
        <f t="shared" ca="1" si="21"/>
        <v>0</v>
      </c>
      <c r="AA83" s="314">
        <f t="shared" ca="1" si="21"/>
        <v>0</v>
      </c>
      <c r="AB83" s="314">
        <f t="shared" ca="1" si="21"/>
        <v>0</v>
      </c>
      <c r="AC83" s="314">
        <f t="shared" ca="1" si="21"/>
        <v>0</v>
      </c>
      <c r="AD83" s="314">
        <f t="shared" ca="1" si="21"/>
        <v>0</v>
      </c>
      <c r="AE83" s="314">
        <f t="shared" ca="1" si="21"/>
        <v>0</v>
      </c>
      <c r="AF83" s="314">
        <f t="shared" ca="1" si="21"/>
        <v>0</v>
      </c>
      <c r="AG83" s="314">
        <f t="shared" ca="1" si="21"/>
        <v>0</v>
      </c>
      <c r="AH83" s="314">
        <f t="shared" ca="1" si="21"/>
        <v>0</v>
      </c>
      <c r="AI83" s="314">
        <f t="shared" ca="1" si="21"/>
        <v>0</v>
      </c>
      <c r="AJ83" s="314">
        <f t="shared" ca="1" si="21"/>
        <v>0</v>
      </c>
      <c r="AK83" s="314">
        <f t="shared" ca="1" si="21"/>
        <v>0</v>
      </c>
      <c r="AL83" s="314">
        <f t="shared" ca="1" si="21"/>
        <v>0</v>
      </c>
      <c r="AM83" s="314">
        <f t="shared" ca="1" si="21"/>
        <v>0</v>
      </c>
      <c r="AN83" s="314">
        <f t="shared" ca="1" si="21"/>
        <v>0</v>
      </c>
      <c r="AO83" s="314">
        <f t="shared" ca="1" si="21"/>
        <v>0</v>
      </c>
      <c r="AP83" s="314">
        <f t="shared" ca="1" si="21"/>
        <v>0</v>
      </c>
      <c r="AQ83" s="314">
        <f t="shared" ca="1" si="21"/>
        <v>0</v>
      </c>
      <c r="AR83" s="314">
        <f t="shared" ca="1" si="21"/>
        <v>0</v>
      </c>
      <c r="AS83" s="314">
        <f t="shared" ca="1" si="21"/>
        <v>0</v>
      </c>
      <c r="AT83" s="314">
        <f t="shared" ca="1" si="21"/>
        <v>0</v>
      </c>
      <c r="AU83" s="314">
        <f t="shared" ca="1" si="21"/>
        <v>0</v>
      </c>
      <c r="AV83" s="314">
        <f t="shared" ca="1" si="21"/>
        <v>0</v>
      </c>
      <c r="AW83" s="314">
        <f t="shared" ca="1" si="21"/>
        <v>0</v>
      </c>
      <c r="AX83" s="314">
        <f t="shared" ca="1" si="21"/>
        <v>0</v>
      </c>
      <c r="AY83" s="314">
        <f t="shared" ca="1" si="21"/>
        <v>0</v>
      </c>
      <c r="AZ83" s="314">
        <f t="shared" ca="1" si="21"/>
        <v>0</v>
      </c>
      <c r="BA83" s="314">
        <f t="shared" ca="1" si="21"/>
        <v>0</v>
      </c>
      <c r="BB83" s="314">
        <f t="shared" ca="1" si="21"/>
        <v>0</v>
      </c>
      <c r="BC83" s="314">
        <f t="shared" ca="1" si="21"/>
        <v>0</v>
      </c>
      <c r="BD83" s="314">
        <f t="shared" ca="1" si="21"/>
        <v>0</v>
      </c>
      <c r="BF83" s="318">
        <f ca="1">SUMIFS($D83:$BD83,$D$40:$BD$40,"&lt;="&amp;WeekSuppliedUntil+MAX(BedStay_Critical,BedStay_Severe),$D$40:$BD$40,"&gt;="&amp;Start_week_for_forecasting)</f>
        <v>714.31768552379049</v>
      </c>
      <c r="BG83" s="5"/>
      <c r="BH83" s="318">
        <f t="array" aca="1" ref="BH83" ca="1">MAX(IF(D$40:BD$40&gt;=Start_week_for_forecasting,IF(D$40:BD$40&lt;=WeekSuppliedUntil,D83:BD83)))</f>
        <v>342.47674910708758</v>
      </c>
    </row>
    <row r="84" spans="2:70" x14ac:dyDescent="0.35">
      <c r="B84" s="316" t="s">
        <v>916</v>
      </c>
      <c r="C84" s="328" t="s">
        <v>945</v>
      </c>
      <c r="D84" s="298">
        <f>IFERROR(IF(D46=0,0,SUM(D46:D47)*'User Dashboard'!$J$19),0)</f>
        <v>0.2</v>
      </c>
      <c r="E84" s="298">
        <f>IFERROR(IF(E46=0,0,SUM(E46:E47)*'User Dashboard'!$J$19),0)</f>
        <v>0.59607748833617025</v>
      </c>
      <c r="F84" s="298">
        <f>IFERROR(IF(F46=0,0,SUM(F46:F47)*'User Dashboard'!$J$19),0)</f>
        <v>2.0484251339316488</v>
      </c>
      <c r="G84" s="298">
        <f>IFERROR(IF(G46=0,0,SUM(G46:G47)*'User Dashboard'!$J$19),0)</f>
        <v>7.0393615419686091</v>
      </c>
      <c r="H84" s="298">
        <f>IFERROR(IF(H46=0,0,SUM(H46:H47)*'User Dashboard'!$J$19),0)</f>
        <v>24.189785222398889</v>
      </c>
      <c r="I84" s="298">
        <f>IFERROR(IF(I46=0,0,SUM(I46:I47)*'User Dashboard'!$J$19),0)</f>
        <v>83.115333979389646</v>
      </c>
      <c r="J84" s="298">
        <f>IFERROR(IF(J46=0,0,SUM(J46:J47)*'User Dashboard'!$J$19),0)</f>
        <v>285.46961653467417</v>
      </c>
      <c r="K84" s="298">
        <f>IFERROR(IF(K46=0,0,SUM(K46:K47)*'User Dashboard'!$J$19),0)</f>
        <v>0</v>
      </c>
      <c r="L84" s="298">
        <f>IFERROR(IF(L46=0,0,SUM(L46:L47)*'User Dashboard'!$J$19),0)</f>
        <v>0</v>
      </c>
      <c r="M84" s="298">
        <f>IFERROR(IF(M46=0,0,SUM(M46:M47)*'User Dashboard'!$J$19),0)</f>
        <v>0</v>
      </c>
      <c r="N84" s="298">
        <f>IFERROR(IF(N46=0,0,SUM(N46:N47)*'User Dashboard'!$J$19),0)</f>
        <v>0</v>
      </c>
      <c r="O84" s="298">
        <f>IFERROR(IF(O46=0,0,SUM(O46:O47)*'User Dashboard'!$J$19),0)</f>
        <v>0</v>
      </c>
      <c r="P84" s="298">
        <f>IFERROR(IF(P46=0,0,SUM(P46:P47)*'User Dashboard'!$J$19),0)</f>
        <v>0</v>
      </c>
      <c r="Q84" s="298">
        <f>IFERROR(IF(Q46=0,0,SUM(Q46:Q47)*'User Dashboard'!$J$19),0)</f>
        <v>0</v>
      </c>
      <c r="R84" s="298">
        <f>IFERROR(IF(R46=0,0,SUM(R46:R47)*'User Dashboard'!$J$19),0)</f>
        <v>0</v>
      </c>
      <c r="S84" s="298">
        <f>IFERROR(IF(S46=0,0,SUM(S46:S47)*'User Dashboard'!$J$19),0)</f>
        <v>0</v>
      </c>
      <c r="T84" s="298">
        <f>IFERROR(IF(T46=0,0,SUM(T46:T47)*'User Dashboard'!$J$19),0)</f>
        <v>0</v>
      </c>
      <c r="U84" s="298">
        <f>IFERROR(IF(U46=0,0,SUM(U46:U47)*'User Dashboard'!$J$19),0)</f>
        <v>0</v>
      </c>
      <c r="V84" s="298">
        <f>IFERROR(IF(V46=0,0,SUM(V46:V47)*'User Dashboard'!$J$19),0)</f>
        <v>0</v>
      </c>
      <c r="W84" s="298">
        <f>IFERROR(IF(W46=0,0,SUM(W46:W47)*'User Dashboard'!$J$19),0)</f>
        <v>0</v>
      </c>
      <c r="X84" s="298">
        <f>IFERROR(IF(X46=0,0,SUM(X46:X47)*'User Dashboard'!$J$19),0)</f>
        <v>0</v>
      </c>
      <c r="Y84" s="298">
        <f>IFERROR(IF(Y46=0,0,SUM(Y46:Y47)*'User Dashboard'!$J$19),0)</f>
        <v>0</v>
      </c>
      <c r="Z84" s="298">
        <f>IFERROR(IF(Z46=0,0,SUM(Z46:Z47)*'User Dashboard'!$J$19),0)</f>
        <v>0</v>
      </c>
      <c r="AA84" s="298">
        <f>IFERROR(IF(AA46=0,0,SUM(AA46:AA47)*'User Dashboard'!$J$19),0)</f>
        <v>0</v>
      </c>
      <c r="AB84" s="298">
        <f>IFERROR(IF(AB46=0,0,SUM(AB46:AB47)*'User Dashboard'!$J$19),0)</f>
        <v>0</v>
      </c>
      <c r="AC84" s="298">
        <f>IFERROR(IF(AC46=0,0,SUM(AC46:AC47)*'User Dashboard'!$J$19),0)</f>
        <v>0</v>
      </c>
      <c r="AD84" s="298">
        <f>IFERROR(IF(AD46=0,0,SUM(AD46:AD47)*'User Dashboard'!$J$19),0)</f>
        <v>0</v>
      </c>
      <c r="AE84" s="298">
        <f>IFERROR(IF(AE46=0,0,SUM(AE46:AE47)*'User Dashboard'!$J$19),0)</f>
        <v>0</v>
      </c>
      <c r="AF84" s="298">
        <f>IFERROR(IF(AF46=0,0,SUM(AF46:AF47)*'User Dashboard'!$J$19),0)</f>
        <v>0</v>
      </c>
      <c r="AG84" s="298">
        <f>IFERROR(IF(AG46=0,0,SUM(AG46:AG47)*'User Dashboard'!$J$19),0)</f>
        <v>0</v>
      </c>
      <c r="AH84" s="298">
        <f>IFERROR(IF(AH46=0,0,SUM(AH46:AH47)*'User Dashboard'!$J$19),0)</f>
        <v>0</v>
      </c>
      <c r="AI84" s="298">
        <f>IFERROR(IF(AI46=0,0,SUM(AI46:AI47)*'User Dashboard'!$J$19),0)</f>
        <v>0</v>
      </c>
      <c r="AJ84" s="298">
        <f>IFERROR(IF(AJ46=0,0,SUM(AJ46:AJ47)*'User Dashboard'!$J$19),0)</f>
        <v>0</v>
      </c>
      <c r="AK84" s="298">
        <f>IFERROR(IF(AK46=0,0,SUM(AK46:AK47)*'User Dashboard'!$J$19),0)</f>
        <v>0</v>
      </c>
      <c r="AL84" s="298">
        <f>IFERROR(IF(AL46=0,0,SUM(AL46:AL47)*'User Dashboard'!$J$19),0)</f>
        <v>0</v>
      </c>
      <c r="AM84" s="298">
        <f>IFERROR(IF(AM46=0,0,SUM(AM46:AM47)*'User Dashboard'!$J$19),0)</f>
        <v>0</v>
      </c>
      <c r="AN84" s="298">
        <f>IFERROR(IF(AN46=0,0,SUM(AN46:AN47)*'User Dashboard'!$J$19),0)</f>
        <v>0</v>
      </c>
      <c r="AO84" s="298">
        <f>IFERROR(IF(AO46=0,0,SUM(AO46:AO47)*'User Dashboard'!$J$19),0)</f>
        <v>0</v>
      </c>
      <c r="AP84" s="298">
        <f>IFERROR(IF(AP46=0,0,SUM(AP46:AP47)*'User Dashboard'!$J$19),0)</f>
        <v>0</v>
      </c>
      <c r="AQ84" s="298">
        <f>IFERROR(IF(AQ46=0,0,SUM(AQ46:AQ47)*'User Dashboard'!$J$19),0)</f>
        <v>0</v>
      </c>
      <c r="AR84" s="298">
        <f>IFERROR(IF(AR46=0,0,SUM(AR46:AR47)*'User Dashboard'!$J$19),0)</f>
        <v>0</v>
      </c>
      <c r="AS84" s="298">
        <f>IFERROR(IF(AS46=0,0,SUM(AS46:AS47)*'User Dashboard'!$J$19),0)</f>
        <v>0</v>
      </c>
      <c r="AT84" s="298">
        <f>IFERROR(IF(AT46=0,0,SUM(AT46:AT47)*'User Dashboard'!$J$19),0)</f>
        <v>0</v>
      </c>
      <c r="AU84" s="298">
        <f>IFERROR(IF(AU46=0,0,SUM(AU46:AU47)*'User Dashboard'!$J$19),0)</f>
        <v>0</v>
      </c>
      <c r="AV84" s="298">
        <f>IFERROR(IF(AV46=0,0,SUM(AV46:AV47)*'User Dashboard'!$J$19),0)</f>
        <v>0</v>
      </c>
      <c r="AW84" s="298">
        <f>IFERROR(IF(AW46=0,0,SUM(AW46:AW47)*'User Dashboard'!$J$19),0)</f>
        <v>0</v>
      </c>
      <c r="AX84" s="298">
        <f>IFERROR(IF(AX46=0,0,SUM(AX46:AX47)*'User Dashboard'!$J$19),0)</f>
        <v>0</v>
      </c>
      <c r="AY84" s="298">
        <f>IFERROR(IF(AY46=0,0,SUM(AY46:AY47)*'User Dashboard'!$J$19),0)</f>
        <v>0</v>
      </c>
      <c r="AZ84" s="298">
        <f>IFERROR(IF(AZ46=0,0,SUM(AZ46:AZ47)*'User Dashboard'!$J$19),0)</f>
        <v>0</v>
      </c>
      <c r="BA84" s="298">
        <f>IFERROR(IF(BA46=0,0,SUM(BA46:BA47)*'User Dashboard'!$J$19),0)</f>
        <v>0</v>
      </c>
      <c r="BB84" s="298">
        <f>IFERROR(IF(BB46=0,0,SUM(BB46:BB47)*'User Dashboard'!$J$19),0)</f>
        <v>0</v>
      </c>
      <c r="BC84" s="298">
        <f>IFERROR(IF(BC46=0,0,SUM(BC46:BC47)*'User Dashboard'!$J$19),0)</f>
        <v>0</v>
      </c>
      <c r="BD84" s="298">
        <f>IFERROR(IF(BD46=0,0,SUM(BD46:BD47)*'User Dashboard'!$J$19),0)</f>
        <v>0</v>
      </c>
      <c r="BE84"/>
      <c r="BF84" s="1269">
        <f>SUMIFS($D84:$BD84,$D$40:$BD$40,"&lt;="&amp;WeekSuppliedUntil+MAX(BedStay_Critical,BedStay_Severe),$D$40:$BD$40,"&gt;="&amp;Start_week_for_forecasting)</f>
        <v>402.45859990069914</v>
      </c>
      <c r="BG84" s="5"/>
      <c r="BH84" s="1269">
        <f t="array" ref="BH84">MAX(IF(D$40:BD$40&gt;=Start_week_for_forecasting,IF(D$40:BD$40&lt;=WeekSuppliedUntil,D84:BD84)))</f>
        <v>285.46961653467417</v>
      </c>
      <c r="BI84"/>
      <c r="BJ84"/>
      <c r="BK84"/>
      <c r="BL84"/>
      <c r="BM84"/>
      <c r="BN84"/>
      <c r="BO84"/>
      <c r="BP84"/>
      <c r="BQ84"/>
      <c r="BR84"/>
    </row>
    <row r="85" spans="2:70" s="129" customFormat="1" x14ac:dyDescent="0.35">
      <c r="B85" s="316" t="s">
        <v>916</v>
      </c>
      <c r="C85" s="328" t="s">
        <v>950</v>
      </c>
      <c r="D85" s="298">
        <f ca="1">IFERROR(IF(D73="","",D73*(1-Inputs!$I$53)*Tests_for_release)+D74*(1-Inputs!$I$54)*Tests_for_release,0)</f>
        <v>0</v>
      </c>
      <c r="E85" s="298">
        <f ca="1">IFERROR(IF(E73="","",E73*(1-Inputs!$I$53)*Tests_for_release)+E74*(1-Inputs!$I$54)*Tests_for_release,0)</f>
        <v>0.12989999999999999</v>
      </c>
      <c r="F85" s="298">
        <f ca="1">IFERROR(IF(F73="","",F73*(1-Inputs!$I$53)*Tests_for_release)+F74*(1-Inputs!$I$54)*Tests_for_release,0)</f>
        <v>0.41215232867434259</v>
      </c>
      <c r="G85" s="298">
        <f ca="1">IFERROR(IF(G73="","",G73*(1-Inputs!$I$53)*Tests_for_release)+G74*(1-Inputs!$I$54)*Tests_for_release,0)</f>
        <v>1.404961810530627</v>
      </c>
      <c r="H85" s="298">
        <f ca="1">IFERROR(IF(H73="","",H73*(1-Inputs!$I$53)*Tests_for_release)+H74*(1-Inputs!$I$54)*Tests_for_release,0)</f>
        <v>4.8281184632500675</v>
      </c>
      <c r="I85" s="298">
        <f ca="1">IFERROR(IF(I73="","",I73*(1-Inputs!$I$53)*Tests_for_release)+I74*(1-Inputs!$I$54)*Tests_for_release,0)</f>
        <v>16.591185694694154</v>
      </c>
      <c r="J85" s="298">
        <f ca="1">IFERROR(IF(J73="","",J73*(1-Inputs!$I$53)*Tests_for_release)+J74*(1-Inputs!$I$54)*Tests_for_release,0)</f>
        <v>57.007132572413433</v>
      </c>
      <c r="K85" s="298">
        <f ca="1">IFERROR(IF(K73="","",K73*(1-Inputs!$I$53)*Tests_for_release)+K74*(1-Inputs!$I$54)*Tests_for_release,0)</f>
        <v>195.80193268669456</v>
      </c>
      <c r="L85" s="298">
        <f ca="1">IFERROR(IF(L73="","",L73*(1-Inputs!$I$53)*Tests_for_release)+L74*(1-Inputs!$I$54)*Tests_for_release,0)</f>
        <v>35.683702066834272</v>
      </c>
      <c r="M85" s="298">
        <f ca="1">IFERROR(IF(M73="","",M73*(1-Inputs!$I$53)*Tests_for_release)+M74*(1-Inputs!$I$54)*Tests_for_release,0)</f>
        <v>0</v>
      </c>
      <c r="N85" s="298">
        <f ca="1">IFERROR(IF(N73="","",N73*(1-Inputs!$I$53)*Tests_for_release)+N74*(1-Inputs!$I$54)*Tests_for_release,0)</f>
        <v>0</v>
      </c>
      <c r="O85" s="298">
        <f ca="1">IFERROR(IF(O73="","",O73*(1-Inputs!$I$53)*Tests_for_release)+O74*(1-Inputs!$I$54)*Tests_for_release,0)</f>
        <v>0</v>
      </c>
      <c r="P85" s="298">
        <f ca="1">IFERROR(IF(P73="","",P73*(1-Inputs!$I$53)*Tests_for_release)+P74*(1-Inputs!$I$54)*Tests_for_release,0)</f>
        <v>0</v>
      </c>
      <c r="Q85" s="298">
        <f ca="1">IFERROR(IF(Q73="","",Q73*(1-Inputs!$I$53)*Tests_for_release)+Q74*(1-Inputs!$I$54)*Tests_for_release,0)</f>
        <v>0</v>
      </c>
      <c r="R85" s="298">
        <f ca="1">IFERROR(IF(R73="","",R73*(1-Inputs!$I$53)*Tests_for_release)+R74*(1-Inputs!$I$54)*Tests_for_release,0)</f>
        <v>0</v>
      </c>
      <c r="S85" s="298">
        <f ca="1">IFERROR(IF(S73="","",S73*(1-Inputs!$I$53)*Tests_for_release)+S74*(1-Inputs!$I$54)*Tests_for_release,0)</f>
        <v>0</v>
      </c>
      <c r="T85" s="298">
        <f ca="1">IFERROR(IF(T73="","",T73*(1-Inputs!$I$53)*Tests_for_release)+T74*(1-Inputs!$I$54)*Tests_for_release,0)</f>
        <v>0</v>
      </c>
      <c r="U85" s="298">
        <f ca="1">IFERROR(IF(U73="","",U73*(1-Inputs!$I$53)*Tests_for_release)+U74*(1-Inputs!$I$54)*Tests_for_release,0)</f>
        <v>0</v>
      </c>
      <c r="V85" s="298">
        <f ca="1">IFERROR(IF(V73="","",V73*(1-Inputs!$I$53)*Tests_for_release)+V74*(1-Inputs!$I$54)*Tests_for_release,0)</f>
        <v>0</v>
      </c>
      <c r="W85" s="298">
        <f ca="1">IFERROR(IF(W73="","",W73*(1-Inputs!$I$53)*Tests_for_release)+W74*(1-Inputs!$I$54)*Tests_for_release,0)</f>
        <v>0</v>
      </c>
      <c r="X85" s="298">
        <f ca="1">IFERROR(IF(X73="","",X73*(1-Inputs!$I$53)*Tests_for_release)+X74*(1-Inputs!$I$54)*Tests_for_release,0)</f>
        <v>0</v>
      </c>
      <c r="Y85" s="298">
        <f ca="1">IFERROR(IF(Y73="","",Y73*(1-Inputs!$I$53)*Tests_for_release)+Y74*(1-Inputs!$I$54)*Tests_for_release,0)</f>
        <v>0</v>
      </c>
      <c r="Z85" s="298">
        <f ca="1">IFERROR(IF(Z73="","",Z73*(1-Inputs!$I$53)*Tests_for_release)+Z74*(1-Inputs!$I$54)*Tests_for_release,0)</f>
        <v>0</v>
      </c>
      <c r="AA85" s="298">
        <f ca="1">IFERROR(IF(AA73="","",AA73*(1-Inputs!$I$53)*Tests_for_release)+AA74*(1-Inputs!$I$54)*Tests_for_release,0)</f>
        <v>0</v>
      </c>
      <c r="AB85" s="298">
        <f ca="1">IFERROR(IF(AB73="","",AB73*(1-Inputs!$I$53)*Tests_for_release)+AB74*(1-Inputs!$I$54)*Tests_for_release,0)</f>
        <v>0</v>
      </c>
      <c r="AC85" s="298">
        <f ca="1">IFERROR(IF(AC73="","",AC73*(1-Inputs!$I$53)*Tests_for_release)+AC74*(1-Inputs!$I$54)*Tests_for_release,0)</f>
        <v>0</v>
      </c>
      <c r="AD85" s="298">
        <f ca="1">IFERROR(IF(AD73="","",AD73*(1-Inputs!$I$53)*Tests_for_release)+AD74*(1-Inputs!$I$54)*Tests_for_release,0)</f>
        <v>0</v>
      </c>
      <c r="AE85" s="298">
        <f ca="1">IFERROR(IF(AE73="","",AE73*(1-Inputs!$I$53)*Tests_for_release)+AE74*(1-Inputs!$I$54)*Tests_for_release,0)</f>
        <v>0</v>
      </c>
      <c r="AF85" s="298">
        <f ca="1">IFERROR(IF(AF73="","",AF73*(1-Inputs!$I$53)*Tests_for_release)+AF74*(1-Inputs!$I$54)*Tests_for_release,0)</f>
        <v>0</v>
      </c>
      <c r="AG85" s="298">
        <f ca="1">IFERROR(IF(AG73="","",AG73*(1-Inputs!$I$53)*Tests_for_release)+AG74*(1-Inputs!$I$54)*Tests_for_release,0)</f>
        <v>0</v>
      </c>
      <c r="AH85" s="298">
        <f ca="1">IFERROR(IF(AH73="","",AH73*(1-Inputs!$I$53)*Tests_for_release)+AH74*(1-Inputs!$I$54)*Tests_for_release,0)</f>
        <v>0</v>
      </c>
      <c r="AI85" s="298">
        <f ca="1">IFERROR(IF(AI73="","",AI73*(1-Inputs!$I$53)*Tests_for_release)+AI74*(1-Inputs!$I$54)*Tests_for_release,0)</f>
        <v>0</v>
      </c>
      <c r="AJ85" s="298">
        <f ca="1">IFERROR(IF(AJ73="","",AJ73*(1-Inputs!$I$53)*Tests_for_release)+AJ74*(1-Inputs!$I$54)*Tests_for_release,0)</f>
        <v>0</v>
      </c>
      <c r="AK85" s="298">
        <f ca="1">IFERROR(IF(AK73="","",AK73*(1-Inputs!$I$53)*Tests_for_release)+AK74*(1-Inputs!$I$54)*Tests_for_release,0)</f>
        <v>0</v>
      </c>
      <c r="AL85" s="298">
        <f ca="1">IFERROR(IF(AL73="","",AL73*(1-Inputs!$I$53)*Tests_for_release)+AL74*(1-Inputs!$I$54)*Tests_for_release,0)</f>
        <v>0</v>
      </c>
      <c r="AM85" s="298">
        <f ca="1">IFERROR(IF(AM73="","",AM73*(1-Inputs!$I$53)*Tests_for_release)+AM74*(1-Inputs!$I$54)*Tests_for_release,0)</f>
        <v>0</v>
      </c>
      <c r="AN85" s="298">
        <f ca="1">IFERROR(IF(AN73="","",AN73*(1-Inputs!$I$53)*Tests_for_release)+AN74*(1-Inputs!$I$54)*Tests_for_release,0)</f>
        <v>0</v>
      </c>
      <c r="AO85" s="298">
        <f ca="1">IFERROR(IF(AO73="","",AO73*(1-Inputs!$I$53)*Tests_for_release)+AO74*(1-Inputs!$I$54)*Tests_for_release,0)</f>
        <v>0</v>
      </c>
      <c r="AP85" s="298">
        <f ca="1">IFERROR(IF(AP73="","",AP73*(1-Inputs!$I$53)*Tests_for_release)+AP74*(1-Inputs!$I$54)*Tests_for_release,0)</f>
        <v>0</v>
      </c>
      <c r="AQ85" s="298">
        <f ca="1">IFERROR(IF(AQ73="","",AQ73*(1-Inputs!$I$53)*Tests_for_release)+AQ74*(1-Inputs!$I$54)*Tests_for_release,0)</f>
        <v>0</v>
      </c>
      <c r="AR85" s="298">
        <f ca="1">IFERROR(IF(AR73="","",AR73*(1-Inputs!$I$53)*Tests_for_release)+AR74*(1-Inputs!$I$54)*Tests_for_release,0)</f>
        <v>0</v>
      </c>
      <c r="AS85" s="298">
        <f ca="1">IFERROR(IF(AS73="","",AS73*(1-Inputs!$I$53)*Tests_for_release)+AS74*(1-Inputs!$I$54)*Tests_for_release,0)</f>
        <v>0</v>
      </c>
      <c r="AT85" s="298">
        <f ca="1">IFERROR(IF(AT73="","",AT73*(1-Inputs!$I$53)*Tests_for_release)+AT74*(1-Inputs!$I$54)*Tests_for_release,0)</f>
        <v>0</v>
      </c>
      <c r="AU85" s="298">
        <f ca="1">IFERROR(IF(AU73="","",AU73*(1-Inputs!$I$53)*Tests_for_release)+AU74*(1-Inputs!$I$54)*Tests_for_release,0)</f>
        <v>0</v>
      </c>
      <c r="AV85" s="298">
        <f ca="1">IFERROR(IF(AV73="","",AV73*(1-Inputs!$I$53)*Tests_for_release)+AV74*(1-Inputs!$I$54)*Tests_for_release,0)</f>
        <v>0</v>
      </c>
      <c r="AW85" s="298">
        <f ca="1">IFERROR(IF(AW73="","",AW73*(1-Inputs!$I$53)*Tests_for_release)+AW74*(1-Inputs!$I$54)*Tests_for_release,0)</f>
        <v>0</v>
      </c>
      <c r="AX85" s="298">
        <f ca="1">IFERROR(IF(AX73="","",AX73*(1-Inputs!$I$53)*Tests_for_release)+AX74*(1-Inputs!$I$54)*Tests_for_release,0)</f>
        <v>0</v>
      </c>
      <c r="AY85" s="298">
        <f ca="1">IFERROR(IF(AY73="","",AY73*(1-Inputs!$I$53)*Tests_for_release)+AY74*(1-Inputs!$I$54)*Tests_for_release,0)</f>
        <v>0</v>
      </c>
      <c r="AZ85" s="298">
        <f ca="1">IFERROR(IF(AZ73="","",AZ73*(1-Inputs!$I$53)*Tests_for_release)+AZ74*(1-Inputs!$I$54)*Tests_for_release,0)</f>
        <v>0</v>
      </c>
      <c r="BA85" s="298">
        <f ca="1">IFERROR(IF(BA73="","",BA73*(1-Inputs!$I$53)*Tests_for_release)+BA74*(1-Inputs!$I$54)*Tests_for_release,0)</f>
        <v>0</v>
      </c>
      <c r="BB85" s="298">
        <f ca="1">IFERROR(IF(BB73="","",BB73*(1-Inputs!$I$53)*Tests_for_release)+BB74*(1-Inputs!$I$54)*Tests_for_release,0)</f>
        <v>0</v>
      </c>
      <c r="BC85" s="298">
        <f ca="1">IFERROR(IF(BC73="","",BC73*(1-Inputs!$I$53)*Tests_for_release)+BC74*(1-Inputs!$I$54)*Tests_for_release,0)</f>
        <v>0</v>
      </c>
      <c r="BD85" s="298">
        <f ca="1">IFERROR(IF(BD73="","",BD73*(1-Inputs!$I$53)*Tests_for_release)+BD74*(1-Inputs!$I$54)*Tests_for_release,0)</f>
        <v>0</v>
      </c>
      <c r="BF85" s="1269">
        <f ca="1">SUMIFS($D85:$BD85,$D$40:$BD$40,"&lt;="&amp;WeekSuppliedUntil+MAX(BedStay_Critical,BedStay_Severe),$D$40:$BD$40,"&gt;="&amp;Start_week_for_forecasting)</f>
        <v>311.85908562309146</v>
      </c>
      <c r="BG85" s="5"/>
      <c r="BH85" s="1269">
        <f t="array" aca="1" ref="BH85" ca="1">MAX(IF(D$40:BD$40&gt;=Start_week_for_forecasting,IF(D$40:BD$40&lt;=WeekSuppliedUntil,D85:BD85)))</f>
        <v>57.007132572413433</v>
      </c>
    </row>
    <row r="86" spans="2:70" s="6" customFormat="1" x14ac:dyDescent="0.35">
      <c r="B86" s="316" t="s">
        <v>943</v>
      </c>
      <c r="C86" s="39" t="s">
        <v>918</v>
      </c>
      <c r="D86" s="314">
        <f ca="1">SUM(D87:D88)</f>
        <v>0.2</v>
      </c>
      <c r="E86" s="314">
        <f t="shared" ref="E86:BD86" ca="1" si="22">SUM(E87:E88)</f>
        <v>0.72597748833617026</v>
      </c>
      <c r="F86" s="314">
        <f t="shared" ca="1" si="22"/>
        <v>2.4605774626059915</v>
      </c>
      <c r="G86" s="314">
        <f t="shared" ca="1" si="22"/>
        <v>8.4443233524992358</v>
      </c>
      <c r="H86" s="314">
        <f ca="1">SUM(H87:H88)</f>
        <v>29.017903685648957</v>
      </c>
      <c r="I86" s="314">
        <f t="shared" ca="1" si="22"/>
        <v>99.706519674083808</v>
      </c>
      <c r="J86" s="314">
        <f t="shared" ca="1" si="22"/>
        <v>342.47674910708758</v>
      </c>
      <c r="K86" s="314">
        <f t="shared" ca="1" si="22"/>
        <v>195.80193268669456</v>
      </c>
      <c r="L86" s="314">
        <f ca="1">SUM(L87:L88)</f>
        <v>35.683702066834272</v>
      </c>
      <c r="M86" s="314">
        <f t="shared" ca="1" si="22"/>
        <v>0</v>
      </c>
      <c r="N86" s="314">
        <f t="shared" ca="1" si="22"/>
        <v>0</v>
      </c>
      <c r="O86" s="314">
        <f t="shared" ca="1" si="22"/>
        <v>0</v>
      </c>
      <c r="P86" s="314">
        <f t="shared" ca="1" si="22"/>
        <v>0</v>
      </c>
      <c r="Q86" s="314">
        <f t="shared" ca="1" si="22"/>
        <v>0</v>
      </c>
      <c r="R86" s="314">
        <f t="shared" ca="1" si="22"/>
        <v>0</v>
      </c>
      <c r="S86" s="314">
        <f t="shared" ca="1" si="22"/>
        <v>0</v>
      </c>
      <c r="T86" s="314">
        <f t="shared" ca="1" si="22"/>
        <v>0</v>
      </c>
      <c r="U86" s="314">
        <f t="shared" ca="1" si="22"/>
        <v>0</v>
      </c>
      <c r="V86" s="314">
        <f t="shared" ca="1" si="22"/>
        <v>0</v>
      </c>
      <c r="W86" s="314">
        <f ca="1">SUM(W87:W88)</f>
        <v>0</v>
      </c>
      <c r="X86" s="314">
        <f t="shared" ca="1" si="22"/>
        <v>0</v>
      </c>
      <c r="Y86" s="314">
        <f t="shared" ca="1" si="22"/>
        <v>0</v>
      </c>
      <c r="Z86" s="314">
        <f t="shared" ca="1" si="22"/>
        <v>0</v>
      </c>
      <c r="AA86" s="314">
        <f t="shared" ca="1" si="22"/>
        <v>0</v>
      </c>
      <c r="AB86" s="314">
        <f t="shared" ca="1" si="22"/>
        <v>0</v>
      </c>
      <c r="AC86" s="314">
        <f t="shared" ca="1" si="22"/>
        <v>0</v>
      </c>
      <c r="AD86" s="314">
        <f t="shared" ca="1" si="22"/>
        <v>0</v>
      </c>
      <c r="AE86" s="314">
        <f t="shared" ca="1" si="22"/>
        <v>0</v>
      </c>
      <c r="AF86" s="314">
        <f t="shared" ca="1" si="22"/>
        <v>0</v>
      </c>
      <c r="AG86" s="314">
        <f t="shared" ca="1" si="22"/>
        <v>0</v>
      </c>
      <c r="AH86" s="314">
        <f t="shared" ca="1" si="22"/>
        <v>0</v>
      </c>
      <c r="AI86" s="314">
        <f t="shared" ca="1" si="22"/>
        <v>0</v>
      </c>
      <c r="AJ86" s="314">
        <f t="shared" ca="1" si="22"/>
        <v>0</v>
      </c>
      <c r="AK86" s="314">
        <f t="shared" ca="1" si="22"/>
        <v>0</v>
      </c>
      <c r="AL86" s="314">
        <f t="shared" ca="1" si="22"/>
        <v>0</v>
      </c>
      <c r="AM86" s="314">
        <f t="shared" ca="1" si="22"/>
        <v>0</v>
      </c>
      <c r="AN86" s="314">
        <f t="shared" ca="1" si="22"/>
        <v>0</v>
      </c>
      <c r="AO86" s="314">
        <f t="shared" ca="1" si="22"/>
        <v>0</v>
      </c>
      <c r="AP86" s="314">
        <f t="shared" ca="1" si="22"/>
        <v>0</v>
      </c>
      <c r="AQ86" s="314">
        <f t="shared" ca="1" si="22"/>
        <v>0</v>
      </c>
      <c r="AR86" s="314">
        <f t="shared" ca="1" si="22"/>
        <v>0</v>
      </c>
      <c r="AS86" s="314">
        <f t="shared" ca="1" si="22"/>
        <v>0</v>
      </c>
      <c r="AT86" s="314">
        <f t="shared" ca="1" si="22"/>
        <v>0</v>
      </c>
      <c r="AU86" s="314">
        <f t="shared" ca="1" si="22"/>
        <v>0</v>
      </c>
      <c r="AV86" s="314">
        <f t="shared" ca="1" si="22"/>
        <v>0</v>
      </c>
      <c r="AW86" s="314">
        <f t="shared" ca="1" si="22"/>
        <v>0</v>
      </c>
      <c r="AX86" s="314">
        <f t="shared" ca="1" si="22"/>
        <v>0</v>
      </c>
      <c r="AY86" s="314">
        <f t="shared" ca="1" si="22"/>
        <v>0</v>
      </c>
      <c r="AZ86" s="314">
        <f t="shared" ca="1" si="22"/>
        <v>0</v>
      </c>
      <c r="BA86" s="314">
        <f t="shared" ca="1" si="22"/>
        <v>0</v>
      </c>
      <c r="BB86" s="314">
        <f t="shared" ca="1" si="22"/>
        <v>0</v>
      </c>
      <c r="BC86" s="314">
        <f t="shared" ca="1" si="22"/>
        <v>0</v>
      </c>
      <c r="BD86" s="314">
        <f t="shared" ca="1" si="22"/>
        <v>0</v>
      </c>
      <c r="BE86" s="3"/>
      <c r="BF86" s="318">
        <f ca="1">SUMIFS($D86:$BD86,$D$40:$BD$40,"&lt;="&amp;WeekSuppliedUntil,$D$40:$BD$40,"&gt;="&amp;Start_week_for_forecasting)</f>
        <v>482.83205077026173</v>
      </c>
      <c r="BG86" s="3"/>
      <c r="BH86" s="318">
        <f t="array" aca="1" ref="BH86" ca="1">MAX(IF(D$40:BD$40&gt;=Start_week_for_forecasting,IF(D$40:BD$40&lt;=WeekSuppliedUntil,D86:BD86)))</f>
        <v>342.47674910708758</v>
      </c>
    </row>
    <row r="87" spans="2:70" s="129" customFormat="1" x14ac:dyDescent="0.35">
      <c r="B87" s="316" t="s">
        <v>943</v>
      </c>
      <c r="C87" s="328" t="s">
        <v>945</v>
      </c>
      <c r="D87" s="300">
        <f ca="1">IFERROR(IF(D52=0,0,SUM(D52:D53)*'User Dashboard'!$J$19),0)</f>
        <v>0.2</v>
      </c>
      <c r="E87" s="300">
        <f ca="1">IFERROR(IF(E52=0,0,SUM(E52:E53)*'User Dashboard'!$J$19),0)</f>
        <v>0.59607748833617025</v>
      </c>
      <c r="F87" s="300">
        <f ca="1">IFERROR(IF(F52=0,0,SUM(F52:F53)*'User Dashboard'!$J$19),0)</f>
        <v>2.0484251339316488</v>
      </c>
      <c r="G87" s="300">
        <f ca="1">IFERROR(IF(G52=0,0,SUM(G52:G53)*'User Dashboard'!$J$19),0)</f>
        <v>7.0393615419686091</v>
      </c>
      <c r="H87" s="300">
        <f ca="1">IFERROR(IF(H52=0,0,SUM(H52:H53)*'User Dashboard'!$J$19),0)</f>
        <v>24.189785222398889</v>
      </c>
      <c r="I87" s="300">
        <f ca="1">IFERROR(IF(I52=0,0,SUM(I52:I53)*'User Dashboard'!$J$19),0)</f>
        <v>83.115333979389646</v>
      </c>
      <c r="J87" s="300">
        <f ca="1">IFERROR(IF(J52=0,0,SUM(J52:J53)*'User Dashboard'!$J$19),0)</f>
        <v>285.46961653467417</v>
      </c>
      <c r="K87" s="300">
        <f ca="1">IFERROR(IF(K52=0,0,SUM(K52:K53)*'User Dashboard'!$J$19),0)</f>
        <v>0</v>
      </c>
      <c r="L87" s="300">
        <f ca="1">IFERROR(IF(L52=0,0,SUM(L52:L53)*'User Dashboard'!$J$19),0)</f>
        <v>0</v>
      </c>
      <c r="M87" s="300">
        <f ca="1">IFERROR(IF(M52=0,0,SUM(M52:M53)*'User Dashboard'!$J$19),0)</f>
        <v>0</v>
      </c>
      <c r="N87" s="300">
        <f ca="1">IFERROR(IF(N52=0,0,SUM(N52:N53)*'User Dashboard'!$J$19),0)</f>
        <v>0</v>
      </c>
      <c r="O87" s="300">
        <f ca="1">IFERROR(IF(O52=0,0,SUM(O52:O53)*'User Dashboard'!$J$19),0)</f>
        <v>0</v>
      </c>
      <c r="P87" s="300">
        <f ca="1">IFERROR(IF(P52=0,0,SUM(P52:P53)*'User Dashboard'!$J$19),0)</f>
        <v>0</v>
      </c>
      <c r="Q87" s="300">
        <f ca="1">IFERROR(IF(Q52=0,0,SUM(Q52:Q53)*'User Dashboard'!$J$19),0)</f>
        <v>0</v>
      </c>
      <c r="R87" s="300">
        <f ca="1">IFERROR(IF(R52=0,0,SUM(R52:R53)*'User Dashboard'!$J$19),0)</f>
        <v>0</v>
      </c>
      <c r="S87" s="300">
        <f ca="1">IFERROR(IF(S52=0,0,SUM(S52:S53)*'User Dashboard'!$J$19),0)</f>
        <v>0</v>
      </c>
      <c r="T87" s="300">
        <f ca="1">IFERROR(IF(T52=0,0,SUM(T52:T53)*'User Dashboard'!$J$19),0)</f>
        <v>0</v>
      </c>
      <c r="U87" s="300">
        <f ca="1">IFERROR(IF(U52=0,0,SUM(U52:U53)*'User Dashboard'!$J$19),0)</f>
        <v>0</v>
      </c>
      <c r="V87" s="300">
        <f ca="1">IFERROR(IF(V52=0,0,SUM(V52:V53)*'User Dashboard'!$J$19),0)</f>
        <v>0</v>
      </c>
      <c r="W87" s="300">
        <f ca="1">IFERROR(IF(W52=0,0,SUM(W52:W53)*'User Dashboard'!$J$19),0)</f>
        <v>0</v>
      </c>
      <c r="X87" s="300">
        <f ca="1">IFERROR(IF(X52=0,0,SUM(X52:X53)*'User Dashboard'!$J$19),0)</f>
        <v>0</v>
      </c>
      <c r="Y87" s="300">
        <f ca="1">IFERROR(IF(Y52=0,0,SUM(Y52:Y53)*'User Dashboard'!$J$19),0)</f>
        <v>0</v>
      </c>
      <c r="Z87" s="300">
        <f ca="1">IFERROR(IF(Z52=0,0,SUM(Z52:Z53)*'User Dashboard'!$J$19),0)</f>
        <v>0</v>
      </c>
      <c r="AA87" s="300">
        <f ca="1">IFERROR(IF(AA52=0,0,SUM(AA52:AA53)*'User Dashboard'!$J$19),0)</f>
        <v>0</v>
      </c>
      <c r="AB87" s="300">
        <f ca="1">IFERROR(IF(AB52=0,0,SUM(AB52:AB53)*'User Dashboard'!$J$19),0)</f>
        <v>0</v>
      </c>
      <c r="AC87" s="300">
        <f ca="1">IFERROR(IF(AC52=0,0,SUM(AC52:AC53)*'User Dashboard'!$J$19),0)</f>
        <v>0</v>
      </c>
      <c r="AD87" s="300">
        <f ca="1">IFERROR(IF(AD52=0,0,SUM(AD52:AD53)*'User Dashboard'!$J$19),0)</f>
        <v>0</v>
      </c>
      <c r="AE87" s="300">
        <f ca="1">IFERROR(IF(AE52=0,0,SUM(AE52:AE53)*'User Dashboard'!$J$19),0)</f>
        <v>0</v>
      </c>
      <c r="AF87" s="300">
        <f ca="1">IFERROR(IF(AF52=0,0,SUM(AF52:AF53)*'User Dashboard'!$J$19),0)</f>
        <v>0</v>
      </c>
      <c r="AG87" s="300">
        <f ca="1">IFERROR(IF(AG52=0,0,SUM(AG52:AG53)*'User Dashboard'!$J$19),0)</f>
        <v>0</v>
      </c>
      <c r="AH87" s="300">
        <f ca="1">IFERROR(IF(AH52=0,0,SUM(AH52:AH53)*'User Dashboard'!$J$19),0)</f>
        <v>0</v>
      </c>
      <c r="AI87" s="300">
        <f ca="1">IFERROR(IF(AI52=0,0,SUM(AI52:AI53)*'User Dashboard'!$J$19),0)</f>
        <v>0</v>
      </c>
      <c r="AJ87" s="300">
        <f ca="1">IFERROR(IF(AJ52=0,0,SUM(AJ52:AJ53)*'User Dashboard'!$J$19),0)</f>
        <v>0</v>
      </c>
      <c r="AK87" s="300">
        <f ca="1">IFERROR(IF(AK52=0,0,SUM(AK52:AK53)*'User Dashboard'!$J$19),0)</f>
        <v>0</v>
      </c>
      <c r="AL87" s="300">
        <f ca="1">IFERROR(IF(AL52=0,0,SUM(AL52:AL53)*'User Dashboard'!$J$19),0)</f>
        <v>0</v>
      </c>
      <c r="AM87" s="300">
        <f ca="1">IFERROR(IF(AM52=0,0,SUM(AM52:AM53)*'User Dashboard'!$J$19),0)</f>
        <v>0</v>
      </c>
      <c r="AN87" s="300">
        <f ca="1">IFERROR(IF(AN52=0,0,SUM(AN52:AN53)*'User Dashboard'!$J$19),0)</f>
        <v>0</v>
      </c>
      <c r="AO87" s="300">
        <f ca="1">IFERROR(IF(AO52=0,0,SUM(AO52:AO53)*'User Dashboard'!$J$19),0)</f>
        <v>0</v>
      </c>
      <c r="AP87" s="300">
        <f ca="1">IFERROR(IF(AP52=0,0,SUM(AP52:AP53)*'User Dashboard'!$J$19),0)</f>
        <v>0</v>
      </c>
      <c r="AQ87" s="300">
        <f ca="1">IFERROR(IF(AQ52=0,0,SUM(AQ52:AQ53)*'User Dashboard'!$J$19),0)</f>
        <v>0</v>
      </c>
      <c r="AR87" s="300">
        <f ca="1">IFERROR(IF(AR52=0,0,SUM(AR52:AR53)*'User Dashboard'!$J$19),0)</f>
        <v>0</v>
      </c>
      <c r="AS87" s="300">
        <f ca="1">IFERROR(IF(AS52=0,0,SUM(AS52:AS53)*'User Dashboard'!$J$19),0)</f>
        <v>0</v>
      </c>
      <c r="AT87" s="300">
        <f ca="1">IFERROR(IF(AT52=0,0,SUM(AT52:AT53)*'User Dashboard'!$J$19),0)</f>
        <v>0</v>
      </c>
      <c r="AU87" s="300">
        <f ca="1">IFERROR(IF(AU52=0,0,SUM(AU52:AU53)*'User Dashboard'!$J$19),0)</f>
        <v>0</v>
      </c>
      <c r="AV87" s="300">
        <f ca="1">IFERROR(IF(AV52=0,0,SUM(AV52:AV53)*'User Dashboard'!$J$19),0)</f>
        <v>0</v>
      </c>
      <c r="AW87" s="300">
        <f ca="1">IFERROR(IF(AW52=0,0,SUM(AW52:AW53)*'User Dashboard'!$J$19),0)</f>
        <v>0</v>
      </c>
      <c r="AX87" s="300">
        <f ca="1">IFERROR(IF(AX52=0,0,SUM(AX52:AX53)*'User Dashboard'!$J$19),0)</f>
        <v>0</v>
      </c>
      <c r="AY87" s="300">
        <f ca="1">IFERROR(IF(AY52=0,0,SUM(AY52:AY53)*'User Dashboard'!$J$19),0)</f>
        <v>0</v>
      </c>
      <c r="AZ87" s="300">
        <f ca="1">IFERROR(IF(AZ52=0,0,SUM(AZ52:AZ53)*'User Dashboard'!$J$19),0)</f>
        <v>0</v>
      </c>
      <c r="BA87" s="300">
        <f ca="1">IFERROR(IF(BA52=0,0,SUM(BA52:BA53)*'User Dashboard'!$J$19),0)</f>
        <v>0</v>
      </c>
      <c r="BB87" s="300">
        <f ca="1">IFERROR(IF(BB52=0,0,SUM(BB52:BB53)*'User Dashboard'!$J$19),0)</f>
        <v>0</v>
      </c>
      <c r="BC87" s="300">
        <f ca="1">IFERROR(IF(BC52=0,0,SUM(BC52:BC53)*'User Dashboard'!$J$19),0)</f>
        <v>0</v>
      </c>
      <c r="BD87" s="300">
        <f ca="1">IFERROR(IF(BD52=0,0,SUM(BD52:BD53)*'User Dashboard'!$J$19),0)</f>
        <v>0</v>
      </c>
      <c r="BF87" s="1269">
        <f ca="1">SUMIFS($D87:$BD87,$D$40:$BD$40,"&lt;="&amp;WeekSuppliedUntil,$D$40:$BD$40,"&gt;="&amp;Start_week_for_forecasting)</f>
        <v>402.45859990069914</v>
      </c>
      <c r="BG87" s="5"/>
      <c r="BH87" s="1269">
        <f t="array" aca="1" ref="BH87" ca="1">MAX(IF(D$40:BD$40&gt;=Start_week_for_forecasting,IF(D$40:BD$40&lt;=WeekSuppliedUntil,D87:BD87)))</f>
        <v>285.46961653467417</v>
      </c>
    </row>
    <row r="88" spans="2:70" s="129" customFormat="1" x14ac:dyDescent="0.35">
      <c r="B88" s="316" t="s">
        <v>943</v>
      </c>
      <c r="C88" s="328" t="s">
        <v>950</v>
      </c>
      <c r="D88" s="300">
        <f ca="1">IFERROR(IF(D78="","",D78*(1-Inputs!$I$53)*Tests_for_release)+D79*(1-Inputs!$I$54)*Tests_for_release,0)</f>
        <v>0</v>
      </c>
      <c r="E88" s="300">
        <f ca="1">IFERROR(IF(E78="","",E78*(1-Inputs!$I$53)*Tests_for_release)+E79*(1-Inputs!$I$54)*Tests_for_release,0)</f>
        <v>0.12989999999999999</v>
      </c>
      <c r="F88" s="300">
        <f ca="1">IFERROR(IF(F78="","",F78*(1-Inputs!$I$53)*Tests_for_release)+F79*(1-Inputs!$I$54)*Tests_for_release,0)</f>
        <v>0.41215232867434259</v>
      </c>
      <c r="G88" s="300">
        <f ca="1">IFERROR(IF(G78="","",G78*(1-Inputs!$I$53)*Tests_for_release)+G79*(1-Inputs!$I$54)*Tests_for_release,0)</f>
        <v>1.404961810530627</v>
      </c>
      <c r="H88" s="300">
        <f ca="1">IFERROR(IF(H78="","",H78*(1-Inputs!$I$53)*Tests_for_release)+H79*(1-Inputs!$I$54)*Tests_for_release,0)</f>
        <v>4.8281184632500675</v>
      </c>
      <c r="I88" s="300">
        <f ca="1">IFERROR(IF(I78="","",I78*(1-Inputs!$I$53)*Tests_for_release)+I79*(1-Inputs!$I$54)*Tests_for_release,0)</f>
        <v>16.591185694694154</v>
      </c>
      <c r="J88" s="300">
        <f ca="1">IFERROR(IF(J78="","",J78*(1-Inputs!$I$53)*Tests_for_release)+J79*(1-Inputs!$I$54)*Tests_for_release,0)</f>
        <v>57.007132572413433</v>
      </c>
      <c r="K88" s="300">
        <f ca="1">IFERROR(IF(K78="","",K78*(1-Inputs!$I$53)*Tests_for_release)+K79*(1-Inputs!$I$54)*Tests_for_release,0)</f>
        <v>195.80193268669456</v>
      </c>
      <c r="L88" s="300">
        <f ca="1">IFERROR(IF(L78="","",L78*(1-Inputs!$I$53)*Tests_for_release)+L79*(1-Inputs!$I$54)*Tests_for_release,0)</f>
        <v>35.683702066834272</v>
      </c>
      <c r="M88" s="300">
        <f ca="1">IFERROR(IF(M78="","",M78*(1-Inputs!$I$53)*Tests_for_release)+M79*(1-Inputs!$I$54)*Tests_for_release,0)</f>
        <v>0</v>
      </c>
      <c r="N88" s="300">
        <f ca="1">IFERROR(IF(N78="","",N78*(1-Inputs!$I$53)*Tests_for_release)+N79*(1-Inputs!$I$54)*Tests_for_release,0)</f>
        <v>0</v>
      </c>
      <c r="O88" s="300">
        <f ca="1">IFERROR(IF(O78="","",O78*(1-Inputs!$I$53)*Tests_for_release)+O79*(1-Inputs!$I$54)*Tests_for_release,0)</f>
        <v>0</v>
      </c>
      <c r="P88" s="300">
        <f ca="1">IFERROR(IF(P78="","",P78*(1-Inputs!$I$53)*Tests_for_release)+P79*(1-Inputs!$I$54)*Tests_for_release,0)</f>
        <v>0</v>
      </c>
      <c r="Q88" s="300">
        <f ca="1">IFERROR(IF(Q78="","",Q78*(1-Inputs!$I$53)*Tests_for_release)+Q79*(1-Inputs!$I$54)*Tests_for_release,0)</f>
        <v>0</v>
      </c>
      <c r="R88" s="300">
        <f ca="1">IFERROR(IF(R78="","",R78*(1-Inputs!$I$53)*Tests_for_release)+R79*(1-Inputs!$I$54)*Tests_for_release,0)</f>
        <v>0</v>
      </c>
      <c r="S88" s="300">
        <f ca="1">IFERROR(IF(S78="","",S78*(1-Inputs!$I$53)*Tests_for_release)+S79*(1-Inputs!$I$54)*Tests_for_release,0)</f>
        <v>0</v>
      </c>
      <c r="T88" s="300">
        <f ca="1">IFERROR(IF(T78="","",T78*(1-Inputs!$I$53)*Tests_for_release)+T79*(1-Inputs!$I$54)*Tests_for_release,0)</f>
        <v>0</v>
      </c>
      <c r="U88" s="300">
        <f ca="1">IFERROR(IF(U78="","",U78*(1-Inputs!$I$53)*Tests_for_release)+U79*(1-Inputs!$I$54)*Tests_for_release,0)</f>
        <v>0</v>
      </c>
      <c r="V88" s="300">
        <f ca="1">IFERROR(IF(V78="","",V78*(1-Inputs!$I$53)*Tests_for_release)+V79*(1-Inputs!$I$54)*Tests_for_release,0)</f>
        <v>0</v>
      </c>
      <c r="W88" s="300">
        <f ca="1">IFERROR(IF(W78="","",W78*(1-Inputs!$I$53)*Tests_for_release)+W79*(1-Inputs!$I$54)*Tests_for_release,0)</f>
        <v>0</v>
      </c>
      <c r="X88" s="300">
        <f ca="1">IFERROR(IF(X78="","",X78*(1-Inputs!$I$53)*Tests_for_release)+X79*(1-Inputs!$I$54)*Tests_for_release,0)</f>
        <v>0</v>
      </c>
      <c r="Y88" s="300">
        <f ca="1">IFERROR(IF(Y78="","",Y78*(1-Inputs!$I$53)*Tests_for_release)+Y79*(1-Inputs!$I$54)*Tests_for_release,0)</f>
        <v>0</v>
      </c>
      <c r="Z88" s="300">
        <f ca="1">IFERROR(IF(Z78="","",Z78*(1-Inputs!$I$53)*Tests_for_release)+Z79*(1-Inputs!$I$54)*Tests_for_release,0)</f>
        <v>0</v>
      </c>
      <c r="AA88" s="300">
        <f ca="1">IFERROR(IF(AA78="","",AA78*(1-Inputs!$I$53)*Tests_for_release)+AA79*(1-Inputs!$I$54)*Tests_for_release,0)</f>
        <v>0</v>
      </c>
      <c r="AB88" s="300">
        <f ca="1">IFERROR(IF(AB78="","",AB78*(1-Inputs!$I$53)*Tests_for_release)+AB79*(1-Inputs!$I$54)*Tests_for_release,0)</f>
        <v>0</v>
      </c>
      <c r="AC88" s="300">
        <f ca="1">IFERROR(IF(AC78="","",AC78*(1-Inputs!$I$53)*Tests_for_release)+AC79*(1-Inputs!$I$54)*Tests_for_release,0)</f>
        <v>0</v>
      </c>
      <c r="AD88" s="300">
        <f ca="1">IFERROR(IF(AD78="","",AD78*(1-Inputs!$I$53)*Tests_for_release)+AD79*(1-Inputs!$I$54)*Tests_for_release,0)</f>
        <v>0</v>
      </c>
      <c r="AE88" s="300">
        <f ca="1">IFERROR(IF(AE78="","",AE78*(1-Inputs!$I$53)*Tests_for_release)+AE79*(1-Inputs!$I$54)*Tests_for_release,0)</f>
        <v>0</v>
      </c>
      <c r="AF88" s="300">
        <f ca="1">IFERROR(IF(AF78="","",AF78*(1-Inputs!$I$53)*Tests_for_release)+AF79*(1-Inputs!$I$54)*Tests_for_release,0)</f>
        <v>0</v>
      </c>
      <c r="AG88" s="300">
        <f ca="1">IFERROR(IF(AG78="","",AG78*(1-Inputs!$I$53)*Tests_for_release)+AG79*(1-Inputs!$I$54)*Tests_for_release,0)</f>
        <v>0</v>
      </c>
      <c r="AH88" s="300">
        <f ca="1">IFERROR(IF(AH78="","",AH78*(1-Inputs!$I$53)*Tests_for_release)+AH79*(1-Inputs!$I$54)*Tests_for_release,0)</f>
        <v>0</v>
      </c>
      <c r="AI88" s="300">
        <f ca="1">IFERROR(IF(AI78="","",AI78*(1-Inputs!$I$53)*Tests_for_release)+AI79*(1-Inputs!$I$54)*Tests_for_release,0)</f>
        <v>0</v>
      </c>
      <c r="AJ88" s="300">
        <f ca="1">IFERROR(IF(AJ78="","",AJ78*(1-Inputs!$I$53)*Tests_for_release)+AJ79*(1-Inputs!$I$54)*Tests_for_release,0)</f>
        <v>0</v>
      </c>
      <c r="AK88" s="300">
        <f ca="1">IFERROR(IF(AK78="","",AK78*(1-Inputs!$I$53)*Tests_for_release)+AK79*(1-Inputs!$I$54)*Tests_for_release,0)</f>
        <v>0</v>
      </c>
      <c r="AL88" s="300">
        <f ca="1">IFERROR(IF(AL78="","",AL78*(1-Inputs!$I$53)*Tests_for_release)+AL79*(1-Inputs!$I$54)*Tests_for_release,0)</f>
        <v>0</v>
      </c>
      <c r="AM88" s="300">
        <f ca="1">IFERROR(IF(AM78="","",AM78*(1-Inputs!$I$53)*Tests_for_release)+AM79*(1-Inputs!$I$54)*Tests_for_release,0)</f>
        <v>0</v>
      </c>
      <c r="AN88" s="300">
        <f ca="1">IFERROR(IF(AN78="","",AN78*(1-Inputs!$I$53)*Tests_for_release)+AN79*(1-Inputs!$I$54)*Tests_for_release,0)</f>
        <v>0</v>
      </c>
      <c r="AO88" s="300">
        <f ca="1">IFERROR(IF(AO78="","",AO78*(1-Inputs!$I$53)*Tests_for_release)+AO79*(1-Inputs!$I$54)*Tests_for_release,0)</f>
        <v>0</v>
      </c>
      <c r="AP88" s="300">
        <f ca="1">IFERROR(IF(AP78="","",AP78*(1-Inputs!$I$53)*Tests_for_release)+AP79*(1-Inputs!$I$54)*Tests_for_release,0)</f>
        <v>0</v>
      </c>
      <c r="AQ88" s="300">
        <f ca="1">IFERROR(IF(AQ78="","",AQ78*(1-Inputs!$I$53)*Tests_for_release)+AQ79*(1-Inputs!$I$54)*Tests_for_release,0)</f>
        <v>0</v>
      </c>
      <c r="AR88" s="300">
        <f ca="1">IFERROR(IF(AR78="","",AR78*(1-Inputs!$I$53)*Tests_for_release)+AR79*(1-Inputs!$I$54)*Tests_for_release,0)</f>
        <v>0</v>
      </c>
      <c r="AS88" s="300">
        <f ca="1">IFERROR(IF(AS78="","",AS78*(1-Inputs!$I$53)*Tests_for_release)+AS79*(1-Inputs!$I$54)*Tests_for_release,0)</f>
        <v>0</v>
      </c>
      <c r="AT88" s="300">
        <f ca="1">IFERROR(IF(AT78="","",AT78*(1-Inputs!$I$53)*Tests_for_release)+AT79*(1-Inputs!$I$54)*Tests_for_release,0)</f>
        <v>0</v>
      </c>
      <c r="AU88" s="300">
        <f ca="1">IFERROR(IF(AU78="","",AU78*(1-Inputs!$I$53)*Tests_for_release)+AU79*(1-Inputs!$I$54)*Tests_for_release,0)</f>
        <v>0</v>
      </c>
      <c r="AV88" s="300">
        <f ca="1">IFERROR(IF(AV78="","",AV78*(1-Inputs!$I$53)*Tests_for_release)+AV79*(1-Inputs!$I$54)*Tests_for_release,0)</f>
        <v>0</v>
      </c>
      <c r="AW88" s="300">
        <f ca="1">IFERROR(IF(AW78="","",AW78*(1-Inputs!$I$53)*Tests_for_release)+AW79*(1-Inputs!$I$54)*Tests_for_release,0)</f>
        <v>0</v>
      </c>
      <c r="AX88" s="300">
        <f ca="1">IFERROR(IF(AX78="","",AX78*(1-Inputs!$I$53)*Tests_for_release)+AX79*(1-Inputs!$I$54)*Tests_for_release,0)</f>
        <v>0</v>
      </c>
      <c r="AY88" s="300">
        <f ca="1">IFERROR(IF(AY78="","",AY78*(1-Inputs!$I$53)*Tests_for_release)+AY79*(1-Inputs!$I$54)*Tests_for_release,0)</f>
        <v>0</v>
      </c>
      <c r="AZ88" s="300">
        <f ca="1">IFERROR(IF(AZ78="","",AZ78*(1-Inputs!$I$53)*Tests_for_release)+AZ79*(1-Inputs!$I$54)*Tests_for_release,0)</f>
        <v>0</v>
      </c>
      <c r="BA88" s="300">
        <f ca="1">IFERROR(IF(BA78="","",BA78*(1-Inputs!$I$53)*Tests_for_release)+BA79*(1-Inputs!$I$54)*Tests_for_release,0)</f>
        <v>0</v>
      </c>
      <c r="BB88" s="300">
        <f ca="1">IFERROR(IF(BB78="","",BB78*(1-Inputs!$I$53)*Tests_for_release)+BB79*(1-Inputs!$I$54)*Tests_for_release,0)</f>
        <v>0</v>
      </c>
      <c r="BC88" s="300">
        <f ca="1">IFERROR(IF(BC78="","",BC78*(1-Inputs!$I$53)*Tests_for_release)+BC79*(1-Inputs!$I$54)*Tests_for_release,0)</f>
        <v>0</v>
      </c>
      <c r="BD88" s="300">
        <f ca="1">IFERROR(IF(BD78="","",BD78*(1-Inputs!$I$53)*Tests_for_release)+BD79*(1-Inputs!$I$54)*Tests_for_release,0)</f>
        <v>0</v>
      </c>
      <c r="BF88" s="1269">
        <f ca="1">SUMIFS($D88:$BD88,$D$40:$BD$40,"&lt;="&amp;WeekSuppliedUntil,$D$40:$BD$40,"&gt;="&amp;Start_week_for_forecasting)</f>
        <v>80.373450869562618</v>
      </c>
      <c r="BG88" s="5"/>
      <c r="BH88" s="1269">
        <f t="array" aca="1" ref="BH88" ca="1">MAX(IF(D$40:BD$40&gt;=Start_week_for_forecasting,IF(D$40:BD$40&lt;=WeekSuppliedUntil,D88:BD88)))</f>
        <v>57.007132572413433</v>
      </c>
    </row>
    <row r="89" spans="2:70" s="6" customFormat="1" x14ac:dyDescent="0.35">
      <c r="B89" s="316" t="s">
        <v>866</v>
      </c>
      <c r="C89" s="3" t="s">
        <v>961</v>
      </c>
      <c r="D89" s="314">
        <f>SUM(D90:D92)</f>
        <v>10.8</v>
      </c>
      <c r="E89" s="314">
        <f t="shared" ref="E89:BD89" si="23">SUM(E90:E92)</f>
        <v>32.188184370153195</v>
      </c>
      <c r="F89" s="314">
        <f t="shared" si="23"/>
        <v>110.61495723230902</v>
      </c>
      <c r="G89" s="314">
        <f t="shared" si="23"/>
        <v>380.12552326630481</v>
      </c>
      <c r="H89" s="314">
        <f>SUM(H90:H92)</f>
        <v>1306.2484020095399</v>
      </c>
      <c r="I89" s="314">
        <f t="shared" si="23"/>
        <v>4488.2280348870408</v>
      </c>
      <c r="J89" s="314">
        <f t="shared" si="23"/>
        <v>15415.359292872403</v>
      </c>
      <c r="K89" s="314">
        <f t="shared" si="23"/>
        <v>0</v>
      </c>
      <c r="L89" s="314">
        <f t="shared" si="23"/>
        <v>0</v>
      </c>
      <c r="M89" s="314">
        <f t="shared" si="23"/>
        <v>0</v>
      </c>
      <c r="N89" s="314">
        <f t="shared" si="23"/>
        <v>0</v>
      </c>
      <c r="O89" s="314">
        <f t="shared" si="23"/>
        <v>0</v>
      </c>
      <c r="P89" s="314">
        <f t="shared" si="23"/>
        <v>0</v>
      </c>
      <c r="Q89" s="314">
        <f t="shared" si="23"/>
        <v>0</v>
      </c>
      <c r="R89" s="314">
        <f t="shared" si="23"/>
        <v>0</v>
      </c>
      <c r="S89" s="314">
        <f t="shared" si="23"/>
        <v>0</v>
      </c>
      <c r="T89" s="314">
        <f t="shared" si="23"/>
        <v>0</v>
      </c>
      <c r="U89" s="314">
        <f t="shared" si="23"/>
        <v>0</v>
      </c>
      <c r="V89" s="314">
        <f t="shared" si="23"/>
        <v>0</v>
      </c>
      <c r="W89" s="314">
        <f t="shared" si="23"/>
        <v>0</v>
      </c>
      <c r="X89" s="314">
        <f t="shared" si="23"/>
        <v>0</v>
      </c>
      <c r="Y89" s="314">
        <f t="shared" si="23"/>
        <v>0</v>
      </c>
      <c r="Z89" s="314">
        <f t="shared" si="23"/>
        <v>0</v>
      </c>
      <c r="AA89" s="314">
        <f t="shared" si="23"/>
        <v>0</v>
      </c>
      <c r="AB89" s="314">
        <f t="shared" si="23"/>
        <v>0</v>
      </c>
      <c r="AC89" s="314">
        <f t="shared" si="23"/>
        <v>0</v>
      </c>
      <c r="AD89" s="314">
        <f t="shared" si="23"/>
        <v>0</v>
      </c>
      <c r="AE89" s="314">
        <f t="shared" si="23"/>
        <v>0</v>
      </c>
      <c r="AF89" s="314">
        <f t="shared" si="23"/>
        <v>0</v>
      </c>
      <c r="AG89" s="314">
        <f t="shared" si="23"/>
        <v>0</v>
      </c>
      <c r="AH89" s="314">
        <f t="shared" si="23"/>
        <v>0</v>
      </c>
      <c r="AI89" s="314">
        <f t="shared" si="23"/>
        <v>0</v>
      </c>
      <c r="AJ89" s="314">
        <f t="shared" si="23"/>
        <v>0</v>
      </c>
      <c r="AK89" s="314">
        <f t="shared" si="23"/>
        <v>0</v>
      </c>
      <c r="AL89" s="314">
        <f t="shared" si="23"/>
        <v>0</v>
      </c>
      <c r="AM89" s="314">
        <f t="shared" si="23"/>
        <v>0</v>
      </c>
      <c r="AN89" s="314">
        <f t="shared" si="23"/>
        <v>0</v>
      </c>
      <c r="AO89" s="314">
        <f t="shared" si="23"/>
        <v>0</v>
      </c>
      <c r="AP89" s="314">
        <f t="shared" si="23"/>
        <v>0</v>
      </c>
      <c r="AQ89" s="314">
        <f t="shared" si="23"/>
        <v>0</v>
      </c>
      <c r="AR89" s="314">
        <f t="shared" si="23"/>
        <v>0</v>
      </c>
      <c r="AS89" s="314">
        <f t="shared" si="23"/>
        <v>0</v>
      </c>
      <c r="AT89" s="314">
        <f t="shared" si="23"/>
        <v>0</v>
      </c>
      <c r="AU89" s="314">
        <f t="shared" si="23"/>
        <v>0</v>
      </c>
      <c r="AV89" s="314">
        <f t="shared" si="23"/>
        <v>0</v>
      </c>
      <c r="AW89" s="314">
        <f t="shared" si="23"/>
        <v>0</v>
      </c>
      <c r="AX89" s="314">
        <f t="shared" si="23"/>
        <v>0</v>
      </c>
      <c r="AY89" s="314">
        <f t="shared" si="23"/>
        <v>0</v>
      </c>
      <c r="AZ89" s="314">
        <f t="shared" si="23"/>
        <v>0</v>
      </c>
      <c r="BA89" s="314">
        <f t="shared" si="23"/>
        <v>0</v>
      </c>
      <c r="BB89" s="314">
        <f t="shared" si="23"/>
        <v>0</v>
      </c>
      <c r="BC89" s="314">
        <f t="shared" si="23"/>
        <v>0</v>
      </c>
      <c r="BD89" s="314">
        <f t="shared" si="23"/>
        <v>0</v>
      </c>
      <c r="BF89" s="318">
        <f t="shared" ref="BF89:BF96" si="24">SUMIFS($D89:$BD89,$D$40:$BD$40,"&lt;="&amp;WeekSuppliedUntil,$D$40:$BD$40,"&gt;="&amp;Start_week_for_forecasting)</f>
        <v>21732.76439463775</v>
      </c>
      <c r="BG89" s="3"/>
      <c r="BH89" s="318">
        <f t="array" ref="BH89">MAX(IF(D$40:BD$40&gt;=Start_week_for_forecasting,IF(D$40:BD$40&lt;=WeekSuppliedUntil,D89:BD89)))</f>
        <v>15415.359292872403</v>
      </c>
    </row>
    <row r="90" spans="2:70" s="6" customFormat="1" x14ac:dyDescent="0.35">
      <c r="B90" s="316" t="s">
        <v>866</v>
      </c>
      <c r="C90" s="328" t="s">
        <v>948</v>
      </c>
      <c r="D90" s="298">
        <f t="shared" ref="D90:AI90" si="25">IFERROR((D44)*Tests_for_diagnosis,0)</f>
        <v>0.4</v>
      </c>
      <c r="E90" s="298">
        <f t="shared" si="25"/>
        <v>1.1921549766723405</v>
      </c>
      <c r="F90" s="298">
        <f t="shared" si="25"/>
        <v>4.0968502678632976</v>
      </c>
      <c r="G90" s="298">
        <f t="shared" si="25"/>
        <v>14.078723083937218</v>
      </c>
      <c r="H90" s="298">
        <f t="shared" si="25"/>
        <v>48.379570444797778</v>
      </c>
      <c r="I90" s="298">
        <f t="shared" si="25"/>
        <v>166.23066795877932</v>
      </c>
      <c r="J90" s="298">
        <f t="shared" si="25"/>
        <v>570.93923306934835</v>
      </c>
      <c r="K90" s="298">
        <f t="shared" si="25"/>
        <v>0</v>
      </c>
      <c r="L90" s="298">
        <f t="shared" si="25"/>
        <v>0</v>
      </c>
      <c r="M90" s="298">
        <f t="shared" si="25"/>
        <v>0</v>
      </c>
      <c r="N90" s="298">
        <f t="shared" si="25"/>
        <v>0</v>
      </c>
      <c r="O90" s="298">
        <f t="shared" si="25"/>
        <v>0</v>
      </c>
      <c r="P90" s="298">
        <f t="shared" si="25"/>
        <v>0</v>
      </c>
      <c r="Q90" s="298">
        <f t="shared" si="25"/>
        <v>0</v>
      </c>
      <c r="R90" s="298">
        <f t="shared" si="25"/>
        <v>0</v>
      </c>
      <c r="S90" s="298">
        <f t="shared" si="25"/>
        <v>0</v>
      </c>
      <c r="T90" s="298">
        <f t="shared" si="25"/>
        <v>0</v>
      </c>
      <c r="U90" s="298">
        <f t="shared" si="25"/>
        <v>0</v>
      </c>
      <c r="V90" s="298">
        <f t="shared" si="25"/>
        <v>0</v>
      </c>
      <c r="W90" s="298">
        <f t="shared" si="25"/>
        <v>0</v>
      </c>
      <c r="X90" s="298">
        <f t="shared" si="25"/>
        <v>0</v>
      </c>
      <c r="Y90" s="298">
        <f t="shared" si="25"/>
        <v>0</v>
      </c>
      <c r="Z90" s="298">
        <f t="shared" si="25"/>
        <v>0</v>
      </c>
      <c r="AA90" s="298">
        <f t="shared" si="25"/>
        <v>0</v>
      </c>
      <c r="AB90" s="298">
        <f t="shared" si="25"/>
        <v>0</v>
      </c>
      <c r="AC90" s="298">
        <f t="shared" si="25"/>
        <v>0</v>
      </c>
      <c r="AD90" s="298">
        <f t="shared" si="25"/>
        <v>0</v>
      </c>
      <c r="AE90" s="298">
        <f t="shared" si="25"/>
        <v>0</v>
      </c>
      <c r="AF90" s="298">
        <f t="shared" si="25"/>
        <v>0</v>
      </c>
      <c r="AG90" s="298">
        <f t="shared" si="25"/>
        <v>0</v>
      </c>
      <c r="AH90" s="298">
        <f t="shared" si="25"/>
        <v>0</v>
      </c>
      <c r="AI90" s="298">
        <f t="shared" si="25"/>
        <v>0</v>
      </c>
      <c r="AJ90" s="298">
        <f t="shared" ref="AJ90:BD90" si="26">IFERROR((AJ44)*Tests_for_diagnosis,0)</f>
        <v>0</v>
      </c>
      <c r="AK90" s="298">
        <f t="shared" si="26"/>
        <v>0</v>
      </c>
      <c r="AL90" s="298">
        <f t="shared" si="26"/>
        <v>0</v>
      </c>
      <c r="AM90" s="298">
        <f t="shared" si="26"/>
        <v>0</v>
      </c>
      <c r="AN90" s="298">
        <f t="shared" si="26"/>
        <v>0</v>
      </c>
      <c r="AO90" s="298">
        <f t="shared" si="26"/>
        <v>0</v>
      </c>
      <c r="AP90" s="298">
        <f t="shared" si="26"/>
        <v>0</v>
      </c>
      <c r="AQ90" s="298">
        <f t="shared" si="26"/>
        <v>0</v>
      </c>
      <c r="AR90" s="298">
        <f t="shared" si="26"/>
        <v>0</v>
      </c>
      <c r="AS90" s="298">
        <f t="shared" si="26"/>
        <v>0</v>
      </c>
      <c r="AT90" s="298">
        <f t="shared" si="26"/>
        <v>0</v>
      </c>
      <c r="AU90" s="298">
        <f t="shared" si="26"/>
        <v>0</v>
      </c>
      <c r="AV90" s="298">
        <f t="shared" si="26"/>
        <v>0</v>
      </c>
      <c r="AW90" s="298">
        <f t="shared" si="26"/>
        <v>0</v>
      </c>
      <c r="AX90" s="298">
        <f t="shared" si="26"/>
        <v>0</v>
      </c>
      <c r="AY90" s="298">
        <f t="shared" si="26"/>
        <v>0</v>
      </c>
      <c r="AZ90" s="298">
        <f t="shared" si="26"/>
        <v>0</v>
      </c>
      <c r="BA90" s="298">
        <f t="shared" si="26"/>
        <v>0</v>
      </c>
      <c r="BB90" s="298">
        <f t="shared" si="26"/>
        <v>0</v>
      </c>
      <c r="BC90" s="298">
        <f t="shared" si="26"/>
        <v>0</v>
      </c>
      <c r="BD90" s="298">
        <f t="shared" si="26"/>
        <v>0</v>
      </c>
      <c r="BF90" s="1269">
        <f t="shared" si="24"/>
        <v>804.91719980139828</v>
      </c>
      <c r="BG90" s="3"/>
      <c r="BH90" s="1269">
        <f t="array" ref="BH90">MAX(IF(D$40:BD$40&gt;=Start_week_for_forecasting,IF(D$40:BD$40&lt;=WeekSuppliedUntil,D90:BD90)))</f>
        <v>570.93923306934835</v>
      </c>
    </row>
    <row r="91" spans="2:70" s="6" customFormat="1" x14ac:dyDescent="0.35">
      <c r="B91" s="316" t="s">
        <v>866</v>
      </c>
      <c r="C91" s="328" t="s">
        <v>962</v>
      </c>
      <c r="D91" s="298">
        <f t="shared" ref="D91:AI91" si="27">IFERROR((D45)*Tests_for_diagnosis,0)</f>
        <v>0.4</v>
      </c>
      <c r="E91" s="298">
        <f t="shared" si="27"/>
        <v>1.1921549766723405</v>
      </c>
      <c r="F91" s="298">
        <f t="shared" si="27"/>
        <v>4.0968502678632976</v>
      </c>
      <c r="G91" s="298">
        <f t="shared" si="27"/>
        <v>14.078723083937218</v>
      </c>
      <c r="H91" s="298">
        <f t="shared" si="27"/>
        <v>48.379570444797778</v>
      </c>
      <c r="I91" s="298">
        <f t="shared" si="27"/>
        <v>166.23066795877932</v>
      </c>
      <c r="J91" s="298">
        <f t="shared" si="27"/>
        <v>570.93923306934835</v>
      </c>
      <c r="K91" s="298">
        <f t="shared" si="27"/>
        <v>0</v>
      </c>
      <c r="L91" s="298">
        <f t="shared" si="27"/>
        <v>0</v>
      </c>
      <c r="M91" s="298">
        <f t="shared" si="27"/>
        <v>0</v>
      </c>
      <c r="N91" s="298">
        <f t="shared" si="27"/>
        <v>0</v>
      </c>
      <c r="O91" s="298">
        <f t="shared" si="27"/>
        <v>0</v>
      </c>
      <c r="P91" s="298">
        <f t="shared" si="27"/>
        <v>0</v>
      </c>
      <c r="Q91" s="298">
        <f t="shared" si="27"/>
        <v>0</v>
      </c>
      <c r="R91" s="298">
        <f t="shared" si="27"/>
        <v>0</v>
      </c>
      <c r="S91" s="298">
        <f t="shared" si="27"/>
        <v>0</v>
      </c>
      <c r="T91" s="298">
        <f t="shared" si="27"/>
        <v>0</v>
      </c>
      <c r="U91" s="298">
        <f t="shared" si="27"/>
        <v>0</v>
      </c>
      <c r="V91" s="298">
        <f t="shared" si="27"/>
        <v>0</v>
      </c>
      <c r="W91" s="298">
        <f t="shared" si="27"/>
        <v>0</v>
      </c>
      <c r="X91" s="298">
        <f t="shared" si="27"/>
        <v>0</v>
      </c>
      <c r="Y91" s="298">
        <f t="shared" si="27"/>
        <v>0</v>
      </c>
      <c r="Z91" s="298">
        <f t="shared" si="27"/>
        <v>0</v>
      </c>
      <c r="AA91" s="298">
        <f t="shared" si="27"/>
        <v>0</v>
      </c>
      <c r="AB91" s="298">
        <f t="shared" si="27"/>
        <v>0</v>
      </c>
      <c r="AC91" s="298">
        <f t="shared" si="27"/>
        <v>0</v>
      </c>
      <c r="AD91" s="298">
        <f t="shared" si="27"/>
        <v>0</v>
      </c>
      <c r="AE91" s="298">
        <f t="shared" si="27"/>
        <v>0</v>
      </c>
      <c r="AF91" s="298">
        <f t="shared" si="27"/>
        <v>0</v>
      </c>
      <c r="AG91" s="298">
        <f t="shared" si="27"/>
        <v>0</v>
      </c>
      <c r="AH91" s="298">
        <f t="shared" si="27"/>
        <v>0</v>
      </c>
      <c r="AI91" s="298">
        <f t="shared" si="27"/>
        <v>0</v>
      </c>
      <c r="AJ91" s="298">
        <f t="shared" ref="AJ91:BD91" si="28">IFERROR((AJ45)*Tests_for_diagnosis,0)</f>
        <v>0</v>
      </c>
      <c r="AK91" s="298">
        <f t="shared" si="28"/>
        <v>0</v>
      </c>
      <c r="AL91" s="298">
        <f t="shared" si="28"/>
        <v>0</v>
      </c>
      <c r="AM91" s="298">
        <f t="shared" si="28"/>
        <v>0</v>
      </c>
      <c r="AN91" s="298">
        <f t="shared" si="28"/>
        <v>0</v>
      </c>
      <c r="AO91" s="298">
        <f t="shared" si="28"/>
        <v>0</v>
      </c>
      <c r="AP91" s="298">
        <f t="shared" si="28"/>
        <v>0</v>
      </c>
      <c r="AQ91" s="298">
        <f t="shared" si="28"/>
        <v>0</v>
      </c>
      <c r="AR91" s="298">
        <f t="shared" si="28"/>
        <v>0</v>
      </c>
      <c r="AS91" s="298">
        <f t="shared" si="28"/>
        <v>0</v>
      </c>
      <c r="AT91" s="298">
        <f t="shared" si="28"/>
        <v>0</v>
      </c>
      <c r="AU91" s="298">
        <f t="shared" si="28"/>
        <v>0</v>
      </c>
      <c r="AV91" s="298">
        <f t="shared" si="28"/>
        <v>0</v>
      </c>
      <c r="AW91" s="298">
        <f t="shared" si="28"/>
        <v>0</v>
      </c>
      <c r="AX91" s="298">
        <f t="shared" si="28"/>
        <v>0</v>
      </c>
      <c r="AY91" s="298">
        <f t="shared" si="28"/>
        <v>0</v>
      </c>
      <c r="AZ91" s="298">
        <f t="shared" si="28"/>
        <v>0</v>
      </c>
      <c r="BA91" s="298">
        <f t="shared" si="28"/>
        <v>0</v>
      </c>
      <c r="BB91" s="298">
        <f t="shared" si="28"/>
        <v>0</v>
      </c>
      <c r="BC91" s="298">
        <f t="shared" si="28"/>
        <v>0</v>
      </c>
      <c r="BD91" s="298">
        <f t="shared" si="28"/>
        <v>0</v>
      </c>
      <c r="BF91" s="1269">
        <f t="shared" si="24"/>
        <v>804.91719980139828</v>
      </c>
      <c r="BG91" s="3"/>
      <c r="BH91" s="1269">
        <f t="array" ref="BH91">MAX(IF(D$40:BD$40&gt;=Start_week_for_forecasting,IF(D$40:BD$40&lt;=WeekSuppliedUntil,D91:BD91)))</f>
        <v>570.93923306934835</v>
      </c>
    </row>
    <row r="92" spans="2:70" s="6" customFormat="1" x14ac:dyDescent="0.35">
      <c r="B92" s="316" t="s">
        <v>866</v>
      </c>
      <c r="C92" s="328" t="s">
        <v>949</v>
      </c>
      <c r="D92" s="298">
        <f t="shared" ref="D92:AI92" si="29">IFERROR((D48)*Tests_for_diagnosis,0)</f>
        <v>10</v>
      </c>
      <c r="E92" s="298">
        <f t="shared" si="29"/>
        <v>29.803874416808512</v>
      </c>
      <c r="F92" s="298">
        <f t="shared" si="29"/>
        <v>102.42125669658243</v>
      </c>
      <c r="G92" s="298">
        <f t="shared" si="29"/>
        <v>351.9680770984304</v>
      </c>
      <c r="H92" s="298">
        <f t="shared" si="29"/>
        <v>1209.4892611199443</v>
      </c>
      <c r="I92" s="298">
        <f t="shared" si="29"/>
        <v>4155.7666989694826</v>
      </c>
      <c r="J92" s="298">
        <f t="shared" si="29"/>
        <v>14273.480826733707</v>
      </c>
      <c r="K92" s="298">
        <f t="shared" si="29"/>
        <v>0</v>
      </c>
      <c r="L92" s="298">
        <f t="shared" si="29"/>
        <v>0</v>
      </c>
      <c r="M92" s="298">
        <f t="shared" si="29"/>
        <v>0</v>
      </c>
      <c r="N92" s="298">
        <f t="shared" si="29"/>
        <v>0</v>
      </c>
      <c r="O92" s="298">
        <f t="shared" si="29"/>
        <v>0</v>
      </c>
      <c r="P92" s="298">
        <f t="shared" si="29"/>
        <v>0</v>
      </c>
      <c r="Q92" s="298">
        <f t="shared" si="29"/>
        <v>0</v>
      </c>
      <c r="R92" s="298">
        <f t="shared" si="29"/>
        <v>0</v>
      </c>
      <c r="S92" s="298">
        <f t="shared" si="29"/>
        <v>0</v>
      </c>
      <c r="T92" s="298">
        <f t="shared" si="29"/>
        <v>0</v>
      </c>
      <c r="U92" s="298">
        <f t="shared" si="29"/>
        <v>0</v>
      </c>
      <c r="V92" s="298">
        <f t="shared" si="29"/>
        <v>0</v>
      </c>
      <c r="W92" s="298">
        <f t="shared" si="29"/>
        <v>0</v>
      </c>
      <c r="X92" s="298">
        <f t="shared" si="29"/>
        <v>0</v>
      </c>
      <c r="Y92" s="298">
        <f t="shared" si="29"/>
        <v>0</v>
      </c>
      <c r="Z92" s="298">
        <f t="shared" si="29"/>
        <v>0</v>
      </c>
      <c r="AA92" s="298">
        <f t="shared" si="29"/>
        <v>0</v>
      </c>
      <c r="AB92" s="298">
        <f t="shared" si="29"/>
        <v>0</v>
      </c>
      <c r="AC92" s="298">
        <f t="shared" si="29"/>
        <v>0</v>
      </c>
      <c r="AD92" s="298">
        <f t="shared" si="29"/>
        <v>0</v>
      </c>
      <c r="AE92" s="298">
        <f t="shared" si="29"/>
        <v>0</v>
      </c>
      <c r="AF92" s="298">
        <f t="shared" si="29"/>
        <v>0</v>
      </c>
      <c r="AG92" s="298">
        <f t="shared" si="29"/>
        <v>0</v>
      </c>
      <c r="AH92" s="298">
        <f t="shared" si="29"/>
        <v>0</v>
      </c>
      <c r="AI92" s="298">
        <f t="shared" si="29"/>
        <v>0</v>
      </c>
      <c r="AJ92" s="298">
        <f t="shared" ref="AJ92:BD92" si="30">IFERROR((AJ48)*Tests_for_diagnosis,0)</f>
        <v>0</v>
      </c>
      <c r="AK92" s="298">
        <f t="shared" si="30"/>
        <v>0</v>
      </c>
      <c r="AL92" s="298">
        <f t="shared" si="30"/>
        <v>0</v>
      </c>
      <c r="AM92" s="298">
        <f t="shared" si="30"/>
        <v>0</v>
      </c>
      <c r="AN92" s="298">
        <f t="shared" si="30"/>
        <v>0</v>
      </c>
      <c r="AO92" s="298">
        <f t="shared" si="30"/>
        <v>0</v>
      </c>
      <c r="AP92" s="298">
        <f t="shared" si="30"/>
        <v>0</v>
      </c>
      <c r="AQ92" s="298">
        <f t="shared" si="30"/>
        <v>0</v>
      </c>
      <c r="AR92" s="298">
        <f t="shared" si="30"/>
        <v>0</v>
      </c>
      <c r="AS92" s="298">
        <f t="shared" si="30"/>
        <v>0</v>
      </c>
      <c r="AT92" s="298">
        <f t="shared" si="30"/>
        <v>0</v>
      </c>
      <c r="AU92" s="298">
        <f t="shared" si="30"/>
        <v>0</v>
      </c>
      <c r="AV92" s="298">
        <f t="shared" si="30"/>
        <v>0</v>
      </c>
      <c r="AW92" s="298">
        <f t="shared" si="30"/>
        <v>0</v>
      </c>
      <c r="AX92" s="298">
        <f t="shared" si="30"/>
        <v>0</v>
      </c>
      <c r="AY92" s="298">
        <f t="shared" si="30"/>
        <v>0</v>
      </c>
      <c r="AZ92" s="298">
        <f t="shared" si="30"/>
        <v>0</v>
      </c>
      <c r="BA92" s="298">
        <f t="shared" si="30"/>
        <v>0</v>
      </c>
      <c r="BB92" s="298">
        <f t="shared" si="30"/>
        <v>0</v>
      </c>
      <c r="BC92" s="298">
        <f t="shared" si="30"/>
        <v>0</v>
      </c>
      <c r="BD92" s="298">
        <f t="shared" si="30"/>
        <v>0</v>
      </c>
      <c r="BF92" s="1269">
        <f t="shared" si="24"/>
        <v>20122.929995034956</v>
      </c>
      <c r="BG92" s="3"/>
      <c r="BH92" s="1269">
        <f t="array" ref="BH92">MAX(IF(D$40:BD$40&gt;=Start_week_for_forecasting,IF(D$40:BD$40&lt;=WeekSuppliedUntil,D92:BD92)))</f>
        <v>14273.480826733707</v>
      </c>
    </row>
    <row r="93" spans="2:70" s="6" customFormat="1" x14ac:dyDescent="0.35">
      <c r="B93" s="316" t="s">
        <v>866</v>
      </c>
      <c r="C93" s="3" t="s">
        <v>963</v>
      </c>
      <c r="D93" s="314">
        <f>IFERROR(SUM(D94:D96),"")</f>
        <v>1.08</v>
      </c>
      <c r="E93" s="314">
        <f t="shared" ref="E93:BD93" si="31">IFERROR(SUM(E94:E96),"")</f>
        <v>3.2188184370153197</v>
      </c>
      <c r="F93" s="314">
        <f t="shared" si="31"/>
        <v>11.061495723230903</v>
      </c>
      <c r="G93" s="314">
        <f t="shared" si="31"/>
        <v>38.012552326630484</v>
      </c>
      <c r="H93" s="314">
        <f>IFERROR(SUM(H94:H96),"")</f>
        <v>130.624840200954</v>
      </c>
      <c r="I93" s="314">
        <f t="shared" si="31"/>
        <v>448.82280348870415</v>
      </c>
      <c r="J93" s="314">
        <f t="shared" si="31"/>
        <v>1541.5359292872404</v>
      </c>
      <c r="K93" s="314">
        <f>IFERROR(SUM(K94:K96),"")</f>
        <v>0</v>
      </c>
      <c r="L93" s="314">
        <f t="shared" si="31"/>
        <v>0</v>
      </c>
      <c r="M93" s="314">
        <f t="shared" si="31"/>
        <v>0</v>
      </c>
      <c r="N93" s="314">
        <f t="shared" si="31"/>
        <v>0</v>
      </c>
      <c r="O93" s="314">
        <f t="shared" si="31"/>
        <v>0</v>
      </c>
      <c r="P93" s="314">
        <f t="shared" si="31"/>
        <v>0</v>
      </c>
      <c r="Q93" s="314">
        <f t="shared" si="31"/>
        <v>0</v>
      </c>
      <c r="R93" s="314">
        <f t="shared" si="31"/>
        <v>0</v>
      </c>
      <c r="S93" s="314">
        <f t="shared" si="31"/>
        <v>0</v>
      </c>
      <c r="T93" s="314">
        <f t="shared" si="31"/>
        <v>0</v>
      </c>
      <c r="U93" s="314">
        <f t="shared" si="31"/>
        <v>0</v>
      </c>
      <c r="V93" s="314">
        <f>IFERROR(SUM(V94:V96),"")</f>
        <v>0</v>
      </c>
      <c r="W93" s="314">
        <f t="shared" si="31"/>
        <v>0</v>
      </c>
      <c r="X93" s="314">
        <f t="shared" si="31"/>
        <v>0</v>
      </c>
      <c r="Y93" s="314">
        <f t="shared" si="31"/>
        <v>0</v>
      </c>
      <c r="Z93" s="314">
        <f t="shared" si="31"/>
        <v>0</v>
      </c>
      <c r="AA93" s="314">
        <f t="shared" si="31"/>
        <v>0</v>
      </c>
      <c r="AB93" s="314">
        <f t="shared" si="31"/>
        <v>0</v>
      </c>
      <c r="AC93" s="314">
        <f t="shared" si="31"/>
        <v>0</v>
      </c>
      <c r="AD93" s="314">
        <f t="shared" si="31"/>
        <v>0</v>
      </c>
      <c r="AE93" s="314">
        <f t="shared" si="31"/>
        <v>0</v>
      </c>
      <c r="AF93" s="314">
        <f t="shared" si="31"/>
        <v>0</v>
      </c>
      <c r="AG93" s="314">
        <f t="shared" si="31"/>
        <v>0</v>
      </c>
      <c r="AH93" s="314">
        <f t="shared" si="31"/>
        <v>0</v>
      </c>
      <c r="AI93" s="314">
        <f t="shared" si="31"/>
        <v>0</v>
      </c>
      <c r="AJ93" s="314">
        <f t="shared" si="31"/>
        <v>0</v>
      </c>
      <c r="AK93" s="314">
        <f t="shared" si="31"/>
        <v>0</v>
      </c>
      <c r="AL93" s="314">
        <f t="shared" si="31"/>
        <v>0</v>
      </c>
      <c r="AM93" s="314">
        <f t="shared" si="31"/>
        <v>0</v>
      </c>
      <c r="AN93" s="314">
        <f t="shared" si="31"/>
        <v>0</v>
      </c>
      <c r="AO93" s="314">
        <f t="shared" si="31"/>
        <v>0</v>
      </c>
      <c r="AP93" s="314">
        <f t="shared" si="31"/>
        <v>0</v>
      </c>
      <c r="AQ93" s="314">
        <f t="shared" si="31"/>
        <v>0</v>
      </c>
      <c r="AR93" s="314">
        <f t="shared" si="31"/>
        <v>0</v>
      </c>
      <c r="AS93" s="314">
        <f t="shared" si="31"/>
        <v>0</v>
      </c>
      <c r="AT93" s="314">
        <f t="shared" si="31"/>
        <v>0</v>
      </c>
      <c r="AU93" s="314">
        <f t="shared" si="31"/>
        <v>0</v>
      </c>
      <c r="AV93" s="314">
        <f t="shared" si="31"/>
        <v>0</v>
      </c>
      <c r="AW93" s="314">
        <f t="shared" si="31"/>
        <v>0</v>
      </c>
      <c r="AX93" s="314">
        <f t="shared" si="31"/>
        <v>0</v>
      </c>
      <c r="AY93" s="314">
        <f t="shared" si="31"/>
        <v>0</v>
      </c>
      <c r="AZ93" s="314">
        <f t="shared" si="31"/>
        <v>0</v>
      </c>
      <c r="BA93" s="314">
        <f t="shared" si="31"/>
        <v>0</v>
      </c>
      <c r="BB93" s="314">
        <f t="shared" si="31"/>
        <v>0</v>
      </c>
      <c r="BC93" s="314">
        <f t="shared" si="31"/>
        <v>0</v>
      </c>
      <c r="BD93" s="314">
        <f t="shared" si="31"/>
        <v>0</v>
      </c>
      <c r="BF93" s="318">
        <f t="shared" si="24"/>
        <v>2173.2764394637752</v>
      </c>
      <c r="BG93" s="3"/>
      <c r="BH93" s="318">
        <f t="array" ref="BH93">MAX(IF(D$40:BD$40&gt;=Start_week_for_forecasting,IF(D$40:BD$40&lt;=WeekSuppliedUntil,D93:BD93)))</f>
        <v>1541.5359292872404</v>
      </c>
    </row>
    <row r="94" spans="2:70" s="6" customFormat="1" x14ac:dyDescent="0.35">
      <c r="B94" s="316" t="s">
        <v>866</v>
      </c>
      <c r="C94" s="328" t="s">
        <v>948</v>
      </c>
      <c r="D94" s="301">
        <f t="shared" ref="D94:AI94" si="32">IFERROR(D44*Mild_testing_percentage*Tests_for_diagnosis,0)</f>
        <v>4.0000000000000008E-2</v>
      </c>
      <c r="E94" s="301">
        <f t="shared" si="32"/>
        <v>0.11921549766723405</v>
      </c>
      <c r="F94" s="301">
        <f t="shared" si="32"/>
        <v>0.40968502678632979</v>
      </c>
      <c r="G94" s="301">
        <f t="shared" si="32"/>
        <v>1.4078723083937219</v>
      </c>
      <c r="H94" s="301">
        <f t="shared" si="32"/>
        <v>4.8379570444797784</v>
      </c>
      <c r="I94" s="301">
        <f t="shared" si="32"/>
        <v>16.623066795877932</v>
      </c>
      <c r="J94" s="301">
        <f t="shared" si="32"/>
        <v>57.09392330693484</v>
      </c>
      <c r="K94" s="301">
        <f t="shared" si="32"/>
        <v>0</v>
      </c>
      <c r="L94" s="301">
        <f t="shared" si="32"/>
        <v>0</v>
      </c>
      <c r="M94" s="301">
        <f t="shared" si="32"/>
        <v>0</v>
      </c>
      <c r="N94" s="301">
        <f t="shared" si="32"/>
        <v>0</v>
      </c>
      <c r="O94" s="301">
        <f t="shared" si="32"/>
        <v>0</v>
      </c>
      <c r="P94" s="301">
        <f t="shared" si="32"/>
        <v>0</v>
      </c>
      <c r="Q94" s="301">
        <f t="shared" si="32"/>
        <v>0</v>
      </c>
      <c r="R94" s="301">
        <f t="shared" si="32"/>
        <v>0</v>
      </c>
      <c r="S94" s="301">
        <f t="shared" si="32"/>
        <v>0</v>
      </c>
      <c r="T94" s="301">
        <f t="shared" si="32"/>
        <v>0</v>
      </c>
      <c r="U94" s="301">
        <f t="shared" si="32"/>
        <v>0</v>
      </c>
      <c r="V94" s="301">
        <f t="shared" si="32"/>
        <v>0</v>
      </c>
      <c r="W94" s="301">
        <f t="shared" si="32"/>
        <v>0</v>
      </c>
      <c r="X94" s="301">
        <f t="shared" si="32"/>
        <v>0</v>
      </c>
      <c r="Y94" s="301">
        <f t="shared" si="32"/>
        <v>0</v>
      </c>
      <c r="Z94" s="301">
        <f t="shared" si="32"/>
        <v>0</v>
      </c>
      <c r="AA94" s="301">
        <f t="shared" si="32"/>
        <v>0</v>
      </c>
      <c r="AB94" s="301">
        <f t="shared" si="32"/>
        <v>0</v>
      </c>
      <c r="AC94" s="301">
        <f t="shared" si="32"/>
        <v>0</v>
      </c>
      <c r="AD94" s="301">
        <f t="shared" si="32"/>
        <v>0</v>
      </c>
      <c r="AE94" s="301">
        <f t="shared" si="32"/>
        <v>0</v>
      </c>
      <c r="AF94" s="301">
        <f t="shared" si="32"/>
        <v>0</v>
      </c>
      <c r="AG94" s="301">
        <f t="shared" si="32"/>
        <v>0</v>
      </c>
      <c r="AH94" s="301">
        <f t="shared" si="32"/>
        <v>0</v>
      </c>
      <c r="AI94" s="301">
        <f t="shared" si="32"/>
        <v>0</v>
      </c>
      <c r="AJ94" s="301">
        <f t="shared" ref="AJ94:BD94" si="33">IFERROR(AJ44*Mild_testing_percentage*Tests_for_diagnosis,0)</f>
        <v>0</v>
      </c>
      <c r="AK94" s="301">
        <f t="shared" si="33"/>
        <v>0</v>
      </c>
      <c r="AL94" s="301">
        <f t="shared" si="33"/>
        <v>0</v>
      </c>
      <c r="AM94" s="301">
        <f t="shared" si="33"/>
        <v>0</v>
      </c>
      <c r="AN94" s="301">
        <f t="shared" si="33"/>
        <v>0</v>
      </c>
      <c r="AO94" s="301">
        <f t="shared" si="33"/>
        <v>0</v>
      </c>
      <c r="AP94" s="301">
        <f t="shared" si="33"/>
        <v>0</v>
      </c>
      <c r="AQ94" s="301">
        <f t="shared" si="33"/>
        <v>0</v>
      </c>
      <c r="AR94" s="301">
        <f t="shared" si="33"/>
        <v>0</v>
      </c>
      <c r="AS94" s="301">
        <f t="shared" si="33"/>
        <v>0</v>
      </c>
      <c r="AT94" s="301">
        <f t="shared" si="33"/>
        <v>0</v>
      </c>
      <c r="AU94" s="301">
        <f t="shared" si="33"/>
        <v>0</v>
      </c>
      <c r="AV94" s="301">
        <f t="shared" si="33"/>
        <v>0</v>
      </c>
      <c r="AW94" s="301">
        <f t="shared" si="33"/>
        <v>0</v>
      </c>
      <c r="AX94" s="301">
        <f t="shared" si="33"/>
        <v>0</v>
      </c>
      <c r="AY94" s="301">
        <f t="shared" si="33"/>
        <v>0</v>
      </c>
      <c r="AZ94" s="301">
        <f t="shared" si="33"/>
        <v>0</v>
      </c>
      <c r="BA94" s="301">
        <f t="shared" si="33"/>
        <v>0</v>
      </c>
      <c r="BB94" s="301">
        <f t="shared" si="33"/>
        <v>0</v>
      </c>
      <c r="BC94" s="301">
        <f t="shared" si="33"/>
        <v>0</v>
      </c>
      <c r="BD94" s="301">
        <f t="shared" si="33"/>
        <v>0</v>
      </c>
      <c r="BF94" s="1269">
        <f t="shared" si="24"/>
        <v>80.491719980139834</v>
      </c>
      <c r="BG94" s="3"/>
      <c r="BH94" s="1269">
        <f t="array" ref="BH94">MAX(IF(D$40:BD$40&gt;=Start_week_for_forecasting,IF(D$40:BD$40&lt;=WeekSuppliedUntil,D94:BD94)))</f>
        <v>57.09392330693484</v>
      </c>
    </row>
    <row r="95" spans="2:70" s="6" customFormat="1" x14ac:dyDescent="0.35">
      <c r="B95" s="316" t="s">
        <v>866</v>
      </c>
      <c r="C95" s="328" t="s">
        <v>962</v>
      </c>
      <c r="D95" s="301">
        <f t="shared" ref="D95:AI95" si="34">IFERROR(D45*Mild_testing_percentage*Tests_for_diagnosis,0)</f>
        <v>4.0000000000000008E-2</v>
      </c>
      <c r="E95" s="301">
        <f t="shared" si="34"/>
        <v>0.11921549766723405</v>
      </c>
      <c r="F95" s="301">
        <f t="shared" si="34"/>
        <v>0.40968502678632979</v>
      </c>
      <c r="G95" s="301">
        <f t="shared" si="34"/>
        <v>1.4078723083937219</v>
      </c>
      <c r="H95" s="301">
        <f t="shared" si="34"/>
        <v>4.8379570444797784</v>
      </c>
      <c r="I95" s="301">
        <f t="shared" si="34"/>
        <v>16.623066795877932</v>
      </c>
      <c r="J95" s="301">
        <f t="shared" si="34"/>
        <v>57.09392330693484</v>
      </c>
      <c r="K95" s="301">
        <f t="shared" si="34"/>
        <v>0</v>
      </c>
      <c r="L95" s="301">
        <f t="shared" si="34"/>
        <v>0</v>
      </c>
      <c r="M95" s="301">
        <f t="shared" si="34"/>
        <v>0</v>
      </c>
      <c r="N95" s="301">
        <f t="shared" si="34"/>
        <v>0</v>
      </c>
      <c r="O95" s="301">
        <f t="shared" si="34"/>
        <v>0</v>
      </c>
      <c r="P95" s="301">
        <f t="shared" si="34"/>
        <v>0</v>
      </c>
      <c r="Q95" s="301">
        <f t="shared" si="34"/>
        <v>0</v>
      </c>
      <c r="R95" s="301">
        <f t="shared" si="34"/>
        <v>0</v>
      </c>
      <c r="S95" s="301">
        <f t="shared" si="34"/>
        <v>0</v>
      </c>
      <c r="T95" s="301">
        <f t="shared" si="34"/>
        <v>0</v>
      </c>
      <c r="U95" s="301">
        <f t="shared" si="34"/>
        <v>0</v>
      </c>
      <c r="V95" s="301">
        <f t="shared" si="34"/>
        <v>0</v>
      </c>
      <c r="W95" s="301">
        <f t="shared" si="34"/>
        <v>0</v>
      </c>
      <c r="X95" s="301">
        <f t="shared" si="34"/>
        <v>0</v>
      </c>
      <c r="Y95" s="301">
        <f t="shared" si="34"/>
        <v>0</v>
      </c>
      <c r="Z95" s="301">
        <f t="shared" si="34"/>
        <v>0</v>
      </c>
      <c r="AA95" s="301">
        <f t="shared" si="34"/>
        <v>0</v>
      </c>
      <c r="AB95" s="301">
        <f t="shared" si="34"/>
        <v>0</v>
      </c>
      <c r="AC95" s="301">
        <f t="shared" si="34"/>
        <v>0</v>
      </c>
      <c r="AD95" s="301">
        <f t="shared" si="34"/>
        <v>0</v>
      </c>
      <c r="AE95" s="301">
        <f t="shared" si="34"/>
        <v>0</v>
      </c>
      <c r="AF95" s="301">
        <f t="shared" si="34"/>
        <v>0</v>
      </c>
      <c r="AG95" s="301">
        <f t="shared" si="34"/>
        <v>0</v>
      </c>
      <c r="AH95" s="301">
        <f t="shared" si="34"/>
        <v>0</v>
      </c>
      <c r="AI95" s="301">
        <f t="shared" si="34"/>
        <v>0</v>
      </c>
      <c r="AJ95" s="301">
        <f t="shared" ref="AJ95:BD95" si="35">IFERROR(AJ45*Mild_testing_percentage*Tests_for_diagnosis,0)</f>
        <v>0</v>
      </c>
      <c r="AK95" s="301">
        <f t="shared" si="35"/>
        <v>0</v>
      </c>
      <c r="AL95" s="301">
        <f t="shared" si="35"/>
        <v>0</v>
      </c>
      <c r="AM95" s="301">
        <f t="shared" si="35"/>
        <v>0</v>
      </c>
      <c r="AN95" s="301">
        <f t="shared" si="35"/>
        <v>0</v>
      </c>
      <c r="AO95" s="301">
        <f t="shared" si="35"/>
        <v>0</v>
      </c>
      <c r="AP95" s="301">
        <f t="shared" si="35"/>
        <v>0</v>
      </c>
      <c r="AQ95" s="301">
        <f t="shared" si="35"/>
        <v>0</v>
      </c>
      <c r="AR95" s="301">
        <f t="shared" si="35"/>
        <v>0</v>
      </c>
      <c r="AS95" s="301">
        <f t="shared" si="35"/>
        <v>0</v>
      </c>
      <c r="AT95" s="301">
        <f t="shared" si="35"/>
        <v>0</v>
      </c>
      <c r="AU95" s="301">
        <f t="shared" si="35"/>
        <v>0</v>
      </c>
      <c r="AV95" s="301">
        <f t="shared" si="35"/>
        <v>0</v>
      </c>
      <c r="AW95" s="301">
        <f t="shared" si="35"/>
        <v>0</v>
      </c>
      <c r="AX95" s="301">
        <f t="shared" si="35"/>
        <v>0</v>
      </c>
      <c r="AY95" s="301">
        <f t="shared" si="35"/>
        <v>0</v>
      </c>
      <c r="AZ95" s="301">
        <f t="shared" si="35"/>
        <v>0</v>
      </c>
      <c r="BA95" s="301">
        <f t="shared" si="35"/>
        <v>0</v>
      </c>
      <c r="BB95" s="301">
        <f t="shared" si="35"/>
        <v>0</v>
      </c>
      <c r="BC95" s="301">
        <f t="shared" si="35"/>
        <v>0</v>
      </c>
      <c r="BD95" s="301">
        <f t="shared" si="35"/>
        <v>0</v>
      </c>
      <c r="BF95" s="1269">
        <f t="shared" si="24"/>
        <v>80.491719980139834</v>
      </c>
      <c r="BG95" s="3"/>
      <c r="BH95" s="1269">
        <f t="array" ref="BH95">MAX(IF(D$40:BD$40&gt;=Start_week_for_forecasting,IF(D$40:BD$40&lt;=WeekSuppliedUntil,D95:BD95)))</f>
        <v>57.09392330693484</v>
      </c>
    </row>
    <row r="96" spans="2:70" s="6" customFormat="1" x14ac:dyDescent="0.35">
      <c r="B96" s="316" t="s">
        <v>866</v>
      </c>
      <c r="C96" s="328" t="s">
        <v>949</v>
      </c>
      <c r="D96" s="301">
        <f t="shared" ref="D96:AI96" si="36">IFERROR(D48*Mild_testing_percentage*Tests_for_diagnosis,0)</f>
        <v>1</v>
      </c>
      <c r="E96" s="301">
        <f t="shared" si="36"/>
        <v>2.9803874416808513</v>
      </c>
      <c r="F96" s="301">
        <f t="shared" si="36"/>
        <v>10.242125669658243</v>
      </c>
      <c r="G96" s="301">
        <f t="shared" si="36"/>
        <v>35.196807709843043</v>
      </c>
      <c r="H96" s="301">
        <f t="shared" si="36"/>
        <v>120.94892611199444</v>
      </c>
      <c r="I96" s="301">
        <f t="shared" si="36"/>
        <v>415.57666989694826</v>
      </c>
      <c r="J96" s="301">
        <f t="shared" si="36"/>
        <v>1427.3480826733708</v>
      </c>
      <c r="K96" s="301">
        <f t="shared" si="36"/>
        <v>0</v>
      </c>
      <c r="L96" s="301">
        <f t="shared" si="36"/>
        <v>0</v>
      </c>
      <c r="M96" s="301">
        <f t="shared" si="36"/>
        <v>0</v>
      </c>
      <c r="N96" s="301">
        <f t="shared" si="36"/>
        <v>0</v>
      </c>
      <c r="O96" s="301">
        <f t="shared" si="36"/>
        <v>0</v>
      </c>
      <c r="P96" s="301">
        <f t="shared" si="36"/>
        <v>0</v>
      </c>
      <c r="Q96" s="301">
        <f t="shared" si="36"/>
        <v>0</v>
      </c>
      <c r="R96" s="301">
        <f t="shared" si="36"/>
        <v>0</v>
      </c>
      <c r="S96" s="301">
        <f t="shared" si="36"/>
        <v>0</v>
      </c>
      <c r="T96" s="301">
        <f t="shared" si="36"/>
        <v>0</v>
      </c>
      <c r="U96" s="301">
        <f t="shared" si="36"/>
        <v>0</v>
      </c>
      <c r="V96" s="301">
        <f t="shared" si="36"/>
        <v>0</v>
      </c>
      <c r="W96" s="301">
        <f t="shared" si="36"/>
        <v>0</v>
      </c>
      <c r="X96" s="301">
        <f t="shared" si="36"/>
        <v>0</v>
      </c>
      <c r="Y96" s="301">
        <f t="shared" si="36"/>
        <v>0</v>
      </c>
      <c r="Z96" s="301">
        <f t="shared" si="36"/>
        <v>0</v>
      </c>
      <c r="AA96" s="301">
        <f t="shared" si="36"/>
        <v>0</v>
      </c>
      <c r="AB96" s="301">
        <f t="shared" si="36"/>
        <v>0</v>
      </c>
      <c r="AC96" s="301">
        <f t="shared" si="36"/>
        <v>0</v>
      </c>
      <c r="AD96" s="301">
        <f t="shared" si="36"/>
        <v>0</v>
      </c>
      <c r="AE96" s="301">
        <f t="shared" si="36"/>
        <v>0</v>
      </c>
      <c r="AF96" s="301">
        <f t="shared" si="36"/>
        <v>0</v>
      </c>
      <c r="AG96" s="301">
        <f t="shared" si="36"/>
        <v>0</v>
      </c>
      <c r="AH96" s="301">
        <f t="shared" si="36"/>
        <v>0</v>
      </c>
      <c r="AI96" s="301">
        <f t="shared" si="36"/>
        <v>0</v>
      </c>
      <c r="AJ96" s="301">
        <f t="shared" ref="AJ96:BD96" si="37">IFERROR(AJ48*Mild_testing_percentage*Tests_for_diagnosis,0)</f>
        <v>0</v>
      </c>
      <c r="AK96" s="301">
        <f t="shared" si="37"/>
        <v>0</v>
      </c>
      <c r="AL96" s="301">
        <f t="shared" si="37"/>
        <v>0</v>
      </c>
      <c r="AM96" s="301">
        <f t="shared" si="37"/>
        <v>0</v>
      </c>
      <c r="AN96" s="301">
        <f t="shared" si="37"/>
        <v>0</v>
      </c>
      <c r="AO96" s="301">
        <f t="shared" si="37"/>
        <v>0</v>
      </c>
      <c r="AP96" s="301">
        <f t="shared" si="37"/>
        <v>0</v>
      </c>
      <c r="AQ96" s="301">
        <f t="shared" si="37"/>
        <v>0</v>
      </c>
      <c r="AR96" s="301">
        <f t="shared" si="37"/>
        <v>0</v>
      </c>
      <c r="AS96" s="301">
        <f t="shared" si="37"/>
        <v>0</v>
      </c>
      <c r="AT96" s="301">
        <f t="shared" si="37"/>
        <v>0</v>
      </c>
      <c r="AU96" s="301">
        <f t="shared" si="37"/>
        <v>0</v>
      </c>
      <c r="AV96" s="301">
        <f t="shared" si="37"/>
        <v>0</v>
      </c>
      <c r="AW96" s="301">
        <f t="shared" si="37"/>
        <v>0</v>
      </c>
      <c r="AX96" s="301">
        <f t="shared" si="37"/>
        <v>0</v>
      </c>
      <c r="AY96" s="301">
        <f t="shared" si="37"/>
        <v>0</v>
      </c>
      <c r="AZ96" s="301">
        <f t="shared" si="37"/>
        <v>0</v>
      </c>
      <c r="BA96" s="301">
        <f t="shared" si="37"/>
        <v>0</v>
      </c>
      <c r="BB96" s="301">
        <f t="shared" si="37"/>
        <v>0</v>
      </c>
      <c r="BC96" s="301">
        <f t="shared" si="37"/>
        <v>0</v>
      </c>
      <c r="BD96" s="301">
        <f t="shared" si="37"/>
        <v>0</v>
      </c>
      <c r="BF96" s="1269">
        <f t="shared" si="24"/>
        <v>2012.2929995034956</v>
      </c>
      <c r="BG96" s="3"/>
      <c r="BH96" s="1269">
        <f t="array" ref="BH96">MAX(IF(D$40:BD$40&gt;=Start_week_for_forecasting,IF(D$40:BD$40&lt;=WeekSuppliedUntil,D96:BD96)))</f>
        <v>1427.3480826733708</v>
      </c>
    </row>
    <row r="97" spans="2:70" x14ac:dyDescent="0.35">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1264"/>
      <c r="BG97" s="1264"/>
      <c r="BH97" s="1264"/>
      <c r="BI97" s="29"/>
      <c r="BJ97" s="29"/>
      <c r="BK97" s="29"/>
      <c r="BL97" s="29"/>
      <c r="BM97" s="29"/>
      <c r="BN97" s="29"/>
      <c r="BO97" s="29"/>
      <c r="BP97" s="29"/>
      <c r="BQ97" s="29"/>
      <c r="BR97" s="29"/>
    </row>
    <row r="98" spans="2:70" s="909" customFormat="1" x14ac:dyDescent="0.35">
      <c r="C98" s="17" t="s">
        <v>1792</v>
      </c>
      <c r="E98" s="1271" t="s">
        <v>1795</v>
      </c>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1264"/>
      <c r="BG98" s="1264"/>
      <c r="BH98" s="1264"/>
      <c r="BI98" s="29"/>
      <c r="BJ98" s="29"/>
      <c r="BK98" s="29"/>
      <c r="BL98" s="29"/>
      <c r="BM98" s="29"/>
      <c r="BN98" s="29"/>
      <c r="BO98" s="29"/>
      <c r="BP98" s="29"/>
      <c r="BQ98" s="29"/>
      <c r="BR98" s="29"/>
    </row>
    <row r="99" spans="2:70" s="3" customFormat="1" x14ac:dyDescent="0.35">
      <c r="B99" s="1270"/>
      <c r="C99" s="1268" t="s">
        <v>1791</v>
      </c>
      <c r="D99" s="1265">
        <f>IFERROR(IF(Mild_testing_strategy="Targeted",'Weekly Summary'!D96,'Weekly Summary'!D92),"")</f>
        <v>1</v>
      </c>
      <c r="E99" s="1265">
        <f>IFERROR(IF(Mild_testing_strategy="Targeted",'Weekly Summary'!E96,'Weekly Summary'!E92),"")</f>
        <v>2.9803874416808513</v>
      </c>
      <c r="F99" s="1265">
        <f>IFERROR(IF(Mild_testing_strategy="Targeted",'Weekly Summary'!F96,'Weekly Summary'!F92),"")</f>
        <v>10.242125669658243</v>
      </c>
      <c r="G99" s="1265">
        <f>IFERROR(IF(Mild_testing_strategy="Targeted",'Weekly Summary'!G96,'Weekly Summary'!G92),"")</f>
        <v>35.196807709843043</v>
      </c>
      <c r="H99" s="1265">
        <f>IFERROR(IF(Mild_testing_strategy="Targeted",'Weekly Summary'!H96,'Weekly Summary'!H92),"")</f>
        <v>120.94892611199444</v>
      </c>
      <c r="I99" s="1265">
        <f>IFERROR(IF(Mild_testing_strategy="Targeted",'Weekly Summary'!I96,'Weekly Summary'!I92),"")</f>
        <v>415.57666989694826</v>
      </c>
      <c r="J99" s="1265">
        <f>IFERROR(IF(Mild_testing_strategy="Targeted",'Weekly Summary'!J96,'Weekly Summary'!J92),"")</f>
        <v>1427.3480826733708</v>
      </c>
      <c r="K99" s="1265">
        <f>IFERROR(IF(Mild_testing_strategy="Targeted",'Weekly Summary'!K96,'Weekly Summary'!K92),"")</f>
        <v>0</v>
      </c>
      <c r="L99" s="1265">
        <f>IFERROR(IF(Mild_testing_strategy="Targeted",'Weekly Summary'!L96,'Weekly Summary'!L92),"")</f>
        <v>0</v>
      </c>
      <c r="M99" s="1265">
        <f>IFERROR(IF(Mild_testing_strategy="Targeted",'Weekly Summary'!M96,'Weekly Summary'!M92),"")</f>
        <v>0</v>
      </c>
      <c r="N99" s="1265">
        <f>IFERROR(IF(Mild_testing_strategy="Targeted",'Weekly Summary'!N96,'Weekly Summary'!N92),"")</f>
        <v>0</v>
      </c>
      <c r="O99" s="1265">
        <f>IFERROR(IF(Mild_testing_strategy="Targeted",'Weekly Summary'!O96,'Weekly Summary'!O92),"")</f>
        <v>0</v>
      </c>
      <c r="P99" s="1265">
        <f>IFERROR(IF(Mild_testing_strategy="Targeted",'Weekly Summary'!P96,'Weekly Summary'!P92),"")</f>
        <v>0</v>
      </c>
      <c r="Q99" s="1265">
        <f>IFERROR(IF(Mild_testing_strategy="Targeted",'Weekly Summary'!Q96,'Weekly Summary'!Q92),"")</f>
        <v>0</v>
      </c>
      <c r="R99" s="1265">
        <f>IFERROR(IF(Mild_testing_strategy="Targeted",'Weekly Summary'!R96,'Weekly Summary'!R92),"")</f>
        <v>0</v>
      </c>
      <c r="S99" s="1265">
        <f>IFERROR(IF(Mild_testing_strategy="Targeted",'Weekly Summary'!S96,'Weekly Summary'!S92),"")</f>
        <v>0</v>
      </c>
      <c r="T99" s="1265">
        <f>IFERROR(IF(Mild_testing_strategy="Targeted",'Weekly Summary'!T96,'Weekly Summary'!T92),"")</f>
        <v>0</v>
      </c>
      <c r="U99" s="1265">
        <f>IFERROR(IF(Mild_testing_strategy="Targeted",'Weekly Summary'!U96,'Weekly Summary'!U92),"")</f>
        <v>0</v>
      </c>
      <c r="V99" s="1265">
        <f>IFERROR(IF(Mild_testing_strategy="Targeted",'Weekly Summary'!V96,'Weekly Summary'!V92),"")</f>
        <v>0</v>
      </c>
      <c r="W99" s="1265">
        <f>IFERROR(IF(Mild_testing_strategy="Targeted",'Weekly Summary'!W96,'Weekly Summary'!W92),"")</f>
        <v>0</v>
      </c>
      <c r="X99" s="1265">
        <f>IFERROR(IF(Mild_testing_strategy="Targeted",'Weekly Summary'!X96,'Weekly Summary'!X92),"")</f>
        <v>0</v>
      </c>
      <c r="Y99" s="1265">
        <f>IFERROR(IF(Mild_testing_strategy="Targeted",'Weekly Summary'!Y96,'Weekly Summary'!Y92),"")</f>
        <v>0</v>
      </c>
      <c r="Z99" s="1265">
        <f>IFERROR(IF(Mild_testing_strategy="Targeted",'Weekly Summary'!Z96,'Weekly Summary'!Z92),"")</f>
        <v>0</v>
      </c>
      <c r="AA99" s="1265">
        <f>IFERROR(IF(Mild_testing_strategy="Targeted",'Weekly Summary'!AA96,'Weekly Summary'!AA92),"")</f>
        <v>0</v>
      </c>
      <c r="AB99" s="1265">
        <f>IFERROR(IF(Mild_testing_strategy="Targeted",'Weekly Summary'!AB96,'Weekly Summary'!AB92),"")</f>
        <v>0</v>
      </c>
      <c r="AC99" s="1265">
        <f>IFERROR(IF(Mild_testing_strategy="Targeted",'Weekly Summary'!AC96,'Weekly Summary'!AC92),"")</f>
        <v>0</v>
      </c>
      <c r="AD99" s="1265">
        <f>IFERROR(IF(Mild_testing_strategy="Targeted",'Weekly Summary'!AD96,'Weekly Summary'!AD92),"")</f>
        <v>0</v>
      </c>
      <c r="AE99" s="1265">
        <f>IFERROR(IF(Mild_testing_strategy="Targeted",'Weekly Summary'!AE96,'Weekly Summary'!AE92),"")</f>
        <v>0</v>
      </c>
      <c r="AF99" s="1265">
        <f>IFERROR(IF(Mild_testing_strategy="Targeted",'Weekly Summary'!AF96,'Weekly Summary'!AF92),"")</f>
        <v>0</v>
      </c>
      <c r="AG99" s="1265">
        <f>IFERROR(IF(Mild_testing_strategy="Targeted",'Weekly Summary'!AG96,'Weekly Summary'!AG92),"")</f>
        <v>0</v>
      </c>
      <c r="AH99" s="1265">
        <f>IFERROR(IF(Mild_testing_strategy="Targeted",'Weekly Summary'!AH96,'Weekly Summary'!AH92),"")</f>
        <v>0</v>
      </c>
      <c r="AI99" s="1265">
        <f>IFERROR(IF(Mild_testing_strategy="Targeted",'Weekly Summary'!AI96,'Weekly Summary'!AI92),"")</f>
        <v>0</v>
      </c>
      <c r="AJ99" s="1265">
        <f>IFERROR(IF(Mild_testing_strategy="Targeted",'Weekly Summary'!AJ96,'Weekly Summary'!AJ92),"")</f>
        <v>0</v>
      </c>
      <c r="AK99" s="1265">
        <f>IFERROR(IF(Mild_testing_strategy="Targeted",'Weekly Summary'!AK96,'Weekly Summary'!AK92),"")</f>
        <v>0</v>
      </c>
      <c r="AL99" s="1265">
        <f>IFERROR(IF(Mild_testing_strategy="Targeted",'Weekly Summary'!AL96,'Weekly Summary'!AL92),"")</f>
        <v>0</v>
      </c>
      <c r="AM99" s="1265">
        <f>IFERROR(IF(Mild_testing_strategy="Targeted",'Weekly Summary'!AM96,'Weekly Summary'!AM92),"")</f>
        <v>0</v>
      </c>
      <c r="AN99" s="1265">
        <f>IFERROR(IF(Mild_testing_strategy="Targeted",'Weekly Summary'!AN96,'Weekly Summary'!AN92),"")</f>
        <v>0</v>
      </c>
      <c r="AO99" s="1265">
        <f>IFERROR(IF(Mild_testing_strategy="Targeted",'Weekly Summary'!AO96,'Weekly Summary'!AO92),"")</f>
        <v>0</v>
      </c>
      <c r="AP99" s="1265">
        <f>IFERROR(IF(Mild_testing_strategy="Targeted",'Weekly Summary'!AP96,'Weekly Summary'!AP92),"")</f>
        <v>0</v>
      </c>
      <c r="AQ99" s="1265">
        <f>IFERROR(IF(Mild_testing_strategy="Targeted",'Weekly Summary'!AQ96,'Weekly Summary'!AQ92),"")</f>
        <v>0</v>
      </c>
      <c r="AR99" s="1265">
        <f>IFERROR(IF(Mild_testing_strategy="Targeted",'Weekly Summary'!AR96,'Weekly Summary'!AR92),"")</f>
        <v>0</v>
      </c>
      <c r="AS99" s="1265">
        <f>IFERROR(IF(Mild_testing_strategy="Targeted",'Weekly Summary'!AS96,'Weekly Summary'!AS92),"")</f>
        <v>0</v>
      </c>
      <c r="AT99" s="1265">
        <f>IFERROR(IF(Mild_testing_strategy="Targeted",'Weekly Summary'!AT96,'Weekly Summary'!AT92),"")</f>
        <v>0</v>
      </c>
      <c r="AU99" s="1265">
        <f>IFERROR(IF(Mild_testing_strategy="Targeted",'Weekly Summary'!AU96,'Weekly Summary'!AU92),"")</f>
        <v>0</v>
      </c>
      <c r="AV99" s="1265">
        <f>IFERROR(IF(Mild_testing_strategy="Targeted",'Weekly Summary'!AV96,'Weekly Summary'!AV92),"")</f>
        <v>0</v>
      </c>
      <c r="AW99" s="1265">
        <f>IFERROR(IF(Mild_testing_strategy="Targeted",'Weekly Summary'!AW96,'Weekly Summary'!AW92),"")</f>
        <v>0</v>
      </c>
      <c r="AX99" s="1265">
        <f>IFERROR(IF(Mild_testing_strategy="Targeted",'Weekly Summary'!AX96,'Weekly Summary'!AX92),"")</f>
        <v>0</v>
      </c>
      <c r="AY99" s="1265">
        <f>IFERROR(IF(Mild_testing_strategy="Targeted",'Weekly Summary'!AY96,'Weekly Summary'!AY92),"")</f>
        <v>0</v>
      </c>
      <c r="AZ99" s="1265">
        <f>IFERROR(IF(Mild_testing_strategy="Targeted",'Weekly Summary'!AZ96,'Weekly Summary'!AZ92),"")</f>
        <v>0</v>
      </c>
      <c r="BA99" s="1265">
        <f>IFERROR(IF(Mild_testing_strategy="Targeted",'Weekly Summary'!BA96,'Weekly Summary'!BA92),"")</f>
        <v>0</v>
      </c>
      <c r="BB99" s="1265">
        <f>IFERROR(IF(Mild_testing_strategy="Targeted",'Weekly Summary'!BB96,'Weekly Summary'!BB92),"")</f>
        <v>0</v>
      </c>
      <c r="BC99" s="1265">
        <f>IFERROR(IF(Mild_testing_strategy="Targeted",'Weekly Summary'!BC96,'Weekly Summary'!BC92),"")</f>
        <v>0</v>
      </c>
      <c r="BD99" s="1265">
        <f>IFERROR(IF(Mild_testing_strategy="Targeted",'Weekly Summary'!BD96,'Weekly Summary'!BD92),"")</f>
        <v>0</v>
      </c>
      <c r="BE99" s="1266"/>
      <c r="BF99" s="1265">
        <f>SUMIFS(D99:BD99,$D$40:$BD$40,"&gt;="&amp;Start_week_for_forecasting,$D$40:$BD$40,"&lt;="&amp;WeekSuppliedUntil)</f>
        <v>2012.2929995034956</v>
      </c>
      <c r="BG99" s="1267"/>
      <c r="BH99" s="1265">
        <f t="array" ref="BH99">MAX(IF(D$40:BD$40&gt;=Start_week_for_forecasting,IF(D$40:BD$40&lt;=WeekSuppliedUntil,D99:BD99)))</f>
        <v>1427.3480826733708</v>
      </c>
    </row>
    <row r="100" spans="2:70" s="3" customFormat="1" x14ac:dyDescent="0.35">
      <c r="C100" s="3" t="s">
        <v>970</v>
      </c>
      <c r="D100" s="341">
        <f>IF(Mild_testing_strategy="Targeted",'Weekly Summary'!D94,'Weekly Summary'!D90)</f>
        <v>4.0000000000000008E-2</v>
      </c>
      <c r="E100" s="341">
        <f>IF(Mild_testing_strategy="Targeted",'Weekly Summary'!E94,'Weekly Summary'!E90)</f>
        <v>0.11921549766723405</v>
      </c>
      <c r="F100" s="341">
        <f>IF(Mild_testing_strategy="Targeted",'Weekly Summary'!F94,'Weekly Summary'!F90)</f>
        <v>0.40968502678632979</v>
      </c>
      <c r="G100" s="341">
        <f>IF(Mild_testing_strategy="Targeted",'Weekly Summary'!G94,'Weekly Summary'!G90)</f>
        <v>1.4078723083937219</v>
      </c>
      <c r="H100" s="341">
        <f>IF(Mild_testing_strategy="Targeted",'Weekly Summary'!H94,'Weekly Summary'!H90)</f>
        <v>4.8379570444797784</v>
      </c>
      <c r="I100" s="341">
        <f>IF(Mild_testing_strategy="Targeted",'Weekly Summary'!I94,'Weekly Summary'!I90)</f>
        <v>16.623066795877932</v>
      </c>
      <c r="J100" s="341">
        <f>IF(Mild_testing_strategy="Targeted",'Weekly Summary'!J94,'Weekly Summary'!J90)</f>
        <v>57.09392330693484</v>
      </c>
      <c r="K100" s="341">
        <f>IF(Mild_testing_strategy="Targeted",'Weekly Summary'!K94,'Weekly Summary'!K90)</f>
        <v>0</v>
      </c>
      <c r="L100" s="341">
        <f>IF(Mild_testing_strategy="Targeted",'Weekly Summary'!L94,'Weekly Summary'!L90)</f>
        <v>0</v>
      </c>
      <c r="M100" s="341">
        <f>IF(Mild_testing_strategy="Targeted",'Weekly Summary'!M94,'Weekly Summary'!M90)</f>
        <v>0</v>
      </c>
      <c r="N100" s="341">
        <f>IF(Mild_testing_strategy="Targeted",'Weekly Summary'!N94,'Weekly Summary'!N90)</f>
        <v>0</v>
      </c>
      <c r="O100" s="341">
        <f>IF(Mild_testing_strategy="Targeted",'Weekly Summary'!O94,'Weekly Summary'!O90)</f>
        <v>0</v>
      </c>
      <c r="P100" s="341">
        <f>IF(Mild_testing_strategy="Targeted",'Weekly Summary'!P94,'Weekly Summary'!P90)</f>
        <v>0</v>
      </c>
      <c r="Q100" s="341">
        <f>IF(Mild_testing_strategy="Targeted",'Weekly Summary'!Q94,'Weekly Summary'!Q90)</f>
        <v>0</v>
      </c>
      <c r="R100" s="341">
        <f>IF(Mild_testing_strategy="Targeted",'Weekly Summary'!R94,'Weekly Summary'!R90)</f>
        <v>0</v>
      </c>
      <c r="S100" s="341">
        <f>IF(Mild_testing_strategy="Targeted",'Weekly Summary'!S94,'Weekly Summary'!S90)</f>
        <v>0</v>
      </c>
      <c r="T100" s="341">
        <f>IF(Mild_testing_strategy="Targeted",'Weekly Summary'!T94,'Weekly Summary'!T90)</f>
        <v>0</v>
      </c>
      <c r="U100" s="341">
        <f>IF(Mild_testing_strategy="Targeted",'Weekly Summary'!U94,'Weekly Summary'!U90)</f>
        <v>0</v>
      </c>
      <c r="V100" s="341">
        <f>IF(Mild_testing_strategy="Targeted",'Weekly Summary'!V94,'Weekly Summary'!V90)</f>
        <v>0</v>
      </c>
      <c r="W100" s="341">
        <f>IF(Mild_testing_strategy="Targeted",'Weekly Summary'!W94,'Weekly Summary'!W90)</f>
        <v>0</v>
      </c>
      <c r="X100" s="341">
        <f>IF(Mild_testing_strategy="Targeted",'Weekly Summary'!X94,'Weekly Summary'!X90)</f>
        <v>0</v>
      </c>
      <c r="Y100" s="341">
        <f>IF(Mild_testing_strategy="Targeted",'Weekly Summary'!Y94,'Weekly Summary'!Y90)</f>
        <v>0</v>
      </c>
      <c r="Z100" s="341">
        <f>IF(Mild_testing_strategy="Targeted",'Weekly Summary'!Z94,'Weekly Summary'!Z90)</f>
        <v>0</v>
      </c>
      <c r="AA100" s="341">
        <f>IF(Mild_testing_strategy="Targeted",'Weekly Summary'!AA94,'Weekly Summary'!AA90)</f>
        <v>0</v>
      </c>
      <c r="AB100" s="341">
        <f>IF(Mild_testing_strategy="Targeted",'Weekly Summary'!AB94,'Weekly Summary'!AB90)</f>
        <v>0</v>
      </c>
      <c r="AC100" s="341">
        <f>IF(Mild_testing_strategy="Targeted",'Weekly Summary'!AC94,'Weekly Summary'!AC90)</f>
        <v>0</v>
      </c>
      <c r="AD100" s="341">
        <f>IF(Mild_testing_strategy="Targeted",'Weekly Summary'!AD94,'Weekly Summary'!AD90)</f>
        <v>0</v>
      </c>
      <c r="AE100" s="341">
        <f>IF(Mild_testing_strategy="Targeted",'Weekly Summary'!AE94,'Weekly Summary'!AE90)</f>
        <v>0</v>
      </c>
      <c r="AF100" s="341">
        <f>IF(Mild_testing_strategy="Targeted",'Weekly Summary'!AF94,'Weekly Summary'!AF90)</f>
        <v>0</v>
      </c>
      <c r="AG100" s="341">
        <f>IF(Mild_testing_strategy="Targeted",'Weekly Summary'!AG94,'Weekly Summary'!AG90)</f>
        <v>0</v>
      </c>
      <c r="AH100" s="341">
        <f>IF(Mild_testing_strategy="Targeted",'Weekly Summary'!AH94,'Weekly Summary'!AH90)</f>
        <v>0</v>
      </c>
      <c r="AI100" s="341">
        <f>IF(Mild_testing_strategy="Targeted",'Weekly Summary'!AI94,'Weekly Summary'!AI90)</f>
        <v>0</v>
      </c>
      <c r="AJ100" s="341">
        <f>IF(Mild_testing_strategy="Targeted",'Weekly Summary'!AJ94,'Weekly Summary'!AJ90)</f>
        <v>0</v>
      </c>
      <c r="AK100" s="341">
        <f>IF(Mild_testing_strategy="Targeted",'Weekly Summary'!AK94,'Weekly Summary'!AK90)</f>
        <v>0</v>
      </c>
      <c r="AL100" s="341">
        <f>IF(Mild_testing_strategy="Targeted",'Weekly Summary'!AL94,'Weekly Summary'!AL90)</f>
        <v>0</v>
      </c>
      <c r="AM100" s="341">
        <f>IF(Mild_testing_strategy="Targeted",'Weekly Summary'!AM94,'Weekly Summary'!AM90)</f>
        <v>0</v>
      </c>
      <c r="AN100" s="341">
        <f>IF(Mild_testing_strategy="Targeted",'Weekly Summary'!AN94,'Weekly Summary'!AN90)</f>
        <v>0</v>
      </c>
      <c r="AO100" s="341">
        <f>IF(Mild_testing_strategy="Targeted",'Weekly Summary'!AO94,'Weekly Summary'!AO90)</f>
        <v>0</v>
      </c>
      <c r="AP100" s="341">
        <f>IF(Mild_testing_strategy="Targeted",'Weekly Summary'!AP94,'Weekly Summary'!AP90)</f>
        <v>0</v>
      </c>
      <c r="AQ100" s="341">
        <f>IF(Mild_testing_strategy="Targeted",'Weekly Summary'!AQ94,'Weekly Summary'!AQ90)</f>
        <v>0</v>
      </c>
      <c r="AR100" s="341">
        <f>IF(Mild_testing_strategy="Targeted",'Weekly Summary'!AR94,'Weekly Summary'!AR90)</f>
        <v>0</v>
      </c>
      <c r="AS100" s="341">
        <f>IF(Mild_testing_strategy="Targeted",'Weekly Summary'!AS94,'Weekly Summary'!AS90)</f>
        <v>0</v>
      </c>
      <c r="AT100" s="341">
        <f>IF(Mild_testing_strategy="Targeted",'Weekly Summary'!AT94,'Weekly Summary'!AT90)</f>
        <v>0</v>
      </c>
      <c r="AU100" s="341">
        <f>IF(Mild_testing_strategy="Targeted",'Weekly Summary'!AU94,'Weekly Summary'!AU90)</f>
        <v>0</v>
      </c>
      <c r="AV100" s="341">
        <f>IF(Mild_testing_strategy="Targeted",'Weekly Summary'!AV94,'Weekly Summary'!AV90)</f>
        <v>0</v>
      </c>
      <c r="AW100" s="341">
        <f>IF(Mild_testing_strategy="Targeted",'Weekly Summary'!AW94,'Weekly Summary'!AW90)</f>
        <v>0</v>
      </c>
      <c r="AX100" s="341">
        <f>IF(Mild_testing_strategy="Targeted",'Weekly Summary'!AX94,'Weekly Summary'!AX90)</f>
        <v>0</v>
      </c>
      <c r="AY100" s="341">
        <f>IF(Mild_testing_strategy="Targeted",'Weekly Summary'!AY94,'Weekly Summary'!AY90)</f>
        <v>0</v>
      </c>
      <c r="AZ100" s="341">
        <f>IF(Mild_testing_strategy="Targeted",'Weekly Summary'!AZ94,'Weekly Summary'!AZ90)</f>
        <v>0</v>
      </c>
      <c r="BA100" s="341">
        <f>IF(Mild_testing_strategy="Targeted",'Weekly Summary'!BA94,'Weekly Summary'!BA90)</f>
        <v>0</v>
      </c>
      <c r="BB100" s="341">
        <f>IF(Mild_testing_strategy="Targeted",'Weekly Summary'!BB94,'Weekly Summary'!BB90)</f>
        <v>0</v>
      </c>
      <c r="BC100" s="341">
        <f>IF(Mild_testing_strategy="Targeted",'Weekly Summary'!BC94,'Weekly Summary'!BC90)</f>
        <v>0</v>
      </c>
      <c r="BD100" s="341">
        <f>IF(Mild_testing_strategy="Targeted",'Weekly Summary'!BD94,'Weekly Summary'!BD90)</f>
        <v>0</v>
      </c>
      <c r="BF100" s="341">
        <f>SUMIFS($D100:$BD100,$D$40:$BD$40,"&lt;="&amp;WeekSuppliedUntil,$D$40:$BD$40,"&gt;="&amp;Start_week_for_forecasting)</f>
        <v>80.491719980139834</v>
      </c>
      <c r="BG100" s="5"/>
      <c r="BH100" s="341">
        <f t="array" ref="BH100">MAX(IF(D$40:BD$40&gt;=Start_week_for_forecasting,IF(D$40:BD$40&lt;=WeekSuppliedUntil,D100:BD100)))</f>
        <v>57.09392330693484</v>
      </c>
    </row>
    <row r="101" spans="2:70" s="5" customFormat="1" x14ac:dyDescent="0.35">
      <c r="C101" s="3" t="s">
        <v>971</v>
      </c>
      <c r="D101" s="341">
        <f>IF(Mild_testing_strategy="Targeted",'Weekly Summary'!D95,'Weekly Summary'!D91)</f>
        <v>4.0000000000000008E-2</v>
      </c>
      <c r="E101" s="341">
        <f>IF(Mild_testing_strategy="Targeted",'Weekly Summary'!E95,'Weekly Summary'!E91)</f>
        <v>0.11921549766723405</v>
      </c>
      <c r="F101" s="341">
        <f>IF(Mild_testing_strategy="Targeted",'Weekly Summary'!F95,'Weekly Summary'!F91)</f>
        <v>0.40968502678632979</v>
      </c>
      <c r="G101" s="341">
        <f>IF(Mild_testing_strategy="Targeted",'Weekly Summary'!G95,'Weekly Summary'!G91)</f>
        <v>1.4078723083937219</v>
      </c>
      <c r="H101" s="341">
        <f>IF(Mild_testing_strategy="Targeted",'Weekly Summary'!H95,'Weekly Summary'!H91)</f>
        <v>4.8379570444797784</v>
      </c>
      <c r="I101" s="341">
        <f>IF(Mild_testing_strategy="Targeted",'Weekly Summary'!I95,'Weekly Summary'!I91)</f>
        <v>16.623066795877932</v>
      </c>
      <c r="J101" s="341">
        <f>IF(Mild_testing_strategy="Targeted",'Weekly Summary'!J95,'Weekly Summary'!J91)</f>
        <v>57.09392330693484</v>
      </c>
      <c r="K101" s="341">
        <f>IF(Mild_testing_strategy="Targeted",'Weekly Summary'!K95,'Weekly Summary'!K91)</f>
        <v>0</v>
      </c>
      <c r="L101" s="341">
        <f>IF(Mild_testing_strategy="Targeted",'Weekly Summary'!L95,'Weekly Summary'!L91)</f>
        <v>0</v>
      </c>
      <c r="M101" s="341">
        <f>IF(Mild_testing_strategy="Targeted",'Weekly Summary'!M95,'Weekly Summary'!M91)</f>
        <v>0</v>
      </c>
      <c r="N101" s="341">
        <f>IF(Mild_testing_strategy="Targeted",'Weekly Summary'!N95,'Weekly Summary'!N91)</f>
        <v>0</v>
      </c>
      <c r="O101" s="341">
        <f>IF(Mild_testing_strategy="Targeted",'Weekly Summary'!O95,'Weekly Summary'!O91)</f>
        <v>0</v>
      </c>
      <c r="P101" s="341">
        <f>IF(Mild_testing_strategy="Targeted",'Weekly Summary'!P95,'Weekly Summary'!P91)</f>
        <v>0</v>
      </c>
      <c r="Q101" s="341">
        <f>IF(Mild_testing_strategy="Targeted",'Weekly Summary'!Q95,'Weekly Summary'!Q91)</f>
        <v>0</v>
      </c>
      <c r="R101" s="341">
        <f>IF(Mild_testing_strategy="Targeted",'Weekly Summary'!R95,'Weekly Summary'!R91)</f>
        <v>0</v>
      </c>
      <c r="S101" s="341">
        <f>IF(Mild_testing_strategy="Targeted",'Weekly Summary'!S95,'Weekly Summary'!S91)</f>
        <v>0</v>
      </c>
      <c r="T101" s="341">
        <f>IF(Mild_testing_strategy="Targeted",'Weekly Summary'!T95,'Weekly Summary'!T91)</f>
        <v>0</v>
      </c>
      <c r="U101" s="341">
        <f>IF(Mild_testing_strategy="Targeted",'Weekly Summary'!U95,'Weekly Summary'!U91)</f>
        <v>0</v>
      </c>
      <c r="V101" s="341">
        <f>IF(Mild_testing_strategy="Targeted",'Weekly Summary'!V95,'Weekly Summary'!V91)</f>
        <v>0</v>
      </c>
      <c r="W101" s="341">
        <f>IF(Mild_testing_strategy="Targeted",'Weekly Summary'!W95,'Weekly Summary'!W91)</f>
        <v>0</v>
      </c>
      <c r="X101" s="341">
        <f>IF(Mild_testing_strategy="Targeted",'Weekly Summary'!X95,'Weekly Summary'!X91)</f>
        <v>0</v>
      </c>
      <c r="Y101" s="341">
        <f>IF(Mild_testing_strategy="Targeted",'Weekly Summary'!Y95,'Weekly Summary'!Y91)</f>
        <v>0</v>
      </c>
      <c r="Z101" s="341">
        <f>IF(Mild_testing_strategy="Targeted",'Weekly Summary'!Z95,'Weekly Summary'!Z91)</f>
        <v>0</v>
      </c>
      <c r="AA101" s="341">
        <f>IF(Mild_testing_strategy="Targeted",'Weekly Summary'!AA95,'Weekly Summary'!AA91)</f>
        <v>0</v>
      </c>
      <c r="AB101" s="341">
        <f>IF(Mild_testing_strategy="Targeted",'Weekly Summary'!AB95,'Weekly Summary'!AB91)</f>
        <v>0</v>
      </c>
      <c r="AC101" s="341">
        <f>IF(Mild_testing_strategy="Targeted",'Weekly Summary'!AC95,'Weekly Summary'!AC91)</f>
        <v>0</v>
      </c>
      <c r="AD101" s="341">
        <f>IF(Mild_testing_strategy="Targeted",'Weekly Summary'!AD95,'Weekly Summary'!AD91)</f>
        <v>0</v>
      </c>
      <c r="AE101" s="341">
        <f>IF(Mild_testing_strategy="Targeted",'Weekly Summary'!AE95,'Weekly Summary'!AE91)</f>
        <v>0</v>
      </c>
      <c r="AF101" s="341">
        <f>IF(Mild_testing_strategy="Targeted",'Weekly Summary'!AF95,'Weekly Summary'!AF91)</f>
        <v>0</v>
      </c>
      <c r="AG101" s="341">
        <f>IF(Mild_testing_strategy="Targeted",'Weekly Summary'!AG95,'Weekly Summary'!AG91)</f>
        <v>0</v>
      </c>
      <c r="AH101" s="341">
        <f>IF(Mild_testing_strategy="Targeted",'Weekly Summary'!AH95,'Weekly Summary'!AH91)</f>
        <v>0</v>
      </c>
      <c r="AI101" s="341">
        <f>IF(Mild_testing_strategy="Targeted",'Weekly Summary'!AI95,'Weekly Summary'!AI91)</f>
        <v>0</v>
      </c>
      <c r="AJ101" s="341">
        <f>IF(Mild_testing_strategy="Targeted",'Weekly Summary'!AJ95,'Weekly Summary'!AJ91)</f>
        <v>0</v>
      </c>
      <c r="AK101" s="341">
        <f>IF(Mild_testing_strategy="Targeted",'Weekly Summary'!AK95,'Weekly Summary'!AK91)</f>
        <v>0</v>
      </c>
      <c r="AL101" s="341">
        <f>IF(Mild_testing_strategy="Targeted",'Weekly Summary'!AL95,'Weekly Summary'!AL91)</f>
        <v>0</v>
      </c>
      <c r="AM101" s="341">
        <f>IF(Mild_testing_strategy="Targeted",'Weekly Summary'!AM95,'Weekly Summary'!AM91)</f>
        <v>0</v>
      </c>
      <c r="AN101" s="341">
        <f>IF(Mild_testing_strategy="Targeted",'Weekly Summary'!AN95,'Weekly Summary'!AN91)</f>
        <v>0</v>
      </c>
      <c r="AO101" s="341">
        <f>IF(Mild_testing_strategy="Targeted",'Weekly Summary'!AO95,'Weekly Summary'!AO91)</f>
        <v>0</v>
      </c>
      <c r="AP101" s="341">
        <f>IF(Mild_testing_strategy="Targeted",'Weekly Summary'!AP95,'Weekly Summary'!AP91)</f>
        <v>0</v>
      </c>
      <c r="AQ101" s="341">
        <f>IF(Mild_testing_strategy="Targeted",'Weekly Summary'!AQ95,'Weekly Summary'!AQ91)</f>
        <v>0</v>
      </c>
      <c r="AR101" s="341">
        <f>IF(Mild_testing_strategy="Targeted",'Weekly Summary'!AR95,'Weekly Summary'!AR91)</f>
        <v>0</v>
      </c>
      <c r="AS101" s="341">
        <f>IF(Mild_testing_strategy="Targeted",'Weekly Summary'!AS95,'Weekly Summary'!AS91)</f>
        <v>0</v>
      </c>
      <c r="AT101" s="341">
        <f>IF(Mild_testing_strategy="Targeted",'Weekly Summary'!AT95,'Weekly Summary'!AT91)</f>
        <v>0</v>
      </c>
      <c r="AU101" s="341">
        <f>IF(Mild_testing_strategy="Targeted",'Weekly Summary'!AU95,'Weekly Summary'!AU91)</f>
        <v>0</v>
      </c>
      <c r="AV101" s="341">
        <f>IF(Mild_testing_strategy="Targeted",'Weekly Summary'!AV95,'Weekly Summary'!AV91)</f>
        <v>0</v>
      </c>
      <c r="AW101" s="341">
        <f>IF(Mild_testing_strategy="Targeted",'Weekly Summary'!AW95,'Weekly Summary'!AW91)</f>
        <v>0</v>
      </c>
      <c r="AX101" s="341">
        <f>IF(Mild_testing_strategy="Targeted",'Weekly Summary'!AX95,'Weekly Summary'!AX91)</f>
        <v>0</v>
      </c>
      <c r="AY101" s="341">
        <f>IF(Mild_testing_strategy="Targeted",'Weekly Summary'!AY95,'Weekly Summary'!AY91)</f>
        <v>0</v>
      </c>
      <c r="AZ101" s="341">
        <f>IF(Mild_testing_strategy="Targeted",'Weekly Summary'!AZ95,'Weekly Summary'!AZ91)</f>
        <v>0</v>
      </c>
      <c r="BA101" s="341">
        <f>IF(Mild_testing_strategy="Targeted",'Weekly Summary'!BA95,'Weekly Summary'!BA91)</f>
        <v>0</v>
      </c>
      <c r="BB101" s="341">
        <f>IF(Mild_testing_strategy="Targeted",'Weekly Summary'!BB95,'Weekly Summary'!BB91)</f>
        <v>0</v>
      </c>
      <c r="BC101" s="341">
        <f>IF(Mild_testing_strategy="Targeted",'Weekly Summary'!BC95,'Weekly Summary'!BC91)</f>
        <v>0</v>
      </c>
      <c r="BD101" s="341">
        <f>IF(Mild_testing_strategy="Targeted",'Weekly Summary'!BD95,'Weekly Summary'!BD91)</f>
        <v>0</v>
      </c>
      <c r="BF101" s="341">
        <f>SUMIFS($D101:$BD101,$D$40:$BD$40,"&lt;="&amp;WeekSuppliedUntil,$D$40:$BD$40,"&gt;="&amp;Start_week_for_forecasting)</f>
        <v>80.491719980139834</v>
      </c>
      <c r="BH101" s="341">
        <f t="array" ref="BH101">MAX(IF(D$40:BD$40&gt;=Start_week_for_forecasting,IF(D$40:BD$40&lt;=WeekSuppliedUntil,D101:BD101)))</f>
        <v>57.09392330693484</v>
      </c>
    </row>
    <row r="102" spans="2:70" s="5" customFormat="1" x14ac:dyDescent="0.35">
      <c r="C102" s="1263" t="s">
        <v>1794</v>
      </c>
      <c r="D102" s="341">
        <f ca="1">D86</f>
        <v>0.2</v>
      </c>
      <c r="E102" s="341">
        <f t="shared" ref="E102:BD102" ca="1" si="38">E86</f>
        <v>0.72597748833617026</v>
      </c>
      <c r="F102" s="341">
        <f t="shared" ca="1" si="38"/>
        <v>2.4605774626059915</v>
      </c>
      <c r="G102" s="341">
        <f t="shared" ca="1" si="38"/>
        <v>8.4443233524992358</v>
      </c>
      <c r="H102" s="341">
        <f t="shared" ca="1" si="38"/>
        <v>29.017903685648957</v>
      </c>
      <c r="I102" s="341">
        <f t="shared" ca="1" si="38"/>
        <v>99.706519674083808</v>
      </c>
      <c r="J102" s="341">
        <f t="shared" ca="1" si="38"/>
        <v>342.47674910708758</v>
      </c>
      <c r="K102" s="341">
        <f t="shared" ca="1" si="38"/>
        <v>195.80193268669456</v>
      </c>
      <c r="L102" s="341">
        <f t="shared" ca="1" si="38"/>
        <v>35.683702066834272</v>
      </c>
      <c r="M102" s="341">
        <f t="shared" ca="1" si="38"/>
        <v>0</v>
      </c>
      <c r="N102" s="341">
        <f t="shared" ca="1" si="38"/>
        <v>0</v>
      </c>
      <c r="O102" s="341">
        <f t="shared" ca="1" si="38"/>
        <v>0</v>
      </c>
      <c r="P102" s="341">
        <f t="shared" ca="1" si="38"/>
        <v>0</v>
      </c>
      <c r="Q102" s="341">
        <f t="shared" ca="1" si="38"/>
        <v>0</v>
      </c>
      <c r="R102" s="341">
        <f t="shared" ca="1" si="38"/>
        <v>0</v>
      </c>
      <c r="S102" s="341">
        <f t="shared" ca="1" si="38"/>
        <v>0</v>
      </c>
      <c r="T102" s="341">
        <f t="shared" ca="1" si="38"/>
        <v>0</v>
      </c>
      <c r="U102" s="341">
        <f t="shared" ca="1" si="38"/>
        <v>0</v>
      </c>
      <c r="V102" s="341">
        <f t="shared" ca="1" si="38"/>
        <v>0</v>
      </c>
      <c r="W102" s="341">
        <f t="shared" ca="1" si="38"/>
        <v>0</v>
      </c>
      <c r="X102" s="341">
        <f t="shared" ca="1" si="38"/>
        <v>0</v>
      </c>
      <c r="Y102" s="341">
        <f t="shared" ca="1" si="38"/>
        <v>0</v>
      </c>
      <c r="Z102" s="341">
        <f t="shared" ca="1" si="38"/>
        <v>0</v>
      </c>
      <c r="AA102" s="341">
        <f t="shared" ca="1" si="38"/>
        <v>0</v>
      </c>
      <c r="AB102" s="341">
        <f t="shared" ca="1" si="38"/>
        <v>0</v>
      </c>
      <c r="AC102" s="341">
        <f t="shared" ca="1" si="38"/>
        <v>0</v>
      </c>
      <c r="AD102" s="341">
        <f t="shared" ca="1" si="38"/>
        <v>0</v>
      </c>
      <c r="AE102" s="341">
        <f t="shared" ca="1" si="38"/>
        <v>0</v>
      </c>
      <c r="AF102" s="341">
        <f t="shared" ca="1" si="38"/>
        <v>0</v>
      </c>
      <c r="AG102" s="341">
        <f t="shared" ca="1" si="38"/>
        <v>0</v>
      </c>
      <c r="AH102" s="341">
        <f t="shared" ca="1" si="38"/>
        <v>0</v>
      </c>
      <c r="AI102" s="341">
        <f t="shared" ca="1" si="38"/>
        <v>0</v>
      </c>
      <c r="AJ102" s="341">
        <f t="shared" ca="1" si="38"/>
        <v>0</v>
      </c>
      <c r="AK102" s="341">
        <f t="shared" ca="1" si="38"/>
        <v>0</v>
      </c>
      <c r="AL102" s="341">
        <f t="shared" ca="1" si="38"/>
        <v>0</v>
      </c>
      <c r="AM102" s="341">
        <f t="shared" ca="1" si="38"/>
        <v>0</v>
      </c>
      <c r="AN102" s="341">
        <f t="shared" ca="1" si="38"/>
        <v>0</v>
      </c>
      <c r="AO102" s="341">
        <f t="shared" ca="1" si="38"/>
        <v>0</v>
      </c>
      <c r="AP102" s="341">
        <f t="shared" ca="1" si="38"/>
        <v>0</v>
      </c>
      <c r="AQ102" s="341">
        <f t="shared" ca="1" si="38"/>
        <v>0</v>
      </c>
      <c r="AR102" s="341">
        <f t="shared" ca="1" si="38"/>
        <v>0</v>
      </c>
      <c r="AS102" s="341">
        <f t="shared" ca="1" si="38"/>
        <v>0</v>
      </c>
      <c r="AT102" s="341">
        <f t="shared" ca="1" si="38"/>
        <v>0</v>
      </c>
      <c r="AU102" s="341">
        <f t="shared" ca="1" si="38"/>
        <v>0</v>
      </c>
      <c r="AV102" s="341">
        <f t="shared" ca="1" si="38"/>
        <v>0</v>
      </c>
      <c r="AW102" s="341">
        <f t="shared" ca="1" si="38"/>
        <v>0</v>
      </c>
      <c r="AX102" s="341">
        <f t="shared" ca="1" si="38"/>
        <v>0</v>
      </c>
      <c r="AY102" s="341">
        <f t="shared" ca="1" si="38"/>
        <v>0</v>
      </c>
      <c r="AZ102" s="341">
        <f t="shared" ca="1" si="38"/>
        <v>0</v>
      </c>
      <c r="BA102" s="341">
        <f t="shared" ca="1" si="38"/>
        <v>0</v>
      </c>
      <c r="BB102" s="341">
        <f t="shared" ca="1" si="38"/>
        <v>0</v>
      </c>
      <c r="BC102" s="341">
        <f t="shared" ca="1" si="38"/>
        <v>0</v>
      </c>
      <c r="BD102" s="341">
        <f t="shared" ca="1" si="38"/>
        <v>0</v>
      </c>
      <c r="BF102" s="341"/>
      <c r="BH102" s="341"/>
    </row>
    <row r="103" spans="2:70" s="3" customFormat="1" x14ac:dyDescent="0.35">
      <c r="D103" s="642"/>
      <c r="E103" s="642"/>
      <c r="F103" s="642"/>
      <c r="G103" s="642"/>
      <c r="H103" s="642"/>
      <c r="I103" s="642"/>
      <c r="J103" s="642"/>
      <c r="K103" s="642"/>
      <c r="L103" s="642"/>
      <c r="M103" s="642"/>
      <c r="N103" s="642"/>
      <c r="O103" s="642"/>
      <c r="P103" s="642"/>
      <c r="Q103" s="642"/>
      <c r="R103" s="642"/>
      <c r="S103" s="642"/>
      <c r="T103" s="642"/>
      <c r="U103" s="642"/>
      <c r="V103" s="642"/>
      <c r="W103" s="642"/>
      <c r="X103" s="642"/>
      <c r="Y103" s="642"/>
      <c r="Z103" s="642"/>
      <c r="AA103" s="642"/>
      <c r="AB103" s="642"/>
      <c r="AC103" s="642"/>
      <c r="AD103" s="642"/>
      <c r="AE103" s="642"/>
      <c r="AF103" s="642"/>
      <c r="AG103" s="642"/>
      <c r="AH103" s="642"/>
      <c r="AI103" s="642"/>
      <c r="AJ103" s="642"/>
      <c r="AK103" s="642"/>
      <c r="AL103" s="642"/>
      <c r="AM103" s="642"/>
      <c r="AN103" s="642"/>
      <c r="AO103" s="642"/>
      <c r="AP103" s="642"/>
      <c r="AQ103" s="642"/>
      <c r="AR103" s="642"/>
      <c r="AS103" s="642"/>
      <c r="AT103" s="642"/>
      <c r="AU103" s="642"/>
      <c r="AV103" s="642"/>
      <c r="AW103" s="642"/>
      <c r="AX103" s="642"/>
      <c r="AY103" s="642"/>
      <c r="AZ103" s="642"/>
      <c r="BA103" s="642"/>
      <c r="BB103" s="642"/>
      <c r="BC103" s="642"/>
      <c r="BD103" s="642"/>
      <c r="BF103" s="642"/>
      <c r="BH103" s="642"/>
    </row>
    <row r="104" spans="2:70" s="3" customFormat="1" x14ac:dyDescent="0.35">
      <c r="C104" s="17" t="s">
        <v>1793</v>
      </c>
      <c r="D104" s="642"/>
      <c r="E104" s="642"/>
      <c r="F104" s="642"/>
      <c r="G104" s="642"/>
      <c r="H104" s="642"/>
      <c r="I104" s="642"/>
      <c r="J104" s="642"/>
      <c r="K104" s="642"/>
      <c r="L104" s="642"/>
      <c r="M104" s="642"/>
      <c r="N104" s="642"/>
      <c r="O104" s="642"/>
      <c r="P104" s="642"/>
      <c r="Q104" s="642"/>
      <c r="R104" s="642"/>
      <c r="S104" s="642"/>
      <c r="T104" s="642"/>
      <c r="U104" s="642"/>
      <c r="V104" s="642"/>
      <c r="W104" s="642"/>
      <c r="X104" s="642"/>
      <c r="Y104" s="642"/>
      <c r="Z104" s="642"/>
      <c r="AA104" s="642"/>
      <c r="AB104" s="642"/>
      <c r="AC104" s="642"/>
      <c r="AD104" s="642"/>
      <c r="AE104" s="642"/>
      <c r="AF104" s="642"/>
      <c r="AG104" s="642"/>
      <c r="AH104" s="642"/>
      <c r="AI104" s="642"/>
      <c r="AJ104" s="642"/>
      <c r="AK104" s="642"/>
      <c r="AL104" s="642"/>
      <c r="AM104" s="642"/>
      <c r="AN104" s="642"/>
      <c r="AO104" s="642"/>
      <c r="AP104" s="642"/>
      <c r="AQ104" s="642"/>
      <c r="AR104" s="642"/>
      <c r="AS104" s="642"/>
      <c r="AT104" s="642"/>
      <c r="AU104" s="642"/>
      <c r="AV104" s="642"/>
      <c r="AW104" s="642"/>
      <c r="AX104" s="642"/>
      <c r="AY104" s="642"/>
      <c r="AZ104" s="642"/>
      <c r="BA104" s="642"/>
      <c r="BB104" s="642"/>
      <c r="BC104" s="642"/>
      <c r="BD104" s="642"/>
      <c r="BF104" s="642"/>
      <c r="BH104" s="642"/>
    </row>
    <row r="105" spans="2:70" s="3" customFormat="1" x14ac:dyDescent="0.35">
      <c r="C105" s="40" t="s">
        <v>1283</v>
      </c>
      <c r="D105" s="341">
        <f ca="1">IF('Weekly Summary'!D86+IF(Mild_testing_strategy="Targeted",'Weekly Summary'!D93,'Weekly Summary'!D89)&gt;MaxTestsPerDay*7,MaxTestsPerDay*7,'Weekly Summary'!D86+IF(Mild_testing_strategy="Targeted",'Weekly Summary'!D93,'Weekly Summary'!D89))</f>
        <v>1.28</v>
      </c>
      <c r="E105" s="341">
        <f ca="1">IF('Weekly Summary'!E86+IF(Mild_testing_strategy="Targeted",'Weekly Summary'!E93,'Weekly Summary'!E89)&gt;MaxTestsPerDay*7,MaxTestsPerDay*7,'Weekly Summary'!E86+IF(Mild_testing_strategy="Targeted",'Weekly Summary'!E93,'Weekly Summary'!E89))</f>
        <v>3.9447959253514897</v>
      </c>
      <c r="F105" s="341">
        <f ca="1">IF('Weekly Summary'!F86+IF(Mild_testing_strategy="Targeted",'Weekly Summary'!F93,'Weekly Summary'!F89)&gt;MaxTestsPerDay*7,MaxTestsPerDay*7,'Weekly Summary'!F86+IF(Mild_testing_strategy="Targeted",'Weekly Summary'!F93,'Weekly Summary'!F89))</f>
        <v>13.522073185836895</v>
      </c>
      <c r="G105" s="341">
        <f ca="1">IF('Weekly Summary'!G86+IF(Mild_testing_strategy="Targeted",'Weekly Summary'!G93,'Weekly Summary'!G89)&gt;MaxTestsPerDay*7,MaxTestsPerDay*7,'Weekly Summary'!G86+IF(Mild_testing_strategy="Targeted",'Weekly Summary'!G93,'Weekly Summary'!G89))</f>
        <v>46.456875679129723</v>
      </c>
      <c r="H105" s="341">
        <f ca="1">IF('Weekly Summary'!H86+IF(Mild_testing_strategy="Targeted",'Weekly Summary'!H93,'Weekly Summary'!H89)&gt;MaxTestsPerDay*7,MaxTestsPerDay*7,'Weekly Summary'!H86+IF(Mild_testing_strategy="Targeted",'Weekly Summary'!H93,'Weekly Summary'!H89))</f>
        <v>159.64274388660294</v>
      </c>
      <c r="I105" s="341">
        <f ca="1">IF('Weekly Summary'!I86+IF(Mild_testing_strategy="Targeted",'Weekly Summary'!I93,'Weekly Summary'!I89)&gt;MaxTestsPerDay*7,MaxTestsPerDay*7,'Weekly Summary'!I86+IF(Mild_testing_strategy="Targeted",'Weekly Summary'!I93,'Weekly Summary'!I89))</f>
        <v>548.52932316278793</v>
      </c>
      <c r="J105" s="341">
        <f ca="1">IF('Weekly Summary'!J86+IF(Mild_testing_strategy="Targeted",'Weekly Summary'!J93,'Weekly Summary'!J89)&gt;MaxTestsPerDay*7,MaxTestsPerDay*7,'Weekly Summary'!J86+IF(Mild_testing_strategy="Targeted",'Weekly Summary'!J93,'Weekly Summary'!J89))</f>
        <v>1884.0126783943278</v>
      </c>
      <c r="K105" s="341">
        <f ca="1">IF('Weekly Summary'!K86+IF(Mild_testing_strategy="Targeted",'Weekly Summary'!K93,'Weekly Summary'!K89)&gt;MaxTestsPerDay*7,MaxTestsPerDay*7,'Weekly Summary'!K86+IF(Mild_testing_strategy="Targeted",'Weekly Summary'!K93,'Weekly Summary'!K89))</f>
        <v>195.80193268669456</v>
      </c>
      <c r="L105" s="341">
        <f ca="1">IF('Weekly Summary'!L86+IF(Mild_testing_strategy="Targeted",'Weekly Summary'!L93,'Weekly Summary'!L89)&gt;MaxTestsPerDay*7,MaxTestsPerDay*7,'Weekly Summary'!L86+IF(Mild_testing_strategy="Targeted",'Weekly Summary'!L93,'Weekly Summary'!L89))</f>
        <v>35.683702066834272</v>
      </c>
      <c r="M105" s="341">
        <f ca="1">IF('Weekly Summary'!M86+IF(Mild_testing_strategy="Targeted",'Weekly Summary'!M93,'Weekly Summary'!M89)&gt;MaxTestsPerDay*7,MaxTestsPerDay*7,'Weekly Summary'!M86+IF(Mild_testing_strategy="Targeted",'Weekly Summary'!M93,'Weekly Summary'!M89))</f>
        <v>0</v>
      </c>
      <c r="N105" s="341">
        <f ca="1">IF('Weekly Summary'!N86+IF(Mild_testing_strategy="Targeted",'Weekly Summary'!N93,'Weekly Summary'!N89)&gt;MaxTestsPerDay*7,MaxTestsPerDay*7,'Weekly Summary'!N86+IF(Mild_testing_strategy="Targeted",'Weekly Summary'!N93,'Weekly Summary'!N89))</f>
        <v>0</v>
      </c>
      <c r="O105" s="341">
        <f ca="1">IF('Weekly Summary'!O86+IF(Mild_testing_strategy="Targeted",'Weekly Summary'!O93,'Weekly Summary'!O89)&gt;MaxTestsPerDay*7,MaxTestsPerDay*7,'Weekly Summary'!O86+IF(Mild_testing_strategy="Targeted",'Weekly Summary'!O93,'Weekly Summary'!O89))</f>
        <v>0</v>
      </c>
      <c r="P105" s="341">
        <f ca="1">IF('Weekly Summary'!P86+IF(Mild_testing_strategy="Targeted",'Weekly Summary'!P93,'Weekly Summary'!P89)&gt;MaxTestsPerDay*7,MaxTestsPerDay*7,'Weekly Summary'!P86+IF(Mild_testing_strategy="Targeted",'Weekly Summary'!P93,'Weekly Summary'!P89))</f>
        <v>0</v>
      </c>
      <c r="Q105" s="341">
        <f ca="1">IF('Weekly Summary'!Q86+IF(Mild_testing_strategy="Targeted",'Weekly Summary'!Q93,'Weekly Summary'!Q89)&gt;MaxTestsPerDay*7,MaxTestsPerDay*7,'Weekly Summary'!Q86+IF(Mild_testing_strategy="Targeted",'Weekly Summary'!Q93,'Weekly Summary'!Q89))</f>
        <v>0</v>
      </c>
      <c r="R105" s="341">
        <f ca="1">IF('Weekly Summary'!R86+IF(Mild_testing_strategy="Targeted",'Weekly Summary'!R93,'Weekly Summary'!R89)&gt;MaxTestsPerDay*7,MaxTestsPerDay*7,'Weekly Summary'!R86+IF(Mild_testing_strategy="Targeted",'Weekly Summary'!R93,'Weekly Summary'!R89))</f>
        <v>0</v>
      </c>
      <c r="S105" s="341">
        <f ca="1">IF('Weekly Summary'!S86+IF(Mild_testing_strategy="Targeted",'Weekly Summary'!S93,'Weekly Summary'!S89)&gt;MaxTestsPerDay*7,MaxTestsPerDay*7,'Weekly Summary'!S86+IF(Mild_testing_strategy="Targeted",'Weekly Summary'!S93,'Weekly Summary'!S89))</f>
        <v>0</v>
      </c>
      <c r="T105" s="341">
        <f ca="1">IF('Weekly Summary'!T86+IF(Mild_testing_strategy="Targeted",'Weekly Summary'!T93,'Weekly Summary'!T89)&gt;MaxTestsPerDay*7,MaxTestsPerDay*7,'Weekly Summary'!T86+IF(Mild_testing_strategy="Targeted",'Weekly Summary'!T93,'Weekly Summary'!T89))</f>
        <v>0</v>
      </c>
      <c r="U105" s="341">
        <f ca="1">IF('Weekly Summary'!U86+IF(Mild_testing_strategy="Targeted",'Weekly Summary'!U93,'Weekly Summary'!U89)&gt;MaxTestsPerDay*7,MaxTestsPerDay*7,'Weekly Summary'!U86+IF(Mild_testing_strategy="Targeted",'Weekly Summary'!U93,'Weekly Summary'!U89))</f>
        <v>0</v>
      </c>
      <c r="V105" s="341">
        <f ca="1">IF('Weekly Summary'!V86+IF(Mild_testing_strategy="Targeted",'Weekly Summary'!V93,'Weekly Summary'!V89)&gt;MaxTestsPerDay*7,MaxTestsPerDay*7,'Weekly Summary'!V86+IF(Mild_testing_strategy="Targeted",'Weekly Summary'!V93,'Weekly Summary'!V89))</f>
        <v>0</v>
      </c>
      <c r="W105" s="341">
        <f ca="1">IF('Weekly Summary'!W86+IF(Mild_testing_strategy="Targeted",'Weekly Summary'!W93,'Weekly Summary'!W89)&gt;MaxTestsPerDay*7,MaxTestsPerDay*7,'Weekly Summary'!W86+IF(Mild_testing_strategy="Targeted",'Weekly Summary'!W93,'Weekly Summary'!W89))</f>
        <v>0</v>
      </c>
      <c r="X105" s="341">
        <f ca="1">IF('Weekly Summary'!X86+IF(Mild_testing_strategy="Targeted",'Weekly Summary'!X93,'Weekly Summary'!X89)&gt;MaxTestsPerDay*7,MaxTestsPerDay*7,'Weekly Summary'!X86+IF(Mild_testing_strategy="Targeted",'Weekly Summary'!X93,'Weekly Summary'!X89))</f>
        <v>0</v>
      </c>
      <c r="Y105" s="341">
        <f ca="1">IF('Weekly Summary'!Y86+IF(Mild_testing_strategy="Targeted",'Weekly Summary'!Y93,'Weekly Summary'!Y89)&gt;MaxTestsPerDay*7,MaxTestsPerDay*7,'Weekly Summary'!Y86+IF(Mild_testing_strategy="Targeted",'Weekly Summary'!Y93,'Weekly Summary'!Y89))</f>
        <v>0</v>
      </c>
      <c r="Z105" s="341">
        <f ca="1">IF('Weekly Summary'!Z86+IF(Mild_testing_strategy="Targeted",'Weekly Summary'!Z93,'Weekly Summary'!Z89)&gt;MaxTestsPerDay*7,MaxTestsPerDay*7,'Weekly Summary'!Z86+IF(Mild_testing_strategy="Targeted",'Weekly Summary'!Z93,'Weekly Summary'!Z89))</f>
        <v>0</v>
      </c>
      <c r="AA105" s="341">
        <f ca="1">IF('Weekly Summary'!AA86+IF(Mild_testing_strategy="Targeted",'Weekly Summary'!AA93,'Weekly Summary'!AA89)&gt;MaxTestsPerDay*7,MaxTestsPerDay*7,'Weekly Summary'!AA86+IF(Mild_testing_strategy="Targeted",'Weekly Summary'!AA93,'Weekly Summary'!AA89))</f>
        <v>0</v>
      </c>
      <c r="AB105" s="341">
        <f ca="1">IF('Weekly Summary'!AB86+IF(Mild_testing_strategy="Targeted",'Weekly Summary'!AB93,'Weekly Summary'!AB89)&gt;MaxTestsPerDay*7,MaxTestsPerDay*7,'Weekly Summary'!AB86+IF(Mild_testing_strategy="Targeted",'Weekly Summary'!AB93,'Weekly Summary'!AB89))</f>
        <v>0</v>
      </c>
      <c r="AC105" s="341">
        <f ca="1">IF('Weekly Summary'!AC86+IF(Mild_testing_strategy="Targeted",'Weekly Summary'!AC93,'Weekly Summary'!AC89)&gt;MaxTestsPerDay*7,MaxTestsPerDay*7,'Weekly Summary'!AC86+IF(Mild_testing_strategy="Targeted",'Weekly Summary'!AC93,'Weekly Summary'!AC89))</f>
        <v>0</v>
      </c>
      <c r="AD105" s="341">
        <f ca="1">IF('Weekly Summary'!AD86+IF(Mild_testing_strategy="Targeted",'Weekly Summary'!AD93,'Weekly Summary'!AD89)&gt;MaxTestsPerDay*7,MaxTestsPerDay*7,'Weekly Summary'!AD86+IF(Mild_testing_strategy="Targeted",'Weekly Summary'!AD93,'Weekly Summary'!AD89))</f>
        <v>0</v>
      </c>
      <c r="AE105" s="341">
        <f ca="1">IF('Weekly Summary'!AE86+IF(Mild_testing_strategy="Targeted",'Weekly Summary'!AE93,'Weekly Summary'!AE89)&gt;MaxTestsPerDay*7,MaxTestsPerDay*7,'Weekly Summary'!AE86+IF(Mild_testing_strategy="Targeted",'Weekly Summary'!AE93,'Weekly Summary'!AE89))</f>
        <v>0</v>
      </c>
      <c r="AF105" s="341">
        <f ca="1">IF('Weekly Summary'!AF86+IF(Mild_testing_strategy="Targeted",'Weekly Summary'!AF93,'Weekly Summary'!AF89)&gt;MaxTestsPerDay*7,MaxTestsPerDay*7,'Weekly Summary'!AF86+IF(Mild_testing_strategy="Targeted",'Weekly Summary'!AF93,'Weekly Summary'!AF89))</f>
        <v>0</v>
      </c>
      <c r="AG105" s="341">
        <f ca="1">IF('Weekly Summary'!AG86+IF(Mild_testing_strategy="Targeted",'Weekly Summary'!AG93,'Weekly Summary'!AG89)&gt;MaxTestsPerDay*7,MaxTestsPerDay*7,'Weekly Summary'!AG86+IF(Mild_testing_strategy="Targeted",'Weekly Summary'!AG93,'Weekly Summary'!AG89))</f>
        <v>0</v>
      </c>
      <c r="AH105" s="341">
        <f ca="1">IF('Weekly Summary'!AH86+IF(Mild_testing_strategy="Targeted",'Weekly Summary'!AH93,'Weekly Summary'!AH89)&gt;MaxTestsPerDay*7,MaxTestsPerDay*7,'Weekly Summary'!AH86+IF(Mild_testing_strategy="Targeted",'Weekly Summary'!AH93,'Weekly Summary'!AH89))</f>
        <v>0</v>
      </c>
      <c r="AI105" s="341">
        <f ca="1">IF('Weekly Summary'!AI86+IF(Mild_testing_strategy="Targeted",'Weekly Summary'!AI93,'Weekly Summary'!AI89)&gt;MaxTestsPerDay*7,MaxTestsPerDay*7,'Weekly Summary'!AI86+IF(Mild_testing_strategy="Targeted",'Weekly Summary'!AI93,'Weekly Summary'!AI89))</f>
        <v>0</v>
      </c>
      <c r="AJ105" s="341">
        <f ca="1">IF('Weekly Summary'!AJ86+IF(Mild_testing_strategy="Targeted",'Weekly Summary'!AJ93,'Weekly Summary'!AJ89)&gt;MaxTestsPerDay*7,MaxTestsPerDay*7,'Weekly Summary'!AJ86+IF(Mild_testing_strategy="Targeted",'Weekly Summary'!AJ93,'Weekly Summary'!AJ89))</f>
        <v>0</v>
      </c>
      <c r="AK105" s="341">
        <f ca="1">IF('Weekly Summary'!AK86+IF(Mild_testing_strategy="Targeted",'Weekly Summary'!AK93,'Weekly Summary'!AK89)&gt;MaxTestsPerDay*7,MaxTestsPerDay*7,'Weekly Summary'!AK86+IF(Mild_testing_strategy="Targeted",'Weekly Summary'!AK93,'Weekly Summary'!AK89))</f>
        <v>0</v>
      </c>
      <c r="AL105" s="341">
        <f ca="1">IF('Weekly Summary'!AL86+IF(Mild_testing_strategy="Targeted",'Weekly Summary'!AL93,'Weekly Summary'!AL89)&gt;MaxTestsPerDay*7,MaxTestsPerDay*7,'Weekly Summary'!AL86+IF(Mild_testing_strategy="Targeted",'Weekly Summary'!AL93,'Weekly Summary'!AL89))</f>
        <v>0</v>
      </c>
      <c r="AM105" s="341">
        <f ca="1">IF('Weekly Summary'!AM86+IF(Mild_testing_strategy="Targeted",'Weekly Summary'!AM93,'Weekly Summary'!AM89)&gt;MaxTestsPerDay*7,MaxTestsPerDay*7,'Weekly Summary'!AM86+IF(Mild_testing_strategy="Targeted",'Weekly Summary'!AM93,'Weekly Summary'!AM89))</f>
        <v>0</v>
      </c>
      <c r="AN105" s="341">
        <f ca="1">IF('Weekly Summary'!AN86+IF(Mild_testing_strategy="Targeted",'Weekly Summary'!AN93,'Weekly Summary'!AN89)&gt;MaxTestsPerDay*7,MaxTestsPerDay*7,'Weekly Summary'!AN86+IF(Mild_testing_strategy="Targeted",'Weekly Summary'!AN93,'Weekly Summary'!AN89))</f>
        <v>0</v>
      </c>
      <c r="AO105" s="341">
        <f ca="1">IF('Weekly Summary'!AO86+IF(Mild_testing_strategy="Targeted",'Weekly Summary'!AO93,'Weekly Summary'!AO89)&gt;MaxTestsPerDay*7,MaxTestsPerDay*7,'Weekly Summary'!AO86+IF(Mild_testing_strategy="Targeted",'Weekly Summary'!AO93,'Weekly Summary'!AO89))</f>
        <v>0</v>
      </c>
      <c r="AP105" s="341">
        <f ca="1">IF('Weekly Summary'!AP86+IF(Mild_testing_strategy="Targeted",'Weekly Summary'!AP93,'Weekly Summary'!AP89)&gt;MaxTestsPerDay*7,MaxTestsPerDay*7,'Weekly Summary'!AP86+IF(Mild_testing_strategy="Targeted",'Weekly Summary'!AP93,'Weekly Summary'!AP89))</f>
        <v>0</v>
      </c>
      <c r="AQ105" s="341">
        <f ca="1">IF('Weekly Summary'!AQ86+IF(Mild_testing_strategy="Targeted",'Weekly Summary'!AQ93,'Weekly Summary'!AQ89)&gt;MaxTestsPerDay*7,MaxTestsPerDay*7,'Weekly Summary'!AQ86+IF(Mild_testing_strategy="Targeted",'Weekly Summary'!AQ93,'Weekly Summary'!AQ89))</f>
        <v>0</v>
      </c>
      <c r="AR105" s="341">
        <f ca="1">IF('Weekly Summary'!AR86+IF(Mild_testing_strategy="Targeted",'Weekly Summary'!AR93,'Weekly Summary'!AR89)&gt;MaxTestsPerDay*7,MaxTestsPerDay*7,'Weekly Summary'!AR86+IF(Mild_testing_strategy="Targeted",'Weekly Summary'!AR93,'Weekly Summary'!AR89))</f>
        <v>0</v>
      </c>
      <c r="AS105" s="341">
        <f ca="1">IF('Weekly Summary'!AS86+IF(Mild_testing_strategy="Targeted",'Weekly Summary'!AS93,'Weekly Summary'!AS89)&gt;MaxTestsPerDay*7,MaxTestsPerDay*7,'Weekly Summary'!AS86+IF(Mild_testing_strategy="Targeted",'Weekly Summary'!AS93,'Weekly Summary'!AS89))</f>
        <v>0</v>
      </c>
      <c r="AT105" s="341">
        <f ca="1">IF('Weekly Summary'!AT86+IF(Mild_testing_strategy="Targeted",'Weekly Summary'!AT93,'Weekly Summary'!AT89)&gt;MaxTestsPerDay*7,MaxTestsPerDay*7,'Weekly Summary'!AT86+IF(Mild_testing_strategy="Targeted",'Weekly Summary'!AT93,'Weekly Summary'!AT89))</f>
        <v>0</v>
      </c>
      <c r="AU105" s="341">
        <f ca="1">IF('Weekly Summary'!AU86+IF(Mild_testing_strategy="Targeted",'Weekly Summary'!AU93,'Weekly Summary'!AU89)&gt;MaxTestsPerDay*7,MaxTestsPerDay*7,'Weekly Summary'!AU86+IF(Mild_testing_strategy="Targeted",'Weekly Summary'!AU93,'Weekly Summary'!AU89))</f>
        <v>0</v>
      </c>
      <c r="AV105" s="341">
        <f ca="1">IF('Weekly Summary'!AV86+IF(Mild_testing_strategy="Targeted",'Weekly Summary'!AV93,'Weekly Summary'!AV89)&gt;MaxTestsPerDay*7,MaxTestsPerDay*7,'Weekly Summary'!AV86+IF(Mild_testing_strategy="Targeted",'Weekly Summary'!AV93,'Weekly Summary'!AV89))</f>
        <v>0</v>
      </c>
      <c r="AW105" s="341">
        <f ca="1">IF('Weekly Summary'!AW86+IF(Mild_testing_strategy="Targeted",'Weekly Summary'!AW93,'Weekly Summary'!AW89)&gt;MaxTestsPerDay*7,MaxTestsPerDay*7,'Weekly Summary'!AW86+IF(Mild_testing_strategy="Targeted",'Weekly Summary'!AW93,'Weekly Summary'!AW89))</f>
        <v>0</v>
      </c>
      <c r="AX105" s="341">
        <f ca="1">IF('Weekly Summary'!AX86+IF(Mild_testing_strategy="Targeted",'Weekly Summary'!AX93,'Weekly Summary'!AX89)&gt;MaxTestsPerDay*7,MaxTestsPerDay*7,'Weekly Summary'!AX86+IF(Mild_testing_strategy="Targeted",'Weekly Summary'!AX93,'Weekly Summary'!AX89))</f>
        <v>0</v>
      </c>
      <c r="AY105" s="341">
        <f ca="1">IF('Weekly Summary'!AY86+IF(Mild_testing_strategy="Targeted",'Weekly Summary'!AY93,'Weekly Summary'!AY89)&gt;MaxTestsPerDay*7,MaxTestsPerDay*7,'Weekly Summary'!AY86+IF(Mild_testing_strategy="Targeted",'Weekly Summary'!AY93,'Weekly Summary'!AY89))</f>
        <v>0</v>
      </c>
      <c r="AZ105" s="341">
        <f ca="1">IF('Weekly Summary'!AZ86+IF(Mild_testing_strategy="Targeted",'Weekly Summary'!AZ93,'Weekly Summary'!AZ89)&gt;MaxTestsPerDay*7,MaxTestsPerDay*7,'Weekly Summary'!AZ86+IF(Mild_testing_strategy="Targeted",'Weekly Summary'!AZ93,'Weekly Summary'!AZ89))</f>
        <v>0</v>
      </c>
      <c r="BA105" s="341">
        <f ca="1">IF('Weekly Summary'!BA86+IF(Mild_testing_strategy="Targeted",'Weekly Summary'!BA93,'Weekly Summary'!BA89)&gt;MaxTestsPerDay*7,MaxTestsPerDay*7,'Weekly Summary'!BA86+IF(Mild_testing_strategy="Targeted",'Weekly Summary'!BA93,'Weekly Summary'!BA89))</f>
        <v>0</v>
      </c>
      <c r="BB105" s="341">
        <f ca="1">IF('Weekly Summary'!BB86+IF(Mild_testing_strategy="Targeted",'Weekly Summary'!BB93,'Weekly Summary'!BB89)&gt;MaxTestsPerDay*7,MaxTestsPerDay*7,'Weekly Summary'!BB86+IF(Mild_testing_strategy="Targeted",'Weekly Summary'!BB93,'Weekly Summary'!BB89))</f>
        <v>0</v>
      </c>
      <c r="BC105" s="341">
        <f ca="1">IF('Weekly Summary'!BC86+IF(Mild_testing_strategy="Targeted",'Weekly Summary'!BC93,'Weekly Summary'!BC89)&gt;MaxTestsPerDay*7,MaxTestsPerDay*7,'Weekly Summary'!BC86+IF(Mild_testing_strategy="Targeted",'Weekly Summary'!BC93,'Weekly Summary'!BC89))</f>
        <v>0</v>
      </c>
      <c r="BD105" s="341">
        <f ca="1">IF('Weekly Summary'!BD86+IF(Mild_testing_strategy="Targeted",'Weekly Summary'!BD93,'Weekly Summary'!BD89)&gt;MaxTestsPerDay*7,MaxTestsPerDay*7,'Weekly Summary'!BD86+IF(Mild_testing_strategy="Targeted",'Weekly Summary'!BD93,'Weekly Summary'!BD89))</f>
        <v>0</v>
      </c>
      <c r="BF105" s="341">
        <f ca="1">SUMIFS($D105:$BD105,$D$40:$BD$40,"&lt;="&amp;WeekSuppliedUntil+(MAX(BedStay_Critical,BedStay_Severe)),$D$40:$BD$40,"&gt;="&amp;Start_week_for_forecasting)</f>
        <v>2887.5941249875659</v>
      </c>
      <c r="BG105" s="5"/>
      <c r="BH105" s="341">
        <f t="array" aca="1" ref="BH105" ca="1">MAX(IF(D$40:BD$40&gt;=Start_week_for_forecasting,IF(D$40:BD$40&lt;=WeekSuppliedUntil,D105:BD105)))</f>
        <v>1884.0126783943278</v>
      </c>
    </row>
    <row r="106" spans="2:70" s="909" customFormat="1" x14ac:dyDescent="0.35">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row>
    <row r="107" spans="2:70" s="395" customFormat="1" x14ac:dyDescent="0.35">
      <c r="B107" s="396" t="s">
        <v>1790</v>
      </c>
      <c r="D107" s="1587"/>
      <c r="E107" s="1587"/>
      <c r="F107" s="1587"/>
      <c r="G107" s="1587"/>
      <c r="H107" s="1587"/>
      <c r="I107" s="1587"/>
      <c r="J107" s="1587"/>
      <c r="K107" s="1587"/>
      <c r="L107" s="1587"/>
      <c r="M107" s="1587"/>
      <c r="N107" s="1587"/>
      <c r="O107" s="1587"/>
      <c r="P107" s="1587"/>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row>
    <row r="108" spans="2:70" s="25" customFormat="1" ht="18.75" customHeight="1" x14ac:dyDescent="0.35">
      <c r="C108" s="175" t="s">
        <v>1787</v>
      </c>
      <c r="D108" s="1589"/>
      <c r="E108" s="1589"/>
      <c r="F108" s="1589"/>
      <c r="G108" s="1589"/>
      <c r="H108" s="1589"/>
      <c r="I108" s="1589"/>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row>
    <row r="109" spans="2:70" s="6" customFormat="1" x14ac:dyDescent="0.35">
      <c r="C109" s="17" t="s">
        <v>916</v>
      </c>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F109" s="642"/>
      <c r="BG109" s="3"/>
      <c r="BH109" s="642"/>
    </row>
    <row r="110" spans="2:70" s="3" customFormat="1" x14ac:dyDescent="0.35">
      <c r="C110" s="40" t="s">
        <v>823</v>
      </c>
      <c r="D110" s="341">
        <f t="shared" ref="D110:AI110" ca="1" si="39">IFERROR(D66*HCWs_per_bed,"")</f>
        <v>0.56441608142657773</v>
      </c>
      <c r="E110" s="341">
        <f t="shared" ca="1" si="39"/>
        <v>1.823282621323133</v>
      </c>
      <c r="F110" s="341">
        <f t="shared" ca="1" si="39"/>
        <v>6.2013650861886918</v>
      </c>
      <c r="G110" s="341">
        <f t="shared" ca="1" si="39"/>
        <v>21.310849395301137</v>
      </c>
      <c r="H110" s="341">
        <f t="shared" ca="1" si="39"/>
        <v>73.23193000046318</v>
      </c>
      <c r="I110" s="341">
        <f t="shared" ca="1" si="39"/>
        <v>251.62453528776308</v>
      </c>
      <c r="J110" s="341">
        <f t="shared" ca="1" si="39"/>
        <v>864.25775054312828</v>
      </c>
      <c r="K110" s="341">
        <f t="shared" ca="1" si="39"/>
        <v>0</v>
      </c>
      <c r="L110" s="341">
        <f t="shared" ca="1" si="39"/>
        <v>0</v>
      </c>
      <c r="M110" s="341">
        <f t="shared" ca="1" si="39"/>
        <v>0</v>
      </c>
      <c r="N110" s="341">
        <f t="shared" ca="1" si="39"/>
        <v>0</v>
      </c>
      <c r="O110" s="341">
        <f t="shared" ca="1" si="39"/>
        <v>0</v>
      </c>
      <c r="P110" s="341">
        <f t="shared" ca="1" si="39"/>
        <v>0</v>
      </c>
      <c r="Q110" s="341">
        <f t="shared" ca="1" si="39"/>
        <v>0</v>
      </c>
      <c r="R110" s="341">
        <f t="shared" ca="1" si="39"/>
        <v>0</v>
      </c>
      <c r="S110" s="341">
        <f t="shared" ca="1" si="39"/>
        <v>0</v>
      </c>
      <c r="T110" s="341">
        <f t="shared" ca="1" si="39"/>
        <v>0</v>
      </c>
      <c r="U110" s="341">
        <f t="shared" ca="1" si="39"/>
        <v>0</v>
      </c>
      <c r="V110" s="341">
        <f t="shared" ca="1" si="39"/>
        <v>0</v>
      </c>
      <c r="W110" s="341">
        <f t="shared" ca="1" si="39"/>
        <v>0</v>
      </c>
      <c r="X110" s="341">
        <f t="shared" ca="1" si="39"/>
        <v>0</v>
      </c>
      <c r="Y110" s="341">
        <f t="shared" ca="1" si="39"/>
        <v>0</v>
      </c>
      <c r="Z110" s="341">
        <f t="shared" ca="1" si="39"/>
        <v>0</v>
      </c>
      <c r="AA110" s="341">
        <f t="shared" ca="1" si="39"/>
        <v>0</v>
      </c>
      <c r="AB110" s="341">
        <f t="shared" ca="1" si="39"/>
        <v>0</v>
      </c>
      <c r="AC110" s="341">
        <f t="shared" ca="1" si="39"/>
        <v>0</v>
      </c>
      <c r="AD110" s="341">
        <f t="shared" ca="1" si="39"/>
        <v>0</v>
      </c>
      <c r="AE110" s="341">
        <f t="shared" ca="1" si="39"/>
        <v>0</v>
      </c>
      <c r="AF110" s="341">
        <f t="shared" ca="1" si="39"/>
        <v>0</v>
      </c>
      <c r="AG110" s="341">
        <f t="shared" ca="1" si="39"/>
        <v>0</v>
      </c>
      <c r="AH110" s="341">
        <f t="shared" ca="1" si="39"/>
        <v>0</v>
      </c>
      <c r="AI110" s="341">
        <f t="shared" ca="1" si="39"/>
        <v>0</v>
      </c>
      <c r="AJ110" s="341">
        <f t="shared" ref="AJ110:BD110" ca="1" si="40">IFERROR(AJ66*HCWs_per_bed,"")</f>
        <v>0</v>
      </c>
      <c r="AK110" s="341">
        <f t="shared" ca="1" si="40"/>
        <v>0</v>
      </c>
      <c r="AL110" s="341">
        <f t="shared" ca="1" si="40"/>
        <v>0</v>
      </c>
      <c r="AM110" s="341">
        <f t="shared" ca="1" si="40"/>
        <v>0</v>
      </c>
      <c r="AN110" s="341">
        <f t="shared" ca="1" si="40"/>
        <v>0</v>
      </c>
      <c r="AO110" s="341">
        <f t="shared" ca="1" si="40"/>
        <v>0</v>
      </c>
      <c r="AP110" s="341">
        <f t="shared" ca="1" si="40"/>
        <v>0</v>
      </c>
      <c r="AQ110" s="341">
        <f t="shared" ca="1" si="40"/>
        <v>0</v>
      </c>
      <c r="AR110" s="341">
        <f t="shared" ca="1" si="40"/>
        <v>0</v>
      </c>
      <c r="AS110" s="341">
        <f t="shared" ca="1" si="40"/>
        <v>0</v>
      </c>
      <c r="AT110" s="341">
        <f t="shared" ca="1" si="40"/>
        <v>0</v>
      </c>
      <c r="AU110" s="341">
        <f t="shared" ca="1" si="40"/>
        <v>0</v>
      </c>
      <c r="AV110" s="341">
        <f t="shared" ca="1" si="40"/>
        <v>0</v>
      </c>
      <c r="AW110" s="341">
        <f t="shared" ca="1" si="40"/>
        <v>0</v>
      </c>
      <c r="AX110" s="341">
        <f t="shared" ca="1" si="40"/>
        <v>0</v>
      </c>
      <c r="AY110" s="341">
        <f t="shared" ca="1" si="40"/>
        <v>0</v>
      </c>
      <c r="AZ110" s="341">
        <f t="shared" ca="1" si="40"/>
        <v>0</v>
      </c>
      <c r="BA110" s="341">
        <f t="shared" ca="1" si="40"/>
        <v>0</v>
      </c>
      <c r="BB110" s="341">
        <f t="shared" ca="1" si="40"/>
        <v>0</v>
      </c>
      <c r="BC110" s="341">
        <f t="shared" ca="1" si="40"/>
        <v>0</v>
      </c>
      <c r="BD110" s="341">
        <f t="shared" ca="1" si="40"/>
        <v>0</v>
      </c>
      <c r="BF110" s="341">
        <f ca="1">SUMIFS(D110:BD110,$D$40:$BD$40,"&gt;="&amp;Start_week_for_forecasting,$D$40:$BD$40,"&lt;="&amp;WeekSuppliedUntil)</f>
        <v>1218.4497129341676</v>
      </c>
      <c r="BH110" s="341">
        <f t="array" aca="1" ref="BH110" ca="1">MAX(IF(D$40:BD$40&gt;=Start_week_for_forecasting,IF(D$40:BD$40&lt;=WeekSuppliedUntil,D110:BD110)))</f>
        <v>864.25775054312828</v>
      </c>
    </row>
    <row r="111" spans="2:70" s="6" customFormat="1" ht="18" customHeight="1" x14ac:dyDescent="0.35">
      <c r="C111" s="17" t="s">
        <v>1786</v>
      </c>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F111" s="36"/>
      <c r="BH111" s="73"/>
    </row>
    <row r="112" spans="2:70" x14ac:dyDescent="0.35">
      <c r="C112" s="40" t="s">
        <v>270</v>
      </c>
      <c r="D112" s="922">
        <f t="shared" ref="D112:AI112" ca="1" si="41">IFERROR(IF(D66*HCWs_per_bed&lt;$D$16,D66*HCWs_per_bed,$D$16),"")</f>
        <v>0.56441608142657773</v>
      </c>
      <c r="E112" s="232">
        <f t="shared" ca="1" si="41"/>
        <v>1.823282621323133</v>
      </c>
      <c r="F112" s="232">
        <f t="shared" ca="1" si="41"/>
        <v>6.2013650861886918</v>
      </c>
      <c r="G112" s="232">
        <f t="shared" ca="1" si="41"/>
        <v>21.310849395301137</v>
      </c>
      <c r="H112" s="232">
        <f t="shared" ca="1" si="41"/>
        <v>73.23193000046318</v>
      </c>
      <c r="I112" s="232">
        <f t="shared" ca="1" si="41"/>
        <v>251.62453528776308</v>
      </c>
      <c r="J112" s="232">
        <f t="shared" ca="1" si="41"/>
        <v>864.25775054312828</v>
      </c>
      <c r="K112" s="232">
        <f t="shared" ca="1" si="41"/>
        <v>0</v>
      </c>
      <c r="L112" s="232">
        <f t="shared" ca="1" si="41"/>
        <v>0</v>
      </c>
      <c r="M112" s="232">
        <f t="shared" ca="1" si="41"/>
        <v>0</v>
      </c>
      <c r="N112" s="232">
        <f t="shared" ca="1" si="41"/>
        <v>0</v>
      </c>
      <c r="O112" s="232">
        <f t="shared" ca="1" si="41"/>
        <v>0</v>
      </c>
      <c r="P112" s="232">
        <f t="shared" ca="1" si="41"/>
        <v>0</v>
      </c>
      <c r="Q112" s="232">
        <f t="shared" ca="1" si="41"/>
        <v>0</v>
      </c>
      <c r="R112" s="232">
        <f t="shared" ca="1" si="41"/>
        <v>0</v>
      </c>
      <c r="S112" s="232">
        <f t="shared" ca="1" si="41"/>
        <v>0</v>
      </c>
      <c r="T112" s="232">
        <f t="shared" ca="1" si="41"/>
        <v>0</v>
      </c>
      <c r="U112" s="232">
        <f t="shared" ca="1" si="41"/>
        <v>0</v>
      </c>
      <c r="V112" s="232">
        <f t="shared" ca="1" si="41"/>
        <v>0</v>
      </c>
      <c r="W112" s="232">
        <f t="shared" ca="1" si="41"/>
        <v>0</v>
      </c>
      <c r="X112" s="232">
        <f t="shared" ca="1" si="41"/>
        <v>0</v>
      </c>
      <c r="Y112" s="232">
        <f t="shared" ca="1" si="41"/>
        <v>0</v>
      </c>
      <c r="Z112" s="232">
        <f t="shared" ca="1" si="41"/>
        <v>0</v>
      </c>
      <c r="AA112" s="232">
        <f t="shared" ca="1" si="41"/>
        <v>0</v>
      </c>
      <c r="AB112" s="232">
        <f t="shared" ca="1" si="41"/>
        <v>0</v>
      </c>
      <c r="AC112" s="232">
        <f t="shared" ca="1" si="41"/>
        <v>0</v>
      </c>
      <c r="AD112" s="232">
        <f t="shared" ca="1" si="41"/>
        <v>0</v>
      </c>
      <c r="AE112" s="232">
        <f t="shared" ca="1" si="41"/>
        <v>0</v>
      </c>
      <c r="AF112" s="232">
        <f t="shared" ca="1" si="41"/>
        <v>0</v>
      </c>
      <c r="AG112" s="232">
        <f t="shared" ca="1" si="41"/>
        <v>0</v>
      </c>
      <c r="AH112" s="232">
        <f t="shared" ca="1" si="41"/>
        <v>0</v>
      </c>
      <c r="AI112" s="232">
        <f t="shared" ca="1" si="41"/>
        <v>0</v>
      </c>
      <c r="AJ112" s="232">
        <f t="shared" ref="AJ112:BD112" ca="1" si="42">IFERROR(IF(AJ66*HCWs_per_bed&lt;$D$16,AJ66*HCWs_per_bed,$D$16),"")</f>
        <v>0</v>
      </c>
      <c r="AK112" s="232">
        <f t="shared" ca="1" si="42"/>
        <v>0</v>
      </c>
      <c r="AL112" s="232">
        <f t="shared" ca="1" si="42"/>
        <v>0</v>
      </c>
      <c r="AM112" s="232">
        <f t="shared" ca="1" si="42"/>
        <v>0</v>
      </c>
      <c r="AN112" s="232">
        <f t="shared" ca="1" si="42"/>
        <v>0</v>
      </c>
      <c r="AO112" s="232">
        <f t="shared" ca="1" si="42"/>
        <v>0</v>
      </c>
      <c r="AP112" s="232">
        <f t="shared" ca="1" si="42"/>
        <v>0</v>
      </c>
      <c r="AQ112" s="232">
        <f t="shared" ca="1" si="42"/>
        <v>0</v>
      </c>
      <c r="AR112" s="232">
        <f t="shared" ca="1" si="42"/>
        <v>0</v>
      </c>
      <c r="AS112" s="232">
        <f t="shared" ca="1" si="42"/>
        <v>0</v>
      </c>
      <c r="AT112" s="232">
        <f t="shared" ca="1" si="42"/>
        <v>0</v>
      </c>
      <c r="AU112" s="232">
        <f t="shared" ca="1" si="42"/>
        <v>0</v>
      </c>
      <c r="AV112" s="232">
        <f t="shared" ca="1" si="42"/>
        <v>0</v>
      </c>
      <c r="AW112" s="232">
        <f t="shared" ca="1" si="42"/>
        <v>0</v>
      </c>
      <c r="AX112" s="232">
        <f t="shared" ca="1" si="42"/>
        <v>0</v>
      </c>
      <c r="AY112" s="232">
        <f t="shared" ca="1" si="42"/>
        <v>0</v>
      </c>
      <c r="AZ112" s="232">
        <f t="shared" ca="1" si="42"/>
        <v>0</v>
      </c>
      <c r="BA112" s="232">
        <f t="shared" ca="1" si="42"/>
        <v>0</v>
      </c>
      <c r="BB112" s="232">
        <f t="shared" ca="1" si="42"/>
        <v>0</v>
      </c>
      <c r="BC112" s="232">
        <f t="shared" ca="1" si="42"/>
        <v>0</v>
      </c>
      <c r="BD112" s="232">
        <f t="shared" ca="1" si="42"/>
        <v>0</v>
      </c>
      <c r="BE112"/>
      <c r="BF112" s="341">
        <f ca="1">SUMIFS($D112:$BD112,$D$40:$BD$40,"&lt;="&amp;WeekSuppliedUntil,$D$40:$BD$40,"&gt;="&amp;Start_week_for_forecasting)</f>
        <v>1218.4497129341676</v>
      </c>
      <c r="BG112" s="5"/>
      <c r="BH112" s="341">
        <f t="array" aca="1" ref="BH112" ca="1">MAX(IF(D$40:BD$40&gt;=Start_week_for_forecasting,IF(D$40:BD$40&lt;=WeekSuppliedUntil,D112:BD112)))</f>
        <v>864.25775054312828</v>
      </c>
      <c r="BI112"/>
      <c r="BJ112"/>
      <c r="BK112"/>
      <c r="BL112"/>
      <c r="BM112"/>
      <c r="BN112"/>
      <c r="BO112"/>
      <c r="BP112"/>
      <c r="BQ112"/>
      <c r="BR112"/>
    </row>
    <row r="113" spans="1:70" x14ac:dyDescent="0.35">
      <c r="C113" s="40" t="s">
        <v>824</v>
      </c>
      <c r="D113" s="922">
        <f t="shared" ref="D113:AI113" ca="1" si="43">IFERROR(IF(D66*Hygienists_per_bed&lt;$D$19,D66*Hygienists_per_bed,$D$19),"")</f>
        <v>0.14380575229869749</v>
      </c>
      <c r="E113" s="232">
        <f t="shared" ca="1" si="43"/>
        <v>0.46454829626717947</v>
      </c>
      <c r="F113" s="232">
        <f t="shared" ca="1" si="43"/>
        <v>1.5800258016111308</v>
      </c>
      <c r="G113" s="232">
        <f t="shared" ca="1" si="43"/>
        <v>5.4297225579923252</v>
      </c>
      <c r="H113" s="232">
        <f t="shared" ca="1" si="43"/>
        <v>18.658527162061578</v>
      </c>
      <c r="I113" s="232">
        <f t="shared" ca="1" si="43"/>
        <v>64.110603479631834</v>
      </c>
      <c r="J113" s="232">
        <f t="shared" ca="1" si="43"/>
        <v>220.20144373402704</v>
      </c>
      <c r="K113" s="232">
        <f t="shared" ca="1" si="43"/>
        <v>0</v>
      </c>
      <c r="L113" s="232">
        <f t="shared" ca="1" si="43"/>
        <v>0</v>
      </c>
      <c r="M113" s="232">
        <f t="shared" ca="1" si="43"/>
        <v>0</v>
      </c>
      <c r="N113" s="232">
        <f t="shared" ca="1" si="43"/>
        <v>0</v>
      </c>
      <c r="O113" s="232">
        <f t="shared" ca="1" si="43"/>
        <v>0</v>
      </c>
      <c r="P113" s="232">
        <f t="shared" ca="1" si="43"/>
        <v>0</v>
      </c>
      <c r="Q113" s="232">
        <f t="shared" ca="1" si="43"/>
        <v>0</v>
      </c>
      <c r="R113" s="232">
        <f t="shared" ca="1" si="43"/>
        <v>0</v>
      </c>
      <c r="S113" s="232">
        <f t="shared" ca="1" si="43"/>
        <v>0</v>
      </c>
      <c r="T113" s="232">
        <f t="shared" ca="1" si="43"/>
        <v>0</v>
      </c>
      <c r="U113" s="232">
        <f t="shared" ca="1" si="43"/>
        <v>0</v>
      </c>
      <c r="V113" s="232">
        <f t="shared" ca="1" si="43"/>
        <v>0</v>
      </c>
      <c r="W113" s="232">
        <f t="shared" ca="1" si="43"/>
        <v>0</v>
      </c>
      <c r="X113" s="232">
        <f t="shared" ca="1" si="43"/>
        <v>0</v>
      </c>
      <c r="Y113" s="232">
        <f t="shared" ca="1" si="43"/>
        <v>0</v>
      </c>
      <c r="Z113" s="232">
        <f t="shared" ca="1" si="43"/>
        <v>0</v>
      </c>
      <c r="AA113" s="232">
        <f t="shared" ca="1" si="43"/>
        <v>0</v>
      </c>
      <c r="AB113" s="232">
        <f t="shared" ca="1" si="43"/>
        <v>0</v>
      </c>
      <c r="AC113" s="232">
        <f t="shared" ca="1" si="43"/>
        <v>0</v>
      </c>
      <c r="AD113" s="232">
        <f t="shared" ca="1" si="43"/>
        <v>0</v>
      </c>
      <c r="AE113" s="232">
        <f t="shared" ca="1" si="43"/>
        <v>0</v>
      </c>
      <c r="AF113" s="232">
        <f t="shared" ca="1" si="43"/>
        <v>0</v>
      </c>
      <c r="AG113" s="232">
        <f t="shared" ca="1" si="43"/>
        <v>0</v>
      </c>
      <c r="AH113" s="232">
        <f t="shared" ca="1" si="43"/>
        <v>0</v>
      </c>
      <c r="AI113" s="232">
        <f t="shared" ca="1" si="43"/>
        <v>0</v>
      </c>
      <c r="AJ113" s="232">
        <f t="shared" ref="AJ113:BD113" ca="1" si="44">IFERROR(IF(AJ66*Hygienists_per_bed&lt;$D$19,AJ66*Hygienists_per_bed,$D$19),"")</f>
        <v>0</v>
      </c>
      <c r="AK113" s="232">
        <f t="shared" ca="1" si="44"/>
        <v>0</v>
      </c>
      <c r="AL113" s="232">
        <f t="shared" ca="1" si="44"/>
        <v>0</v>
      </c>
      <c r="AM113" s="232">
        <f t="shared" ca="1" si="44"/>
        <v>0</v>
      </c>
      <c r="AN113" s="232">
        <f t="shared" ca="1" si="44"/>
        <v>0</v>
      </c>
      <c r="AO113" s="232">
        <f t="shared" ca="1" si="44"/>
        <v>0</v>
      </c>
      <c r="AP113" s="232">
        <f t="shared" ca="1" si="44"/>
        <v>0</v>
      </c>
      <c r="AQ113" s="232">
        <f t="shared" ca="1" si="44"/>
        <v>0</v>
      </c>
      <c r="AR113" s="232">
        <f t="shared" ca="1" si="44"/>
        <v>0</v>
      </c>
      <c r="AS113" s="232">
        <f t="shared" ca="1" si="44"/>
        <v>0</v>
      </c>
      <c r="AT113" s="232">
        <f t="shared" ca="1" si="44"/>
        <v>0</v>
      </c>
      <c r="AU113" s="232">
        <f t="shared" ca="1" si="44"/>
        <v>0</v>
      </c>
      <c r="AV113" s="232">
        <f t="shared" ca="1" si="44"/>
        <v>0</v>
      </c>
      <c r="AW113" s="232">
        <f t="shared" ca="1" si="44"/>
        <v>0</v>
      </c>
      <c r="AX113" s="232">
        <f t="shared" ca="1" si="44"/>
        <v>0</v>
      </c>
      <c r="AY113" s="232">
        <f t="shared" ca="1" si="44"/>
        <v>0</v>
      </c>
      <c r="AZ113" s="232">
        <f t="shared" ca="1" si="44"/>
        <v>0</v>
      </c>
      <c r="BA113" s="232">
        <f t="shared" ca="1" si="44"/>
        <v>0</v>
      </c>
      <c r="BB113" s="232">
        <f t="shared" ca="1" si="44"/>
        <v>0</v>
      </c>
      <c r="BC113" s="232">
        <f t="shared" ca="1" si="44"/>
        <v>0</v>
      </c>
      <c r="BD113" s="232">
        <f t="shared" ca="1" si="44"/>
        <v>0</v>
      </c>
      <c r="BE113"/>
      <c r="BF113" s="341">
        <f ca="1">SUMIFS($D113:$BD113,$D$40:$BD$40,"&lt;="&amp;WeekSuppliedUntil,$D$40:$BD$40,"&gt;="&amp;Start_week_for_forecasting)</f>
        <v>310.44487103159111</v>
      </c>
      <c r="BG113" s="5"/>
      <c r="BH113" s="341">
        <f t="array" aca="1" ref="BH113" ca="1">MAX(IF(D$40:BD$40&gt;=Start_week_for_forecasting,IF(D$40:BD$40&lt;=WeekSuppliedUntil,D113:BD113)))</f>
        <v>220.20144373402704</v>
      </c>
      <c r="BI113"/>
      <c r="BJ113"/>
      <c r="BK113"/>
      <c r="BL113"/>
      <c r="BM113"/>
      <c r="BN113"/>
      <c r="BO113"/>
      <c r="BP113"/>
      <c r="BQ113"/>
      <c r="BR113"/>
    </row>
    <row r="114" spans="1:70" x14ac:dyDescent="0.35">
      <c r="C114" s="40" t="s">
        <v>1501</v>
      </c>
      <c r="D114" s="922">
        <f t="shared" ref="D114:AI114" ca="1" si="45">IFERROR(D66*Caretakers_per_bed,"")</f>
        <v>0</v>
      </c>
      <c r="E114" s="232">
        <f t="shared" ca="1" si="45"/>
        <v>0</v>
      </c>
      <c r="F114" s="232">
        <f t="shared" ca="1" si="45"/>
        <v>0</v>
      </c>
      <c r="G114" s="232">
        <f t="shared" ca="1" si="45"/>
        <v>0</v>
      </c>
      <c r="H114" s="232">
        <f t="shared" ca="1" si="45"/>
        <v>0</v>
      </c>
      <c r="I114" s="232">
        <f t="shared" ca="1" si="45"/>
        <v>0</v>
      </c>
      <c r="J114" s="232">
        <f t="shared" ca="1" si="45"/>
        <v>0</v>
      </c>
      <c r="K114" s="232">
        <f t="shared" si="45"/>
        <v>0</v>
      </c>
      <c r="L114" s="232">
        <f t="shared" si="45"/>
        <v>0</v>
      </c>
      <c r="M114" s="232">
        <f t="shared" si="45"/>
        <v>0</v>
      </c>
      <c r="N114" s="232">
        <f t="shared" si="45"/>
        <v>0</v>
      </c>
      <c r="O114" s="232">
        <f t="shared" si="45"/>
        <v>0</v>
      </c>
      <c r="P114" s="232">
        <f t="shared" si="45"/>
        <v>0</v>
      </c>
      <c r="Q114" s="232">
        <f t="shared" si="45"/>
        <v>0</v>
      </c>
      <c r="R114" s="232">
        <f t="shared" si="45"/>
        <v>0</v>
      </c>
      <c r="S114" s="232">
        <f t="shared" si="45"/>
        <v>0</v>
      </c>
      <c r="T114" s="232">
        <f t="shared" si="45"/>
        <v>0</v>
      </c>
      <c r="U114" s="232">
        <f t="shared" si="45"/>
        <v>0</v>
      </c>
      <c r="V114" s="232">
        <f t="shared" si="45"/>
        <v>0</v>
      </c>
      <c r="W114" s="232">
        <f t="shared" si="45"/>
        <v>0</v>
      </c>
      <c r="X114" s="232">
        <f t="shared" si="45"/>
        <v>0</v>
      </c>
      <c r="Y114" s="232">
        <f t="shared" si="45"/>
        <v>0</v>
      </c>
      <c r="Z114" s="232">
        <f t="shared" si="45"/>
        <v>0</v>
      </c>
      <c r="AA114" s="232">
        <f t="shared" si="45"/>
        <v>0</v>
      </c>
      <c r="AB114" s="232">
        <f t="shared" si="45"/>
        <v>0</v>
      </c>
      <c r="AC114" s="232">
        <f t="shared" si="45"/>
        <v>0</v>
      </c>
      <c r="AD114" s="232">
        <f t="shared" si="45"/>
        <v>0</v>
      </c>
      <c r="AE114" s="232">
        <f t="shared" si="45"/>
        <v>0</v>
      </c>
      <c r="AF114" s="232">
        <f t="shared" si="45"/>
        <v>0</v>
      </c>
      <c r="AG114" s="232">
        <f t="shared" si="45"/>
        <v>0</v>
      </c>
      <c r="AH114" s="232">
        <f t="shared" si="45"/>
        <v>0</v>
      </c>
      <c r="AI114" s="232">
        <f t="shared" si="45"/>
        <v>0</v>
      </c>
      <c r="AJ114" s="232">
        <f t="shared" ref="AJ114:BD114" si="46">IFERROR(AJ66*Caretakers_per_bed,"")</f>
        <v>0</v>
      </c>
      <c r="AK114" s="232">
        <f t="shared" si="46"/>
        <v>0</v>
      </c>
      <c r="AL114" s="232">
        <f t="shared" si="46"/>
        <v>0</v>
      </c>
      <c r="AM114" s="232">
        <f t="shared" si="46"/>
        <v>0</v>
      </c>
      <c r="AN114" s="232">
        <f t="shared" si="46"/>
        <v>0</v>
      </c>
      <c r="AO114" s="232">
        <f t="shared" si="46"/>
        <v>0</v>
      </c>
      <c r="AP114" s="232">
        <f t="shared" si="46"/>
        <v>0</v>
      </c>
      <c r="AQ114" s="232">
        <f t="shared" si="46"/>
        <v>0</v>
      </c>
      <c r="AR114" s="232">
        <f t="shared" si="46"/>
        <v>0</v>
      </c>
      <c r="AS114" s="232">
        <f t="shared" si="46"/>
        <v>0</v>
      </c>
      <c r="AT114" s="232">
        <f t="shared" si="46"/>
        <v>0</v>
      </c>
      <c r="AU114" s="232">
        <f t="shared" si="46"/>
        <v>0</v>
      </c>
      <c r="AV114" s="232">
        <f t="shared" si="46"/>
        <v>0</v>
      </c>
      <c r="AW114" s="232">
        <f t="shared" si="46"/>
        <v>0</v>
      </c>
      <c r="AX114" s="232">
        <f t="shared" si="46"/>
        <v>0</v>
      </c>
      <c r="AY114" s="232">
        <f t="shared" si="46"/>
        <v>0</v>
      </c>
      <c r="AZ114" s="232">
        <f t="shared" si="46"/>
        <v>0</v>
      </c>
      <c r="BA114" s="232">
        <f t="shared" si="46"/>
        <v>0</v>
      </c>
      <c r="BB114" s="232">
        <f t="shared" si="46"/>
        <v>0</v>
      </c>
      <c r="BC114" s="232">
        <f t="shared" si="46"/>
        <v>0</v>
      </c>
      <c r="BD114" s="232">
        <f t="shared" si="46"/>
        <v>0</v>
      </c>
      <c r="BE114"/>
      <c r="BF114" s="341">
        <f ca="1">SUMIFS($D114:$BD114,$D$40:$BD$40,"&lt;="&amp;WeekSuppliedUntil,$D$40:$BD$40,"&gt;="&amp;Start_week_for_forecasting)</f>
        <v>0</v>
      </c>
      <c r="BG114" s="5"/>
      <c r="BH114" s="341">
        <f t="array" aca="1" ref="BH114" ca="1">MAX(IF(D$40:BD$40&gt;=Start_week_for_forecasting,IF(D$40:BD$40&lt;=WeekSuppliedUntil,D114:BD114)))</f>
        <v>0</v>
      </c>
      <c r="BI114"/>
      <c r="BJ114"/>
      <c r="BK114"/>
      <c r="BL114"/>
      <c r="BM114"/>
      <c r="BN114"/>
      <c r="BO114"/>
      <c r="BP114"/>
      <c r="BQ114"/>
      <c r="BR114"/>
    </row>
    <row r="115" spans="1:70" x14ac:dyDescent="0.35">
      <c r="C115" s="40" t="s">
        <v>825</v>
      </c>
      <c r="D115" s="922">
        <f t="shared" ref="D115:AI115" ca="1" si="47">IFERROR(D66*Ambulanciers_per_bed,"")</f>
        <v>1.2E-2</v>
      </c>
      <c r="E115" s="232">
        <f t="shared" ca="1" si="47"/>
        <v>3.8764649300170206E-2</v>
      </c>
      <c r="F115" s="232">
        <f t="shared" ca="1" si="47"/>
        <v>0.1318466703609415</v>
      </c>
      <c r="G115" s="232">
        <f t="shared" ca="1" si="47"/>
        <v>0.45308806952709124</v>
      </c>
      <c r="H115" s="232">
        <f t="shared" ca="1" si="47"/>
        <v>1.5569775364734624</v>
      </c>
      <c r="I115" s="232">
        <f t="shared" ca="1" si="47"/>
        <v>5.3497668170993622</v>
      </c>
      <c r="J115" s="232">
        <f t="shared" ca="1" si="47"/>
        <v>18.374907001771295</v>
      </c>
      <c r="K115" s="232">
        <f t="shared" si="47"/>
        <v>0</v>
      </c>
      <c r="L115" s="232">
        <f t="shared" si="47"/>
        <v>0</v>
      </c>
      <c r="M115" s="232">
        <f t="shared" si="47"/>
        <v>0</v>
      </c>
      <c r="N115" s="232">
        <f t="shared" si="47"/>
        <v>0</v>
      </c>
      <c r="O115" s="232">
        <f t="shared" si="47"/>
        <v>0</v>
      </c>
      <c r="P115" s="232">
        <f t="shared" si="47"/>
        <v>0</v>
      </c>
      <c r="Q115" s="232">
        <f t="shared" si="47"/>
        <v>0</v>
      </c>
      <c r="R115" s="232">
        <f t="shared" si="47"/>
        <v>0</v>
      </c>
      <c r="S115" s="232">
        <f t="shared" si="47"/>
        <v>0</v>
      </c>
      <c r="T115" s="232">
        <f t="shared" si="47"/>
        <v>0</v>
      </c>
      <c r="U115" s="232">
        <f t="shared" si="47"/>
        <v>0</v>
      </c>
      <c r="V115" s="232">
        <f t="shared" si="47"/>
        <v>0</v>
      </c>
      <c r="W115" s="232">
        <f t="shared" si="47"/>
        <v>0</v>
      </c>
      <c r="X115" s="232">
        <f t="shared" si="47"/>
        <v>0</v>
      </c>
      <c r="Y115" s="232">
        <f t="shared" si="47"/>
        <v>0</v>
      </c>
      <c r="Z115" s="232">
        <f t="shared" si="47"/>
        <v>0</v>
      </c>
      <c r="AA115" s="232">
        <f t="shared" si="47"/>
        <v>0</v>
      </c>
      <c r="AB115" s="232">
        <f t="shared" si="47"/>
        <v>0</v>
      </c>
      <c r="AC115" s="232">
        <f t="shared" si="47"/>
        <v>0</v>
      </c>
      <c r="AD115" s="232">
        <f t="shared" si="47"/>
        <v>0</v>
      </c>
      <c r="AE115" s="232">
        <f t="shared" si="47"/>
        <v>0</v>
      </c>
      <c r="AF115" s="232">
        <f t="shared" si="47"/>
        <v>0</v>
      </c>
      <c r="AG115" s="232">
        <f t="shared" si="47"/>
        <v>0</v>
      </c>
      <c r="AH115" s="232">
        <f t="shared" si="47"/>
        <v>0</v>
      </c>
      <c r="AI115" s="232">
        <f t="shared" si="47"/>
        <v>0</v>
      </c>
      <c r="AJ115" s="232">
        <f t="shared" ref="AJ115:BD115" si="48">IFERROR(AJ66*Ambulanciers_per_bed,"")</f>
        <v>0</v>
      </c>
      <c r="AK115" s="232">
        <f t="shared" si="48"/>
        <v>0</v>
      </c>
      <c r="AL115" s="232">
        <f t="shared" si="48"/>
        <v>0</v>
      </c>
      <c r="AM115" s="232">
        <f t="shared" si="48"/>
        <v>0</v>
      </c>
      <c r="AN115" s="232">
        <f t="shared" si="48"/>
        <v>0</v>
      </c>
      <c r="AO115" s="232">
        <f t="shared" si="48"/>
        <v>0</v>
      </c>
      <c r="AP115" s="232">
        <f t="shared" si="48"/>
        <v>0</v>
      </c>
      <c r="AQ115" s="232">
        <f t="shared" si="48"/>
        <v>0</v>
      </c>
      <c r="AR115" s="232">
        <f t="shared" si="48"/>
        <v>0</v>
      </c>
      <c r="AS115" s="232">
        <f t="shared" si="48"/>
        <v>0</v>
      </c>
      <c r="AT115" s="232">
        <f t="shared" si="48"/>
        <v>0</v>
      </c>
      <c r="AU115" s="232">
        <f t="shared" si="48"/>
        <v>0</v>
      </c>
      <c r="AV115" s="232">
        <f t="shared" si="48"/>
        <v>0</v>
      </c>
      <c r="AW115" s="232">
        <f t="shared" si="48"/>
        <v>0</v>
      </c>
      <c r="AX115" s="232">
        <f t="shared" si="48"/>
        <v>0</v>
      </c>
      <c r="AY115" s="232">
        <f t="shared" si="48"/>
        <v>0</v>
      </c>
      <c r="AZ115" s="232">
        <f t="shared" si="48"/>
        <v>0</v>
      </c>
      <c r="BA115" s="232">
        <f t="shared" si="48"/>
        <v>0</v>
      </c>
      <c r="BB115" s="232">
        <f t="shared" si="48"/>
        <v>0</v>
      </c>
      <c r="BC115" s="232">
        <f t="shared" si="48"/>
        <v>0</v>
      </c>
      <c r="BD115" s="232">
        <f t="shared" si="48"/>
        <v>0</v>
      </c>
      <c r="BE115"/>
      <c r="BF115" s="341">
        <f ca="1">SUMIFS($D115:$BD115,$D$40:$BD$40,"&lt;="&amp;WeekSuppliedUntil,$D$40:$BD$40,"&gt;="&amp;Start_week_for_forecasting)</f>
        <v>25.905350744532321</v>
      </c>
      <c r="BG115" s="5"/>
      <c r="BH115" s="341">
        <f t="array" aca="1" ref="BH115" ca="1">MAX(IF(D$40:BD$40&gt;=Start_week_for_forecasting,IF(D$40:BD$40&lt;=WeekSuppliedUntil,D115:BD115)))</f>
        <v>18.374907001771295</v>
      </c>
      <c r="BI115"/>
      <c r="BJ115"/>
      <c r="BK115"/>
      <c r="BL115"/>
      <c r="BM115"/>
      <c r="BN115"/>
      <c r="BO115"/>
      <c r="BP115"/>
      <c r="BQ115"/>
      <c r="BR115"/>
    </row>
    <row r="116" spans="1:70" s="722" customFormat="1" x14ac:dyDescent="0.35">
      <c r="C116" s="40" t="s">
        <v>1524</v>
      </c>
      <c r="D116" s="922">
        <f t="shared" ref="D116:AI116" ca="1" si="49">IFERROR(D66*BiomedEngineers_per_bed,"")</f>
        <v>4.0000000000000001E-3</v>
      </c>
      <c r="E116" s="232">
        <f t="shared" ca="1" si="49"/>
        <v>1.2921549766723404E-2</v>
      </c>
      <c r="F116" s="232">
        <f t="shared" ca="1" si="49"/>
        <v>4.3948890120313833E-2</v>
      </c>
      <c r="G116" s="232">
        <f t="shared" ca="1" si="49"/>
        <v>0.15102935650903043</v>
      </c>
      <c r="H116" s="232">
        <f t="shared" ca="1" si="49"/>
        <v>0.51899251215782083</v>
      </c>
      <c r="I116" s="232">
        <f t="shared" ca="1" si="49"/>
        <v>1.7832556056997875</v>
      </c>
      <c r="J116" s="232">
        <f t="shared" ca="1" si="49"/>
        <v>6.1249690005904318</v>
      </c>
      <c r="K116" s="232">
        <f t="shared" si="49"/>
        <v>0</v>
      </c>
      <c r="L116" s="232">
        <f t="shared" si="49"/>
        <v>0</v>
      </c>
      <c r="M116" s="232">
        <f t="shared" si="49"/>
        <v>0</v>
      </c>
      <c r="N116" s="232">
        <f t="shared" si="49"/>
        <v>0</v>
      </c>
      <c r="O116" s="232">
        <f t="shared" si="49"/>
        <v>0</v>
      </c>
      <c r="P116" s="232">
        <f t="shared" si="49"/>
        <v>0</v>
      </c>
      <c r="Q116" s="232">
        <f t="shared" si="49"/>
        <v>0</v>
      </c>
      <c r="R116" s="232">
        <f t="shared" si="49"/>
        <v>0</v>
      </c>
      <c r="S116" s="232">
        <f t="shared" si="49"/>
        <v>0</v>
      </c>
      <c r="T116" s="232">
        <f t="shared" si="49"/>
        <v>0</v>
      </c>
      <c r="U116" s="232">
        <f t="shared" si="49"/>
        <v>0</v>
      </c>
      <c r="V116" s="232">
        <f t="shared" si="49"/>
        <v>0</v>
      </c>
      <c r="W116" s="232">
        <f t="shared" si="49"/>
        <v>0</v>
      </c>
      <c r="X116" s="232">
        <f t="shared" si="49"/>
        <v>0</v>
      </c>
      <c r="Y116" s="232">
        <f t="shared" si="49"/>
        <v>0</v>
      </c>
      <c r="Z116" s="232">
        <f t="shared" si="49"/>
        <v>0</v>
      </c>
      <c r="AA116" s="232">
        <f t="shared" si="49"/>
        <v>0</v>
      </c>
      <c r="AB116" s="232">
        <f t="shared" si="49"/>
        <v>0</v>
      </c>
      <c r="AC116" s="232">
        <f t="shared" si="49"/>
        <v>0</v>
      </c>
      <c r="AD116" s="232">
        <f t="shared" si="49"/>
        <v>0</v>
      </c>
      <c r="AE116" s="232">
        <f t="shared" si="49"/>
        <v>0</v>
      </c>
      <c r="AF116" s="232">
        <f t="shared" si="49"/>
        <v>0</v>
      </c>
      <c r="AG116" s="232">
        <f t="shared" si="49"/>
        <v>0</v>
      </c>
      <c r="AH116" s="232">
        <f t="shared" si="49"/>
        <v>0</v>
      </c>
      <c r="AI116" s="232">
        <f t="shared" si="49"/>
        <v>0</v>
      </c>
      <c r="AJ116" s="232">
        <f t="shared" ref="AJ116:BD116" si="50">IFERROR(AJ66*BiomedEngineers_per_bed,"")</f>
        <v>0</v>
      </c>
      <c r="AK116" s="232">
        <f t="shared" si="50"/>
        <v>0</v>
      </c>
      <c r="AL116" s="232">
        <f t="shared" si="50"/>
        <v>0</v>
      </c>
      <c r="AM116" s="232">
        <f t="shared" si="50"/>
        <v>0</v>
      </c>
      <c r="AN116" s="232">
        <f t="shared" si="50"/>
        <v>0</v>
      </c>
      <c r="AO116" s="232">
        <f t="shared" si="50"/>
        <v>0</v>
      </c>
      <c r="AP116" s="232">
        <f t="shared" si="50"/>
        <v>0</v>
      </c>
      <c r="AQ116" s="232">
        <f t="shared" si="50"/>
        <v>0</v>
      </c>
      <c r="AR116" s="232">
        <f t="shared" si="50"/>
        <v>0</v>
      </c>
      <c r="AS116" s="232">
        <f t="shared" si="50"/>
        <v>0</v>
      </c>
      <c r="AT116" s="232">
        <f t="shared" si="50"/>
        <v>0</v>
      </c>
      <c r="AU116" s="232">
        <f t="shared" si="50"/>
        <v>0</v>
      </c>
      <c r="AV116" s="232">
        <f t="shared" si="50"/>
        <v>0</v>
      </c>
      <c r="AW116" s="232">
        <f t="shared" si="50"/>
        <v>0</v>
      </c>
      <c r="AX116" s="232">
        <f t="shared" si="50"/>
        <v>0</v>
      </c>
      <c r="AY116" s="232">
        <f t="shared" si="50"/>
        <v>0</v>
      </c>
      <c r="AZ116" s="232">
        <f t="shared" si="50"/>
        <v>0</v>
      </c>
      <c r="BA116" s="232">
        <f t="shared" si="50"/>
        <v>0</v>
      </c>
      <c r="BB116" s="232">
        <f t="shared" si="50"/>
        <v>0</v>
      </c>
      <c r="BC116" s="232">
        <f t="shared" si="50"/>
        <v>0</v>
      </c>
      <c r="BD116" s="232">
        <f t="shared" si="50"/>
        <v>0</v>
      </c>
      <c r="BF116" s="341">
        <f ca="1">SUMIFS($D116:$BD116,$D$40:$BD$40,"&lt;="&amp;WeekSuppliedUntil,$D$40:$BD$40,"&gt;="&amp;Start_week_for_forecasting)</f>
        <v>8.635116914844108</v>
      </c>
      <c r="BG116" s="5"/>
      <c r="BH116" s="341">
        <f t="array" aca="1" ref="BH116" ca="1">MAX(IF(D$40:BD$40&gt;=Start_week_for_forecasting,IF(D$40:BD$40&lt;=WeekSuppliedUntil,D116:BD116)))</f>
        <v>6.1249690005904318</v>
      </c>
    </row>
    <row r="117" spans="1:70" x14ac:dyDescent="0.35">
      <c r="S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row>
    <row r="118" spans="1:70" s="25" customFormat="1" hidden="1" x14ac:dyDescent="0.35">
      <c r="A118" s="403" t="s">
        <v>1318</v>
      </c>
      <c r="C118" s="175" t="s">
        <v>969</v>
      </c>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F118" s="242"/>
      <c r="BH118" s="241"/>
    </row>
    <row r="119" spans="1:70" s="6" customFormat="1" hidden="1" x14ac:dyDescent="0.35">
      <c r="A119" s="403" t="s">
        <v>1318</v>
      </c>
      <c r="C119" s="31" t="s">
        <v>1316</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F119" s="36"/>
      <c r="BH119" s="73"/>
    </row>
    <row r="120" spans="1:70" s="129" customFormat="1" hidden="1" x14ac:dyDescent="0.35">
      <c r="A120" s="403" t="s">
        <v>1318</v>
      </c>
      <c r="C120" s="40" t="s">
        <v>270</v>
      </c>
      <c r="D120" s="232">
        <f>IFERROR(D101*Inputs!$I$86,"")</f>
        <v>0</v>
      </c>
      <c r="E120" s="232">
        <f>IFERROR(E101*Inputs!$I$86,"")</f>
        <v>0</v>
      </c>
      <c r="F120" s="232">
        <f>IFERROR(F101*Inputs!$I$86,"")</f>
        <v>0</v>
      </c>
      <c r="G120" s="232">
        <f>IFERROR(G101*Inputs!$I$86,"")</f>
        <v>0</v>
      </c>
      <c r="H120" s="232">
        <f>IFERROR(H101*Inputs!$I$86,"")</f>
        <v>0</v>
      </c>
      <c r="I120" s="232">
        <f>IFERROR(I101*Inputs!$I$86,"")</f>
        <v>0</v>
      </c>
      <c r="J120" s="232">
        <f>IFERROR(J101*Inputs!$I$86,"")</f>
        <v>0</v>
      </c>
      <c r="K120" s="232">
        <f>IFERROR(K101*Inputs!$I$86,"")</f>
        <v>0</v>
      </c>
      <c r="L120" s="232">
        <f>IFERROR(L101*Inputs!$I$86,"")</f>
        <v>0</v>
      </c>
      <c r="M120" s="232">
        <f>IFERROR(M101*Inputs!$I$86,"")</f>
        <v>0</v>
      </c>
      <c r="N120" s="232">
        <f>IFERROR(N101*Inputs!$I$86,"")</f>
        <v>0</v>
      </c>
      <c r="O120" s="232">
        <f>IFERROR(O101*Inputs!$I$86,"")</f>
        <v>0</v>
      </c>
      <c r="P120" s="232">
        <f>IFERROR(P101*Inputs!$I$86,"")</f>
        <v>0</v>
      </c>
      <c r="Q120" s="232">
        <f>IFERROR(Q101*Inputs!$I$86,"")</f>
        <v>0</v>
      </c>
      <c r="R120" s="232">
        <f>IFERROR(R101*Inputs!$I$86,"")</f>
        <v>0</v>
      </c>
      <c r="S120" s="232">
        <f>IFERROR(S101*Inputs!$I$86,"")</f>
        <v>0</v>
      </c>
      <c r="T120" s="232">
        <f>IFERROR(T101*Inputs!$I$86,"")</f>
        <v>0</v>
      </c>
      <c r="U120" s="232">
        <f>IFERROR(U101*Inputs!$I$86,"")</f>
        <v>0</v>
      </c>
      <c r="V120" s="232">
        <f>IFERROR(V101*Inputs!$I$86,"")</f>
        <v>0</v>
      </c>
      <c r="W120" s="232">
        <f>IFERROR(W101*Inputs!$I$86,"")</f>
        <v>0</v>
      </c>
      <c r="X120" s="232">
        <f>IFERROR(X101*Inputs!$I$86,"")</f>
        <v>0</v>
      </c>
      <c r="Y120" s="232">
        <f>IFERROR(Y101*Inputs!$I$86,"")</f>
        <v>0</v>
      </c>
      <c r="Z120" s="232">
        <f>IFERROR(Z101*Inputs!$I$86,"")</f>
        <v>0</v>
      </c>
      <c r="AA120" s="232">
        <f>IFERROR(AA101*Inputs!$I$86,"")</f>
        <v>0</v>
      </c>
      <c r="AB120" s="232">
        <f>IFERROR(AB101*Inputs!$I$86,"")</f>
        <v>0</v>
      </c>
      <c r="AC120" s="232">
        <f>IFERROR(AC101*Inputs!$I$86,"")</f>
        <v>0</v>
      </c>
      <c r="AD120" s="232">
        <f>IFERROR(AD101*Inputs!$I$86,"")</f>
        <v>0</v>
      </c>
      <c r="AE120" s="232">
        <f>IFERROR(AE101*Inputs!$I$86,"")</f>
        <v>0</v>
      </c>
      <c r="AF120" s="232">
        <f>IFERROR(AF101*Inputs!$I$86,"")</f>
        <v>0</v>
      </c>
      <c r="AG120" s="232">
        <f>IFERROR(AG101*Inputs!$I$86,"")</f>
        <v>0</v>
      </c>
      <c r="AH120" s="232">
        <f>IFERROR(AH101*Inputs!$I$86,"")</f>
        <v>0</v>
      </c>
      <c r="AI120" s="232">
        <f>IFERROR(AI101*Inputs!$I$86,"")</f>
        <v>0</v>
      </c>
      <c r="AJ120" s="232">
        <f>IFERROR(AJ101*Inputs!$I$86,"")</f>
        <v>0</v>
      </c>
      <c r="AK120" s="232">
        <f>IFERROR(AK101*Inputs!$I$86,"")</f>
        <v>0</v>
      </c>
      <c r="AL120" s="232">
        <f>IFERROR(AL101*Inputs!$I$86,"")</f>
        <v>0</v>
      </c>
      <c r="AM120" s="232">
        <f>IFERROR(AM101*Inputs!$I$86,"")</f>
        <v>0</v>
      </c>
      <c r="AN120" s="232">
        <f>IFERROR(AN101*Inputs!$I$86,"")</f>
        <v>0</v>
      </c>
      <c r="AO120" s="232">
        <f>IFERROR(AO101*Inputs!$I$86,"")</f>
        <v>0</v>
      </c>
      <c r="AP120" s="232">
        <f>IFERROR(AP101*Inputs!$I$86,"")</f>
        <v>0</v>
      </c>
      <c r="AQ120" s="232">
        <f>IFERROR(AQ101*Inputs!$I$86,"")</f>
        <v>0</v>
      </c>
      <c r="AR120" s="232">
        <f>IFERROR(AR101*Inputs!$I$86,"")</f>
        <v>0</v>
      </c>
      <c r="AS120" s="232">
        <f>IFERROR(AS101*Inputs!$I$86,"")</f>
        <v>0</v>
      </c>
      <c r="AT120" s="232">
        <f>IFERROR(AT101*Inputs!$I$86,"")</f>
        <v>0</v>
      </c>
      <c r="AU120" s="232">
        <f>IFERROR(AU101*Inputs!$I$86,"")</f>
        <v>0</v>
      </c>
      <c r="AV120" s="232">
        <f>IFERROR(AV101*Inputs!$I$86,"")</f>
        <v>0</v>
      </c>
      <c r="AW120" s="232">
        <f>IFERROR(AW101*Inputs!$I$86,"")</f>
        <v>0</v>
      </c>
      <c r="AX120" s="232">
        <f>IFERROR(AX101*Inputs!$I$86,"")</f>
        <v>0</v>
      </c>
      <c r="AY120" s="232">
        <f>IFERROR(AY101*Inputs!$I$86,"")</f>
        <v>0</v>
      </c>
      <c r="AZ120" s="232">
        <f>IFERROR(AZ101*Inputs!$I$86,"")</f>
        <v>0</v>
      </c>
      <c r="BA120" s="232">
        <f>IFERROR(BA101*Inputs!$I$86,"")</f>
        <v>0</v>
      </c>
      <c r="BB120" s="232">
        <f>IFERROR(BB101*Inputs!$I$86,"")</f>
        <v>0</v>
      </c>
      <c r="BC120" s="232">
        <f>IFERROR(BC101*Inputs!$I$86,"")</f>
        <v>0</v>
      </c>
      <c r="BD120" s="232">
        <f>IFERROR(BD101*Inputs!$I$86,"")</f>
        <v>0</v>
      </c>
      <c r="BF120" s="232">
        <f>SUMIFS($D120:$BD120,$D$40:$BD$40,"&lt;="&amp;WeekSuppliedUntil,$D$40:$BD$40,"&gt;="&amp;Start_week_for_forecasting)</f>
        <v>0</v>
      </c>
      <c r="BH120" s="341">
        <f t="array" ref="BH120">MAX(IF(D$40:BD$40&gt;=Start_week_for_forecasting,IF(D$40:BD$40&lt;=WeekSuppliedUntil,D120:BD120)))</f>
        <v>0</v>
      </c>
    </row>
    <row r="121" spans="1:70" s="129" customFormat="1" hidden="1" x14ac:dyDescent="0.35">
      <c r="A121" s="403" t="s">
        <v>1318</v>
      </c>
      <c r="C121" s="40" t="s">
        <v>824</v>
      </c>
      <c r="D121" s="232">
        <f>IFERROR(D101*Inputs!$I$87,"")</f>
        <v>0</v>
      </c>
      <c r="E121" s="232">
        <f>IFERROR(E101*Inputs!$I$87,"")</f>
        <v>0</v>
      </c>
      <c r="F121" s="232">
        <f>IFERROR(F101*Inputs!$I$87,"")</f>
        <v>0</v>
      </c>
      <c r="G121" s="232">
        <f>IFERROR(G101*Inputs!$I$87,"")</f>
        <v>0</v>
      </c>
      <c r="H121" s="232">
        <f>IFERROR(H101*Inputs!$I$87,"")</f>
        <v>0</v>
      </c>
      <c r="I121" s="232">
        <f>IFERROR(I101*Inputs!$I$87,"")</f>
        <v>0</v>
      </c>
      <c r="J121" s="232">
        <f>IFERROR(J101*Inputs!$I$87,"")</f>
        <v>0</v>
      </c>
      <c r="K121" s="232">
        <f>IFERROR(K101*Inputs!$I$87,"")</f>
        <v>0</v>
      </c>
      <c r="L121" s="232">
        <f>IFERROR(L101*Inputs!$I$87,"")</f>
        <v>0</v>
      </c>
      <c r="M121" s="232">
        <f>IFERROR(M101*Inputs!$I$87,"")</f>
        <v>0</v>
      </c>
      <c r="N121" s="232">
        <f>IFERROR(N101*Inputs!$I$87,"")</f>
        <v>0</v>
      </c>
      <c r="O121" s="232">
        <f>IFERROR(O101*Inputs!$I$87,"")</f>
        <v>0</v>
      </c>
      <c r="P121" s="232">
        <f>IFERROR(P101*Inputs!$I$87,"")</f>
        <v>0</v>
      </c>
      <c r="Q121" s="232">
        <f>IFERROR(Q101*Inputs!$I$87,"")</f>
        <v>0</v>
      </c>
      <c r="R121" s="232">
        <f>IFERROR(R101*Inputs!$I$87,"")</f>
        <v>0</v>
      </c>
      <c r="S121" s="232">
        <f>IFERROR(S101*Inputs!$I$87,"")</f>
        <v>0</v>
      </c>
      <c r="T121" s="232">
        <f>IFERROR(T101*Inputs!$I$87,"")</f>
        <v>0</v>
      </c>
      <c r="U121" s="232">
        <f>IFERROR(U101*Inputs!$I$87,"")</f>
        <v>0</v>
      </c>
      <c r="V121" s="232">
        <f>IFERROR(V101*Inputs!$I$87,"")</f>
        <v>0</v>
      </c>
      <c r="W121" s="232">
        <f>IFERROR(W101*Inputs!$I$87,"")</f>
        <v>0</v>
      </c>
      <c r="X121" s="232">
        <f>IFERROR(X101*Inputs!$I$87,"")</f>
        <v>0</v>
      </c>
      <c r="Y121" s="232">
        <f>IFERROR(Y101*Inputs!$I$87,"")</f>
        <v>0</v>
      </c>
      <c r="Z121" s="232">
        <f>IFERROR(Z101*Inputs!$I$87,"")</f>
        <v>0</v>
      </c>
      <c r="AA121" s="232">
        <f>IFERROR(AA101*Inputs!$I$87,"")</f>
        <v>0</v>
      </c>
      <c r="AB121" s="232">
        <f>IFERROR(AB101*Inputs!$I$87,"")</f>
        <v>0</v>
      </c>
      <c r="AC121" s="232">
        <f>IFERROR(AC101*Inputs!$I$87,"")</f>
        <v>0</v>
      </c>
      <c r="AD121" s="232">
        <f>IFERROR(AD101*Inputs!$I$87,"")</f>
        <v>0</v>
      </c>
      <c r="AE121" s="232">
        <f>IFERROR(AE101*Inputs!$I$87,"")</f>
        <v>0</v>
      </c>
      <c r="AF121" s="232">
        <f>IFERROR(AF101*Inputs!$I$87,"")</f>
        <v>0</v>
      </c>
      <c r="AG121" s="232">
        <f>IFERROR(AG101*Inputs!$I$87,"")</f>
        <v>0</v>
      </c>
      <c r="AH121" s="232">
        <f>IFERROR(AH101*Inputs!$I$87,"")</f>
        <v>0</v>
      </c>
      <c r="AI121" s="232">
        <f>IFERROR(AI101*Inputs!$I$87,"")</f>
        <v>0</v>
      </c>
      <c r="AJ121" s="232">
        <f>IFERROR(AJ101*Inputs!$I$87,"")</f>
        <v>0</v>
      </c>
      <c r="AK121" s="232">
        <f>IFERROR(AK101*Inputs!$I$87,"")</f>
        <v>0</v>
      </c>
      <c r="AL121" s="232">
        <f>IFERROR(AL101*Inputs!$I$87,"")</f>
        <v>0</v>
      </c>
      <c r="AM121" s="232">
        <f>IFERROR(AM101*Inputs!$I$87,"")</f>
        <v>0</v>
      </c>
      <c r="AN121" s="232">
        <f>IFERROR(AN101*Inputs!$I$87,"")</f>
        <v>0</v>
      </c>
      <c r="AO121" s="232">
        <f>IFERROR(AO101*Inputs!$I$87,"")</f>
        <v>0</v>
      </c>
      <c r="AP121" s="232">
        <f>IFERROR(AP101*Inputs!$I$87,"")</f>
        <v>0</v>
      </c>
      <c r="AQ121" s="232">
        <f>IFERROR(AQ101*Inputs!$I$87,"")</f>
        <v>0</v>
      </c>
      <c r="AR121" s="232">
        <f>IFERROR(AR101*Inputs!$I$87,"")</f>
        <v>0</v>
      </c>
      <c r="AS121" s="232">
        <f>IFERROR(AS101*Inputs!$I$87,"")</f>
        <v>0</v>
      </c>
      <c r="AT121" s="232">
        <f>IFERROR(AT101*Inputs!$I$87,"")</f>
        <v>0</v>
      </c>
      <c r="AU121" s="232">
        <f>IFERROR(AU101*Inputs!$I$87,"")</f>
        <v>0</v>
      </c>
      <c r="AV121" s="232">
        <f>IFERROR(AV101*Inputs!$I$87,"")</f>
        <v>0</v>
      </c>
      <c r="AW121" s="232">
        <f>IFERROR(AW101*Inputs!$I$87,"")</f>
        <v>0</v>
      </c>
      <c r="AX121" s="232">
        <f>IFERROR(AX101*Inputs!$I$87,"")</f>
        <v>0</v>
      </c>
      <c r="AY121" s="232">
        <f>IFERROR(AY101*Inputs!$I$87,"")</f>
        <v>0</v>
      </c>
      <c r="AZ121" s="232">
        <f>IFERROR(AZ101*Inputs!$I$87,"")</f>
        <v>0</v>
      </c>
      <c r="BA121" s="232">
        <f>IFERROR(BA101*Inputs!$I$87,"")</f>
        <v>0</v>
      </c>
      <c r="BB121" s="232">
        <f>IFERROR(BB101*Inputs!$I$87,"")</f>
        <v>0</v>
      </c>
      <c r="BC121" s="232">
        <f>IFERROR(BC101*Inputs!$I$87,"")</f>
        <v>0</v>
      </c>
      <c r="BD121" s="232">
        <f>IFERROR(BD101*Inputs!$I$87,"")</f>
        <v>0</v>
      </c>
      <c r="BF121" s="232">
        <f>SUMIFS($D121:$BD121,$D$40:$BD$40,"&lt;="&amp;WeekSuppliedUntil,$D$40:$BD$40,"&gt;="&amp;Start_week_for_forecasting)</f>
        <v>0</v>
      </c>
      <c r="BH121" s="341">
        <f t="array" ref="BH121">MAX(IF(D$40:BD$40&gt;=Start_week_for_forecasting,IF(D$40:BD$40&lt;=WeekSuppliedUntil,D121:BD121)))</f>
        <v>0</v>
      </c>
    </row>
    <row r="122" spans="1:70" s="129" customFormat="1" hidden="1" x14ac:dyDescent="0.35">
      <c r="A122" s="403" t="s">
        <v>1318</v>
      </c>
      <c r="C122" s="40" t="s">
        <v>283</v>
      </c>
      <c r="D122" s="232" t="str">
        <f>IFERROR(D101*Inputs!#REF!,"")</f>
        <v/>
      </c>
      <c r="E122" s="232" t="str">
        <f>IFERROR(E101*Inputs!#REF!,"")</f>
        <v/>
      </c>
      <c r="F122" s="232" t="str">
        <f>IFERROR(F101*Inputs!#REF!,"")</f>
        <v/>
      </c>
      <c r="G122" s="232" t="str">
        <f>IFERROR(G101*Inputs!#REF!,"")</f>
        <v/>
      </c>
      <c r="H122" s="232" t="str">
        <f>IFERROR(H101*Inputs!#REF!,"")</f>
        <v/>
      </c>
      <c r="I122" s="232" t="str">
        <f>IFERROR(I101*Inputs!#REF!,"")</f>
        <v/>
      </c>
      <c r="J122" s="232" t="str">
        <f>IFERROR(J101*Inputs!#REF!,"")</f>
        <v/>
      </c>
      <c r="K122" s="232" t="str">
        <f>IFERROR(K101*Inputs!#REF!,"")</f>
        <v/>
      </c>
      <c r="L122" s="232" t="str">
        <f>IFERROR(L101*Inputs!#REF!,"")</f>
        <v/>
      </c>
      <c r="M122" s="232" t="str">
        <f>IFERROR(M101*Inputs!#REF!,"")</f>
        <v/>
      </c>
      <c r="N122" s="232" t="str">
        <f>IFERROR(N101*Inputs!#REF!,"")</f>
        <v/>
      </c>
      <c r="O122" s="232" t="str">
        <f>IFERROR(O101*Inputs!#REF!,"")</f>
        <v/>
      </c>
      <c r="P122" s="232" t="str">
        <f>IFERROR(P101*Inputs!#REF!,"")</f>
        <v/>
      </c>
      <c r="Q122" s="232" t="str">
        <f>IFERROR(Q101*Inputs!#REF!,"")</f>
        <v/>
      </c>
      <c r="R122" s="232" t="str">
        <f>IFERROR(R101*Inputs!#REF!,"")</f>
        <v/>
      </c>
      <c r="S122" s="232" t="str">
        <f>IFERROR(S101*Inputs!#REF!,"")</f>
        <v/>
      </c>
      <c r="T122" s="232" t="str">
        <f>IFERROR(T101*Inputs!#REF!,"")</f>
        <v/>
      </c>
      <c r="U122" s="232" t="str">
        <f>IFERROR(U101*Inputs!#REF!,"")</f>
        <v/>
      </c>
      <c r="V122" s="232" t="str">
        <f>IFERROR(V101*Inputs!#REF!,"")</f>
        <v/>
      </c>
      <c r="W122" s="232" t="str">
        <f>IFERROR(W101*Inputs!#REF!,"")</f>
        <v/>
      </c>
      <c r="X122" s="232" t="str">
        <f>IFERROR(X101*Inputs!#REF!,"")</f>
        <v/>
      </c>
      <c r="Y122" s="232" t="str">
        <f>IFERROR(Y101*Inputs!#REF!,"")</f>
        <v/>
      </c>
      <c r="Z122" s="232" t="str">
        <f>IFERROR(Z101*Inputs!#REF!,"")</f>
        <v/>
      </c>
      <c r="AA122" s="232" t="str">
        <f>IFERROR(AA101*Inputs!#REF!,"")</f>
        <v/>
      </c>
      <c r="AB122" s="232" t="str">
        <f>IFERROR(AB101*Inputs!#REF!,"")</f>
        <v/>
      </c>
      <c r="AC122" s="232" t="str">
        <f>IFERROR(AC101*Inputs!#REF!,"")</f>
        <v/>
      </c>
      <c r="AD122" s="232" t="str">
        <f>IFERROR(AD101*Inputs!#REF!,"")</f>
        <v/>
      </c>
      <c r="AE122" s="232" t="str">
        <f>IFERROR(AE101*Inputs!#REF!,"")</f>
        <v/>
      </c>
      <c r="AF122" s="232" t="str">
        <f>IFERROR(AF101*Inputs!#REF!,"")</f>
        <v/>
      </c>
      <c r="AG122" s="232" t="str">
        <f>IFERROR(AG101*Inputs!#REF!,"")</f>
        <v/>
      </c>
      <c r="AH122" s="232" t="str">
        <f>IFERROR(AH101*Inputs!#REF!,"")</f>
        <v/>
      </c>
      <c r="AI122" s="232" t="str">
        <f>IFERROR(AI101*Inputs!#REF!,"")</f>
        <v/>
      </c>
      <c r="AJ122" s="232" t="str">
        <f>IFERROR(AJ101*Inputs!#REF!,"")</f>
        <v/>
      </c>
      <c r="AK122" s="232" t="str">
        <f>IFERROR(AK101*Inputs!#REF!,"")</f>
        <v/>
      </c>
      <c r="AL122" s="232" t="str">
        <f>IFERROR(AL101*Inputs!#REF!,"")</f>
        <v/>
      </c>
      <c r="AM122" s="232" t="str">
        <f>IFERROR(AM101*Inputs!#REF!,"")</f>
        <v/>
      </c>
      <c r="AN122" s="232" t="str">
        <f>IFERROR(AN101*Inputs!#REF!,"")</f>
        <v/>
      </c>
      <c r="AO122" s="232" t="str">
        <f>IFERROR(AO101*Inputs!#REF!,"")</f>
        <v/>
      </c>
      <c r="AP122" s="232" t="str">
        <f>IFERROR(AP101*Inputs!#REF!,"")</f>
        <v/>
      </c>
      <c r="AQ122" s="232" t="str">
        <f>IFERROR(AQ101*Inputs!#REF!,"")</f>
        <v/>
      </c>
      <c r="AR122" s="232" t="str">
        <f>IFERROR(AR101*Inputs!#REF!,"")</f>
        <v/>
      </c>
      <c r="AS122" s="232" t="str">
        <f>IFERROR(AS101*Inputs!#REF!,"")</f>
        <v/>
      </c>
      <c r="AT122" s="232" t="str">
        <f>IFERROR(AT101*Inputs!#REF!,"")</f>
        <v/>
      </c>
      <c r="AU122" s="232" t="str">
        <f>IFERROR(AU101*Inputs!#REF!,"")</f>
        <v/>
      </c>
      <c r="AV122" s="232" t="str">
        <f>IFERROR(AV101*Inputs!#REF!,"")</f>
        <v/>
      </c>
      <c r="AW122" s="232" t="str">
        <f>IFERROR(AW101*Inputs!#REF!,"")</f>
        <v/>
      </c>
      <c r="AX122" s="232" t="str">
        <f>IFERROR(AX101*Inputs!#REF!,"")</f>
        <v/>
      </c>
      <c r="AY122" s="232" t="str">
        <f>IFERROR(AY101*Inputs!#REF!,"")</f>
        <v/>
      </c>
      <c r="AZ122" s="232" t="str">
        <f>IFERROR(AZ101*Inputs!#REF!,"")</f>
        <v/>
      </c>
      <c r="BA122" s="232" t="str">
        <f>IFERROR(BA101*Inputs!#REF!,"")</f>
        <v/>
      </c>
      <c r="BB122" s="232" t="str">
        <f>IFERROR(BB101*Inputs!#REF!,"")</f>
        <v/>
      </c>
      <c r="BC122" s="232" t="str">
        <f>IFERROR(BC101*Inputs!#REF!,"")</f>
        <v/>
      </c>
      <c r="BD122" s="232" t="str">
        <f>IFERROR(BD101*Inputs!#REF!,"")</f>
        <v/>
      </c>
      <c r="BF122" s="232">
        <f>SUMIFS($D122:$BD122,$D$40:$BD$40,"&lt;="&amp;WeekSuppliedUntil,$D$40:$BD$40,"&gt;="&amp;Start_week_for_forecasting)</f>
        <v>0</v>
      </c>
      <c r="BH122" s="341">
        <f t="array" ref="BH122">MAX(IF(D$40:BD$40&gt;=Start_week_for_forecasting,IF(D$40:BD$40&lt;=WeekSuppliedUntil,D122:BD122)))</f>
        <v>0</v>
      </c>
    </row>
    <row r="123" spans="1:70" s="129" customFormat="1" hidden="1" x14ac:dyDescent="0.35">
      <c r="A123" s="403" t="s">
        <v>1318</v>
      </c>
    </row>
    <row r="124" spans="1:70" s="25" customFormat="1" x14ac:dyDescent="0.35">
      <c r="C124" s="175" t="s">
        <v>1513</v>
      </c>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F124" s="242"/>
      <c r="BH124" s="241"/>
    </row>
    <row r="125" spans="1:70" s="6" customFormat="1" x14ac:dyDescent="0.35">
      <c r="C125" s="17" t="s">
        <v>916</v>
      </c>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F125" s="642"/>
      <c r="BG125" s="3"/>
      <c r="BH125" s="642"/>
    </row>
    <row r="126" spans="1:70" s="3" customFormat="1" x14ac:dyDescent="0.35">
      <c r="C126" s="40" t="s">
        <v>270</v>
      </c>
      <c r="D126" s="341">
        <f t="shared" ref="D126:AI126" si="51">IFERROR((ROUNDUP(SUM(D99:D101)/7/Tests_per_HCW,0)),"")</f>
        <v>1</v>
      </c>
      <c r="E126" s="341">
        <f t="shared" si="51"/>
        <v>1</v>
      </c>
      <c r="F126" s="341">
        <f t="shared" si="51"/>
        <v>1</v>
      </c>
      <c r="G126" s="341">
        <f t="shared" si="51"/>
        <v>1</v>
      </c>
      <c r="H126" s="341">
        <f t="shared" si="51"/>
        <v>2</v>
      </c>
      <c r="I126" s="341">
        <f t="shared" si="51"/>
        <v>7</v>
      </c>
      <c r="J126" s="341">
        <f t="shared" si="51"/>
        <v>23</v>
      </c>
      <c r="K126" s="341">
        <f t="shared" si="51"/>
        <v>0</v>
      </c>
      <c r="L126" s="341">
        <f t="shared" si="51"/>
        <v>0</v>
      </c>
      <c r="M126" s="341">
        <f t="shared" si="51"/>
        <v>0</v>
      </c>
      <c r="N126" s="341">
        <f t="shared" si="51"/>
        <v>0</v>
      </c>
      <c r="O126" s="341">
        <f t="shared" si="51"/>
        <v>0</v>
      </c>
      <c r="P126" s="341">
        <f t="shared" si="51"/>
        <v>0</v>
      </c>
      <c r="Q126" s="341">
        <f t="shared" si="51"/>
        <v>0</v>
      </c>
      <c r="R126" s="341">
        <f t="shared" si="51"/>
        <v>0</v>
      </c>
      <c r="S126" s="341">
        <f t="shared" si="51"/>
        <v>0</v>
      </c>
      <c r="T126" s="341">
        <f t="shared" si="51"/>
        <v>0</v>
      </c>
      <c r="U126" s="341">
        <f t="shared" si="51"/>
        <v>0</v>
      </c>
      <c r="V126" s="341">
        <f t="shared" si="51"/>
        <v>0</v>
      </c>
      <c r="W126" s="341">
        <f t="shared" si="51"/>
        <v>0</v>
      </c>
      <c r="X126" s="341">
        <f t="shared" si="51"/>
        <v>0</v>
      </c>
      <c r="Y126" s="341">
        <f t="shared" si="51"/>
        <v>0</v>
      </c>
      <c r="Z126" s="341">
        <f t="shared" si="51"/>
        <v>0</v>
      </c>
      <c r="AA126" s="341">
        <f t="shared" si="51"/>
        <v>0</v>
      </c>
      <c r="AB126" s="341">
        <f t="shared" si="51"/>
        <v>0</v>
      </c>
      <c r="AC126" s="341">
        <f t="shared" si="51"/>
        <v>0</v>
      </c>
      <c r="AD126" s="341">
        <f t="shared" si="51"/>
        <v>0</v>
      </c>
      <c r="AE126" s="341">
        <f t="shared" si="51"/>
        <v>0</v>
      </c>
      <c r="AF126" s="341">
        <f t="shared" si="51"/>
        <v>0</v>
      </c>
      <c r="AG126" s="341">
        <f t="shared" si="51"/>
        <v>0</v>
      </c>
      <c r="AH126" s="341">
        <f t="shared" si="51"/>
        <v>0</v>
      </c>
      <c r="AI126" s="341">
        <f t="shared" si="51"/>
        <v>0</v>
      </c>
      <c r="AJ126" s="341">
        <f t="shared" ref="AJ126:BD126" si="52">IFERROR((ROUNDUP(SUM(AJ99:AJ101)/7/Tests_per_HCW,0)),"")</f>
        <v>0</v>
      </c>
      <c r="AK126" s="341">
        <f t="shared" si="52"/>
        <v>0</v>
      </c>
      <c r="AL126" s="341">
        <f t="shared" si="52"/>
        <v>0</v>
      </c>
      <c r="AM126" s="341">
        <f t="shared" si="52"/>
        <v>0</v>
      </c>
      <c r="AN126" s="341">
        <f t="shared" si="52"/>
        <v>0</v>
      </c>
      <c r="AO126" s="341">
        <f t="shared" si="52"/>
        <v>0</v>
      </c>
      <c r="AP126" s="341">
        <f t="shared" si="52"/>
        <v>0</v>
      </c>
      <c r="AQ126" s="341">
        <f t="shared" si="52"/>
        <v>0</v>
      </c>
      <c r="AR126" s="341">
        <f t="shared" si="52"/>
        <v>0</v>
      </c>
      <c r="AS126" s="341">
        <f t="shared" si="52"/>
        <v>0</v>
      </c>
      <c r="AT126" s="341">
        <f t="shared" si="52"/>
        <v>0</v>
      </c>
      <c r="AU126" s="341">
        <f t="shared" si="52"/>
        <v>0</v>
      </c>
      <c r="AV126" s="341">
        <f t="shared" si="52"/>
        <v>0</v>
      </c>
      <c r="AW126" s="341">
        <f t="shared" si="52"/>
        <v>0</v>
      </c>
      <c r="AX126" s="341">
        <f t="shared" si="52"/>
        <v>0</v>
      </c>
      <c r="AY126" s="341">
        <f t="shared" si="52"/>
        <v>0</v>
      </c>
      <c r="AZ126" s="341">
        <f t="shared" si="52"/>
        <v>0</v>
      </c>
      <c r="BA126" s="341">
        <f t="shared" si="52"/>
        <v>0</v>
      </c>
      <c r="BB126" s="341">
        <f t="shared" si="52"/>
        <v>0</v>
      </c>
      <c r="BC126" s="341">
        <f t="shared" si="52"/>
        <v>0</v>
      </c>
      <c r="BD126" s="341">
        <f t="shared" si="52"/>
        <v>0</v>
      </c>
      <c r="BF126" s="341">
        <f>SUMIFS(D126:BD126,$D$40:$BD$40,"&gt;="&amp;Start_week_for_forecasting,$D$40:$BD$40,"&lt;="&amp;WeekSuppliedUntil)</f>
        <v>35</v>
      </c>
      <c r="BG126" s="5"/>
      <c r="BH126" s="341">
        <f t="array" ref="BH126">MAX(IF(D$40:BD$40&gt;=Start_week_for_forecasting,IF(D$40:BD$40&lt;=WeekSuppliedUntil,D126:BD126)))</f>
        <v>23</v>
      </c>
    </row>
    <row r="127" spans="1:70" s="6" customFormat="1" ht="18" customHeight="1" x14ac:dyDescent="0.35">
      <c r="C127" s="17" t="s">
        <v>1786</v>
      </c>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F127" s="36"/>
      <c r="BH127" s="73"/>
    </row>
    <row r="128" spans="1:70" x14ac:dyDescent="0.35">
      <c r="C128" s="40" t="s">
        <v>270</v>
      </c>
      <c r="D128" s="232">
        <f t="shared" ref="D128:AI128" ca="1" si="53">IFERROR(IF(ROUNDUP(SUM(D99:D101)/7/Tests_per_HCW,0)&lt;$D$17,(ROUNDUP(SUM(D99:D101)/7/Tests_per_HCW,0)),$D$17),"")</f>
        <v>1</v>
      </c>
      <c r="E128" s="922">
        <f t="shared" ca="1" si="53"/>
        <v>1</v>
      </c>
      <c r="F128" s="922">
        <f t="shared" ca="1" si="53"/>
        <v>1</v>
      </c>
      <c r="G128" s="922">
        <f t="shared" ca="1" si="53"/>
        <v>1</v>
      </c>
      <c r="H128" s="922">
        <f t="shared" ca="1" si="53"/>
        <v>2</v>
      </c>
      <c r="I128" s="922">
        <f t="shared" ca="1" si="53"/>
        <v>7</v>
      </c>
      <c r="J128" s="922">
        <f t="shared" ca="1" si="53"/>
        <v>23</v>
      </c>
      <c r="K128" s="922">
        <f t="shared" ca="1" si="53"/>
        <v>0</v>
      </c>
      <c r="L128" s="922">
        <f t="shared" ca="1" si="53"/>
        <v>0</v>
      </c>
      <c r="M128" s="922">
        <f t="shared" ca="1" si="53"/>
        <v>0</v>
      </c>
      <c r="N128" s="922">
        <f t="shared" ca="1" si="53"/>
        <v>0</v>
      </c>
      <c r="O128" s="922">
        <f t="shared" ca="1" si="53"/>
        <v>0</v>
      </c>
      <c r="P128" s="922">
        <f t="shared" ca="1" si="53"/>
        <v>0</v>
      </c>
      <c r="Q128" s="922">
        <f t="shared" ca="1" si="53"/>
        <v>0</v>
      </c>
      <c r="R128" s="922">
        <f t="shared" ca="1" si="53"/>
        <v>0</v>
      </c>
      <c r="S128" s="922">
        <f t="shared" ca="1" si="53"/>
        <v>0</v>
      </c>
      <c r="T128" s="922">
        <f t="shared" ca="1" si="53"/>
        <v>0</v>
      </c>
      <c r="U128" s="922">
        <f t="shared" ca="1" si="53"/>
        <v>0</v>
      </c>
      <c r="V128" s="922">
        <f t="shared" ca="1" si="53"/>
        <v>0</v>
      </c>
      <c r="W128" s="922">
        <f t="shared" ca="1" si="53"/>
        <v>0</v>
      </c>
      <c r="X128" s="922">
        <f t="shared" ca="1" si="53"/>
        <v>0</v>
      </c>
      <c r="Y128" s="922">
        <f t="shared" ca="1" si="53"/>
        <v>0</v>
      </c>
      <c r="Z128" s="922">
        <f t="shared" ca="1" si="53"/>
        <v>0</v>
      </c>
      <c r="AA128" s="922">
        <f t="shared" ca="1" si="53"/>
        <v>0</v>
      </c>
      <c r="AB128" s="922">
        <f t="shared" ca="1" si="53"/>
        <v>0</v>
      </c>
      <c r="AC128" s="922">
        <f t="shared" ca="1" si="53"/>
        <v>0</v>
      </c>
      <c r="AD128" s="922">
        <f t="shared" ca="1" si="53"/>
        <v>0</v>
      </c>
      <c r="AE128" s="922">
        <f t="shared" ca="1" si="53"/>
        <v>0</v>
      </c>
      <c r="AF128" s="922">
        <f t="shared" ca="1" si="53"/>
        <v>0</v>
      </c>
      <c r="AG128" s="922">
        <f t="shared" ca="1" si="53"/>
        <v>0</v>
      </c>
      <c r="AH128" s="922">
        <f t="shared" ca="1" si="53"/>
        <v>0</v>
      </c>
      <c r="AI128" s="922">
        <f t="shared" ca="1" si="53"/>
        <v>0</v>
      </c>
      <c r="AJ128" s="922">
        <f t="shared" ref="AJ128:BD128" ca="1" si="54">IFERROR(IF(ROUNDUP(SUM(AJ99:AJ101)/7/Tests_per_HCW,0)&lt;$D$17,(ROUNDUP(SUM(AJ99:AJ101)/7/Tests_per_HCW,0)),$D$17),"")</f>
        <v>0</v>
      </c>
      <c r="AK128" s="922">
        <f t="shared" ca="1" si="54"/>
        <v>0</v>
      </c>
      <c r="AL128" s="922">
        <f t="shared" ca="1" si="54"/>
        <v>0</v>
      </c>
      <c r="AM128" s="922">
        <f t="shared" ca="1" si="54"/>
        <v>0</v>
      </c>
      <c r="AN128" s="922">
        <f t="shared" ca="1" si="54"/>
        <v>0</v>
      </c>
      <c r="AO128" s="922">
        <f t="shared" ca="1" si="54"/>
        <v>0</v>
      </c>
      <c r="AP128" s="922">
        <f t="shared" ca="1" si="54"/>
        <v>0</v>
      </c>
      <c r="AQ128" s="922">
        <f t="shared" ca="1" si="54"/>
        <v>0</v>
      </c>
      <c r="AR128" s="922">
        <f t="shared" ca="1" si="54"/>
        <v>0</v>
      </c>
      <c r="AS128" s="922">
        <f t="shared" ca="1" si="54"/>
        <v>0</v>
      </c>
      <c r="AT128" s="922">
        <f t="shared" ca="1" si="54"/>
        <v>0</v>
      </c>
      <c r="AU128" s="922">
        <f t="shared" ca="1" si="54"/>
        <v>0</v>
      </c>
      <c r="AV128" s="922">
        <f t="shared" ca="1" si="54"/>
        <v>0</v>
      </c>
      <c r="AW128" s="922">
        <f t="shared" ca="1" si="54"/>
        <v>0</v>
      </c>
      <c r="AX128" s="922">
        <f t="shared" ca="1" si="54"/>
        <v>0</v>
      </c>
      <c r="AY128" s="922">
        <f t="shared" ca="1" si="54"/>
        <v>0</v>
      </c>
      <c r="AZ128" s="922">
        <f t="shared" ca="1" si="54"/>
        <v>0</v>
      </c>
      <c r="BA128" s="922">
        <f t="shared" ca="1" si="54"/>
        <v>0</v>
      </c>
      <c r="BB128" s="922">
        <f t="shared" ca="1" si="54"/>
        <v>0</v>
      </c>
      <c r="BC128" s="922">
        <f t="shared" ca="1" si="54"/>
        <v>0</v>
      </c>
      <c r="BD128" s="922">
        <f t="shared" ca="1" si="54"/>
        <v>0</v>
      </c>
      <c r="BE128"/>
      <c r="BF128" s="232">
        <f ca="1">SUMIFS($D128:$BD128,$D$40:$BD$40,"&lt;="&amp;WeekSuppliedUntil,$D$40:$BD$40,"&gt;="&amp;Start_week_for_forecasting)</f>
        <v>35</v>
      </c>
      <c r="BG128"/>
      <c r="BH128" s="341">
        <f t="array" aca="1" ref="BH128" ca="1">MAX(IF(D$40:BD$40&gt;=Start_week_for_forecasting,IF(D$40:BD$40&lt;=WeekSuppliedUntil,D128:BD128)))</f>
        <v>23</v>
      </c>
      <c r="BI128"/>
      <c r="BJ128"/>
      <c r="BK128"/>
      <c r="BL128"/>
      <c r="BM128"/>
      <c r="BN128"/>
      <c r="BO128"/>
      <c r="BP128"/>
      <c r="BQ128"/>
      <c r="BR128"/>
    </row>
    <row r="129" spans="3:70" x14ac:dyDescent="0.35">
      <c r="S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row>
    <row r="130" spans="3:70" s="25" customFormat="1" x14ac:dyDescent="0.35">
      <c r="C130" s="175" t="s">
        <v>1515</v>
      </c>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F130" s="242"/>
      <c r="BH130" s="241"/>
    </row>
    <row r="131" spans="3:70" x14ac:dyDescent="0.35">
      <c r="C131" s="40" t="s">
        <v>1547</v>
      </c>
      <c r="D131" s="232">
        <f t="shared" ref="D131:AI131" si="55">IFERROR((D100+D101)*Caretaker_to_outpatient,"")</f>
        <v>8.0000000000000016E-2</v>
      </c>
      <c r="E131" s="232">
        <f t="shared" si="55"/>
        <v>0.2384309953344681</v>
      </c>
      <c r="F131" s="232">
        <f t="shared" si="55"/>
        <v>0.81937005357265957</v>
      </c>
      <c r="G131" s="232">
        <f t="shared" si="55"/>
        <v>2.8157446167874438</v>
      </c>
      <c r="H131" s="232">
        <f t="shared" si="55"/>
        <v>9.6759140889595567</v>
      </c>
      <c r="I131" s="232">
        <f t="shared" si="55"/>
        <v>33.246133591755864</v>
      </c>
      <c r="J131" s="232">
        <f t="shared" si="55"/>
        <v>114.18784661386968</v>
      </c>
      <c r="K131" s="232">
        <f t="shared" si="55"/>
        <v>0</v>
      </c>
      <c r="L131" s="232">
        <f t="shared" si="55"/>
        <v>0</v>
      </c>
      <c r="M131" s="232">
        <f t="shared" si="55"/>
        <v>0</v>
      </c>
      <c r="N131" s="232">
        <f t="shared" si="55"/>
        <v>0</v>
      </c>
      <c r="O131" s="232">
        <f t="shared" si="55"/>
        <v>0</v>
      </c>
      <c r="P131" s="232">
        <f t="shared" si="55"/>
        <v>0</v>
      </c>
      <c r="Q131" s="232">
        <f t="shared" si="55"/>
        <v>0</v>
      </c>
      <c r="R131" s="232">
        <f t="shared" si="55"/>
        <v>0</v>
      </c>
      <c r="S131" s="232">
        <f t="shared" si="55"/>
        <v>0</v>
      </c>
      <c r="T131" s="232">
        <f t="shared" si="55"/>
        <v>0</v>
      </c>
      <c r="U131" s="232">
        <f t="shared" si="55"/>
        <v>0</v>
      </c>
      <c r="V131" s="232">
        <f t="shared" si="55"/>
        <v>0</v>
      </c>
      <c r="W131" s="232">
        <f t="shared" si="55"/>
        <v>0</v>
      </c>
      <c r="X131" s="232">
        <f t="shared" si="55"/>
        <v>0</v>
      </c>
      <c r="Y131" s="232">
        <f t="shared" si="55"/>
        <v>0</v>
      </c>
      <c r="Z131" s="232">
        <f t="shared" si="55"/>
        <v>0</v>
      </c>
      <c r="AA131" s="232">
        <f t="shared" si="55"/>
        <v>0</v>
      </c>
      <c r="AB131" s="232">
        <f t="shared" si="55"/>
        <v>0</v>
      </c>
      <c r="AC131" s="232">
        <f t="shared" si="55"/>
        <v>0</v>
      </c>
      <c r="AD131" s="232">
        <f t="shared" si="55"/>
        <v>0</v>
      </c>
      <c r="AE131" s="232">
        <f t="shared" si="55"/>
        <v>0</v>
      </c>
      <c r="AF131" s="232">
        <f t="shared" si="55"/>
        <v>0</v>
      </c>
      <c r="AG131" s="232">
        <f t="shared" si="55"/>
        <v>0</v>
      </c>
      <c r="AH131" s="232">
        <f t="shared" si="55"/>
        <v>0</v>
      </c>
      <c r="AI131" s="232">
        <f t="shared" si="55"/>
        <v>0</v>
      </c>
      <c r="AJ131" s="232">
        <f t="shared" ref="AJ131:BD131" si="56">IFERROR((AJ100+AJ101)*Caretaker_to_outpatient,"")</f>
        <v>0</v>
      </c>
      <c r="AK131" s="232">
        <f t="shared" si="56"/>
        <v>0</v>
      </c>
      <c r="AL131" s="232">
        <f t="shared" si="56"/>
        <v>0</v>
      </c>
      <c r="AM131" s="232">
        <f t="shared" si="56"/>
        <v>0</v>
      </c>
      <c r="AN131" s="232">
        <f t="shared" si="56"/>
        <v>0</v>
      </c>
      <c r="AO131" s="232">
        <f t="shared" si="56"/>
        <v>0</v>
      </c>
      <c r="AP131" s="232">
        <f t="shared" si="56"/>
        <v>0</v>
      </c>
      <c r="AQ131" s="232">
        <f t="shared" si="56"/>
        <v>0</v>
      </c>
      <c r="AR131" s="232">
        <f t="shared" si="56"/>
        <v>0</v>
      </c>
      <c r="AS131" s="232">
        <f t="shared" si="56"/>
        <v>0</v>
      </c>
      <c r="AT131" s="232">
        <f t="shared" si="56"/>
        <v>0</v>
      </c>
      <c r="AU131" s="232">
        <f t="shared" si="56"/>
        <v>0</v>
      </c>
      <c r="AV131" s="232">
        <f t="shared" si="56"/>
        <v>0</v>
      </c>
      <c r="AW131" s="232">
        <f t="shared" si="56"/>
        <v>0</v>
      </c>
      <c r="AX131" s="232">
        <f t="shared" si="56"/>
        <v>0</v>
      </c>
      <c r="AY131" s="232">
        <f t="shared" si="56"/>
        <v>0</v>
      </c>
      <c r="AZ131" s="232">
        <f t="shared" si="56"/>
        <v>0</v>
      </c>
      <c r="BA131" s="232">
        <f t="shared" si="56"/>
        <v>0</v>
      </c>
      <c r="BB131" s="232">
        <f t="shared" si="56"/>
        <v>0</v>
      </c>
      <c r="BC131" s="232">
        <f t="shared" si="56"/>
        <v>0</v>
      </c>
      <c r="BD131" s="232">
        <f t="shared" si="56"/>
        <v>0</v>
      </c>
      <c r="BE131"/>
      <c r="BF131" s="232">
        <f>SUMIFS($D131:$BD131,$D$40:$BD$40,"&lt;="&amp;WeekSuppliedUntil,$D$40:$BD$40,"&gt;="&amp;Start_week_for_forecasting)</f>
        <v>160.98343996027967</v>
      </c>
      <c r="BG131"/>
      <c r="BH131" s="341">
        <f t="array" ref="BH131">MAX(IF(D$40:BD$40&gt;=Start_week_for_forecasting,IF(D$40:BD$40&lt;=WeekSuppliedUntil,D131:BD131)))</f>
        <v>114.18784661386968</v>
      </c>
      <c r="BI131"/>
      <c r="BJ131"/>
      <c r="BK131"/>
      <c r="BL131"/>
      <c r="BM131"/>
      <c r="BN131"/>
      <c r="BO131"/>
      <c r="BP131"/>
      <c r="BQ131"/>
      <c r="BR131"/>
    </row>
    <row r="132" spans="3:70" s="6" customFormat="1" x14ac:dyDescent="0.35">
      <c r="C132" s="22"/>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F132" s="30"/>
      <c r="BH132" s="30"/>
    </row>
    <row r="133" spans="3:70" s="25" customFormat="1" x14ac:dyDescent="0.35">
      <c r="C133" s="175" t="str">
        <f>"Laboratory - "&amp;Mild_testing_strategy&amp;" Testing Strategy (capped by testing capacity)"</f>
        <v>Laboratory - Targeted Testing Strategy (capped by testing capacity)</v>
      </c>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F133" s="242"/>
      <c r="BH133" s="241"/>
    </row>
    <row r="134" spans="3:70" x14ac:dyDescent="0.35">
      <c r="C134" s="40" t="s">
        <v>798</v>
      </c>
      <c r="D134" s="232">
        <f t="shared" ref="D134:AI134" si="57">IFERROR(IF(D40&gt;WeekSuppliedUntil,0,IF(ROUNDUP(Total_labs*HCW_per_lab,0)&lt;$D$18,ROUNDUP(Total_labs*HCW_per_lab,0),$D$18)),"")</f>
        <v>312</v>
      </c>
      <c r="E134" s="922">
        <f t="shared" si="57"/>
        <v>312</v>
      </c>
      <c r="F134" s="922">
        <f t="shared" si="57"/>
        <v>312</v>
      </c>
      <c r="G134" s="922">
        <f t="shared" si="57"/>
        <v>312</v>
      </c>
      <c r="H134" s="922">
        <f t="shared" si="57"/>
        <v>312</v>
      </c>
      <c r="I134" s="922">
        <f t="shared" si="57"/>
        <v>312</v>
      </c>
      <c r="J134" s="922">
        <f t="shared" si="57"/>
        <v>312</v>
      </c>
      <c r="K134" s="922">
        <f t="shared" si="57"/>
        <v>0</v>
      </c>
      <c r="L134" s="922">
        <f t="shared" si="57"/>
        <v>0</v>
      </c>
      <c r="M134" s="922">
        <f t="shared" si="57"/>
        <v>0</v>
      </c>
      <c r="N134" s="922">
        <f t="shared" si="57"/>
        <v>0</v>
      </c>
      <c r="O134" s="922">
        <f t="shared" si="57"/>
        <v>0</v>
      </c>
      <c r="P134" s="922">
        <f t="shared" si="57"/>
        <v>0</v>
      </c>
      <c r="Q134" s="922">
        <f t="shared" si="57"/>
        <v>0</v>
      </c>
      <c r="R134" s="922">
        <f t="shared" si="57"/>
        <v>0</v>
      </c>
      <c r="S134" s="922">
        <f t="shared" si="57"/>
        <v>0</v>
      </c>
      <c r="T134" s="922">
        <f t="shared" si="57"/>
        <v>0</v>
      </c>
      <c r="U134" s="922">
        <f t="shared" si="57"/>
        <v>0</v>
      </c>
      <c r="V134" s="922">
        <f t="shared" si="57"/>
        <v>0</v>
      </c>
      <c r="W134" s="922">
        <f t="shared" si="57"/>
        <v>0</v>
      </c>
      <c r="X134" s="922">
        <f t="shared" si="57"/>
        <v>0</v>
      </c>
      <c r="Y134" s="922">
        <f t="shared" si="57"/>
        <v>0</v>
      </c>
      <c r="Z134" s="922">
        <f t="shared" si="57"/>
        <v>0</v>
      </c>
      <c r="AA134" s="922">
        <f t="shared" si="57"/>
        <v>0</v>
      </c>
      <c r="AB134" s="922">
        <f t="shared" si="57"/>
        <v>0</v>
      </c>
      <c r="AC134" s="922">
        <f t="shared" si="57"/>
        <v>0</v>
      </c>
      <c r="AD134" s="922">
        <f t="shared" si="57"/>
        <v>0</v>
      </c>
      <c r="AE134" s="922">
        <f t="shared" si="57"/>
        <v>0</v>
      </c>
      <c r="AF134" s="922">
        <f t="shared" si="57"/>
        <v>0</v>
      </c>
      <c r="AG134" s="922">
        <f t="shared" si="57"/>
        <v>0</v>
      </c>
      <c r="AH134" s="922">
        <f t="shared" si="57"/>
        <v>0</v>
      </c>
      <c r="AI134" s="922">
        <f t="shared" si="57"/>
        <v>0</v>
      </c>
      <c r="AJ134" s="922">
        <f t="shared" ref="AJ134:BD134" si="58">IFERROR(IF(AJ40&gt;WeekSuppliedUntil,0,IF(ROUNDUP(Total_labs*HCW_per_lab,0)&lt;$D$18,ROUNDUP(Total_labs*HCW_per_lab,0),$D$18)),"")</f>
        <v>0</v>
      </c>
      <c r="AK134" s="922">
        <f t="shared" si="58"/>
        <v>0</v>
      </c>
      <c r="AL134" s="922">
        <f t="shared" si="58"/>
        <v>0</v>
      </c>
      <c r="AM134" s="922">
        <f t="shared" si="58"/>
        <v>0</v>
      </c>
      <c r="AN134" s="922">
        <f t="shared" si="58"/>
        <v>0</v>
      </c>
      <c r="AO134" s="922">
        <f t="shared" si="58"/>
        <v>0</v>
      </c>
      <c r="AP134" s="922">
        <f t="shared" si="58"/>
        <v>0</v>
      </c>
      <c r="AQ134" s="922">
        <f t="shared" si="58"/>
        <v>0</v>
      </c>
      <c r="AR134" s="922">
        <f t="shared" si="58"/>
        <v>0</v>
      </c>
      <c r="AS134" s="922">
        <f t="shared" si="58"/>
        <v>0</v>
      </c>
      <c r="AT134" s="922">
        <f t="shared" si="58"/>
        <v>0</v>
      </c>
      <c r="AU134" s="922">
        <f t="shared" si="58"/>
        <v>0</v>
      </c>
      <c r="AV134" s="922">
        <f t="shared" si="58"/>
        <v>0</v>
      </c>
      <c r="AW134" s="922">
        <f t="shared" si="58"/>
        <v>0</v>
      </c>
      <c r="AX134" s="922">
        <f t="shared" si="58"/>
        <v>0</v>
      </c>
      <c r="AY134" s="922">
        <f t="shared" si="58"/>
        <v>0</v>
      </c>
      <c r="AZ134" s="922">
        <f t="shared" si="58"/>
        <v>0</v>
      </c>
      <c r="BA134" s="922">
        <f t="shared" si="58"/>
        <v>0</v>
      </c>
      <c r="BB134" s="922">
        <f t="shared" si="58"/>
        <v>0</v>
      </c>
      <c r="BC134" s="922">
        <f t="shared" si="58"/>
        <v>0</v>
      </c>
      <c r="BD134" s="922">
        <f t="shared" si="58"/>
        <v>0</v>
      </c>
      <c r="BE134"/>
      <c r="BF134" s="232">
        <f>SUMIFS($D134:$BD134,$D$40:$BD$40,"&lt;="&amp;WeekSuppliedUntil,$D$40:$BD$40,"&gt;="&amp;Start_week_for_forecasting)</f>
        <v>1872</v>
      </c>
      <c r="BG134"/>
      <c r="BH134" s="341">
        <f t="array" ref="BH134">MAX(IF(D$40:BD$40&gt;=Start_week_for_forecasting,IF(D$40:BD$40&lt;=WeekSuppliedUntil,D134:BD134)))</f>
        <v>312</v>
      </c>
      <c r="BI134"/>
      <c r="BJ134"/>
      <c r="BK134"/>
      <c r="BL134"/>
      <c r="BM134"/>
      <c r="BN134"/>
      <c r="BO134"/>
      <c r="BP134"/>
      <c r="BQ134"/>
      <c r="BR134"/>
    </row>
    <row r="135" spans="3:70" x14ac:dyDescent="0.35">
      <c r="C135" s="40" t="s">
        <v>824</v>
      </c>
      <c r="D135" s="232">
        <f t="shared" ref="D135:AI135" si="59">IFERROR(IF(D40&gt;WeekSuppliedUntil,0,ROUNDUP((Total_labs)*Hygienists_per_lab,0)),"")</f>
        <v>110</v>
      </c>
      <c r="E135" s="922">
        <f t="shared" si="59"/>
        <v>110</v>
      </c>
      <c r="F135" s="922">
        <f t="shared" si="59"/>
        <v>110</v>
      </c>
      <c r="G135" s="922">
        <f t="shared" si="59"/>
        <v>110</v>
      </c>
      <c r="H135" s="922">
        <f t="shared" si="59"/>
        <v>110</v>
      </c>
      <c r="I135" s="922">
        <f t="shared" si="59"/>
        <v>110</v>
      </c>
      <c r="J135" s="922">
        <f t="shared" si="59"/>
        <v>110</v>
      </c>
      <c r="K135" s="922">
        <f t="shared" si="59"/>
        <v>0</v>
      </c>
      <c r="L135" s="922">
        <f t="shared" si="59"/>
        <v>0</v>
      </c>
      <c r="M135" s="922">
        <f t="shared" si="59"/>
        <v>0</v>
      </c>
      <c r="N135" s="922">
        <f t="shared" si="59"/>
        <v>0</v>
      </c>
      <c r="O135" s="922">
        <f t="shared" si="59"/>
        <v>0</v>
      </c>
      <c r="P135" s="922">
        <f t="shared" si="59"/>
        <v>0</v>
      </c>
      <c r="Q135" s="922">
        <f t="shared" si="59"/>
        <v>0</v>
      </c>
      <c r="R135" s="922">
        <f t="shared" si="59"/>
        <v>0</v>
      </c>
      <c r="S135" s="922">
        <f t="shared" si="59"/>
        <v>0</v>
      </c>
      <c r="T135" s="922">
        <f t="shared" si="59"/>
        <v>0</v>
      </c>
      <c r="U135" s="922">
        <f t="shared" si="59"/>
        <v>0</v>
      </c>
      <c r="V135" s="922">
        <f t="shared" si="59"/>
        <v>0</v>
      </c>
      <c r="W135" s="922">
        <f t="shared" si="59"/>
        <v>0</v>
      </c>
      <c r="X135" s="922">
        <f t="shared" si="59"/>
        <v>0</v>
      </c>
      <c r="Y135" s="922">
        <f t="shared" si="59"/>
        <v>0</v>
      </c>
      <c r="Z135" s="922">
        <f t="shared" si="59"/>
        <v>0</v>
      </c>
      <c r="AA135" s="922">
        <f t="shared" si="59"/>
        <v>0</v>
      </c>
      <c r="AB135" s="922">
        <f t="shared" si="59"/>
        <v>0</v>
      </c>
      <c r="AC135" s="922">
        <f t="shared" si="59"/>
        <v>0</v>
      </c>
      <c r="AD135" s="922">
        <f t="shared" si="59"/>
        <v>0</v>
      </c>
      <c r="AE135" s="922">
        <f t="shared" si="59"/>
        <v>0</v>
      </c>
      <c r="AF135" s="922">
        <f t="shared" si="59"/>
        <v>0</v>
      </c>
      <c r="AG135" s="922">
        <f t="shared" si="59"/>
        <v>0</v>
      </c>
      <c r="AH135" s="922">
        <f t="shared" si="59"/>
        <v>0</v>
      </c>
      <c r="AI135" s="922">
        <f t="shared" si="59"/>
        <v>0</v>
      </c>
      <c r="AJ135" s="922">
        <f t="shared" ref="AJ135:BD135" si="60">IFERROR(IF(AJ40&gt;WeekSuppliedUntil,0,ROUNDUP((Total_labs)*Hygienists_per_lab,0)),"")</f>
        <v>0</v>
      </c>
      <c r="AK135" s="922">
        <f t="shared" si="60"/>
        <v>0</v>
      </c>
      <c r="AL135" s="922">
        <f t="shared" si="60"/>
        <v>0</v>
      </c>
      <c r="AM135" s="922">
        <f t="shared" si="60"/>
        <v>0</v>
      </c>
      <c r="AN135" s="922">
        <f t="shared" si="60"/>
        <v>0</v>
      </c>
      <c r="AO135" s="922">
        <f t="shared" si="60"/>
        <v>0</v>
      </c>
      <c r="AP135" s="922">
        <f t="shared" si="60"/>
        <v>0</v>
      </c>
      <c r="AQ135" s="922">
        <f t="shared" si="60"/>
        <v>0</v>
      </c>
      <c r="AR135" s="922">
        <f t="shared" si="60"/>
        <v>0</v>
      </c>
      <c r="AS135" s="922">
        <f t="shared" si="60"/>
        <v>0</v>
      </c>
      <c r="AT135" s="922">
        <f t="shared" si="60"/>
        <v>0</v>
      </c>
      <c r="AU135" s="922">
        <f t="shared" si="60"/>
        <v>0</v>
      </c>
      <c r="AV135" s="922">
        <f t="shared" si="60"/>
        <v>0</v>
      </c>
      <c r="AW135" s="922">
        <f t="shared" si="60"/>
        <v>0</v>
      </c>
      <c r="AX135" s="922">
        <f t="shared" si="60"/>
        <v>0</v>
      </c>
      <c r="AY135" s="922">
        <f t="shared" si="60"/>
        <v>0</v>
      </c>
      <c r="AZ135" s="922">
        <f t="shared" si="60"/>
        <v>0</v>
      </c>
      <c r="BA135" s="922">
        <f t="shared" si="60"/>
        <v>0</v>
      </c>
      <c r="BB135" s="922">
        <f t="shared" si="60"/>
        <v>0</v>
      </c>
      <c r="BC135" s="922">
        <f t="shared" si="60"/>
        <v>0</v>
      </c>
      <c r="BD135" s="922">
        <f t="shared" si="60"/>
        <v>0</v>
      </c>
      <c r="BE135"/>
      <c r="BF135" s="232">
        <f>SUMIFS($D135:$BD135,$D$40:$BD$40,"&lt;="&amp;WeekSuppliedUntil,$D$40:$BD$40,"&gt;="&amp;Start_week_for_forecasting)</f>
        <v>660</v>
      </c>
      <c r="BG135"/>
      <c r="BH135" s="341">
        <f t="array" ref="BH135">MAX(IF(D$40:BD$40&gt;=Start_week_for_forecasting,IF(D$40:BD$40&lt;=WeekSuppliedUntil,D135:BD135)))</f>
        <v>110</v>
      </c>
      <c r="BI135"/>
      <c r="BJ135"/>
      <c r="BK135"/>
      <c r="BL135"/>
      <c r="BM135"/>
      <c r="BN135"/>
      <c r="BO135"/>
      <c r="BP135"/>
      <c r="BQ135"/>
      <c r="BR135"/>
    </row>
    <row r="137" spans="3:70" x14ac:dyDescent="0.35">
      <c r="D137" s="32"/>
    </row>
    <row r="138" spans="3:70" x14ac:dyDescent="0.35">
      <c r="D138" s="32"/>
    </row>
    <row r="142" spans="3:70" x14ac:dyDescent="0.35">
      <c r="C142" s="1389" t="s">
        <v>1898</v>
      </c>
      <c r="D142" s="1389"/>
      <c r="E142" s="1389"/>
      <c r="F142" s="1389"/>
      <c r="G142" s="1389"/>
      <c r="H142" s="1389"/>
    </row>
    <row r="143" spans="3:70" x14ac:dyDescent="0.35">
      <c r="C143" s="909" t="s">
        <v>1897</v>
      </c>
      <c r="D143" s="909"/>
      <c r="E143" s="909"/>
      <c r="F143" s="909"/>
      <c r="G143" s="909"/>
      <c r="H143" s="909"/>
    </row>
    <row r="145" spans="3:3" x14ac:dyDescent="0.35">
      <c r="C145" s="909"/>
    </row>
  </sheetData>
  <sheetProtection algorithmName="SHA-512" hashValue="7dzLb2XdgURhQ8BTrDpj5wBMTIXn4NuLwV6BXG5NHTICrlvXMkf5LqbS2+uMRCciyFdx5duyqhiMjvtnw0oJFg==" saltValue="PFXZ1g6m+NSUYTmM+AgEVQ==" spinCount="100000" sheet="1" objects="1" scenarios="1"/>
  <mergeCells count="8">
    <mergeCell ref="C142:H142"/>
    <mergeCell ref="BH37:BH40"/>
    <mergeCell ref="BF37:BF40"/>
    <mergeCell ref="D35:P35"/>
    <mergeCell ref="B4:K4"/>
    <mergeCell ref="D108:BD108"/>
    <mergeCell ref="B6:K6"/>
    <mergeCell ref="D107:P107"/>
  </mergeCells>
  <hyperlinks>
    <hyperlink ref="J5" location="'User Dashboard'!A1" display="Back to User Dashboard" xr:uid="{00000000-0004-0000-0A00-000000000000}"/>
    <hyperlink ref="C142" r:id="rId1" display="https://creativecommons.org/licenses/by-nc-sa/3.0/igo" xr:uid="{B6EA6DEA-731C-41C2-9197-F6D9FF13BFAD}"/>
  </hyperlinks>
  <pageMargins left="0.7" right="0.7" top="0.75" bottom="0.75" header="0.3" footer="0.3"/>
  <pageSetup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ellIs" priority="2" operator="between" id="{038EC0A8-98D2-4D1D-AB75-904C6B9FF3A4}">
            <xm:f>'Back Calculations'!$C$123</xm:f>
            <xm:f>'Back Calculations'!$C$124</xm:f>
            <x14:dxf>
              <font>
                <color rgb="FF9C6500"/>
              </font>
              <fill>
                <patternFill>
                  <bgColor rgb="FFFFEB9C"/>
                </patternFill>
              </fill>
            </x14:dxf>
          </x14:cfRule>
          <xm:sqref>D40:BD40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5" tint="0.39997558519241921"/>
  </sheetPr>
  <dimension ref="A1:B2"/>
  <sheetViews>
    <sheetView showGridLines="0" workbookViewId="0"/>
  </sheetViews>
  <sheetFormatPr defaultColWidth="8.81640625" defaultRowHeight="14.5" x14ac:dyDescent="0.35"/>
  <sheetData>
    <row r="1" spans="1:2" x14ac:dyDescent="0.35">
      <c r="A1" s="129"/>
      <c r="B1" s="129"/>
    </row>
    <row r="2" spans="1:2" x14ac:dyDescent="0.35">
      <c r="A2" s="129"/>
      <c r="B2" s="20" t="s">
        <v>587</v>
      </c>
    </row>
  </sheetData>
  <sheetProtection algorithmName="SHA-512" hashValue="xQWNuX1nyE3GZ742Id/dvKsV9Goqq837OcB0cx04VgRWAjVD+1IJ9pNvhc4Ai7t4Tf+Iavks0loVlZtmt1fu6g==" saltValue="BAAMl9PmnRttruMjcV5EVA==" spinCount="100000" sheet="1" objects="1" scenarios="1"/>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theme="5" tint="0.39997558519241921"/>
  </sheetPr>
  <dimension ref="A1:AH247"/>
  <sheetViews>
    <sheetView showGridLines="0" zoomScale="80" zoomScaleNormal="80" workbookViewId="0">
      <pane xSplit="2" topLeftCell="C1" activePane="topRight" state="frozen"/>
      <selection pane="topRight" activeCell="B6" sqref="B6"/>
    </sheetView>
  </sheetViews>
  <sheetFormatPr defaultColWidth="16.453125" defaultRowHeight="14.5" x14ac:dyDescent="0.35"/>
  <cols>
    <col min="1" max="1" width="4.453125" style="129" customWidth="1"/>
    <col min="3" max="3" width="30.453125" style="362" bestFit="1" customWidth="1"/>
    <col min="4" max="4" width="39.453125" customWidth="1"/>
    <col min="5" max="5" width="41.453125" customWidth="1"/>
    <col min="6" max="6" width="23.453125" bestFit="1" customWidth="1"/>
    <col min="7" max="7" width="23.453125" style="129" customWidth="1"/>
    <col min="8" max="8" width="26.453125" style="129" customWidth="1"/>
    <col min="9" max="11" width="29.453125" customWidth="1"/>
    <col min="12" max="12" width="22.453125" bestFit="1" customWidth="1"/>
    <col min="13" max="13" width="32.453125" customWidth="1"/>
    <col min="15" max="15" width="23.453125" style="129" customWidth="1"/>
    <col min="16" max="16" width="24.453125" style="129" customWidth="1"/>
    <col min="17" max="17" width="30.453125" customWidth="1"/>
    <col min="19" max="19" width="32.453125" customWidth="1"/>
    <col min="22" max="22" width="17.453125" style="129" customWidth="1"/>
    <col min="23" max="23" width="18.453125" customWidth="1"/>
    <col min="24" max="24" width="17.453125" customWidth="1"/>
    <col min="25" max="26" width="24.453125" bestFit="1" customWidth="1"/>
  </cols>
  <sheetData>
    <row r="1" spans="1:34" s="129" customFormat="1" ht="36.4" customHeight="1" x14ac:dyDescent="0.35">
      <c r="B1" s="33"/>
      <c r="C1" s="360"/>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row>
    <row r="2" spans="1:34" s="23" customFormat="1" ht="18.5" x14ac:dyDescent="0.45">
      <c r="B2" s="23" t="s">
        <v>855</v>
      </c>
      <c r="C2" s="361"/>
      <c r="E2" s="24"/>
      <c r="F2" s="24"/>
      <c r="G2" s="24"/>
      <c r="H2" s="24"/>
      <c r="I2" s="24"/>
    </row>
    <row r="3" spans="1:34" ht="15" thickBot="1" x14ac:dyDescent="0.4">
      <c r="A3"/>
      <c r="C3"/>
      <c r="G3"/>
      <c r="H3"/>
      <c r="O3"/>
      <c r="P3"/>
      <c r="V3"/>
    </row>
    <row r="4" spans="1:34" s="129" customFormat="1" ht="15" thickBot="1" x14ac:dyDescent="0.4">
      <c r="C4" s="362"/>
      <c r="F4" s="165" t="s">
        <v>1356</v>
      </c>
      <c r="G4" s="33"/>
      <c r="H4" s="33"/>
    </row>
    <row r="5" spans="1:34" s="129" customFormat="1" x14ac:dyDescent="0.35">
      <c r="B5" s="129" t="s">
        <v>1757</v>
      </c>
      <c r="C5" s="362"/>
      <c r="F5" s="164" t="s">
        <v>1361</v>
      </c>
      <c r="G5"/>
      <c r="H5" s="33"/>
    </row>
    <row r="6" spans="1:34" s="129" customFormat="1" x14ac:dyDescent="0.35">
      <c r="B6" s="129" t="s">
        <v>1758</v>
      </c>
      <c r="C6" s="362"/>
      <c r="F6" s="164" t="s">
        <v>692</v>
      </c>
    </row>
    <row r="7" spans="1:34" s="129" customFormat="1" ht="15" thickBot="1" x14ac:dyDescent="0.4">
      <c r="B7" s="129" t="s">
        <v>1759</v>
      </c>
      <c r="C7" s="362"/>
      <c r="F7" s="700" t="s">
        <v>983</v>
      </c>
    </row>
    <row r="8" spans="1:34" ht="29.5" customHeight="1" x14ac:dyDescent="0.35">
      <c r="B8" s="879" t="s">
        <v>1491</v>
      </c>
    </row>
    <row r="9" spans="1:34" s="25" customFormat="1" ht="15" customHeight="1" x14ac:dyDescent="0.35">
      <c r="A9" s="201" t="s">
        <v>861</v>
      </c>
      <c r="B9" s="175" t="str">
        <f>"Weekly Patient Calculations: "&amp;'User Dashboard'!C12&amp;" selected on User Dashboard tab"</f>
        <v>Weekly Patient Calculations: SIR Model selected on User Dashboard tab</v>
      </c>
      <c r="C9" s="363"/>
    </row>
    <row r="10" spans="1:34" ht="15" thickBot="1" x14ac:dyDescent="0.4"/>
    <row r="11" spans="1:34" ht="31.4" customHeight="1" thickBot="1" x14ac:dyDescent="0.4">
      <c r="B11" s="339" t="s">
        <v>685</v>
      </c>
      <c r="C11" s="1590" t="s">
        <v>853</v>
      </c>
      <c r="D11" s="1592"/>
      <c r="E11" s="1590" t="s">
        <v>847</v>
      </c>
      <c r="F11" s="1592"/>
      <c r="G11" s="1590" t="s">
        <v>967</v>
      </c>
      <c r="H11" s="1592"/>
      <c r="I11" s="1590" t="s">
        <v>848</v>
      </c>
      <c r="J11" s="1592"/>
      <c r="K11" s="1590" t="s">
        <v>849</v>
      </c>
      <c r="L11" s="1592"/>
      <c r="M11" s="1590" t="s">
        <v>850</v>
      </c>
      <c r="N11" s="1592"/>
      <c r="O11" s="1590" t="s">
        <v>966</v>
      </c>
      <c r="P11" s="1592"/>
      <c r="Q11" s="1590" t="s">
        <v>851</v>
      </c>
      <c r="R11" s="1592"/>
      <c r="S11" s="1590" t="s">
        <v>852</v>
      </c>
      <c r="T11" s="1592"/>
      <c r="U11" s="1590" t="s">
        <v>1107</v>
      </c>
      <c r="V11" s="1591"/>
      <c r="W11" s="1591"/>
      <c r="X11" s="1592"/>
      <c r="Y11" s="1591" t="s">
        <v>854</v>
      </c>
      <c r="Z11" s="1592"/>
    </row>
    <row r="12" spans="1:34" s="27" customFormat="1" ht="44" thickBot="1" x14ac:dyDescent="0.4">
      <c r="B12" s="60" t="s">
        <v>685</v>
      </c>
      <c r="C12" s="405" t="s">
        <v>686</v>
      </c>
      <c r="D12" s="393" t="s">
        <v>697</v>
      </c>
      <c r="E12" s="392" t="s">
        <v>656</v>
      </c>
      <c r="F12" s="393" t="s">
        <v>657</v>
      </c>
      <c r="G12" s="340" t="s">
        <v>955</v>
      </c>
      <c r="H12" s="340" t="s">
        <v>956</v>
      </c>
      <c r="I12" s="392" t="s">
        <v>658</v>
      </c>
      <c r="J12" s="393" t="s">
        <v>659</v>
      </c>
      <c r="K12" s="392" t="s">
        <v>660</v>
      </c>
      <c r="L12" s="393" t="s">
        <v>661</v>
      </c>
      <c r="M12" s="406" t="s">
        <v>662</v>
      </c>
      <c r="N12" s="393" t="s">
        <v>663</v>
      </c>
      <c r="O12" s="392" t="s">
        <v>957</v>
      </c>
      <c r="P12" s="393" t="s">
        <v>958</v>
      </c>
      <c r="Q12" s="392" t="s">
        <v>664</v>
      </c>
      <c r="R12" s="393" t="s">
        <v>665</v>
      </c>
      <c r="S12" s="392" t="s">
        <v>666</v>
      </c>
      <c r="T12" s="393" t="s">
        <v>667</v>
      </c>
      <c r="U12" s="407" t="s">
        <v>668</v>
      </c>
      <c r="V12" s="408" t="s">
        <v>959</v>
      </c>
      <c r="W12" s="408" t="s">
        <v>669</v>
      </c>
      <c r="X12" s="409" t="s">
        <v>670</v>
      </c>
      <c r="Y12" s="392" t="s">
        <v>671</v>
      </c>
      <c r="Z12" s="393" t="s">
        <v>672</v>
      </c>
    </row>
    <row r="13" spans="1:34" x14ac:dyDescent="0.35">
      <c r="B13" s="169">
        <f>IF('User Dashboard'!C$12="SIR Model",IF(B130&gt;('User Dashboard'!$H$12+'User Dashboard'!$H$13),"",B130),IF('User Dashboard'!C$12="Manual Entry",IF(B73&gt;('User Dashboard'!$H$12+'User Dashboard'!$H$13),"",B73),IF('User Dashboard'!C$12="Exponential Growth",B187)))</f>
        <v>0</v>
      </c>
      <c r="C13" s="1096">
        <f>IF(B13="","",IF('User Dashboard'!C$12="SIR Model",VLOOKUP(B13,B$130:C$182,2,FALSE),IF('User Dashboard'!C$12="Manual Entry",VLOOKUP(B13,B$73:C$125,2,FALSE),IF('User Dashboard'!C$12="Exponential Growth",VLOOKUP(B13,B$187:D$240,3,FALSE),""))))</f>
        <v>1</v>
      </c>
      <c r="D13" s="170">
        <f>IFERROR(IF(B13="","",IF(B13=0,C13,C13-C12)),"")</f>
        <v>1</v>
      </c>
      <c r="E13" s="169">
        <f t="shared" ref="E13:E44" si="0">IFERROR(C13*MildCasePercentage,"")</f>
        <v>0.4</v>
      </c>
      <c r="F13" s="170">
        <f t="shared" ref="F13:F44" si="1">IFERROR(D13*MildCasePercentage,"")</f>
        <v>0.4</v>
      </c>
      <c r="G13" s="169">
        <f t="shared" ref="G13:G44" si="2">IFERROR(C13*ModerateCasePercentage,"")</f>
        <v>0.4</v>
      </c>
      <c r="H13" s="171">
        <f t="shared" ref="H13:H44" si="3">IFERROR(D13*ModerateCasePercentage,"")</f>
        <v>0.4</v>
      </c>
      <c r="I13" s="169">
        <f t="shared" ref="I13:I44" si="4">IFERROR(C13*SevereCasePercentage,"")</f>
        <v>0.15</v>
      </c>
      <c r="J13" s="170">
        <f t="shared" ref="J13:J44" si="5">IFERROR(D13*SevereCasePercentage,"")</f>
        <v>0.15</v>
      </c>
      <c r="K13" s="169">
        <f t="shared" ref="K13:K44" si="6">IFERROR(C13*CritcalCasePercentage,"")</f>
        <v>0.05</v>
      </c>
      <c r="L13" s="170">
        <f t="shared" ref="L13:L44" si="7">IFERROR(D13*CritcalCasePercentage,"")</f>
        <v>0.05</v>
      </c>
      <c r="M13" s="169">
        <f t="shared" ref="M13:M44" ca="1" si="8">IFERROR(IF(B13="","",IF(B13&lt;SelfQuarantine_Mild,0,OFFSET(E13,-1*SelfQuarantine_Mild,0))),"")</f>
        <v>0</v>
      </c>
      <c r="N13" s="170">
        <f t="shared" ref="N13:N44" ca="1" si="9">IFERROR(IF(B13="","",IF(B13&lt;SelfQuarantine_Mild,0,OFFSET(F13,-1*SelfQuarantine_Mild,0))),"")</f>
        <v>0</v>
      </c>
      <c r="O13" s="169">
        <f t="shared" ref="O13:O44" ca="1" si="10">IFERROR(IF(B13="","",IF(B13&lt;SelfQuarantine_Moderate,0,OFFSET(G13,-1*SelfQuarantine_Moderate,0))),"")</f>
        <v>0</v>
      </c>
      <c r="P13" s="170">
        <f t="shared" ref="P13:P44" ca="1" si="11">IFERROR(IF(B13="","",IF(B13&lt;SelfQuarantine_Moderate,0,OFFSET(H13,-1*SelfQuarantine_Moderate,0))),"")</f>
        <v>0</v>
      </c>
      <c r="Q13" s="169">
        <f t="shared" ref="Q13:Q44" ca="1" si="12">IFERROR(IF(B13="","",IF(B13&lt;BedStay_Severe,0,OFFSET(I13,-1*BedStay_Severe,0))),"")</f>
        <v>0</v>
      </c>
      <c r="R13" s="170">
        <f t="shared" ref="R13:R44" ca="1" si="13">IFERROR(IF(B13="","",IF(B13&lt;BedStay_Severe,0,OFFSET(J13,-1*BedStay_Severe,0))),"")</f>
        <v>0</v>
      </c>
      <c r="S13" s="169">
        <f t="shared" ref="S13:S44" ca="1" si="14">IFERROR(IF(B13="","",IF(B13&lt;BedStay_Critical,0,OFFSET(K13,-1*BedStay_Critical,0))),"")</f>
        <v>0</v>
      </c>
      <c r="T13" s="171">
        <f t="shared" ref="T13:T44" ca="1" si="15">IFERROR(IF(B13="","",IF(B13&lt;BedStay_Critical,0,OFFSET(L13,-1*BedStay_Critical,0))),"")</f>
        <v>0</v>
      </c>
      <c r="U13" s="169">
        <f t="shared" ref="U13:U44" ca="1" si="16">IFERROR(E13-M13,"")</f>
        <v>0.4</v>
      </c>
      <c r="V13" s="171">
        <f t="shared" ref="V13:V44" ca="1" si="17">IFERROR(G13-O13,"")</f>
        <v>0.4</v>
      </c>
      <c r="W13" s="171">
        <f ca="1">IFERROR(I13-Q13,"")</f>
        <v>0.15</v>
      </c>
      <c r="X13" s="170">
        <f t="shared" ref="X13:X44" ca="1" si="18">IFERROR(K13-S13,"")</f>
        <v>0.05</v>
      </c>
      <c r="Y13" s="171">
        <f t="shared" ref="Y13:Y44" si="19">IFERROR(C13*SuspectedCaseMultiplier,"")</f>
        <v>10</v>
      </c>
      <c r="Z13" s="170">
        <f t="shared" ref="Z13:Z44" si="20">IFERROR(D13*SuspectedCaseMultiplier,"")</f>
        <v>10</v>
      </c>
    </row>
    <row r="14" spans="1:34" x14ac:dyDescent="0.35">
      <c r="B14" s="57">
        <f>IF('User Dashboard'!C$12="SIR Model",IF(B131&gt;('User Dashboard'!$H$12+'User Dashboard'!$H$13),"",B131),IF('User Dashboard'!C$12="Manual Entry",IF(B74&gt;('User Dashboard'!$H$12+'User Dashboard'!$H$13),"",B74),IF('User Dashboard'!C$12="Exponential Growth",B188)))</f>
        <v>1</v>
      </c>
      <c r="C14" s="359">
        <f>IF(B14="","",IF('User Dashboard'!C$12="SIR Model",VLOOKUP(B14,B$130:C$182,2,FALSE),IF('User Dashboard'!C$12="Manual Entry",VLOOKUP(B14,B$73:C$125,2,FALSE),IF('User Dashboard'!C$12="Exponential Growth",VLOOKUP(B14,B$187:D$240,3,FALSE),""))))</f>
        <v>3.9803874416808513</v>
      </c>
      <c r="D14" s="58">
        <f t="shared" ref="D14:D44" si="21">IFERROR(IF(B14="","",IF(B14=0,C14,C14-C13)),"")</f>
        <v>2.9803874416808513</v>
      </c>
      <c r="E14" s="57">
        <f t="shared" si="0"/>
        <v>1.5921549766723406</v>
      </c>
      <c r="F14" s="58">
        <f t="shared" si="1"/>
        <v>1.1921549766723405</v>
      </c>
      <c r="G14" s="59">
        <f t="shared" si="2"/>
        <v>1.5921549766723406</v>
      </c>
      <c r="H14" s="59">
        <f t="shared" si="3"/>
        <v>1.1921549766723405</v>
      </c>
      <c r="I14" s="57">
        <f t="shared" si="4"/>
        <v>0.59705811625212768</v>
      </c>
      <c r="J14" s="58">
        <f t="shared" si="5"/>
        <v>0.44705811625212771</v>
      </c>
      <c r="K14" s="57">
        <f t="shared" si="6"/>
        <v>0.19901937208404258</v>
      </c>
      <c r="L14" s="58">
        <f t="shared" si="7"/>
        <v>0.14901937208404256</v>
      </c>
      <c r="M14" s="57">
        <f t="shared" ca="1" si="8"/>
        <v>0</v>
      </c>
      <c r="N14" s="58">
        <f t="shared" ca="1" si="9"/>
        <v>0</v>
      </c>
      <c r="O14" s="57">
        <f t="shared" ca="1" si="10"/>
        <v>0</v>
      </c>
      <c r="P14" s="58">
        <f t="shared" ca="1" si="11"/>
        <v>0</v>
      </c>
      <c r="Q14" s="57">
        <f t="shared" ca="1" si="12"/>
        <v>0.15</v>
      </c>
      <c r="R14" s="58">
        <f t="shared" ca="1" si="13"/>
        <v>0.15</v>
      </c>
      <c r="S14" s="57">
        <f t="shared" ca="1" si="14"/>
        <v>0</v>
      </c>
      <c r="T14" s="59">
        <f t="shared" ca="1" si="15"/>
        <v>0</v>
      </c>
      <c r="U14" s="57">
        <f t="shared" ca="1" si="16"/>
        <v>1.5921549766723406</v>
      </c>
      <c r="V14" s="59">
        <f t="shared" ca="1" si="17"/>
        <v>1.5921549766723406</v>
      </c>
      <c r="W14" s="59">
        <f t="shared" ref="W14:W44" ca="1" si="22">IFERROR(I14-Q14,"")</f>
        <v>0.44705811625212766</v>
      </c>
      <c r="X14" s="58">
        <f t="shared" ca="1" si="18"/>
        <v>0.19901937208404258</v>
      </c>
      <c r="Y14" s="59">
        <f t="shared" si="19"/>
        <v>39.803874416808512</v>
      </c>
      <c r="Z14" s="58">
        <f t="shared" si="20"/>
        <v>29.803874416808512</v>
      </c>
    </row>
    <row r="15" spans="1:34" x14ac:dyDescent="0.35">
      <c r="B15" s="57">
        <f>IF('User Dashboard'!C$12="SIR Model",IF(B132&gt;('User Dashboard'!$H$12+'User Dashboard'!$H$13),"",B132),IF('User Dashboard'!C$12="Manual Entry",IF(B75&gt;('User Dashboard'!$H$12+'User Dashboard'!$H$13),"",B75),IF('User Dashboard'!C$12="Exponential Growth",B189)))</f>
        <v>2</v>
      </c>
      <c r="C15" s="359">
        <f>IF(B15="","",IF('User Dashboard'!C$12="SIR Model",VLOOKUP(B15,B$130:C$182,2,FALSE),IF('User Dashboard'!C$12="Manual Entry",VLOOKUP(B15,B$73:C$125,2,FALSE),IF('User Dashboard'!C$12="Exponential Growth",VLOOKUP(B15,B$187:D$240,3,FALSE),""))))</f>
        <v>14.222513111339095</v>
      </c>
      <c r="D15" s="58">
        <f t="shared" si="21"/>
        <v>10.242125669658243</v>
      </c>
      <c r="E15" s="57">
        <f t="shared" si="0"/>
        <v>5.6890052445356387</v>
      </c>
      <c r="F15" s="58">
        <f t="shared" si="1"/>
        <v>4.0968502678632976</v>
      </c>
      <c r="G15" s="59">
        <f t="shared" si="2"/>
        <v>5.6890052445356387</v>
      </c>
      <c r="H15" s="59">
        <f t="shared" si="3"/>
        <v>4.0968502678632976</v>
      </c>
      <c r="I15" s="57">
        <f t="shared" si="4"/>
        <v>2.1333769667008644</v>
      </c>
      <c r="J15" s="58">
        <f t="shared" si="5"/>
        <v>1.5363188504487364</v>
      </c>
      <c r="K15" s="57">
        <f t="shared" si="6"/>
        <v>0.71112565556695484</v>
      </c>
      <c r="L15" s="58">
        <f t="shared" si="7"/>
        <v>0.51210628348291221</v>
      </c>
      <c r="M15" s="57">
        <f t="shared" ca="1" si="8"/>
        <v>0.4</v>
      </c>
      <c r="N15" s="58">
        <f t="shared" ca="1" si="9"/>
        <v>0.4</v>
      </c>
      <c r="O15" s="57">
        <f t="shared" ca="1" si="10"/>
        <v>0.4</v>
      </c>
      <c r="P15" s="58">
        <f t="shared" ca="1" si="11"/>
        <v>0.4</v>
      </c>
      <c r="Q15" s="57">
        <f t="shared" ca="1" si="12"/>
        <v>0.59705811625212768</v>
      </c>
      <c r="R15" s="58">
        <f t="shared" ca="1" si="13"/>
        <v>0.44705811625212771</v>
      </c>
      <c r="S15" s="57">
        <f t="shared" ca="1" si="14"/>
        <v>0.05</v>
      </c>
      <c r="T15" s="59">
        <f t="shared" ca="1" si="15"/>
        <v>0.05</v>
      </c>
      <c r="U15" s="57">
        <f t="shared" ca="1" si="16"/>
        <v>5.2890052445356384</v>
      </c>
      <c r="V15" s="59">
        <f t="shared" ca="1" si="17"/>
        <v>5.2890052445356384</v>
      </c>
      <c r="W15" s="59">
        <f t="shared" ca="1" si="22"/>
        <v>1.5363188504487368</v>
      </c>
      <c r="X15" s="58">
        <f t="shared" ca="1" si="18"/>
        <v>0.6611256555669548</v>
      </c>
      <c r="Y15" s="59">
        <f t="shared" si="19"/>
        <v>142.22513111339094</v>
      </c>
      <c r="Z15" s="58">
        <f t="shared" si="20"/>
        <v>102.42125669658243</v>
      </c>
    </row>
    <row r="16" spans="1:34" x14ac:dyDescent="0.35">
      <c r="B16" s="57">
        <f>IF('User Dashboard'!C$12="SIR Model",IF(B133&gt;('User Dashboard'!$H$12+'User Dashboard'!$H$13),"",B133),IF('User Dashboard'!C$12="Manual Entry",IF(B76&gt;('User Dashboard'!$H$12+'User Dashboard'!$H$13),"",B76),IF('User Dashboard'!C$12="Exponential Growth",B190)))</f>
        <v>3</v>
      </c>
      <c r="C16" s="359">
        <f>IF(B16="","",IF('User Dashboard'!C$12="SIR Model",VLOOKUP(B16,B$130:C$182,2,FALSE),IF('User Dashboard'!C$12="Manual Entry",VLOOKUP(B16,B$73:C$125,2,FALSE),IF('User Dashboard'!C$12="Exponential Growth",VLOOKUP(B16,B$187:D$240,3,FALSE),""))))</f>
        <v>49.41932082118214</v>
      </c>
      <c r="D16" s="58">
        <f t="shared" si="21"/>
        <v>35.196807709843043</v>
      </c>
      <c r="E16" s="57">
        <f t="shared" si="0"/>
        <v>19.767728328472856</v>
      </c>
      <c r="F16" s="58">
        <f t="shared" si="1"/>
        <v>14.078723083937218</v>
      </c>
      <c r="G16" s="59">
        <f t="shared" si="2"/>
        <v>19.767728328472856</v>
      </c>
      <c r="H16" s="59">
        <f t="shared" si="3"/>
        <v>14.078723083937218</v>
      </c>
      <c r="I16" s="57">
        <f t="shared" si="4"/>
        <v>7.412898123177321</v>
      </c>
      <c r="J16" s="58">
        <f t="shared" si="5"/>
        <v>5.2795211564764566</v>
      </c>
      <c r="K16" s="57">
        <f t="shared" si="6"/>
        <v>2.470966041059107</v>
      </c>
      <c r="L16" s="58">
        <f t="shared" si="7"/>
        <v>1.7598403854921523</v>
      </c>
      <c r="M16" s="57">
        <f t="shared" ca="1" si="8"/>
        <v>1.5921549766723406</v>
      </c>
      <c r="N16" s="58">
        <f t="shared" ca="1" si="9"/>
        <v>1.1921549766723405</v>
      </c>
      <c r="O16" s="57">
        <f t="shared" ca="1" si="10"/>
        <v>1.5921549766723406</v>
      </c>
      <c r="P16" s="58">
        <f t="shared" ca="1" si="11"/>
        <v>1.1921549766723405</v>
      </c>
      <c r="Q16" s="57">
        <f t="shared" ca="1" si="12"/>
        <v>2.1333769667008644</v>
      </c>
      <c r="R16" s="58">
        <f t="shared" ca="1" si="13"/>
        <v>1.5363188504487364</v>
      </c>
      <c r="S16" s="57">
        <f t="shared" ca="1" si="14"/>
        <v>0.19901937208404258</v>
      </c>
      <c r="T16" s="59">
        <f t="shared" ca="1" si="15"/>
        <v>0.14901937208404256</v>
      </c>
      <c r="U16" s="57">
        <f t="shared" ca="1" si="16"/>
        <v>18.175573351800516</v>
      </c>
      <c r="V16" s="59">
        <f t="shared" ca="1" si="17"/>
        <v>18.175573351800516</v>
      </c>
      <c r="W16" s="59">
        <f t="shared" ca="1" si="22"/>
        <v>5.2795211564764566</v>
      </c>
      <c r="X16" s="58">
        <f t="shared" ca="1" si="18"/>
        <v>2.2719466689750645</v>
      </c>
      <c r="Y16" s="59">
        <f t="shared" si="19"/>
        <v>494.1932082118214</v>
      </c>
      <c r="Z16" s="58">
        <f t="shared" si="20"/>
        <v>351.9680770984304</v>
      </c>
    </row>
    <row r="17" spans="2:26" x14ac:dyDescent="0.35">
      <c r="B17" s="57">
        <f>IF('User Dashboard'!C$12="SIR Model",IF(B134&gt;('User Dashboard'!$H$12+'User Dashboard'!$H$13),"",B134),IF('User Dashboard'!C$12="Manual Entry",IF(B77&gt;('User Dashboard'!$H$12+'User Dashboard'!$H$13),"",B77),IF('User Dashboard'!C$12="Exponential Growth",B191)))</f>
        <v>4</v>
      </c>
      <c r="C17" s="359">
        <f>IF(B17="","",IF('User Dashboard'!C$12="SIR Model",VLOOKUP(B17,B$130:C$182,2,FALSE),IF('User Dashboard'!C$12="Manual Entry",VLOOKUP(B17,B$73:C$125,2,FALSE),IF('User Dashboard'!C$12="Exponential Growth",VLOOKUP(B17,B$187:D$240,3,FALSE),""))))</f>
        <v>170.36824693317658</v>
      </c>
      <c r="D17" s="58">
        <f t="shared" si="21"/>
        <v>120.94892611199444</v>
      </c>
      <c r="E17" s="57">
        <f t="shared" si="0"/>
        <v>68.147298773270634</v>
      </c>
      <c r="F17" s="58">
        <f t="shared" si="1"/>
        <v>48.379570444797778</v>
      </c>
      <c r="G17" s="59">
        <f t="shared" si="2"/>
        <v>68.147298773270634</v>
      </c>
      <c r="H17" s="59">
        <f t="shared" si="3"/>
        <v>48.379570444797778</v>
      </c>
      <c r="I17" s="57">
        <f t="shared" si="4"/>
        <v>25.555237039976486</v>
      </c>
      <c r="J17" s="58">
        <f t="shared" si="5"/>
        <v>18.142338916799165</v>
      </c>
      <c r="K17" s="57">
        <f t="shared" si="6"/>
        <v>8.5184123466588293</v>
      </c>
      <c r="L17" s="58">
        <f t="shared" si="7"/>
        <v>6.0474463055997223</v>
      </c>
      <c r="M17" s="57">
        <f t="shared" ca="1" si="8"/>
        <v>5.6890052445356387</v>
      </c>
      <c r="N17" s="58">
        <f t="shared" ca="1" si="9"/>
        <v>4.0968502678632976</v>
      </c>
      <c r="O17" s="57">
        <f t="shared" ca="1" si="10"/>
        <v>5.6890052445356387</v>
      </c>
      <c r="P17" s="58">
        <f t="shared" ca="1" si="11"/>
        <v>4.0968502678632976</v>
      </c>
      <c r="Q17" s="57">
        <f t="shared" ca="1" si="12"/>
        <v>7.412898123177321</v>
      </c>
      <c r="R17" s="58">
        <f t="shared" ca="1" si="13"/>
        <v>5.2795211564764566</v>
      </c>
      <c r="S17" s="57">
        <f t="shared" ca="1" si="14"/>
        <v>0.71112565556695484</v>
      </c>
      <c r="T17" s="59">
        <f t="shared" ca="1" si="15"/>
        <v>0.51210628348291221</v>
      </c>
      <c r="U17" s="57">
        <f t="shared" ca="1" si="16"/>
        <v>62.458293528734998</v>
      </c>
      <c r="V17" s="59">
        <f t="shared" ca="1" si="17"/>
        <v>62.458293528734998</v>
      </c>
      <c r="W17" s="59">
        <f t="shared" ca="1" si="22"/>
        <v>18.142338916799165</v>
      </c>
      <c r="X17" s="58">
        <f t="shared" ca="1" si="18"/>
        <v>7.8072866910918748</v>
      </c>
      <c r="Y17" s="59">
        <f t="shared" si="19"/>
        <v>1703.6824693317658</v>
      </c>
      <c r="Z17" s="58">
        <f t="shared" si="20"/>
        <v>1209.4892611199443</v>
      </c>
    </row>
    <row r="18" spans="2:26" x14ac:dyDescent="0.35">
      <c r="B18" s="57">
        <f>IF('User Dashboard'!C$12="SIR Model",IF(B135&gt;('User Dashboard'!$H$12+'User Dashboard'!$H$13),"",B135),IF('User Dashboard'!C$12="Manual Entry",IF(B78&gt;('User Dashboard'!$H$12+'User Dashboard'!$H$13),"",B78),IF('User Dashboard'!C$12="Exponential Growth",B192)))</f>
        <v>5</v>
      </c>
      <c r="C18" s="359">
        <f>IF(B18="","",IF('User Dashboard'!C$12="SIR Model",VLOOKUP(B18,B$130:C$182,2,FALSE),IF('User Dashboard'!C$12="Manual Entry",VLOOKUP(B18,B$73:C$125,2,FALSE),IF('User Dashboard'!C$12="Exponential Growth",VLOOKUP(B18,B$187:D$240,3,FALSE),""))))</f>
        <v>585.94491683012484</v>
      </c>
      <c r="D18" s="58">
        <f t="shared" si="21"/>
        <v>415.57666989694826</v>
      </c>
      <c r="E18" s="57">
        <f t="shared" si="0"/>
        <v>234.37796673204994</v>
      </c>
      <c r="F18" s="58">
        <f t="shared" si="1"/>
        <v>166.23066795877932</v>
      </c>
      <c r="G18" s="59">
        <f t="shared" si="2"/>
        <v>234.37796673204994</v>
      </c>
      <c r="H18" s="59">
        <f t="shared" si="3"/>
        <v>166.23066795877932</v>
      </c>
      <c r="I18" s="57">
        <f t="shared" si="4"/>
        <v>87.891737524518717</v>
      </c>
      <c r="J18" s="58">
        <f t="shared" si="5"/>
        <v>62.336500484542235</v>
      </c>
      <c r="K18" s="57">
        <f t="shared" si="6"/>
        <v>29.297245841506243</v>
      </c>
      <c r="L18" s="58">
        <f t="shared" si="7"/>
        <v>20.778833494847415</v>
      </c>
      <c r="M18" s="57">
        <f t="shared" ca="1" si="8"/>
        <v>19.767728328472856</v>
      </c>
      <c r="N18" s="58">
        <f t="shared" ca="1" si="9"/>
        <v>14.078723083937218</v>
      </c>
      <c r="O18" s="57">
        <f t="shared" ca="1" si="10"/>
        <v>19.767728328472856</v>
      </c>
      <c r="P18" s="58">
        <f t="shared" ca="1" si="11"/>
        <v>14.078723083937218</v>
      </c>
      <c r="Q18" s="57">
        <f t="shared" ca="1" si="12"/>
        <v>25.555237039976486</v>
      </c>
      <c r="R18" s="58">
        <f t="shared" ca="1" si="13"/>
        <v>18.142338916799165</v>
      </c>
      <c r="S18" s="57">
        <f t="shared" ca="1" si="14"/>
        <v>2.470966041059107</v>
      </c>
      <c r="T18" s="59">
        <f t="shared" ca="1" si="15"/>
        <v>1.7598403854921523</v>
      </c>
      <c r="U18" s="57">
        <f t="shared" ca="1" si="16"/>
        <v>214.61023840357709</v>
      </c>
      <c r="V18" s="59">
        <f t="shared" ca="1" si="17"/>
        <v>214.61023840357709</v>
      </c>
      <c r="W18" s="59">
        <f t="shared" ca="1" si="22"/>
        <v>62.336500484542228</v>
      </c>
      <c r="X18" s="58">
        <f t="shared" ca="1" si="18"/>
        <v>26.826279800447136</v>
      </c>
      <c r="Y18" s="59">
        <f t="shared" si="19"/>
        <v>5859.4491683012484</v>
      </c>
      <c r="Z18" s="58">
        <f t="shared" si="20"/>
        <v>4155.7666989694826</v>
      </c>
    </row>
    <row r="19" spans="2:26" x14ac:dyDescent="0.35">
      <c r="B19" s="57">
        <f>IF('User Dashboard'!C$12="SIR Model",IF(B136&gt;('User Dashboard'!$H$12+'User Dashboard'!$H$13),"",B136),IF('User Dashboard'!C$12="Manual Entry",IF(B79&gt;('User Dashboard'!$H$12+'User Dashboard'!$H$13),"",B79),IF('User Dashboard'!C$12="Exponential Growth",B193)))</f>
        <v>6</v>
      </c>
      <c r="C19" s="359">
        <f>IF(B19="","",IF('User Dashboard'!C$12="SIR Model",VLOOKUP(B19,B$130:C$182,2,FALSE),IF('User Dashboard'!C$12="Manual Entry",VLOOKUP(B19,B$73:C$125,2,FALSE),IF('User Dashboard'!C$12="Exponential Growth",VLOOKUP(B19,B$187:D$240,3,FALSE),""))))</f>
        <v>2013.2929995034956</v>
      </c>
      <c r="D19" s="58">
        <f t="shared" si="21"/>
        <v>1427.3480826733708</v>
      </c>
      <c r="E19" s="57">
        <f t="shared" si="0"/>
        <v>805.31719980139826</v>
      </c>
      <c r="F19" s="58">
        <f t="shared" si="1"/>
        <v>570.93923306934835</v>
      </c>
      <c r="G19" s="59">
        <f t="shared" si="2"/>
        <v>805.31719980139826</v>
      </c>
      <c r="H19" s="59">
        <f t="shared" si="3"/>
        <v>570.93923306934835</v>
      </c>
      <c r="I19" s="57">
        <f t="shared" si="4"/>
        <v>301.9939499255243</v>
      </c>
      <c r="J19" s="58">
        <f t="shared" si="5"/>
        <v>214.1022124010056</v>
      </c>
      <c r="K19" s="57">
        <f t="shared" si="6"/>
        <v>100.66464997517478</v>
      </c>
      <c r="L19" s="58">
        <f t="shared" si="7"/>
        <v>71.367404133668543</v>
      </c>
      <c r="M19" s="57">
        <f t="shared" ca="1" si="8"/>
        <v>68.147298773270634</v>
      </c>
      <c r="N19" s="58">
        <f t="shared" ca="1" si="9"/>
        <v>48.379570444797778</v>
      </c>
      <c r="O19" s="57">
        <f t="shared" ca="1" si="10"/>
        <v>68.147298773270634</v>
      </c>
      <c r="P19" s="58">
        <f t="shared" ca="1" si="11"/>
        <v>48.379570444797778</v>
      </c>
      <c r="Q19" s="57">
        <f t="shared" ca="1" si="12"/>
        <v>87.891737524518717</v>
      </c>
      <c r="R19" s="58">
        <f t="shared" ca="1" si="13"/>
        <v>62.336500484542235</v>
      </c>
      <c r="S19" s="57">
        <f t="shared" ca="1" si="14"/>
        <v>8.5184123466588293</v>
      </c>
      <c r="T19" s="59">
        <f t="shared" ca="1" si="15"/>
        <v>6.0474463055997223</v>
      </c>
      <c r="U19" s="57">
        <f t="shared" ca="1" si="16"/>
        <v>737.16990102812758</v>
      </c>
      <c r="V19" s="59">
        <f t="shared" ca="1" si="17"/>
        <v>737.16990102812758</v>
      </c>
      <c r="W19" s="59">
        <f t="shared" ca="1" si="22"/>
        <v>214.1022124010056</v>
      </c>
      <c r="X19" s="58">
        <f t="shared" ca="1" si="18"/>
        <v>92.146237628515948</v>
      </c>
      <c r="Y19" s="59">
        <f t="shared" si="19"/>
        <v>20132.929995034956</v>
      </c>
      <c r="Z19" s="58">
        <f t="shared" si="20"/>
        <v>14273.480826733707</v>
      </c>
    </row>
    <row r="20" spans="2:26" x14ac:dyDescent="0.35">
      <c r="B20" s="57" t="str">
        <f>IF('User Dashboard'!C$12="SIR Model",IF(B137&gt;('User Dashboard'!$H$12+'User Dashboard'!$H$13),"",B137),IF('User Dashboard'!C$12="Manual Entry",IF(B80&gt;('User Dashboard'!$H$12+'User Dashboard'!$H$13),"",B80),IF('User Dashboard'!C$12="Exponential Growth",B194)))</f>
        <v/>
      </c>
      <c r="C20" s="359" t="str">
        <f>IF(B20="","",IF('User Dashboard'!C$12="SIR Model",VLOOKUP(B20,B$130:C$182,2,FALSE),IF('User Dashboard'!C$12="Manual Entry",VLOOKUP(B20,B$73:C$125,2,FALSE),IF('User Dashboard'!C$12="Exponential Growth",VLOOKUP(B20,B$187:D$240,3,FALSE),""))))</f>
        <v/>
      </c>
      <c r="D20" s="58" t="str">
        <f t="shared" si="21"/>
        <v/>
      </c>
      <c r="E20" s="57" t="str">
        <f t="shared" si="0"/>
        <v/>
      </c>
      <c r="F20" s="58" t="str">
        <f t="shared" si="1"/>
        <v/>
      </c>
      <c r="G20" s="59" t="str">
        <f t="shared" si="2"/>
        <v/>
      </c>
      <c r="H20" s="59" t="str">
        <f t="shared" si="3"/>
        <v/>
      </c>
      <c r="I20" s="57" t="str">
        <f t="shared" si="4"/>
        <v/>
      </c>
      <c r="J20" s="58" t="str">
        <f t="shared" si="5"/>
        <v/>
      </c>
      <c r="K20" s="57" t="str">
        <f t="shared" si="6"/>
        <v/>
      </c>
      <c r="L20" s="58" t="str">
        <f t="shared" si="7"/>
        <v/>
      </c>
      <c r="M20" s="57" t="str">
        <f t="shared" ca="1" si="8"/>
        <v/>
      </c>
      <c r="N20" s="58" t="str">
        <f t="shared" ca="1" si="9"/>
        <v/>
      </c>
      <c r="O20" s="57" t="str">
        <f t="shared" ca="1" si="10"/>
        <v/>
      </c>
      <c r="P20" s="58" t="str">
        <f t="shared" ca="1" si="11"/>
        <v/>
      </c>
      <c r="Q20" s="57" t="str">
        <f t="shared" ca="1" si="12"/>
        <v/>
      </c>
      <c r="R20" s="58" t="str">
        <f t="shared" ca="1" si="13"/>
        <v/>
      </c>
      <c r="S20" s="57" t="str">
        <f t="shared" ca="1" si="14"/>
        <v/>
      </c>
      <c r="T20" s="59" t="str">
        <f t="shared" ca="1" si="15"/>
        <v/>
      </c>
      <c r="U20" s="57" t="str">
        <f t="shared" ca="1" si="16"/>
        <v/>
      </c>
      <c r="V20" s="59" t="str">
        <f t="shared" ca="1" si="17"/>
        <v/>
      </c>
      <c r="W20" s="59" t="str">
        <f t="shared" ca="1" si="22"/>
        <v/>
      </c>
      <c r="X20" s="58" t="str">
        <f t="shared" ca="1" si="18"/>
        <v/>
      </c>
      <c r="Y20" s="59" t="str">
        <f t="shared" si="19"/>
        <v/>
      </c>
      <c r="Z20" s="58" t="str">
        <f t="shared" si="20"/>
        <v/>
      </c>
    </row>
    <row r="21" spans="2:26" x14ac:dyDescent="0.35">
      <c r="B21" s="57" t="str">
        <f>IF('User Dashboard'!C$12="SIR Model",IF(B138&gt;('User Dashboard'!$H$12+'User Dashboard'!$H$13),"",B138),IF('User Dashboard'!C$12="Manual Entry",IF(B81&gt;('User Dashboard'!$H$12+'User Dashboard'!$H$13),"",B81),IF('User Dashboard'!C$12="Exponential Growth",B195)))</f>
        <v/>
      </c>
      <c r="C21" s="359" t="str">
        <f>IF(B21="","",IF('User Dashboard'!C$12="SIR Model",VLOOKUP(B21,B$130:C$182,2,FALSE),IF('User Dashboard'!C$12="Manual Entry",VLOOKUP(B21,B$73:C$125,2,FALSE),IF('User Dashboard'!C$12="Exponential Growth",VLOOKUP(B21,B$187:D$240,3,FALSE),""))))</f>
        <v/>
      </c>
      <c r="D21" s="58" t="str">
        <f t="shared" si="21"/>
        <v/>
      </c>
      <c r="E21" s="57" t="str">
        <f t="shared" si="0"/>
        <v/>
      </c>
      <c r="F21" s="58" t="str">
        <f t="shared" si="1"/>
        <v/>
      </c>
      <c r="G21" s="59" t="str">
        <f t="shared" si="2"/>
        <v/>
      </c>
      <c r="H21" s="59" t="str">
        <f t="shared" si="3"/>
        <v/>
      </c>
      <c r="I21" s="57" t="str">
        <f t="shared" si="4"/>
        <v/>
      </c>
      <c r="J21" s="58" t="str">
        <f t="shared" si="5"/>
        <v/>
      </c>
      <c r="K21" s="57" t="str">
        <f t="shared" si="6"/>
        <v/>
      </c>
      <c r="L21" s="58" t="str">
        <f t="shared" si="7"/>
        <v/>
      </c>
      <c r="M21" s="57" t="str">
        <f t="shared" ca="1" si="8"/>
        <v/>
      </c>
      <c r="N21" s="58" t="str">
        <f t="shared" ca="1" si="9"/>
        <v/>
      </c>
      <c r="O21" s="57" t="str">
        <f t="shared" ca="1" si="10"/>
        <v/>
      </c>
      <c r="P21" s="58" t="str">
        <f t="shared" ca="1" si="11"/>
        <v/>
      </c>
      <c r="Q21" s="57" t="str">
        <f t="shared" ca="1" si="12"/>
        <v/>
      </c>
      <c r="R21" s="58" t="str">
        <f t="shared" ca="1" si="13"/>
        <v/>
      </c>
      <c r="S21" s="57" t="str">
        <f t="shared" ca="1" si="14"/>
        <v/>
      </c>
      <c r="T21" s="59" t="str">
        <f t="shared" ca="1" si="15"/>
        <v/>
      </c>
      <c r="U21" s="57" t="str">
        <f t="shared" ca="1" si="16"/>
        <v/>
      </c>
      <c r="V21" s="59" t="str">
        <f t="shared" ca="1" si="17"/>
        <v/>
      </c>
      <c r="W21" s="59" t="str">
        <f t="shared" ca="1" si="22"/>
        <v/>
      </c>
      <c r="X21" s="58" t="str">
        <f t="shared" ca="1" si="18"/>
        <v/>
      </c>
      <c r="Y21" s="59" t="str">
        <f t="shared" si="19"/>
        <v/>
      </c>
      <c r="Z21" s="58" t="str">
        <f t="shared" si="20"/>
        <v/>
      </c>
    </row>
    <row r="22" spans="2:26" x14ac:dyDescent="0.35">
      <c r="B22" s="57" t="str">
        <f>IF('User Dashboard'!C$12="SIR Model",IF(B139&gt;('User Dashboard'!$H$12+'User Dashboard'!$H$13),"",B139),IF('User Dashboard'!C$12="Manual Entry",IF(B82&gt;('User Dashboard'!$H$12+'User Dashboard'!$H$13),"",B82),IF('User Dashboard'!C$12="Exponential Growth",B196)))</f>
        <v/>
      </c>
      <c r="C22" s="359" t="str">
        <f>IF(B22="","",IF('User Dashboard'!C$12="SIR Model",VLOOKUP(B22,B$130:C$182,2,FALSE),IF('User Dashboard'!C$12="Manual Entry",VLOOKUP(B22,B$73:C$125,2,FALSE),IF('User Dashboard'!C$12="Exponential Growth",VLOOKUP(B22,B$187:D$240,3,FALSE),""))))</f>
        <v/>
      </c>
      <c r="D22" s="58" t="str">
        <f t="shared" si="21"/>
        <v/>
      </c>
      <c r="E22" s="57" t="str">
        <f t="shared" si="0"/>
        <v/>
      </c>
      <c r="F22" s="58" t="str">
        <f t="shared" si="1"/>
        <v/>
      </c>
      <c r="G22" s="59" t="str">
        <f t="shared" si="2"/>
        <v/>
      </c>
      <c r="H22" s="59" t="str">
        <f t="shared" si="3"/>
        <v/>
      </c>
      <c r="I22" s="57" t="str">
        <f t="shared" si="4"/>
        <v/>
      </c>
      <c r="J22" s="58" t="str">
        <f t="shared" si="5"/>
        <v/>
      </c>
      <c r="K22" s="57" t="str">
        <f t="shared" si="6"/>
        <v/>
      </c>
      <c r="L22" s="58" t="str">
        <f t="shared" si="7"/>
        <v/>
      </c>
      <c r="M22" s="57" t="str">
        <f t="shared" ca="1" si="8"/>
        <v/>
      </c>
      <c r="N22" s="58" t="str">
        <f t="shared" ca="1" si="9"/>
        <v/>
      </c>
      <c r="O22" s="57" t="str">
        <f t="shared" ca="1" si="10"/>
        <v/>
      </c>
      <c r="P22" s="58" t="str">
        <f t="shared" ca="1" si="11"/>
        <v/>
      </c>
      <c r="Q22" s="57" t="str">
        <f t="shared" ca="1" si="12"/>
        <v/>
      </c>
      <c r="R22" s="58" t="str">
        <f t="shared" ca="1" si="13"/>
        <v/>
      </c>
      <c r="S22" s="57" t="str">
        <f t="shared" ca="1" si="14"/>
        <v/>
      </c>
      <c r="T22" s="59" t="str">
        <f t="shared" ca="1" si="15"/>
        <v/>
      </c>
      <c r="U22" s="57" t="str">
        <f t="shared" ca="1" si="16"/>
        <v/>
      </c>
      <c r="V22" s="59" t="str">
        <f t="shared" ca="1" si="17"/>
        <v/>
      </c>
      <c r="W22" s="59" t="str">
        <f t="shared" ca="1" si="22"/>
        <v/>
      </c>
      <c r="X22" s="58" t="str">
        <f t="shared" ca="1" si="18"/>
        <v/>
      </c>
      <c r="Y22" s="59" t="str">
        <f t="shared" si="19"/>
        <v/>
      </c>
      <c r="Z22" s="58" t="str">
        <f t="shared" si="20"/>
        <v/>
      </c>
    </row>
    <row r="23" spans="2:26" x14ac:dyDescent="0.35">
      <c r="B23" s="57" t="str">
        <f>IF('User Dashboard'!C$12="SIR Model",IF(B140&gt;('User Dashboard'!$H$12+'User Dashboard'!$H$13),"",B140),IF('User Dashboard'!C$12="Manual Entry",IF(B83&gt;('User Dashboard'!$H$12+'User Dashboard'!$H$13),"",B83),IF('User Dashboard'!C$12="Exponential Growth",B197)))</f>
        <v/>
      </c>
      <c r="C23" s="359" t="str">
        <f>IF(B23="","",IF('User Dashboard'!C$12="SIR Model",VLOOKUP(B23,B$130:C$182,2,FALSE),IF('User Dashboard'!C$12="Manual Entry",VLOOKUP(B23,B$73:C$125,2,FALSE),IF('User Dashboard'!C$12="Exponential Growth",VLOOKUP(B23,B$187:D$240,3,FALSE),""))))</f>
        <v/>
      </c>
      <c r="D23" s="58" t="str">
        <f t="shared" si="21"/>
        <v/>
      </c>
      <c r="E23" s="57" t="str">
        <f t="shared" si="0"/>
        <v/>
      </c>
      <c r="F23" s="58" t="str">
        <f t="shared" si="1"/>
        <v/>
      </c>
      <c r="G23" s="59" t="str">
        <f t="shared" si="2"/>
        <v/>
      </c>
      <c r="H23" s="59" t="str">
        <f t="shared" si="3"/>
        <v/>
      </c>
      <c r="I23" s="57" t="str">
        <f t="shared" si="4"/>
        <v/>
      </c>
      <c r="J23" s="58" t="str">
        <f t="shared" si="5"/>
        <v/>
      </c>
      <c r="K23" s="57" t="str">
        <f t="shared" si="6"/>
        <v/>
      </c>
      <c r="L23" s="58" t="str">
        <f t="shared" si="7"/>
        <v/>
      </c>
      <c r="M23" s="57" t="str">
        <f t="shared" ca="1" si="8"/>
        <v/>
      </c>
      <c r="N23" s="58" t="str">
        <f t="shared" ca="1" si="9"/>
        <v/>
      </c>
      <c r="O23" s="57" t="str">
        <f t="shared" ca="1" si="10"/>
        <v/>
      </c>
      <c r="P23" s="58" t="str">
        <f t="shared" ca="1" si="11"/>
        <v/>
      </c>
      <c r="Q23" s="57" t="str">
        <f t="shared" ca="1" si="12"/>
        <v/>
      </c>
      <c r="R23" s="58" t="str">
        <f t="shared" ca="1" si="13"/>
        <v/>
      </c>
      <c r="S23" s="57" t="str">
        <f t="shared" ca="1" si="14"/>
        <v/>
      </c>
      <c r="T23" s="59" t="str">
        <f t="shared" ca="1" si="15"/>
        <v/>
      </c>
      <c r="U23" s="57" t="str">
        <f t="shared" ca="1" si="16"/>
        <v/>
      </c>
      <c r="V23" s="59" t="str">
        <f t="shared" ca="1" si="17"/>
        <v/>
      </c>
      <c r="W23" s="59" t="str">
        <f t="shared" ca="1" si="22"/>
        <v/>
      </c>
      <c r="X23" s="58" t="str">
        <f t="shared" ca="1" si="18"/>
        <v/>
      </c>
      <c r="Y23" s="59" t="str">
        <f t="shared" si="19"/>
        <v/>
      </c>
      <c r="Z23" s="58" t="str">
        <f t="shared" si="20"/>
        <v/>
      </c>
    </row>
    <row r="24" spans="2:26" x14ac:dyDescent="0.35">
      <c r="B24" s="57" t="str">
        <f>IF('User Dashboard'!C$12="SIR Model",IF(B141&gt;('User Dashboard'!$H$12+'User Dashboard'!$H$13),"",B141),IF('User Dashboard'!C$12="Manual Entry",IF(B84&gt;('User Dashboard'!$H$12+'User Dashboard'!$H$13),"",B84),IF('User Dashboard'!C$12="Exponential Growth",B198)))</f>
        <v/>
      </c>
      <c r="C24" s="359" t="str">
        <f>IF(B24="","",IF('User Dashboard'!C$12="SIR Model",VLOOKUP(B24,B$130:C$182,2,FALSE),IF('User Dashboard'!C$12="Manual Entry",VLOOKUP(B24,B$73:C$125,2,FALSE),IF('User Dashboard'!C$12="Exponential Growth",VLOOKUP(B24,B$187:D$240,3,FALSE),""))))</f>
        <v/>
      </c>
      <c r="D24" s="58" t="str">
        <f t="shared" si="21"/>
        <v/>
      </c>
      <c r="E24" s="57" t="str">
        <f t="shared" si="0"/>
        <v/>
      </c>
      <c r="F24" s="58" t="str">
        <f t="shared" si="1"/>
        <v/>
      </c>
      <c r="G24" s="59" t="str">
        <f t="shared" si="2"/>
        <v/>
      </c>
      <c r="H24" s="59" t="str">
        <f t="shared" si="3"/>
        <v/>
      </c>
      <c r="I24" s="57" t="str">
        <f t="shared" si="4"/>
        <v/>
      </c>
      <c r="J24" s="58" t="str">
        <f t="shared" si="5"/>
        <v/>
      </c>
      <c r="K24" s="57" t="str">
        <f t="shared" si="6"/>
        <v/>
      </c>
      <c r="L24" s="58" t="str">
        <f t="shared" si="7"/>
        <v/>
      </c>
      <c r="M24" s="57" t="str">
        <f t="shared" ca="1" si="8"/>
        <v/>
      </c>
      <c r="N24" s="58" t="str">
        <f t="shared" ca="1" si="9"/>
        <v/>
      </c>
      <c r="O24" s="57" t="str">
        <f t="shared" ca="1" si="10"/>
        <v/>
      </c>
      <c r="P24" s="58" t="str">
        <f t="shared" ca="1" si="11"/>
        <v/>
      </c>
      <c r="Q24" s="57" t="str">
        <f t="shared" ca="1" si="12"/>
        <v/>
      </c>
      <c r="R24" s="58" t="str">
        <f t="shared" ca="1" si="13"/>
        <v/>
      </c>
      <c r="S24" s="57" t="str">
        <f t="shared" ca="1" si="14"/>
        <v/>
      </c>
      <c r="T24" s="59" t="str">
        <f t="shared" ca="1" si="15"/>
        <v/>
      </c>
      <c r="U24" s="57" t="str">
        <f t="shared" ca="1" si="16"/>
        <v/>
      </c>
      <c r="V24" s="59" t="str">
        <f t="shared" ca="1" si="17"/>
        <v/>
      </c>
      <c r="W24" s="59" t="str">
        <f t="shared" ca="1" si="22"/>
        <v/>
      </c>
      <c r="X24" s="58" t="str">
        <f t="shared" ca="1" si="18"/>
        <v/>
      </c>
      <c r="Y24" s="59" t="str">
        <f t="shared" si="19"/>
        <v/>
      </c>
      <c r="Z24" s="58" t="str">
        <f t="shared" si="20"/>
        <v/>
      </c>
    </row>
    <row r="25" spans="2:26" x14ac:dyDescent="0.35">
      <c r="B25" s="57" t="str">
        <f>IF('User Dashboard'!C$12="SIR Model",IF(B142&gt;('User Dashboard'!$H$12+'User Dashboard'!$H$13),"",B142),IF('User Dashboard'!C$12="Manual Entry",IF(B85&gt;('User Dashboard'!$H$12+'User Dashboard'!$H$13),"",B85),IF('User Dashboard'!C$12="Exponential Growth",B199)))</f>
        <v/>
      </c>
      <c r="C25" s="359" t="str">
        <f>IF(B25="","",IF('User Dashboard'!C$12="SIR Model",VLOOKUP(B25,B$130:C$182,2,FALSE),IF('User Dashboard'!C$12="Manual Entry",VLOOKUP(B25,B$73:C$125,2,FALSE),IF('User Dashboard'!C$12="Exponential Growth",VLOOKUP(B25,B$187:D$240,3,FALSE),""))))</f>
        <v/>
      </c>
      <c r="D25" s="58" t="str">
        <f t="shared" si="21"/>
        <v/>
      </c>
      <c r="E25" s="57" t="str">
        <f t="shared" si="0"/>
        <v/>
      </c>
      <c r="F25" s="58" t="str">
        <f t="shared" si="1"/>
        <v/>
      </c>
      <c r="G25" s="59" t="str">
        <f t="shared" si="2"/>
        <v/>
      </c>
      <c r="H25" s="59" t="str">
        <f t="shared" si="3"/>
        <v/>
      </c>
      <c r="I25" s="57" t="str">
        <f t="shared" si="4"/>
        <v/>
      </c>
      <c r="J25" s="58" t="str">
        <f t="shared" si="5"/>
        <v/>
      </c>
      <c r="K25" s="57" t="str">
        <f t="shared" si="6"/>
        <v/>
      </c>
      <c r="L25" s="58" t="str">
        <f t="shared" si="7"/>
        <v/>
      </c>
      <c r="M25" s="57" t="str">
        <f t="shared" ca="1" si="8"/>
        <v/>
      </c>
      <c r="N25" s="58" t="str">
        <f t="shared" ca="1" si="9"/>
        <v/>
      </c>
      <c r="O25" s="57" t="str">
        <f t="shared" ca="1" si="10"/>
        <v/>
      </c>
      <c r="P25" s="58" t="str">
        <f t="shared" ca="1" si="11"/>
        <v/>
      </c>
      <c r="Q25" s="57" t="str">
        <f t="shared" ca="1" si="12"/>
        <v/>
      </c>
      <c r="R25" s="58" t="str">
        <f t="shared" ca="1" si="13"/>
        <v/>
      </c>
      <c r="S25" s="57" t="str">
        <f t="shared" ca="1" si="14"/>
        <v/>
      </c>
      <c r="T25" s="59" t="str">
        <f t="shared" ca="1" si="15"/>
        <v/>
      </c>
      <c r="U25" s="57" t="str">
        <f t="shared" ca="1" si="16"/>
        <v/>
      </c>
      <c r="V25" s="59" t="str">
        <f t="shared" ca="1" si="17"/>
        <v/>
      </c>
      <c r="W25" s="59" t="str">
        <f t="shared" ca="1" si="22"/>
        <v/>
      </c>
      <c r="X25" s="58" t="str">
        <f t="shared" ca="1" si="18"/>
        <v/>
      </c>
      <c r="Y25" s="59" t="str">
        <f t="shared" si="19"/>
        <v/>
      </c>
      <c r="Z25" s="58" t="str">
        <f t="shared" si="20"/>
        <v/>
      </c>
    </row>
    <row r="26" spans="2:26" x14ac:dyDescent="0.35">
      <c r="B26" s="57" t="str">
        <f>IF('User Dashboard'!C$12="SIR Model",IF(B143&gt;('User Dashboard'!$H$12+'User Dashboard'!$H$13),"",B143),IF('User Dashboard'!C$12="Manual Entry",IF(B86&gt;('User Dashboard'!$H$12+'User Dashboard'!$H$13),"",B86),IF('User Dashboard'!C$12="Exponential Growth",B200)))</f>
        <v/>
      </c>
      <c r="C26" s="359" t="str">
        <f>IF(B26="","",IF('User Dashboard'!C$12="SIR Model",VLOOKUP(B26,B$130:C$182,2,FALSE),IF('User Dashboard'!C$12="Manual Entry",VLOOKUP(B26,B$73:C$125,2,FALSE),IF('User Dashboard'!C$12="Exponential Growth",VLOOKUP(B26,B$187:D$240,3,FALSE),""))))</f>
        <v/>
      </c>
      <c r="D26" s="58" t="str">
        <f t="shared" si="21"/>
        <v/>
      </c>
      <c r="E26" s="57" t="str">
        <f t="shared" si="0"/>
        <v/>
      </c>
      <c r="F26" s="58" t="str">
        <f t="shared" si="1"/>
        <v/>
      </c>
      <c r="G26" s="59" t="str">
        <f t="shared" si="2"/>
        <v/>
      </c>
      <c r="H26" s="59" t="str">
        <f t="shared" si="3"/>
        <v/>
      </c>
      <c r="I26" s="57" t="str">
        <f t="shared" si="4"/>
        <v/>
      </c>
      <c r="J26" s="58" t="str">
        <f t="shared" si="5"/>
        <v/>
      </c>
      <c r="K26" s="57" t="str">
        <f t="shared" si="6"/>
        <v/>
      </c>
      <c r="L26" s="58" t="str">
        <f t="shared" si="7"/>
        <v/>
      </c>
      <c r="M26" s="57" t="str">
        <f t="shared" ca="1" si="8"/>
        <v/>
      </c>
      <c r="N26" s="58" t="str">
        <f t="shared" ca="1" si="9"/>
        <v/>
      </c>
      <c r="O26" s="57" t="str">
        <f t="shared" ca="1" si="10"/>
        <v/>
      </c>
      <c r="P26" s="58" t="str">
        <f t="shared" ca="1" si="11"/>
        <v/>
      </c>
      <c r="Q26" s="57" t="str">
        <f t="shared" ca="1" si="12"/>
        <v/>
      </c>
      <c r="R26" s="58" t="str">
        <f t="shared" ca="1" si="13"/>
        <v/>
      </c>
      <c r="S26" s="57" t="str">
        <f t="shared" ca="1" si="14"/>
        <v/>
      </c>
      <c r="T26" s="59" t="str">
        <f t="shared" ca="1" si="15"/>
        <v/>
      </c>
      <c r="U26" s="57" t="str">
        <f t="shared" ca="1" si="16"/>
        <v/>
      </c>
      <c r="V26" s="59" t="str">
        <f t="shared" ca="1" si="17"/>
        <v/>
      </c>
      <c r="W26" s="59" t="str">
        <f t="shared" ca="1" si="22"/>
        <v/>
      </c>
      <c r="X26" s="58" t="str">
        <f t="shared" ca="1" si="18"/>
        <v/>
      </c>
      <c r="Y26" s="59" t="str">
        <f t="shared" si="19"/>
        <v/>
      </c>
      <c r="Z26" s="58" t="str">
        <f t="shared" si="20"/>
        <v/>
      </c>
    </row>
    <row r="27" spans="2:26" x14ac:dyDescent="0.35">
      <c r="B27" s="57" t="str">
        <f>IF('User Dashboard'!C$12="SIR Model",IF(B144&gt;('User Dashboard'!$H$12+'User Dashboard'!$H$13),"",B144),IF('User Dashboard'!C$12="Manual Entry",IF(B87&gt;('User Dashboard'!$H$12+'User Dashboard'!$H$13),"",B87),IF('User Dashboard'!C$12="Exponential Growth",B201)))</f>
        <v/>
      </c>
      <c r="C27" s="359" t="str">
        <f>IF(B27="","",IF('User Dashboard'!C$12="SIR Model",VLOOKUP(B27,B$130:C$182,2,FALSE),IF('User Dashboard'!C$12="Manual Entry",VLOOKUP(B27,B$73:C$125,2,FALSE),IF('User Dashboard'!C$12="Exponential Growth",VLOOKUP(B27,B$187:D$240,3,FALSE),""))))</f>
        <v/>
      </c>
      <c r="D27" s="58" t="str">
        <f t="shared" si="21"/>
        <v/>
      </c>
      <c r="E27" s="57" t="str">
        <f t="shared" si="0"/>
        <v/>
      </c>
      <c r="F27" s="58" t="str">
        <f t="shared" si="1"/>
        <v/>
      </c>
      <c r="G27" s="59" t="str">
        <f t="shared" si="2"/>
        <v/>
      </c>
      <c r="H27" s="59" t="str">
        <f t="shared" si="3"/>
        <v/>
      </c>
      <c r="I27" s="57" t="str">
        <f t="shared" si="4"/>
        <v/>
      </c>
      <c r="J27" s="58" t="str">
        <f t="shared" si="5"/>
        <v/>
      </c>
      <c r="K27" s="57" t="str">
        <f t="shared" si="6"/>
        <v/>
      </c>
      <c r="L27" s="58" t="str">
        <f t="shared" si="7"/>
        <v/>
      </c>
      <c r="M27" s="57" t="str">
        <f t="shared" ca="1" si="8"/>
        <v/>
      </c>
      <c r="N27" s="58" t="str">
        <f t="shared" ca="1" si="9"/>
        <v/>
      </c>
      <c r="O27" s="57" t="str">
        <f t="shared" ca="1" si="10"/>
        <v/>
      </c>
      <c r="P27" s="58" t="str">
        <f t="shared" ca="1" si="11"/>
        <v/>
      </c>
      <c r="Q27" s="57" t="str">
        <f t="shared" ca="1" si="12"/>
        <v/>
      </c>
      <c r="R27" s="58" t="str">
        <f t="shared" ca="1" si="13"/>
        <v/>
      </c>
      <c r="S27" s="57" t="str">
        <f t="shared" ca="1" si="14"/>
        <v/>
      </c>
      <c r="T27" s="59" t="str">
        <f t="shared" ca="1" si="15"/>
        <v/>
      </c>
      <c r="U27" s="57" t="str">
        <f t="shared" ca="1" si="16"/>
        <v/>
      </c>
      <c r="V27" s="59" t="str">
        <f t="shared" ca="1" si="17"/>
        <v/>
      </c>
      <c r="W27" s="59" t="str">
        <f t="shared" ca="1" si="22"/>
        <v/>
      </c>
      <c r="X27" s="58" t="str">
        <f t="shared" ca="1" si="18"/>
        <v/>
      </c>
      <c r="Y27" s="59" t="str">
        <f t="shared" si="19"/>
        <v/>
      </c>
      <c r="Z27" s="58" t="str">
        <f t="shared" si="20"/>
        <v/>
      </c>
    </row>
    <row r="28" spans="2:26" x14ac:dyDescent="0.35">
      <c r="B28" s="57" t="str">
        <f>IF('User Dashboard'!C$12="SIR Model",IF(B145&gt;('User Dashboard'!$H$12+'User Dashboard'!$H$13),"",B145),IF('User Dashboard'!C$12="Manual Entry",IF(B88&gt;('User Dashboard'!$H$12+'User Dashboard'!$H$13),"",B88),IF('User Dashboard'!C$12="Exponential Growth",B202)))</f>
        <v/>
      </c>
      <c r="C28" s="359" t="str">
        <f>IF(B28="","",IF('User Dashboard'!C$12="SIR Model",VLOOKUP(B28,B$130:C$182,2,FALSE),IF('User Dashboard'!C$12="Manual Entry",VLOOKUP(B28,B$73:C$125,2,FALSE),IF('User Dashboard'!C$12="Exponential Growth",VLOOKUP(B28,B$187:D$240,3,FALSE),""))))</f>
        <v/>
      </c>
      <c r="D28" s="58" t="str">
        <f t="shared" si="21"/>
        <v/>
      </c>
      <c r="E28" s="57" t="str">
        <f t="shared" si="0"/>
        <v/>
      </c>
      <c r="F28" s="58" t="str">
        <f t="shared" si="1"/>
        <v/>
      </c>
      <c r="G28" s="59" t="str">
        <f t="shared" si="2"/>
        <v/>
      </c>
      <c r="H28" s="59" t="str">
        <f t="shared" si="3"/>
        <v/>
      </c>
      <c r="I28" s="57" t="str">
        <f t="shared" si="4"/>
        <v/>
      </c>
      <c r="J28" s="58" t="str">
        <f t="shared" si="5"/>
        <v/>
      </c>
      <c r="K28" s="57" t="str">
        <f t="shared" si="6"/>
        <v/>
      </c>
      <c r="L28" s="58" t="str">
        <f t="shared" si="7"/>
        <v/>
      </c>
      <c r="M28" s="57" t="str">
        <f t="shared" ca="1" si="8"/>
        <v/>
      </c>
      <c r="N28" s="58" t="str">
        <f t="shared" ca="1" si="9"/>
        <v/>
      </c>
      <c r="O28" s="57" t="str">
        <f t="shared" ca="1" si="10"/>
        <v/>
      </c>
      <c r="P28" s="58" t="str">
        <f t="shared" ca="1" si="11"/>
        <v/>
      </c>
      <c r="Q28" s="57" t="str">
        <f t="shared" ca="1" si="12"/>
        <v/>
      </c>
      <c r="R28" s="58" t="str">
        <f t="shared" ca="1" si="13"/>
        <v/>
      </c>
      <c r="S28" s="57" t="str">
        <f t="shared" ca="1" si="14"/>
        <v/>
      </c>
      <c r="T28" s="59" t="str">
        <f t="shared" ca="1" si="15"/>
        <v/>
      </c>
      <c r="U28" s="57" t="str">
        <f t="shared" ca="1" si="16"/>
        <v/>
      </c>
      <c r="V28" s="59" t="str">
        <f t="shared" ca="1" si="17"/>
        <v/>
      </c>
      <c r="W28" s="59" t="str">
        <f t="shared" ca="1" si="22"/>
        <v/>
      </c>
      <c r="X28" s="58" t="str">
        <f t="shared" ca="1" si="18"/>
        <v/>
      </c>
      <c r="Y28" s="59" t="str">
        <f t="shared" si="19"/>
        <v/>
      </c>
      <c r="Z28" s="58" t="str">
        <f t="shared" si="20"/>
        <v/>
      </c>
    </row>
    <row r="29" spans="2:26" x14ac:dyDescent="0.35">
      <c r="B29" s="57" t="str">
        <f>IF('User Dashboard'!C$12="SIR Model",IF(B146&gt;('User Dashboard'!$H$12+'User Dashboard'!$H$13),"",B146),IF('User Dashboard'!C$12="Manual Entry",IF(B89&gt;('User Dashboard'!$H$12+'User Dashboard'!$H$13),"",B89),IF('User Dashboard'!C$12="Exponential Growth",B203)))</f>
        <v/>
      </c>
      <c r="C29" s="359" t="str">
        <f>IF(B29="","",IF('User Dashboard'!C$12="SIR Model",VLOOKUP(B29,B$130:C$182,2,FALSE),IF('User Dashboard'!C$12="Manual Entry",VLOOKUP(B29,B$73:C$125,2,FALSE),IF('User Dashboard'!C$12="Exponential Growth",VLOOKUP(B29,B$187:D$240,3,FALSE),""))))</f>
        <v/>
      </c>
      <c r="D29" s="58" t="str">
        <f t="shared" si="21"/>
        <v/>
      </c>
      <c r="E29" s="57" t="str">
        <f t="shared" si="0"/>
        <v/>
      </c>
      <c r="F29" s="58" t="str">
        <f t="shared" si="1"/>
        <v/>
      </c>
      <c r="G29" s="59" t="str">
        <f t="shared" si="2"/>
        <v/>
      </c>
      <c r="H29" s="59" t="str">
        <f t="shared" si="3"/>
        <v/>
      </c>
      <c r="I29" s="57" t="str">
        <f t="shared" si="4"/>
        <v/>
      </c>
      <c r="J29" s="58" t="str">
        <f t="shared" si="5"/>
        <v/>
      </c>
      <c r="K29" s="57" t="str">
        <f t="shared" si="6"/>
        <v/>
      </c>
      <c r="L29" s="58" t="str">
        <f t="shared" si="7"/>
        <v/>
      </c>
      <c r="M29" s="57" t="str">
        <f t="shared" ca="1" si="8"/>
        <v/>
      </c>
      <c r="N29" s="58" t="str">
        <f t="shared" ca="1" si="9"/>
        <v/>
      </c>
      <c r="O29" s="57" t="str">
        <f t="shared" ca="1" si="10"/>
        <v/>
      </c>
      <c r="P29" s="58" t="str">
        <f t="shared" ca="1" si="11"/>
        <v/>
      </c>
      <c r="Q29" s="57" t="str">
        <f t="shared" ca="1" si="12"/>
        <v/>
      </c>
      <c r="R29" s="58" t="str">
        <f t="shared" ca="1" si="13"/>
        <v/>
      </c>
      <c r="S29" s="57" t="str">
        <f t="shared" ca="1" si="14"/>
        <v/>
      </c>
      <c r="T29" s="59" t="str">
        <f t="shared" ca="1" si="15"/>
        <v/>
      </c>
      <c r="U29" s="57" t="str">
        <f t="shared" ca="1" si="16"/>
        <v/>
      </c>
      <c r="V29" s="59" t="str">
        <f t="shared" ca="1" si="17"/>
        <v/>
      </c>
      <c r="W29" s="59" t="str">
        <f t="shared" ca="1" si="22"/>
        <v/>
      </c>
      <c r="X29" s="58" t="str">
        <f t="shared" ca="1" si="18"/>
        <v/>
      </c>
      <c r="Y29" s="59" t="str">
        <f t="shared" si="19"/>
        <v/>
      </c>
      <c r="Z29" s="58" t="str">
        <f t="shared" si="20"/>
        <v/>
      </c>
    </row>
    <row r="30" spans="2:26" x14ac:dyDescent="0.35">
      <c r="B30" s="57" t="str">
        <f>IF('User Dashboard'!C$12="SIR Model",IF(B147&gt;('User Dashboard'!$H$12+'User Dashboard'!$H$13),"",B147),IF('User Dashboard'!C$12="Manual Entry",IF(B90&gt;('User Dashboard'!$H$12+'User Dashboard'!$H$13),"",B90),IF('User Dashboard'!C$12="Exponential Growth",B204)))</f>
        <v/>
      </c>
      <c r="C30" s="359" t="str">
        <f>IF(B30="","",IF('User Dashboard'!C$12="SIR Model",VLOOKUP(B30,B$130:C$182,2,FALSE),IF('User Dashboard'!C$12="Manual Entry",VLOOKUP(B30,B$73:C$125,2,FALSE),IF('User Dashboard'!C$12="Exponential Growth",VLOOKUP(B30,B$187:D$240,3,FALSE),""))))</f>
        <v/>
      </c>
      <c r="D30" s="58" t="str">
        <f t="shared" si="21"/>
        <v/>
      </c>
      <c r="E30" s="57" t="str">
        <f t="shared" si="0"/>
        <v/>
      </c>
      <c r="F30" s="58" t="str">
        <f t="shared" si="1"/>
        <v/>
      </c>
      <c r="G30" s="59" t="str">
        <f t="shared" si="2"/>
        <v/>
      </c>
      <c r="H30" s="59" t="str">
        <f t="shared" si="3"/>
        <v/>
      </c>
      <c r="I30" s="57" t="str">
        <f t="shared" si="4"/>
        <v/>
      </c>
      <c r="J30" s="58" t="str">
        <f t="shared" si="5"/>
        <v/>
      </c>
      <c r="K30" s="57" t="str">
        <f t="shared" si="6"/>
        <v/>
      </c>
      <c r="L30" s="58" t="str">
        <f t="shared" si="7"/>
        <v/>
      </c>
      <c r="M30" s="57" t="str">
        <f t="shared" ca="1" si="8"/>
        <v/>
      </c>
      <c r="N30" s="58" t="str">
        <f t="shared" ca="1" si="9"/>
        <v/>
      </c>
      <c r="O30" s="57" t="str">
        <f t="shared" ca="1" si="10"/>
        <v/>
      </c>
      <c r="P30" s="58" t="str">
        <f t="shared" ca="1" si="11"/>
        <v/>
      </c>
      <c r="Q30" s="57" t="str">
        <f t="shared" ca="1" si="12"/>
        <v/>
      </c>
      <c r="R30" s="58" t="str">
        <f t="shared" ca="1" si="13"/>
        <v/>
      </c>
      <c r="S30" s="57" t="str">
        <f t="shared" ca="1" si="14"/>
        <v/>
      </c>
      <c r="T30" s="59" t="str">
        <f t="shared" ca="1" si="15"/>
        <v/>
      </c>
      <c r="U30" s="57" t="str">
        <f t="shared" ca="1" si="16"/>
        <v/>
      </c>
      <c r="V30" s="59" t="str">
        <f t="shared" ca="1" si="17"/>
        <v/>
      </c>
      <c r="W30" s="59" t="str">
        <f t="shared" ca="1" si="22"/>
        <v/>
      </c>
      <c r="X30" s="58" t="str">
        <f t="shared" ca="1" si="18"/>
        <v/>
      </c>
      <c r="Y30" s="59" t="str">
        <f t="shared" si="19"/>
        <v/>
      </c>
      <c r="Z30" s="58" t="str">
        <f t="shared" si="20"/>
        <v/>
      </c>
    </row>
    <row r="31" spans="2:26" x14ac:dyDescent="0.35">
      <c r="B31" s="57" t="str">
        <f>IF('User Dashboard'!C$12="SIR Model",IF(B148&gt;('User Dashboard'!$H$12+'User Dashboard'!$H$13),"",B148),IF('User Dashboard'!C$12="Manual Entry",IF(B91&gt;('User Dashboard'!$H$12+'User Dashboard'!$H$13),"",B91),IF('User Dashboard'!C$12="Exponential Growth",B205)))</f>
        <v/>
      </c>
      <c r="C31" s="359" t="str">
        <f>IF(B31="","",IF('User Dashboard'!C$12="SIR Model",VLOOKUP(B31,B$130:C$182,2,FALSE),IF('User Dashboard'!C$12="Manual Entry",VLOOKUP(B31,B$73:C$125,2,FALSE),IF('User Dashboard'!C$12="Exponential Growth",VLOOKUP(B31,B$187:D$240,3,FALSE),""))))</f>
        <v/>
      </c>
      <c r="D31" s="58" t="str">
        <f t="shared" si="21"/>
        <v/>
      </c>
      <c r="E31" s="57" t="str">
        <f t="shared" si="0"/>
        <v/>
      </c>
      <c r="F31" s="58" t="str">
        <f t="shared" si="1"/>
        <v/>
      </c>
      <c r="G31" s="59" t="str">
        <f t="shared" si="2"/>
        <v/>
      </c>
      <c r="H31" s="59" t="str">
        <f t="shared" si="3"/>
        <v/>
      </c>
      <c r="I31" s="57" t="str">
        <f t="shared" si="4"/>
        <v/>
      </c>
      <c r="J31" s="58" t="str">
        <f t="shared" si="5"/>
        <v/>
      </c>
      <c r="K31" s="57" t="str">
        <f t="shared" si="6"/>
        <v/>
      </c>
      <c r="L31" s="58" t="str">
        <f t="shared" si="7"/>
        <v/>
      </c>
      <c r="M31" s="57" t="str">
        <f t="shared" ca="1" si="8"/>
        <v/>
      </c>
      <c r="N31" s="58" t="str">
        <f t="shared" ca="1" si="9"/>
        <v/>
      </c>
      <c r="O31" s="57" t="str">
        <f t="shared" ca="1" si="10"/>
        <v/>
      </c>
      <c r="P31" s="58" t="str">
        <f t="shared" ca="1" si="11"/>
        <v/>
      </c>
      <c r="Q31" s="57" t="str">
        <f t="shared" ca="1" si="12"/>
        <v/>
      </c>
      <c r="R31" s="58" t="str">
        <f t="shared" ca="1" si="13"/>
        <v/>
      </c>
      <c r="S31" s="57" t="str">
        <f t="shared" ca="1" si="14"/>
        <v/>
      </c>
      <c r="T31" s="59" t="str">
        <f t="shared" ca="1" si="15"/>
        <v/>
      </c>
      <c r="U31" s="57" t="str">
        <f t="shared" ca="1" si="16"/>
        <v/>
      </c>
      <c r="V31" s="59" t="str">
        <f t="shared" ca="1" si="17"/>
        <v/>
      </c>
      <c r="W31" s="59" t="str">
        <f t="shared" ca="1" si="22"/>
        <v/>
      </c>
      <c r="X31" s="58" t="str">
        <f t="shared" ca="1" si="18"/>
        <v/>
      </c>
      <c r="Y31" s="59" t="str">
        <f t="shared" si="19"/>
        <v/>
      </c>
      <c r="Z31" s="58" t="str">
        <f t="shared" si="20"/>
        <v/>
      </c>
    </row>
    <row r="32" spans="2:26" x14ac:dyDescent="0.35">
      <c r="B32" s="57" t="str">
        <f>IF('User Dashboard'!C$12="SIR Model",IF(B149&gt;('User Dashboard'!$H$12+'User Dashboard'!$H$13),"",B149),IF('User Dashboard'!C$12="Manual Entry",IF(B92&gt;('User Dashboard'!$H$12+'User Dashboard'!$H$13),"",B92),IF('User Dashboard'!C$12="Exponential Growth",B206)))</f>
        <v/>
      </c>
      <c r="C32" s="359" t="str">
        <f>IF(B32="","",IF('User Dashboard'!C$12="SIR Model",VLOOKUP(B32,B$130:C$182,2,FALSE),IF('User Dashboard'!C$12="Manual Entry",VLOOKUP(B32,B$73:C$125,2,FALSE),IF('User Dashboard'!C$12="Exponential Growth",VLOOKUP(B32,B$187:D$240,3,FALSE),""))))</f>
        <v/>
      </c>
      <c r="D32" s="58" t="str">
        <f t="shared" si="21"/>
        <v/>
      </c>
      <c r="E32" s="57" t="str">
        <f t="shared" si="0"/>
        <v/>
      </c>
      <c r="F32" s="58" t="str">
        <f t="shared" si="1"/>
        <v/>
      </c>
      <c r="G32" s="59" t="str">
        <f t="shared" si="2"/>
        <v/>
      </c>
      <c r="H32" s="59" t="str">
        <f t="shared" si="3"/>
        <v/>
      </c>
      <c r="I32" s="57" t="str">
        <f t="shared" si="4"/>
        <v/>
      </c>
      <c r="J32" s="58" t="str">
        <f t="shared" si="5"/>
        <v/>
      </c>
      <c r="K32" s="57" t="str">
        <f t="shared" si="6"/>
        <v/>
      </c>
      <c r="L32" s="58" t="str">
        <f t="shared" si="7"/>
        <v/>
      </c>
      <c r="M32" s="57" t="str">
        <f t="shared" ca="1" si="8"/>
        <v/>
      </c>
      <c r="N32" s="58" t="str">
        <f t="shared" ca="1" si="9"/>
        <v/>
      </c>
      <c r="O32" s="57" t="str">
        <f t="shared" ca="1" si="10"/>
        <v/>
      </c>
      <c r="P32" s="58" t="str">
        <f t="shared" ca="1" si="11"/>
        <v/>
      </c>
      <c r="Q32" s="57" t="str">
        <f t="shared" ca="1" si="12"/>
        <v/>
      </c>
      <c r="R32" s="58" t="str">
        <f t="shared" ca="1" si="13"/>
        <v/>
      </c>
      <c r="S32" s="57" t="str">
        <f t="shared" ca="1" si="14"/>
        <v/>
      </c>
      <c r="T32" s="59" t="str">
        <f t="shared" ca="1" si="15"/>
        <v/>
      </c>
      <c r="U32" s="57" t="str">
        <f t="shared" ca="1" si="16"/>
        <v/>
      </c>
      <c r="V32" s="59" t="str">
        <f t="shared" ca="1" si="17"/>
        <v/>
      </c>
      <c r="W32" s="59" t="str">
        <f t="shared" ca="1" si="22"/>
        <v/>
      </c>
      <c r="X32" s="58" t="str">
        <f t="shared" ca="1" si="18"/>
        <v/>
      </c>
      <c r="Y32" s="59" t="str">
        <f t="shared" si="19"/>
        <v/>
      </c>
      <c r="Z32" s="58" t="str">
        <f t="shared" si="20"/>
        <v/>
      </c>
    </row>
    <row r="33" spans="2:26" x14ac:dyDescent="0.35">
      <c r="B33" s="57" t="str">
        <f>IF('User Dashboard'!C$12="SIR Model",IF(B150&gt;('User Dashboard'!$H$12+'User Dashboard'!$H$13),"",B150),IF('User Dashboard'!C$12="Manual Entry",IF(B93&gt;('User Dashboard'!$H$12+'User Dashboard'!$H$13),"",B93),IF('User Dashboard'!C$12="Exponential Growth",B207)))</f>
        <v/>
      </c>
      <c r="C33" s="359" t="str">
        <f>IF(B33="","",IF('User Dashboard'!C$12="SIR Model",VLOOKUP(B33,B$130:C$182,2,FALSE),IF('User Dashboard'!C$12="Manual Entry",VLOOKUP(B33,B$73:C$125,2,FALSE),IF('User Dashboard'!C$12="Exponential Growth",VLOOKUP(B33,B$187:D$240,3,FALSE),""))))</f>
        <v/>
      </c>
      <c r="D33" s="58" t="str">
        <f t="shared" si="21"/>
        <v/>
      </c>
      <c r="E33" s="57" t="str">
        <f t="shared" si="0"/>
        <v/>
      </c>
      <c r="F33" s="58" t="str">
        <f t="shared" si="1"/>
        <v/>
      </c>
      <c r="G33" s="59" t="str">
        <f t="shared" si="2"/>
        <v/>
      </c>
      <c r="H33" s="59" t="str">
        <f t="shared" si="3"/>
        <v/>
      </c>
      <c r="I33" s="57" t="str">
        <f t="shared" si="4"/>
        <v/>
      </c>
      <c r="J33" s="58" t="str">
        <f t="shared" si="5"/>
        <v/>
      </c>
      <c r="K33" s="57" t="str">
        <f t="shared" si="6"/>
        <v/>
      </c>
      <c r="L33" s="58" t="str">
        <f t="shared" si="7"/>
        <v/>
      </c>
      <c r="M33" s="57" t="str">
        <f t="shared" ca="1" si="8"/>
        <v/>
      </c>
      <c r="N33" s="58" t="str">
        <f t="shared" ca="1" si="9"/>
        <v/>
      </c>
      <c r="O33" s="57" t="str">
        <f t="shared" ca="1" si="10"/>
        <v/>
      </c>
      <c r="P33" s="58" t="str">
        <f t="shared" ca="1" si="11"/>
        <v/>
      </c>
      <c r="Q33" s="57" t="str">
        <f t="shared" ca="1" si="12"/>
        <v/>
      </c>
      <c r="R33" s="58" t="str">
        <f t="shared" ca="1" si="13"/>
        <v/>
      </c>
      <c r="S33" s="57" t="str">
        <f t="shared" ca="1" si="14"/>
        <v/>
      </c>
      <c r="T33" s="59" t="str">
        <f t="shared" ca="1" si="15"/>
        <v/>
      </c>
      <c r="U33" s="57" t="str">
        <f t="shared" ca="1" si="16"/>
        <v/>
      </c>
      <c r="V33" s="59" t="str">
        <f t="shared" ca="1" si="17"/>
        <v/>
      </c>
      <c r="W33" s="59" t="str">
        <f t="shared" ca="1" si="22"/>
        <v/>
      </c>
      <c r="X33" s="58" t="str">
        <f t="shared" ca="1" si="18"/>
        <v/>
      </c>
      <c r="Y33" s="59" t="str">
        <f t="shared" si="19"/>
        <v/>
      </c>
      <c r="Z33" s="58" t="str">
        <f t="shared" si="20"/>
        <v/>
      </c>
    </row>
    <row r="34" spans="2:26" x14ac:dyDescent="0.35">
      <c r="B34" s="57" t="str">
        <f>IF('User Dashboard'!C$12="SIR Model",IF(B151&gt;('User Dashboard'!$H$12+'User Dashboard'!$H$13),"",B151),IF('User Dashboard'!C$12="Manual Entry",IF(B94&gt;('User Dashboard'!$H$12+'User Dashboard'!$H$13),"",B94),IF('User Dashboard'!C$12="Exponential Growth",B208)))</f>
        <v/>
      </c>
      <c r="C34" s="359" t="str">
        <f>IF(B34="","",IF('User Dashboard'!C$12="SIR Model",VLOOKUP(B34,B$130:C$182,2,FALSE),IF('User Dashboard'!C$12="Manual Entry",VLOOKUP(B34,B$73:C$125,2,FALSE),IF('User Dashboard'!C$12="Exponential Growth",VLOOKUP(B34,B$187:D$240,3,FALSE),""))))</f>
        <v/>
      </c>
      <c r="D34" s="58" t="str">
        <f t="shared" si="21"/>
        <v/>
      </c>
      <c r="E34" s="57" t="str">
        <f t="shared" si="0"/>
        <v/>
      </c>
      <c r="F34" s="58" t="str">
        <f t="shared" si="1"/>
        <v/>
      </c>
      <c r="G34" s="59" t="str">
        <f t="shared" si="2"/>
        <v/>
      </c>
      <c r="H34" s="59" t="str">
        <f t="shared" si="3"/>
        <v/>
      </c>
      <c r="I34" s="57" t="str">
        <f t="shared" si="4"/>
        <v/>
      </c>
      <c r="J34" s="58" t="str">
        <f t="shared" si="5"/>
        <v/>
      </c>
      <c r="K34" s="57" t="str">
        <f t="shared" si="6"/>
        <v/>
      </c>
      <c r="L34" s="58" t="str">
        <f t="shared" si="7"/>
        <v/>
      </c>
      <c r="M34" s="57" t="str">
        <f t="shared" ca="1" si="8"/>
        <v/>
      </c>
      <c r="N34" s="58" t="str">
        <f t="shared" ca="1" si="9"/>
        <v/>
      </c>
      <c r="O34" s="57" t="str">
        <f t="shared" ca="1" si="10"/>
        <v/>
      </c>
      <c r="P34" s="58" t="str">
        <f t="shared" ca="1" si="11"/>
        <v/>
      </c>
      <c r="Q34" s="57" t="str">
        <f t="shared" ca="1" si="12"/>
        <v/>
      </c>
      <c r="R34" s="58" t="str">
        <f t="shared" ca="1" si="13"/>
        <v/>
      </c>
      <c r="S34" s="57" t="str">
        <f t="shared" ca="1" si="14"/>
        <v/>
      </c>
      <c r="T34" s="59" t="str">
        <f t="shared" ca="1" si="15"/>
        <v/>
      </c>
      <c r="U34" s="57" t="str">
        <f t="shared" ca="1" si="16"/>
        <v/>
      </c>
      <c r="V34" s="59" t="str">
        <f t="shared" ca="1" si="17"/>
        <v/>
      </c>
      <c r="W34" s="59" t="str">
        <f t="shared" ca="1" si="22"/>
        <v/>
      </c>
      <c r="X34" s="58" t="str">
        <f t="shared" ca="1" si="18"/>
        <v/>
      </c>
      <c r="Y34" s="59" t="str">
        <f t="shared" si="19"/>
        <v/>
      </c>
      <c r="Z34" s="58" t="str">
        <f t="shared" si="20"/>
        <v/>
      </c>
    </row>
    <row r="35" spans="2:26" x14ac:dyDescent="0.35">
      <c r="B35" s="57" t="str">
        <f>IF('User Dashboard'!C$12="SIR Model",IF(B152&gt;('User Dashboard'!$H$12+'User Dashboard'!$H$13),"",B152),IF('User Dashboard'!C$12="Manual Entry",IF(B95&gt;('User Dashboard'!$H$12+'User Dashboard'!$H$13),"",B95),IF('User Dashboard'!C$12="Exponential Growth",B209)))</f>
        <v/>
      </c>
      <c r="C35" s="359" t="str">
        <f>IF(B35="","",IF('User Dashboard'!C$12="SIR Model",VLOOKUP(B35,B$130:C$182,2,FALSE),IF('User Dashboard'!C$12="Manual Entry",VLOOKUP(B35,B$73:C$125,2,FALSE),IF('User Dashboard'!C$12="Exponential Growth",VLOOKUP(B35,B$187:D$240,3,FALSE),""))))</f>
        <v/>
      </c>
      <c r="D35" s="58" t="str">
        <f t="shared" si="21"/>
        <v/>
      </c>
      <c r="E35" s="57" t="str">
        <f t="shared" si="0"/>
        <v/>
      </c>
      <c r="F35" s="58" t="str">
        <f t="shared" si="1"/>
        <v/>
      </c>
      <c r="G35" s="59" t="str">
        <f t="shared" si="2"/>
        <v/>
      </c>
      <c r="H35" s="59" t="str">
        <f t="shared" si="3"/>
        <v/>
      </c>
      <c r="I35" s="57" t="str">
        <f t="shared" si="4"/>
        <v/>
      </c>
      <c r="J35" s="58" t="str">
        <f t="shared" si="5"/>
        <v/>
      </c>
      <c r="K35" s="57" t="str">
        <f t="shared" si="6"/>
        <v/>
      </c>
      <c r="L35" s="58" t="str">
        <f t="shared" si="7"/>
        <v/>
      </c>
      <c r="M35" s="57" t="str">
        <f t="shared" ca="1" si="8"/>
        <v/>
      </c>
      <c r="N35" s="58" t="str">
        <f t="shared" ca="1" si="9"/>
        <v/>
      </c>
      <c r="O35" s="57" t="str">
        <f t="shared" ca="1" si="10"/>
        <v/>
      </c>
      <c r="P35" s="58" t="str">
        <f t="shared" ca="1" si="11"/>
        <v/>
      </c>
      <c r="Q35" s="57" t="str">
        <f t="shared" ca="1" si="12"/>
        <v/>
      </c>
      <c r="R35" s="58" t="str">
        <f t="shared" ca="1" si="13"/>
        <v/>
      </c>
      <c r="S35" s="57" t="str">
        <f t="shared" ca="1" si="14"/>
        <v/>
      </c>
      <c r="T35" s="59" t="str">
        <f t="shared" ca="1" si="15"/>
        <v/>
      </c>
      <c r="U35" s="57" t="str">
        <f t="shared" ca="1" si="16"/>
        <v/>
      </c>
      <c r="V35" s="59" t="str">
        <f t="shared" ca="1" si="17"/>
        <v/>
      </c>
      <c r="W35" s="59" t="str">
        <f t="shared" ca="1" si="22"/>
        <v/>
      </c>
      <c r="X35" s="58" t="str">
        <f t="shared" ca="1" si="18"/>
        <v/>
      </c>
      <c r="Y35" s="59" t="str">
        <f t="shared" si="19"/>
        <v/>
      </c>
      <c r="Z35" s="58" t="str">
        <f t="shared" si="20"/>
        <v/>
      </c>
    </row>
    <row r="36" spans="2:26" x14ac:dyDescent="0.35">
      <c r="B36" s="57" t="str">
        <f>IF('User Dashboard'!C$12="SIR Model",IF(B153&gt;('User Dashboard'!$H$12+'User Dashboard'!$H$13),"",B153),IF('User Dashboard'!C$12="Manual Entry",IF(B96&gt;('User Dashboard'!$H$12+'User Dashboard'!$H$13),"",B96),IF('User Dashboard'!C$12="Exponential Growth",B210)))</f>
        <v/>
      </c>
      <c r="C36" s="359" t="str">
        <f>IF(B36="","",IF('User Dashboard'!C$12="SIR Model",VLOOKUP(B36,B$130:C$182,2,FALSE),IF('User Dashboard'!C$12="Manual Entry",VLOOKUP(B36,B$73:C$125,2,FALSE),IF('User Dashboard'!C$12="Exponential Growth",VLOOKUP(B36,B$187:D$240,3,FALSE),""))))</f>
        <v/>
      </c>
      <c r="D36" s="58" t="str">
        <f t="shared" si="21"/>
        <v/>
      </c>
      <c r="E36" s="57" t="str">
        <f t="shared" si="0"/>
        <v/>
      </c>
      <c r="F36" s="58" t="str">
        <f t="shared" si="1"/>
        <v/>
      </c>
      <c r="G36" s="59" t="str">
        <f t="shared" si="2"/>
        <v/>
      </c>
      <c r="H36" s="59" t="str">
        <f t="shared" si="3"/>
        <v/>
      </c>
      <c r="I36" s="57" t="str">
        <f t="shared" si="4"/>
        <v/>
      </c>
      <c r="J36" s="58" t="str">
        <f t="shared" si="5"/>
        <v/>
      </c>
      <c r="K36" s="57" t="str">
        <f t="shared" si="6"/>
        <v/>
      </c>
      <c r="L36" s="58" t="str">
        <f t="shared" si="7"/>
        <v/>
      </c>
      <c r="M36" s="57" t="str">
        <f t="shared" ca="1" si="8"/>
        <v/>
      </c>
      <c r="N36" s="58" t="str">
        <f t="shared" ca="1" si="9"/>
        <v/>
      </c>
      <c r="O36" s="57" t="str">
        <f t="shared" ca="1" si="10"/>
        <v/>
      </c>
      <c r="P36" s="58" t="str">
        <f t="shared" ca="1" si="11"/>
        <v/>
      </c>
      <c r="Q36" s="57" t="str">
        <f t="shared" ca="1" si="12"/>
        <v/>
      </c>
      <c r="R36" s="58" t="str">
        <f t="shared" ca="1" si="13"/>
        <v/>
      </c>
      <c r="S36" s="57" t="str">
        <f t="shared" ca="1" si="14"/>
        <v/>
      </c>
      <c r="T36" s="59" t="str">
        <f t="shared" ca="1" si="15"/>
        <v/>
      </c>
      <c r="U36" s="57" t="str">
        <f t="shared" ca="1" si="16"/>
        <v/>
      </c>
      <c r="V36" s="59" t="str">
        <f t="shared" ca="1" si="17"/>
        <v/>
      </c>
      <c r="W36" s="59" t="str">
        <f t="shared" ca="1" si="22"/>
        <v/>
      </c>
      <c r="X36" s="58" t="str">
        <f t="shared" ca="1" si="18"/>
        <v/>
      </c>
      <c r="Y36" s="59" t="str">
        <f t="shared" si="19"/>
        <v/>
      </c>
      <c r="Z36" s="58" t="str">
        <f t="shared" si="20"/>
        <v/>
      </c>
    </row>
    <row r="37" spans="2:26" x14ac:dyDescent="0.35">
      <c r="B37" s="57" t="str">
        <f>IF('User Dashboard'!C$12="SIR Model",IF(B154&gt;('User Dashboard'!$H$12+'User Dashboard'!$H$13),"",B154),IF('User Dashboard'!C$12="Manual Entry",IF(B97&gt;('User Dashboard'!$H$12+'User Dashboard'!$H$13),"",B97),IF('User Dashboard'!C$12="Exponential Growth",B211)))</f>
        <v/>
      </c>
      <c r="C37" s="359" t="str">
        <f>IF(B37="","",IF('User Dashboard'!C$12="SIR Model",VLOOKUP(B37,B$130:C$182,2,FALSE),IF('User Dashboard'!C$12="Manual Entry",VLOOKUP(B37,B$73:C$125,2,FALSE),IF('User Dashboard'!C$12="Exponential Growth",VLOOKUP(B37,B$187:D$240,3,FALSE),""))))</f>
        <v/>
      </c>
      <c r="D37" s="58" t="str">
        <f t="shared" si="21"/>
        <v/>
      </c>
      <c r="E37" s="57" t="str">
        <f t="shared" si="0"/>
        <v/>
      </c>
      <c r="F37" s="58" t="str">
        <f t="shared" si="1"/>
        <v/>
      </c>
      <c r="G37" s="59" t="str">
        <f t="shared" si="2"/>
        <v/>
      </c>
      <c r="H37" s="59" t="str">
        <f t="shared" si="3"/>
        <v/>
      </c>
      <c r="I37" s="57" t="str">
        <f t="shared" si="4"/>
        <v/>
      </c>
      <c r="J37" s="58" t="str">
        <f t="shared" si="5"/>
        <v/>
      </c>
      <c r="K37" s="57" t="str">
        <f t="shared" si="6"/>
        <v/>
      </c>
      <c r="L37" s="58" t="str">
        <f t="shared" si="7"/>
        <v/>
      </c>
      <c r="M37" s="57" t="str">
        <f t="shared" ca="1" si="8"/>
        <v/>
      </c>
      <c r="N37" s="58" t="str">
        <f t="shared" ca="1" si="9"/>
        <v/>
      </c>
      <c r="O37" s="57" t="str">
        <f t="shared" ca="1" si="10"/>
        <v/>
      </c>
      <c r="P37" s="58" t="str">
        <f t="shared" ca="1" si="11"/>
        <v/>
      </c>
      <c r="Q37" s="57" t="str">
        <f t="shared" ca="1" si="12"/>
        <v/>
      </c>
      <c r="R37" s="58" t="str">
        <f t="shared" ca="1" si="13"/>
        <v/>
      </c>
      <c r="S37" s="57" t="str">
        <f t="shared" ca="1" si="14"/>
        <v/>
      </c>
      <c r="T37" s="59" t="str">
        <f t="shared" ca="1" si="15"/>
        <v/>
      </c>
      <c r="U37" s="57" t="str">
        <f t="shared" ca="1" si="16"/>
        <v/>
      </c>
      <c r="V37" s="59" t="str">
        <f t="shared" ca="1" si="17"/>
        <v/>
      </c>
      <c r="W37" s="59" t="str">
        <f t="shared" ca="1" si="22"/>
        <v/>
      </c>
      <c r="X37" s="58" t="str">
        <f t="shared" ca="1" si="18"/>
        <v/>
      </c>
      <c r="Y37" s="59" t="str">
        <f t="shared" si="19"/>
        <v/>
      </c>
      <c r="Z37" s="58" t="str">
        <f t="shared" si="20"/>
        <v/>
      </c>
    </row>
    <row r="38" spans="2:26" x14ac:dyDescent="0.35">
      <c r="B38" s="57" t="str">
        <f>IF('User Dashboard'!C$12="SIR Model",IF(B155&gt;('User Dashboard'!$H$12+'User Dashboard'!$H$13),"",B155),IF('User Dashboard'!C$12="Manual Entry",IF(B98&gt;('User Dashboard'!$H$12+'User Dashboard'!$H$13),"",B98),IF('User Dashboard'!C$12="Exponential Growth",B212)))</f>
        <v/>
      </c>
      <c r="C38" s="359" t="str">
        <f>IF(B38="","",IF('User Dashboard'!C$12="SIR Model",VLOOKUP(B38,B$130:C$182,2,FALSE),IF('User Dashboard'!C$12="Manual Entry",VLOOKUP(B38,B$73:C$125,2,FALSE),IF('User Dashboard'!C$12="Exponential Growth",VLOOKUP(B38,B$187:D$240,3,FALSE),""))))</f>
        <v/>
      </c>
      <c r="D38" s="58" t="str">
        <f t="shared" si="21"/>
        <v/>
      </c>
      <c r="E38" s="57" t="str">
        <f t="shared" si="0"/>
        <v/>
      </c>
      <c r="F38" s="58" t="str">
        <f t="shared" si="1"/>
        <v/>
      </c>
      <c r="G38" s="59" t="str">
        <f t="shared" si="2"/>
        <v/>
      </c>
      <c r="H38" s="59" t="str">
        <f t="shared" si="3"/>
        <v/>
      </c>
      <c r="I38" s="57" t="str">
        <f t="shared" si="4"/>
        <v/>
      </c>
      <c r="J38" s="58" t="str">
        <f t="shared" si="5"/>
        <v/>
      </c>
      <c r="K38" s="57" t="str">
        <f t="shared" si="6"/>
        <v/>
      </c>
      <c r="L38" s="58" t="str">
        <f t="shared" si="7"/>
        <v/>
      </c>
      <c r="M38" s="57" t="str">
        <f t="shared" ca="1" si="8"/>
        <v/>
      </c>
      <c r="N38" s="58" t="str">
        <f t="shared" ca="1" si="9"/>
        <v/>
      </c>
      <c r="O38" s="57" t="str">
        <f t="shared" ca="1" si="10"/>
        <v/>
      </c>
      <c r="P38" s="58" t="str">
        <f t="shared" ca="1" si="11"/>
        <v/>
      </c>
      <c r="Q38" s="57" t="str">
        <f t="shared" ca="1" si="12"/>
        <v/>
      </c>
      <c r="R38" s="58" t="str">
        <f t="shared" ca="1" si="13"/>
        <v/>
      </c>
      <c r="S38" s="57" t="str">
        <f t="shared" ca="1" si="14"/>
        <v/>
      </c>
      <c r="T38" s="59" t="str">
        <f t="shared" ca="1" si="15"/>
        <v/>
      </c>
      <c r="U38" s="57" t="str">
        <f t="shared" ca="1" si="16"/>
        <v/>
      </c>
      <c r="V38" s="59" t="str">
        <f t="shared" ca="1" si="17"/>
        <v/>
      </c>
      <c r="W38" s="59" t="str">
        <f t="shared" ca="1" si="22"/>
        <v/>
      </c>
      <c r="X38" s="58" t="str">
        <f t="shared" ca="1" si="18"/>
        <v/>
      </c>
      <c r="Y38" s="59" t="str">
        <f t="shared" si="19"/>
        <v/>
      </c>
      <c r="Z38" s="58" t="str">
        <f t="shared" si="20"/>
        <v/>
      </c>
    </row>
    <row r="39" spans="2:26" x14ac:dyDescent="0.35">
      <c r="B39" s="57" t="str">
        <f>IF('User Dashboard'!C$12="SIR Model",IF(B156&gt;('User Dashboard'!$H$12+'User Dashboard'!$H$13),"",B156),IF('User Dashboard'!C$12="Manual Entry",IF(B99&gt;('User Dashboard'!$H$12+'User Dashboard'!$H$13),"",B99),IF('User Dashboard'!C$12="Exponential Growth",B213)))</f>
        <v/>
      </c>
      <c r="C39" s="359" t="str">
        <f>IF(B39="","",IF('User Dashboard'!C$12="SIR Model",VLOOKUP(B39,B$130:C$182,2,FALSE),IF('User Dashboard'!C$12="Manual Entry",VLOOKUP(B39,B$73:C$125,2,FALSE),IF('User Dashboard'!C$12="Exponential Growth",VLOOKUP(B39,B$187:D$240,3,FALSE),""))))</f>
        <v/>
      </c>
      <c r="D39" s="58" t="str">
        <f t="shared" si="21"/>
        <v/>
      </c>
      <c r="E39" s="57" t="str">
        <f t="shared" si="0"/>
        <v/>
      </c>
      <c r="F39" s="58" t="str">
        <f t="shared" si="1"/>
        <v/>
      </c>
      <c r="G39" s="59" t="str">
        <f t="shared" si="2"/>
        <v/>
      </c>
      <c r="H39" s="59" t="str">
        <f t="shared" si="3"/>
        <v/>
      </c>
      <c r="I39" s="57" t="str">
        <f t="shared" si="4"/>
        <v/>
      </c>
      <c r="J39" s="58" t="str">
        <f t="shared" si="5"/>
        <v/>
      </c>
      <c r="K39" s="57" t="str">
        <f t="shared" si="6"/>
        <v/>
      </c>
      <c r="L39" s="58" t="str">
        <f t="shared" si="7"/>
        <v/>
      </c>
      <c r="M39" s="57" t="str">
        <f t="shared" ca="1" si="8"/>
        <v/>
      </c>
      <c r="N39" s="58" t="str">
        <f t="shared" ca="1" si="9"/>
        <v/>
      </c>
      <c r="O39" s="57" t="str">
        <f t="shared" ca="1" si="10"/>
        <v/>
      </c>
      <c r="P39" s="58" t="str">
        <f t="shared" ca="1" si="11"/>
        <v/>
      </c>
      <c r="Q39" s="57" t="str">
        <f t="shared" ca="1" si="12"/>
        <v/>
      </c>
      <c r="R39" s="58" t="str">
        <f t="shared" ca="1" si="13"/>
        <v/>
      </c>
      <c r="S39" s="57" t="str">
        <f t="shared" ca="1" si="14"/>
        <v/>
      </c>
      <c r="T39" s="59" t="str">
        <f t="shared" ca="1" si="15"/>
        <v/>
      </c>
      <c r="U39" s="57" t="str">
        <f t="shared" ca="1" si="16"/>
        <v/>
      </c>
      <c r="V39" s="59" t="str">
        <f t="shared" ca="1" si="17"/>
        <v/>
      </c>
      <c r="W39" s="59" t="str">
        <f t="shared" ca="1" si="22"/>
        <v/>
      </c>
      <c r="X39" s="58" t="str">
        <f t="shared" ca="1" si="18"/>
        <v/>
      </c>
      <c r="Y39" s="59" t="str">
        <f t="shared" si="19"/>
        <v/>
      </c>
      <c r="Z39" s="58" t="str">
        <f t="shared" si="20"/>
        <v/>
      </c>
    </row>
    <row r="40" spans="2:26" x14ac:dyDescent="0.35">
      <c r="B40" s="57" t="str">
        <f>IF('User Dashboard'!C$12="SIR Model",IF(B157&gt;('User Dashboard'!$H$12+'User Dashboard'!$H$13),"",B157),IF('User Dashboard'!C$12="Manual Entry",IF(B100&gt;('User Dashboard'!$H$12+'User Dashboard'!$H$13),"",B100),IF('User Dashboard'!C$12="Exponential Growth",B214)))</f>
        <v/>
      </c>
      <c r="C40" s="359" t="str">
        <f>IF(B40="","",IF('User Dashboard'!C$12="SIR Model",VLOOKUP(B40,B$130:C$182,2,FALSE),IF('User Dashboard'!C$12="Manual Entry",VLOOKUP(B40,B$73:C$125,2,FALSE),IF('User Dashboard'!C$12="Exponential Growth",VLOOKUP(B40,B$187:D$240,3,FALSE),""))))</f>
        <v/>
      </c>
      <c r="D40" s="58" t="str">
        <f t="shared" si="21"/>
        <v/>
      </c>
      <c r="E40" s="57" t="str">
        <f t="shared" si="0"/>
        <v/>
      </c>
      <c r="F40" s="58" t="str">
        <f t="shared" si="1"/>
        <v/>
      </c>
      <c r="G40" s="59" t="str">
        <f t="shared" si="2"/>
        <v/>
      </c>
      <c r="H40" s="59" t="str">
        <f t="shared" si="3"/>
        <v/>
      </c>
      <c r="I40" s="57" t="str">
        <f t="shared" si="4"/>
        <v/>
      </c>
      <c r="J40" s="58" t="str">
        <f t="shared" si="5"/>
        <v/>
      </c>
      <c r="K40" s="57" t="str">
        <f t="shared" si="6"/>
        <v/>
      </c>
      <c r="L40" s="58" t="str">
        <f t="shared" si="7"/>
        <v/>
      </c>
      <c r="M40" s="57" t="str">
        <f t="shared" ca="1" si="8"/>
        <v/>
      </c>
      <c r="N40" s="58" t="str">
        <f t="shared" ca="1" si="9"/>
        <v/>
      </c>
      <c r="O40" s="57" t="str">
        <f t="shared" ca="1" si="10"/>
        <v/>
      </c>
      <c r="P40" s="58" t="str">
        <f t="shared" ca="1" si="11"/>
        <v/>
      </c>
      <c r="Q40" s="57" t="str">
        <f t="shared" ca="1" si="12"/>
        <v/>
      </c>
      <c r="R40" s="58" t="str">
        <f t="shared" ca="1" si="13"/>
        <v/>
      </c>
      <c r="S40" s="57" t="str">
        <f t="shared" ca="1" si="14"/>
        <v/>
      </c>
      <c r="T40" s="59" t="str">
        <f t="shared" ca="1" si="15"/>
        <v/>
      </c>
      <c r="U40" s="57" t="str">
        <f t="shared" ca="1" si="16"/>
        <v/>
      </c>
      <c r="V40" s="59" t="str">
        <f t="shared" ca="1" si="17"/>
        <v/>
      </c>
      <c r="W40" s="59" t="str">
        <f t="shared" ca="1" si="22"/>
        <v/>
      </c>
      <c r="X40" s="58" t="str">
        <f t="shared" ca="1" si="18"/>
        <v/>
      </c>
      <c r="Y40" s="59" t="str">
        <f t="shared" si="19"/>
        <v/>
      </c>
      <c r="Z40" s="58" t="str">
        <f t="shared" si="20"/>
        <v/>
      </c>
    </row>
    <row r="41" spans="2:26" x14ac:dyDescent="0.35">
      <c r="B41" s="57" t="str">
        <f>IF('User Dashboard'!C$12="SIR Model",IF(B158&gt;('User Dashboard'!$H$12+'User Dashboard'!$H$13),"",B158),IF('User Dashboard'!C$12="Manual Entry",IF(B101&gt;('User Dashboard'!$H$12+'User Dashboard'!$H$13),"",B101),IF('User Dashboard'!C$12="Exponential Growth",B215)))</f>
        <v/>
      </c>
      <c r="C41" s="359" t="str">
        <f>IF(B41="","",IF('User Dashboard'!C$12="SIR Model",VLOOKUP(B41,B$130:C$182,2,FALSE),IF('User Dashboard'!C$12="Manual Entry",VLOOKUP(B41,B$73:C$125,2,FALSE),IF('User Dashboard'!C$12="Exponential Growth",VLOOKUP(B41,B$187:D$240,3,FALSE),""))))</f>
        <v/>
      </c>
      <c r="D41" s="58" t="str">
        <f t="shared" si="21"/>
        <v/>
      </c>
      <c r="E41" s="57" t="str">
        <f t="shared" si="0"/>
        <v/>
      </c>
      <c r="F41" s="58" t="str">
        <f t="shared" si="1"/>
        <v/>
      </c>
      <c r="G41" s="59" t="str">
        <f t="shared" si="2"/>
        <v/>
      </c>
      <c r="H41" s="59" t="str">
        <f t="shared" si="3"/>
        <v/>
      </c>
      <c r="I41" s="57" t="str">
        <f t="shared" si="4"/>
        <v/>
      </c>
      <c r="J41" s="58" t="str">
        <f t="shared" si="5"/>
        <v/>
      </c>
      <c r="K41" s="57" t="str">
        <f t="shared" si="6"/>
        <v/>
      </c>
      <c r="L41" s="58" t="str">
        <f t="shared" si="7"/>
        <v/>
      </c>
      <c r="M41" s="57" t="str">
        <f t="shared" ca="1" si="8"/>
        <v/>
      </c>
      <c r="N41" s="58" t="str">
        <f t="shared" ca="1" si="9"/>
        <v/>
      </c>
      <c r="O41" s="57" t="str">
        <f t="shared" ca="1" si="10"/>
        <v/>
      </c>
      <c r="P41" s="58" t="str">
        <f t="shared" ca="1" si="11"/>
        <v/>
      </c>
      <c r="Q41" s="57" t="str">
        <f t="shared" ca="1" si="12"/>
        <v/>
      </c>
      <c r="R41" s="58" t="str">
        <f t="shared" ca="1" si="13"/>
        <v/>
      </c>
      <c r="S41" s="57" t="str">
        <f t="shared" ca="1" si="14"/>
        <v/>
      </c>
      <c r="T41" s="59" t="str">
        <f t="shared" ca="1" si="15"/>
        <v/>
      </c>
      <c r="U41" s="57" t="str">
        <f t="shared" ca="1" si="16"/>
        <v/>
      </c>
      <c r="V41" s="59" t="str">
        <f t="shared" ca="1" si="17"/>
        <v/>
      </c>
      <c r="W41" s="59" t="str">
        <f t="shared" ca="1" si="22"/>
        <v/>
      </c>
      <c r="X41" s="58" t="str">
        <f t="shared" ca="1" si="18"/>
        <v/>
      </c>
      <c r="Y41" s="59" t="str">
        <f t="shared" si="19"/>
        <v/>
      </c>
      <c r="Z41" s="58" t="str">
        <f t="shared" si="20"/>
        <v/>
      </c>
    </row>
    <row r="42" spans="2:26" x14ac:dyDescent="0.35">
      <c r="B42" s="57" t="str">
        <f>IF('User Dashboard'!C$12="SIR Model",IF(B159&gt;('User Dashboard'!$H$12+'User Dashboard'!$H$13),"",B159),IF('User Dashboard'!C$12="Manual Entry",IF(B102&gt;('User Dashboard'!$H$12+'User Dashboard'!$H$13),"",B102),IF('User Dashboard'!C$12="Exponential Growth",B216)))</f>
        <v/>
      </c>
      <c r="C42" s="359" t="str">
        <f>IF(B42="","",IF('User Dashboard'!C$12="SIR Model",VLOOKUP(B42,B$130:C$182,2,FALSE),IF('User Dashboard'!C$12="Manual Entry",VLOOKUP(B42,B$73:C$125,2,FALSE),IF('User Dashboard'!C$12="Exponential Growth",VLOOKUP(B42,B$187:D$240,3,FALSE),""))))</f>
        <v/>
      </c>
      <c r="D42" s="58" t="str">
        <f t="shared" si="21"/>
        <v/>
      </c>
      <c r="E42" s="57" t="str">
        <f t="shared" si="0"/>
        <v/>
      </c>
      <c r="F42" s="58" t="str">
        <f t="shared" si="1"/>
        <v/>
      </c>
      <c r="G42" s="59" t="str">
        <f t="shared" si="2"/>
        <v/>
      </c>
      <c r="H42" s="59" t="str">
        <f t="shared" si="3"/>
        <v/>
      </c>
      <c r="I42" s="57" t="str">
        <f t="shared" si="4"/>
        <v/>
      </c>
      <c r="J42" s="58" t="str">
        <f t="shared" si="5"/>
        <v/>
      </c>
      <c r="K42" s="57" t="str">
        <f t="shared" si="6"/>
        <v/>
      </c>
      <c r="L42" s="58" t="str">
        <f t="shared" si="7"/>
        <v/>
      </c>
      <c r="M42" s="57" t="str">
        <f t="shared" ca="1" si="8"/>
        <v/>
      </c>
      <c r="N42" s="58" t="str">
        <f t="shared" ca="1" si="9"/>
        <v/>
      </c>
      <c r="O42" s="57" t="str">
        <f t="shared" ca="1" si="10"/>
        <v/>
      </c>
      <c r="P42" s="58" t="str">
        <f t="shared" ca="1" si="11"/>
        <v/>
      </c>
      <c r="Q42" s="57" t="str">
        <f t="shared" ca="1" si="12"/>
        <v/>
      </c>
      <c r="R42" s="58" t="str">
        <f t="shared" ca="1" si="13"/>
        <v/>
      </c>
      <c r="S42" s="57" t="str">
        <f t="shared" ca="1" si="14"/>
        <v/>
      </c>
      <c r="T42" s="59" t="str">
        <f t="shared" ca="1" si="15"/>
        <v/>
      </c>
      <c r="U42" s="57" t="str">
        <f t="shared" ca="1" si="16"/>
        <v/>
      </c>
      <c r="V42" s="59" t="str">
        <f t="shared" ca="1" si="17"/>
        <v/>
      </c>
      <c r="W42" s="59" t="str">
        <f t="shared" ca="1" si="22"/>
        <v/>
      </c>
      <c r="X42" s="58" t="str">
        <f t="shared" ca="1" si="18"/>
        <v/>
      </c>
      <c r="Y42" s="59" t="str">
        <f t="shared" si="19"/>
        <v/>
      </c>
      <c r="Z42" s="58" t="str">
        <f t="shared" si="20"/>
        <v/>
      </c>
    </row>
    <row r="43" spans="2:26" x14ac:dyDescent="0.35">
      <c r="B43" s="57" t="str">
        <f>IF('User Dashboard'!C$12="SIR Model",IF(B160&gt;('User Dashboard'!$H$12+'User Dashboard'!$H$13),"",B160),IF('User Dashboard'!C$12="Manual Entry",IF(B103&gt;('User Dashboard'!$H$12+'User Dashboard'!$H$13),"",B103),IF('User Dashboard'!C$12="Exponential Growth",B217)))</f>
        <v/>
      </c>
      <c r="C43" s="359" t="str">
        <f>IF(B43="","",IF('User Dashboard'!C$12="SIR Model",VLOOKUP(B43,B$130:C$182,2,FALSE),IF('User Dashboard'!C$12="Manual Entry",VLOOKUP(B43,B$73:C$125,2,FALSE),IF('User Dashboard'!C$12="Exponential Growth",VLOOKUP(B43,B$187:D$240,3,FALSE),""))))</f>
        <v/>
      </c>
      <c r="D43" s="58" t="str">
        <f t="shared" si="21"/>
        <v/>
      </c>
      <c r="E43" s="57" t="str">
        <f t="shared" si="0"/>
        <v/>
      </c>
      <c r="F43" s="58" t="str">
        <f t="shared" si="1"/>
        <v/>
      </c>
      <c r="G43" s="59" t="str">
        <f t="shared" si="2"/>
        <v/>
      </c>
      <c r="H43" s="59" t="str">
        <f t="shared" si="3"/>
        <v/>
      </c>
      <c r="I43" s="57" t="str">
        <f t="shared" si="4"/>
        <v/>
      </c>
      <c r="J43" s="58" t="str">
        <f t="shared" si="5"/>
        <v/>
      </c>
      <c r="K43" s="57" t="str">
        <f t="shared" si="6"/>
        <v/>
      </c>
      <c r="L43" s="58" t="str">
        <f t="shared" si="7"/>
        <v/>
      </c>
      <c r="M43" s="57" t="str">
        <f t="shared" ca="1" si="8"/>
        <v/>
      </c>
      <c r="N43" s="58" t="str">
        <f t="shared" ca="1" si="9"/>
        <v/>
      </c>
      <c r="O43" s="57" t="str">
        <f t="shared" ca="1" si="10"/>
        <v/>
      </c>
      <c r="P43" s="58" t="str">
        <f t="shared" ca="1" si="11"/>
        <v/>
      </c>
      <c r="Q43" s="57" t="str">
        <f t="shared" ca="1" si="12"/>
        <v/>
      </c>
      <c r="R43" s="58" t="str">
        <f t="shared" ca="1" si="13"/>
        <v/>
      </c>
      <c r="S43" s="57" t="str">
        <f t="shared" ca="1" si="14"/>
        <v/>
      </c>
      <c r="T43" s="59" t="str">
        <f t="shared" ca="1" si="15"/>
        <v/>
      </c>
      <c r="U43" s="57" t="str">
        <f t="shared" ca="1" si="16"/>
        <v/>
      </c>
      <c r="V43" s="59" t="str">
        <f t="shared" ca="1" si="17"/>
        <v/>
      </c>
      <c r="W43" s="59" t="str">
        <f t="shared" ca="1" si="22"/>
        <v/>
      </c>
      <c r="X43" s="58" t="str">
        <f t="shared" ca="1" si="18"/>
        <v/>
      </c>
      <c r="Y43" s="59" t="str">
        <f t="shared" si="19"/>
        <v/>
      </c>
      <c r="Z43" s="58" t="str">
        <f t="shared" si="20"/>
        <v/>
      </c>
    </row>
    <row r="44" spans="2:26" x14ac:dyDescent="0.35">
      <c r="B44" s="57" t="str">
        <f>IF('User Dashboard'!C$12="SIR Model",IF(B161&gt;('User Dashboard'!$H$12+'User Dashboard'!$H$13),"",B161),IF('User Dashboard'!C$12="Manual Entry",IF(B104&gt;('User Dashboard'!$H$12+'User Dashboard'!$H$13),"",B104),IF('User Dashboard'!C$12="Exponential Growth",B218)))</f>
        <v/>
      </c>
      <c r="C44" s="359" t="str">
        <f>IF(B44="","",IF('User Dashboard'!C$12="SIR Model",VLOOKUP(B44,B$130:C$182,2,FALSE),IF('User Dashboard'!C$12="Manual Entry",VLOOKUP(B44,B$73:C$125,2,FALSE),IF('User Dashboard'!C$12="Exponential Growth",VLOOKUP(B44,B$187:D$240,3,FALSE),""))))</f>
        <v/>
      </c>
      <c r="D44" s="58" t="str">
        <f t="shared" si="21"/>
        <v/>
      </c>
      <c r="E44" s="57" t="str">
        <f t="shared" si="0"/>
        <v/>
      </c>
      <c r="F44" s="58" t="str">
        <f t="shared" si="1"/>
        <v/>
      </c>
      <c r="G44" s="59" t="str">
        <f t="shared" si="2"/>
        <v/>
      </c>
      <c r="H44" s="59" t="str">
        <f t="shared" si="3"/>
        <v/>
      </c>
      <c r="I44" s="57" t="str">
        <f t="shared" si="4"/>
        <v/>
      </c>
      <c r="J44" s="58" t="str">
        <f t="shared" si="5"/>
        <v/>
      </c>
      <c r="K44" s="57" t="str">
        <f t="shared" si="6"/>
        <v/>
      </c>
      <c r="L44" s="58" t="str">
        <f t="shared" si="7"/>
        <v/>
      </c>
      <c r="M44" s="57" t="str">
        <f t="shared" ca="1" si="8"/>
        <v/>
      </c>
      <c r="N44" s="58" t="str">
        <f t="shared" ca="1" si="9"/>
        <v/>
      </c>
      <c r="O44" s="57" t="str">
        <f t="shared" ca="1" si="10"/>
        <v/>
      </c>
      <c r="P44" s="58" t="str">
        <f t="shared" ca="1" si="11"/>
        <v/>
      </c>
      <c r="Q44" s="57" t="str">
        <f t="shared" ca="1" si="12"/>
        <v/>
      </c>
      <c r="R44" s="58" t="str">
        <f t="shared" ca="1" si="13"/>
        <v/>
      </c>
      <c r="S44" s="57" t="str">
        <f t="shared" ca="1" si="14"/>
        <v/>
      </c>
      <c r="T44" s="59" t="str">
        <f t="shared" ca="1" si="15"/>
        <v/>
      </c>
      <c r="U44" s="57" t="str">
        <f t="shared" ca="1" si="16"/>
        <v/>
      </c>
      <c r="V44" s="59" t="str">
        <f t="shared" ca="1" si="17"/>
        <v/>
      </c>
      <c r="W44" s="59" t="str">
        <f t="shared" ca="1" si="22"/>
        <v/>
      </c>
      <c r="X44" s="58" t="str">
        <f t="shared" ca="1" si="18"/>
        <v/>
      </c>
      <c r="Y44" s="59" t="str">
        <f t="shared" si="19"/>
        <v/>
      </c>
      <c r="Z44" s="58" t="str">
        <f t="shared" si="20"/>
        <v/>
      </c>
    </row>
    <row r="45" spans="2:26" x14ac:dyDescent="0.35">
      <c r="B45" s="57" t="str">
        <f>IF('User Dashboard'!C$12="SIR Model",IF(B162&gt;('User Dashboard'!$H$12+'User Dashboard'!$H$13),"",B162),IF('User Dashboard'!C$12="Manual Entry",IF(B105&gt;('User Dashboard'!$H$12+'User Dashboard'!$H$13),"",B105),IF('User Dashboard'!C$12="Exponential Growth",B219)))</f>
        <v/>
      </c>
      <c r="C45" s="359" t="str">
        <f>IF(B45="","",IF('User Dashboard'!C$12="SIR Model",VLOOKUP(B45,B$130:C$182,2,FALSE),IF('User Dashboard'!C$12="Manual Entry",VLOOKUP(B45,B$73:C$125,2,FALSE),IF('User Dashboard'!C$12="Exponential Growth",VLOOKUP(B45,B$187:D$240,3,FALSE),""))))</f>
        <v/>
      </c>
      <c r="D45" s="58" t="str">
        <f t="shared" ref="D45:D65" si="23">IFERROR(IF(B45="","",IF(B45=0,C45,C45-C44)),"")</f>
        <v/>
      </c>
      <c r="E45" s="57" t="str">
        <f t="shared" ref="E45:E65" si="24">IFERROR(C45*MildCasePercentage,"")</f>
        <v/>
      </c>
      <c r="F45" s="58" t="str">
        <f t="shared" ref="F45:F65" si="25">IFERROR(D45*MildCasePercentage,"")</f>
        <v/>
      </c>
      <c r="G45" s="59" t="str">
        <f t="shared" ref="G45:G65" si="26">IFERROR(C45*ModerateCasePercentage,"")</f>
        <v/>
      </c>
      <c r="H45" s="59" t="str">
        <f t="shared" ref="H45:H65" si="27">IFERROR(D45*ModerateCasePercentage,"")</f>
        <v/>
      </c>
      <c r="I45" s="57" t="str">
        <f t="shared" ref="I45:I65" si="28">IFERROR(C45*SevereCasePercentage,"")</f>
        <v/>
      </c>
      <c r="J45" s="58" t="str">
        <f t="shared" ref="J45:J65" si="29">IFERROR(D45*SevereCasePercentage,"")</f>
        <v/>
      </c>
      <c r="K45" s="57" t="str">
        <f t="shared" ref="K45:K65" si="30">IFERROR(C45*CritcalCasePercentage,"")</f>
        <v/>
      </c>
      <c r="L45" s="58" t="str">
        <f t="shared" ref="L45:L65" si="31">IFERROR(D45*CritcalCasePercentage,"")</f>
        <v/>
      </c>
      <c r="M45" s="57" t="str">
        <f t="shared" ref="M45:M65" ca="1" si="32">IFERROR(IF(B45="","",IF(B45&lt;SelfQuarantine_Mild,0,OFFSET(E45,-1*SelfQuarantine_Mild,0))),"")</f>
        <v/>
      </c>
      <c r="N45" s="58" t="str">
        <f t="shared" ref="N45:N65" ca="1" si="33">IFERROR(IF(B45="","",IF(B45&lt;SelfQuarantine_Mild,0,OFFSET(F45,-1*SelfQuarantine_Mild,0))),"")</f>
        <v/>
      </c>
      <c r="O45" s="57" t="str">
        <f t="shared" ref="O45:O65" ca="1" si="34">IFERROR(IF(B45="","",IF(B45&lt;SelfQuarantine_Moderate,0,OFFSET(G45,-1*SelfQuarantine_Moderate,0))),"")</f>
        <v/>
      </c>
      <c r="P45" s="58" t="str">
        <f t="shared" ref="P45:P65" ca="1" si="35">IFERROR(IF(B45="","",IF(B45&lt;SelfQuarantine_Moderate,0,OFFSET(H45,-1*SelfQuarantine_Moderate,0))),"")</f>
        <v/>
      </c>
      <c r="Q45" s="57" t="str">
        <f t="shared" ref="Q45:Q65" ca="1" si="36">IFERROR(IF(B45="","",IF(B45&lt;BedStay_Severe,0,OFFSET(I45,-1*BedStay_Severe,0))),"")</f>
        <v/>
      </c>
      <c r="R45" s="58" t="str">
        <f t="shared" ref="R45:R65" ca="1" si="37">IFERROR(IF(B45="","",IF(B45&lt;BedStay_Severe,0,OFFSET(J45,-1*BedStay_Severe,0))),"")</f>
        <v/>
      </c>
      <c r="S45" s="57" t="str">
        <f t="shared" ref="S45:S65" ca="1" si="38">IFERROR(IF(B45="","",IF(B45&lt;BedStay_Critical,0,OFFSET(K45,-1*BedStay_Critical,0))),"")</f>
        <v/>
      </c>
      <c r="T45" s="59" t="str">
        <f t="shared" ref="T45:T65" ca="1" si="39">IFERROR(IF(B45="","",IF(B45&lt;BedStay_Critical,0,OFFSET(L45,-1*BedStay_Critical,0))),"")</f>
        <v/>
      </c>
      <c r="U45" s="57" t="str">
        <f t="shared" ref="U45:U65" ca="1" si="40">IFERROR(E45-M45,"")</f>
        <v/>
      </c>
      <c r="V45" s="59" t="str">
        <f t="shared" ref="V45:V65" ca="1" si="41">IFERROR(G45-O45,"")</f>
        <v/>
      </c>
      <c r="W45" s="59" t="str">
        <f t="shared" ref="W45:W65" ca="1" si="42">IFERROR(I45-Q45,"")</f>
        <v/>
      </c>
      <c r="X45" s="58" t="str">
        <f t="shared" ref="X45:X65" ca="1" si="43">IFERROR(K45-S45,"")</f>
        <v/>
      </c>
      <c r="Y45" s="59" t="str">
        <f t="shared" ref="Y45:Y65" si="44">IFERROR(C45*SuspectedCaseMultiplier,"")</f>
        <v/>
      </c>
      <c r="Z45" s="58" t="str">
        <f t="shared" ref="Z45:Z65" si="45">IFERROR(D45*SuspectedCaseMultiplier,"")</f>
        <v/>
      </c>
    </row>
    <row r="46" spans="2:26" x14ac:dyDescent="0.35">
      <c r="B46" s="57" t="str">
        <f>IF('User Dashboard'!C$12="SIR Model",IF(B163&gt;('User Dashboard'!$H$12+'User Dashboard'!$H$13),"",B163),IF('User Dashboard'!C$12="Manual Entry",IF(B106&gt;('User Dashboard'!$H$12+'User Dashboard'!$H$13),"",B106),IF('User Dashboard'!C$12="Exponential Growth",B220)))</f>
        <v/>
      </c>
      <c r="C46" s="359" t="str">
        <f>IF(B46="","",IF('User Dashboard'!C$12="SIR Model",VLOOKUP(B46,B$130:C$182,2,FALSE),IF('User Dashboard'!C$12="Manual Entry",VLOOKUP(B46,B$73:C$125,2,FALSE),IF('User Dashboard'!C$12="Exponential Growth",VLOOKUP(B46,B$187:D$240,3,FALSE),""))))</f>
        <v/>
      </c>
      <c r="D46" s="58" t="str">
        <f t="shared" si="23"/>
        <v/>
      </c>
      <c r="E46" s="57" t="str">
        <f t="shared" si="24"/>
        <v/>
      </c>
      <c r="F46" s="58" t="str">
        <f t="shared" si="25"/>
        <v/>
      </c>
      <c r="G46" s="59" t="str">
        <f t="shared" si="26"/>
        <v/>
      </c>
      <c r="H46" s="59" t="str">
        <f t="shared" si="27"/>
        <v/>
      </c>
      <c r="I46" s="57" t="str">
        <f t="shared" si="28"/>
        <v/>
      </c>
      <c r="J46" s="58" t="str">
        <f t="shared" si="29"/>
        <v/>
      </c>
      <c r="K46" s="57" t="str">
        <f t="shared" si="30"/>
        <v/>
      </c>
      <c r="L46" s="58" t="str">
        <f t="shared" si="31"/>
        <v/>
      </c>
      <c r="M46" s="57" t="str">
        <f t="shared" ca="1" si="32"/>
        <v/>
      </c>
      <c r="N46" s="58" t="str">
        <f t="shared" ca="1" si="33"/>
        <v/>
      </c>
      <c r="O46" s="57" t="str">
        <f t="shared" ca="1" si="34"/>
        <v/>
      </c>
      <c r="P46" s="58" t="str">
        <f t="shared" ca="1" si="35"/>
        <v/>
      </c>
      <c r="Q46" s="57" t="str">
        <f t="shared" ca="1" si="36"/>
        <v/>
      </c>
      <c r="R46" s="58" t="str">
        <f t="shared" ca="1" si="37"/>
        <v/>
      </c>
      <c r="S46" s="57" t="str">
        <f t="shared" ca="1" si="38"/>
        <v/>
      </c>
      <c r="T46" s="59" t="str">
        <f t="shared" ca="1" si="39"/>
        <v/>
      </c>
      <c r="U46" s="57" t="str">
        <f t="shared" ca="1" si="40"/>
        <v/>
      </c>
      <c r="V46" s="59" t="str">
        <f t="shared" ca="1" si="41"/>
        <v/>
      </c>
      <c r="W46" s="59" t="str">
        <f t="shared" ca="1" si="42"/>
        <v/>
      </c>
      <c r="X46" s="58" t="str">
        <f t="shared" ca="1" si="43"/>
        <v/>
      </c>
      <c r="Y46" s="59" t="str">
        <f t="shared" si="44"/>
        <v/>
      </c>
      <c r="Z46" s="58" t="str">
        <f t="shared" si="45"/>
        <v/>
      </c>
    </row>
    <row r="47" spans="2:26" x14ac:dyDescent="0.35">
      <c r="B47" s="57" t="str">
        <f>IF('User Dashboard'!C$12="SIR Model",IF(B164&gt;('User Dashboard'!$H$12+'User Dashboard'!$H$13),"",B164),IF('User Dashboard'!C$12="Manual Entry",IF(B107&gt;('User Dashboard'!$H$12+'User Dashboard'!$H$13),"",B107),IF('User Dashboard'!C$12="Exponential Growth",B221)))</f>
        <v/>
      </c>
      <c r="C47" s="359" t="str">
        <f>IF(B47="","",IF('User Dashboard'!C$12="SIR Model",VLOOKUP(B47,B$130:C$182,2,FALSE),IF('User Dashboard'!C$12="Manual Entry",VLOOKUP(B47,B$73:C$125,2,FALSE),IF('User Dashboard'!C$12="Exponential Growth",VLOOKUP(B47,B$187:D$240,3,FALSE),""))))</f>
        <v/>
      </c>
      <c r="D47" s="58" t="str">
        <f t="shared" si="23"/>
        <v/>
      </c>
      <c r="E47" s="57" t="str">
        <f t="shared" si="24"/>
        <v/>
      </c>
      <c r="F47" s="58" t="str">
        <f t="shared" si="25"/>
        <v/>
      </c>
      <c r="G47" s="59" t="str">
        <f t="shared" si="26"/>
        <v/>
      </c>
      <c r="H47" s="59" t="str">
        <f t="shared" si="27"/>
        <v/>
      </c>
      <c r="I47" s="57" t="str">
        <f t="shared" si="28"/>
        <v/>
      </c>
      <c r="J47" s="58" t="str">
        <f t="shared" si="29"/>
        <v/>
      </c>
      <c r="K47" s="57" t="str">
        <f t="shared" si="30"/>
        <v/>
      </c>
      <c r="L47" s="58" t="str">
        <f t="shared" si="31"/>
        <v/>
      </c>
      <c r="M47" s="57" t="str">
        <f t="shared" ca="1" si="32"/>
        <v/>
      </c>
      <c r="N47" s="58" t="str">
        <f t="shared" ca="1" si="33"/>
        <v/>
      </c>
      <c r="O47" s="57" t="str">
        <f t="shared" ca="1" si="34"/>
        <v/>
      </c>
      <c r="P47" s="58" t="str">
        <f t="shared" ca="1" si="35"/>
        <v/>
      </c>
      <c r="Q47" s="57" t="str">
        <f t="shared" ca="1" si="36"/>
        <v/>
      </c>
      <c r="R47" s="58" t="str">
        <f t="shared" ca="1" si="37"/>
        <v/>
      </c>
      <c r="S47" s="57" t="str">
        <f t="shared" ca="1" si="38"/>
        <v/>
      </c>
      <c r="T47" s="59" t="str">
        <f t="shared" ca="1" si="39"/>
        <v/>
      </c>
      <c r="U47" s="57" t="str">
        <f t="shared" ca="1" si="40"/>
        <v/>
      </c>
      <c r="V47" s="59" t="str">
        <f t="shared" ca="1" si="41"/>
        <v/>
      </c>
      <c r="W47" s="59" t="str">
        <f t="shared" ca="1" si="42"/>
        <v/>
      </c>
      <c r="X47" s="58" t="str">
        <f t="shared" ca="1" si="43"/>
        <v/>
      </c>
      <c r="Y47" s="59" t="str">
        <f t="shared" si="44"/>
        <v/>
      </c>
      <c r="Z47" s="58" t="str">
        <f t="shared" si="45"/>
        <v/>
      </c>
    </row>
    <row r="48" spans="2:26" x14ac:dyDescent="0.35">
      <c r="B48" s="57" t="str">
        <f>IF('User Dashboard'!C$12="SIR Model",IF(B165&gt;('User Dashboard'!$H$12+'User Dashboard'!$H$13),"",B165),IF('User Dashboard'!C$12="Manual Entry",IF(B108&gt;('User Dashboard'!$H$12+'User Dashboard'!$H$13),"",B108),IF('User Dashboard'!C$12="Exponential Growth",B222)))</f>
        <v/>
      </c>
      <c r="C48" s="359" t="str">
        <f>IF(B48="","",IF('User Dashboard'!C$12="SIR Model",VLOOKUP(B48,B$130:C$182,2,FALSE),IF('User Dashboard'!C$12="Manual Entry",VLOOKUP(B48,B$73:C$125,2,FALSE),IF('User Dashboard'!C$12="Exponential Growth",VLOOKUP(B48,B$187:D$240,3,FALSE),""))))</f>
        <v/>
      </c>
      <c r="D48" s="58" t="str">
        <f t="shared" si="23"/>
        <v/>
      </c>
      <c r="E48" s="57" t="str">
        <f t="shared" si="24"/>
        <v/>
      </c>
      <c r="F48" s="58" t="str">
        <f t="shared" si="25"/>
        <v/>
      </c>
      <c r="G48" s="59" t="str">
        <f t="shared" si="26"/>
        <v/>
      </c>
      <c r="H48" s="59" t="str">
        <f t="shared" si="27"/>
        <v/>
      </c>
      <c r="I48" s="57" t="str">
        <f t="shared" si="28"/>
        <v/>
      </c>
      <c r="J48" s="58" t="str">
        <f t="shared" si="29"/>
        <v/>
      </c>
      <c r="K48" s="57" t="str">
        <f t="shared" si="30"/>
        <v/>
      </c>
      <c r="L48" s="58" t="str">
        <f t="shared" si="31"/>
        <v/>
      </c>
      <c r="M48" s="57" t="str">
        <f t="shared" ca="1" si="32"/>
        <v/>
      </c>
      <c r="N48" s="58" t="str">
        <f t="shared" ca="1" si="33"/>
        <v/>
      </c>
      <c r="O48" s="57" t="str">
        <f t="shared" ca="1" si="34"/>
        <v/>
      </c>
      <c r="P48" s="58" t="str">
        <f t="shared" ca="1" si="35"/>
        <v/>
      </c>
      <c r="Q48" s="57" t="str">
        <f t="shared" ca="1" si="36"/>
        <v/>
      </c>
      <c r="R48" s="58" t="str">
        <f t="shared" ca="1" si="37"/>
        <v/>
      </c>
      <c r="S48" s="57" t="str">
        <f t="shared" ca="1" si="38"/>
        <v/>
      </c>
      <c r="T48" s="59" t="str">
        <f t="shared" ca="1" si="39"/>
        <v/>
      </c>
      <c r="U48" s="57" t="str">
        <f t="shared" ca="1" si="40"/>
        <v/>
      </c>
      <c r="V48" s="59" t="str">
        <f t="shared" ca="1" si="41"/>
        <v/>
      </c>
      <c r="W48" s="59" t="str">
        <f t="shared" ca="1" si="42"/>
        <v/>
      </c>
      <c r="X48" s="58" t="str">
        <f t="shared" ca="1" si="43"/>
        <v/>
      </c>
      <c r="Y48" s="59" t="str">
        <f t="shared" si="44"/>
        <v/>
      </c>
      <c r="Z48" s="58" t="str">
        <f t="shared" si="45"/>
        <v/>
      </c>
    </row>
    <row r="49" spans="2:26" x14ac:dyDescent="0.35">
      <c r="B49" s="57" t="str">
        <f>IF('User Dashboard'!C$12="SIR Model",IF(B166&gt;('User Dashboard'!$H$12+'User Dashboard'!$H$13),"",B166),IF('User Dashboard'!C$12="Manual Entry",IF(B109&gt;('User Dashboard'!$H$12+'User Dashboard'!$H$13),"",B109),IF('User Dashboard'!C$12="Exponential Growth",B223)))</f>
        <v/>
      </c>
      <c r="C49" s="359" t="str">
        <f>IF(B49="","",IF('User Dashboard'!C$12="SIR Model",VLOOKUP(B49,B$130:C$182,2,FALSE),IF('User Dashboard'!C$12="Manual Entry",VLOOKUP(B49,B$73:C$125,2,FALSE),IF('User Dashboard'!C$12="Exponential Growth",VLOOKUP(B49,B$187:D$240,3,FALSE),""))))</f>
        <v/>
      </c>
      <c r="D49" s="58" t="str">
        <f t="shared" si="23"/>
        <v/>
      </c>
      <c r="E49" s="57" t="str">
        <f t="shared" si="24"/>
        <v/>
      </c>
      <c r="F49" s="58" t="str">
        <f t="shared" si="25"/>
        <v/>
      </c>
      <c r="G49" s="59" t="str">
        <f t="shared" si="26"/>
        <v/>
      </c>
      <c r="H49" s="59" t="str">
        <f t="shared" si="27"/>
        <v/>
      </c>
      <c r="I49" s="57" t="str">
        <f t="shared" si="28"/>
        <v/>
      </c>
      <c r="J49" s="58" t="str">
        <f t="shared" si="29"/>
        <v/>
      </c>
      <c r="K49" s="57" t="str">
        <f t="shared" si="30"/>
        <v/>
      </c>
      <c r="L49" s="58" t="str">
        <f t="shared" si="31"/>
        <v/>
      </c>
      <c r="M49" s="57" t="str">
        <f t="shared" ca="1" si="32"/>
        <v/>
      </c>
      <c r="N49" s="58" t="str">
        <f t="shared" ca="1" si="33"/>
        <v/>
      </c>
      <c r="O49" s="57" t="str">
        <f t="shared" ca="1" si="34"/>
        <v/>
      </c>
      <c r="P49" s="58" t="str">
        <f t="shared" ca="1" si="35"/>
        <v/>
      </c>
      <c r="Q49" s="57" t="str">
        <f t="shared" ca="1" si="36"/>
        <v/>
      </c>
      <c r="R49" s="58" t="str">
        <f t="shared" ca="1" si="37"/>
        <v/>
      </c>
      <c r="S49" s="57" t="str">
        <f t="shared" ca="1" si="38"/>
        <v/>
      </c>
      <c r="T49" s="59" t="str">
        <f t="shared" ca="1" si="39"/>
        <v/>
      </c>
      <c r="U49" s="57" t="str">
        <f t="shared" ca="1" si="40"/>
        <v/>
      </c>
      <c r="V49" s="59" t="str">
        <f t="shared" ca="1" si="41"/>
        <v/>
      </c>
      <c r="W49" s="59" t="str">
        <f t="shared" ca="1" si="42"/>
        <v/>
      </c>
      <c r="X49" s="58" t="str">
        <f t="shared" ca="1" si="43"/>
        <v/>
      </c>
      <c r="Y49" s="59" t="str">
        <f t="shared" si="44"/>
        <v/>
      </c>
      <c r="Z49" s="58" t="str">
        <f t="shared" si="45"/>
        <v/>
      </c>
    </row>
    <row r="50" spans="2:26" x14ac:dyDescent="0.35">
      <c r="B50" s="57" t="str">
        <f>IF('User Dashboard'!C$12="SIR Model",IF(B167&gt;('User Dashboard'!$H$12+'User Dashboard'!$H$13),"",B167),IF('User Dashboard'!C$12="Manual Entry",IF(B110&gt;('User Dashboard'!$H$12+'User Dashboard'!$H$13),"",B110),IF('User Dashboard'!C$12="Exponential Growth",B224)))</f>
        <v/>
      </c>
      <c r="C50" s="359" t="str">
        <f>IF(B50="","",IF('User Dashboard'!C$12="SIR Model",VLOOKUP(B50,B$130:C$182,2,FALSE),IF('User Dashboard'!C$12="Manual Entry",VLOOKUP(B50,B$73:C$125,2,FALSE),IF('User Dashboard'!C$12="Exponential Growth",VLOOKUP(B50,B$187:D$240,3,FALSE),""))))</f>
        <v/>
      </c>
      <c r="D50" s="58" t="str">
        <f t="shared" si="23"/>
        <v/>
      </c>
      <c r="E50" s="57" t="str">
        <f t="shared" si="24"/>
        <v/>
      </c>
      <c r="F50" s="58" t="str">
        <f t="shared" si="25"/>
        <v/>
      </c>
      <c r="G50" s="59" t="str">
        <f t="shared" si="26"/>
        <v/>
      </c>
      <c r="H50" s="59" t="str">
        <f t="shared" si="27"/>
        <v/>
      </c>
      <c r="I50" s="57" t="str">
        <f t="shared" si="28"/>
        <v/>
      </c>
      <c r="J50" s="58" t="str">
        <f t="shared" si="29"/>
        <v/>
      </c>
      <c r="K50" s="57" t="str">
        <f t="shared" si="30"/>
        <v/>
      </c>
      <c r="L50" s="58" t="str">
        <f t="shared" si="31"/>
        <v/>
      </c>
      <c r="M50" s="57" t="str">
        <f t="shared" ca="1" si="32"/>
        <v/>
      </c>
      <c r="N50" s="58" t="str">
        <f t="shared" ca="1" si="33"/>
        <v/>
      </c>
      <c r="O50" s="57" t="str">
        <f t="shared" ca="1" si="34"/>
        <v/>
      </c>
      <c r="P50" s="58" t="str">
        <f t="shared" ca="1" si="35"/>
        <v/>
      </c>
      <c r="Q50" s="57" t="str">
        <f t="shared" ca="1" si="36"/>
        <v/>
      </c>
      <c r="R50" s="58" t="str">
        <f t="shared" ca="1" si="37"/>
        <v/>
      </c>
      <c r="S50" s="57" t="str">
        <f t="shared" ca="1" si="38"/>
        <v/>
      </c>
      <c r="T50" s="59" t="str">
        <f t="shared" ca="1" si="39"/>
        <v/>
      </c>
      <c r="U50" s="57" t="str">
        <f t="shared" ca="1" si="40"/>
        <v/>
      </c>
      <c r="V50" s="59" t="str">
        <f t="shared" ca="1" si="41"/>
        <v/>
      </c>
      <c r="W50" s="59" t="str">
        <f t="shared" ca="1" si="42"/>
        <v/>
      </c>
      <c r="X50" s="58" t="str">
        <f t="shared" ca="1" si="43"/>
        <v/>
      </c>
      <c r="Y50" s="59" t="str">
        <f t="shared" si="44"/>
        <v/>
      </c>
      <c r="Z50" s="58" t="str">
        <f t="shared" si="45"/>
        <v/>
      </c>
    </row>
    <row r="51" spans="2:26" x14ac:dyDescent="0.35">
      <c r="B51" s="57" t="str">
        <f>IF('User Dashboard'!C$12="SIR Model",IF(B168&gt;('User Dashboard'!$H$12+'User Dashboard'!$H$13),"",B168),IF('User Dashboard'!C$12="Manual Entry",IF(B111&gt;('User Dashboard'!$H$12+'User Dashboard'!$H$13),"",B111),IF('User Dashboard'!C$12="Exponential Growth",B225)))</f>
        <v/>
      </c>
      <c r="C51" s="359" t="str">
        <f>IF(B51="","",IF('User Dashboard'!C$12="SIR Model",VLOOKUP(B51,B$130:C$182,2,FALSE),IF('User Dashboard'!C$12="Manual Entry",VLOOKUP(B51,B$73:C$125,2,FALSE),IF('User Dashboard'!C$12="Exponential Growth",VLOOKUP(B51,B$187:D$240,3,FALSE),""))))</f>
        <v/>
      </c>
      <c r="D51" s="58" t="str">
        <f t="shared" si="23"/>
        <v/>
      </c>
      <c r="E51" s="57" t="str">
        <f t="shared" si="24"/>
        <v/>
      </c>
      <c r="F51" s="58" t="str">
        <f t="shared" si="25"/>
        <v/>
      </c>
      <c r="G51" s="59" t="str">
        <f t="shared" si="26"/>
        <v/>
      </c>
      <c r="H51" s="59" t="str">
        <f t="shared" si="27"/>
        <v/>
      </c>
      <c r="I51" s="57" t="str">
        <f t="shared" si="28"/>
        <v/>
      </c>
      <c r="J51" s="58" t="str">
        <f t="shared" si="29"/>
        <v/>
      </c>
      <c r="K51" s="57" t="str">
        <f t="shared" si="30"/>
        <v/>
      </c>
      <c r="L51" s="58" t="str">
        <f t="shared" si="31"/>
        <v/>
      </c>
      <c r="M51" s="57" t="str">
        <f t="shared" ca="1" si="32"/>
        <v/>
      </c>
      <c r="N51" s="58" t="str">
        <f t="shared" ca="1" si="33"/>
        <v/>
      </c>
      <c r="O51" s="57" t="str">
        <f t="shared" ca="1" si="34"/>
        <v/>
      </c>
      <c r="P51" s="58" t="str">
        <f t="shared" ca="1" si="35"/>
        <v/>
      </c>
      <c r="Q51" s="57" t="str">
        <f t="shared" ca="1" si="36"/>
        <v/>
      </c>
      <c r="R51" s="58" t="str">
        <f t="shared" ca="1" si="37"/>
        <v/>
      </c>
      <c r="S51" s="57" t="str">
        <f t="shared" ca="1" si="38"/>
        <v/>
      </c>
      <c r="T51" s="59" t="str">
        <f t="shared" ca="1" si="39"/>
        <v/>
      </c>
      <c r="U51" s="57" t="str">
        <f t="shared" ca="1" si="40"/>
        <v/>
      </c>
      <c r="V51" s="59" t="str">
        <f t="shared" ca="1" si="41"/>
        <v/>
      </c>
      <c r="W51" s="59" t="str">
        <f t="shared" ca="1" si="42"/>
        <v/>
      </c>
      <c r="X51" s="58" t="str">
        <f t="shared" ca="1" si="43"/>
        <v/>
      </c>
      <c r="Y51" s="59" t="str">
        <f t="shared" si="44"/>
        <v/>
      </c>
      <c r="Z51" s="58" t="str">
        <f t="shared" si="45"/>
        <v/>
      </c>
    </row>
    <row r="52" spans="2:26" x14ac:dyDescent="0.35">
      <c r="B52" s="57" t="str">
        <f>IF('User Dashboard'!C$12="SIR Model",IF(B169&gt;('User Dashboard'!$H$12+'User Dashboard'!$H$13),"",B169),IF('User Dashboard'!C$12="Manual Entry",IF(B112&gt;('User Dashboard'!$H$12+'User Dashboard'!$H$13),"",B112),IF('User Dashboard'!C$12="Exponential Growth",B226)))</f>
        <v/>
      </c>
      <c r="C52" s="359" t="str">
        <f>IF(B52="","",IF('User Dashboard'!C$12="SIR Model",VLOOKUP(B52,B$130:C$182,2,FALSE),IF('User Dashboard'!C$12="Manual Entry",VLOOKUP(B52,B$73:C$125,2,FALSE),IF('User Dashboard'!C$12="Exponential Growth",VLOOKUP(B52,B$187:D$240,3,FALSE),""))))</f>
        <v/>
      </c>
      <c r="D52" s="58" t="str">
        <f t="shared" si="23"/>
        <v/>
      </c>
      <c r="E52" s="57" t="str">
        <f t="shared" si="24"/>
        <v/>
      </c>
      <c r="F52" s="58" t="str">
        <f t="shared" si="25"/>
        <v/>
      </c>
      <c r="G52" s="59" t="str">
        <f t="shared" si="26"/>
        <v/>
      </c>
      <c r="H52" s="59" t="str">
        <f t="shared" si="27"/>
        <v/>
      </c>
      <c r="I52" s="57" t="str">
        <f t="shared" si="28"/>
        <v/>
      </c>
      <c r="J52" s="58" t="str">
        <f t="shared" si="29"/>
        <v/>
      </c>
      <c r="K52" s="57" t="str">
        <f t="shared" si="30"/>
        <v/>
      </c>
      <c r="L52" s="58" t="str">
        <f t="shared" si="31"/>
        <v/>
      </c>
      <c r="M52" s="57" t="str">
        <f t="shared" ca="1" si="32"/>
        <v/>
      </c>
      <c r="N52" s="58" t="str">
        <f t="shared" ca="1" si="33"/>
        <v/>
      </c>
      <c r="O52" s="57" t="str">
        <f t="shared" ca="1" si="34"/>
        <v/>
      </c>
      <c r="P52" s="58" t="str">
        <f t="shared" ca="1" si="35"/>
        <v/>
      </c>
      <c r="Q52" s="57" t="str">
        <f t="shared" ca="1" si="36"/>
        <v/>
      </c>
      <c r="R52" s="58" t="str">
        <f t="shared" ca="1" si="37"/>
        <v/>
      </c>
      <c r="S52" s="57" t="str">
        <f t="shared" ca="1" si="38"/>
        <v/>
      </c>
      <c r="T52" s="59" t="str">
        <f t="shared" ca="1" si="39"/>
        <v/>
      </c>
      <c r="U52" s="57" t="str">
        <f t="shared" ca="1" si="40"/>
        <v/>
      </c>
      <c r="V52" s="59" t="str">
        <f t="shared" ca="1" si="41"/>
        <v/>
      </c>
      <c r="W52" s="59" t="str">
        <f t="shared" ca="1" si="42"/>
        <v/>
      </c>
      <c r="X52" s="58" t="str">
        <f t="shared" ca="1" si="43"/>
        <v/>
      </c>
      <c r="Y52" s="59" t="str">
        <f t="shared" si="44"/>
        <v/>
      </c>
      <c r="Z52" s="58" t="str">
        <f t="shared" si="45"/>
        <v/>
      </c>
    </row>
    <row r="53" spans="2:26" x14ac:dyDescent="0.35">
      <c r="B53" s="57" t="str">
        <f>IF('User Dashboard'!C$12="SIR Model",IF(B170&gt;('User Dashboard'!$H$12+'User Dashboard'!$H$13),"",B170),IF('User Dashboard'!C$12="Manual Entry",IF(B113&gt;('User Dashboard'!$H$12+'User Dashboard'!$H$13),"",B113),IF('User Dashboard'!C$12="Exponential Growth",B227)))</f>
        <v/>
      </c>
      <c r="C53" s="359" t="str">
        <f>IF(B53="","",IF('User Dashboard'!C$12="SIR Model",VLOOKUP(B53,B$130:C$182,2,FALSE),IF('User Dashboard'!C$12="Manual Entry",VLOOKUP(B53,B$73:C$125,2,FALSE),IF('User Dashboard'!C$12="Exponential Growth",VLOOKUP(B53,B$187:D$240,3,FALSE),""))))</f>
        <v/>
      </c>
      <c r="D53" s="58" t="str">
        <f t="shared" si="23"/>
        <v/>
      </c>
      <c r="E53" s="57" t="str">
        <f t="shared" si="24"/>
        <v/>
      </c>
      <c r="F53" s="58" t="str">
        <f t="shared" si="25"/>
        <v/>
      </c>
      <c r="G53" s="59" t="str">
        <f t="shared" si="26"/>
        <v/>
      </c>
      <c r="H53" s="59" t="str">
        <f t="shared" si="27"/>
        <v/>
      </c>
      <c r="I53" s="57" t="str">
        <f t="shared" si="28"/>
        <v/>
      </c>
      <c r="J53" s="58" t="str">
        <f t="shared" si="29"/>
        <v/>
      </c>
      <c r="K53" s="57" t="str">
        <f t="shared" si="30"/>
        <v/>
      </c>
      <c r="L53" s="58" t="str">
        <f t="shared" si="31"/>
        <v/>
      </c>
      <c r="M53" s="57" t="str">
        <f t="shared" ca="1" si="32"/>
        <v/>
      </c>
      <c r="N53" s="58" t="str">
        <f t="shared" ca="1" si="33"/>
        <v/>
      </c>
      <c r="O53" s="57" t="str">
        <f t="shared" ca="1" si="34"/>
        <v/>
      </c>
      <c r="P53" s="58" t="str">
        <f t="shared" ca="1" si="35"/>
        <v/>
      </c>
      <c r="Q53" s="57" t="str">
        <f t="shared" ca="1" si="36"/>
        <v/>
      </c>
      <c r="R53" s="58" t="str">
        <f t="shared" ca="1" si="37"/>
        <v/>
      </c>
      <c r="S53" s="57" t="str">
        <f t="shared" ca="1" si="38"/>
        <v/>
      </c>
      <c r="T53" s="59" t="str">
        <f t="shared" ca="1" si="39"/>
        <v/>
      </c>
      <c r="U53" s="57" t="str">
        <f t="shared" ca="1" si="40"/>
        <v/>
      </c>
      <c r="V53" s="59" t="str">
        <f t="shared" ca="1" si="41"/>
        <v/>
      </c>
      <c r="W53" s="59" t="str">
        <f t="shared" ca="1" si="42"/>
        <v/>
      </c>
      <c r="X53" s="58" t="str">
        <f t="shared" ca="1" si="43"/>
        <v/>
      </c>
      <c r="Y53" s="59" t="str">
        <f t="shared" si="44"/>
        <v/>
      </c>
      <c r="Z53" s="58" t="str">
        <f t="shared" si="45"/>
        <v/>
      </c>
    </row>
    <row r="54" spans="2:26" x14ac:dyDescent="0.35">
      <c r="B54" s="57" t="str">
        <f>IF('User Dashboard'!C$12="SIR Model",IF(B171&gt;('User Dashboard'!$H$12+'User Dashboard'!$H$13),"",B171),IF('User Dashboard'!C$12="Manual Entry",IF(B114&gt;('User Dashboard'!$H$12+'User Dashboard'!$H$13),"",B114),IF('User Dashboard'!C$12="Exponential Growth",B228)))</f>
        <v/>
      </c>
      <c r="C54" s="359" t="str">
        <f>IF(B54="","",IF('User Dashboard'!C$12="SIR Model",VLOOKUP(B54,B$130:C$182,2,FALSE),IF('User Dashboard'!C$12="Manual Entry",VLOOKUP(B54,B$73:C$125,2,FALSE),IF('User Dashboard'!C$12="Exponential Growth",VLOOKUP(B54,B$187:D$240,3,FALSE),""))))</f>
        <v/>
      </c>
      <c r="D54" s="58" t="str">
        <f t="shared" si="23"/>
        <v/>
      </c>
      <c r="E54" s="57" t="str">
        <f t="shared" si="24"/>
        <v/>
      </c>
      <c r="F54" s="58" t="str">
        <f t="shared" si="25"/>
        <v/>
      </c>
      <c r="G54" s="59" t="str">
        <f t="shared" si="26"/>
        <v/>
      </c>
      <c r="H54" s="59" t="str">
        <f t="shared" si="27"/>
        <v/>
      </c>
      <c r="I54" s="57" t="str">
        <f t="shared" si="28"/>
        <v/>
      </c>
      <c r="J54" s="58" t="str">
        <f t="shared" si="29"/>
        <v/>
      </c>
      <c r="K54" s="57" t="str">
        <f t="shared" si="30"/>
        <v/>
      </c>
      <c r="L54" s="58" t="str">
        <f t="shared" si="31"/>
        <v/>
      </c>
      <c r="M54" s="57" t="str">
        <f t="shared" ca="1" si="32"/>
        <v/>
      </c>
      <c r="N54" s="58" t="str">
        <f t="shared" ca="1" si="33"/>
        <v/>
      </c>
      <c r="O54" s="57" t="str">
        <f t="shared" ca="1" si="34"/>
        <v/>
      </c>
      <c r="P54" s="58" t="str">
        <f t="shared" ca="1" si="35"/>
        <v/>
      </c>
      <c r="Q54" s="57" t="str">
        <f t="shared" ca="1" si="36"/>
        <v/>
      </c>
      <c r="R54" s="58" t="str">
        <f t="shared" ca="1" si="37"/>
        <v/>
      </c>
      <c r="S54" s="57" t="str">
        <f t="shared" ca="1" si="38"/>
        <v/>
      </c>
      <c r="T54" s="59" t="str">
        <f t="shared" ca="1" si="39"/>
        <v/>
      </c>
      <c r="U54" s="57" t="str">
        <f t="shared" ca="1" si="40"/>
        <v/>
      </c>
      <c r="V54" s="59" t="str">
        <f t="shared" ca="1" si="41"/>
        <v/>
      </c>
      <c r="W54" s="59" t="str">
        <f t="shared" ca="1" si="42"/>
        <v/>
      </c>
      <c r="X54" s="58" t="str">
        <f t="shared" ca="1" si="43"/>
        <v/>
      </c>
      <c r="Y54" s="59" t="str">
        <f t="shared" si="44"/>
        <v/>
      </c>
      <c r="Z54" s="58" t="str">
        <f t="shared" si="45"/>
        <v/>
      </c>
    </row>
    <row r="55" spans="2:26" x14ac:dyDescent="0.35">
      <c r="B55" s="57" t="str">
        <f>IF('User Dashboard'!C$12="SIR Model",IF(B172&gt;('User Dashboard'!$H$12+'User Dashboard'!$H$13),"",B172),IF('User Dashboard'!C$12="Manual Entry",IF(B115&gt;('User Dashboard'!$H$12+'User Dashboard'!$H$13),"",B115),IF('User Dashboard'!C$12="Exponential Growth",B229)))</f>
        <v/>
      </c>
      <c r="C55" s="359" t="str">
        <f>IF(B55="","",IF('User Dashboard'!C$12="SIR Model",VLOOKUP(B55,B$130:C$182,2,FALSE),IF('User Dashboard'!C$12="Manual Entry",VLOOKUP(B55,B$73:C$125,2,FALSE),IF('User Dashboard'!C$12="Exponential Growth",VLOOKUP(B55,B$187:D$240,3,FALSE),""))))</f>
        <v/>
      </c>
      <c r="D55" s="58" t="str">
        <f t="shared" si="23"/>
        <v/>
      </c>
      <c r="E55" s="57" t="str">
        <f t="shared" si="24"/>
        <v/>
      </c>
      <c r="F55" s="58" t="str">
        <f t="shared" si="25"/>
        <v/>
      </c>
      <c r="G55" s="59" t="str">
        <f t="shared" si="26"/>
        <v/>
      </c>
      <c r="H55" s="59" t="str">
        <f t="shared" si="27"/>
        <v/>
      </c>
      <c r="I55" s="57" t="str">
        <f t="shared" si="28"/>
        <v/>
      </c>
      <c r="J55" s="58" t="str">
        <f t="shared" si="29"/>
        <v/>
      </c>
      <c r="K55" s="57" t="str">
        <f t="shared" si="30"/>
        <v/>
      </c>
      <c r="L55" s="58" t="str">
        <f t="shared" si="31"/>
        <v/>
      </c>
      <c r="M55" s="57" t="str">
        <f t="shared" ca="1" si="32"/>
        <v/>
      </c>
      <c r="N55" s="58" t="str">
        <f t="shared" ca="1" si="33"/>
        <v/>
      </c>
      <c r="O55" s="57" t="str">
        <f t="shared" ca="1" si="34"/>
        <v/>
      </c>
      <c r="P55" s="58" t="str">
        <f t="shared" ca="1" si="35"/>
        <v/>
      </c>
      <c r="Q55" s="57" t="str">
        <f t="shared" ca="1" si="36"/>
        <v/>
      </c>
      <c r="R55" s="58" t="str">
        <f t="shared" ca="1" si="37"/>
        <v/>
      </c>
      <c r="S55" s="57" t="str">
        <f t="shared" ca="1" si="38"/>
        <v/>
      </c>
      <c r="T55" s="59" t="str">
        <f t="shared" ca="1" si="39"/>
        <v/>
      </c>
      <c r="U55" s="57" t="str">
        <f t="shared" ca="1" si="40"/>
        <v/>
      </c>
      <c r="V55" s="59" t="str">
        <f t="shared" ca="1" si="41"/>
        <v/>
      </c>
      <c r="W55" s="59" t="str">
        <f t="shared" ca="1" si="42"/>
        <v/>
      </c>
      <c r="X55" s="58" t="str">
        <f t="shared" ca="1" si="43"/>
        <v/>
      </c>
      <c r="Y55" s="59" t="str">
        <f t="shared" si="44"/>
        <v/>
      </c>
      <c r="Z55" s="58" t="str">
        <f t="shared" si="45"/>
        <v/>
      </c>
    </row>
    <row r="56" spans="2:26" x14ac:dyDescent="0.35">
      <c r="B56" s="57" t="str">
        <f>IF('User Dashboard'!C$12="SIR Model",IF(B173&gt;('User Dashboard'!$H$12+'User Dashboard'!$H$13),"",B173),IF('User Dashboard'!C$12="Manual Entry",IF(B116&gt;('User Dashboard'!$H$12+'User Dashboard'!$H$13),"",B116),IF('User Dashboard'!C$12="Exponential Growth",B230)))</f>
        <v/>
      </c>
      <c r="C56" s="359" t="str">
        <f>IF(B56="","",IF('User Dashboard'!C$12="SIR Model",VLOOKUP(B56,B$130:C$182,2,FALSE),IF('User Dashboard'!C$12="Manual Entry",VLOOKUP(B56,B$73:C$125,2,FALSE),IF('User Dashboard'!C$12="Exponential Growth",VLOOKUP(B56,B$187:D$240,3,FALSE),""))))</f>
        <v/>
      </c>
      <c r="D56" s="58" t="str">
        <f t="shared" si="23"/>
        <v/>
      </c>
      <c r="E56" s="57" t="str">
        <f t="shared" si="24"/>
        <v/>
      </c>
      <c r="F56" s="58" t="str">
        <f t="shared" si="25"/>
        <v/>
      </c>
      <c r="G56" s="59" t="str">
        <f t="shared" si="26"/>
        <v/>
      </c>
      <c r="H56" s="59" t="str">
        <f t="shared" si="27"/>
        <v/>
      </c>
      <c r="I56" s="57" t="str">
        <f t="shared" si="28"/>
        <v/>
      </c>
      <c r="J56" s="58" t="str">
        <f t="shared" si="29"/>
        <v/>
      </c>
      <c r="K56" s="57" t="str">
        <f t="shared" si="30"/>
        <v/>
      </c>
      <c r="L56" s="58" t="str">
        <f t="shared" si="31"/>
        <v/>
      </c>
      <c r="M56" s="57" t="str">
        <f t="shared" ca="1" si="32"/>
        <v/>
      </c>
      <c r="N56" s="58" t="str">
        <f t="shared" ca="1" si="33"/>
        <v/>
      </c>
      <c r="O56" s="57" t="str">
        <f t="shared" ca="1" si="34"/>
        <v/>
      </c>
      <c r="P56" s="58" t="str">
        <f t="shared" ca="1" si="35"/>
        <v/>
      </c>
      <c r="Q56" s="57" t="str">
        <f t="shared" ca="1" si="36"/>
        <v/>
      </c>
      <c r="R56" s="58" t="str">
        <f t="shared" ca="1" si="37"/>
        <v/>
      </c>
      <c r="S56" s="57" t="str">
        <f t="shared" ca="1" si="38"/>
        <v/>
      </c>
      <c r="T56" s="59" t="str">
        <f t="shared" ca="1" si="39"/>
        <v/>
      </c>
      <c r="U56" s="57" t="str">
        <f t="shared" ca="1" si="40"/>
        <v/>
      </c>
      <c r="V56" s="59" t="str">
        <f t="shared" ca="1" si="41"/>
        <v/>
      </c>
      <c r="W56" s="59" t="str">
        <f t="shared" ca="1" si="42"/>
        <v/>
      </c>
      <c r="X56" s="58" t="str">
        <f t="shared" ca="1" si="43"/>
        <v/>
      </c>
      <c r="Y56" s="59" t="str">
        <f t="shared" si="44"/>
        <v/>
      </c>
      <c r="Z56" s="58" t="str">
        <f t="shared" si="45"/>
        <v/>
      </c>
    </row>
    <row r="57" spans="2:26" x14ac:dyDescent="0.35">
      <c r="B57" s="57" t="str">
        <f>IF('User Dashboard'!C$12="SIR Model",IF(B174&gt;('User Dashboard'!$H$12+'User Dashboard'!$H$13),"",B174),IF('User Dashboard'!C$12="Manual Entry",IF(B117&gt;('User Dashboard'!$H$12+'User Dashboard'!$H$13),"",B117),IF('User Dashboard'!C$12="Exponential Growth",B231)))</f>
        <v/>
      </c>
      <c r="C57" s="359" t="str">
        <f>IF(B57="","",IF('User Dashboard'!C$12="SIR Model",VLOOKUP(B57,B$130:C$182,2,FALSE),IF('User Dashboard'!C$12="Manual Entry",VLOOKUP(B57,B$73:C$125,2,FALSE),IF('User Dashboard'!C$12="Exponential Growth",VLOOKUP(B57,B$187:D$240,3,FALSE),""))))</f>
        <v/>
      </c>
      <c r="D57" s="58" t="str">
        <f t="shared" si="23"/>
        <v/>
      </c>
      <c r="E57" s="57" t="str">
        <f t="shared" si="24"/>
        <v/>
      </c>
      <c r="F57" s="58" t="str">
        <f t="shared" si="25"/>
        <v/>
      </c>
      <c r="G57" s="59" t="str">
        <f t="shared" si="26"/>
        <v/>
      </c>
      <c r="H57" s="59" t="str">
        <f t="shared" si="27"/>
        <v/>
      </c>
      <c r="I57" s="57" t="str">
        <f t="shared" si="28"/>
        <v/>
      </c>
      <c r="J57" s="58" t="str">
        <f t="shared" si="29"/>
        <v/>
      </c>
      <c r="K57" s="57" t="str">
        <f t="shared" si="30"/>
        <v/>
      </c>
      <c r="L57" s="58" t="str">
        <f t="shared" si="31"/>
        <v/>
      </c>
      <c r="M57" s="57" t="str">
        <f t="shared" ca="1" si="32"/>
        <v/>
      </c>
      <c r="N57" s="58" t="str">
        <f t="shared" ca="1" si="33"/>
        <v/>
      </c>
      <c r="O57" s="57" t="str">
        <f t="shared" ca="1" si="34"/>
        <v/>
      </c>
      <c r="P57" s="58" t="str">
        <f t="shared" ca="1" si="35"/>
        <v/>
      </c>
      <c r="Q57" s="57" t="str">
        <f t="shared" ca="1" si="36"/>
        <v/>
      </c>
      <c r="R57" s="58" t="str">
        <f t="shared" ca="1" si="37"/>
        <v/>
      </c>
      <c r="S57" s="57" t="str">
        <f t="shared" ca="1" si="38"/>
        <v/>
      </c>
      <c r="T57" s="59" t="str">
        <f t="shared" ca="1" si="39"/>
        <v/>
      </c>
      <c r="U57" s="57" t="str">
        <f t="shared" ca="1" si="40"/>
        <v/>
      </c>
      <c r="V57" s="59" t="str">
        <f t="shared" ca="1" si="41"/>
        <v/>
      </c>
      <c r="W57" s="59" t="str">
        <f t="shared" ca="1" si="42"/>
        <v/>
      </c>
      <c r="X57" s="58" t="str">
        <f t="shared" ca="1" si="43"/>
        <v/>
      </c>
      <c r="Y57" s="59" t="str">
        <f t="shared" si="44"/>
        <v/>
      </c>
      <c r="Z57" s="58" t="str">
        <f t="shared" si="45"/>
        <v/>
      </c>
    </row>
    <row r="58" spans="2:26" x14ac:dyDescent="0.35">
      <c r="B58" s="57" t="str">
        <f>IF('User Dashboard'!C$12="SIR Model",IF(B175&gt;('User Dashboard'!$H$12+'User Dashboard'!$H$13),"",B175),IF('User Dashboard'!C$12="Manual Entry",IF(B118&gt;('User Dashboard'!$H$12+'User Dashboard'!$H$13),"",B118),IF('User Dashboard'!C$12="Exponential Growth",B232)))</f>
        <v/>
      </c>
      <c r="C58" s="359" t="str">
        <f>IF(B58="","",IF('User Dashboard'!C$12="SIR Model",VLOOKUP(B58,B$130:C$182,2,FALSE),IF('User Dashboard'!C$12="Manual Entry",VLOOKUP(B58,B$73:C$125,2,FALSE),IF('User Dashboard'!C$12="Exponential Growth",VLOOKUP(B58,B$187:D$240,3,FALSE),""))))</f>
        <v/>
      </c>
      <c r="D58" s="58" t="str">
        <f t="shared" si="23"/>
        <v/>
      </c>
      <c r="E58" s="57" t="str">
        <f t="shared" si="24"/>
        <v/>
      </c>
      <c r="F58" s="58" t="str">
        <f t="shared" si="25"/>
        <v/>
      </c>
      <c r="G58" s="59" t="str">
        <f t="shared" si="26"/>
        <v/>
      </c>
      <c r="H58" s="59" t="str">
        <f t="shared" si="27"/>
        <v/>
      </c>
      <c r="I58" s="57" t="str">
        <f t="shared" si="28"/>
        <v/>
      </c>
      <c r="J58" s="58" t="str">
        <f t="shared" si="29"/>
        <v/>
      </c>
      <c r="K58" s="57" t="str">
        <f t="shared" si="30"/>
        <v/>
      </c>
      <c r="L58" s="58" t="str">
        <f t="shared" si="31"/>
        <v/>
      </c>
      <c r="M58" s="57" t="str">
        <f t="shared" ca="1" si="32"/>
        <v/>
      </c>
      <c r="N58" s="58" t="str">
        <f t="shared" ca="1" si="33"/>
        <v/>
      </c>
      <c r="O58" s="57" t="str">
        <f t="shared" ca="1" si="34"/>
        <v/>
      </c>
      <c r="P58" s="58" t="str">
        <f t="shared" ca="1" si="35"/>
        <v/>
      </c>
      <c r="Q58" s="57" t="str">
        <f t="shared" ca="1" si="36"/>
        <v/>
      </c>
      <c r="R58" s="58" t="str">
        <f t="shared" ca="1" si="37"/>
        <v/>
      </c>
      <c r="S58" s="57" t="str">
        <f t="shared" ca="1" si="38"/>
        <v/>
      </c>
      <c r="T58" s="59" t="str">
        <f t="shared" ca="1" si="39"/>
        <v/>
      </c>
      <c r="U58" s="57" t="str">
        <f t="shared" ca="1" si="40"/>
        <v/>
      </c>
      <c r="V58" s="59" t="str">
        <f t="shared" ca="1" si="41"/>
        <v/>
      </c>
      <c r="W58" s="59" t="str">
        <f t="shared" ca="1" si="42"/>
        <v/>
      </c>
      <c r="X58" s="58" t="str">
        <f t="shared" ca="1" si="43"/>
        <v/>
      </c>
      <c r="Y58" s="59" t="str">
        <f t="shared" si="44"/>
        <v/>
      </c>
      <c r="Z58" s="58" t="str">
        <f t="shared" si="45"/>
        <v/>
      </c>
    </row>
    <row r="59" spans="2:26" x14ac:dyDescent="0.35">
      <c r="B59" s="57" t="str">
        <f>IF('User Dashboard'!C$12="SIR Model",IF(B176&gt;('User Dashboard'!$H$12+'User Dashboard'!$H$13),"",B176),IF('User Dashboard'!C$12="Manual Entry",IF(B119&gt;('User Dashboard'!$H$12+'User Dashboard'!$H$13),"",B119),IF('User Dashboard'!C$12="Exponential Growth",B233)))</f>
        <v/>
      </c>
      <c r="C59" s="359" t="str">
        <f>IF(B59="","",IF('User Dashboard'!C$12="SIR Model",VLOOKUP(B59,B$130:C$182,2,FALSE),IF('User Dashboard'!C$12="Manual Entry",VLOOKUP(B59,B$73:C$125,2,FALSE),IF('User Dashboard'!C$12="Exponential Growth",VLOOKUP(B59,B$187:D$240,3,FALSE),""))))</f>
        <v/>
      </c>
      <c r="D59" s="58" t="str">
        <f t="shared" si="23"/>
        <v/>
      </c>
      <c r="E59" s="57" t="str">
        <f t="shared" si="24"/>
        <v/>
      </c>
      <c r="F59" s="58" t="str">
        <f t="shared" si="25"/>
        <v/>
      </c>
      <c r="G59" s="59" t="str">
        <f t="shared" si="26"/>
        <v/>
      </c>
      <c r="H59" s="59" t="str">
        <f t="shared" si="27"/>
        <v/>
      </c>
      <c r="I59" s="57" t="str">
        <f t="shared" si="28"/>
        <v/>
      </c>
      <c r="J59" s="58" t="str">
        <f t="shared" si="29"/>
        <v/>
      </c>
      <c r="K59" s="57" t="str">
        <f t="shared" si="30"/>
        <v/>
      </c>
      <c r="L59" s="58" t="str">
        <f t="shared" si="31"/>
        <v/>
      </c>
      <c r="M59" s="57" t="str">
        <f t="shared" ca="1" si="32"/>
        <v/>
      </c>
      <c r="N59" s="58" t="str">
        <f t="shared" ca="1" si="33"/>
        <v/>
      </c>
      <c r="O59" s="57" t="str">
        <f t="shared" ca="1" si="34"/>
        <v/>
      </c>
      <c r="P59" s="58" t="str">
        <f t="shared" ca="1" si="35"/>
        <v/>
      </c>
      <c r="Q59" s="57" t="str">
        <f t="shared" ca="1" si="36"/>
        <v/>
      </c>
      <c r="R59" s="58" t="str">
        <f t="shared" ca="1" si="37"/>
        <v/>
      </c>
      <c r="S59" s="57" t="str">
        <f t="shared" ca="1" si="38"/>
        <v/>
      </c>
      <c r="T59" s="59" t="str">
        <f t="shared" ca="1" si="39"/>
        <v/>
      </c>
      <c r="U59" s="57" t="str">
        <f t="shared" ca="1" si="40"/>
        <v/>
      </c>
      <c r="V59" s="59" t="str">
        <f t="shared" ca="1" si="41"/>
        <v/>
      </c>
      <c r="W59" s="59" t="str">
        <f t="shared" ca="1" si="42"/>
        <v/>
      </c>
      <c r="X59" s="58" t="str">
        <f t="shared" ca="1" si="43"/>
        <v/>
      </c>
      <c r="Y59" s="59" t="str">
        <f t="shared" si="44"/>
        <v/>
      </c>
      <c r="Z59" s="58" t="str">
        <f t="shared" si="45"/>
        <v/>
      </c>
    </row>
    <row r="60" spans="2:26" x14ac:dyDescent="0.35">
      <c r="B60" s="57" t="str">
        <f>IF('User Dashboard'!C$12="SIR Model",IF(B177&gt;('User Dashboard'!$H$12+'User Dashboard'!$H$13),"",B177),IF('User Dashboard'!C$12="Manual Entry",IF(B120&gt;('User Dashboard'!$H$12+'User Dashboard'!$H$13),"",B120),IF('User Dashboard'!C$12="Exponential Growth",B234)))</f>
        <v/>
      </c>
      <c r="C60" s="359" t="str">
        <f>IF(B60="","",IF('User Dashboard'!C$12="SIR Model",VLOOKUP(B60,B$130:C$182,2,FALSE),IF('User Dashboard'!C$12="Manual Entry",VLOOKUP(B60,B$73:C$125,2,FALSE),IF('User Dashboard'!C$12="Exponential Growth",VLOOKUP(B60,B$187:D$240,3,FALSE),""))))</f>
        <v/>
      </c>
      <c r="D60" s="58" t="str">
        <f t="shared" si="23"/>
        <v/>
      </c>
      <c r="E60" s="57" t="str">
        <f t="shared" si="24"/>
        <v/>
      </c>
      <c r="F60" s="58" t="str">
        <f t="shared" si="25"/>
        <v/>
      </c>
      <c r="G60" s="59" t="str">
        <f t="shared" si="26"/>
        <v/>
      </c>
      <c r="H60" s="59" t="str">
        <f t="shared" si="27"/>
        <v/>
      </c>
      <c r="I60" s="57" t="str">
        <f t="shared" si="28"/>
        <v/>
      </c>
      <c r="J60" s="58" t="str">
        <f t="shared" si="29"/>
        <v/>
      </c>
      <c r="K60" s="57" t="str">
        <f t="shared" si="30"/>
        <v/>
      </c>
      <c r="L60" s="58" t="str">
        <f t="shared" si="31"/>
        <v/>
      </c>
      <c r="M60" s="57" t="str">
        <f t="shared" ca="1" si="32"/>
        <v/>
      </c>
      <c r="N60" s="58" t="str">
        <f t="shared" ca="1" si="33"/>
        <v/>
      </c>
      <c r="O60" s="57" t="str">
        <f t="shared" ca="1" si="34"/>
        <v/>
      </c>
      <c r="P60" s="58" t="str">
        <f t="shared" ca="1" si="35"/>
        <v/>
      </c>
      <c r="Q60" s="57" t="str">
        <f t="shared" ca="1" si="36"/>
        <v/>
      </c>
      <c r="R60" s="58" t="str">
        <f t="shared" ca="1" si="37"/>
        <v/>
      </c>
      <c r="S60" s="57" t="str">
        <f t="shared" ca="1" si="38"/>
        <v/>
      </c>
      <c r="T60" s="59" t="str">
        <f t="shared" ca="1" si="39"/>
        <v/>
      </c>
      <c r="U60" s="57" t="str">
        <f t="shared" ca="1" si="40"/>
        <v/>
      </c>
      <c r="V60" s="59" t="str">
        <f t="shared" ca="1" si="41"/>
        <v/>
      </c>
      <c r="W60" s="59" t="str">
        <f t="shared" ca="1" si="42"/>
        <v/>
      </c>
      <c r="X60" s="58" t="str">
        <f t="shared" ca="1" si="43"/>
        <v/>
      </c>
      <c r="Y60" s="59" t="str">
        <f t="shared" si="44"/>
        <v/>
      </c>
      <c r="Z60" s="58" t="str">
        <f t="shared" si="45"/>
        <v/>
      </c>
    </row>
    <row r="61" spans="2:26" x14ac:dyDescent="0.35">
      <c r="B61" s="57" t="str">
        <f>IF('User Dashboard'!C$12="SIR Model",IF(B178&gt;('User Dashboard'!$H$12+'User Dashboard'!$H$13),"",B178),IF('User Dashboard'!C$12="Manual Entry",IF(B121&gt;('User Dashboard'!$H$12+'User Dashboard'!$H$13),"",B121),IF('User Dashboard'!C$12="Exponential Growth",B235)))</f>
        <v/>
      </c>
      <c r="C61" s="359" t="str">
        <f>IF(B61="","",IF('User Dashboard'!C$12="SIR Model",VLOOKUP(B61,B$130:C$182,2,FALSE),IF('User Dashboard'!C$12="Manual Entry",VLOOKUP(B61,B$73:C$125,2,FALSE),IF('User Dashboard'!C$12="Exponential Growth",VLOOKUP(B61,B$187:D$240,3,FALSE),""))))</f>
        <v/>
      </c>
      <c r="D61" s="58" t="str">
        <f t="shared" si="23"/>
        <v/>
      </c>
      <c r="E61" s="57" t="str">
        <f t="shared" si="24"/>
        <v/>
      </c>
      <c r="F61" s="58" t="str">
        <f t="shared" si="25"/>
        <v/>
      </c>
      <c r="G61" s="59" t="str">
        <f t="shared" si="26"/>
        <v/>
      </c>
      <c r="H61" s="59" t="str">
        <f t="shared" si="27"/>
        <v/>
      </c>
      <c r="I61" s="57" t="str">
        <f t="shared" si="28"/>
        <v/>
      </c>
      <c r="J61" s="58" t="str">
        <f t="shared" si="29"/>
        <v/>
      </c>
      <c r="K61" s="57" t="str">
        <f t="shared" si="30"/>
        <v/>
      </c>
      <c r="L61" s="58" t="str">
        <f t="shared" si="31"/>
        <v/>
      </c>
      <c r="M61" s="57" t="str">
        <f t="shared" ca="1" si="32"/>
        <v/>
      </c>
      <c r="N61" s="58" t="str">
        <f t="shared" ca="1" si="33"/>
        <v/>
      </c>
      <c r="O61" s="57" t="str">
        <f t="shared" ca="1" si="34"/>
        <v/>
      </c>
      <c r="P61" s="58" t="str">
        <f t="shared" ca="1" si="35"/>
        <v/>
      </c>
      <c r="Q61" s="57" t="str">
        <f t="shared" ca="1" si="36"/>
        <v/>
      </c>
      <c r="R61" s="58" t="str">
        <f t="shared" ca="1" si="37"/>
        <v/>
      </c>
      <c r="S61" s="57" t="str">
        <f t="shared" ca="1" si="38"/>
        <v/>
      </c>
      <c r="T61" s="59" t="str">
        <f t="shared" ca="1" si="39"/>
        <v/>
      </c>
      <c r="U61" s="57" t="str">
        <f t="shared" ca="1" si="40"/>
        <v/>
      </c>
      <c r="V61" s="59" t="str">
        <f t="shared" ca="1" si="41"/>
        <v/>
      </c>
      <c r="W61" s="59" t="str">
        <f t="shared" ca="1" si="42"/>
        <v/>
      </c>
      <c r="X61" s="58" t="str">
        <f t="shared" ca="1" si="43"/>
        <v/>
      </c>
      <c r="Y61" s="59" t="str">
        <f t="shared" si="44"/>
        <v/>
      </c>
      <c r="Z61" s="58" t="str">
        <f t="shared" si="45"/>
        <v/>
      </c>
    </row>
    <row r="62" spans="2:26" x14ac:dyDescent="0.35">
      <c r="B62" s="57" t="str">
        <f>IF('User Dashboard'!C$12="SIR Model",IF(B179&gt;('User Dashboard'!$H$12+'User Dashboard'!$H$13),"",B179),IF('User Dashboard'!C$12="Manual Entry",IF(B122&gt;('User Dashboard'!$H$12+'User Dashboard'!$H$13),"",B122),IF('User Dashboard'!C$12="Exponential Growth",B236)))</f>
        <v/>
      </c>
      <c r="C62" s="359" t="str">
        <f>IF(B62="","",IF('User Dashboard'!C$12="SIR Model",VLOOKUP(B62,B$130:C$182,2,FALSE),IF('User Dashboard'!C$12="Manual Entry",VLOOKUP(B62,B$73:C$125,2,FALSE),IF('User Dashboard'!C$12="Exponential Growth",VLOOKUP(B62,B$187:D$240,3,FALSE),""))))</f>
        <v/>
      </c>
      <c r="D62" s="58" t="str">
        <f t="shared" si="23"/>
        <v/>
      </c>
      <c r="E62" s="57" t="str">
        <f t="shared" si="24"/>
        <v/>
      </c>
      <c r="F62" s="58" t="str">
        <f t="shared" si="25"/>
        <v/>
      </c>
      <c r="G62" s="59" t="str">
        <f t="shared" si="26"/>
        <v/>
      </c>
      <c r="H62" s="59" t="str">
        <f t="shared" si="27"/>
        <v/>
      </c>
      <c r="I62" s="57" t="str">
        <f t="shared" si="28"/>
        <v/>
      </c>
      <c r="J62" s="58" t="str">
        <f t="shared" si="29"/>
        <v/>
      </c>
      <c r="K62" s="57" t="str">
        <f t="shared" si="30"/>
        <v/>
      </c>
      <c r="L62" s="58" t="str">
        <f t="shared" si="31"/>
        <v/>
      </c>
      <c r="M62" s="57" t="str">
        <f t="shared" ca="1" si="32"/>
        <v/>
      </c>
      <c r="N62" s="58" t="str">
        <f t="shared" ca="1" si="33"/>
        <v/>
      </c>
      <c r="O62" s="57" t="str">
        <f t="shared" ca="1" si="34"/>
        <v/>
      </c>
      <c r="P62" s="58" t="str">
        <f t="shared" ca="1" si="35"/>
        <v/>
      </c>
      <c r="Q62" s="57" t="str">
        <f t="shared" ca="1" si="36"/>
        <v/>
      </c>
      <c r="R62" s="58" t="str">
        <f t="shared" ca="1" si="37"/>
        <v/>
      </c>
      <c r="S62" s="57" t="str">
        <f t="shared" ca="1" si="38"/>
        <v/>
      </c>
      <c r="T62" s="59" t="str">
        <f t="shared" ca="1" si="39"/>
        <v/>
      </c>
      <c r="U62" s="57" t="str">
        <f t="shared" ca="1" si="40"/>
        <v/>
      </c>
      <c r="V62" s="59" t="str">
        <f t="shared" ca="1" si="41"/>
        <v/>
      </c>
      <c r="W62" s="59" t="str">
        <f t="shared" ca="1" si="42"/>
        <v/>
      </c>
      <c r="X62" s="58" t="str">
        <f t="shared" ca="1" si="43"/>
        <v/>
      </c>
      <c r="Y62" s="59" t="str">
        <f t="shared" si="44"/>
        <v/>
      </c>
      <c r="Z62" s="58" t="str">
        <f t="shared" si="45"/>
        <v/>
      </c>
    </row>
    <row r="63" spans="2:26" x14ac:dyDescent="0.35">
      <c r="B63" s="57" t="str">
        <f>IF('User Dashboard'!C$12="SIR Model",IF(B180&gt;('User Dashboard'!$H$12+'User Dashboard'!$H$13),"",B180),IF('User Dashboard'!C$12="Manual Entry",IF(B123&gt;('User Dashboard'!$H$12+'User Dashboard'!$H$13),"",B123),IF('User Dashboard'!C$12="Exponential Growth",B237)))</f>
        <v/>
      </c>
      <c r="C63" s="359" t="str">
        <f>IF(B63="","",IF('User Dashboard'!C$12="SIR Model",VLOOKUP(B63,B$130:C$182,2,FALSE),IF('User Dashboard'!C$12="Manual Entry",VLOOKUP(B63,B$73:C$125,2,FALSE),IF('User Dashboard'!C$12="Exponential Growth",VLOOKUP(B63,B$187:D$240,3,FALSE),""))))</f>
        <v/>
      </c>
      <c r="D63" s="58" t="str">
        <f t="shared" si="23"/>
        <v/>
      </c>
      <c r="E63" s="57" t="str">
        <f t="shared" si="24"/>
        <v/>
      </c>
      <c r="F63" s="58" t="str">
        <f t="shared" si="25"/>
        <v/>
      </c>
      <c r="G63" s="59" t="str">
        <f t="shared" si="26"/>
        <v/>
      </c>
      <c r="H63" s="59" t="str">
        <f t="shared" si="27"/>
        <v/>
      </c>
      <c r="I63" s="57" t="str">
        <f t="shared" si="28"/>
        <v/>
      </c>
      <c r="J63" s="58" t="str">
        <f t="shared" si="29"/>
        <v/>
      </c>
      <c r="K63" s="57" t="str">
        <f t="shared" si="30"/>
        <v/>
      </c>
      <c r="L63" s="58" t="str">
        <f t="shared" si="31"/>
        <v/>
      </c>
      <c r="M63" s="57" t="str">
        <f t="shared" ca="1" si="32"/>
        <v/>
      </c>
      <c r="N63" s="58" t="str">
        <f t="shared" ca="1" si="33"/>
        <v/>
      </c>
      <c r="O63" s="57" t="str">
        <f t="shared" ca="1" si="34"/>
        <v/>
      </c>
      <c r="P63" s="58" t="str">
        <f t="shared" ca="1" si="35"/>
        <v/>
      </c>
      <c r="Q63" s="57" t="str">
        <f t="shared" ca="1" si="36"/>
        <v/>
      </c>
      <c r="R63" s="58" t="str">
        <f t="shared" ca="1" si="37"/>
        <v/>
      </c>
      <c r="S63" s="57" t="str">
        <f t="shared" ca="1" si="38"/>
        <v/>
      </c>
      <c r="T63" s="59" t="str">
        <f t="shared" ca="1" si="39"/>
        <v/>
      </c>
      <c r="U63" s="57" t="str">
        <f t="shared" ca="1" si="40"/>
        <v/>
      </c>
      <c r="V63" s="59" t="str">
        <f t="shared" ca="1" si="41"/>
        <v/>
      </c>
      <c r="W63" s="59" t="str">
        <f t="shared" ca="1" si="42"/>
        <v/>
      </c>
      <c r="X63" s="58" t="str">
        <f t="shared" ca="1" si="43"/>
        <v/>
      </c>
      <c r="Y63" s="59" t="str">
        <f t="shared" si="44"/>
        <v/>
      </c>
      <c r="Z63" s="58" t="str">
        <f t="shared" si="45"/>
        <v/>
      </c>
    </row>
    <row r="64" spans="2:26" x14ac:dyDescent="0.35">
      <c r="B64" s="57" t="str">
        <f>IF('User Dashboard'!C$12="SIR Model",IF(B181&gt;('User Dashboard'!$H$12+'User Dashboard'!$H$13),"",B181),IF('User Dashboard'!C$12="Manual Entry",IF(B124&gt;('User Dashboard'!$H$12+'User Dashboard'!$H$13),"",B124),IF('User Dashboard'!C$12="Exponential Growth",B238)))</f>
        <v/>
      </c>
      <c r="C64" s="359" t="str">
        <f>IF(B64="","",IF('User Dashboard'!C$12="SIR Model",VLOOKUP(B64,B$130:C$182,2,FALSE),IF('User Dashboard'!C$12="Manual Entry",VLOOKUP(B64,B$73:C$125,2,FALSE),IF('User Dashboard'!C$12="Exponential Growth",VLOOKUP(B64,B$187:D$240,3,FALSE),""))))</f>
        <v/>
      </c>
      <c r="D64" s="58" t="str">
        <f t="shared" si="23"/>
        <v/>
      </c>
      <c r="E64" s="57" t="str">
        <f t="shared" si="24"/>
        <v/>
      </c>
      <c r="F64" s="58" t="str">
        <f t="shared" si="25"/>
        <v/>
      </c>
      <c r="G64" s="59" t="str">
        <f t="shared" si="26"/>
        <v/>
      </c>
      <c r="H64" s="59" t="str">
        <f t="shared" si="27"/>
        <v/>
      </c>
      <c r="I64" s="57" t="str">
        <f t="shared" si="28"/>
        <v/>
      </c>
      <c r="J64" s="58" t="str">
        <f t="shared" si="29"/>
        <v/>
      </c>
      <c r="K64" s="57" t="str">
        <f t="shared" si="30"/>
        <v/>
      </c>
      <c r="L64" s="58" t="str">
        <f t="shared" si="31"/>
        <v/>
      </c>
      <c r="M64" s="57" t="str">
        <f t="shared" ca="1" si="32"/>
        <v/>
      </c>
      <c r="N64" s="58" t="str">
        <f t="shared" ca="1" si="33"/>
        <v/>
      </c>
      <c r="O64" s="57" t="str">
        <f t="shared" ca="1" si="34"/>
        <v/>
      </c>
      <c r="P64" s="58" t="str">
        <f t="shared" ca="1" si="35"/>
        <v/>
      </c>
      <c r="Q64" s="57" t="str">
        <f t="shared" ca="1" si="36"/>
        <v/>
      </c>
      <c r="R64" s="58" t="str">
        <f t="shared" ca="1" si="37"/>
        <v/>
      </c>
      <c r="S64" s="57" t="str">
        <f t="shared" ca="1" si="38"/>
        <v/>
      </c>
      <c r="T64" s="59" t="str">
        <f t="shared" ca="1" si="39"/>
        <v/>
      </c>
      <c r="U64" s="57" t="str">
        <f t="shared" ca="1" si="40"/>
        <v/>
      </c>
      <c r="V64" s="59" t="str">
        <f t="shared" ca="1" si="41"/>
        <v/>
      </c>
      <c r="W64" s="59" t="str">
        <f t="shared" ca="1" si="42"/>
        <v/>
      </c>
      <c r="X64" s="58" t="str">
        <f t="shared" ca="1" si="43"/>
        <v/>
      </c>
      <c r="Y64" s="59" t="str">
        <f t="shared" si="44"/>
        <v/>
      </c>
      <c r="Z64" s="58" t="str">
        <f t="shared" si="45"/>
        <v/>
      </c>
    </row>
    <row r="65" spans="1:26" ht="15" thickBot="1" x14ac:dyDescent="0.4">
      <c r="B65" s="172" t="str">
        <f>IF('User Dashboard'!C$12="SIR Model",IF(B182&gt;('User Dashboard'!$H$12+'User Dashboard'!$H$13),"",B182),IF('User Dashboard'!C$12="Manual Entry",IF(B125&gt;('User Dashboard'!$H$12+'User Dashboard'!$H$13),"",B125),IF('User Dashboard'!C$12="Exponential Growth",B239)))</f>
        <v/>
      </c>
      <c r="C65" s="1097" t="str">
        <f>IF(B65="","",IF('User Dashboard'!C$12="SIR Model",VLOOKUP(B65,B$130:C$182,2,FALSE),IF('User Dashboard'!C$12="Manual Entry",VLOOKUP(B65,B$73:C$125,2,FALSE),IF('User Dashboard'!C$12="Exponential Growth",VLOOKUP(B65,B$187:D$240,3,FALSE),""))))</f>
        <v/>
      </c>
      <c r="D65" s="173" t="str">
        <f t="shared" si="23"/>
        <v/>
      </c>
      <c r="E65" s="172" t="str">
        <f t="shared" si="24"/>
        <v/>
      </c>
      <c r="F65" s="173" t="str">
        <f t="shared" si="25"/>
        <v/>
      </c>
      <c r="G65" s="174" t="str">
        <f t="shared" si="26"/>
        <v/>
      </c>
      <c r="H65" s="174" t="str">
        <f t="shared" si="27"/>
        <v/>
      </c>
      <c r="I65" s="172" t="str">
        <f t="shared" si="28"/>
        <v/>
      </c>
      <c r="J65" s="173" t="str">
        <f t="shared" si="29"/>
        <v/>
      </c>
      <c r="K65" s="172" t="str">
        <f t="shared" si="30"/>
        <v/>
      </c>
      <c r="L65" s="173" t="str">
        <f t="shared" si="31"/>
        <v/>
      </c>
      <c r="M65" s="172" t="str">
        <f t="shared" ca="1" si="32"/>
        <v/>
      </c>
      <c r="N65" s="173" t="str">
        <f t="shared" ca="1" si="33"/>
        <v/>
      </c>
      <c r="O65" s="172" t="str">
        <f t="shared" ca="1" si="34"/>
        <v/>
      </c>
      <c r="P65" s="173" t="str">
        <f t="shared" ca="1" si="35"/>
        <v/>
      </c>
      <c r="Q65" s="172" t="str">
        <f t="shared" ca="1" si="36"/>
        <v/>
      </c>
      <c r="R65" s="173" t="str">
        <f t="shared" ca="1" si="37"/>
        <v/>
      </c>
      <c r="S65" s="172" t="str">
        <f t="shared" ca="1" si="38"/>
        <v/>
      </c>
      <c r="T65" s="174" t="str">
        <f t="shared" ca="1" si="39"/>
        <v/>
      </c>
      <c r="U65" s="172" t="str">
        <f t="shared" ca="1" si="40"/>
        <v/>
      </c>
      <c r="V65" s="174" t="str">
        <f t="shared" ca="1" si="41"/>
        <v/>
      </c>
      <c r="W65" s="174" t="str">
        <f t="shared" ca="1" si="42"/>
        <v/>
      </c>
      <c r="X65" s="173" t="str">
        <f t="shared" ca="1" si="43"/>
        <v/>
      </c>
      <c r="Y65" s="174" t="str">
        <f t="shared" si="44"/>
        <v/>
      </c>
      <c r="Z65" s="173" t="str">
        <f t="shared" si="45"/>
        <v/>
      </c>
    </row>
    <row r="67" spans="1:26" s="25" customFormat="1" ht="15" customHeight="1" x14ac:dyDescent="0.35">
      <c r="A67" s="201" t="s">
        <v>861</v>
      </c>
      <c r="B67" s="175" t="s">
        <v>856</v>
      </c>
      <c r="C67" s="363"/>
      <c r="D67" s="198" t="s">
        <v>1760</v>
      </c>
      <c r="E67" s="701" t="s">
        <v>1357</v>
      </c>
    </row>
    <row r="69" spans="1:26" s="129" customFormat="1" x14ac:dyDescent="0.35">
      <c r="B69" s="199" t="s">
        <v>1762</v>
      </c>
      <c r="C69" s="364"/>
      <c r="D69" s="191"/>
    </row>
    <row r="70" spans="1:26" s="129" customFormat="1" ht="18.649999999999999" customHeight="1" x14ac:dyDescent="0.35">
      <c r="B70" s="200" t="s">
        <v>1763</v>
      </c>
      <c r="C70" s="365"/>
      <c r="D70" s="192"/>
      <c r="E70" s="192"/>
    </row>
    <row r="71" spans="1:26" s="129" customFormat="1" ht="15" thickBot="1" x14ac:dyDescent="0.4">
      <c r="B71" s="193"/>
      <c r="C71" s="365"/>
      <c r="D71" s="192"/>
      <c r="E71" s="192"/>
    </row>
    <row r="72" spans="1:26" ht="29.5" thickBot="1" x14ac:dyDescent="0.4">
      <c r="B72" s="194" t="s">
        <v>685</v>
      </c>
      <c r="C72" s="194" t="s">
        <v>693</v>
      </c>
      <c r="J72" s="1"/>
    </row>
    <row r="73" spans="1:26" x14ac:dyDescent="0.35">
      <c r="A73" s="9"/>
      <c r="B73" s="195">
        <v>0</v>
      </c>
      <c r="C73" s="197">
        <v>1</v>
      </c>
      <c r="E73" s="41"/>
      <c r="F73" s="41"/>
      <c r="I73" s="41"/>
      <c r="J73" s="41"/>
    </row>
    <row r="74" spans="1:26" x14ac:dyDescent="0.35">
      <c r="A74" s="9"/>
      <c r="B74" s="196">
        <f t="shared" ref="B74:B105" si="46">IF(C74="","",B73+1)</f>
        <v>1</v>
      </c>
      <c r="C74" s="197">
        <v>10</v>
      </c>
      <c r="E74" s="41"/>
      <c r="F74" s="41"/>
      <c r="I74" s="41"/>
      <c r="J74" s="41"/>
    </row>
    <row r="75" spans="1:26" x14ac:dyDescent="0.35">
      <c r="A75" s="9"/>
      <c r="B75" s="196">
        <f t="shared" si="46"/>
        <v>2</v>
      </c>
      <c r="C75" s="197">
        <v>100</v>
      </c>
      <c r="E75" s="41"/>
      <c r="F75" s="41"/>
      <c r="I75" s="41"/>
      <c r="J75" s="41"/>
    </row>
    <row r="76" spans="1:26" x14ac:dyDescent="0.35">
      <c r="A76" s="253"/>
      <c r="B76" s="196">
        <f t="shared" si="46"/>
        <v>3</v>
      </c>
      <c r="C76" s="197">
        <v>1000</v>
      </c>
      <c r="J76" s="1"/>
    </row>
    <row r="77" spans="1:26" x14ac:dyDescent="0.35">
      <c r="A77" s="9"/>
      <c r="B77" s="196">
        <f t="shared" si="46"/>
        <v>4</v>
      </c>
      <c r="C77" s="197">
        <v>10000</v>
      </c>
      <c r="I77" s="2"/>
      <c r="J77" s="2"/>
    </row>
    <row r="78" spans="1:26" x14ac:dyDescent="0.35">
      <c r="A78" s="9"/>
      <c r="B78" s="196">
        <f t="shared" si="46"/>
        <v>5</v>
      </c>
      <c r="C78" s="197">
        <v>100000</v>
      </c>
    </row>
    <row r="79" spans="1:26" x14ac:dyDescent="0.35">
      <c r="A79" s="253"/>
      <c r="B79" s="196">
        <f t="shared" si="46"/>
        <v>6</v>
      </c>
      <c r="C79" s="197">
        <v>1000000</v>
      </c>
    </row>
    <row r="80" spans="1:26" x14ac:dyDescent="0.35">
      <c r="A80" s="9"/>
      <c r="B80" s="196" t="str">
        <f t="shared" si="46"/>
        <v/>
      </c>
      <c r="C80" s="197"/>
      <c r="E80" s="2"/>
      <c r="F80" s="2"/>
      <c r="G80" s="2"/>
      <c r="H80" s="2"/>
      <c r="I80" s="2"/>
      <c r="J80" s="2"/>
    </row>
    <row r="81" spans="1:10" x14ac:dyDescent="0.35">
      <c r="A81" s="9"/>
      <c r="B81" s="196" t="str">
        <f t="shared" si="46"/>
        <v/>
      </c>
      <c r="C81" s="197"/>
      <c r="E81" s="2"/>
      <c r="F81" s="2"/>
      <c r="G81" s="2"/>
      <c r="H81" s="2"/>
      <c r="I81" s="2"/>
      <c r="J81" s="2"/>
    </row>
    <row r="82" spans="1:10" x14ac:dyDescent="0.35">
      <c r="A82" s="253"/>
      <c r="B82" s="196" t="str">
        <f t="shared" si="46"/>
        <v/>
      </c>
      <c r="C82" s="197"/>
      <c r="E82" s="2"/>
      <c r="F82" s="2"/>
      <c r="G82" s="2"/>
      <c r="H82" s="2"/>
      <c r="I82" s="2"/>
      <c r="J82" s="2"/>
    </row>
    <row r="83" spans="1:10" x14ac:dyDescent="0.35">
      <c r="A83" s="9"/>
      <c r="B83" s="196" t="str">
        <f t="shared" si="46"/>
        <v/>
      </c>
      <c r="C83" s="197"/>
      <c r="E83" s="2"/>
      <c r="F83" s="2"/>
      <c r="G83" s="2"/>
      <c r="H83" s="2"/>
      <c r="I83" s="2"/>
      <c r="J83" s="2"/>
    </row>
    <row r="84" spans="1:10" x14ac:dyDescent="0.35">
      <c r="A84" s="9"/>
      <c r="B84" s="196" t="str">
        <f t="shared" si="46"/>
        <v/>
      </c>
      <c r="C84" s="197"/>
      <c r="E84" s="2"/>
      <c r="F84" s="2"/>
      <c r="G84" s="2"/>
      <c r="H84" s="2"/>
      <c r="I84" s="2"/>
      <c r="J84" s="2"/>
    </row>
    <row r="85" spans="1:10" x14ac:dyDescent="0.35">
      <c r="A85" s="253"/>
      <c r="B85" s="196" t="str">
        <f t="shared" si="46"/>
        <v/>
      </c>
      <c r="C85" s="197"/>
      <c r="E85" s="2"/>
      <c r="F85" s="2"/>
      <c r="G85" s="2"/>
      <c r="H85" s="2"/>
      <c r="I85" s="2"/>
      <c r="J85" s="2"/>
    </row>
    <row r="86" spans="1:10" x14ac:dyDescent="0.35">
      <c r="A86" s="9"/>
      <c r="B86" s="196" t="str">
        <f t="shared" si="46"/>
        <v/>
      </c>
      <c r="C86" s="197"/>
      <c r="E86" s="2"/>
      <c r="F86" s="2"/>
      <c r="G86" s="2"/>
      <c r="H86" s="2"/>
      <c r="I86" s="2"/>
      <c r="J86" s="2"/>
    </row>
    <row r="87" spans="1:10" x14ac:dyDescent="0.35">
      <c r="A87" s="9"/>
      <c r="B87" s="196" t="str">
        <f t="shared" si="46"/>
        <v/>
      </c>
      <c r="C87" s="197"/>
      <c r="E87" s="2"/>
      <c r="F87" s="2"/>
      <c r="G87" s="2"/>
      <c r="H87" s="2"/>
      <c r="I87" s="2"/>
      <c r="J87" s="2"/>
    </row>
    <row r="88" spans="1:10" x14ac:dyDescent="0.35">
      <c r="A88" s="253"/>
      <c r="B88" s="196" t="str">
        <f t="shared" si="46"/>
        <v/>
      </c>
      <c r="C88" s="197"/>
      <c r="E88" s="2"/>
      <c r="F88" s="2"/>
      <c r="G88" s="2"/>
      <c r="H88" s="2"/>
      <c r="I88" s="2"/>
      <c r="J88" s="2"/>
    </row>
    <row r="89" spans="1:10" x14ac:dyDescent="0.35">
      <c r="A89" s="9"/>
      <c r="B89" s="196" t="str">
        <f t="shared" si="46"/>
        <v/>
      </c>
      <c r="C89" s="197"/>
      <c r="E89" s="2"/>
      <c r="F89" s="2"/>
      <c r="G89" s="2"/>
      <c r="H89" s="2"/>
      <c r="I89" s="2"/>
      <c r="J89" s="2"/>
    </row>
    <row r="90" spans="1:10" x14ac:dyDescent="0.35">
      <c r="A90" s="9"/>
      <c r="B90" s="196" t="str">
        <f t="shared" si="46"/>
        <v/>
      </c>
      <c r="C90" s="197"/>
      <c r="E90" s="2"/>
      <c r="F90" s="2"/>
      <c r="G90" s="2"/>
      <c r="H90" s="2"/>
      <c r="I90" s="2"/>
      <c r="J90" s="2"/>
    </row>
    <row r="91" spans="1:10" x14ac:dyDescent="0.35">
      <c r="A91" s="253"/>
      <c r="B91" s="196" t="str">
        <f t="shared" si="46"/>
        <v/>
      </c>
      <c r="C91" s="197"/>
      <c r="E91" s="2"/>
      <c r="F91" s="2"/>
      <c r="G91" s="2"/>
      <c r="H91" s="2"/>
      <c r="I91" s="2"/>
      <c r="J91" s="2"/>
    </row>
    <row r="92" spans="1:10" x14ac:dyDescent="0.35">
      <c r="A92" s="9"/>
      <c r="B92" s="196" t="str">
        <f t="shared" si="46"/>
        <v/>
      </c>
      <c r="C92" s="197"/>
      <c r="E92" s="2"/>
      <c r="F92" s="2"/>
      <c r="G92" s="2"/>
      <c r="H92" s="2"/>
      <c r="I92" s="2"/>
      <c r="J92" s="2"/>
    </row>
    <row r="93" spans="1:10" x14ac:dyDescent="0.35">
      <c r="A93" s="9"/>
      <c r="B93" s="196" t="str">
        <f t="shared" si="46"/>
        <v/>
      </c>
      <c r="C93" s="197"/>
      <c r="E93" s="2"/>
      <c r="F93" s="2"/>
      <c r="G93" s="2"/>
      <c r="H93" s="2"/>
      <c r="I93" s="2"/>
      <c r="J93" s="2"/>
    </row>
    <row r="94" spans="1:10" x14ac:dyDescent="0.35">
      <c r="A94" s="253"/>
      <c r="B94" s="196" t="str">
        <f t="shared" si="46"/>
        <v/>
      </c>
      <c r="C94" s="197"/>
      <c r="E94" s="2"/>
      <c r="F94" s="2"/>
      <c r="G94" s="2"/>
      <c r="H94" s="2"/>
      <c r="I94" s="2"/>
      <c r="J94" s="2"/>
    </row>
    <row r="95" spans="1:10" x14ac:dyDescent="0.35">
      <c r="A95" s="9"/>
      <c r="B95" s="196" t="str">
        <f t="shared" si="46"/>
        <v/>
      </c>
      <c r="C95" s="197"/>
      <c r="E95" s="2"/>
      <c r="F95" s="2"/>
      <c r="G95" s="2"/>
      <c r="H95" s="2"/>
      <c r="I95" s="2"/>
      <c r="J95" s="2"/>
    </row>
    <row r="96" spans="1:10" x14ac:dyDescent="0.35">
      <c r="A96" s="9"/>
      <c r="B96" s="196" t="str">
        <f t="shared" si="46"/>
        <v/>
      </c>
      <c r="C96" s="197"/>
      <c r="E96" s="2"/>
      <c r="F96" s="2"/>
      <c r="G96" s="2"/>
      <c r="H96" s="2"/>
      <c r="I96" s="2"/>
      <c r="J96" s="2"/>
    </row>
    <row r="97" spans="1:10" x14ac:dyDescent="0.35">
      <c r="A97" s="253"/>
      <c r="B97" s="196" t="str">
        <f t="shared" si="46"/>
        <v/>
      </c>
      <c r="C97" s="197"/>
      <c r="E97" s="2"/>
      <c r="F97" s="2"/>
      <c r="G97" s="2"/>
      <c r="H97" s="2"/>
      <c r="I97" s="2"/>
      <c r="J97" s="2"/>
    </row>
    <row r="98" spans="1:10" x14ac:dyDescent="0.35">
      <c r="A98" s="9"/>
      <c r="B98" s="196" t="str">
        <f t="shared" si="46"/>
        <v/>
      </c>
      <c r="C98" s="197"/>
      <c r="E98" s="2"/>
      <c r="F98" s="2"/>
      <c r="G98" s="2"/>
      <c r="H98" s="2"/>
      <c r="I98" s="2"/>
      <c r="J98" s="2"/>
    </row>
    <row r="99" spans="1:10" x14ac:dyDescent="0.35">
      <c r="A99" s="9"/>
      <c r="B99" s="196" t="str">
        <f t="shared" si="46"/>
        <v/>
      </c>
      <c r="C99" s="197"/>
      <c r="E99" s="2"/>
      <c r="F99" s="2"/>
      <c r="G99" s="2"/>
      <c r="H99" s="2"/>
      <c r="I99" s="2"/>
      <c r="J99" s="2"/>
    </row>
    <row r="100" spans="1:10" x14ac:dyDescent="0.35">
      <c r="A100" s="253"/>
      <c r="B100" s="196" t="str">
        <f t="shared" si="46"/>
        <v/>
      </c>
      <c r="C100" s="197"/>
      <c r="E100" s="2"/>
      <c r="F100" s="2"/>
      <c r="G100" s="2"/>
      <c r="H100" s="2"/>
      <c r="I100" s="2"/>
      <c r="J100" s="2"/>
    </row>
    <row r="101" spans="1:10" x14ac:dyDescent="0.35">
      <c r="A101" s="9"/>
      <c r="B101" s="196" t="str">
        <f t="shared" si="46"/>
        <v/>
      </c>
      <c r="C101" s="197"/>
      <c r="E101" s="2"/>
      <c r="F101" s="2"/>
      <c r="G101" s="2"/>
      <c r="H101" s="2"/>
      <c r="I101" s="2"/>
      <c r="J101" s="2"/>
    </row>
    <row r="102" spans="1:10" x14ac:dyDescent="0.35">
      <c r="A102" s="9"/>
      <c r="B102" s="196" t="str">
        <f t="shared" si="46"/>
        <v/>
      </c>
      <c r="C102" s="197"/>
      <c r="E102" s="2"/>
      <c r="F102" s="2"/>
      <c r="G102" s="2"/>
      <c r="H102" s="2"/>
      <c r="I102" s="2"/>
      <c r="J102" s="2"/>
    </row>
    <row r="103" spans="1:10" x14ac:dyDescent="0.35">
      <c r="A103" s="253"/>
      <c r="B103" s="196" t="str">
        <f t="shared" si="46"/>
        <v/>
      </c>
      <c r="C103" s="197"/>
      <c r="E103" s="2"/>
      <c r="F103" s="2"/>
      <c r="G103" s="2"/>
      <c r="H103" s="2"/>
      <c r="I103" s="2"/>
      <c r="J103" s="2"/>
    </row>
    <row r="104" spans="1:10" x14ac:dyDescent="0.35">
      <c r="A104" s="9"/>
      <c r="B104" s="196" t="str">
        <f t="shared" si="46"/>
        <v/>
      </c>
      <c r="C104" s="197"/>
      <c r="E104" s="2"/>
      <c r="F104" s="2"/>
      <c r="G104" s="2"/>
      <c r="H104" s="2"/>
      <c r="I104" s="2"/>
      <c r="J104" s="2"/>
    </row>
    <row r="105" spans="1:10" x14ac:dyDescent="0.35">
      <c r="A105" s="9"/>
      <c r="B105" s="196" t="str">
        <f t="shared" si="46"/>
        <v/>
      </c>
      <c r="C105" s="197"/>
      <c r="E105" s="2"/>
      <c r="F105" s="2"/>
      <c r="G105" s="2"/>
      <c r="H105" s="2"/>
      <c r="I105" s="2"/>
      <c r="J105" s="2"/>
    </row>
    <row r="106" spans="1:10" x14ac:dyDescent="0.35">
      <c r="A106" s="253"/>
      <c r="B106" s="196" t="str">
        <f t="shared" ref="B106:B125" si="47">IF(C106="","",B105+1)</f>
        <v/>
      </c>
      <c r="C106" s="197"/>
      <c r="E106" s="2"/>
      <c r="F106" s="2"/>
      <c r="G106" s="2"/>
      <c r="H106" s="2"/>
      <c r="I106" s="2"/>
      <c r="J106" s="2"/>
    </row>
    <row r="107" spans="1:10" x14ac:dyDescent="0.35">
      <c r="A107" s="9"/>
      <c r="B107" s="196" t="str">
        <f t="shared" si="47"/>
        <v/>
      </c>
      <c r="C107" s="197"/>
      <c r="E107" s="2"/>
      <c r="F107" s="2"/>
      <c r="G107" s="2"/>
      <c r="H107" s="2"/>
      <c r="I107" s="2"/>
      <c r="J107" s="2"/>
    </row>
    <row r="108" spans="1:10" x14ac:dyDescent="0.35">
      <c r="A108" s="9"/>
      <c r="B108" s="196" t="str">
        <f t="shared" si="47"/>
        <v/>
      </c>
      <c r="C108" s="197"/>
      <c r="E108" s="2"/>
      <c r="F108" s="2"/>
      <c r="G108" s="2"/>
      <c r="H108" s="2"/>
      <c r="I108" s="2"/>
      <c r="J108" s="2"/>
    </row>
    <row r="109" spans="1:10" x14ac:dyDescent="0.35">
      <c r="A109" s="253"/>
      <c r="B109" s="196" t="str">
        <f t="shared" si="47"/>
        <v/>
      </c>
      <c r="C109" s="197"/>
      <c r="E109" s="2"/>
      <c r="F109" s="2"/>
      <c r="G109" s="2"/>
      <c r="H109" s="2"/>
      <c r="I109" s="2"/>
      <c r="J109" s="2"/>
    </row>
    <row r="110" spans="1:10" x14ac:dyDescent="0.35">
      <c r="A110" s="9"/>
      <c r="B110" s="196" t="str">
        <f t="shared" si="47"/>
        <v/>
      </c>
      <c r="C110" s="197"/>
      <c r="E110" s="2"/>
      <c r="F110" s="2"/>
      <c r="G110" s="2"/>
      <c r="H110" s="2"/>
      <c r="I110" s="2"/>
      <c r="J110" s="2"/>
    </row>
    <row r="111" spans="1:10" x14ac:dyDescent="0.35">
      <c r="A111" s="9"/>
      <c r="B111" s="196" t="str">
        <f t="shared" si="47"/>
        <v/>
      </c>
      <c r="C111" s="197"/>
      <c r="E111" s="2"/>
      <c r="F111" s="2"/>
      <c r="G111" s="2"/>
      <c r="H111" s="2"/>
      <c r="I111" s="2"/>
      <c r="J111" s="2"/>
    </row>
    <row r="112" spans="1:10" x14ac:dyDescent="0.35">
      <c r="A112" s="253"/>
      <c r="B112" s="196" t="str">
        <f t="shared" si="47"/>
        <v/>
      </c>
      <c r="C112" s="197"/>
      <c r="E112" s="2"/>
      <c r="F112" s="2"/>
      <c r="G112" s="2"/>
      <c r="H112" s="2"/>
      <c r="I112" s="2"/>
      <c r="J112" s="2"/>
    </row>
    <row r="113" spans="1:10" x14ac:dyDescent="0.35">
      <c r="A113" s="9"/>
      <c r="B113" s="196" t="str">
        <f t="shared" si="47"/>
        <v/>
      </c>
      <c r="C113" s="197"/>
      <c r="E113" s="2"/>
      <c r="F113" s="2"/>
      <c r="G113" s="2"/>
      <c r="H113" s="2"/>
      <c r="I113" s="2"/>
      <c r="J113" s="2"/>
    </row>
    <row r="114" spans="1:10" x14ac:dyDescent="0.35">
      <c r="A114" s="9"/>
      <c r="B114" s="196" t="str">
        <f t="shared" si="47"/>
        <v/>
      </c>
      <c r="C114" s="197"/>
      <c r="E114" s="2"/>
      <c r="F114" s="2"/>
      <c r="G114" s="2"/>
      <c r="H114" s="2"/>
      <c r="I114" s="2"/>
      <c r="J114" s="2"/>
    </row>
    <row r="115" spans="1:10" x14ac:dyDescent="0.35">
      <c r="A115" s="253"/>
      <c r="B115" s="196" t="str">
        <f t="shared" si="47"/>
        <v/>
      </c>
      <c r="C115" s="197"/>
      <c r="E115" s="2"/>
      <c r="F115" s="2"/>
      <c r="G115" s="2"/>
      <c r="H115" s="2"/>
      <c r="I115" s="2"/>
      <c r="J115" s="2"/>
    </row>
    <row r="116" spans="1:10" x14ac:dyDescent="0.35">
      <c r="A116" s="9"/>
      <c r="B116" s="196" t="str">
        <f t="shared" si="47"/>
        <v/>
      </c>
      <c r="C116" s="197"/>
      <c r="E116" s="2"/>
      <c r="F116" s="2"/>
      <c r="G116" s="2"/>
      <c r="H116" s="2"/>
      <c r="I116" s="2"/>
      <c r="J116" s="2"/>
    </row>
    <row r="117" spans="1:10" x14ac:dyDescent="0.35">
      <c r="A117" s="9"/>
      <c r="B117" s="196" t="str">
        <f t="shared" si="47"/>
        <v/>
      </c>
      <c r="C117" s="197"/>
      <c r="E117" s="2"/>
      <c r="F117" s="2"/>
      <c r="G117" s="2"/>
      <c r="H117" s="2"/>
      <c r="I117" s="2"/>
      <c r="J117" s="2"/>
    </row>
    <row r="118" spans="1:10" x14ac:dyDescent="0.35">
      <c r="A118" s="253"/>
      <c r="B118" s="196" t="str">
        <f t="shared" si="47"/>
        <v/>
      </c>
      <c r="C118" s="197"/>
      <c r="E118" s="2"/>
      <c r="F118" s="2"/>
      <c r="G118" s="2"/>
      <c r="H118" s="2"/>
      <c r="I118" s="2"/>
      <c r="J118" s="2"/>
    </row>
    <row r="119" spans="1:10" x14ac:dyDescent="0.35">
      <c r="A119" s="9"/>
      <c r="B119" s="196" t="str">
        <f t="shared" si="47"/>
        <v/>
      </c>
      <c r="C119" s="197"/>
      <c r="E119" s="2"/>
      <c r="F119" s="2"/>
      <c r="G119" s="2"/>
      <c r="H119" s="2"/>
      <c r="I119" s="2"/>
      <c r="J119" s="2"/>
    </row>
    <row r="120" spans="1:10" x14ac:dyDescent="0.35">
      <c r="A120" s="9"/>
      <c r="B120" s="196" t="str">
        <f t="shared" si="47"/>
        <v/>
      </c>
      <c r="C120" s="197"/>
      <c r="E120" s="2"/>
      <c r="F120" s="2"/>
      <c r="G120" s="2"/>
      <c r="H120" s="2"/>
      <c r="I120" s="2"/>
      <c r="J120" s="2"/>
    </row>
    <row r="121" spans="1:10" x14ac:dyDescent="0.35">
      <c r="A121" s="253"/>
      <c r="B121" s="196" t="str">
        <f t="shared" si="47"/>
        <v/>
      </c>
      <c r="C121" s="197"/>
      <c r="E121" s="2"/>
      <c r="F121" s="2"/>
      <c r="G121" s="2"/>
      <c r="H121" s="2"/>
      <c r="I121" s="2"/>
      <c r="J121" s="2"/>
    </row>
    <row r="122" spans="1:10" x14ac:dyDescent="0.35">
      <c r="A122" s="9"/>
      <c r="B122" s="196" t="str">
        <f t="shared" si="47"/>
        <v/>
      </c>
      <c r="C122" s="197"/>
      <c r="E122" s="2"/>
      <c r="F122" s="2"/>
      <c r="G122" s="2"/>
      <c r="H122" s="2"/>
      <c r="I122" s="2"/>
      <c r="J122" s="2"/>
    </row>
    <row r="123" spans="1:10" x14ac:dyDescent="0.35">
      <c r="A123" s="9"/>
      <c r="B123" s="196" t="str">
        <f t="shared" si="47"/>
        <v/>
      </c>
      <c r="C123" s="197"/>
      <c r="E123" s="2"/>
      <c r="F123" s="2"/>
      <c r="G123" s="2"/>
      <c r="H123" s="2"/>
      <c r="I123" s="2"/>
      <c r="J123" s="2"/>
    </row>
    <row r="124" spans="1:10" x14ac:dyDescent="0.35">
      <c r="A124" s="253"/>
      <c r="B124" s="196" t="str">
        <f t="shared" si="47"/>
        <v/>
      </c>
      <c r="C124" s="197"/>
      <c r="E124" s="2"/>
      <c r="F124" s="2"/>
      <c r="G124" s="2"/>
      <c r="H124" s="2"/>
      <c r="I124" s="2"/>
      <c r="J124" s="2"/>
    </row>
    <row r="125" spans="1:10" ht="15" thickBot="1" x14ac:dyDescent="0.4">
      <c r="A125" s="9"/>
      <c r="B125" s="1098" t="str">
        <f t="shared" si="47"/>
        <v/>
      </c>
      <c r="C125" s="1099"/>
      <c r="E125" s="2"/>
      <c r="F125" s="2"/>
      <c r="G125" s="2"/>
      <c r="H125" s="2"/>
      <c r="I125" s="2"/>
      <c r="J125" s="2"/>
    </row>
    <row r="127" spans="1:10" s="25" customFormat="1" ht="15.65" customHeight="1" x14ac:dyDescent="0.35">
      <c r="A127" s="201" t="s">
        <v>861</v>
      </c>
      <c r="B127" s="175" t="s">
        <v>978</v>
      </c>
      <c r="C127" s="363"/>
      <c r="D127" s="198" t="s">
        <v>1760</v>
      </c>
      <c r="E127" s="701" t="s">
        <v>1357</v>
      </c>
    </row>
    <row r="128" spans="1:10" s="129" customFormat="1" ht="15.65" customHeight="1" thickBot="1" x14ac:dyDescent="0.4">
      <c r="C128" s="362"/>
    </row>
    <row r="129" spans="2:12" s="129" customFormat="1" ht="15.65" customHeight="1" thickBot="1" x14ac:dyDescent="0.4">
      <c r="B129" s="194" t="s">
        <v>685</v>
      </c>
      <c r="C129" s="366" t="s">
        <v>686</v>
      </c>
      <c r="E129" s="189" t="s">
        <v>1761</v>
      </c>
      <c r="I129" s="2"/>
    </row>
    <row r="130" spans="2:12" s="129" customFormat="1" ht="15.65" customHeight="1" x14ac:dyDescent="0.35">
      <c r="B130" s="195">
        <f>MIN('SIR Model Patient Calcs'!N:N)</f>
        <v>0</v>
      </c>
      <c r="C130" s="367">
        <f>INDEX('SIR Model Patient Calcs'!N:O,MATCH('Patient Calcs'!B130,'SIR Model Patient Calcs'!N:N,0),2)</f>
        <v>1</v>
      </c>
      <c r="I130" s="2"/>
    </row>
    <row r="131" spans="2:12" s="129" customFormat="1" ht="15.65" customHeight="1" x14ac:dyDescent="0.5">
      <c r="B131" s="196">
        <f>IFERROR(IF(B130+1&lt;=(MAX('SIR Model Patient Calcs'!N:N)),B130+1,""),"")</f>
        <v>1</v>
      </c>
      <c r="C131" s="367">
        <f>INDEX('SIR Model Patient Calcs'!N:O,MATCH('Patient Calcs'!B131,'SIR Model Patient Calcs'!N:N,0),2)</f>
        <v>3.9803874416808513</v>
      </c>
      <c r="D131" s="503"/>
      <c r="L131" s="15"/>
    </row>
    <row r="132" spans="2:12" s="129" customFormat="1" ht="15.65" customHeight="1" x14ac:dyDescent="0.5">
      <c r="B132" s="196">
        <f>IFERROR(IF(B131+1&lt;=(MAX('SIR Model Patient Calcs'!N:N)),B131+1,""),"")</f>
        <v>2</v>
      </c>
      <c r="C132" s="367">
        <f>INDEX('SIR Model Patient Calcs'!N:O,MATCH('Patient Calcs'!B132,'SIR Model Patient Calcs'!N:N,0),2)</f>
        <v>14.222513111339095</v>
      </c>
      <c r="D132" s="503"/>
      <c r="L132" s="15"/>
    </row>
    <row r="133" spans="2:12" s="129" customFormat="1" ht="15.65" customHeight="1" x14ac:dyDescent="0.5">
      <c r="B133" s="196">
        <f>IFERROR(IF(B132+1&lt;=(MAX('SIR Model Patient Calcs'!N:N)),B132+1,""),"")</f>
        <v>3</v>
      </c>
      <c r="C133" s="367">
        <f>INDEX('SIR Model Patient Calcs'!N:O,MATCH('Patient Calcs'!B133,'SIR Model Patient Calcs'!N:N,0),2)</f>
        <v>49.41932082118214</v>
      </c>
      <c r="D133" s="503"/>
      <c r="G133" s="137"/>
    </row>
    <row r="134" spans="2:12" s="129" customFormat="1" ht="15.65" customHeight="1" x14ac:dyDescent="0.5">
      <c r="B134" s="196">
        <f>IFERROR(IF(B133+1&lt;=(MAX('SIR Model Patient Calcs'!N:N)),B133+1,""),"")</f>
        <v>4</v>
      </c>
      <c r="C134" s="367">
        <f>INDEX('SIR Model Patient Calcs'!N:O,MATCH('Patient Calcs'!B134,'SIR Model Patient Calcs'!N:N,0),2)</f>
        <v>170.36824693317658</v>
      </c>
      <c r="D134" s="503"/>
      <c r="G134" s="137"/>
    </row>
    <row r="135" spans="2:12" s="129" customFormat="1" ht="15.65" customHeight="1" x14ac:dyDescent="0.5">
      <c r="B135" s="196">
        <f>IFERROR(IF(B134+1&lt;=(MAX('SIR Model Patient Calcs'!N:N)),B134+1,""),"")</f>
        <v>5</v>
      </c>
      <c r="C135" s="367">
        <f>INDEX('SIR Model Patient Calcs'!N:O,MATCH('Patient Calcs'!B135,'SIR Model Patient Calcs'!N:N,0),2)</f>
        <v>585.94491683012484</v>
      </c>
      <c r="D135" s="503"/>
      <c r="G135" s="137"/>
    </row>
    <row r="136" spans="2:12" s="129" customFormat="1" ht="15.65" customHeight="1" x14ac:dyDescent="0.5">
      <c r="B136" s="196">
        <f>IFERROR(IF(B135+1&lt;=(MAX('SIR Model Patient Calcs'!N:N)),B135+1,""),"")</f>
        <v>6</v>
      </c>
      <c r="C136" s="367">
        <f>INDEX('SIR Model Patient Calcs'!N:O,MATCH('Patient Calcs'!B136,'SIR Model Patient Calcs'!N:N,0),2)</f>
        <v>2013.2929995034956</v>
      </c>
      <c r="D136" s="503"/>
      <c r="G136" s="137"/>
    </row>
    <row r="137" spans="2:12" s="129" customFormat="1" ht="15.65" customHeight="1" x14ac:dyDescent="0.5">
      <c r="B137" s="196">
        <f>IFERROR(IF(B136+1&lt;=(MAX('SIR Model Patient Calcs'!N:N)),B136+1,""),"")</f>
        <v>7</v>
      </c>
      <c r="C137" s="367">
        <f>INDEX('SIR Model Patient Calcs'!N:O,MATCH('Patient Calcs'!B137,'SIR Model Patient Calcs'!N:N,0),2)</f>
        <v>6909.0917093360667</v>
      </c>
      <c r="D137" s="504"/>
      <c r="G137" s="2"/>
    </row>
    <row r="138" spans="2:12" s="129" customFormat="1" ht="15.65" customHeight="1" x14ac:dyDescent="0.5">
      <c r="B138" s="196">
        <f>IFERROR(IF(B137+1&lt;=(MAX('SIR Model Patient Calcs'!N:N)),B137+1,""),"")</f>
        <v>8</v>
      </c>
      <c r="C138" s="367">
        <f>INDEX('SIR Model Patient Calcs'!N:O,MATCH('Patient Calcs'!B138,'SIR Model Patient Calcs'!N:N,0),2)</f>
        <v>23624.334333986968</v>
      </c>
      <c r="D138" s="504"/>
      <c r="E138" s="2"/>
      <c r="F138" s="2"/>
      <c r="G138" s="500"/>
      <c r="H138" s="500"/>
      <c r="I138" s="500"/>
      <c r="L138" s="15"/>
    </row>
    <row r="139" spans="2:12" s="129" customFormat="1" ht="15.65" customHeight="1" x14ac:dyDescent="0.5">
      <c r="B139" s="196">
        <f>IFERROR(IF(B138+1&lt;=(MAX('SIR Model Patient Calcs'!N:N)),B138+1,""),"")</f>
        <v>9</v>
      </c>
      <c r="C139" s="367">
        <f>INDEX('SIR Model Patient Calcs'!N:O,MATCH('Patient Calcs'!B139,'SIR Model Patient Calcs'!N:N,0),2)</f>
        <v>79804.694266354258</v>
      </c>
      <c r="D139" s="504"/>
      <c r="F139" s="500"/>
      <c r="G139" s="500"/>
      <c r="H139" s="500"/>
      <c r="I139" s="500"/>
      <c r="L139" s="15"/>
    </row>
    <row r="140" spans="2:12" s="129" customFormat="1" ht="15.65" customHeight="1" x14ac:dyDescent="0.5">
      <c r="B140" s="196">
        <f>IFERROR(IF(B139+1&lt;=(MAX('SIR Model Patient Calcs'!N:N)),B139+1,""),"")</f>
        <v>10</v>
      </c>
      <c r="C140" s="367">
        <f>INDEX('SIR Model Patient Calcs'!N:O,MATCH('Patient Calcs'!B140,'SIR Model Patient Calcs'!N:N,0),2)</f>
        <v>259045.0655487591</v>
      </c>
      <c r="D140" s="504"/>
      <c r="E140" s="498"/>
      <c r="F140" s="674"/>
      <c r="G140" s="501"/>
      <c r="I140" s="501"/>
      <c r="J140" s="71"/>
      <c r="K140" s="71"/>
      <c r="L140" s="499"/>
    </row>
    <row r="141" spans="2:12" s="129" customFormat="1" ht="15.65" customHeight="1" x14ac:dyDescent="0.5">
      <c r="B141" s="196">
        <f>IFERROR(IF(B140+1&lt;=(MAX('SIR Model Patient Calcs'!N:N)),B140+1,""),"")</f>
        <v>11</v>
      </c>
      <c r="C141" s="367">
        <f>INDEX('SIR Model Patient Calcs'!N:O,MATCH('Patient Calcs'!B141,'SIR Model Patient Calcs'!N:N,0),2)</f>
        <v>746424.26218600874</v>
      </c>
      <c r="D141" s="504"/>
      <c r="E141" s="498"/>
      <c r="F141" s="674"/>
      <c r="G141" s="501"/>
      <c r="I141" s="501"/>
      <c r="J141" s="71"/>
      <c r="K141" s="71"/>
      <c r="L141" s="71"/>
    </row>
    <row r="142" spans="2:12" s="129" customFormat="1" ht="15.65" customHeight="1" x14ac:dyDescent="0.5">
      <c r="B142" s="196">
        <f>IFERROR(IF(B141+1&lt;=(MAX('SIR Model Patient Calcs'!N:N)),B141+1,""),"")</f>
        <v>12</v>
      </c>
      <c r="C142" s="367">
        <f>INDEX('SIR Model Patient Calcs'!N:O,MATCH('Patient Calcs'!B142,'SIR Model Patient Calcs'!N:N,0),2)</f>
        <v>1637240.5793930893</v>
      </c>
      <c r="D142" s="504"/>
      <c r="F142" s="500"/>
      <c r="G142" s="500"/>
      <c r="H142" s="500"/>
      <c r="I142" s="500"/>
    </row>
    <row r="143" spans="2:12" s="129" customFormat="1" ht="15.65" customHeight="1" x14ac:dyDescent="0.5">
      <c r="B143" s="196">
        <f>IFERROR(IF(B142+1&lt;=(MAX('SIR Model Patient Calcs'!N:N)),B142+1,""),"")</f>
        <v>13</v>
      </c>
      <c r="C143" s="367">
        <f>INDEX('SIR Model Patient Calcs'!N:O,MATCH('Patient Calcs'!B143,'SIR Model Patient Calcs'!N:N,0),2)</f>
        <v>2487816.9824610129</v>
      </c>
      <c r="D143" s="504"/>
      <c r="F143" s="2"/>
      <c r="G143" s="2"/>
      <c r="H143" s="2"/>
      <c r="I143" s="2"/>
    </row>
    <row r="144" spans="2:12" s="129" customFormat="1" ht="15.65" customHeight="1" x14ac:dyDescent="0.5">
      <c r="B144" s="196">
        <f>IFERROR(IF(B143+1&lt;=(MAX('SIR Model Patient Calcs'!N:N)),B143+1,""),"")</f>
        <v>14</v>
      </c>
      <c r="C144" s="367">
        <f>INDEX('SIR Model Patient Calcs'!N:O,MATCH('Patient Calcs'!B144,'SIR Model Patient Calcs'!N:N,0),2)</f>
        <v>2943151.1036709631</v>
      </c>
      <c r="D144" s="504"/>
      <c r="F144" s="2"/>
      <c r="G144" s="2"/>
      <c r="H144" s="2"/>
      <c r="I144" s="2"/>
    </row>
    <row r="145" spans="2:10" s="129" customFormat="1" ht="15.65" customHeight="1" x14ac:dyDescent="0.35">
      <c r="B145" s="196">
        <f>IFERROR(IF(B144+1&lt;=(MAX('SIR Model Patient Calcs'!N:N)),B144+1,""),"")</f>
        <v>15</v>
      </c>
      <c r="C145" s="367">
        <f>INDEX('SIR Model Patient Calcs'!N:O,MATCH('Patient Calcs'!B145,'SIR Model Patient Calcs'!N:N,0),2)</f>
        <v>3137506.9666894404</v>
      </c>
      <c r="D145" s="2"/>
      <c r="F145" s="2"/>
      <c r="G145" s="2"/>
      <c r="H145" s="2"/>
      <c r="I145" s="2"/>
    </row>
    <row r="146" spans="2:10" s="129" customFormat="1" ht="15.65" customHeight="1" x14ac:dyDescent="0.35">
      <c r="B146" s="196">
        <f>IFERROR(IF(B145+1&lt;=(MAX('SIR Model Patient Calcs'!N:N)),B145+1,""),"")</f>
        <v>16</v>
      </c>
      <c r="C146" s="367">
        <f>INDEX('SIR Model Patient Calcs'!N:O,MATCH('Patient Calcs'!B146,'SIR Model Patient Calcs'!N:N,0),2)</f>
        <v>3220129.3878946784</v>
      </c>
      <c r="D146" s="2"/>
      <c r="E146" s="2"/>
      <c r="F146" s="2"/>
      <c r="G146" s="500"/>
      <c r="H146" s="500"/>
      <c r="I146" s="2"/>
    </row>
    <row r="147" spans="2:10" s="129" customFormat="1" ht="15.65" customHeight="1" x14ac:dyDescent="0.35">
      <c r="B147" s="196">
        <f>IFERROR(IF(B146+1&lt;=(MAX('SIR Model Patient Calcs'!N:N)),B146+1,""),"")</f>
        <v>17</v>
      </c>
      <c r="C147" s="367">
        <f>INDEX('SIR Model Patient Calcs'!N:O,MATCH('Patient Calcs'!B147,'SIR Model Patient Calcs'!N:N,0),2)</f>
        <v>3256636.0152195711</v>
      </c>
      <c r="D147" s="2"/>
    </row>
    <row r="148" spans="2:10" s="129" customFormat="1" ht="15.65" customHeight="1" x14ac:dyDescent="0.35">
      <c r="B148" s="196">
        <f>IFERROR(IF(B147+1&lt;=(MAX('SIR Model Patient Calcs'!N:N)),B147+1,""),"")</f>
        <v>18</v>
      </c>
      <c r="C148" s="367">
        <f>INDEX('SIR Model Patient Calcs'!N:O,MATCH('Patient Calcs'!B148,'SIR Model Patient Calcs'!N:N,0),2)</f>
        <v>3273231.9023601105</v>
      </c>
      <c r="D148" s="2"/>
    </row>
    <row r="149" spans="2:10" s="129" customFormat="1" ht="15.65" customHeight="1" x14ac:dyDescent="0.35">
      <c r="B149" s="196">
        <f>IFERROR(IF(B148+1&lt;=(MAX('SIR Model Patient Calcs'!N:N)),B148+1,""),"")</f>
        <v>19</v>
      </c>
      <c r="C149" s="367">
        <f>INDEX('SIR Model Patient Calcs'!N:O,MATCH('Patient Calcs'!B149,'SIR Model Patient Calcs'!N:N,0),2)</f>
        <v>3280895.582201954</v>
      </c>
      <c r="D149" s="2"/>
    </row>
    <row r="150" spans="2:10" s="129" customFormat="1" ht="15.65" customHeight="1" x14ac:dyDescent="0.35">
      <c r="B150" s="196">
        <f>IFERROR(IF(B149+1&lt;=(MAX('SIR Model Patient Calcs'!N:N)),B149+1,""),"")</f>
        <v>20</v>
      </c>
      <c r="C150" s="367">
        <f>INDEX('SIR Model Patient Calcs'!N:O,MATCH('Patient Calcs'!B150,'SIR Model Patient Calcs'!N:N,0),2)</f>
        <v>3284462.4739229591</v>
      </c>
      <c r="D150" s="2"/>
    </row>
    <row r="151" spans="2:10" s="129" customFormat="1" ht="15.65" customHeight="1" x14ac:dyDescent="0.35">
      <c r="B151" s="196">
        <f>IFERROR(IF(B150+1&lt;=(MAX('SIR Model Patient Calcs'!N:N)),B150+1,""),"")</f>
        <v>21</v>
      </c>
      <c r="C151" s="367">
        <f>INDEX('SIR Model Patient Calcs'!N:O,MATCH('Patient Calcs'!B151,'SIR Model Patient Calcs'!N:N,0),2)</f>
        <v>3286128.9265432707</v>
      </c>
      <c r="D151" s="2"/>
    </row>
    <row r="152" spans="2:10" s="129" customFormat="1" ht="15.65" customHeight="1" x14ac:dyDescent="0.35">
      <c r="B152" s="196">
        <f>IFERROR(IF(B151+1&lt;=(MAX('SIR Model Patient Calcs'!N:N)),B151+1,""),"")</f>
        <v>22</v>
      </c>
      <c r="C152" s="367">
        <f>INDEX('SIR Model Patient Calcs'!N:O,MATCH('Patient Calcs'!B152,'SIR Model Patient Calcs'!N:N,0),2)</f>
        <v>3286908.9013175406</v>
      </c>
      <c r="D152" s="2"/>
    </row>
    <row r="153" spans="2:10" s="129" customFormat="1" ht="15.65" customHeight="1" x14ac:dyDescent="0.35">
      <c r="B153" s="196">
        <f>IFERROR(IF(B152+1&lt;=(MAX('SIR Model Patient Calcs'!N:N)),B152+1,""),"")</f>
        <v>23</v>
      </c>
      <c r="C153" s="367">
        <f>INDEX('SIR Model Patient Calcs'!N:O,MATCH('Patient Calcs'!B153,'SIR Model Patient Calcs'!N:N,0),2)</f>
        <v>3287274.2758800066</v>
      </c>
      <c r="D153" s="2"/>
    </row>
    <row r="154" spans="2:10" s="129" customFormat="1" ht="15.65" customHeight="1" x14ac:dyDescent="0.35">
      <c r="B154" s="196">
        <f>IFERROR(IF(B153+1&lt;=(MAX('SIR Model Patient Calcs'!N:N)),B153+1,""),"")</f>
        <v>24</v>
      </c>
      <c r="C154" s="367">
        <f>INDEX('SIR Model Patient Calcs'!N:O,MATCH('Patient Calcs'!B154,'SIR Model Patient Calcs'!N:N,0),2)</f>
        <v>3287445.502038531</v>
      </c>
      <c r="D154" s="2"/>
    </row>
    <row r="155" spans="2:10" s="129" customFormat="1" ht="15.65" customHeight="1" x14ac:dyDescent="0.35">
      <c r="B155" s="196">
        <f>IFERROR(IF(B154+1&lt;=(MAX('SIR Model Patient Calcs'!N:N)),B154+1,""),"")</f>
        <v>25</v>
      </c>
      <c r="C155" s="367">
        <f>INDEX('SIR Model Patient Calcs'!N:O,MATCH('Patient Calcs'!B155,'SIR Model Patient Calcs'!N:N,0),2)</f>
        <v>3287525.7591692274</v>
      </c>
      <c r="D155" s="2"/>
    </row>
    <row r="156" spans="2:10" s="129" customFormat="1" ht="15.65" customHeight="1" x14ac:dyDescent="0.35">
      <c r="B156" s="196">
        <f>IFERROR(IF(B155+1&lt;=(MAX('SIR Model Patient Calcs'!N:N)),B155+1,""),"")</f>
        <v>26</v>
      </c>
      <c r="C156" s="367">
        <f>INDEX('SIR Model Patient Calcs'!N:O,MATCH('Patient Calcs'!B156,'SIR Model Patient Calcs'!N:N,0),2)</f>
        <v>3287563.3806145205</v>
      </c>
      <c r="D156" s="2"/>
    </row>
    <row r="157" spans="2:10" s="129" customFormat="1" ht="15.65" customHeight="1" x14ac:dyDescent="0.35">
      <c r="B157" s="196">
        <f>IFERROR(IF(B156+1&lt;=(MAX('SIR Model Patient Calcs'!N:N)),B156+1,""),"")</f>
        <v>27</v>
      </c>
      <c r="C157" s="367">
        <f>INDEX('SIR Model Patient Calcs'!N:O,MATCH('Patient Calcs'!B157,'SIR Model Patient Calcs'!N:N,0),2)</f>
        <v>3287581.0168259791</v>
      </c>
      <c r="D157" s="2"/>
    </row>
    <row r="158" spans="2:10" s="129" customFormat="1" ht="15.65" customHeight="1" x14ac:dyDescent="0.35">
      <c r="B158" s="196">
        <f>IFERROR(IF(B157+1&lt;=(MAX('SIR Model Patient Calcs'!N:N)),B157+1,""),"")</f>
        <v>28</v>
      </c>
      <c r="C158" s="367">
        <f>INDEX('SIR Model Patient Calcs'!N:O,MATCH('Patient Calcs'!B158,'SIR Model Patient Calcs'!N:N,0),2)</f>
        <v>3287587.5212308043</v>
      </c>
      <c r="D158" s="2"/>
    </row>
    <row r="159" spans="2:10" s="129" customFormat="1" ht="15.65" customHeight="1" x14ac:dyDescent="0.35">
      <c r="B159" s="196" t="str">
        <f>IFERROR(IF(B158+1&lt;=(MAX('SIR Model Patient Calcs'!N:N)),B158+1,""),"")</f>
        <v/>
      </c>
      <c r="C159" s="367" t="str">
        <f>INDEX('SIR Model Patient Calcs'!N:O,MATCH('Patient Calcs'!B159,'SIR Model Patient Calcs'!N:N,0),2)</f>
        <v/>
      </c>
      <c r="D159" s="2"/>
      <c r="E159"/>
      <c r="F159"/>
      <c r="I159"/>
      <c r="J159"/>
    </row>
    <row r="160" spans="2:10" s="129" customFormat="1" ht="15.65" customHeight="1" x14ac:dyDescent="0.35">
      <c r="B160" s="196" t="str">
        <f>IFERROR(IF(B159+1&lt;=(MAX('SIR Model Patient Calcs'!N:N)),B159+1,""),"")</f>
        <v/>
      </c>
      <c r="C160" s="367" t="str">
        <f>INDEX('SIR Model Patient Calcs'!N:O,MATCH('Patient Calcs'!B160,'SIR Model Patient Calcs'!N:N,0),2)</f>
        <v/>
      </c>
      <c r="D160" s="2"/>
      <c r="E160"/>
      <c r="F160"/>
      <c r="I160"/>
      <c r="J160"/>
    </row>
    <row r="161" spans="2:14" s="129" customFormat="1" ht="15.65" customHeight="1" x14ac:dyDescent="0.35">
      <c r="B161" s="196" t="str">
        <f>IFERROR(IF(B160+1&lt;=(MAX('SIR Model Patient Calcs'!N:N)),B160+1,""),"")</f>
        <v/>
      </c>
      <c r="C161" s="367" t="str">
        <f>INDEX('SIR Model Patient Calcs'!N:O,MATCH('Patient Calcs'!B161,'SIR Model Patient Calcs'!N:N,0),2)</f>
        <v/>
      </c>
      <c r="D161" s="2"/>
      <c r="E161"/>
      <c r="F161"/>
      <c r="I161"/>
      <c r="J161"/>
      <c r="M161" s="71"/>
      <c r="N161" s="71"/>
    </row>
    <row r="162" spans="2:14" s="129" customFormat="1" x14ac:dyDescent="0.35">
      <c r="B162" s="196" t="str">
        <f>IFERROR(IF(B161+1&lt;=(MAX('SIR Model Patient Calcs'!N:N)),B161+1,""),"")</f>
        <v/>
      </c>
      <c r="C162" s="367" t="str">
        <f>INDEX('SIR Model Patient Calcs'!N:O,MATCH('Patient Calcs'!B162,'SIR Model Patient Calcs'!N:N,0),2)</f>
        <v/>
      </c>
      <c r="D162" s="2"/>
      <c r="E162"/>
      <c r="F162"/>
      <c r="I162"/>
      <c r="J162"/>
      <c r="M162" s="71"/>
      <c r="N162" s="71"/>
    </row>
    <row r="163" spans="2:14" s="129" customFormat="1" x14ac:dyDescent="0.35">
      <c r="B163" s="196" t="str">
        <f>IFERROR(IF(B162+1&lt;=(MAX('SIR Model Patient Calcs'!N:N)),B162+1,""),"")</f>
        <v/>
      </c>
      <c r="C163" s="367" t="str">
        <f>INDEX('SIR Model Patient Calcs'!N:O,MATCH('Patient Calcs'!B163,'SIR Model Patient Calcs'!N:N,0),2)</f>
        <v/>
      </c>
      <c r="D163" s="2"/>
      <c r="E163"/>
      <c r="F163"/>
      <c r="I163"/>
      <c r="J163"/>
    </row>
    <row r="164" spans="2:14" s="129" customFormat="1" x14ac:dyDescent="0.35">
      <c r="B164" s="196" t="str">
        <f>IFERROR(IF(B163+1&lt;=(MAX('SIR Model Patient Calcs'!N:N)),B163+1,""),"")</f>
        <v/>
      </c>
      <c r="C164" s="367" t="str">
        <f>INDEX('SIR Model Patient Calcs'!N:O,MATCH('Patient Calcs'!B164,'SIR Model Patient Calcs'!N:N,0),2)</f>
        <v/>
      </c>
      <c r="D164" s="2"/>
      <c r="E164"/>
      <c r="F164"/>
      <c r="I164"/>
      <c r="J164"/>
    </row>
    <row r="165" spans="2:14" s="129" customFormat="1" x14ac:dyDescent="0.35">
      <c r="B165" s="196" t="str">
        <f>IFERROR(IF(B164+1&lt;=(MAX('SIR Model Patient Calcs'!N:N)),B164+1,""),"")</f>
        <v/>
      </c>
      <c r="C165" s="367" t="str">
        <f>INDEX('SIR Model Patient Calcs'!N:O,MATCH('Patient Calcs'!B165,'SIR Model Patient Calcs'!N:N,0),2)</f>
        <v/>
      </c>
      <c r="D165" s="2"/>
      <c r="E165"/>
      <c r="F165"/>
      <c r="I165"/>
      <c r="J165"/>
    </row>
    <row r="166" spans="2:14" s="129" customFormat="1" x14ac:dyDescent="0.35">
      <c r="B166" s="196" t="str">
        <f>IFERROR(IF(B165+1&lt;=(MAX('SIR Model Patient Calcs'!N:N)),B165+1,""),"")</f>
        <v/>
      </c>
      <c r="C166" s="367" t="str">
        <f>INDEX('SIR Model Patient Calcs'!N:O,MATCH('Patient Calcs'!B166,'SIR Model Patient Calcs'!N:N,0),2)</f>
        <v/>
      </c>
      <c r="D166" s="2"/>
      <c r="E166"/>
      <c r="F166"/>
      <c r="I166"/>
      <c r="J166"/>
    </row>
    <row r="167" spans="2:14" s="129" customFormat="1" x14ac:dyDescent="0.35">
      <c r="B167" s="196" t="str">
        <f>IFERROR(IF(B166+1&lt;=(MAX('SIR Model Patient Calcs'!N:N)),B166+1,""),"")</f>
        <v/>
      </c>
      <c r="C167" s="367" t="str">
        <f>INDEX('SIR Model Patient Calcs'!N:O,MATCH('Patient Calcs'!B167,'SIR Model Patient Calcs'!N:N,0),2)</f>
        <v/>
      </c>
      <c r="D167" s="2"/>
      <c r="E167"/>
      <c r="F167"/>
      <c r="I167"/>
      <c r="J167"/>
    </row>
    <row r="168" spans="2:14" s="129" customFormat="1" x14ac:dyDescent="0.35">
      <c r="B168" s="196" t="str">
        <f>IFERROR(IF(B167+1&lt;=(MAX('SIR Model Patient Calcs'!N:N)),B167+1,""),"")</f>
        <v/>
      </c>
      <c r="C168" s="367" t="str">
        <f>INDEX('SIR Model Patient Calcs'!N:O,MATCH('Patient Calcs'!B168,'SIR Model Patient Calcs'!N:N,0),2)</f>
        <v/>
      </c>
      <c r="D168" s="2"/>
      <c r="E168"/>
      <c r="F168"/>
      <c r="I168"/>
      <c r="J168"/>
    </row>
    <row r="169" spans="2:14" s="129" customFormat="1" x14ac:dyDescent="0.35">
      <c r="B169" s="196" t="str">
        <f>IFERROR(IF(B168+1&lt;=(MAX('SIR Model Patient Calcs'!N:N)),B168+1,""),"")</f>
        <v/>
      </c>
      <c r="C169" s="367" t="str">
        <f>INDEX('SIR Model Patient Calcs'!N:O,MATCH('Patient Calcs'!B169,'SIR Model Patient Calcs'!N:N,0),2)</f>
        <v/>
      </c>
      <c r="D169" s="2"/>
      <c r="E169"/>
      <c r="F169"/>
      <c r="I169"/>
      <c r="J169"/>
    </row>
    <row r="170" spans="2:14" s="129" customFormat="1" x14ac:dyDescent="0.35">
      <c r="B170" s="196" t="str">
        <f>IFERROR(IF(B169+1&lt;=(MAX('SIR Model Patient Calcs'!N:N)),B169+1,""),"")</f>
        <v/>
      </c>
      <c r="C170" s="367" t="str">
        <f>INDEX('SIR Model Patient Calcs'!N:O,MATCH('Patient Calcs'!B170,'SIR Model Patient Calcs'!N:N,0),2)</f>
        <v/>
      </c>
      <c r="D170" s="2"/>
      <c r="E170"/>
      <c r="F170"/>
      <c r="I170"/>
      <c r="J170"/>
    </row>
    <row r="171" spans="2:14" s="129" customFormat="1" x14ac:dyDescent="0.35">
      <c r="B171" s="196" t="str">
        <f>IFERROR(IF(B170+1&lt;=(MAX('SIR Model Patient Calcs'!N:N)),B170+1,""),"")</f>
        <v/>
      </c>
      <c r="C171" s="367" t="str">
        <f>INDEX('SIR Model Patient Calcs'!N:O,MATCH('Patient Calcs'!B171,'SIR Model Patient Calcs'!N:N,0),2)</f>
        <v/>
      </c>
      <c r="D171" s="2"/>
      <c r="E171"/>
      <c r="F171"/>
      <c r="I171"/>
      <c r="J171"/>
    </row>
    <row r="172" spans="2:14" s="129" customFormat="1" x14ac:dyDescent="0.35">
      <c r="B172" s="196" t="str">
        <f>IFERROR(IF(B171+1&lt;=(MAX('SIR Model Patient Calcs'!N:N)),B171+1,""),"")</f>
        <v/>
      </c>
      <c r="C172" s="367" t="str">
        <f>INDEX('SIR Model Patient Calcs'!N:O,MATCH('Patient Calcs'!B172,'SIR Model Patient Calcs'!N:N,0),2)</f>
        <v/>
      </c>
      <c r="D172" s="2"/>
      <c r="E172"/>
      <c r="F172"/>
      <c r="I172"/>
      <c r="J172"/>
    </row>
    <row r="173" spans="2:14" s="129" customFormat="1" x14ac:dyDescent="0.35">
      <c r="B173" s="196" t="str">
        <f>IFERROR(IF(B172+1&lt;=(MAX('SIR Model Patient Calcs'!N:N)),B172+1,""),"")</f>
        <v/>
      </c>
      <c r="C173" s="367" t="str">
        <f>INDEX('SIR Model Patient Calcs'!N:O,MATCH('Patient Calcs'!B173,'SIR Model Patient Calcs'!N:N,0),2)</f>
        <v/>
      </c>
      <c r="D173" s="2"/>
      <c r="E173"/>
      <c r="F173"/>
      <c r="I173"/>
      <c r="J173"/>
    </row>
    <row r="174" spans="2:14" s="129" customFormat="1" x14ac:dyDescent="0.35">
      <c r="B174" s="196" t="str">
        <f>IFERROR(IF(B173+1&lt;=(MAX('SIR Model Patient Calcs'!N:N)),B173+1,""),"")</f>
        <v/>
      </c>
      <c r="C174" s="367" t="str">
        <f>INDEX('SIR Model Patient Calcs'!N:O,MATCH('Patient Calcs'!B174,'SIR Model Patient Calcs'!N:N,0),2)</f>
        <v/>
      </c>
      <c r="D174" s="2"/>
      <c r="E174"/>
      <c r="F174"/>
      <c r="I174"/>
      <c r="J174"/>
    </row>
    <row r="175" spans="2:14" s="129" customFormat="1" x14ac:dyDescent="0.35">
      <c r="B175" s="196" t="str">
        <f>IFERROR(IF(B174+1&lt;=(MAX('SIR Model Patient Calcs'!N:N)),B174+1,""),"")</f>
        <v/>
      </c>
      <c r="C175" s="367" t="str">
        <f>INDEX('SIR Model Patient Calcs'!N:O,MATCH('Patient Calcs'!B175,'SIR Model Patient Calcs'!N:N,0),2)</f>
        <v/>
      </c>
      <c r="D175" s="2"/>
      <c r="E175"/>
      <c r="F175"/>
      <c r="I175"/>
      <c r="J175"/>
    </row>
    <row r="176" spans="2:14" s="129" customFormat="1" x14ac:dyDescent="0.35">
      <c r="B176" s="196" t="str">
        <f>IFERROR(IF(B175+1&lt;=(MAX('SIR Model Patient Calcs'!N:N)),B175+1,""),"")</f>
        <v/>
      </c>
      <c r="C176" s="367" t="str">
        <f>INDEX('SIR Model Patient Calcs'!N:O,MATCH('Patient Calcs'!B176,'SIR Model Patient Calcs'!N:N,0),2)</f>
        <v/>
      </c>
      <c r="D176" s="2"/>
      <c r="E176"/>
      <c r="F176"/>
      <c r="I176"/>
      <c r="J176"/>
    </row>
    <row r="177" spans="1:14" s="129" customFormat="1" x14ac:dyDescent="0.35">
      <c r="B177" s="196" t="str">
        <f>IFERROR(IF(B176+1&lt;=(MAX('SIR Model Patient Calcs'!N:N)),B176+1,""),"")</f>
        <v/>
      </c>
      <c r="C177" s="367" t="str">
        <f>INDEX('SIR Model Patient Calcs'!N:O,MATCH('Patient Calcs'!B177,'SIR Model Patient Calcs'!N:N,0),2)</f>
        <v/>
      </c>
      <c r="D177" s="2"/>
      <c r="E177"/>
      <c r="F177"/>
      <c r="I177"/>
      <c r="J177"/>
      <c r="K177"/>
      <c r="L177"/>
    </row>
    <row r="178" spans="1:14" s="129" customFormat="1" x14ac:dyDescent="0.35">
      <c r="B178" s="196" t="str">
        <f>IFERROR(IF(B177+1&lt;=(MAX('SIR Model Patient Calcs'!N:N)),B177+1,""),"")</f>
        <v/>
      </c>
      <c r="C178" s="367" t="str">
        <f>INDEX('SIR Model Patient Calcs'!N:O,MATCH('Patient Calcs'!B178,'SIR Model Patient Calcs'!N:N,0),2)</f>
        <v/>
      </c>
      <c r="D178" s="2"/>
      <c r="E178"/>
      <c r="F178"/>
      <c r="I178"/>
      <c r="J178"/>
      <c r="K178"/>
      <c r="L178"/>
    </row>
    <row r="179" spans="1:14" s="129" customFormat="1" x14ac:dyDescent="0.35">
      <c r="B179" s="196" t="str">
        <f>IFERROR(IF(B178+1&lt;=(MAX('SIR Model Patient Calcs'!N:N)),B178+1,""),"")</f>
        <v/>
      </c>
      <c r="C179" s="367" t="str">
        <f>INDEX('SIR Model Patient Calcs'!N:O,MATCH('Patient Calcs'!B179,'SIR Model Patient Calcs'!N:N,0),2)</f>
        <v/>
      </c>
      <c r="D179" s="2"/>
      <c r="E179"/>
      <c r="F179"/>
      <c r="I179"/>
      <c r="J179"/>
      <c r="K179"/>
      <c r="L179"/>
    </row>
    <row r="180" spans="1:14" s="129" customFormat="1" x14ac:dyDescent="0.35">
      <c r="B180" s="196" t="str">
        <f>IFERROR(IF(B179+1&lt;=(MAX('SIR Model Patient Calcs'!N:N)),B179+1,""),"")</f>
        <v/>
      </c>
      <c r="C180" s="367" t="str">
        <f>INDEX('SIR Model Patient Calcs'!N:O,MATCH('Patient Calcs'!B180,'SIR Model Patient Calcs'!N:N,0),2)</f>
        <v/>
      </c>
      <c r="D180" s="2"/>
      <c r="E180"/>
      <c r="F180"/>
      <c r="I180"/>
      <c r="J180"/>
      <c r="K180"/>
      <c r="L180"/>
    </row>
    <row r="181" spans="1:14" s="129" customFormat="1" x14ac:dyDescent="0.35">
      <c r="B181" s="196" t="str">
        <f>IFERROR(IF(B180+1&lt;=(MAX('SIR Model Patient Calcs'!N:N)),B180+1,""),"")</f>
        <v/>
      </c>
      <c r="C181" s="367" t="str">
        <f>INDEX('SIR Model Patient Calcs'!N:O,MATCH('Patient Calcs'!B181,'SIR Model Patient Calcs'!N:N,0),2)</f>
        <v/>
      </c>
      <c r="D181" s="2"/>
      <c r="E181"/>
      <c r="F181"/>
      <c r="I181"/>
      <c r="J181"/>
      <c r="K181"/>
      <c r="L181"/>
    </row>
    <row r="182" spans="1:14" s="129" customFormat="1" ht="15" thickBot="1" x14ac:dyDescent="0.4">
      <c r="B182" s="1098" t="str">
        <f>IFERROR(IF(B181+1&lt;=(MAX('SIR Model Patient Calcs'!N:N)),B181+1,""),"")</f>
        <v/>
      </c>
      <c r="C182" s="1237" t="str">
        <f>INDEX('SIR Model Patient Calcs'!N:O,MATCH('Patient Calcs'!B182,'SIR Model Patient Calcs'!N:N,0),2)</f>
        <v/>
      </c>
      <c r="D182" s="2"/>
      <c r="E182"/>
      <c r="F182"/>
      <c r="I182"/>
      <c r="J182"/>
      <c r="K182"/>
      <c r="L182"/>
    </row>
    <row r="183" spans="1:14" x14ac:dyDescent="0.35">
      <c r="M183" s="129"/>
      <c r="N183" s="129"/>
    </row>
    <row r="184" spans="1:14" s="25" customFormat="1" ht="15.65" customHeight="1" x14ac:dyDescent="0.35">
      <c r="A184" s="201" t="s">
        <v>861</v>
      </c>
      <c r="B184" s="175" t="s">
        <v>1489</v>
      </c>
      <c r="C184" s="363"/>
      <c r="D184" s="198" t="s">
        <v>1760</v>
      </c>
      <c r="E184" s="701" t="s">
        <v>1357</v>
      </c>
    </row>
    <row r="185" spans="1:14" s="722" customFormat="1" ht="15.65" customHeight="1" thickBot="1" x14ac:dyDescent="0.4">
      <c r="C185" s="362"/>
    </row>
    <row r="186" spans="1:14" s="722" customFormat="1" ht="15.65" customHeight="1" thickBot="1" x14ac:dyDescent="0.4">
      <c r="B186" s="194" t="s">
        <v>685</v>
      </c>
      <c r="C186" s="194" t="s">
        <v>1490</v>
      </c>
      <c r="D186" s="366" t="s">
        <v>686</v>
      </c>
      <c r="H186" s="2"/>
    </row>
    <row r="187" spans="1:14" s="722" customFormat="1" ht="15.65" customHeight="1" x14ac:dyDescent="0.35">
      <c r="B187" s="195">
        <v>0</v>
      </c>
      <c r="C187" s="195">
        <v>0</v>
      </c>
      <c r="D187" s="367">
        <f>IF(C187="","",IF(('Back Calculations'!C$110*IF(Doubling_rate_modelled="Combined",
IF(C187&lt;='Back Calculations'!$J$94,
2^(C187/('Back Calculations'!$F$94/7)),
(2^((C187-'Back Calculations'!$J$94)/('Back Calculations'!$H$94/7)))*(2^('Back Calculations'!$J$94/('Back Calculations'!$F$94/7)))),
2^(C187/(VLOOKUP(Doubling_rate_modelled,'Back Calculations'!$B$89:$C$99,2,FALSE)/7))))&gt;='Back Calculations'!$C$111,'Back Calculations'!$C$111,
'Back Calculations'!C$110*IF(Doubling_rate_modelled="Combined",
IF(C187&lt;='Back Calculations'!$J$94,
2^(C187/('Back Calculations'!$F$94/7)),
(2^((C187-'Back Calculations'!$J$94)/('Back Calculations'!$H$94/7)))*(2^('Back Calculations'!$J$94/('Back Calculations'!$F$94/7)))),
2^(C187/(VLOOKUP(Doubling_rate_modelled,'Back Calculations'!$B$89:$C$99,2,FALSE)/7)))))</f>
        <v>1</v>
      </c>
      <c r="E187" s="2"/>
      <c r="H187" s="2"/>
    </row>
    <row r="188" spans="1:14" s="722" customFormat="1" ht="15.65" customHeight="1" x14ac:dyDescent="0.35">
      <c r="B188" s="195">
        <f t="shared" ref="B188:B219" si="48">IFERROR(IF(B187+1&lt;=WeekSuppliedUntil,B187+1,""),"")</f>
        <v>1</v>
      </c>
      <c r="C188" s="195">
        <v>1</v>
      </c>
      <c r="D188" s="367">
        <f>IF(C188="","",IF(('Back Calculations'!C$110*IF(Doubling_rate_modelled="Combined",
IF(C188&lt;='Back Calculations'!$J$94,
2^(C188/('Back Calculations'!$F$94/7)),
(2^((C188-'Back Calculations'!$J$94)/('Back Calculations'!$H$94/7)))*(2^('Back Calculations'!$J$94/('Back Calculations'!$F$94/7)))),
2^(C188/(VLOOKUP(Doubling_rate_modelled,'Back Calculations'!$B$89:$C$99,2,FALSE)/7))))&gt;='Back Calculations'!$C$111,'Back Calculations'!$C$111,
'Back Calculations'!C$110*IF(Doubling_rate_modelled="Combined",
IF(C188&lt;='Back Calculations'!$J$94,
2^(C188/('Back Calculations'!$F$94/7)),
(2^((C188-'Back Calculations'!$J$94)/('Back Calculations'!$H$94/7)))*(2^('Back Calculations'!$J$94/('Back Calculations'!$F$94/7)))),
2^(C188/(VLOOKUP(Doubling_rate_modelled,'Back Calculations'!$B$89:$C$99,2,FALSE)/7)))))</f>
        <v>2</v>
      </c>
      <c r="E188" s="2"/>
      <c r="K188" s="15"/>
    </row>
    <row r="189" spans="1:14" s="722" customFormat="1" ht="15.65" customHeight="1" x14ac:dyDescent="0.35">
      <c r="B189" s="195">
        <f t="shared" si="48"/>
        <v>2</v>
      </c>
      <c r="C189" s="195">
        <v>2</v>
      </c>
      <c r="D189" s="367">
        <f>IF(C189="","",IF(('Back Calculations'!C$110*IF(Doubling_rate_modelled="Combined",
IF(C189&lt;='Back Calculations'!$J$94,
2^(C189/('Back Calculations'!$F$94/7)),
(2^((C189-'Back Calculations'!$J$94)/('Back Calculations'!$H$94/7)))*(2^('Back Calculations'!$J$94/('Back Calculations'!$F$94/7)))),
2^(C189/(VLOOKUP(Doubling_rate_modelled,'Back Calculations'!$B$89:$C$99,2,FALSE)/7))))&gt;='Back Calculations'!$C$111,'Back Calculations'!$C$111,
'Back Calculations'!C$110*IF(Doubling_rate_modelled="Combined",
IF(C189&lt;='Back Calculations'!$J$94,
2^(C189/('Back Calculations'!$F$94/7)),
(2^((C189-'Back Calculations'!$J$94)/('Back Calculations'!$H$94/7)))*(2^('Back Calculations'!$J$94/('Back Calculations'!$F$94/7)))),
2^(C189/(VLOOKUP(Doubling_rate_modelled,'Back Calculations'!$B$89:$C$99,2,FALSE)/7)))))</f>
        <v>4</v>
      </c>
      <c r="E189" s="2"/>
      <c r="K189" s="15"/>
    </row>
    <row r="190" spans="1:14" s="722" customFormat="1" ht="15.65" customHeight="1" x14ac:dyDescent="0.35">
      <c r="B190" s="195">
        <f t="shared" si="48"/>
        <v>3</v>
      </c>
      <c r="C190" s="195">
        <v>3</v>
      </c>
      <c r="D190" s="367">
        <f>IF(C190="","",IF(('Back Calculations'!C$110*IF(Doubling_rate_modelled="Combined",
IF(C190&lt;='Back Calculations'!$J$94,
2^(C190/('Back Calculations'!$F$94/7)),
(2^((C190-'Back Calculations'!$J$94)/('Back Calculations'!$H$94/7)))*(2^('Back Calculations'!$J$94/('Back Calculations'!$F$94/7)))),
2^(C190/(VLOOKUP(Doubling_rate_modelled,'Back Calculations'!$B$89:$C$99,2,FALSE)/7))))&gt;='Back Calculations'!$C$111,'Back Calculations'!$C$111,
'Back Calculations'!C$110*IF(Doubling_rate_modelled="Combined",
IF(C190&lt;='Back Calculations'!$J$94,
2^(C190/('Back Calculations'!$F$94/7)),
(2^((C190-'Back Calculations'!$J$94)/('Back Calculations'!$H$94/7)))*(2^('Back Calculations'!$J$94/('Back Calculations'!$F$94/7)))),
2^(C190/(VLOOKUP(Doubling_rate_modelled,'Back Calculations'!$B$89:$C$99,2,FALSE)/7)))))</f>
        <v>8</v>
      </c>
      <c r="E190" s="2"/>
      <c r="F190" s="137"/>
    </row>
    <row r="191" spans="1:14" s="722" customFormat="1" ht="15.65" customHeight="1" x14ac:dyDescent="0.35">
      <c r="B191" s="195">
        <f t="shared" si="48"/>
        <v>4</v>
      </c>
      <c r="C191" s="195">
        <v>4</v>
      </c>
      <c r="D191" s="367">
        <f>IF(C191="","",IF(('Back Calculations'!C$110*IF(Doubling_rate_modelled="Combined",
IF(C191&lt;='Back Calculations'!$J$94,
2^(C191/('Back Calculations'!$F$94/7)),
(2^((C191-'Back Calculations'!$J$94)/('Back Calculations'!$H$94/7)))*(2^('Back Calculations'!$J$94/('Back Calculations'!$F$94/7)))),
2^(C191/(VLOOKUP(Doubling_rate_modelled,'Back Calculations'!$B$89:$C$99,2,FALSE)/7))))&gt;='Back Calculations'!$C$111,'Back Calculations'!$C$111,
'Back Calculations'!C$110*IF(Doubling_rate_modelled="Combined",
IF(C191&lt;='Back Calculations'!$J$94,
2^(C191/('Back Calculations'!$F$94/7)),
(2^((C191-'Back Calculations'!$J$94)/('Back Calculations'!$H$94/7)))*(2^('Back Calculations'!$J$94/('Back Calculations'!$F$94/7)))),
2^(C191/(VLOOKUP(Doubling_rate_modelled,'Back Calculations'!$B$89:$C$99,2,FALSE)/7)))))</f>
        <v>16</v>
      </c>
      <c r="E191" s="2"/>
      <c r="F191" s="137"/>
    </row>
    <row r="192" spans="1:14" s="722" customFormat="1" ht="15.65" customHeight="1" x14ac:dyDescent="0.35">
      <c r="B192" s="195">
        <f t="shared" si="48"/>
        <v>5</v>
      </c>
      <c r="C192" s="195">
        <v>5</v>
      </c>
      <c r="D192" s="367">
        <f>IF(C192="","",IF(('Back Calculations'!C$110*IF(Doubling_rate_modelled="Combined",
IF(C192&lt;='Back Calculations'!$J$94,
2^(C192/('Back Calculations'!$F$94/7)),
(2^((C192-'Back Calculations'!$J$94)/('Back Calculations'!$H$94/7)))*(2^('Back Calculations'!$J$94/('Back Calculations'!$F$94/7)))),
2^(C192/(VLOOKUP(Doubling_rate_modelled,'Back Calculations'!$B$89:$C$99,2,FALSE)/7))))&gt;='Back Calculations'!$C$111,'Back Calculations'!$C$111,
'Back Calculations'!C$110*IF(Doubling_rate_modelled="Combined",
IF(C192&lt;='Back Calculations'!$J$94,
2^(C192/('Back Calculations'!$F$94/7)),
(2^((C192-'Back Calculations'!$J$94)/('Back Calculations'!$H$94/7)))*(2^('Back Calculations'!$J$94/('Back Calculations'!$F$94/7)))),
2^(C192/(VLOOKUP(Doubling_rate_modelled,'Back Calculations'!$B$89:$C$99,2,FALSE)/7)))))</f>
        <v>32</v>
      </c>
      <c r="E192" s="2"/>
      <c r="F192" s="137"/>
    </row>
    <row r="193" spans="2:11" s="722" customFormat="1" ht="15.65" customHeight="1" x14ac:dyDescent="0.35">
      <c r="B193" s="195">
        <f t="shared" si="48"/>
        <v>6</v>
      </c>
      <c r="C193" s="195">
        <v>6</v>
      </c>
      <c r="D193" s="367">
        <f>IF(C193="","",IF(('Back Calculations'!C$110*IF(Doubling_rate_modelled="Combined",
IF(C193&lt;='Back Calculations'!$J$94,
2^(C193/('Back Calculations'!$F$94/7)),
(2^((C193-'Back Calculations'!$J$94)/('Back Calculations'!$H$94/7)))*(2^('Back Calculations'!$J$94/('Back Calculations'!$F$94/7)))),
2^(C193/(VLOOKUP(Doubling_rate_modelled,'Back Calculations'!$B$89:$C$99,2,FALSE)/7))))&gt;='Back Calculations'!$C$111,'Back Calculations'!$C$111,
'Back Calculations'!C$110*IF(Doubling_rate_modelled="Combined",
IF(C193&lt;='Back Calculations'!$J$94,
2^(C193/('Back Calculations'!$F$94/7)),
(2^((C193-'Back Calculations'!$J$94)/('Back Calculations'!$H$94/7)))*(2^('Back Calculations'!$J$94/('Back Calculations'!$F$94/7)))),
2^(C193/(VLOOKUP(Doubling_rate_modelled,'Back Calculations'!$B$89:$C$99,2,FALSE)/7)))))</f>
        <v>64</v>
      </c>
      <c r="E193" s="2"/>
      <c r="F193" s="137"/>
    </row>
    <row r="194" spans="2:11" s="722" customFormat="1" ht="15.65" customHeight="1" x14ac:dyDescent="0.35">
      <c r="B194" s="195" t="str">
        <f t="shared" si="48"/>
        <v/>
      </c>
      <c r="C194" s="195">
        <v>7</v>
      </c>
      <c r="D194" s="367">
        <f>IF(C194="","",IF(('Back Calculations'!C$110*IF(Doubling_rate_modelled="Combined",
IF(C194&lt;='Back Calculations'!$J$94,
2^(C194/('Back Calculations'!$F$94/7)),
(2^((C194-'Back Calculations'!$J$94)/('Back Calculations'!$H$94/7)))*(2^('Back Calculations'!$J$94/('Back Calculations'!$F$94/7)))),
2^(C194/(VLOOKUP(Doubling_rate_modelled,'Back Calculations'!$B$89:$C$99,2,FALSE)/7))))&gt;='Back Calculations'!$C$111,'Back Calculations'!$C$111,
'Back Calculations'!C$110*IF(Doubling_rate_modelled="Combined",
IF(C194&lt;='Back Calculations'!$J$94,
2^(C194/('Back Calculations'!$F$94/7)),
(2^((C194-'Back Calculations'!$J$94)/('Back Calculations'!$H$94/7)))*(2^('Back Calculations'!$J$94/('Back Calculations'!$F$94/7)))),
2^(C194/(VLOOKUP(Doubling_rate_modelled,'Back Calculations'!$B$89:$C$99,2,FALSE)/7)))))</f>
        <v>128</v>
      </c>
      <c r="E194" s="2"/>
      <c r="F194" s="2"/>
    </row>
    <row r="195" spans="2:11" s="722" customFormat="1" ht="15.65" customHeight="1" x14ac:dyDescent="0.35">
      <c r="B195" s="195" t="str">
        <f t="shared" si="48"/>
        <v/>
      </c>
      <c r="C195" s="195">
        <v>8</v>
      </c>
      <c r="D195" s="367">
        <f>IF(C195="","",IF(('Back Calculations'!C$110*IF(Doubling_rate_modelled="Combined",
IF(C195&lt;='Back Calculations'!$J$94,
2^(C195/('Back Calculations'!$F$94/7)),
(2^((C195-'Back Calculations'!$J$94)/('Back Calculations'!$H$94/7)))*(2^('Back Calculations'!$J$94/('Back Calculations'!$F$94/7)))),
2^(C195/(VLOOKUP(Doubling_rate_modelled,'Back Calculations'!$B$89:$C$99,2,FALSE)/7))))&gt;='Back Calculations'!$C$111,'Back Calculations'!$C$111,
'Back Calculations'!C$110*IF(Doubling_rate_modelled="Combined",
IF(C195&lt;='Back Calculations'!$J$94,
2^(C195/('Back Calculations'!$F$94/7)),
(2^((C195-'Back Calculations'!$J$94)/('Back Calculations'!$H$94/7)))*(2^('Back Calculations'!$J$94/('Back Calculations'!$F$94/7)))),
2^(C195/(VLOOKUP(Doubling_rate_modelled,'Back Calculations'!$B$89:$C$99,2,FALSE)/7)))))</f>
        <v>256</v>
      </c>
      <c r="E195" s="2"/>
      <c r="F195" s="500"/>
      <c r="G195" s="500"/>
      <c r="H195" s="500"/>
      <c r="K195" s="15"/>
    </row>
    <row r="196" spans="2:11" s="722" customFormat="1" ht="15.65" customHeight="1" x14ac:dyDescent="0.35">
      <c r="B196" s="195" t="str">
        <f t="shared" si="48"/>
        <v/>
      </c>
      <c r="C196" s="195">
        <v>9</v>
      </c>
      <c r="D196" s="367">
        <f>IF(C196="","",IF(('Back Calculations'!C$110*IF(Doubling_rate_modelled="Combined",
IF(C196&lt;='Back Calculations'!$J$94,
2^(C196/('Back Calculations'!$F$94/7)),
(2^((C196-'Back Calculations'!$J$94)/('Back Calculations'!$H$94/7)))*(2^('Back Calculations'!$J$94/('Back Calculations'!$F$94/7)))),
2^(C196/(VLOOKUP(Doubling_rate_modelled,'Back Calculations'!$B$89:$C$99,2,FALSE)/7))))&gt;='Back Calculations'!$C$111,'Back Calculations'!$C$111,
'Back Calculations'!C$110*IF(Doubling_rate_modelled="Combined",
IF(C196&lt;='Back Calculations'!$J$94,
2^(C196/('Back Calculations'!$F$94/7)),
(2^((C196-'Back Calculations'!$J$94)/('Back Calculations'!$H$94/7)))*(2^('Back Calculations'!$J$94/('Back Calculations'!$F$94/7)))),
2^(C196/(VLOOKUP(Doubling_rate_modelled,'Back Calculations'!$B$89:$C$99,2,FALSE)/7)))))</f>
        <v>512</v>
      </c>
      <c r="E196" s="2"/>
      <c r="F196" s="500"/>
      <c r="G196" s="500"/>
      <c r="H196" s="500"/>
      <c r="K196" s="15"/>
    </row>
    <row r="197" spans="2:11" s="722" customFormat="1" ht="15.65" customHeight="1" x14ac:dyDescent="0.35">
      <c r="B197" s="195" t="str">
        <f t="shared" si="48"/>
        <v/>
      </c>
      <c r="C197" s="195">
        <v>10</v>
      </c>
      <c r="D197" s="367">
        <f>IF(C197="","",IF(('Back Calculations'!C$110*IF(Doubling_rate_modelled="Combined",
IF(C197&lt;='Back Calculations'!$J$94,
2^(C197/('Back Calculations'!$F$94/7)),
(2^((C197-'Back Calculations'!$J$94)/('Back Calculations'!$H$94/7)))*(2^('Back Calculations'!$J$94/('Back Calculations'!$F$94/7)))),
2^(C197/(VLOOKUP(Doubling_rate_modelled,'Back Calculations'!$B$89:$C$99,2,FALSE)/7))))&gt;='Back Calculations'!$C$111,'Back Calculations'!$C$111,
'Back Calculations'!C$110*IF(Doubling_rate_modelled="Combined",
IF(C197&lt;='Back Calculations'!$J$94,
2^(C197/('Back Calculations'!$F$94/7)),
(2^((C197-'Back Calculations'!$J$94)/('Back Calculations'!$H$94/7)))*(2^('Back Calculations'!$J$94/('Back Calculations'!$F$94/7)))),
2^(C197/(VLOOKUP(Doubling_rate_modelled,'Back Calculations'!$B$89:$C$99,2,FALSE)/7)))))</f>
        <v>1024</v>
      </c>
      <c r="E197" s="2"/>
      <c r="F197" s="501"/>
      <c r="H197" s="501"/>
      <c r="I197" s="71"/>
      <c r="J197" s="71"/>
      <c r="K197" s="499"/>
    </row>
    <row r="198" spans="2:11" s="722" customFormat="1" ht="15.65" customHeight="1" x14ac:dyDescent="0.35">
      <c r="B198" s="195" t="str">
        <f t="shared" si="48"/>
        <v/>
      </c>
      <c r="C198" s="195">
        <v>11</v>
      </c>
      <c r="D198" s="367">
        <f>IF(C198="","",IF(('Back Calculations'!C$110*IF(Doubling_rate_modelled="Combined",
IF(C198&lt;='Back Calculations'!$J$94,
2^(C198/('Back Calculations'!$F$94/7)),
(2^((C198-'Back Calculations'!$J$94)/('Back Calculations'!$H$94/7)))*(2^('Back Calculations'!$J$94/('Back Calculations'!$F$94/7)))),
2^(C198/(VLOOKUP(Doubling_rate_modelled,'Back Calculations'!$B$89:$C$99,2,FALSE)/7))))&gt;='Back Calculations'!$C$111,'Back Calculations'!$C$111,
'Back Calculations'!C$110*IF(Doubling_rate_modelled="Combined",
IF(C198&lt;='Back Calculations'!$J$94,
2^(C198/('Back Calculations'!$F$94/7)),
(2^((C198-'Back Calculations'!$J$94)/('Back Calculations'!$H$94/7)))*(2^('Back Calculations'!$J$94/('Back Calculations'!$F$94/7)))),
2^(C198/(VLOOKUP(Doubling_rate_modelled,'Back Calculations'!$B$89:$C$99,2,FALSE)/7)))))</f>
        <v>2048</v>
      </c>
      <c r="E198" s="2"/>
      <c r="F198" s="501"/>
      <c r="H198" s="501"/>
      <c r="I198" s="71"/>
      <c r="J198" s="71"/>
      <c r="K198" s="71"/>
    </row>
    <row r="199" spans="2:11" s="722" customFormat="1" ht="15.65" customHeight="1" x14ac:dyDescent="0.35">
      <c r="B199" s="195" t="str">
        <f t="shared" si="48"/>
        <v/>
      </c>
      <c r="C199" s="195">
        <v>12</v>
      </c>
      <c r="D199" s="367">
        <f>IF(C199="","",IF(('Back Calculations'!C$110*IF(Doubling_rate_modelled="Combined",
IF(C199&lt;='Back Calculations'!$J$94,
2^(C199/('Back Calculations'!$F$94/7)),
(2^((C199-'Back Calculations'!$J$94)/('Back Calculations'!$H$94/7)))*(2^('Back Calculations'!$J$94/('Back Calculations'!$F$94/7)))),
2^(C199/(VLOOKUP(Doubling_rate_modelled,'Back Calculations'!$B$89:$C$99,2,FALSE)/7))))&gt;='Back Calculations'!$C$111,'Back Calculations'!$C$111,
'Back Calculations'!C$110*IF(Doubling_rate_modelled="Combined",
IF(C199&lt;='Back Calculations'!$J$94,
2^(C199/('Back Calculations'!$F$94/7)),
(2^((C199-'Back Calculations'!$J$94)/('Back Calculations'!$H$94/7)))*(2^('Back Calculations'!$J$94/('Back Calculations'!$F$94/7)))),
2^(C199/(VLOOKUP(Doubling_rate_modelled,'Back Calculations'!$B$89:$C$99,2,FALSE)/7)))))</f>
        <v>4096</v>
      </c>
      <c r="E199" s="2"/>
      <c r="F199" s="500"/>
      <c r="G199" s="500"/>
      <c r="H199" s="500"/>
    </row>
    <row r="200" spans="2:11" s="722" customFormat="1" ht="15.65" customHeight="1" x14ac:dyDescent="0.35">
      <c r="B200" s="195" t="str">
        <f t="shared" si="48"/>
        <v/>
      </c>
      <c r="C200" s="195">
        <v>13</v>
      </c>
      <c r="D200" s="367">
        <f>IF(C200="","",IF(('Back Calculations'!C$110*IF(Doubling_rate_modelled="Combined",
IF(C200&lt;='Back Calculations'!$J$94,
2^(C200/('Back Calculations'!$F$94/7)),
(2^((C200-'Back Calculations'!$J$94)/('Back Calculations'!$H$94/7)))*(2^('Back Calculations'!$J$94/('Back Calculations'!$F$94/7)))),
2^(C200/(VLOOKUP(Doubling_rate_modelled,'Back Calculations'!$B$89:$C$99,2,FALSE)/7))))&gt;='Back Calculations'!$C$111,'Back Calculations'!$C$111,
'Back Calculations'!C$110*IF(Doubling_rate_modelled="Combined",
IF(C200&lt;='Back Calculations'!$J$94,
2^(C200/('Back Calculations'!$F$94/7)),
(2^((C200-'Back Calculations'!$J$94)/('Back Calculations'!$H$94/7)))*(2^('Back Calculations'!$J$94/('Back Calculations'!$F$94/7)))),
2^(C200/(VLOOKUP(Doubling_rate_modelled,'Back Calculations'!$B$89:$C$99,2,FALSE)/7)))))</f>
        <v>8192</v>
      </c>
      <c r="E200" s="2"/>
      <c r="F200" s="2"/>
      <c r="G200" s="2"/>
      <c r="H200" s="2"/>
    </row>
    <row r="201" spans="2:11" s="722" customFormat="1" ht="15.65" customHeight="1" x14ac:dyDescent="0.35">
      <c r="B201" s="195" t="str">
        <f t="shared" si="48"/>
        <v/>
      </c>
      <c r="C201" s="195">
        <v>14</v>
      </c>
      <c r="D201" s="367">
        <f>IF(C201="","",IF(('Back Calculations'!C$110*IF(Doubling_rate_modelled="Combined",
IF(C201&lt;='Back Calculations'!$J$94,
2^(C201/('Back Calculations'!$F$94/7)),
(2^((C201-'Back Calculations'!$J$94)/('Back Calculations'!$H$94/7)))*(2^('Back Calculations'!$J$94/('Back Calculations'!$F$94/7)))),
2^(C201/(VLOOKUP(Doubling_rate_modelled,'Back Calculations'!$B$89:$C$99,2,FALSE)/7))))&gt;='Back Calculations'!$C$111,'Back Calculations'!$C$111,
'Back Calculations'!C$110*IF(Doubling_rate_modelled="Combined",
IF(C201&lt;='Back Calculations'!$J$94,
2^(C201/('Back Calculations'!$F$94/7)),
(2^((C201-'Back Calculations'!$J$94)/('Back Calculations'!$H$94/7)))*(2^('Back Calculations'!$J$94/('Back Calculations'!$F$94/7)))),
2^(C201/(VLOOKUP(Doubling_rate_modelled,'Back Calculations'!$B$89:$C$99,2,FALSE)/7)))))</f>
        <v>16384</v>
      </c>
      <c r="E201" s="2"/>
      <c r="F201" s="2"/>
      <c r="G201" s="2"/>
      <c r="H201" s="2"/>
    </row>
    <row r="202" spans="2:11" s="722" customFormat="1" ht="15.65" customHeight="1" x14ac:dyDescent="0.35">
      <c r="B202" s="195" t="str">
        <f t="shared" si="48"/>
        <v/>
      </c>
      <c r="C202" s="195">
        <v>15</v>
      </c>
      <c r="D202" s="367">
        <f>IF(C202="","",IF(('Back Calculations'!C$110*IF(Doubling_rate_modelled="Combined",
IF(C202&lt;='Back Calculations'!$J$94,
2^(C202/('Back Calculations'!$F$94/7)),
(2^((C202-'Back Calculations'!$J$94)/('Back Calculations'!$H$94/7)))*(2^('Back Calculations'!$J$94/('Back Calculations'!$F$94/7)))),
2^(C202/(VLOOKUP(Doubling_rate_modelled,'Back Calculations'!$B$89:$C$99,2,FALSE)/7))))&gt;='Back Calculations'!$C$111,'Back Calculations'!$C$111,
'Back Calculations'!C$110*IF(Doubling_rate_modelled="Combined",
IF(C202&lt;='Back Calculations'!$J$94,
2^(C202/('Back Calculations'!$F$94/7)),
(2^((C202-'Back Calculations'!$J$94)/('Back Calculations'!$H$94/7)))*(2^('Back Calculations'!$J$94/('Back Calculations'!$F$94/7)))),
2^(C202/(VLOOKUP(Doubling_rate_modelled,'Back Calculations'!$B$89:$C$99,2,FALSE)/7)))))</f>
        <v>32768</v>
      </c>
      <c r="E202" s="2"/>
      <c r="F202" s="2"/>
      <c r="G202" s="2"/>
      <c r="H202" s="2"/>
    </row>
    <row r="203" spans="2:11" s="722" customFormat="1" ht="15.65" customHeight="1" x14ac:dyDescent="0.35">
      <c r="B203" s="195" t="str">
        <f t="shared" si="48"/>
        <v/>
      </c>
      <c r="C203" s="195">
        <v>16</v>
      </c>
      <c r="D203" s="367">
        <f>IF(C203="","",IF(('Back Calculations'!C$110*IF(Doubling_rate_modelled="Combined",
IF(C203&lt;='Back Calculations'!$J$94,
2^(C203/('Back Calculations'!$F$94/7)),
(2^((C203-'Back Calculations'!$J$94)/('Back Calculations'!$H$94/7)))*(2^('Back Calculations'!$J$94/('Back Calculations'!$F$94/7)))),
2^(C203/(VLOOKUP(Doubling_rate_modelled,'Back Calculations'!$B$89:$C$99,2,FALSE)/7))))&gt;='Back Calculations'!$C$111,'Back Calculations'!$C$111,
'Back Calculations'!C$110*IF(Doubling_rate_modelled="Combined",
IF(C203&lt;='Back Calculations'!$J$94,
2^(C203/('Back Calculations'!$F$94/7)),
(2^((C203-'Back Calculations'!$J$94)/('Back Calculations'!$H$94/7)))*(2^('Back Calculations'!$J$94/('Back Calculations'!$F$94/7)))),
2^(C203/(VLOOKUP(Doubling_rate_modelled,'Back Calculations'!$B$89:$C$99,2,FALSE)/7)))))</f>
        <v>65536</v>
      </c>
      <c r="E203" s="2"/>
      <c r="F203" s="500"/>
      <c r="G203" s="500"/>
      <c r="H203" s="2"/>
    </row>
    <row r="204" spans="2:11" s="722" customFormat="1" ht="15.65" customHeight="1" x14ac:dyDescent="0.35">
      <c r="B204" s="195" t="str">
        <f t="shared" si="48"/>
        <v/>
      </c>
      <c r="C204" s="195">
        <v>17</v>
      </c>
      <c r="D204" s="367">
        <f>IF(C204="","",IF(('Back Calculations'!C$110*IF(Doubling_rate_modelled="Combined",
IF(C204&lt;='Back Calculations'!$J$94,
2^(C204/('Back Calculations'!$F$94/7)),
(2^((C204-'Back Calculations'!$J$94)/('Back Calculations'!$H$94/7)))*(2^('Back Calculations'!$J$94/('Back Calculations'!$F$94/7)))),
2^(C204/(VLOOKUP(Doubling_rate_modelled,'Back Calculations'!$B$89:$C$99,2,FALSE)/7))))&gt;='Back Calculations'!$C$111,'Back Calculations'!$C$111,
'Back Calculations'!C$110*IF(Doubling_rate_modelled="Combined",
IF(C204&lt;='Back Calculations'!$J$94,
2^(C204/('Back Calculations'!$F$94/7)),
(2^((C204-'Back Calculations'!$J$94)/('Back Calculations'!$H$94/7)))*(2^('Back Calculations'!$J$94/('Back Calculations'!$F$94/7)))),
2^(C204/(VLOOKUP(Doubling_rate_modelled,'Back Calculations'!$B$89:$C$99,2,FALSE)/7)))))</f>
        <v>131072</v>
      </c>
      <c r="E204" s="2"/>
    </row>
    <row r="205" spans="2:11" s="722" customFormat="1" ht="15.65" customHeight="1" x14ac:dyDescent="0.35">
      <c r="B205" s="195" t="str">
        <f t="shared" si="48"/>
        <v/>
      </c>
      <c r="C205" s="195">
        <v>18</v>
      </c>
      <c r="D205" s="367">
        <f>IF(C205="","",IF(('Back Calculations'!C$110*IF(Doubling_rate_modelled="Combined",
IF(C205&lt;='Back Calculations'!$J$94,
2^(C205/('Back Calculations'!$F$94/7)),
(2^((C205-'Back Calculations'!$J$94)/('Back Calculations'!$H$94/7)))*(2^('Back Calculations'!$J$94/('Back Calculations'!$F$94/7)))),
2^(C205/(VLOOKUP(Doubling_rate_modelled,'Back Calculations'!$B$89:$C$99,2,FALSE)/7))))&gt;='Back Calculations'!$C$111,'Back Calculations'!$C$111,
'Back Calculations'!C$110*IF(Doubling_rate_modelled="Combined",
IF(C205&lt;='Back Calculations'!$J$94,
2^(C205/('Back Calculations'!$F$94/7)),
(2^((C205-'Back Calculations'!$J$94)/('Back Calculations'!$H$94/7)))*(2^('Back Calculations'!$J$94/('Back Calculations'!$F$94/7)))),
2^(C205/(VLOOKUP(Doubling_rate_modelled,'Back Calculations'!$B$89:$C$99,2,FALSE)/7)))))</f>
        <v>262144</v>
      </c>
      <c r="E205" s="2"/>
    </row>
    <row r="206" spans="2:11" s="722" customFormat="1" ht="15.65" customHeight="1" x14ac:dyDescent="0.35">
      <c r="B206" s="195" t="str">
        <f t="shared" si="48"/>
        <v/>
      </c>
      <c r="C206" s="195">
        <v>19</v>
      </c>
      <c r="D206" s="367">
        <f>IF(C206="","",IF(('Back Calculations'!C$110*IF(Doubling_rate_modelled="Combined",
IF(C206&lt;='Back Calculations'!$J$94,
2^(C206/('Back Calculations'!$F$94/7)),
(2^((C206-'Back Calculations'!$J$94)/('Back Calculations'!$H$94/7)))*(2^('Back Calculations'!$J$94/('Back Calculations'!$F$94/7)))),
2^(C206/(VLOOKUP(Doubling_rate_modelled,'Back Calculations'!$B$89:$C$99,2,FALSE)/7))))&gt;='Back Calculations'!$C$111,'Back Calculations'!$C$111,
'Back Calculations'!C$110*IF(Doubling_rate_modelled="Combined",
IF(C206&lt;='Back Calculations'!$J$94,
2^(C206/('Back Calculations'!$F$94/7)),
(2^((C206-'Back Calculations'!$J$94)/('Back Calculations'!$H$94/7)))*(2^('Back Calculations'!$J$94/('Back Calculations'!$F$94/7)))),
2^(C206/(VLOOKUP(Doubling_rate_modelled,'Back Calculations'!$B$89:$C$99,2,FALSE)/7)))))</f>
        <v>524288</v>
      </c>
      <c r="E206" s="2"/>
    </row>
    <row r="207" spans="2:11" s="722" customFormat="1" ht="15.65" customHeight="1" x14ac:dyDescent="0.35">
      <c r="B207" s="195" t="str">
        <f t="shared" si="48"/>
        <v/>
      </c>
      <c r="C207" s="195">
        <v>20</v>
      </c>
      <c r="D207" s="367">
        <f>IF(C207="","",IF(('Back Calculations'!C$110*IF(Doubling_rate_modelled="Combined",
IF(C207&lt;='Back Calculations'!$J$94,
2^(C207/('Back Calculations'!$F$94/7)),
(2^((C207-'Back Calculations'!$J$94)/('Back Calculations'!$H$94/7)))*(2^('Back Calculations'!$J$94/('Back Calculations'!$F$94/7)))),
2^(C207/(VLOOKUP(Doubling_rate_modelled,'Back Calculations'!$B$89:$C$99,2,FALSE)/7))))&gt;='Back Calculations'!$C$111,'Back Calculations'!$C$111,
'Back Calculations'!C$110*IF(Doubling_rate_modelled="Combined",
IF(C207&lt;='Back Calculations'!$J$94,
2^(C207/('Back Calculations'!$F$94/7)),
(2^((C207-'Back Calculations'!$J$94)/('Back Calculations'!$H$94/7)))*(2^('Back Calculations'!$J$94/('Back Calculations'!$F$94/7)))),
2^(C207/(VLOOKUP(Doubling_rate_modelled,'Back Calculations'!$B$89:$C$99,2,FALSE)/7)))))</f>
        <v>1048576</v>
      </c>
      <c r="E207" s="2"/>
    </row>
    <row r="208" spans="2:11" s="722" customFormat="1" ht="15.65" customHeight="1" x14ac:dyDescent="0.35">
      <c r="B208" s="195" t="str">
        <f t="shared" si="48"/>
        <v/>
      </c>
      <c r="C208" s="195">
        <v>21</v>
      </c>
      <c r="D208" s="367">
        <f>IF(C208="","",IF(('Back Calculations'!C$110*IF(Doubling_rate_modelled="Combined",
IF(C208&lt;='Back Calculations'!$J$94,
2^(C208/('Back Calculations'!$F$94/7)),
(2^((C208-'Back Calculations'!$J$94)/('Back Calculations'!$H$94/7)))*(2^('Back Calculations'!$J$94/('Back Calculations'!$F$94/7)))),
2^(C208/(VLOOKUP(Doubling_rate_modelled,'Back Calculations'!$B$89:$C$99,2,FALSE)/7))))&gt;='Back Calculations'!$C$111,'Back Calculations'!$C$111,
'Back Calculations'!C$110*IF(Doubling_rate_modelled="Combined",
IF(C208&lt;='Back Calculations'!$J$94,
2^(C208/('Back Calculations'!$F$94/7)),
(2^((C208-'Back Calculations'!$J$94)/('Back Calculations'!$H$94/7)))*(2^('Back Calculations'!$J$94/('Back Calculations'!$F$94/7)))),
2^(C208/(VLOOKUP(Doubling_rate_modelled,'Back Calculations'!$B$89:$C$99,2,FALSE)/7)))))</f>
        <v>2097152</v>
      </c>
      <c r="E208" s="2"/>
    </row>
    <row r="209" spans="2:13" s="722" customFormat="1" ht="15.65" customHeight="1" x14ac:dyDescent="0.35">
      <c r="B209" s="195" t="str">
        <f t="shared" si="48"/>
        <v/>
      </c>
      <c r="C209" s="195">
        <v>22</v>
      </c>
      <c r="D209" s="367">
        <f>IF(C209="","",IF(('Back Calculations'!C$110*IF(Doubling_rate_modelled="Combined",
IF(C209&lt;='Back Calculations'!$J$94,
2^(C209/('Back Calculations'!$F$94/7)),
(2^((C209-'Back Calculations'!$J$94)/('Back Calculations'!$H$94/7)))*(2^('Back Calculations'!$J$94/('Back Calculations'!$F$94/7)))),
2^(C209/(VLOOKUP(Doubling_rate_modelled,'Back Calculations'!$B$89:$C$99,2,FALSE)/7))))&gt;='Back Calculations'!$C$111,'Back Calculations'!$C$111,
'Back Calculations'!C$110*IF(Doubling_rate_modelled="Combined",
IF(C209&lt;='Back Calculations'!$J$94,
2^(C209/('Back Calculations'!$F$94/7)),
(2^((C209-'Back Calculations'!$J$94)/('Back Calculations'!$H$94/7)))*(2^('Back Calculations'!$J$94/('Back Calculations'!$F$94/7)))),
2^(C209/(VLOOKUP(Doubling_rate_modelled,'Back Calculations'!$B$89:$C$99,2,FALSE)/7)))))</f>
        <v>3735854.6</v>
      </c>
      <c r="E209" s="2"/>
    </row>
    <row r="210" spans="2:13" s="722" customFormat="1" ht="15.65" customHeight="1" x14ac:dyDescent="0.35">
      <c r="B210" s="195" t="str">
        <f t="shared" si="48"/>
        <v/>
      </c>
      <c r="C210" s="195">
        <v>23</v>
      </c>
      <c r="D210" s="367">
        <f>IF(C210="","",IF(('Back Calculations'!C$110*IF(Doubling_rate_modelled="Combined",
IF(C210&lt;='Back Calculations'!$J$94,
2^(C210/('Back Calculations'!$F$94/7)),
(2^((C210-'Back Calculations'!$J$94)/('Back Calculations'!$H$94/7)))*(2^('Back Calculations'!$J$94/('Back Calculations'!$F$94/7)))),
2^(C210/(VLOOKUP(Doubling_rate_modelled,'Back Calculations'!$B$89:$C$99,2,FALSE)/7))))&gt;='Back Calculations'!$C$111,'Back Calculations'!$C$111,
'Back Calculations'!C$110*IF(Doubling_rate_modelled="Combined",
IF(C210&lt;='Back Calculations'!$J$94,
2^(C210/('Back Calculations'!$F$94/7)),
(2^((C210-'Back Calculations'!$J$94)/('Back Calculations'!$H$94/7)))*(2^('Back Calculations'!$J$94/('Back Calculations'!$F$94/7)))),
2^(C210/(VLOOKUP(Doubling_rate_modelled,'Back Calculations'!$B$89:$C$99,2,FALSE)/7)))))</f>
        <v>3735854.6</v>
      </c>
      <c r="E210" s="2"/>
    </row>
    <row r="211" spans="2:13" s="722" customFormat="1" ht="15.65" customHeight="1" x14ac:dyDescent="0.35">
      <c r="B211" s="195" t="str">
        <f t="shared" si="48"/>
        <v/>
      </c>
      <c r="C211" s="195">
        <v>24</v>
      </c>
      <c r="D211" s="367">
        <f>IF(C211="","",IF(('Back Calculations'!C$110*IF(Doubling_rate_modelled="Combined",
IF(C211&lt;='Back Calculations'!$J$94,
2^(C211/('Back Calculations'!$F$94/7)),
(2^((C211-'Back Calculations'!$J$94)/('Back Calculations'!$H$94/7)))*(2^('Back Calculations'!$J$94/('Back Calculations'!$F$94/7)))),
2^(C211/(VLOOKUP(Doubling_rate_modelled,'Back Calculations'!$B$89:$C$99,2,FALSE)/7))))&gt;='Back Calculations'!$C$111,'Back Calculations'!$C$111,
'Back Calculations'!C$110*IF(Doubling_rate_modelled="Combined",
IF(C211&lt;='Back Calculations'!$J$94,
2^(C211/('Back Calculations'!$F$94/7)),
(2^((C211-'Back Calculations'!$J$94)/('Back Calculations'!$H$94/7)))*(2^('Back Calculations'!$J$94/('Back Calculations'!$F$94/7)))),
2^(C211/(VLOOKUP(Doubling_rate_modelled,'Back Calculations'!$B$89:$C$99,2,FALSE)/7)))))</f>
        <v>3735854.6</v>
      </c>
      <c r="E211" s="2"/>
    </row>
    <row r="212" spans="2:13" s="722" customFormat="1" ht="15.65" customHeight="1" x14ac:dyDescent="0.35">
      <c r="B212" s="195" t="str">
        <f t="shared" si="48"/>
        <v/>
      </c>
      <c r="C212" s="195">
        <v>25</v>
      </c>
      <c r="D212" s="367">
        <f>IF(C212="","",IF(('Back Calculations'!C$110*IF(Doubling_rate_modelled="Combined",
IF(C212&lt;='Back Calculations'!$J$94,
2^(C212/('Back Calculations'!$F$94/7)),
(2^((C212-'Back Calculations'!$J$94)/('Back Calculations'!$H$94/7)))*(2^('Back Calculations'!$J$94/('Back Calculations'!$F$94/7)))),
2^(C212/(VLOOKUP(Doubling_rate_modelled,'Back Calculations'!$B$89:$C$99,2,FALSE)/7))))&gt;='Back Calculations'!$C$111,'Back Calculations'!$C$111,
'Back Calculations'!C$110*IF(Doubling_rate_modelled="Combined",
IF(C212&lt;='Back Calculations'!$J$94,
2^(C212/('Back Calculations'!$F$94/7)),
(2^((C212-'Back Calculations'!$J$94)/('Back Calculations'!$H$94/7)))*(2^('Back Calculations'!$J$94/('Back Calculations'!$F$94/7)))),
2^(C212/(VLOOKUP(Doubling_rate_modelled,'Back Calculations'!$B$89:$C$99,2,FALSE)/7)))))</f>
        <v>3735854.6</v>
      </c>
      <c r="E212" s="2"/>
    </row>
    <row r="213" spans="2:13" s="722" customFormat="1" ht="15.65" customHeight="1" x14ac:dyDescent="0.35">
      <c r="B213" s="195" t="str">
        <f t="shared" si="48"/>
        <v/>
      </c>
      <c r="C213" s="195">
        <v>26</v>
      </c>
      <c r="D213" s="367">
        <f>IF(C213="","",IF(('Back Calculations'!C$110*IF(Doubling_rate_modelled="Combined",
IF(C213&lt;='Back Calculations'!$J$94,
2^(C213/('Back Calculations'!$F$94/7)),
(2^((C213-'Back Calculations'!$J$94)/('Back Calculations'!$H$94/7)))*(2^('Back Calculations'!$J$94/('Back Calculations'!$F$94/7)))),
2^(C213/(VLOOKUP(Doubling_rate_modelled,'Back Calculations'!$B$89:$C$99,2,FALSE)/7))))&gt;='Back Calculations'!$C$111,'Back Calculations'!$C$111,
'Back Calculations'!C$110*IF(Doubling_rate_modelled="Combined",
IF(C213&lt;='Back Calculations'!$J$94,
2^(C213/('Back Calculations'!$F$94/7)),
(2^((C213-'Back Calculations'!$J$94)/('Back Calculations'!$H$94/7)))*(2^('Back Calculations'!$J$94/('Back Calculations'!$F$94/7)))),
2^(C213/(VLOOKUP(Doubling_rate_modelled,'Back Calculations'!$B$89:$C$99,2,FALSE)/7)))))</f>
        <v>3735854.6</v>
      </c>
      <c r="E213" s="2"/>
    </row>
    <row r="214" spans="2:13" s="722" customFormat="1" ht="15.65" customHeight="1" x14ac:dyDescent="0.35">
      <c r="B214" s="195" t="str">
        <f t="shared" si="48"/>
        <v/>
      </c>
      <c r="C214" s="195">
        <v>27</v>
      </c>
      <c r="D214" s="367">
        <f>IF(C214="","",IF(('Back Calculations'!C$110*IF(Doubling_rate_modelled="Combined",
IF(C214&lt;='Back Calculations'!$J$94,
2^(C214/('Back Calculations'!$F$94/7)),
(2^((C214-'Back Calculations'!$J$94)/('Back Calculations'!$H$94/7)))*(2^('Back Calculations'!$J$94/('Back Calculations'!$F$94/7)))),
2^(C214/(VLOOKUP(Doubling_rate_modelled,'Back Calculations'!$B$89:$C$99,2,FALSE)/7))))&gt;='Back Calculations'!$C$111,'Back Calculations'!$C$111,
'Back Calculations'!C$110*IF(Doubling_rate_modelled="Combined",
IF(C214&lt;='Back Calculations'!$J$94,
2^(C214/('Back Calculations'!$F$94/7)),
(2^((C214-'Back Calculations'!$J$94)/('Back Calculations'!$H$94/7)))*(2^('Back Calculations'!$J$94/('Back Calculations'!$F$94/7)))),
2^(C214/(VLOOKUP(Doubling_rate_modelled,'Back Calculations'!$B$89:$C$99,2,FALSE)/7)))))</f>
        <v>3735854.6</v>
      </c>
      <c r="E214" s="2"/>
    </row>
    <row r="215" spans="2:13" s="722" customFormat="1" ht="15.65" customHeight="1" x14ac:dyDescent="0.35">
      <c r="B215" s="195" t="str">
        <f t="shared" si="48"/>
        <v/>
      </c>
      <c r="C215" s="195">
        <v>28</v>
      </c>
      <c r="D215" s="367">
        <f>IF(C215="","",IF(('Back Calculations'!C$110*IF(Doubling_rate_modelled="Combined",
IF(C215&lt;='Back Calculations'!$J$94,
2^(C215/('Back Calculations'!$F$94/7)),
(2^((C215-'Back Calculations'!$J$94)/('Back Calculations'!$H$94/7)))*(2^('Back Calculations'!$J$94/('Back Calculations'!$F$94/7)))),
2^(C215/(VLOOKUP(Doubling_rate_modelled,'Back Calculations'!$B$89:$C$99,2,FALSE)/7))))&gt;='Back Calculations'!$C$111,'Back Calculations'!$C$111,
'Back Calculations'!C$110*IF(Doubling_rate_modelled="Combined",
IF(C215&lt;='Back Calculations'!$J$94,
2^(C215/('Back Calculations'!$F$94/7)),
(2^((C215-'Back Calculations'!$J$94)/('Back Calculations'!$H$94/7)))*(2^('Back Calculations'!$J$94/('Back Calculations'!$F$94/7)))),
2^(C215/(VLOOKUP(Doubling_rate_modelled,'Back Calculations'!$B$89:$C$99,2,FALSE)/7)))))</f>
        <v>3735854.6</v>
      </c>
      <c r="E215" s="2"/>
    </row>
    <row r="216" spans="2:13" s="722" customFormat="1" ht="15.65" customHeight="1" x14ac:dyDescent="0.35">
      <c r="B216" s="195" t="str">
        <f t="shared" si="48"/>
        <v/>
      </c>
      <c r="C216" s="195">
        <v>29</v>
      </c>
      <c r="D216" s="367">
        <f>IF(C216="","",IF(('Back Calculations'!C$110*IF(Doubling_rate_modelled="Combined",
IF(C216&lt;='Back Calculations'!$J$94,
2^(C216/('Back Calculations'!$F$94/7)),
(2^((C216-'Back Calculations'!$J$94)/('Back Calculations'!$H$94/7)))*(2^('Back Calculations'!$J$94/('Back Calculations'!$F$94/7)))),
2^(C216/(VLOOKUP(Doubling_rate_modelled,'Back Calculations'!$B$89:$C$99,2,FALSE)/7))))&gt;='Back Calculations'!$C$111,'Back Calculations'!$C$111,
'Back Calculations'!C$110*IF(Doubling_rate_modelled="Combined",
IF(C216&lt;='Back Calculations'!$J$94,
2^(C216/('Back Calculations'!$F$94/7)),
(2^((C216-'Back Calculations'!$J$94)/('Back Calculations'!$H$94/7)))*(2^('Back Calculations'!$J$94/('Back Calculations'!$F$94/7)))),
2^(C216/(VLOOKUP(Doubling_rate_modelled,'Back Calculations'!$B$89:$C$99,2,FALSE)/7)))))</f>
        <v>3735854.6</v>
      </c>
      <c r="E216" s="2"/>
    </row>
    <row r="217" spans="2:13" s="722" customFormat="1" ht="15.65" customHeight="1" x14ac:dyDescent="0.35">
      <c r="B217" s="195" t="str">
        <f t="shared" si="48"/>
        <v/>
      </c>
      <c r="C217" s="195">
        <v>30</v>
      </c>
      <c r="D217" s="367">
        <f>IF(C217="","",IF(('Back Calculations'!C$110*IF(Doubling_rate_modelled="Combined",
IF(C217&lt;='Back Calculations'!$J$94,
2^(C217/('Back Calculations'!$F$94/7)),
(2^((C217-'Back Calculations'!$J$94)/('Back Calculations'!$H$94/7)))*(2^('Back Calculations'!$J$94/('Back Calculations'!$F$94/7)))),
2^(C217/(VLOOKUP(Doubling_rate_modelled,'Back Calculations'!$B$89:$C$99,2,FALSE)/7))))&gt;='Back Calculations'!$C$111,'Back Calculations'!$C$111,
'Back Calculations'!C$110*IF(Doubling_rate_modelled="Combined",
IF(C217&lt;='Back Calculations'!$J$94,
2^(C217/('Back Calculations'!$F$94/7)),
(2^((C217-'Back Calculations'!$J$94)/('Back Calculations'!$H$94/7)))*(2^('Back Calculations'!$J$94/('Back Calculations'!$F$94/7)))),
2^(C217/(VLOOKUP(Doubling_rate_modelled,'Back Calculations'!$B$89:$C$99,2,FALSE)/7)))))</f>
        <v>3735854.6</v>
      </c>
      <c r="E217" s="2"/>
    </row>
    <row r="218" spans="2:13" s="722" customFormat="1" ht="15.65" customHeight="1" x14ac:dyDescent="0.35">
      <c r="B218" s="195" t="str">
        <f t="shared" si="48"/>
        <v/>
      </c>
      <c r="C218" s="195">
        <v>31</v>
      </c>
      <c r="D218" s="367">
        <f>IF(C218="","",IF(('Back Calculations'!C$110*IF(Doubling_rate_modelled="Combined",
IF(C218&lt;='Back Calculations'!$J$94,
2^(C218/('Back Calculations'!$F$94/7)),
(2^((C218-'Back Calculations'!$J$94)/('Back Calculations'!$H$94/7)))*(2^('Back Calculations'!$J$94/('Back Calculations'!$F$94/7)))),
2^(C218/(VLOOKUP(Doubling_rate_modelled,'Back Calculations'!$B$89:$C$99,2,FALSE)/7))))&gt;='Back Calculations'!$C$111,'Back Calculations'!$C$111,
'Back Calculations'!C$110*IF(Doubling_rate_modelled="Combined",
IF(C218&lt;='Back Calculations'!$J$94,
2^(C218/('Back Calculations'!$F$94/7)),
(2^((C218-'Back Calculations'!$J$94)/('Back Calculations'!$H$94/7)))*(2^('Back Calculations'!$J$94/('Back Calculations'!$F$94/7)))),
2^(C218/(VLOOKUP(Doubling_rate_modelled,'Back Calculations'!$B$89:$C$99,2,FALSE)/7)))))</f>
        <v>3735854.6</v>
      </c>
      <c r="E218" s="2"/>
      <c r="L218" s="71"/>
      <c r="M218" s="71"/>
    </row>
    <row r="219" spans="2:13" s="722" customFormat="1" x14ac:dyDescent="0.35">
      <c r="B219" s="195" t="str">
        <f t="shared" si="48"/>
        <v/>
      </c>
      <c r="C219" s="195">
        <v>32</v>
      </c>
      <c r="D219" s="367">
        <f>IF(C219="","",IF(('Back Calculations'!C$110*IF(Doubling_rate_modelled="Combined",
IF(C219&lt;='Back Calculations'!$J$94,
2^(C219/('Back Calculations'!$F$94/7)),
(2^((C219-'Back Calculations'!$J$94)/('Back Calculations'!$H$94/7)))*(2^('Back Calculations'!$J$94/('Back Calculations'!$F$94/7)))),
2^(C219/(VLOOKUP(Doubling_rate_modelled,'Back Calculations'!$B$89:$C$99,2,FALSE)/7))))&gt;='Back Calculations'!$C$111,'Back Calculations'!$C$111,
'Back Calculations'!C$110*IF(Doubling_rate_modelled="Combined",
IF(C219&lt;='Back Calculations'!$J$94,
2^(C219/('Back Calculations'!$F$94/7)),
(2^((C219-'Back Calculations'!$J$94)/('Back Calculations'!$H$94/7)))*(2^('Back Calculations'!$J$94/('Back Calculations'!$F$94/7)))),
2^(C219/(VLOOKUP(Doubling_rate_modelled,'Back Calculations'!$B$89:$C$99,2,FALSE)/7)))))</f>
        <v>3735854.6</v>
      </c>
      <c r="E219" s="2"/>
      <c r="L219" s="71"/>
      <c r="M219" s="71"/>
    </row>
    <row r="220" spans="2:13" s="722" customFormat="1" x14ac:dyDescent="0.35">
      <c r="B220" s="195" t="str">
        <f t="shared" ref="B220:B240" si="49">IFERROR(IF(B219+1&lt;=WeekSuppliedUntil,B219+1,""),"")</f>
        <v/>
      </c>
      <c r="C220" s="195">
        <v>33</v>
      </c>
      <c r="D220" s="367">
        <f>IF(C220="","",IF(('Back Calculations'!C$110*IF(Doubling_rate_modelled="Combined",
IF(C220&lt;='Back Calculations'!$J$94,
2^(C220/('Back Calculations'!$F$94/7)),
(2^((C220-'Back Calculations'!$J$94)/('Back Calculations'!$H$94/7)))*(2^('Back Calculations'!$J$94/('Back Calculations'!$F$94/7)))),
2^(C220/(VLOOKUP(Doubling_rate_modelled,'Back Calculations'!$B$89:$C$99,2,FALSE)/7))))&gt;='Back Calculations'!$C$111,'Back Calculations'!$C$111,
'Back Calculations'!C$110*IF(Doubling_rate_modelled="Combined",
IF(C220&lt;='Back Calculations'!$J$94,
2^(C220/('Back Calculations'!$F$94/7)),
(2^((C220-'Back Calculations'!$J$94)/('Back Calculations'!$H$94/7)))*(2^('Back Calculations'!$J$94/('Back Calculations'!$F$94/7)))),
2^(C220/(VLOOKUP(Doubling_rate_modelled,'Back Calculations'!$B$89:$C$99,2,FALSE)/7)))))</f>
        <v>3735854.6</v>
      </c>
      <c r="E220" s="2"/>
    </row>
    <row r="221" spans="2:13" s="722" customFormat="1" x14ac:dyDescent="0.35">
      <c r="B221" s="195" t="str">
        <f t="shared" si="49"/>
        <v/>
      </c>
      <c r="C221" s="195">
        <v>34</v>
      </c>
      <c r="D221" s="367">
        <f>IF(C221="","",IF(('Back Calculations'!C$110*IF(Doubling_rate_modelled="Combined",
IF(C221&lt;='Back Calculations'!$J$94,
2^(C221/('Back Calculations'!$F$94/7)),
(2^((C221-'Back Calculations'!$J$94)/('Back Calculations'!$H$94/7)))*(2^('Back Calculations'!$J$94/('Back Calculations'!$F$94/7)))),
2^(C221/(VLOOKUP(Doubling_rate_modelled,'Back Calculations'!$B$89:$C$99,2,FALSE)/7))))&gt;='Back Calculations'!$C$111,'Back Calculations'!$C$111,
'Back Calculations'!C$110*IF(Doubling_rate_modelled="Combined",
IF(C221&lt;='Back Calculations'!$J$94,
2^(C221/('Back Calculations'!$F$94/7)),
(2^((C221-'Back Calculations'!$J$94)/('Back Calculations'!$H$94/7)))*(2^('Back Calculations'!$J$94/('Back Calculations'!$F$94/7)))),
2^(C221/(VLOOKUP(Doubling_rate_modelled,'Back Calculations'!$B$89:$C$99,2,FALSE)/7)))))</f>
        <v>3735854.6</v>
      </c>
      <c r="E221" s="2"/>
    </row>
    <row r="222" spans="2:13" s="722" customFormat="1" x14ac:dyDescent="0.35">
      <c r="B222" s="195" t="str">
        <f t="shared" si="49"/>
        <v/>
      </c>
      <c r="C222" s="195">
        <v>35</v>
      </c>
      <c r="D222" s="367">
        <f>IF(C222="","",IF(('Back Calculations'!C$110*IF(Doubling_rate_modelled="Combined",
IF(C222&lt;='Back Calculations'!$J$94,
2^(C222/('Back Calculations'!$F$94/7)),
(2^((C222-'Back Calculations'!$J$94)/('Back Calculations'!$H$94/7)))*(2^('Back Calculations'!$J$94/('Back Calculations'!$F$94/7)))),
2^(C222/(VLOOKUP(Doubling_rate_modelled,'Back Calculations'!$B$89:$C$99,2,FALSE)/7))))&gt;='Back Calculations'!$C$111,'Back Calculations'!$C$111,
'Back Calculations'!C$110*IF(Doubling_rate_modelled="Combined",
IF(C222&lt;='Back Calculations'!$J$94,
2^(C222/('Back Calculations'!$F$94/7)),
(2^((C222-'Back Calculations'!$J$94)/('Back Calculations'!$H$94/7)))*(2^('Back Calculations'!$J$94/('Back Calculations'!$F$94/7)))),
2^(C222/(VLOOKUP(Doubling_rate_modelled,'Back Calculations'!$B$89:$C$99,2,FALSE)/7)))))</f>
        <v>3735854.6</v>
      </c>
      <c r="E222" s="2"/>
    </row>
    <row r="223" spans="2:13" s="722" customFormat="1" x14ac:dyDescent="0.35">
      <c r="B223" s="195" t="str">
        <f t="shared" si="49"/>
        <v/>
      </c>
      <c r="C223" s="195">
        <v>36</v>
      </c>
      <c r="D223" s="367">
        <f>IF(C223="","",IF(('Back Calculations'!C$110*IF(Doubling_rate_modelled="Combined",
IF(C223&lt;='Back Calculations'!$J$94,
2^(C223/('Back Calculations'!$F$94/7)),
(2^((C223-'Back Calculations'!$J$94)/('Back Calculations'!$H$94/7)))*(2^('Back Calculations'!$J$94/('Back Calculations'!$F$94/7)))),
2^(C223/(VLOOKUP(Doubling_rate_modelled,'Back Calculations'!$B$89:$C$99,2,FALSE)/7))))&gt;='Back Calculations'!$C$111,'Back Calculations'!$C$111,
'Back Calculations'!C$110*IF(Doubling_rate_modelled="Combined",
IF(C223&lt;='Back Calculations'!$J$94,
2^(C223/('Back Calculations'!$F$94/7)),
(2^((C223-'Back Calculations'!$J$94)/('Back Calculations'!$H$94/7)))*(2^('Back Calculations'!$J$94/('Back Calculations'!$F$94/7)))),
2^(C223/(VLOOKUP(Doubling_rate_modelled,'Back Calculations'!$B$89:$C$99,2,FALSE)/7)))))</f>
        <v>3735854.6</v>
      </c>
      <c r="E223" s="2"/>
    </row>
    <row r="224" spans="2:13" s="722" customFormat="1" x14ac:dyDescent="0.35">
      <c r="B224" s="195" t="str">
        <f t="shared" si="49"/>
        <v/>
      </c>
      <c r="C224" s="195">
        <v>37</v>
      </c>
      <c r="D224" s="367">
        <f>IF(C224="","",IF(('Back Calculations'!C$110*IF(Doubling_rate_modelled="Combined",
IF(C224&lt;='Back Calculations'!$J$94,
2^(C224/('Back Calculations'!$F$94/7)),
(2^((C224-'Back Calculations'!$J$94)/('Back Calculations'!$H$94/7)))*(2^('Back Calculations'!$J$94/('Back Calculations'!$F$94/7)))),
2^(C224/(VLOOKUP(Doubling_rate_modelled,'Back Calculations'!$B$89:$C$99,2,FALSE)/7))))&gt;='Back Calculations'!$C$111,'Back Calculations'!$C$111,
'Back Calculations'!C$110*IF(Doubling_rate_modelled="Combined",
IF(C224&lt;='Back Calculations'!$J$94,
2^(C224/('Back Calculations'!$F$94/7)),
(2^((C224-'Back Calculations'!$J$94)/('Back Calculations'!$H$94/7)))*(2^('Back Calculations'!$J$94/('Back Calculations'!$F$94/7)))),
2^(C224/(VLOOKUP(Doubling_rate_modelled,'Back Calculations'!$B$89:$C$99,2,FALSE)/7)))))</f>
        <v>3735854.6</v>
      </c>
      <c r="E224" s="2"/>
    </row>
    <row r="225" spans="2:22" s="722" customFormat="1" x14ac:dyDescent="0.35">
      <c r="B225" s="195" t="str">
        <f t="shared" si="49"/>
        <v/>
      </c>
      <c r="C225" s="195">
        <v>38</v>
      </c>
      <c r="D225" s="367">
        <f>IF(C225="","",IF(('Back Calculations'!C$110*IF(Doubling_rate_modelled="Combined",
IF(C225&lt;='Back Calculations'!$J$94,
2^(C225/('Back Calculations'!$F$94/7)),
(2^((C225-'Back Calculations'!$J$94)/('Back Calculations'!$H$94/7)))*(2^('Back Calculations'!$J$94/('Back Calculations'!$F$94/7)))),
2^(C225/(VLOOKUP(Doubling_rate_modelled,'Back Calculations'!$B$89:$C$99,2,FALSE)/7))))&gt;='Back Calculations'!$C$111,'Back Calculations'!$C$111,
'Back Calculations'!C$110*IF(Doubling_rate_modelled="Combined",
IF(C225&lt;='Back Calculations'!$J$94,
2^(C225/('Back Calculations'!$F$94/7)),
(2^((C225-'Back Calculations'!$J$94)/('Back Calculations'!$H$94/7)))*(2^('Back Calculations'!$J$94/('Back Calculations'!$F$94/7)))),
2^(C225/(VLOOKUP(Doubling_rate_modelled,'Back Calculations'!$B$89:$C$99,2,FALSE)/7)))))</f>
        <v>3735854.6</v>
      </c>
      <c r="E225" s="2"/>
    </row>
    <row r="226" spans="2:22" s="722" customFormat="1" x14ac:dyDescent="0.35">
      <c r="B226" s="195" t="str">
        <f t="shared" si="49"/>
        <v/>
      </c>
      <c r="C226" s="195">
        <v>39</v>
      </c>
      <c r="D226" s="367">
        <f>IF(C226="","",IF(('Back Calculations'!C$110*IF(Doubling_rate_modelled="Combined",
IF(C226&lt;='Back Calculations'!$J$94,
2^(C226/('Back Calculations'!$F$94/7)),
(2^((C226-'Back Calculations'!$J$94)/('Back Calculations'!$H$94/7)))*(2^('Back Calculations'!$J$94/('Back Calculations'!$F$94/7)))),
2^(C226/(VLOOKUP(Doubling_rate_modelled,'Back Calculations'!$B$89:$C$99,2,FALSE)/7))))&gt;='Back Calculations'!$C$111,'Back Calculations'!$C$111,
'Back Calculations'!C$110*IF(Doubling_rate_modelled="Combined",
IF(C226&lt;='Back Calculations'!$J$94,
2^(C226/('Back Calculations'!$F$94/7)),
(2^((C226-'Back Calculations'!$J$94)/('Back Calculations'!$H$94/7)))*(2^('Back Calculations'!$J$94/('Back Calculations'!$F$94/7)))),
2^(C226/(VLOOKUP(Doubling_rate_modelled,'Back Calculations'!$B$89:$C$99,2,FALSE)/7)))))</f>
        <v>3735854.6</v>
      </c>
      <c r="E226" s="2"/>
    </row>
    <row r="227" spans="2:22" s="722" customFormat="1" x14ac:dyDescent="0.35">
      <c r="B227" s="195" t="str">
        <f t="shared" si="49"/>
        <v/>
      </c>
      <c r="C227" s="195">
        <v>40</v>
      </c>
      <c r="D227" s="367">
        <f>IF(C227="","",IF(('Back Calculations'!C$110*IF(Doubling_rate_modelled="Combined",
IF(C227&lt;='Back Calculations'!$J$94,
2^(C227/('Back Calculations'!$F$94/7)),
(2^((C227-'Back Calculations'!$J$94)/('Back Calculations'!$H$94/7)))*(2^('Back Calculations'!$J$94/('Back Calculations'!$F$94/7)))),
2^(C227/(VLOOKUP(Doubling_rate_modelled,'Back Calculations'!$B$89:$C$99,2,FALSE)/7))))&gt;='Back Calculations'!$C$111,'Back Calculations'!$C$111,
'Back Calculations'!C$110*IF(Doubling_rate_modelled="Combined",
IF(C227&lt;='Back Calculations'!$J$94,
2^(C227/('Back Calculations'!$F$94/7)),
(2^((C227-'Back Calculations'!$J$94)/('Back Calculations'!$H$94/7)))*(2^('Back Calculations'!$J$94/('Back Calculations'!$F$94/7)))),
2^(C227/(VLOOKUP(Doubling_rate_modelled,'Back Calculations'!$B$89:$C$99,2,FALSE)/7)))))</f>
        <v>3735854.6</v>
      </c>
      <c r="E227" s="2"/>
    </row>
    <row r="228" spans="2:22" s="722" customFormat="1" x14ac:dyDescent="0.35">
      <c r="B228" s="195" t="str">
        <f t="shared" si="49"/>
        <v/>
      </c>
      <c r="C228" s="195">
        <v>41</v>
      </c>
      <c r="D228" s="367">
        <f>IF(C228="","",IF(('Back Calculations'!C$110*IF(Doubling_rate_modelled="Combined",
IF(C228&lt;='Back Calculations'!$J$94,
2^(C228/('Back Calculations'!$F$94/7)),
(2^((C228-'Back Calculations'!$J$94)/('Back Calculations'!$H$94/7)))*(2^('Back Calculations'!$J$94/('Back Calculations'!$F$94/7)))),
2^(C228/(VLOOKUP(Doubling_rate_modelled,'Back Calculations'!$B$89:$C$99,2,FALSE)/7))))&gt;='Back Calculations'!$C$111,'Back Calculations'!$C$111,
'Back Calculations'!C$110*IF(Doubling_rate_modelled="Combined",
IF(C228&lt;='Back Calculations'!$J$94,
2^(C228/('Back Calculations'!$F$94/7)),
(2^((C228-'Back Calculations'!$J$94)/('Back Calculations'!$H$94/7)))*(2^('Back Calculations'!$J$94/('Back Calculations'!$F$94/7)))),
2^(C228/(VLOOKUP(Doubling_rate_modelled,'Back Calculations'!$B$89:$C$99,2,FALSE)/7)))))</f>
        <v>3735854.6</v>
      </c>
      <c r="E228" s="2"/>
    </row>
    <row r="229" spans="2:22" s="722" customFormat="1" x14ac:dyDescent="0.35">
      <c r="B229" s="195" t="str">
        <f t="shared" si="49"/>
        <v/>
      </c>
      <c r="C229" s="195">
        <v>42</v>
      </c>
      <c r="D229" s="367">
        <f>IF(C229="","",IF(('Back Calculations'!C$110*IF(Doubling_rate_modelled="Combined",
IF(C229&lt;='Back Calculations'!$J$94,
2^(C229/('Back Calculations'!$F$94/7)),
(2^((C229-'Back Calculations'!$J$94)/('Back Calculations'!$H$94/7)))*(2^('Back Calculations'!$J$94/('Back Calculations'!$F$94/7)))),
2^(C229/(VLOOKUP(Doubling_rate_modelled,'Back Calculations'!$B$89:$C$99,2,FALSE)/7))))&gt;='Back Calculations'!$C$111,'Back Calculations'!$C$111,
'Back Calculations'!C$110*IF(Doubling_rate_modelled="Combined",
IF(C229&lt;='Back Calculations'!$J$94,
2^(C229/('Back Calculations'!$F$94/7)),
(2^((C229-'Back Calculations'!$J$94)/('Back Calculations'!$H$94/7)))*(2^('Back Calculations'!$J$94/('Back Calculations'!$F$94/7)))),
2^(C229/(VLOOKUP(Doubling_rate_modelled,'Back Calculations'!$B$89:$C$99,2,FALSE)/7)))))</f>
        <v>3735854.6</v>
      </c>
      <c r="E229" s="2"/>
    </row>
    <row r="230" spans="2:22" s="722" customFormat="1" x14ac:dyDescent="0.35">
      <c r="B230" s="195" t="str">
        <f t="shared" si="49"/>
        <v/>
      </c>
      <c r="C230" s="195">
        <v>43</v>
      </c>
      <c r="D230" s="367">
        <f>IF(C230="","",IF(('Back Calculations'!C$110*IF(Doubling_rate_modelled="Combined",
IF(C230&lt;='Back Calculations'!$J$94,
2^(C230/('Back Calculations'!$F$94/7)),
(2^((C230-'Back Calculations'!$J$94)/('Back Calculations'!$H$94/7)))*(2^('Back Calculations'!$J$94/('Back Calculations'!$F$94/7)))),
2^(C230/(VLOOKUP(Doubling_rate_modelled,'Back Calculations'!$B$89:$C$99,2,FALSE)/7))))&gt;='Back Calculations'!$C$111,'Back Calculations'!$C$111,
'Back Calculations'!C$110*IF(Doubling_rate_modelled="Combined",
IF(C230&lt;='Back Calculations'!$J$94,
2^(C230/('Back Calculations'!$F$94/7)),
(2^((C230-'Back Calculations'!$J$94)/('Back Calculations'!$H$94/7)))*(2^('Back Calculations'!$J$94/('Back Calculations'!$F$94/7)))),
2^(C230/(VLOOKUP(Doubling_rate_modelled,'Back Calculations'!$B$89:$C$99,2,FALSE)/7)))))</f>
        <v>3735854.6</v>
      </c>
      <c r="E230" s="2"/>
    </row>
    <row r="231" spans="2:22" s="722" customFormat="1" x14ac:dyDescent="0.35">
      <c r="B231" s="195" t="str">
        <f t="shared" si="49"/>
        <v/>
      </c>
      <c r="C231" s="195">
        <v>44</v>
      </c>
      <c r="D231" s="367">
        <f>IF(C231="","",IF(('Back Calculations'!C$110*IF(Doubling_rate_modelled="Combined",
IF(C231&lt;='Back Calculations'!$J$94,
2^(C231/('Back Calculations'!$F$94/7)),
(2^((C231-'Back Calculations'!$J$94)/('Back Calculations'!$H$94/7)))*(2^('Back Calculations'!$J$94/('Back Calculations'!$F$94/7)))),
2^(C231/(VLOOKUP(Doubling_rate_modelled,'Back Calculations'!$B$89:$C$99,2,FALSE)/7))))&gt;='Back Calculations'!$C$111,'Back Calculations'!$C$111,
'Back Calculations'!C$110*IF(Doubling_rate_modelled="Combined",
IF(C231&lt;='Back Calculations'!$J$94,
2^(C231/('Back Calculations'!$F$94/7)),
(2^((C231-'Back Calculations'!$J$94)/('Back Calculations'!$H$94/7)))*(2^('Back Calculations'!$J$94/('Back Calculations'!$F$94/7)))),
2^(C231/(VLOOKUP(Doubling_rate_modelled,'Back Calculations'!$B$89:$C$99,2,FALSE)/7)))))</f>
        <v>3735854.6</v>
      </c>
      <c r="E231" s="2"/>
    </row>
    <row r="232" spans="2:22" s="722" customFormat="1" x14ac:dyDescent="0.35">
      <c r="B232" s="195" t="str">
        <f t="shared" si="49"/>
        <v/>
      </c>
      <c r="C232" s="195">
        <v>45</v>
      </c>
      <c r="D232" s="367">
        <f>IF(C232="","",IF(('Back Calculations'!C$110*IF(Doubling_rate_modelled="Combined",
IF(C232&lt;='Back Calculations'!$J$94,
2^(C232/('Back Calculations'!$F$94/7)),
(2^((C232-'Back Calculations'!$J$94)/('Back Calculations'!$H$94/7)))*(2^('Back Calculations'!$J$94/('Back Calculations'!$F$94/7)))),
2^(C232/(VLOOKUP(Doubling_rate_modelled,'Back Calculations'!$B$89:$C$99,2,FALSE)/7))))&gt;='Back Calculations'!$C$111,'Back Calculations'!$C$111,
'Back Calculations'!C$110*IF(Doubling_rate_modelled="Combined",
IF(C232&lt;='Back Calculations'!$J$94,
2^(C232/('Back Calculations'!$F$94/7)),
(2^((C232-'Back Calculations'!$J$94)/('Back Calculations'!$H$94/7)))*(2^('Back Calculations'!$J$94/('Back Calculations'!$F$94/7)))),
2^(C232/(VLOOKUP(Doubling_rate_modelled,'Back Calculations'!$B$89:$C$99,2,FALSE)/7)))))</f>
        <v>3735854.6</v>
      </c>
      <c r="E232" s="2"/>
    </row>
    <row r="233" spans="2:22" s="722" customFormat="1" x14ac:dyDescent="0.35">
      <c r="B233" s="195" t="str">
        <f t="shared" si="49"/>
        <v/>
      </c>
      <c r="C233" s="195">
        <v>46</v>
      </c>
      <c r="D233" s="367">
        <f>IF(C233="","",IF(('Back Calculations'!C$110*IF(Doubling_rate_modelled="Combined",
IF(C233&lt;='Back Calculations'!$J$94,
2^(C233/('Back Calculations'!$F$94/7)),
(2^((C233-'Back Calculations'!$J$94)/('Back Calculations'!$H$94/7)))*(2^('Back Calculations'!$J$94/('Back Calculations'!$F$94/7)))),
2^(C233/(VLOOKUP(Doubling_rate_modelled,'Back Calculations'!$B$89:$C$99,2,FALSE)/7))))&gt;='Back Calculations'!$C$111,'Back Calculations'!$C$111,
'Back Calculations'!C$110*IF(Doubling_rate_modelled="Combined",
IF(C233&lt;='Back Calculations'!$J$94,
2^(C233/('Back Calculations'!$F$94/7)),
(2^((C233-'Back Calculations'!$J$94)/('Back Calculations'!$H$94/7)))*(2^('Back Calculations'!$J$94/('Back Calculations'!$F$94/7)))),
2^(C233/(VLOOKUP(Doubling_rate_modelled,'Back Calculations'!$B$89:$C$99,2,FALSE)/7)))))</f>
        <v>3735854.6</v>
      </c>
      <c r="E233" s="2"/>
    </row>
    <row r="234" spans="2:22" s="722" customFormat="1" x14ac:dyDescent="0.35">
      <c r="B234" s="195" t="str">
        <f t="shared" si="49"/>
        <v/>
      </c>
      <c r="C234" s="195">
        <v>47</v>
      </c>
      <c r="D234" s="367">
        <f>IF(C234="","",IF(('Back Calculations'!C$110*IF(Doubling_rate_modelled="Combined",
IF(C234&lt;='Back Calculations'!$J$94,
2^(C234/('Back Calculations'!$F$94/7)),
(2^((C234-'Back Calculations'!$J$94)/('Back Calculations'!$H$94/7)))*(2^('Back Calculations'!$J$94/('Back Calculations'!$F$94/7)))),
2^(C234/(VLOOKUP(Doubling_rate_modelled,'Back Calculations'!$B$89:$C$99,2,FALSE)/7))))&gt;='Back Calculations'!$C$111,'Back Calculations'!$C$111,
'Back Calculations'!C$110*IF(Doubling_rate_modelled="Combined",
IF(C234&lt;='Back Calculations'!$J$94,
2^(C234/('Back Calculations'!$F$94/7)),
(2^((C234-'Back Calculations'!$J$94)/('Back Calculations'!$H$94/7)))*(2^('Back Calculations'!$J$94/('Back Calculations'!$F$94/7)))),
2^(C234/(VLOOKUP(Doubling_rate_modelled,'Back Calculations'!$B$89:$C$99,2,FALSE)/7)))))</f>
        <v>3735854.6</v>
      </c>
      <c r="E234" s="2"/>
    </row>
    <row r="235" spans="2:22" s="722" customFormat="1" x14ac:dyDescent="0.35">
      <c r="B235" s="195" t="str">
        <f t="shared" si="49"/>
        <v/>
      </c>
      <c r="C235" s="195">
        <v>48</v>
      </c>
      <c r="D235" s="367">
        <f>IF(C235="","",IF(('Back Calculations'!C$110*IF(Doubling_rate_modelled="Combined",
IF(C235&lt;='Back Calculations'!$J$94,
2^(C235/('Back Calculations'!$F$94/7)),
(2^((C235-'Back Calculations'!$J$94)/('Back Calculations'!$H$94/7)))*(2^('Back Calculations'!$J$94/('Back Calculations'!$F$94/7)))),
2^(C235/(VLOOKUP(Doubling_rate_modelled,'Back Calculations'!$B$89:$C$99,2,FALSE)/7))))&gt;='Back Calculations'!$C$111,'Back Calculations'!$C$111,
'Back Calculations'!C$110*IF(Doubling_rate_modelled="Combined",
IF(C235&lt;='Back Calculations'!$J$94,
2^(C235/('Back Calculations'!$F$94/7)),
(2^((C235-'Back Calculations'!$J$94)/('Back Calculations'!$H$94/7)))*(2^('Back Calculations'!$J$94/('Back Calculations'!$F$94/7)))),
2^(C235/(VLOOKUP(Doubling_rate_modelled,'Back Calculations'!$B$89:$C$99,2,FALSE)/7)))))</f>
        <v>3735854.6</v>
      </c>
      <c r="E235" s="2"/>
    </row>
    <row r="236" spans="2:22" s="722" customFormat="1" x14ac:dyDescent="0.35">
      <c r="B236" s="195" t="str">
        <f t="shared" si="49"/>
        <v/>
      </c>
      <c r="C236" s="195">
        <v>49</v>
      </c>
      <c r="D236" s="367">
        <f>IF(C236="","",IF(('Back Calculations'!C$110*IF(Doubling_rate_modelled="Combined",
IF(C236&lt;='Back Calculations'!$J$94,
2^(C236/('Back Calculations'!$F$94/7)),
(2^((C236-'Back Calculations'!$J$94)/('Back Calculations'!$H$94/7)))*(2^('Back Calculations'!$J$94/('Back Calculations'!$F$94/7)))),
2^(C236/(VLOOKUP(Doubling_rate_modelled,'Back Calculations'!$B$89:$C$99,2,FALSE)/7))))&gt;='Back Calculations'!$C$111,'Back Calculations'!$C$111,
'Back Calculations'!C$110*IF(Doubling_rate_modelled="Combined",
IF(C236&lt;='Back Calculations'!$J$94,
2^(C236/('Back Calculations'!$F$94/7)),
(2^((C236-'Back Calculations'!$J$94)/('Back Calculations'!$H$94/7)))*(2^('Back Calculations'!$J$94/('Back Calculations'!$F$94/7)))),
2^(C236/(VLOOKUP(Doubling_rate_modelled,'Back Calculations'!$B$89:$C$99,2,FALSE)/7)))))</f>
        <v>3735854.6</v>
      </c>
      <c r="E236" s="2"/>
    </row>
    <row r="237" spans="2:22" s="722" customFormat="1" x14ac:dyDescent="0.35">
      <c r="B237" s="195" t="str">
        <f t="shared" si="49"/>
        <v/>
      </c>
      <c r="C237" s="195">
        <v>50</v>
      </c>
      <c r="D237" s="367">
        <f>IF(C237="","",IF(('Back Calculations'!C$110*IF(Doubling_rate_modelled="Combined",
IF(C237&lt;='Back Calculations'!$J$94,
2^(C237/('Back Calculations'!$F$94/7)),
(2^((C237-'Back Calculations'!$J$94)/('Back Calculations'!$H$94/7)))*(2^('Back Calculations'!$J$94/('Back Calculations'!$F$94/7)))),
2^(C237/(VLOOKUP(Doubling_rate_modelled,'Back Calculations'!$B$89:$C$99,2,FALSE)/7))))&gt;='Back Calculations'!$C$111,'Back Calculations'!$C$111,
'Back Calculations'!C$110*IF(Doubling_rate_modelled="Combined",
IF(C237&lt;='Back Calculations'!$J$94,
2^(C237/('Back Calculations'!$F$94/7)),
(2^((C237-'Back Calculations'!$J$94)/('Back Calculations'!$H$94/7)))*(2^('Back Calculations'!$J$94/('Back Calculations'!$F$94/7)))),
2^(C237/(VLOOKUP(Doubling_rate_modelled,'Back Calculations'!$B$89:$C$99,2,FALSE)/7)))))</f>
        <v>3735854.6</v>
      </c>
      <c r="E237" s="2"/>
    </row>
    <row r="238" spans="2:22" s="722" customFormat="1" x14ac:dyDescent="0.35">
      <c r="B238" s="195" t="str">
        <f t="shared" si="49"/>
        <v/>
      </c>
      <c r="C238" s="195">
        <v>51</v>
      </c>
      <c r="D238" s="367">
        <f>IF(C238="","",IF(('Back Calculations'!C$110*IF(Doubling_rate_modelled="Combined",
IF(C238&lt;='Back Calculations'!$J$94,
2^(C238/('Back Calculations'!$F$94/7)),
(2^((C238-'Back Calculations'!$J$94)/('Back Calculations'!$H$94/7)))*(2^('Back Calculations'!$J$94/('Back Calculations'!$F$94/7)))),
2^(C238/(VLOOKUP(Doubling_rate_modelled,'Back Calculations'!$B$89:$C$99,2,FALSE)/7))))&gt;='Back Calculations'!$C$111,'Back Calculations'!$C$111,
'Back Calculations'!C$110*IF(Doubling_rate_modelled="Combined",
IF(C238&lt;='Back Calculations'!$J$94,
2^(C238/('Back Calculations'!$F$94/7)),
(2^((C238-'Back Calculations'!$J$94)/('Back Calculations'!$H$94/7)))*(2^('Back Calculations'!$J$94/('Back Calculations'!$F$94/7)))),
2^(C238/(VLOOKUP(Doubling_rate_modelled,'Back Calculations'!$B$89:$C$99,2,FALSE)/7)))))</f>
        <v>3735854.6</v>
      </c>
      <c r="E238" s="2"/>
    </row>
    <row r="239" spans="2:22" s="722" customFormat="1" x14ac:dyDescent="0.35">
      <c r="B239" s="195" t="str">
        <f t="shared" si="49"/>
        <v/>
      </c>
      <c r="C239" s="195">
        <v>52</v>
      </c>
      <c r="D239" s="367">
        <f>IF(C239="","",IF(('Back Calculations'!C$110*IF(Doubling_rate_modelled="Combined",
IF(C239&lt;='Back Calculations'!$J$94,
2^(C239/('Back Calculations'!$F$94/7)),
(2^((C239-'Back Calculations'!$J$94)/('Back Calculations'!$H$94/7)))*(2^('Back Calculations'!$J$94/('Back Calculations'!$F$94/7)))),
2^(C239/(VLOOKUP(Doubling_rate_modelled,'Back Calculations'!$B$89:$C$99,2,FALSE)/7))))&gt;='Back Calculations'!$C$111,'Back Calculations'!$C$111,
'Back Calculations'!C$110*IF(Doubling_rate_modelled="Combined",
IF(C239&lt;='Back Calculations'!$J$94,
2^(C239/('Back Calculations'!$F$94/7)),
(2^((C239-'Back Calculations'!$J$94)/('Back Calculations'!$H$94/7)))*(2^('Back Calculations'!$J$94/('Back Calculations'!$F$94/7)))),
2^(C239/(VLOOKUP(Doubling_rate_modelled,'Back Calculations'!$B$89:$C$99,2,FALSE)/7)))))</f>
        <v>3735854.6</v>
      </c>
      <c r="E239" s="2"/>
    </row>
    <row r="240" spans="2:22" ht="15" thickBot="1" x14ac:dyDescent="0.4">
      <c r="B240" s="1238" t="str">
        <f t="shared" si="49"/>
        <v/>
      </c>
      <c r="C240" s="1238">
        <v>53</v>
      </c>
      <c r="D240" s="1237">
        <f>IF(C240="","",IF(('Back Calculations'!C$110*IF(Doubling_rate_modelled="Combined",
IF(C240&lt;='Back Calculations'!$J$94,
2^(C240/('Back Calculations'!$F$94/7)),
(2^((C240-'Back Calculations'!$J$94)/('Back Calculations'!$H$94/7)))*(2^('Back Calculations'!$J$94/('Back Calculations'!$F$94/7)))),
2^(C240/(VLOOKUP(Doubling_rate_modelled,'Back Calculations'!$B$89:$C$99,2,FALSE)/7))))&gt;='Back Calculations'!$C$111,'Back Calculations'!$C$111,
'Back Calculations'!C$110*IF(Doubling_rate_modelled="Combined",
IF(C240&lt;='Back Calculations'!$J$94,
2^(C240/('Back Calculations'!$F$94/7)),
(2^((C240-'Back Calculations'!$J$94)/('Back Calculations'!$H$94/7)))*(2^('Back Calculations'!$J$94/('Back Calculations'!$F$94/7)))),
2^(C240/(VLOOKUP(Doubling_rate_modelled,'Back Calculations'!$B$89:$C$99,2,FALSE)/7)))))</f>
        <v>3735854.6</v>
      </c>
      <c r="E240" s="2"/>
      <c r="F240" s="129"/>
      <c r="H240"/>
      <c r="N240" s="129"/>
      <c r="P240"/>
      <c r="U240" s="129"/>
      <c r="V240"/>
    </row>
    <row r="246" spans="2:7" x14ac:dyDescent="0.35">
      <c r="B246" s="1389" t="s">
        <v>1898</v>
      </c>
      <c r="C246" s="1389"/>
      <c r="D246" s="1389"/>
      <c r="E246" s="1389"/>
      <c r="F246" s="1389"/>
      <c r="G246" s="1389"/>
    </row>
    <row r="247" spans="2:7" x14ac:dyDescent="0.35">
      <c r="B247" s="909" t="s">
        <v>1897</v>
      </c>
      <c r="C247" s="909"/>
      <c r="D247" s="909"/>
      <c r="E247" s="909"/>
      <c r="F247" s="909"/>
      <c r="G247" s="909"/>
    </row>
  </sheetData>
  <sheetProtection algorithmName="SHA-512" hashValue="o9XlCpPDNsHx62dE2m1pRFXJR+VUtzyHbqjMTvVodNQj+2HPqHnDUHADSrVsVcMhfUh3NXBVj8vNxzmLqryV7g==" saltValue="htaRXLi799YolhHKZL4J+A==" spinCount="100000" sheet="1" objects="1" scenarios="1"/>
  <mergeCells count="12">
    <mergeCell ref="B246:G246"/>
    <mergeCell ref="C11:D11"/>
    <mergeCell ref="E11:F11"/>
    <mergeCell ref="I11:J11"/>
    <mergeCell ref="K11:L11"/>
    <mergeCell ref="U11:X11"/>
    <mergeCell ref="Y11:Z11"/>
    <mergeCell ref="M11:N11"/>
    <mergeCell ref="G11:H11"/>
    <mergeCell ref="O11:P11"/>
    <mergeCell ref="Q11:R11"/>
    <mergeCell ref="S11:T11"/>
  </mergeCells>
  <hyperlinks>
    <hyperlink ref="D67" location="'User Dashboard'!A12" display="Go Back to Dashboard" xr:uid="{00000000-0004-0000-0C00-000000000000}"/>
    <hyperlink ref="F6" location="'Patient Calcs'!B71" display="Manual Entry" xr:uid="{00000000-0004-0000-0C00-000001000000}"/>
    <hyperlink ref="D127" location="'User Dashboard'!A12" display="Go Back to Dashboard" xr:uid="{00000000-0004-0000-0C00-000002000000}"/>
    <hyperlink ref="F7" location="'Patient Calcs'!B126" display="SIR Model" xr:uid="{00000000-0004-0000-0C00-000003000000}"/>
    <hyperlink ref="E127" location="'Patient Calcs'!A1" display="Go to top of sheet" xr:uid="{00000000-0004-0000-0C00-000004000000}"/>
    <hyperlink ref="E67" location="'Patient Calcs'!A1" display="Go to top of sheet" xr:uid="{00000000-0004-0000-0C00-000005000000}"/>
    <hyperlink ref="F5" location="'User Dashboard'!A1" display="Back to User Dashboard" xr:uid="{00000000-0004-0000-0C00-000006000000}"/>
    <hyperlink ref="D184" location="'User Dashboard'!A12" display="Go Back to Dashboard" xr:uid="{00000000-0004-0000-0C00-000007000000}"/>
    <hyperlink ref="E184" location="'Patient Calcs'!A1" display="Go to top of sheet" xr:uid="{00000000-0004-0000-0C00-000008000000}"/>
    <hyperlink ref="E129" location="'SIR Model Patient Calcs'!A1" display="Click here for more details on SIR model calculations" xr:uid="{00000000-0004-0000-0C00-000009000000}"/>
    <hyperlink ref="B246" r:id="rId1" display="https://creativecommons.org/licenses/by-nc-sa/3.0/igo" xr:uid="{031E0916-62D8-419E-958F-C3289A47AE84}"/>
  </hyperlinks>
  <pageMargins left="0.7" right="0.7" top="0.75" bottom="0.75" header="0.3" footer="0.3"/>
  <pageSetup paperSize="9" orientation="portrait"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theme="5" tint="0.39997558519241921"/>
  </sheetPr>
  <dimension ref="A1:O391"/>
  <sheetViews>
    <sheetView showGridLines="0" zoomScale="70" zoomScaleNormal="70" workbookViewId="0">
      <selection activeCell="B4" sqref="B4"/>
    </sheetView>
  </sheetViews>
  <sheetFormatPr defaultColWidth="9.453125" defaultRowHeight="14.5" x14ac:dyDescent="0.35"/>
  <cols>
    <col min="1" max="1" width="10.453125" style="656" customWidth="1"/>
    <col min="2" max="2" width="9.453125" style="288"/>
    <col min="3" max="3" width="20.453125" style="667" customWidth="1"/>
    <col min="4" max="4" width="21.453125" style="668" customWidth="1"/>
    <col min="5" max="5" width="22" style="660" customWidth="1"/>
    <col min="6" max="6" width="23.453125" style="660" bestFit="1" customWidth="1"/>
    <col min="7" max="7" width="23.453125" style="670" customWidth="1"/>
    <col min="8" max="8" width="28.453125" style="359" customWidth="1"/>
    <col min="9" max="9" width="33.453125" style="672" customWidth="1"/>
    <col min="10" max="10" width="27.453125" style="673" customWidth="1"/>
    <col min="11" max="11" width="18.453125" style="359" customWidth="1"/>
    <col min="12" max="12" width="16.453125" style="673" customWidth="1"/>
    <col min="13" max="13" width="3.453125" style="653" customWidth="1"/>
    <col min="14" max="14" width="9.453125" style="287"/>
    <col min="15" max="15" width="21.453125" style="673" customWidth="1"/>
    <col min="16" max="16384" width="9.453125" style="129"/>
  </cols>
  <sheetData>
    <row r="1" spans="1:15" customFormat="1" ht="37.15" customHeight="1" x14ac:dyDescent="0.35"/>
    <row r="2" spans="1:15" s="23" customFormat="1" ht="18.5" x14ac:dyDescent="0.45">
      <c r="B2" s="23" t="s">
        <v>1338</v>
      </c>
      <c r="C2" s="361"/>
      <c r="E2" s="24"/>
      <c r="F2" s="24"/>
      <c r="G2" s="24"/>
      <c r="H2" s="24"/>
      <c r="I2" s="24"/>
    </row>
    <row r="3" spans="1:15" customFormat="1" x14ac:dyDescent="0.35"/>
    <row r="4" spans="1:15" customFormat="1" x14ac:dyDescent="0.35">
      <c r="B4" t="s">
        <v>1339</v>
      </c>
      <c r="G4" s="1032" t="s">
        <v>1361</v>
      </c>
    </row>
    <row r="5" spans="1:15" customFormat="1" ht="15" thickBot="1" x14ac:dyDescent="0.4"/>
    <row r="6" spans="1:15" s="652" customFormat="1" ht="158.15" customHeight="1" thickBot="1" x14ac:dyDescent="0.4">
      <c r="A6" s="654" t="s">
        <v>979</v>
      </c>
      <c r="B6" s="655" t="s">
        <v>980</v>
      </c>
      <c r="C6" s="657" t="s">
        <v>1325</v>
      </c>
      <c r="D6" s="658" t="s">
        <v>1326</v>
      </c>
      <c r="E6" s="659" t="s">
        <v>1332</v>
      </c>
      <c r="F6" s="659" t="s">
        <v>1333</v>
      </c>
      <c r="G6" s="669" t="s">
        <v>1331</v>
      </c>
      <c r="H6" s="661" t="s">
        <v>1327</v>
      </c>
      <c r="I6" s="662" t="s">
        <v>1328</v>
      </c>
      <c r="J6" s="663" t="s">
        <v>1329</v>
      </c>
      <c r="K6" s="664" t="s">
        <v>981</v>
      </c>
      <c r="L6" s="671" t="s">
        <v>982</v>
      </c>
      <c r="M6" s="1037"/>
      <c r="N6" s="665" t="s">
        <v>306</v>
      </c>
      <c r="O6" s="666" t="s">
        <v>981</v>
      </c>
    </row>
    <row r="7" spans="1:15" x14ac:dyDescent="0.35">
      <c r="A7" s="287">
        <f>IF(AND(IF(L7&lt;=1,0,1)*ROUNDUP(B7/7,0)=0,B7&lt;&gt;0),"",IF(L7&lt;=1,0,1)*ROUNDUP(B7/7,0))</f>
        <v>0</v>
      </c>
      <c r="B7" s="288">
        <v>0</v>
      </c>
      <c r="C7" s="667">
        <f>IF('User Dashboard'!Z$12=5,
IF('SIR Model Patient Calcs'!B7&lt;'User Dashboard'!AJ$15,'User Dashboard'!AN$14,
IF('SIR Model Patient Calcs'!B7&lt;'User Dashboard'!AJ$16,'User Dashboard'!AN$15,
IF('SIR Model Patient Calcs'!B7&lt;'User Dashboard'!AJ$17,'User Dashboard'!AN$16,
IF('SIR Model Patient Calcs'!B7&lt;'User Dashboard'!AJ$18,'User Dashboard'!AN$17,
'User Dashboard'!AN$18)))),
IF('User Dashboard'!Z$12=4,
IF('SIR Model Patient Calcs'!B7&lt;'User Dashboard'!AJ$15,'User Dashboard'!AN$14,
IF('SIR Model Patient Calcs'!B7&lt;'User Dashboard'!AJ$16,'User Dashboard'!AN$15,
IF('SIR Model Patient Calcs'!B7&lt;'User Dashboard'!AJ$17,'User Dashboard'!AN$16,
'User Dashboard'!AN$17))),
IF('User Dashboard'!Z$12=3,
IF('SIR Model Patient Calcs'!B7&lt;'User Dashboard'!AJ$15,'User Dashboard'!AN$14,
IF('SIR Model Patient Calcs'!B7&lt;'User Dashboard'!AJ$16,'User Dashboard'!AN$15,
'User Dashboard'!AN$16)),
IF('User Dashboard'!Z$12=2,
IF('SIR Model Patient Calcs'!B7&lt;'User Dashboard'!AJ$15,'User Dashboard'!AN$14,
'User Dashboard'!AN$15),
IF('User Dashboard'!Z$12=1,
'User Dashboard'!AN$14)))))</f>
        <v>15.209356603107825</v>
      </c>
      <c r="D7" s="668">
        <f>'User Dashboard'!X$16</f>
        <v>2.2072878851804097E-2</v>
      </c>
      <c r="E7" s="660">
        <f t="shared" ref="E7:E70" si="0">(C7*D7)/SUM(H7:J7)</f>
        <v>8.9862781521070358E-8</v>
      </c>
      <c r="F7" s="660">
        <f>E7</f>
        <v>8.9862781521070358E-8</v>
      </c>
      <c r="G7" s="670">
        <f>1/'User Dashboard'!X$12</f>
        <v>0.14285714285714285</v>
      </c>
      <c r="H7" s="359">
        <f>'Back Calculations'!C111-'Back Calculations'!C110</f>
        <v>3735853.6</v>
      </c>
      <c r="I7" s="672">
        <f>'Back Calculations'!C110-'User Dashboard'!X13</f>
        <v>0.7026982212493198</v>
      </c>
      <c r="J7" s="673">
        <f>'User Dashboard'!X$13</f>
        <v>0.29730177875068026</v>
      </c>
      <c r="K7" s="359">
        <f>(I7+J7)</f>
        <v>1</v>
      </c>
      <c r="L7" s="673">
        <v>0</v>
      </c>
      <c r="N7" s="57">
        <f>MAX(A:A)</f>
        <v>28</v>
      </c>
      <c r="O7" s="673">
        <f t="array" ref="O7">IF(N7="","",MAX(IF(A:A=N7,K:K)))</f>
        <v>3287587.5212308043</v>
      </c>
    </row>
    <row r="8" spans="1:15" x14ac:dyDescent="0.35">
      <c r="A8" s="287">
        <f>IF(AND(IF(L8&lt;1,0,1)*ROUNDUP(B8/7,0)=0,B8&lt;&gt;0),"",IF(L8&lt;1,0,1)*ROUNDUP(B8/7,0))</f>
        <v>1</v>
      </c>
      <c r="B8" s="288">
        <v>1</v>
      </c>
      <c r="C8" s="667">
        <f>IF('User Dashboard'!Z$12=5,
IF('SIR Model Patient Calcs'!B8&lt;'User Dashboard'!AJ$15,'User Dashboard'!AN$14,
IF('SIR Model Patient Calcs'!B8&lt;'User Dashboard'!AJ$16,'User Dashboard'!AN$15,
IF('SIR Model Patient Calcs'!B8&lt;'User Dashboard'!AJ$17,'User Dashboard'!AN$16,
IF('SIR Model Patient Calcs'!B8&lt;'User Dashboard'!AJ$18,'User Dashboard'!AN$17,
'User Dashboard'!AN$18)))),
IF('User Dashboard'!Z$12=4,
IF('SIR Model Patient Calcs'!B8&lt;'User Dashboard'!AJ$15,'User Dashboard'!AN$14,
IF('SIR Model Patient Calcs'!B8&lt;'User Dashboard'!AJ$16,'User Dashboard'!AN$15,
IF('SIR Model Patient Calcs'!B8&lt;'User Dashboard'!AJ$17,'User Dashboard'!AN$16,
'User Dashboard'!AN$17))),
IF('User Dashboard'!Z$12=3,
IF('SIR Model Patient Calcs'!B8&lt;'User Dashboard'!AJ$15,'User Dashboard'!AN$14,
IF('SIR Model Patient Calcs'!B8&lt;'User Dashboard'!AJ$16,'User Dashboard'!AN$15,
'User Dashboard'!AN$16)),
IF('User Dashboard'!Z$12=2,
IF('SIR Model Patient Calcs'!B8&lt;'User Dashboard'!AJ$15,'User Dashboard'!AN$14,
'User Dashboard'!AN$15),
IF('User Dashboard'!Z$12=1,
'User Dashboard'!AN$14)))))</f>
        <v>15.209356603107825</v>
      </c>
      <c r="D8" s="668">
        <f>'User Dashboard'!X$16</f>
        <v>2.2072878851804097E-2</v>
      </c>
      <c r="E8" s="660">
        <f t="shared" si="0"/>
        <v>8.9862781521070358E-8</v>
      </c>
      <c r="F8" s="660">
        <f>AVERAGE(E7:E8)</f>
        <v>8.9862781521070358E-8</v>
      </c>
      <c r="G8" s="670">
        <f>1/'User Dashboard'!X$12</f>
        <v>0.14285714285714285</v>
      </c>
      <c r="H8" s="359">
        <f t="shared" ref="H8:H71" si="1">-MIN(F7*I7,1)*H7+H7</f>
        <v>3735853.3640942317</v>
      </c>
      <c r="I8" s="672">
        <f>(MIN(F7*I7,1)*H7)-(G7*I7)+I7</f>
        <v>0.83821852934384333</v>
      </c>
      <c r="J8" s="673">
        <f t="shared" ref="J8:J71" si="2">G7*I7+J7</f>
        <v>0.39768723892915447</v>
      </c>
      <c r="K8" s="359">
        <f>(I8+J8)</f>
        <v>1.2359057682729979</v>
      </c>
      <c r="L8" s="673">
        <f>ROUNDUP((K8-K7),0)</f>
        <v>1</v>
      </c>
      <c r="N8" s="287">
        <f>IF(OR(N7=0,N7=""),"",N7-1)</f>
        <v>27</v>
      </c>
      <c r="O8" s="673">
        <f t="array" ref="O8">IF(N8="","",MAX(IF(A:A=N8,K:K)))</f>
        <v>3287581.0168259791</v>
      </c>
    </row>
    <row r="9" spans="1:15" x14ac:dyDescent="0.35">
      <c r="A9" s="287">
        <f t="shared" ref="A9:A72" si="3">IF(AND(IF(L9&lt;1,0,1)*ROUNDUP(B9/7,0)=0,B9&lt;&gt;0),"",IF(L9&lt;1,0,1)*ROUNDUP(B9/7,0))</f>
        <v>1</v>
      </c>
      <c r="B9" s="288">
        <v>2</v>
      </c>
      <c r="C9" s="667">
        <f>IF('User Dashboard'!Z$12=5,
IF('SIR Model Patient Calcs'!B9&lt;'User Dashboard'!AJ$15,'User Dashboard'!AN$14,
IF('SIR Model Patient Calcs'!B9&lt;'User Dashboard'!AJ$16,'User Dashboard'!AN$15,
IF('SIR Model Patient Calcs'!B9&lt;'User Dashboard'!AJ$17,'User Dashboard'!AN$16,
IF('SIR Model Patient Calcs'!B9&lt;'User Dashboard'!AJ$18,'User Dashboard'!AN$17,
'User Dashboard'!AN$18)))),
IF('User Dashboard'!Z$12=4,
IF('SIR Model Patient Calcs'!B9&lt;'User Dashboard'!AJ$15,'User Dashboard'!AN$14,
IF('SIR Model Patient Calcs'!B9&lt;'User Dashboard'!AJ$16,'User Dashboard'!AN$15,
IF('SIR Model Patient Calcs'!B9&lt;'User Dashboard'!AJ$17,'User Dashboard'!AN$16,
'User Dashboard'!AN$17))),
IF('User Dashboard'!Z$12=3,
IF('SIR Model Patient Calcs'!B9&lt;'User Dashboard'!AJ$15,'User Dashboard'!AN$14,
IF('SIR Model Patient Calcs'!B9&lt;'User Dashboard'!AJ$16,'User Dashboard'!AN$15,
'User Dashboard'!AN$16)),
IF('User Dashboard'!Z$12=2,
IF('SIR Model Patient Calcs'!B9&lt;'User Dashboard'!AJ$15,'User Dashboard'!AN$14,
'User Dashboard'!AN$15),
IF('User Dashboard'!Z$12=1,
'User Dashboard'!AN$14)))))</f>
        <v>15.209356603107825</v>
      </c>
      <c r="D9" s="668">
        <f>'User Dashboard'!X$16</f>
        <v>2.2072878851804097E-2</v>
      </c>
      <c r="E9" s="660">
        <f t="shared" si="0"/>
        <v>8.9862781521070358E-8</v>
      </c>
      <c r="F9" s="660">
        <f>AVERAGE(E7:E9)</f>
        <v>8.9862781521070345E-8</v>
      </c>
      <c r="G9" s="670">
        <f>1/'User Dashboard'!X$12</f>
        <v>0.14285714285714285</v>
      </c>
      <c r="H9" s="359">
        <f t="shared" si="1"/>
        <v>3735853.0826923898</v>
      </c>
      <c r="I9" s="672">
        <f t="shared" ref="I9:I72" si="4">MIN(F8*I8,1)*H8-G8*I8+I8</f>
        <v>0.99987486690884553</v>
      </c>
      <c r="J9" s="673">
        <f t="shared" si="2"/>
        <v>0.51743274312113208</v>
      </c>
      <c r="K9" s="359">
        <f t="shared" ref="K9:K72" si="5">(I9+J9)</f>
        <v>1.5173076100299776</v>
      </c>
      <c r="L9" s="673">
        <f t="shared" ref="L9:L28" si="6">ROUNDUP((K9-K8),0)</f>
        <v>1</v>
      </c>
      <c r="N9" s="287">
        <f>IF(OR(N8=0,N8=""),"",N8-1)</f>
        <v>26</v>
      </c>
      <c r="O9" s="673">
        <f t="array" ref="O9">IF(N9="","",MAX(IF(A:A=N9,K:K)))</f>
        <v>3287563.3806145205</v>
      </c>
    </row>
    <row r="10" spans="1:15" x14ac:dyDescent="0.35">
      <c r="A10" s="287">
        <f t="shared" si="3"/>
        <v>1</v>
      </c>
      <c r="B10" s="288">
        <v>3</v>
      </c>
      <c r="C10" s="667">
        <f>IF('User Dashboard'!Z$12=5,
IF('SIR Model Patient Calcs'!B10&lt;'User Dashboard'!AJ$15,'User Dashboard'!AN$14,
IF('SIR Model Patient Calcs'!B10&lt;'User Dashboard'!AJ$16,'User Dashboard'!AN$15,
IF('SIR Model Patient Calcs'!B10&lt;'User Dashboard'!AJ$17,'User Dashboard'!AN$16,
IF('SIR Model Patient Calcs'!B10&lt;'User Dashboard'!AJ$18,'User Dashboard'!AN$17,
'User Dashboard'!AN$18)))),
IF('User Dashboard'!Z$12=4,
IF('SIR Model Patient Calcs'!B10&lt;'User Dashboard'!AJ$15,'User Dashboard'!AN$14,
IF('SIR Model Patient Calcs'!B10&lt;'User Dashboard'!AJ$16,'User Dashboard'!AN$15,
IF('SIR Model Patient Calcs'!B10&lt;'User Dashboard'!AJ$17,'User Dashboard'!AN$16,
'User Dashboard'!AN$17))),
IF('User Dashboard'!Z$12=3,
IF('SIR Model Patient Calcs'!B10&lt;'User Dashboard'!AJ$15,'User Dashboard'!AN$14,
IF('SIR Model Patient Calcs'!B10&lt;'User Dashboard'!AJ$16,'User Dashboard'!AN$15,
'User Dashboard'!AN$16)),
IF('User Dashboard'!Z$12=2,
IF('SIR Model Patient Calcs'!B10&lt;'User Dashboard'!AJ$15,'User Dashboard'!AN$14,
'User Dashboard'!AN$15),
IF('User Dashboard'!Z$12=1,
'User Dashboard'!AN$14)))))</f>
        <v>15.209356603107825</v>
      </c>
      <c r="D10" s="668">
        <f>'User Dashboard'!X$16</f>
        <v>2.2072878851804097E-2</v>
      </c>
      <c r="E10" s="660">
        <f t="shared" si="0"/>
        <v>8.9862781521070372E-8</v>
      </c>
      <c r="F10" s="660">
        <f>AVERAGE(E7:E10)</f>
        <v>8.9862781521070358E-8</v>
      </c>
      <c r="G10" s="670">
        <f>1/'User Dashboard'!X$12</f>
        <v>0.14285714285714285</v>
      </c>
      <c r="H10" s="359">
        <f t="shared" si="1"/>
        <v>3735852.7470202493</v>
      </c>
      <c r="I10" s="672">
        <f t="shared" si="4"/>
        <v>1.192707740623131</v>
      </c>
      <c r="J10" s="673">
        <f t="shared" si="2"/>
        <v>0.66027200982239576</v>
      </c>
      <c r="K10" s="359">
        <f t="shared" si="5"/>
        <v>1.8529797504455268</v>
      </c>
      <c r="L10" s="673">
        <f t="shared" si="6"/>
        <v>1</v>
      </c>
      <c r="N10" s="287">
        <f>IF(OR(N9=0,N9=""),"",N9-1)</f>
        <v>25</v>
      </c>
      <c r="O10" s="673">
        <f t="array" ref="O10">IF(N10="","",MAX(IF(A:A=N10,K:K)))</f>
        <v>3287525.7591692274</v>
      </c>
    </row>
    <row r="11" spans="1:15" x14ac:dyDescent="0.35">
      <c r="A11" s="287">
        <f t="shared" si="3"/>
        <v>1</v>
      </c>
      <c r="B11" s="288">
        <v>4</v>
      </c>
      <c r="C11" s="667">
        <f>IF('User Dashboard'!Z$12=5,
IF('SIR Model Patient Calcs'!B11&lt;'User Dashboard'!AJ$15,'User Dashboard'!AN$14,
IF('SIR Model Patient Calcs'!B11&lt;'User Dashboard'!AJ$16,'User Dashboard'!AN$15,
IF('SIR Model Patient Calcs'!B11&lt;'User Dashboard'!AJ$17,'User Dashboard'!AN$16,
IF('SIR Model Patient Calcs'!B11&lt;'User Dashboard'!AJ$18,'User Dashboard'!AN$17,
'User Dashboard'!AN$18)))),
IF('User Dashboard'!Z$12=4,
IF('SIR Model Patient Calcs'!B11&lt;'User Dashboard'!AJ$15,'User Dashboard'!AN$14,
IF('SIR Model Patient Calcs'!B11&lt;'User Dashboard'!AJ$16,'User Dashboard'!AN$15,
IF('SIR Model Patient Calcs'!B11&lt;'User Dashboard'!AJ$17,'User Dashboard'!AN$16,
'User Dashboard'!AN$17))),
IF('User Dashboard'!Z$12=3,
IF('SIR Model Patient Calcs'!B11&lt;'User Dashboard'!AJ$15,'User Dashboard'!AN$14,
IF('SIR Model Patient Calcs'!B11&lt;'User Dashboard'!AJ$16,'User Dashboard'!AN$15,
'User Dashboard'!AN$16)),
IF('User Dashboard'!Z$12=2,
IF('SIR Model Patient Calcs'!B11&lt;'User Dashboard'!AJ$15,'User Dashboard'!AN$14,
'User Dashboard'!AN$15),
IF('User Dashboard'!Z$12=1,
'User Dashboard'!AN$14)))))</f>
        <v>15.209356603107825</v>
      </c>
      <c r="D11" s="668">
        <f>'User Dashboard'!X$16</f>
        <v>2.2072878851804097E-2</v>
      </c>
      <c r="E11" s="660">
        <f t="shared" si="0"/>
        <v>8.9862781521070372E-8</v>
      </c>
      <c r="F11" s="660">
        <f>AVERAGE(E7:E11)</f>
        <v>8.9862781521070358E-8</v>
      </c>
      <c r="G11" s="670">
        <f>1/'User Dashboard'!X$12</f>
        <v>0.14285714285714285</v>
      </c>
      <c r="H11" s="359">
        <f t="shared" si="1"/>
        <v>3735852.3466114206</v>
      </c>
      <c r="I11" s="672">
        <f t="shared" si="4"/>
        <v>1.4227297491408715</v>
      </c>
      <c r="J11" s="673">
        <f t="shared" si="2"/>
        <v>0.83065882991141449</v>
      </c>
      <c r="K11" s="359">
        <f t="shared" si="5"/>
        <v>2.2533885790522858</v>
      </c>
      <c r="L11" s="673">
        <f t="shared" si="6"/>
        <v>1</v>
      </c>
      <c r="N11" s="287">
        <f>IF(OR(N10=0,N10=""),"",N10-1)</f>
        <v>24</v>
      </c>
      <c r="O11" s="673">
        <f t="array" ref="O11">IF(N11="","",MAX(IF(A:A=N11,K:K)))</f>
        <v>3287445.502038531</v>
      </c>
    </row>
    <row r="12" spans="1:15" x14ac:dyDescent="0.35">
      <c r="A12" s="287">
        <f t="shared" si="3"/>
        <v>1</v>
      </c>
      <c r="B12" s="288">
        <v>5</v>
      </c>
      <c r="C12" s="667">
        <f>IF('User Dashboard'!Z$12=5,
IF('SIR Model Patient Calcs'!B12&lt;'User Dashboard'!AJ$15,'User Dashboard'!AN$14,
IF('SIR Model Patient Calcs'!B12&lt;'User Dashboard'!AJ$16,'User Dashboard'!AN$15,
IF('SIR Model Patient Calcs'!B12&lt;'User Dashboard'!AJ$17,'User Dashboard'!AN$16,
IF('SIR Model Patient Calcs'!B12&lt;'User Dashboard'!AJ$18,'User Dashboard'!AN$17,
'User Dashboard'!AN$18)))),
IF('User Dashboard'!Z$12=4,
IF('SIR Model Patient Calcs'!B12&lt;'User Dashboard'!AJ$15,'User Dashboard'!AN$14,
IF('SIR Model Patient Calcs'!B12&lt;'User Dashboard'!AJ$16,'User Dashboard'!AN$15,
IF('SIR Model Patient Calcs'!B12&lt;'User Dashboard'!AJ$17,'User Dashboard'!AN$16,
'User Dashboard'!AN$17))),
IF('User Dashboard'!Z$12=3,
IF('SIR Model Patient Calcs'!B12&lt;'User Dashboard'!AJ$15,'User Dashboard'!AN$14,
IF('SIR Model Patient Calcs'!B12&lt;'User Dashboard'!AJ$16,'User Dashboard'!AN$15,
'User Dashboard'!AN$16)),
IF('User Dashboard'!Z$12=2,
IF('SIR Model Patient Calcs'!B12&lt;'User Dashboard'!AJ$15,'User Dashboard'!AN$14,
'User Dashboard'!AN$15),
IF('User Dashboard'!Z$12=1,
'User Dashboard'!AN$14)))))</f>
        <v>15.209356603107825</v>
      </c>
      <c r="D12" s="668">
        <f>'User Dashboard'!X$16</f>
        <v>2.2072878851804097E-2</v>
      </c>
      <c r="E12" s="660">
        <f t="shared" si="0"/>
        <v>8.9862781521070372E-8</v>
      </c>
      <c r="F12" s="660">
        <f>AVERAGE(E7:E12)</f>
        <v>8.9862781521070372E-8</v>
      </c>
      <c r="G12" s="670">
        <f>1/'User Dashboard'!X$12</f>
        <v>0.14285714285714285</v>
      </c>
      <c r="H12" s="359">
        <f t="shared" si="1"/>
        <v>3735851.868981007</v>
      </c>
      <c r="I12" s="672">
        <f t="shared" si="4"/>
        <v>1.6971130555212897</v>
      </c>
      <c r="J12" s="673">
        <f t="shared" si="2"/>
        <v>1.0339059369315389</v>
      </c>
      <c r="K12" s="359">
        <f t="shared" si="5"/>
        <v>2.7310189924528285</v>
      </c>
      <c r="L12" s="673">
        <f t="shared" si="6"/>
        <v>1</v>
      </c>
      <c r="N12" s="287">
        <f t="shared" ref="N12:N43" si="7">IF(OR(N11=0,N11=""),"",N11-1)</f>
        <v>23</v>
      </c>
      <c r="O12" s="673">
        <f t="array" ref="O12">IF(N12="","",MAX(IF(A:A=N12,K:K)))</f>
        <v>3287274.2758800066</v>
      </c>
    </row>
    <row r="13" spans="1:15" x14ac:dyDescent="0.35">
      <c r="A13" s="287">
        <f t="shared" si="3"/>
        <v>1</v>
      </c>
      <c r="B13" s="288">
        <v>6</v>
      </c>
      <c r="C13" s="667">
        <f>IF('User Dashboard'!Z$12=5,
IF('SIR Model Patient Calcs'!B13&lt;'User Dashboard'!AJ$15,'User Dashboard'!AN$14,
IF('SIR Model Patient Calcs'!B13&lt;'User Dashboard'!AJ$16,'User Dashboard'!AN$15,
IF('SIR Model Patient Calcs'!B13&lt;'User Dashboard'!AJ$17,'User Dashboard'!AN$16,
IF('SIR Model Patient Calcs'!B13&lt;'User Dashboard'!AJ$18,'User Dashboard'!AN$17,
'User Dashboard'!AN$18)))),
IF('User Dashboard'!Z$12=4,
IF('SIR Model Patient Calcs'!B13&lt;'User Dashboard'!AJ$15,'User Dashboard'!AN$14,
IF('SIR Model Patient Calcs'!B13&lt;'User Dashboard'!AJ$16,'User Dashboard'!AN$15,
IF('SIR Model Patient Calcs'!B13&lt;'User Dashboard'!AJ$17,'User Dashboard'!AN$16,
'User Dashboard'!AN$17))),
IF('User Dashboard'!Z$12=3,
IF('SIR Model Patient Calcs'!B13&lt;'User Dashboard'!AJ$15,'User Dashboard'!AN$14,
IF('SIR Model Patient Calcs'!B13&lt;'User Dashboard'!AJ$16,'User Dashboard'!AN$15,
'User Dashboard'!AN$16)),
IF('User Dashboard'!Z$12=2,
IF('SIR Model Patient Calcs'!B13&lt;'User Dashboard'!AJ$15,'User Dashboard'!AN$14,
'User Dashboard'!AN$15),
IF('User Dashboard'!Z$12=1,
'User Dashboard'!AN$14)))))</f>
        <v>15.209356603107825</v>
      </c>
      <c r="D13" s="668">
        <f>'User Dashboard'!X$16</f>
        <v>2.2072878851804097E-2</v>
      </c>
      <c r="E13" s="660">
        <f t="shared" si="0"/>
        <v>8.9862781521070372E-8</v>
      </c>
      <c r="F13" s="660">
        <f>AVERAGE(E7:E13)</f>
        <v>8.9862781521070372E-8</v>
      </c>
      <c r="G13" s="670">
        <f>1/'User Dashboard'!X$12</f>
        <v>0.14285714285714285</v>
      </c>
      <c r="H13" s="359">
        <f t="shared" si="1"/>
        <v>3735851.2992363265</v>
      </c>
      <c r="I13" s="672">
        <f t="shared" si="4"/>
        <v>2.0244130140143493</v>
      </c>
      <c r="J13" s="673">
        <f t="shared" si="2"/>
        <v>1.276350659148866</v>
      </c>
      <c r="K13" s="359">
        <f t="shared" si="5"/>
        <v>3.3007636731632153</v>
      </c>
      <c r="L13" s="673">
        <f t="shared" si="6"/>
        <v>1</v>
      </c>
      <c r="N13" s="287">
        <f t="shared" si="7"/>
        <v>22</v>
      </c>
      <c r="O13" s="673">
        <f t="array" ref="O13">IF(N13="","",MAX(IF(A:A=N13,K:K)))</f>
        <v>3286908.9013175406</v>
      </c>
    </row>
    <row r="14" spans="1:15" x14ac:dyDescent="0.35">
      <c r="A14" s="287">
        <f t="shared" si="3"/>
        <v>1</v>
      </c>
      <c r="B14" s="288">
        <v>7</v>
      </c>
      <c r="C14" s="667">
        <f>IF('User Dashboard'!Z$12=5,
IF('SIR Model Patient Calcs'!B14&lt;'User Dashboard'!AJ$15,'User Dashboard'!AN$14,
IF('SIR Model Patient Calcs'!B14&lt;'User Dashboard'!AJ$16,'User Dashboard'!AN$15,
IF('SIR Model Patient Calcs'!B14&lt;'User Dashboard'!AJ$17,'User Dashboard'!AN$16,
IF('SIR Model Patient Calcs'!B14&lt;'User Dashboard'!AJ$18,'User Dashboard'!AN$17,
'User Dashboard'!AN$18)))),
IF('User Dashboard'!Z$12=4,
IF('SIR Model Patient Calcs'!B14&lt;'User Dashboard'!AJ$15,'User Dashboard'!AN$14,
IF('SIR Model Patient Calcs'!B14&lt;'User Dashboard'!AJ$16,'User Dashboard'!AN$15,
IF('SIR Model Patient Calcs'!B14&lt;'User Dashboard'!AJ$17,'User Dashboard'!AN$16,
'User Dashboard'!AN$17))),
IF('User Dashboard'!Z$12=3,
IF('SIR Model Patient Calcs'!B14&lt;'User Dashboard'!AJ$15,'User Dashboard'!AN$14,
IF('SIR Model Patient Calcs'!B14&lt;'User Dashboard'!AJ$16,'User Dashboard'!AN$15,
'User Dashboard'!AN$16)),
IF('User Dashboard'!Z$12=2,
IF('SIR Model Patient Calcs'!B14&lt;'User Dashboard'!AJ$15,'User Dashboard'!AN$14,
'User Dashboard'!AN$15),
IF('User Dashboard'!Z$12=1,
'User Dashboard'!AN$14)))))</f>
        <v>15.209356603107825</v>
      </c>
      <c r="D14" s="668">
        <f>'User Dashboard'!X$16</f>
        <v>2.2072878851804097E-2</v>
      </c>
      <c r="E14" s="660">
        <f t="shared" si="0"/>
        <v>8.9862781521070372E-8</v>
      </c>
      <c r="F14" s="660">
        <f>AVERAGE(E7:E14)</f>
        <v>8.9862781521070372E-8</v>
      </c>
      <c r="G14" s="670">
        <f>1/'User Dashboard'!X$12</f>
        <v>0.14285714285714285</v>
      </c>
      <c r="H14" s="359">
        <f t="shared" si="1"/>
        <v>3735850.6196125578</v>
      </c>
      <c r="I14" s="672">
        <f t="shared" si="4"/>
        <v>2.4148349233870783</v>
      </c>
      <c r="J14" s="673">
        <f t="shared" si="2"/>
        <v>1.5655525182937731</v>
      </c>
      <c r="K14" s="359">
        <f t="shared" si="5"/>
        <v>3.9803874416808513</v>
      </c>
      <c r="L14" s="673">
        <f t="shared" si="6"/>
        <v>1</v>
      </c>
      <c r="N14" s="287">
        <f t="shared" si="7"/>
        <v>21</v>
      </c>
      <c r="O14" s="673">
        <f t="array" ref="O14">IF(N14="","",MAX(IF(A:A=N14,K:K)))</f>
        <v>3286128.9265432707</v>
      </c>
    </row>
    <row r="15" spans="1:15" x14ac:dyDescent="0.35">
      <c r="A15" s="287">
        <f t="shared" si="3"/>
        <v>2</v>
      </c>
      <c r="B15" s="288">
        <v>8</v>
      </c>
      <c r="C15" s="667">
        <f>IF('User Dashboard'!Z$12=5,
IF('SIR Model Patient Calcs'!B15&lt;'User Dashboard'!AJ$15,'User Dashboard'!AN$14,
IF('SIR Model Patient Calcs'!B15&lt;'User Dashboard'!AJ$16,'User Dashboard'!AN$15,
IF('SIR Model Patient Calcs'!B15&lt;'User Dashboard'!AJ$17,'User Dashboard'!AN$16,
IF('SIR Model Patient Calcs'!B15&lt;'User Dashboard'!AJ$18,'User Dashboard'!AN$17,
'User Dashboard'!AN$18)))),
IF('User Dashboard'!Z$12=4,
IF('SIR Model Patient Calcs'!B15&lt;'User Dashboard'!AJ$15,'User Dashboard'!AN$14,
IF('SIR Model Patient Calcs'!B15&lt;'User Dashboard'!AJ$16,'User Dashboard'!AN$15,
IF('SIR Model Patient Calcs'!B15&lt;'User Dashboard'!AJ$17,'User Dashboard'!AN$16,
'User Dashboard'!AN$17))),
IF('User Dashboard'!Z$12=3,
IF('SIR Model Patient Calcs'!B15&lt;'User Dashboard'!AJ$15,'User Dashboard'!AN$14,
IF('SIR Model Patient Calcs'!B15&lt;'User Dashboard'!AJ$16,'User Dashboard'!AN$15,
'User Dashboard'!AN$16)),
IF('User Dashboard'!Z$12=2,
IF('SIR Model Patient Calcs'!B15&lt;'User Dashboard'!AJ$15,'User Dashboard'!AN$14,
'User Dashboard'!AN$15),
IF('User Dashboard'!Z$12=1,
'User Dashboard'!AN$14)))))</f>
        <v>15.209356603107825</v>
      </c>
      <c r="D15" s="668">
        <f>'User Dashboard'!X$16</f>
        <v>2.2072878851804097E-2</v>
      </c>
      <c r="E15" s="660">
        <f t="shared" si="0"/>
        <v>8.9862781521070372E-8</v>
      </c>
      <c r="F15" s="660">
        <f>AVERAGE(E7:E15)</f>
        <v>8.9862781521070372E-8</v>
      </c>
      <c r="G15" s="670">
        <f>1/'User Dashboard'!X$12</f>
        <v>0.14285714285714285</v>
      </c>
      <c r="H15" s="359">
        <f t="shared" si="1"/>
        <v>3735849.8089188403</v>
      </c>
      <c r="I15" s="672">
        <f t="shared" si="4"/>
        <v>2.8805522234240244</v>
      </c>
      <c r="J15" s="673">
        <f t="shared" si="2"/>
        <v>1.9105289359204984</v>
      </c>
      <c r="K15" s="359">
        <f t="shared" si="5"/>
        <v>4.7910811593445226</v>
      </c>
      <c r="L15" s="673">
        <f t="shared" si="6"/>
        <v>1</v>
      </c>
      <c r="N15" s="287">
        <f t="shared" si="7"/>
        <v>20</v>
      </c>
      <c r="O15" s="673">
        <f t="array" ref="O15">IF(N15="","",MAX(IF(A:A=N15,K:K)))</f>
        <v>3284462.4739229591</v>
      </c>
    </row>
    <row r="16" spans="1:15" x14ac:dyDescent="0.35">
      <c r="A16" s="287">
        <f t="shared" si="3"/>
        <v>2</v>
      </c>
      <c r="B16" s="288">
        <v>9</v>
      </c>
      <c r="C16" s="667">
        <f>IF('User Dashboard'!Z$12=5,
IF('SIR Model Patient Calcs'!B16&lt;'User Dashboard'!AJ$15,'User Dashboard'!AN$14,
IF('SIR Model Patient Calcs'!B16&lt;'User Dashboard'!AJ$16,'User Dashboard'!AN$15,
IF('SIR Model Patient Calcs'!B16&lt;'User Dashboard'!AJ$17,'User Dashboard'!AN$16,
IF('SIR Model Patient Calcs'!B16&lt;'User Dashboard'!AJ$18,'User Dashboard'!AN$17,
'User Dashboard'!AN$18)))),
IF('User Dashboard'!Z$12=4,
IF('SIR Model Patient Calcs'!B16&lt;'User Dashboard'!AJ$15,'User Dashboard'!AN$14,
IF('SIR Model Patient Calcs'!B16&lt;'User Dashboard'!AJ$16,'User Dashboard'!AN$15,
IF('SIR Model Patient Calcs'!B16&lt;'User Dashboard'!AJ$17,'User Dashboard'!AN$16,
'User Dashboard'!AN$17))),
IF('User Dashboard'!Z$12=3,
IF('SIR Model Patient Calcs'!B16&lt;'User Dashboard'!AJ$15,'User Dashboard'!AN$14,
IF('SIR Model Patient Calcs'!B16&lt;'User Dashboard'!AJ$16,'User Dashboard'!AN$15,
'User Dashboard'!AN$16)),
IF('User Dashboard'!Z$12=2,
IF('SIR Model Patient Calcs'!B16&lt;'User Dashboard'!AJ$15,'User Dashboard'!AN$14,
'User Dashboard'!AN$15),
IF('User Dashboard'!Z$12=1,
'User Dashboard'!AN$14)))))</f>
        <v>15.209356603107825</v>
      </c>
      <c r="D16" s="668">
        <f>'User Dashboard'!X$16</f>
        <v>2.2072878851804097E-2</v>
      </c>
      <c r="E16" s="660">
        <f t="shared" si="0"/>
        <v>8.9862781521070372E-8</v>
      </c>
      <c r="F16" s="660">
        <f t="shared" ref="F16:F79" si="8">AVERAGE(E7:E16)</f>
        <v>8.9862781521070372E-8</v>
      </c>
      <c r="G16" s="670">
        <f>1/'User Dashboard'!X$12</f>
        <v>0.14285714285714285</v>
      </c>
      <c r="H16" s="359">
        <f t="shared" si="1"/>
        <v>3735848.8418775485</v>
      </c>
      <c r="I16" s="672">
        <f t="shared" si="4"/>
        <v>3.4360860548917649</v>
      </c>
      <c r="J16" s="673">
        <f t="shared" si="2"/>
        <v>2.3220363964096449</v>
      </c>
      <c r="K16" s="359">
        <f t="shared" si="5"/>
        <v>5.7581224513014098</v>
      </c>
      <c r="L16" s="673">
        <f t="shared" si="6"/>
        <v>1</v>
      </c>
      <c r="N16" s="287">
        <f t="shared" si="7"/>
        <v>19</v>
      </c>
      <c r="O16" s="673">
        <f t="array" ref="O16">IF(N16="","",MAX(IF(A:A=N16,K:K)))</f>
        <v>3280895.582201954</v>
      </c>
    </row>
    <row r="17" spans="1:15" x14ac:dyDescent="0.35">
      <c r="A17" s="287">
        <f t="shared" si="3"/>
        <v>2</v>
      </c>
      <c r="B17" s="288">
        <v>10</v>
      </c>
      <c r="C17" s="667">
        <f>IF('User Dashboard'!Z$12=5,
IF('SIR Model Patient Calcs'!B17&lt;'User Dashboard'!AJ$15,'User Dashboard'!AN$14,
IF('SIR Model Patient Calcs'!B17&lt;'User Dashboard'!AJ$16,'User Dashboard'!AN$15,
IF('SIR Model Patient Calcs'!B17&lt;'User Dashboard'!AJ$17,'User Dashboard'!AN$16,
IF('SIR Model Patient Calcs'!B17&lt;'User Dashboard'!AJ$18,'User Dashboard'!AN$17,
'User Dashboard'!AN$18)))),
IF('User Dashboard'!Z$12=4,
IF('SIR Model Patient Calcs'!B17&lt;'User Dashboard'!AJ$15,'User Dashboard'!AN$14,
IF('SIR Model Patient Calcs'!B17&lt;'User Dashboard'!AJ$16,'User Dashboard'!AN$15,
IF('SIR Model Patient Calcs'!B17&lt;'User Dashboard'!AJ$17,'User Dashboard'!AN$16,
'User Dashboard'!AN$17))),
IF('User Dashboard'!Z$12=3,
IF('SIR Model Patient Calcs'!B17&lt;'User Dashboard'!AJ$15,'User Dashboard'!AN$14,
IF('SIR Model Patient Calcs'!B17&lt;'User Dashboard'!AJ$16,'User Dashboard'!AN$15,
'User Dashboard'!AN$16)),
IF('User Dashboard'!Z$12=2,
IF('SIR Model Patient Calcs'!B17&lt;'User Dashboard'!AJ$15,'User Dashboard'!AN$14,
'User Dashboard'!AN$15),
IF('User Dashboard'!Z$12=1,
'User Dashboard'!AN$14)))))</f>
        <v>15.209356603107825</v>
      </c>
      <c r="D17" s="668">
        <f>'User Dashboard'!X$16</f>
        <v>2.2072878851804097E-2</v>
      </c>
      <c r="E17" s="660">
        <f t="shared" si="0"/>
        <v>8.9862781521070372E-8</v>
      </c>
      <c r="F17" s="660">
        <f t="shared" si="8"/>
        <v>8.9862781521070372E-8</v>
      </c>
      <c r="G17" s="670">
        <f>1/'User Dashboard'!X$12</f>
        <v>0.14285714285714285</v>
      </c>
      <c r="H17" s="359">
        <f t="shared" si="1"/>
        <v>3735847.6883361507</v>
      </c>
      <c r="I17" s="672">
        <f t="shared" si="4"/>
        <v>4.0987580160780031</v>
      </c>
      <c r="J17" s="673">
        <f t="shared" si="2"/>
        <v>2.8129058328227541</v>
      </c>
      <c r="K17" s="359">
        <f t="shared" si="5"/>
        <v>6.9116638489007567</v>
      </c>
      <c r="L17" s="673">
        <f t="shared" si="6"/>
        <v>2</v>
      </c>
      <c r="N17" s="287">
        <f t="shared" si="7"/>
        <v>18</v>
      </c>
      <c r="O17" s="673">
        <f t="array" ref="O17">IF(N17="","",MAX(IF(A:A=N17,K:K)))</f>
        <v>3273231.9023601105</v>
      </c>
    </row>
    <row r="18" spans="1:15" x14ac:dyDescent="0.35">
      <c r="A18" s="287">
        <f t="shared" si="3"/>
        <v>2</v>
      </c>
      <c r="B18" s="288">
        <v>11</v>
      </c>
      <c r="C18" s="667">
        <f>IF('User Dashboard'!Z$12=5,
IF('SIR Model Patient Calcs'!B18&lt;'User Dashboard'!AJ$15,'User Dashboard'!AN$14,
IF('SIR Model Patient Calcs'!B18&lt;'User Dashboard'!AJ$16,'User Dashboard'!AN$15,
IF('SIR Model Patient Calcs'!B18&lt;'User Dashboard'!AJ$17,'User Dashboard'!AN$16,
IF('SIR Model Patient Calcs'!B18&lt;'User Dashboard'!AJ$18,'User Dashboard'!AN$17,
'User Dashboard'!AN$18)))),
IF('User Dashboard'!Z$12=4,
IF('SIR Model Patient Calcs'!B18&lt;'User Dashboard'!AJ$15,'User Dashboard'!AN$14,
IF('SIR Model Patient Calcs'!B18&lt;'User Dashboard'!AJ$16,'User Dashboard'!AN$15,
IF('SIR Model Patient Calcs'!B18&lt;'User Dashboard'!AJ$17,'User Dashboard'!AN$16,
'User Dashboard'!AN$17))),
IF('User Dashboard'!Z$12=3,
IF('SIR Model Patient Calcs'!B18&lt;'User Dashboard'!AJ$15,'User Dashboard'!AN$14,
IF('SIR Model Patient Calcs'!B18&lt;'User Dashboard'!AJ$16,'User Dashboard'!AN$15,
'User Dashboard'!AN$16)),
IF('User Dashboard'!Z$12=2,
IF('SIR Model Patient Calcs'!B18&lt;'User Dashboard'!AJ$15,'User Dashboard'!AN$14,
'User Dashboard'!AN$15),
IF('User Dashboard'!Z$12=1,
'User Dashboard'!AN$14)))))</f>
        <v>15.209356603107825</v>
      </c>
      <c r="D18" s="668">
        <f>'User Dashboard'!X$16</f>
        <v>2.2072878851804097E-2</v>
      </c>
      <c r="E18" s="660">
        <f t="shared" si="0"/>
        <v>8.9862781521070372E-8</v>
      </c>
      <c r="F18" s="660">
        <f t="shared" si="8"/>
        <v>8.9862781521070372E-8</v>
      </c>
      <c r="G18" s="670">
        <f>1/'User Dashboard'!X$12</f>
        <v>0.14285714285714285</v>
      </c>
      <c r="H18" s="359">
        <f t="shared" si="1"/>
        <v>3735846.3123270767</v>
      </c>
      <c r="I18" s="672">
        <f t="shared" si="4"/>
        <v>4.8892302305775281</v>
      </c>
      <c r="J18" s="673">
        <f t="shared" si="2"/>
        <v>3.3984426922624689</v>
      </c>
      <c r="K18" s="359">
        <f t="shared" si="5"/>
        <v>8.287672922839997</v>
      </c>
      <c r="L18" s="673">
        <f t="shared" si="6"/>
        <v>2</v>
      </c>
      <c r="N18" s="287">
        <f t="shared" si="7"/>
        <v>17</v>
      </c>
      <c r="O18" s="673">
        <f t="array" ref="O18">IF(N18="","",MAX(IF(A:A=N18,K:K)))</f>
        <v>3256636.0152195711</v>
      </c>
    </row>
    <row r="19" spans="1:15" x14ac:dyDescent="0.35">
      <c r="A19" s="287">
        <f t="shared" si="3"/>
        <v>2</v>
      </c>
      <c r="B19" s="288">
        <v>12</v>
      </c>
      <c r="C19" s="667">
        <f>IF('User Dashboard'!Z$12=5,
IF('SIR Model Patient Calcs'!B19&lt;'User Dashboard'!AJ$15,'User Dashboard'!AN$14,
IF('SIR Model Patient Calcs'!B19&lt;'User Dashboard'!AJ$16,'User Dashboard'!AN$15,
IF('SIR Model Patient Calcs'!B19&lt;'User Dashboard'!AJ$17,'User Dashboard'!AN$16,
IF('SIR Model Patient Calcs'!B19&lt;'User Dashboard'!AJ$18,'User Dashboard'!AN$17,
'User Dashboard'!AN$18)))),
IF('User Dashboard'!Z$12=4,
IF('SIR Model Patient Calcs'!B19&lt;'User Dashboard'!AJ$15,'User Dashboard'!AN$14,
IF('SIR Model Patient Calcs'!B19&lt;'User Dashboard'!AJ$16,'User Dashboard'!AN$15,
IF('SIR Model Patient Calcs'!B19&lt;'User Dashboard'!AJ$17,'User Dashboard'!AN$16,
'User Dashboard'!AN$17))),
IF('User Dashboard'!Z$12=3,
IF('SIR Model Patient Calcs'!B19&lt;'User Dashboard'!AJ$15,'User Dashboard'!AN$14,
IF('SIR Model Patient Calcs'!B19&lt;'User Dashboard'!AJ$16,'User Dashboard'!AN$15,
'User Dashboard'!AN$16)),
IF('User Dashboard'!Z$12=2,
IF('SIR Model Patient Calcs'!B19&lt;'User Dashboard'!AJ$15,'User Dashboard'!AN$14,
'User Dashboard'!AN$15),
IF('User Dashboard'!Z$12=1,
'User Dashboard'!AN$14)))))</f>
        <v>15.209356603107825</v>
      </c>
      <c r="D19" s="668">
        <f>'User Dashboard'!X$16</f>
        <v>2.2072878851804097E-2</v>
      </c>
      <c r="E19" s="660">
        <f t="shared" si="0"/>
        <v>8.9862781521070372E-8</v>
      </c>
      <c r="F19" s="660">
        <f t="shared" si="8"/>
        <v>8.9862781521070372E-8</v>
      </c>
      <c r="G19" s="670">
        <f>1/'User Dashboard'!X$12</f>
        <v>0.14285714285714285</v>
      </c>
      <c r="H19" s="359">
        <f t="shared" si="1"/>
        <v>3735844.6709462833</v>
      </c>
      <c r="I19" s="672">
        <f t="shared" si="4"/>
        <v>5.8321495623469302</v>
      </c>
      <c r="J19" s="673">
        <f t="shared" si="2"/>
        <v>4.0969041537735444</v>
      </c>
      <c r="K19" s="359">
        <f t="shared" si="5"/>
        <v>9.9290537161204746</v>
      </c>
      <c r="L19" s="673">
        <f t="shared" si="6"/>
        <v>2</v>
      </c>
      <c r="N19" s="287">
        <f t="shared" si="7"/>
        <v>16</v>
      </c>
      <c r="O19" s="673">
        <f t="array" ref="O19">IF(N19="","",MAX(IF(A:A=N19,K:K)))</f>
        <v>3220129.3878946784</v>
      </c>
    </row>
    <row r="20" spans="1:15" x14ac:dyDescent="0.35">
      <c r="A20" s="287">
        <f t="shared" si="3"/>
        <v>2</v>
      </c>
      <c r="B20" s="288">
        <v>13</v>
      </c>
      <c r="C20" s="667">
        <f>IF('User Dashboard'!Z$12=5,
IF('SIR Model Patient Calcs'!B20&lt;'User Dashboard'!AJ$15,'User Dashboard'!AN$14,
IF('SIR Model Patient Calcs'!B20&lt;'User Dashboard'!AJ$16,'User Dashboard'!AN$15,
IF('SIR Model Patient Calcs'!B20&lt;'User Dashboard'!AJ$17,'User Dashboard'!AN$16,
IF('SIR Model Patient Calcs'!B20&lt;'User Dashboard'!AJ$18,'User Dashboard'!AN$17,
'User Dashboard'!AN$18)))),
IF('User Dashboard'!Z$12=4,
IF('SIR Model Patient Calcs'!B20&lt;'User Dashboard'!AJ$15,'User Dashboard'!AN$14,
IF('SIR Model Patient Calcs'!B20&lt;'User Dashboard'!AJ$16,'User Dashboard'!AN$15,
IF('SIR Model Patient Calcs'!B20&lt;'User Dashboard'!AJ$17,'User Dashboard'!AN$16,
'User Dashboard'!AN$17))),
IF('User Dashboard'!Z$12=3,
IF('SIR Model Patient Calcs'!B20&lt;'User Dashboard'!AJ$15,'User Dashboard'!AN$14,
IF('SIR Model Patient Calcs'!B20&lt;'User Dashboard'!AJ$16,'User Dashboard'!AN$15,
'User Dashboard'!AN$16)),
IF('User Dashboard'!Z$12=2,
IF('SIR Model Patient Calcs'!B20&lt;'User Dashboard'!AJ$15,'User Dashboard'!AN$14,
'User Dashboard'!AN$15),
IF('User Dashboard'!Z$12=1,
'User Dashboard'!AN$14)))))</f>
        <v>15.209356603107825</v>
      </c>
      <c r="D20" s="668">
        <f>'User Dashboard'!X$16</f>
        <v>2.2072878851804097E-2</v>
      </c>
      <c r="E20" s="660">
        <f t="shared" si="0"/>
        <v>8.9862781521070372E-8</v>
      </c>
      <c r="F20" s="660">
        <f t="shared" si="8"/>
        <v>8.9862781521070372E-8</v>
      </c>
      <c r="G20" s="670">
        <f>1/'User Dashboard'!X$12</f>
        <v>0.14285714285714285</v>
      </c>
      <c r="H20" s="359">
        <f t="shared" si="1"/>
        <v>3735842.7130155624</v>
      </c>
      <c r="I20" s="672">
        <f t="shared" si="4"/>
        <v>6.9569160599073392</v>
      </c>
      <c r="J20" s="673">
        <f t="shared" si="2"/>
        <v>4.9300683769659628</v>
      </c>
      <c r="K20" s="359">
        <f t="shared" si="5"/>
        <v>11.886984436873302</v>
      </c>
      <c r="L20" s="673">
        <f t="shared" si="6"/>
        <v>2</v>
      </c>
      <c r="N20" s="287">
        <f t="shared" si="7"/>
        <v>15</v>
      </c>
      <c r="O20" s="673">
        <f t="array" ref="O20">IF(N20="","",MAX(IF(A:A=N20,K:K)))</f>
        <v>3137506.9666894404</v>
      </c>
    </row>
    <row r="21" spans="1:15" x14ac:dyDescent="0.35">
      <c r="A21" s="287">
        <f t="shared" si="3"/>
        <v>2</v>
      </c>
      <c r="B21" s="288">
        <v>14</v>
      </c>
      <c r="C21" s="667">
        <f>IF('User Dashboard'!Z$12=5,
IF('SIR Model Patient Calcs'!B21&lt;'User Dashboard'!AJ$15,'User Dashboard'!AN$14,
IF('SIR Model Patient Calcs'!B21&lt;'User Dashboard'!AJ$16,'User Dashboard'!AN$15,
IF('SIR Model Patient Calcs'!B21&lt;'User Dashboard'!AJ$17,'User Dashboard'!AN$16,
IF('SIR Model Patient Calcs'!B21&lt;'User Dashboard'!AJ$18,'User Dashboard'!AN$17,
'User Dashboard'!AN$18)))),
IF('User Dashboard'!Z$12=4,
IF('SIR Model Patient Calcs'!B21&lt;'User Dashboard'!AJ$15,'User Dashboard'!AN$14,
IF('SIR Model Patient Calcs'!B21&lt;'User Dashboard'!AJ$16,'User Dashboard'!AN$15,
IF('SIR Model Patient Calcs'!B21&lt;'User Dashboard'!AJ$17,'User Dashboard'!AN$16,
'User Dashboard'!AN$17))),
IF('User Dashboard'!Z$12=3,
IF('SIR Model Patient Calcs'!B21&lt;'User Dashboard'!AJ$15,'User Dashboard'!AN$14,
IF('SIR Model Patient Calcs'!B21&lt;'User Dashboard'!AJ$16,'User Dashboard'!AN$15,
'User Dashboard'!AN$16)),
IF('User Dashboard'!Z$12=2,
IF('SIR Model Patient Calcs'!B21&lt;'User Dashboard'!AJ$15,'User Dashboard'!AN$14,
'User Dashboard'!AN$15),
IF('User Dashboard'!Z$12=1,
'User Dashboard'!AN$14)))))</f>
        <v>15.209356603107825</v>
      </c>
      <c r="D21" s="668">
        <f>'User Dashboard'!X$16</f>
        <v>2.2072878851804097E-2</v>
      </c>
      <c r="E21" s="660">
        <f t="shared" si="0"/>
        <v>8.9862781521070372E-8</v>
      </c>
      <c r="F21" s="660">
        <f t="shared" si="8"/>
        <v>8.9862781521070372E-8</v>
      </c>
      <c r="G21" s="670">
        <f>1/'User Dashboard'!X$12</f>
        <v>0.14285714285714285</v>
      </c>
      <c r="H21" s="359">
        <f t="shared" si="1"/>
        <v>3735840.3774868879</v>
      </c>
      <c r="I21" s="672">
        <f t="shared" si="4"/>
        <v>8.2985995829577988</v>
      </c>
      <c r="J21" s="673">
        <f t="shared" si="2"/>
        <v>5.9239135283812967</v>
      </c>
      <c r="K21" s="359">
        <f t="shared" si="5"/>
        <v>14.222513111339095</v>
      </c>
      <c r="L21" s="673">
        <f t="shared" si="6"/>
        <v>3</v>
      </c>
      <c r="N21" s="287">
        <f t="shared" si="7"/>
        <v>14</v>
      </c>
      <c r="O21" s="673">
        <f t="array" ref="O21">IF(N21="","",MAX(IF(A:A=N21,K:K)))</f>
        <v>2943151.1036709631</v>
      </c>
    </row>
    <row r="22" spans="1:15" x14ac:dyDescent="0.35">
      <c r="A22" s="287">
        <f t="shared" si="3"/>
        <v>3</v>
      </c>
      <c r="B22" s="288">
        <v>15</v>
      </c>
      <c r="C22" s="667">
        <f>IF('User Dashboard'!Z$12=5,
IF('SIR Model Patient Calcs'!B22&lt;'User Dashboard'!AJ$15,'User Dashboard'!AN$14,
IF('SIR Model Patient Calcs'!B22&lt;'User Dashboard'!AJ$16,'User Dashboard'!AN$15,
IF('SIR Model Patient Calcs'!B22&lt;'User Dashboard'!AJ$17,'User Dashboard'!AN$16,
IF('SIR Model Patient Calcs'!B22&lt;'User Dashboard'!AJ$18,'User Dashboard'!AN$17,
'User Dashboard'!AN$18)))),
IF('User Dashboard'!Z$12=4,
IF('SIR Model Patient Calcs'!B22&lt;'User Dashboard'!AJ$15,'User Dashboard'!AN$14,
IF('SIR Model Patient Calcs'!B22&lt;'User Dashboard'!AJ$16,'User Dashboard'!AN$15,
IF('SIR Model Patient Calcs'!B22&lt;'User Dashboard'!AJ$17,'User Dashboard'!AN$16,
'User Dashboard'!AN$17))),
IF('User Dashboard'!Z$12=3,
IF('SIR Model Patient Calcs'!B22&lt;'User Dashboard'!AJ$15,'User Dashboard'!AN$14,
IF('SIR Model Patient Calcs'!B22&lt;'User Dashboard'!AJ$16,'User Dashboard'!AN$15,
'User Dashboard'!AN$16)),
IF('User Dashboard'!Z$12=2,
IF('SIR Model Patient Calcs'!B22&lt;'User Dashboard'!AJ$15,'User Dashboard'!AN$14,
'User Dashboard'!AN$15),
IF('User Dashboard'!Z$12=1,
'User Dashboard'!AN$14)))))</f>
        <v>15.209356603107825</v>
      </c>
      <c r="D22" s="668">
        <f>'User Dashboard'!X$16</f>
        <v>2.2072878851804097E-2</v>
      </c>
      <c r="E22" s="660">
        <f t="shared" si="0"/>
        <v>8.9862781521070385E-8</v>
      </c>
      <c r="F22" s="660">
        <f t="shared" si="8"/>
        <v>8.9862781521070372E-8</v>
      </c>
      <c r="G22" s="670">
        <f>1/'User Dashboard'!X$12</f>
        <v>0.14285714285714285</v>
      </c>
      <c r="H22" s="359">
        <f t="shared" si="1"/>
        <v>3735837.5915390626</v>
      </c>
      <c r="I22" s="672">
        <f t="shared" si="4"/>
        <v>9.8990331820132695</v>
      </c>
      <c r="J22" s="673">
        <f t="shared" si="2"/>
        <v>7.1094277545181246</v>
      </c>
      <c r="K22" s="359">
        <f t="shared" si="5"/>
        <v>17.008460936531392</v>
      </c>
      <c r="L22" s="673">
        <f t="shared" si="6"/>
        <v>3</v>
      </c>
      <c r="N22" s="287">
        <f t="shared" si="7"/>
        <v>13</v>
      </c>
      <c r="O22" s="673">
        <f t="array" ref="O22">IF(N22="","",MAX(IF(A:A=N22,K:K)))</f>
        <v>2487816.9824610129</v>
      </c>
    </row>
    <row r="23" spans="1:15" x14ac:dyDescent="0.35">
      <c r="A23" s="287">
        <f t="shared" si="3"/>
        <v>3</v>
      </c>
      <c r="B23" s="288">
        <v>16</v>
      </c>
      <c r="C23" s="667">
        <f>IF('User Dashboard'!Z$12=5,
IF('SIR Model Patient Calcs'!B23&lt;'User Dashboard'!AJ$15,'User Dashboard'!AN$14,
IF('SIR Model Patient Calcs'!B23&lt;'User Dashboard'!AJ$16,'User Dashboard'!AN$15,
IF('SIR Model Patient Calcs'!B23&lt;'User Dashboard'!AJ$17,'User Dashboard'!AN$16,
IF('SIR Model Patient Calcs'!B23&lt;'User Dashboard'!AJ$18,'User Dashboard'!AN$17,
'User Dashboard'!AN$18)))),
IF('User Dashboard'!Z$12=4,
IF('SIR Model Patient Calcs'!B23&lt;'User Dashboard'!AJ$15,'User Dashboard'!AN$14,
IF('SIR Model Patient Calcs'!B23&lt;'User Dashboard'!AJ$16,'User Dashboard'!AN$15,
IF('SIR Model Patient Calcs'!B23&lt;'User Dashboard'!AJ$17,'User Dashboard'!AN$16,
'User Dashboard'!AN$17))),
IF('User Dashboard'!Z$12=3,
IF('SIR Model Patient Calcs'!B23&lt;'User Dashboard'!AJ$15,'User Dashboard'!AN$14,
IF('SIR Model Patient Calcs'!B23&lt;'User Dashboard'!AJ$16,'User Dashboard'!AN$15,
'User Dashboard'!AN$16)),
IF('User Dashboard'!Z$12=2,
IF('SIR Model Patient Calcs'!B23&lt;'User Dashboard'!AJ$15,'User Dashboard'!AN$14,
'User Dashboard'!AN$15),
IF('User Dashboard'!Z$12=1,
'User Dashboard'!AN$14)))))</f>
        <v>15.209356603107825</v>
      </c>
      <c r="D23" s="668">
        <f>'User Dashboard'!X$16</f>
        <v>2.2072878851804097E-2</v>
      </c>
      <c r="E23" s="660">
        <f t="shared" si="0"/>
        <v>8.9862781521070372E-8</v>
      </c>
      <c r="F23" s="660">
        <f t="shared" si="8"/>
        <v>8.9862781521070372E-8</v>
      </c>
      <c r="G23" s="670">
        <f>1/'User Dashboard'!X$12</f>
        <v>0.14285714285714285</v>
      </c>
      <c r="H23" s="359">
        <f t="shared" si="1"/>
        <v>3735834.2683073385</v>
      </c>
      <c r="I23" s="672">
        <f t="shared" si="4"/>
        <v>11.808117308588781</v>
      </c>
      <c r="J23" s="673">
        <f t="shared" si="2"/>
        <v>8.5235753519485922</v>
      </c>
      <c r="K23" s="359">
        <f t="shared" si="5"/>
        <v>20.331692660537371</v>
      </c>
      <c r="L23" s="673">
        <f t="shared" si="6"/>
        <v>4</v>
      </c>
      <c r="N23" s="287">
        <f t="shared" si="7"/>
        <v>12</v>
      </c>
      <c r="O23" s="673">
        <f t="array" ref="O23">IF(N23="","",MAX(IF(A:A=N23,K:K)))</f>
        <v>1637240.5793930893</v>
      </c>
    </row>
    <row r="24" spans="1:15" x14ac:dyDescent="0.35">
      <c r="A24" s="287">
        <f t="shared" si="3"/>
        <v>3</v>
      </c>
      <c r="B24" s="288">
        <v>17</v>
      </c>
      <c r="C24" s="667">
        <f>IF('User Dashboard'!Z$12=5,
IF('SIR Model Patient Calcs'!B24&lt;'User Dashboard'!AJ$15,'User Dashboard'!AN$14,
IF('SIR Model Patient Calcs'!B24&lt;'User Dashboard'!AJ$16,'User Dashboard'!AN$15,
IF('SIR Model Patient Calcs'!B24&lt;'User Dashboard'!AJ$17,'User Dashboard'!AN$16,
IF('SIR Model Patient Calcs'!B24&lt;'User Dashboard'!AJ$18,'User Dashboard'!AN$17,
'User Dashboard'!AN$18)))),
IF('User Dashboard'!Z$12=4,
IF('SIR Model Patient Calcs'!B24&lt;'User Dashboard'!AJ$15,'User Dashboard'!AN$14,
IF('SIR Model Patient Calcs'!B24&lt;'User Dashboard'!AJ$16,'User Dashboard'!AN$15,
IF('SIR Model Patient Calcs'!B24&lt;'User Dashboard'!AJ$17,'User Dashboard'!AN$16,
'User Dashboard'!AN$17))),
IF('User Dashboard'!Z$12=3,
IF('SIR Model Patient Calcs'!B24&lt;'User Dashboard'!AJ$15,'User Dashboard'!AN$14,
IF('SIR Model Patient Calcs'!B24&lt;'User Dashboard'!AJ$16,'User Dashboard'!AN$15,
'User Dashboard'!AN$16)),
IF('User Dashboard'!Z$12=2,
IF('SIR Model Patient Calcs'!B24&lt;'User Dashboard'!AJ$15,'User Dashboard'!AN$14,
'User Dashboard'!AN$15),
IF('User Dashboard'!Z$12=1,
'User Dashboard'!AN$14)))))</f>
        <v>15.209356603107825</v>
      </c>
      <c r="D24" s="668">
        <f>'User Dashboard'!X$16</f>
        <v>2.2072878851804097E-2</v>
      </c>
      <c r="E24" s="660">
        <f t="shared" si="0"/>
        <v>8.9862781521070372E-8</v>
      </c>
      <c r="F24" s="660">
        <f t="shared" si="8"/>
        <v>8.9862781521070372E-8</v>
      </c>
      <c r="G24" s="670">
        <f>1/'User Dashboard'!X$12</f>
        <v>0.14285714285714285</v>
      </c>
      <c r="H24" s="359">
        <f t="shared" si="1"/>
        <v>3735830.3041752446</v>
      </c>
      <c r="I24" s="672">
        <f t="shared" si="4"/>
        <v>14.085375501077383</v>
      </c>
      <c r="J24" s="673">
        <f t="shared" si="2"/>
        <v>10.210449253175561</v>
      </c>
      <c r="K24" s="359">
        <f t="shared" si="5"/>
        <v>24.295824754252944</v>
      </c>
      <c r="L24" s="673">
        <f t="shared" si="6"/>
        <v>4</v>
      </c>
      <c r="N24" s="287">
        <f t="shared" si="7"/>
        <v>11</v>
      </c>
      <c r="O24" s="673">
        <f t="array" ref="O24">IF(N24="","",MAX(IF(A:A=N24,K:K)))</f>
        <v>746424.26218600874</v>
      </c>
    </row>
    <row r="25" spans="1:15" x14ac:dyDescent="0.35">
      <c r="A25" s="287">
        <f t="shared" si="3"/>
        <v>3</v>
      </c>
      <c r="B25" s="288">
        <v>18</v>
      </c>
      <c r="C25" s="667">
        <f>IF('User Dashboard'!Z$12=5,
IF('SIR Model Patient Calcs'!B25&lt;'User Dashboard'!AJ$15,'User Dashboard'!AN$14,
IF('SIR Model Patient Calcs'!B25&lt;'User Dashboard'!AJ$16,'User Dashboard'!AN$15,
IF('SIR Model Patient Calcs'!B25&lt;'User Dashboard'!AJ$17,'User Dashboard'!AN$16,
IF('SIR Model Patient Calcs'!B25&lt;'User Dashboard'!AJ$18,'User Dashboard'!AN$17,
'User Dashboard'!AN$18)))),
IF('User Dashboard'!Z$12=4,
IF('SIR Model Patient Calcs'!B25&lt;'User Dashboard'!AJ$15,'User Dashboard'!AN$14,
IF('SIR Model Patient Calcs'!B25&lt;'User Dashboard'!AJ$16,'User Dashboard'!AN$15,
IF('SIR Model Patient Calcs'!B25&lt;'User Dashboard'!AJ$17,'User Dashboard'!AN$16,
'User Dashboard'!AN$17))),
IF('User Dashboard'!Z$12=3,
IF('SIR Model Patient Calcs'!B25&lt;'User Dashboard'!AJ$15,'User Dashboard'!AN$14,
IF('SIR Model Patient Calcs'!B25&lt;'User Dashboard'!AJ$16,'User Dashboard'!AN$15,
'User Dashboard'!AN$16)),
IF('User Dashboard'!Z$12=2,
IF('SIR Model Patient Calcs'!B25&lt;'User Dashboard'!AJ$15,'User Dashboard'!AN$14,
'User Dashboard'!AN$15),
IF('User Dashboard'!Z$12=1,
'User Dashboard'!AN$14)))))</f>
        <v>15.209356603107825</v>
      </c>
      <c r="D25" s="668">
        <f>'User Dashboard'!X$16</f>
        <v>2.2072878851804097E-2</v>
      </c>
      <c r="E25" s="660">
        <f t="shared" si="0"/>
        <v>8.9862781521070372E-8</v>
      </c>
      <c r="F25" s="660">
        <f t="shared" si="8"/>
        <v>8.9862781521070372E-8</v>
      </c>
      <c r="G25" s="670">
        <f>1/'User Dashboard'!X$12</f>
        <v>0.14285714285714285</v>
      </c>
      <c r="H25" s="359">
        <f t="shared" si="1"/>
        <v>3735825.5755442218</v>
      </c>
      <c r="I25" s="672">
        <f t="shared" si="4"/>
        <v>16.801810023820167</v>
      </c>
      <c r="J25" s="673">
        <f t="shared" si="2"/>
        <v>12.222645753329473</v>
      </c>
      <c r="K25" s="359">
        <f t="shared" si="5"/>
        <v>29.02445577714964</v>
      </c>
      <c r="L25" s="673">
        <f t="shared" si="6"/>
        <v>5</v>
      </c>
      <c r="N25" s="287">
        <f t="shared" si="7"/>
        <v>10</v>
      </c>
      <c r="O25" s="673">
        <f t="array" ref="O25">IF(N25="","",MAX(IF(A:A=N25,K:K)))</f>
        <v>259045.0655487591</v>
      </c>
    </row>
    <row r="26" spans="1:15" x14ac:dyDescent="0.35">
      <c r="A26" s="287">
        <f t="shared" si="3"/>
        <v>3</v>
      </c>
      <c r="B26" s="288">
        <v>19</v>
      </c>
      <c r="C26" s="667">
        <f>IF('User Dashboard'!Z$12=5,
IF('SIR Model Patient Calcs'!B26&lt;'User Dashboard'!AJ$15,'User Dashboard'!AN$14,
IF('SIR Model Patient Calcs'!B26&lt;'User Dashboard'!AJ$16,'User Dashboard'!AN$15,
IF('SIR Model Patient Calcs'!B26&lt;'User Dashboard'!AJ$17,'User Dashboard'!AN$16,
IF('SIR Model Patient Calcs'!B26&lt;'User Dashboard'!AJ$18,'User Dashboard'!AN$17,
'User Dashboard'!AN$18)))),
IF('User Dashboard'!Z$12=4,
IF('SIR Model Patient Calcs'!B26&lt;'User Dashboard'!AJ$15,'User Dashboard'!AN$14,
IF('SIR Model Patient Calcs'!B26&lt;'User Dashboard'!AJ$16,'User Dashboard'!AN$15,
IF('SIR Model Patient Calcs'!B26&lt;'User Dashboard'!AJ$17,'User Dashboard'!AN$16,
'User Dashboard'!AN$17))),
IF('User Dashboard'!Z$12=3,
IF('SIR Model Patient Calcs'!B26&lt;'User Dashboard'!AJ$15,'User Dashboard'!AN$14,
IF('SIR Model Patient Calcs'!B26&lt;'User Dashboard'!AJ$16,'User Dashboard'!AN$15,
'User Dashboard'!AN$16)),
IF('User Dashboard'!Z$12=2,
IF('SIR Model Patient Calcs'!B26&lt;'User Dashboard'!AJ$15,'User Dashboard'!AN$14,
'User Dashboard'!AN$15),
IF('User Dashboard'!Z$12=1,
'User Dashboard'!AN$14)))))</f>
        <v>15.209356603107825</v>
      </c>
      <c r="D26" s="668">
        <f>'User Dashboard'!X$16</f>
        <v>2.2072878851804097E-2</v>
      </c>
      <c r="E26" s="660">
        <f t="shared" si="0"/>
        <v>8.9862781521070372E-8</v>
      </c>
      <c r="F26" s="660">
        <f t="shared" si="8"/>
        <v>8.9862781521070385E-8</v>
      </c>
      <c r="G26" s="670">
        <f>1/'User Dashboard'!X$12</f>
        <v>0.14285714285714285</v>
      </c>
      <c r="H26" s="359">
        <f t="shared" si="1"/>
        <v>3735819.9349803939</v>
      </c>
      <c r="I26" s="672">
        <f t="shared" si="4"/>
        <v>20.042115277053774</v>
      </c>
      <c r="J26" s="673">
        <f t="shared" si="2"/>
        <v>14.622904328160926</v>
      </c>
      <c r="K26" s="359">
        <f t="shared" si="5"/>
        <v>34.665019605214702</v>
      </c>
      <c r="L26" s="673">
        <f t="shared" si="6"/>
        <v>6</v>
      </c>
      <c r="N26" s="287">
        <f t="shared" si="7"/>
        <v>9</v>
      </c>
      <c r="O26" s="673">
        <f t="array" ref="O26">IF(N26="","",MAX(IF(A:A=N26,K:K)))</f>
        <v>79804.694266354258</v>
      </c>
    </row>
    <row r="27" spans="1:15" x14ac:dyDescent="0.35">
      <c r="A27" s="287">
        <f t="shared" si="3"/>
        <v>3</v>
      </c>
      <c r="B27" s="288">
        <v>20</v>
      </c>
      <c r="C27" s="667">
        <f>IF('User Dashboard'!Z$12=5,
IF('SIR Model Patient Calcs'!B27&lt;'User Dashboard'!AJ$15,'User Dashboard'!AN$14,
IF('SIR Model Patient Calcs'!B27&lt;'User Dashboard'!AJ$16,'User Dashboard'!AN$15,
IF('SIR Model Patient Calcs'!B27&lt;'User Dashboard'!AJ$17,'User Dashboard'!AN$16,
IF('SIR Model Patient Calcs'!B27&lt;'User Dashboard'!AJ$18,'User Dashboard'!AN$17,
'User Dashboard'!AN$18)))),
IF('User Dashboard'!Z$12=4,
IF('SIR Model Patient Calcs'!B27&lt;'User Dashboard'!AJ$15,'User Dashboard'!AN$14,
IF('SIR Model Patient Calcs'!B27&lt;'User Dashboard'!AJ$16,'User Dashboard'!AN$15,
IF('SIR Model Patient Calcs'!B27&lt;'User Dashboard'!AJ$17,'User Dashboard'!AN$16,
'User Dashboard'!AN$17))),
IF('User Dashboard'!Z$12=3,
IF('SIR Model Patient Calcs'!B27&lt;'User Dashboard'!AJ$15,'User Dashboard'!AN$14,
IF('SIR Model Patient Calcs'!B27&lt;'User Dashboard'!AJ$16,'User Dashboard'!AN$15,
'User Dashboard'!AN$16)),
IF('User Dashboard'!Z$12=2,
IF('SIR Model Patient Calcs'!B27&lt;'User Dashboard'!AJ$15,'User Dashboard'!AN$14,
'User Dashboard'!AN$15),
IF('User Dashboard'!Z$12=1,
'User Dashboard'!AN$14)))))</f>
        <v>15.209356603107825</v>
      </c>
      <c r="D27" s="668">
        <f>'User Dashboard'!X$16</f>
        <v>2.2072878851804097E-2</v>
      </c>
      <c r="E27" s="660">
        <f t="shared" si="0"/>
        <v>8.9862781521070372E-8</v>
      </c>
      <c r="F27" s="660">
        <f t="shared" si="8"/>
        <v>8.9862781521070372E-8</v>
      </c>
      <c r="G27" s="670">
        <f>1/'User Dashboard'!X$12</f>
        <v>0.14285714285714285</v>
      </c>
      <c r="H27" s="359">
        <f t="shared" si="1"/>
        <v>3735813.2066184124</v>
      </c>
      <c r="I27" s="672">
        <f t="shared" si="4"/>
        <v>23.907317933105102</v>
      </c>
      <c r="J27" s="673">
        <f t="shared" si="2"/>
        <v>17.486063653454323</v>
      </c>
      <c r="K27" s="359">
        <f t="shared" si="5"/>
        <v>41.393381586559428</v>
      </c>
      <c r="L27" s="673">
        <f t="shared" si="6"/>
        <v>7</v>
      </c>
      <c r="N27" s="287">
        <f t="shared" si="7"/>
        <v>8</v>
      </c>
      <c r="O27" s="673">
        <f t="array" ref="O27">IF(N27="","",MAX(IF(A:A=N27,K:K)))</f>
        <v>23624.334333986968</v>
      </c>
    </row>
    <row r="28" spans="1:15" x14ac:dyDescent="0.35">
      <c r="A28" s="287">
        <f t="shared" si="3"/>
        <v>3</v>
      </c>
      <c r="B28" s="288">
        <v>21</v>
      </c>
      <c r="C28" s="667">
        <f>IF('User Dashboard'!Z$12=5,
IF('SIR Model Patient Calcs'!B28&lt;'User Dashboard'!AJ$15,'User Dashboard'!AN$14,
IF('SIR Model Patient Calcs'!B28&lt;'User Dashboard'!AJ$16,'User Dashboard'!AN$15,
IF('SIR Model Patient Calcs'!B28&lt;'User Dashboard'!AJ$17,'User Dashboard'!AN$16,
IF('SIR Model Patient Calcs'!B28&lt;'User Dashboard'!AJ$18,'User Dashboard'!AN$17,
'User Dashboard'!AN$18)))),
IF('User Dashboard'!Z$12=4,
IF('SIR Model Patient Calcs'!B28&lt;'User Dashboard'!AJ$15,'User Dashboard'!AN$14,
IF('SIR Model Patient Calcs'!B28&lt;'User Dashboard'!AJ$16,'User Dashboard'!AN$15,
IF('SIR Model Patient Calcs'!B28&lt;'User Dashboard'!AJ$17,'User Dashboard'!AN$16,
'User Dashboard'!AN$17))),
IF('User Dashboard'!Z$12=3,
IF('SIR Model Patient Calcs'!B28&lt;'User Dashboard'!AJ$15,'User Dashboard'!AN$14,
IF('SIR Model Patient Calcs'!B28&lt;'User Dashboard'!AJ$16,'User Dashboard'!AN$15,
'User Dashboard'!AN$16)),
IF('User Dashboard'!Z$12=2,
IF('SIR Model Patient Calcs'!B28&lt;'User Dashboard'!AJ$15,'User Dashboard'!AN$14,
'User Dashboard'!AN$15),
IF('User Dashboard'!Z$12=1,
'User Dashboard'!AN$14)))))</f>
        <v>15.209356603107825</v>
      </c>
      <c r="D28" s="668">
        <f>'User Dashboard'!X$16</f>
        <v>2.2072878851804097E-2</v>
      </c>
      <c r="E28" s="660">
        <f t="shared" si="0"/>
        <v>8.9862781521070372E-8</v>
      </c>
      <c r="F28" s="660">
        <f t="shared" si="8"/>
        <v>8.9862781521070372E-8</v>
      </c>
      <c r="G28" s="670">
        <f>1/'User Dashboard'!X$12</f>
        <v>0.14285714285714285</v>
      </c>
      <c r="H28" s="359">
        <f t="shared" si="1"/>
        <v>3735805.1806791779</v>
      </c>
      <c r="I28" s="672">
        <f t="shared" si="4"/>
        <v>28.517926034427088</v>
      </c>
      <c r="J28" s="673">
        <f t="shared" si="2"/>
        <v>20.901394786755052</v>
      </c>
      <c r="K28" s="359">
        <f t="shared" si="5"/>
        <v>49.41932082118214</v>
      </c>
      <c r="L28" s="673">
        <f t="shared" si="6"/>
        <v>9</v>
      </c>
      <c r="N28" s="287">
        <f t="shared" si="7"/>
        <v>7</v>
      </c>
      <c r="O28" s="673">
        <f t="array" ref="O28">IF(N28="","",MAX(IF(A:A=N28,K:K)))</f>
        <v>6909.0917093360667</v>
      </c>
    </row>
    <row r="29" spans="1:15" x14ac:dyDescent="0.35">
      <c r="A29" s="287">
        <f t="shared" si="3"/>
        <v>4</v>
      </c>
      <c r="B29" s="288">
        <v>22</v>
      </c>
      <c r="C29" s="667">
        <f>IF('User Dashboard'!Z$12=5,
IF('SIR Model Patient Calcs'!B29&lt;'User Dashboard'!AJ$15,'User Dashboard'!AN$14,
IF('SIR Model Patient Calcs'!B29&lt;'User Dashboard'!AJ$16,'User Dashboard'!AN$15,
IF('SIR Model Patient Calcs'!B29&lt;'User Dashboard'!AJ$17,'User Dashboard'!AN$16,
IF('SIR Model Patient Calcs'!B29&lt;'User Dashboard'!AJ$18,'User Dashboard'!AN$17,
'User Dashboard'!AN$18)))),
IF('User Dashboard'!Z$12=4,
IF('SIR Model Patient Calcs'!B29&lt;'User Dashboard'!AJ$15,'User Dashboard'!AN$14,
IF('SIR Model Patient Calcs'!B29&lt;'User Dashboard'!AJ$16,'User Dashboard'!AN$15,
IF('SIR Model Patient Calcs'!B29&lt;'User Dashboard'!AJ$17,'User Dashboard'!AN$16,
'User Dashboard'!AN$17))),
IF('User Dashboard'!Z$12=3,
IF('SIR Model Patient Calcs'!B29&lt;'User Dashboard'!AJ$15,'User Dashboard'!AN$14,
IF('SIR Model Patient Calcs'!B29&lt;'User Dashboard'!AJ$16,'User Dashboard'!AN$15,
'User Dashboard'!AN$16)),
IF('User Dashboard'!Z$12=2,
IF('SIR Model Patient Calcs'!B29&lt;'User Dashboard'!AJ$15,'User Dashboard'!AN$14,
'User Dashboard'!AN$15),
IF('User Dashboard'!Z$12=1,
'User Dashboard'!AN$14)))))</f>
        <v>15.209356603107825</v>
      </c>
      <c r="D29" s="668">
        <f>'User Dashboard'!X$16</f>
        <v>2.2072878851804097E-2</v>
      </c>
      <c r="E29" s="660">
        <f t="shared" si="0"/>
        <v>8.9862781521070385E-8</v>
      </c>
      <c r="F29" s="660">
        <f t="shared" si="8"/>
        <v>8.9862781521070385E-8</v>
      </c>
      <c r="G29" s="670">
        <f>1/'User Dashboard'!X$12</f>
        <v>0.14285714285714285</v>
      </c>
      <c r="H29" s="359">
        <f t="shared" si="1"/>
        <v>3735795.6069306559</v>
      </c>
      <c r="I29" s="672">
        <f t="shared" si="4"/>
        <v>34.017685122736815</v>
      </c>
      <c r="J29" s="673">
        <f t="shared" si="2"/>
        <v>24.975384220244635</v>
      </c>
      <c r="K29" s="359">
        <f t="shared" si="5"/>
        <v>58.99306934298145</v>
      </c>
      <c r="L29" s="673">
        <f t="shared" ref="L29:L72" si="9">(K29-K28)</f>
        <v>9.5737485217993097</v>
      </c>
      <c r="N29" s="287">
        <f t="shared" si="7"/>
        <v>6</v>
      </c>
      <c r="O29" s="673">
        <f t="array" ref="O29">IF(N29="","",MAX(IF(A:A=N29,K:K)))</f>
        <v>2013.2929995034956</v>
      </c>
    </row>
    <row r="30" spans="1:15" x14ac:dyDescent="0.35">
      <c r="A30" s="287">
        <f t="shared" si="3"/>
        <v>4</v>
      </c>
      <c r="B30" s="288">
        <v>23</v>
      </c>
      <c r="C30" s="667">
        <f>IF('User Dashboard'!Z$12=5,
IF('SIR Model Patient Calcs'!B30&lt;'User Dashboard'!AJ$15,'User Dashboard'!AN$14,
IF('SIR Model Patient Calcs'!B30&lt;'User Dashboard'!AJ$16,'User Dashboard'!AN$15,
IF('SIR Model Patient Calcs'!B30&lt;'User Dashboard'!AJ$17,'User Dashboard'!AN$16,
IF('SIR Model Patient Calcs'!B30&lt;'User Dashboard'!AJ$18,'User Dashboard'!AN$17,
'User Dashboard'!AN$18)))),
IF('User Dashboard'!Z$12=4,
IF('SIR Model Patient Calcs'!B30&lt;'User Dashboard'!AJ$15,'User Dashboard'!AN$14,
IF('SIR Model Patient Calcs'!B30&lt;'User Dashboard'!AJ$16,'User Dashboard'!AN$15,
IF('SIR Model Patient Calcs'!B30&lt;'User Dashboard'!AJ$17,'User Dashboard'!AN$16,
'User Dashboard'!AN$17))),
IF('User Dashboard'!Z$12=3,
IF('SIR Model Patient Calcs'!B30&lt;'User Dashboard'!AJ$15,'User Dashboard'!AN$14,
IF('SIR Model Patient Calcs'!B30&lt;'User Dashboard'!AJ$16,'User Dashboard'!AN$15,
'User Dashboard'!AN$16)),
IF('User Dashboard'!Z$12=2,
IF('SIR Model Patient Calcs'!B30&lt;'User Dashboard'!AJ$15,'User Dashboard'!AN$14,
'User Dashboard'!AN$15),
IF('User Dashboard'!Z$12=1,
'User Dashboard'!AN$14)))))</f>
        <v>15.209356603107825</v>
      </c>
      <c r="D30" s="668">
        <f>'User Dashboard'!X$16</f>
        <v>2.2072878851804097E-2</v>
      </c>
      <c r="E30" s="660">
        <f t="shared" si="0"/>
        <v>8.9862781521070385E-8</v>
      </c>
      <c r="F30" s="660">
        <f t="shared" si="8"/>
        <v>8.9862781521070385E-8</v>
      </c>
      <c r="G30" s="670">
        <f>1/'User Dashboard'!X$12</f>
        <v>0.14285714285714285</v>
      </c>
      <c r="H30" s="359">
        <f t="shared" si="1"/>
        <v>3735784.1868881304</v>
      </c>
      <c r="I30" s="672">
        <f t="shared" si="4"/>
        <v>40.578058344803708</v>
      </c>
      <c r="J30" s="673">
        <f t="shared" si="2"/>
        <v>29.83505352349275</v>
      </c>
      <c r="K30" s="359">
        <f t="shared" si="5"/>
        <v>70.413111868296454</v>
      </c>
      <c r="L30" s="673">
        <f t="shared" si="9"/>
        <v>11.420042525315004</v>
      </c>
      <c r="N30" s="287">
        <f t="shared" si="7"/>
        <v>5</v>
      </c>
      <c r="O30" s="673">
        <f t="array" ref="O30">IF(N30="","",MAX(IF(A:A=N30,K:K)))</f>
        <v>585.94491683012484</v>
      </c>
    </row>
    <row r="31" spans="1:15" x14ac:dyDescent="0.35">
      <c r="A31" s="287">
        <f t="shared" si="3"/>
        <v>4</v>
      </c>
      <c r="B31" s="288">
        <v>24</v>
      </c>
      <c r="C31" s="667">
        <f>IF('User Dashboard'!Z$12=5,
IF('SIR Model Patient Calcs'!B31&lt;'User Dashboard'!AJ$15,'User Dashboard'!AN$14,
IF('SIR Model Patient Calcs'!B31&lt;'User Dashboard'!AJ$16,'User Dashboard'!AN$15,
IF('SIR Model Patient Calcs'!B31&lt;'User Dashboard'!AJ$17,'User Dashboard'!AN$16,
IF('SIR Model Patient Calcs'!B31&lt;'User Dashboard'!AJ$18,'User Dashboard'!AN$17,
'User Dashboard'!AN$18)))),
IF('User Dashboard'!Z$12=4,
IF('SIR Model Patient Calcs'!B31&lt;'User Dashboard'!AJ$15,'User Dashboard'!AN$14,
IF('SIR Model Patient Calcs'!B31&lt;'User Dashboard'!AJ$16,'User Dashboard'!AN$15,
IF('SIR Model Patient Calcs'!B31&lt;'User Dashboard'!AJ$17,'User Dashboard'!AN$16,
'User Dashboard'!AN$17))),
IF('User Dashboard'!Z$12=3,
IF('SIR Model Patient Calcs'!B31&lt;'User Dashboard'!AJ$15,'User Dashboard'!AN$14,
IF('SIR Model Patient Calcs'!B31&lt;'User Dashboard'!AJ$16,'User Dashboard'!AN$15,
'User Dashboard'!AN$16)),
IF('User Dashboard'!Z$12=2,
IF('SIR Model Patient Calcs'!B31&lt;'User Dashboard'!AJ$15,'User Dashboard'!AN$14,
'User Dashboard'!AN$15),
IF('User Dashboard'!Z$12=1,
'User Dashboard'!AN$14)))))</f>
        <v>15.209356603107825</v>
      </c>
      <c r="D31" s="668">
        <f>'User Dashboard'!X$16</f>
        <v>2.2072878851804097E-2</v>
      </c>
      <c r="E31" s="660">
        <f t="shared" si="0"/>
        <v>8.9862781521070385E-8</v>
      </c>
      <c r="F31" s="660">
        <f t="shared" si="8"/>
        <v>8.9862781521070385E-8</v>
      </c>
      <c r="G31" s="670">
        <f>1/'User Dashboard'!X$12</f>
        <v>0.14285714285714285</v>
      </c>
      <c r="H31" s="359">
        <f t="shared" si="1"/>
        <v>3735770.564511016</v>
      </c>
      <c r="I31" s="672">
        <f t="shared" si="4"/>
        <v>48.403569981474838</v>
      </c>
      <c r="J31" s="673">
        <f t="shared" si="2"/>
        <v>35.631919001321847</v>
      </c>
      <c r="K31" s="359">
        <f t="shared" si="5"/>
        <v>84.035488982796693</v>
      </c>
      <c r="L31" s="673">
        <f t="shared" si="9"/>
        <v>13.622377114500239</v>
      </c>
      <c r="N31" s="287">
        <f t="shared" si="7"/>
        <v>4</v>
      </c>
      <c r="O31" s="673">
        <f t="array" ref="O31">IF(N31="","",MAX(IF(A:A=N31,K:K)))</f>
        <v>170.36824693317658</v>
      </c>
    </row>
    <row r="32" spans="1:15" x14ac:dyDescent="0.35">
      <c r="A32" s="287">
        <f t="shared" si="3"/>
        <v>4</v>
      </c>
      <c r="B32" s="288">
        <v>25</v>
      </c>
      <c r="C32" s="667">
        <f>IF('User Dashboard'!Z$12=5,
IF('SIR Model Patient Calcs'!B32&lt;'User Dashboard'!AJ$15,'User Dashboard'!AN$14,
IF('SIR Model Patient Calcs'!B32&lt;'User Dashboard'!AJ$16,'User Dashboard'!AN$15,
IF('SIR Model Patient Calcs'!B32&lt;'User Dashboard'!AJ$17,'User Dashboard'!AN$16,
IF('SIR Model Patient Calcs'!B32&lt;'User Dashboard'!AJ$18,'User Dashboard'!AN$17,
'User Dashboard'!AN$18)))),
IF('User Dashboard'!Z$12=4,
IF('SIR Model Patient Calcs'!B32&lt;'User Dashboard'!AJ$15,'User Dashboard'!AN$14,
IF('SIR Model Patient Calcs'!B32&lt;'User Dashboard'!AJ$16,'User Dashboard'!AN$15,
IF('SIR Model Patient Calcs'!B32&lt;'User Dashboard'!AJ$17,'User Dashboard'!AN$16,
'User Dashboard'!AN$17))),
IF('User Dashboard'!Z$12=3,
IF('SIR Model Patient Calcs'!B32&lt;'User Dashboard'!AJ$15,'User Dashboard'!AN$14,
IF('SIR Model Patient Calcs'!B32&lt;'User Dashboard'!AJ$16,'User Dashboard'!AN$15,
'User Dashboard'!AN$16)),
IF('User Dashboard'!Z$12=2,
IF('SIR Model Patient Calcs'!B32&lt;'User Dashboard'!AJ$15,'User Dashboard'!AN$14,
'User Dashboard'!AN$15),
IF('User Dashboard'!Z$12=1,
'User Dashboard'!AN$14)))))</f>
        <v>15.209356603107825</v>
      </c>
      <c r="D32" s="668">
        <f>'User Dashboard'!X$16</f>
        <v>2.2072878851804097E-2</v>
      </c>
      <c r="E32" s="660">
        <f t="shared" si="0"/>
        <v>8.9862781521070385E-8</v>
      </c>
      <c r="F32" s="660">
        <f t="shared" si="8"/>
        <v>8.9862781521070372E-8</v>
      </c>
      <c r="G32" s="670">
        <f>1/'User Dashboard'!X$12</f>
        <v>0.14285714285714285</v>
      </c>
      <c r="H32" s="359">
        <f t="shared" si="1"/>
        <v>3735754.315106621</v>
      </c>
      <c r="I32" s="672">
        <f t="shared" si="4"/>
        <v>57.738178664749682</v>
      </c>
      <c r="J32" s="673">
        <f t="shared" si="2"/>
        <v>42.546714712961112</v>
      </c>
      <c r="K32" s="359">
        <f t="shared" si="5"/>
        <v>100.2848933777108</v>
      </c>
      <c r="L32" s="673">
        <f t="shared" si="9"/>
        <v>16.249404394914109</v>
      </c>
      <c r="N32" s="287">
        <f t="shared" si="7"/>
        <v>3</v>
      </c>
      <c r="O32" s="673">
        <f t="array" ref="O32">IF(N32="","",MAX(IF(A:A=N32,K:K)))</f>
        <v>49.41932082118214</v>
      </c>
    </row>
    <row r="33" spans="1:15" x14ac:dyDescent="0.35">
      <c r="A33" s="287">
        <f t="shared" si="3"/>
        <v>4</v>
      </c>
      <c r="B33" s="288">
        <v>26</v>
      </c>
      <c r="C33" s="667">
        <f>IF('User Dashboard'!Z$12=5,
IF('SIR Model Patient Calcs'!B33&lt;'User Dashboard'!AJ$15,'User Dashboard'!AN$14,
IF('SIR Model Patient Calcs'!B33&lt;'User Dashboard'!AJ$16,'User Dashboard'!AN$15,
IF('SIR Model Patient Calcs'!B33&lt;'User Dashboard'!AJ$17,'User Dashboard'!AN$16,
IF('SIR Model Patient Calcs'!B33&lt;'User Dashboard'!AJ$18,'User Dashboard'!AN$17,
'User Dashboard'!AN$18)))),
IF('User Dashboard'!Z$12=4,
IF('SIR Model Patient Calcs'!B33&lt;'User Dashboard'!AJ$15,'User Dashboard'!AN$14,
IF('SIR Model Patient Calcs'!B33&lt;'User Dashboard'!AJ$16,'User Dashboard'!AN$15,
IF('SIR Model Patient Calcs'!B33&lt;'User Dashboard'!AJ$17,'User Dashboard'!AN$16,
'User Dashboard'!AN$17))),
IF('User Dashboard'!Z$12=3,
IF('SIR Model Patient Calcs'!B33&lt;'User Dashboard'!AJ$15,'User Dashboard'!AN$14,
IF('SIR Model Patient Calcs'!B33&lt;'User Dashboard'!AJ$16,'User Dashboard'!AN$15,
'User Dashboard'!AN$16)),
IF('User Dashboard'!Z$12=2,
IF('SIR Model Patient Calcs'!B33&lt;'User Dashboard'!AJ$15,'User Dashboard'!AN$14,
'User Dashboard'!AN$15),
IF('User Dashboard'!Z$12=1,
'User Dashboard'!AN$14)))))</f>
        <v>15.209356603107825</v>
      </c>
      <c r="D33" s="668">
        <f>'User Dashboard'!X$16</f>
        <v>2.2072878851804097E-2</v>
      </c>
      <c r="E33" s="660">
        <f t="shared" si="0"/>
        <v>8.9862781521070385E-8</v>
      </c>
      <c r="F33" s="660">
        <f t="shared" si="8"/>
        <v>8.9862781521070385E-8</v>
      </c>
      <c r="G33" s="670">
        <f>1/'User Dashboard'!X$12</f>
        <v>0.14285714285714285</v>
      </c>
      <c r="H33" s="359">
        <f t="shared" si="1"/>
        <v>3735734.9320955416</v>
      </c>
      <c r="I33" s="672">
        <f t="shared" si="4"/>
        <v>68.872878506301987</v>
      </c>
      <c r="J33" s="673">
        <f t="shared" si="2"/>
        <v>50.795025950782495</v>
      </c>
      <c r="K33" s="359">
        <f t="shared" si="5"/>
        <v>119.66790445708449</v>
      </c>
      <c r="L33" s="673">
        <f t="shared" si="9"/>
        <v>19.383011079373688</v>
      </c>
      <c r="N33" s="287">
        <f t="shared" si="7"/>
        <v>2</v>
      </c>
      <c r="O33" s="673">
        <f t="array" ref="O33">IF(N33="","",MAX(IF(A:A=N33,K:K)))</f>
        <v>14.222513111339095</v>
      </c>
    </row>
    <row r="34" spans="1:15" x14ac:dyDescent="0.35">
      <c r="A34" s="287">
        <f t="shared" si="3"/>
        <v>4</v>
      </c>
      <c r="B34" s="288">
        <v>27</v>
      </c>
      <c r="C34" s="667">
        <f>IF('User Dashboard'!Z$12=5,
IF('SIR Model Patient Calcs'!B34&lt;'User Dashboard'!AJ$15,'User Dashboard'!AN$14,
IF('SIR Model Patient Calcs'!B34&lt;'User Dashboard'!AJ$16,'User Dashboard'!AN$15,
IF('SIR Model Patient Calcs'!B34&lt;'User Dashboard'!AJ$17,'User Dashboard'!AN$16,
IF('SIR Model Patient Calcs'!B34&lt;'User Dashboard'!AJ$18,'User Dashboard'!AN$17,
'User Dashboard'!AN$18)))),
IF('User Dashboard'!Z$12=4,
IF('SIR Model Patient Calcs'!B34&lt;'User Dashboard'!AJ$15,'User Dashboard'!AN$14,
IF('SIR Model Patient Calcs'!B34&lt;'User Dashboard'!AJ$16,'User Dashboard'!AN$15,
IF('SIR Model Patient Calcs'!B34&lt;'User Dashboard'!AJ$17,'User Dashboard'!AN$16,
'User Dashboard'!AN$17))),
IF('User Dashboard'!Z$12=3,
IF('SIR Model Patient Calcs'!B34&lt;'User Dashboard'!AJ$15,'User Dashboard'!AN$14,
IF('SIR Model Patient Calcs'!B34&lt;'User Dashboard'!AJ$16,'User Dashboard'!AN$15,
'User Dashboard'!AN$16)),
IF('User Dashboard'!Z$12=2,
IF('SIR Model Patient Calcs'!B34&lt;'User Dashboard'!AJ$15,'User Dashboard'!AN$14,
'User Dashboard'!AN$15),
IF('User Dashboard'!Z$12=1,
'User Dashboard'!AN$14)))))</f>
        <v>15.209356603107825</v>
      </c>
      <c r="D34" s="668">
        <f>'User Dashboard'!X$16</f>
        <v>2.2072878851804097E-2</v>
      </c>
      <c r="E34" s="660">
        <f t="shared" si="0"/>
        <v>8.9862781521070398E-8</v>
      </c>
      <c r="F34" s="660">
        <f t="shared" si="8"/>
        <v>8.9862781521070385E-8</v>
      </c>
      <c r="G34" s="670">
        <f>1/'User Dashboard'!X$12</f>
        <v>0.14285714285714285</v>
      </c>
      <c r="H34" s="359">
        <f t="shared" si="1"/>
        <v>3735711.8112269663</v>
      </c>
      <c r="I34" s="672">
        <f t="shared" si="4"/>
        <v>82.154764437737768</v>
      </c>
      <c r="J34" s="673">
        <f t="shared" si="2"/>
        <v>60.634008594539921</v>
      </c>
      <c r="K34" s="359">
        <f t="shared" si="5"/>
        <v>142.78877303227767</v>
      </c>
      <c r="L34" s="673">
        <f t="shared" si="9"/>
        <v>23.120868575193185</v>
      </c>
      <c r="N34" s="287">
        <f t="shared" si="7"/>
        <v>1</v>
      </c>
      <c r="O34" s="673">
        <f t="array" ref="O34">IF(N34="","",MAX(IF(A:A=N34,K:K)))</f>
        <v>3.9803874416808513</v>
      </c>
    </row>
    <row r="35" spans="1:15" x14ac:dyDescent="0.35">
      <c r="A35" s="287">
        <f t="shared" si="3"/>
        <v>4</v>
      </c>
      <c r="B35" s="288">
        <v>28</v>
      </c>
      <c r="C35" s="667">
        <f>IF('User Dashboard'!Z$12=5,
IF('SIR Model Patient Calcs'!B35&lt;'User Dashboard'!AJ$15,'User Dashboard'!AN$14,
IF('SIR Model Patient Calcs'!B35&lt;'User Dashboard'!AJ$16,'User Dashboard'!AN$15,
IF('SIR Model Patient Calcs'!B35&lt;'User Dashboard'!AJ$17,'User Dashboard'!AN$16,
IF('SIR Model Patient Calcs'!B35&lt;'User Dashboard'!AJ$18,'User Dashboard'!AN$17,
'User Dashboard'!AN$18)))),
IF('User Dashboard'!Z$12=4,
IF('SIR Model Patient Calcs'!B35&lt;'User Dashboard'!AJ$15,'User Dashboard'!AN$14,
IF('SIR Model Patient Calcs'!B35&lt;'User Dashboard'!AJ$16,'User Dashboard'!AN$15,
IF('SIR Model Patient Calcs'!B35&lt;'User Dashboard'!AJ$17,'User Dashboard'!AN$16,
'User Dashboard'!AN$17))),
IF('User Dashboard'!Z$12=3,
IF('SIR Model Patient Calcs'!B35&lt;'User Dashboard'!AJ$15,'User Dashboard'!AN$14,
IF('SIR Model Patient Calcs'!B35&lt;'User Dashboard'!AJ$16,'User Dashboard'!AN$15,
'User Dashboard'!AN$16)),
IF('User Dashboard'!Z$12=2,
IF('SIR Model Patient Calcs'!B35&lt;'User Dashboard'!AJ$15,'User Dashboard'!AN$14,
'User Dashboard'!AN$15),
IF('User Dashboard'!Z$12=1,
'User Dashboard'!AN$14)))))</f>
        <v>15.209356603107825</v>
      </c>
      <c r="D35" s="668">
        <f>'User Dashboard'!X$16</f>
        <v>2.2072878851804097E-2</v>
      </c>
      <c r="E35" s="660">
        <f t="shared" si="0"/>
        <v>8.9862781521070398E-8</v>
      </c>
      <c r="F35" s="660">
        <f t="shared" si="8"/>
        <v>8.9862781521070385E-8</v>
      </c>
      <c r="G35" s="670">
        <f>1/'User Dashboard'!X$12</f>
        <v>0.14285714285714285</v>
      </c>
      <c r="H35" s="359">
        <f t="shared" si="1"/>
        <v>3735684.2317530653</v>
      </c>
      <c r="I35" s="672">
        <f t="shared" si="4"/>
        <v>97.997843418959846</v>
      </c>
      <c r="J35" s="673">
        <f t="shared" si="2"/>
        <v>72.370403514216747</v>
      </c>
      <c r="K35" s="359">
        <f t="shared" si="5"/>
        <v>170.36824693317658</v>
      </c>
      <c r="L35" s="673">
        <f t="shared" si="9"/>
        <v>27.579473900898904</v>
      </c>
      <c r="N35" s="287">
        <f t="shared" si="7"/>
        <v>0</v>
      </c>
      <c r="O35" s="673">
        <f t="array" ref="O35">IF(N35="","",MAX(IF(A:A=N35,K:K)))</f>
        <v>1</v>
      </c>
    </row>
    <row r="36" spans="1:15" x14ac:dyDescent="0.35">
      <c r="A36" s="287">
        <f t="shared" si="3"/>
        <v>5</v>
      </c>
      <c r="B36" s="288">
        <v>29</v>
      </c>
      <c r="C36" s="667">
        <f>IF('User Dashboard'!Z$12=5,
IF('SIR Model Patient Calcs'!B36&lt;'User Dashboard'!AJ$15,'User Dashboard'!AN$14,
IF('SIR Model Patient Calcs'!B36&lt;'User Dashboard'!AJ$16,'User Dashboard'!AN$15,
IF('SIR Model Patient Calcs'!B36&lt;'User Dashboard'!AJ$17,'User Dashboard'!AN$16,
IF('SIR Model Patient Calcs'!B36&lt;'User Dashboard'!AJ$18,'User Dashboard'!AN$17,
'User Dashboard'!AN$18)))),
IF('User Dashboard'!Z$12=4,
IF('SIR Model Patient Calcs'!B36&lt;'User Dashboard'!AJ$15,'User Dashboard'!AN$14,
IF('SIR Model Patient Calcs'!B36&lt;'User Dashboard'!AJ$16,'User Dashboard'!AN$15,
IF('SIR Model Patient Calcs'!B36&lt;'User Dashboard'!AJ$17,'User Dashboard'!AN$16,
'User Dashboard'!AN$17))),
IF('User Dashboard'!Z$12=3,
IF('SIR Model Patient Calcs'!B36&lt;'User Dashboard'!AJ$15,'User Dashboard'!AN$14,
IF('SIR Model Patient Calcs'!B36&lt;'User Dashboard'!AJ$16,'User Dashboard'!AN$15,
'User Dashboard'!AN$16)),
IF('User Dashboard'!Z$12=2,
IF('SIR Model Patient Calcs'!B36&lt;'User Dashboard'!AJ$15,'User Dashboard'!AN$14,
'User Dashboard'!AN$15),
IF('User Dashboard'!Z$12=1,
'User Dashboard'!AN$14)))))</f>
        <v>15.209356603107825</v>
      </c>
      <c r="D36" s="668">
        <f>'User Dashboard'!X$16</f>
        <v>2.2072878851804097E-2</v>
      </c>
      <c r="E36" s="660">
        <f t="shared" si="0"/>
        <v>8.9862781521070398E-8</v>
      </c>
      <c r="F36" s="660">
        <f t="shared" si="8"/>
        <v>8.9862781521070385E-8</v>
      </c>
      <c r="G36" s="670">
        <f>1/'User Dashboard'!X$12</f>
        <v>0.14285714285714285</v>
      </c>
      <c r="H36" s="359">
        <f t="shared" si="1"/>
        <v>3735651.333977384</v>
      </c>
      <c r="I36" s="672">
        <f t="shared" si="4"/>
        <v>116.89592718299272</v>
      </c>
      <c r="J36" s="673">
        <f t="shared" si="2"/>
        <v>86.370095431211013</v>
      </c>
      <c r="K36" s="359">
        <f t="shared" si="5"/>
        <v>203.26602261420373</v>
      </c>
      <c r="L36" s="673">
        <f t="shared" si="9"/>
        <v>32.897775681027156</v>
      </c>
      <c r="N36" s="287" t="str">
        <f t="shared" si="7"/>
        <v/>
      </c>
      <c r="O36" s="673" t="str">
        <f t="array" ref="O36">IF(N36="","",MAX(IF(A:A=N36,K:K)))</f>
        <v/>
      </c>
    </row>
    <row r="37" spans="1:15" x14ac:dyDescent="0.35">
      <c r="A37" s="287">
        <f t="shared" si="3"/>
        <v>5</v>
      </c>
      <c r="B37" s="288">
        <v>30</v>
      </c>
      <c r="C37" s="667">
        <f>IF('User Dashboard'!Z$12=5,
IF('SIR Model Patient Calcs'!B37&lt;'User Dashboard'!AJ$15,'User Dashboard'!AN$14,
IF('SIR Model Patient Calcs'!B37&lt;'User Dashboard'!AJ$16,'User Dashboard'!AN$15,
IF('SIR Model Patient Calcs'!B37&lt;'User Dashboard'!AJ$17,'User Dashboard'!AN$16,
IF('SIR Model Patient Calcs'!B37&lt;'User Dashboard'!AJ$18,'User Dashboard'!AN$17,
'User Dashboard'!AN$18)))),
IF('User Dashboard'!Z$12=4,
IF('SIR Model Patient Calcs'!B37&lt;'User Dashboard'!AJ$15,'User Dashboard'!AN$14,
IF('SIR Model Patient Calcs'!B37&lt;'User Dashboard'!AJ$16,'User Dashboard'!AN$15,
IF('SIR Model Patient Calcs'!B37&lt;'User Dashboard'!AJ$17,'User Dashboard'!AN$16,
'User Dashboard'!AN$17))),
IF('User Dashboard'!Z$12=3,
IF('SIR Model Patient Calcs'!B37&lt;'User Dashboard'!AJ$15,'User Dashboard'!AN$14,
IF('SIR Model Patient Calcs'!B37&lt;'User Dashboard'!AJ$16,'User Dashboard'!AN$15,
'User Dashboard'!AN$16)),
IF('User Dashboard'!Z$12=2,
IF('SIR Model Patient Calcs'!B37&lt;'User Dashboard'!AJ$15,'User Dashboard'!AN$14,
'User Dashboard'!AN$15),
IF('User Dashboard'!Z$12=1,
'User Dashboard'!AN$14)))))</f>
        <v>15.209356603107825</v>
      </c>
      <c r="D37" s="668">
        <f>'User Dashboard'!X$16</f>
        <v>2.2072878851804097E-2</v>
      </c>
      <c r="E37" s="660">
        <f t="shared" si="0"/>
        <v>8.9862781521070385E-8</v>
      </c>
      <c r="F37" s="660">
        <f t="shared" si="8"/>
        <v>8.9862781521070385E-8</v>
      </c>
      <c r="G37" s="670">
        <f>1/'User Dashboard'!X$12</f>
        <v>0.14285714285714285</v>
      </c>
      <c r="H37" s="359">
        <f t="shared" si="1"/>
        <v>3735612.092479914</v>
      </c>
      <c r="I37" s="672">
        <f t="shared" si="4"/>
        <v>139.43800648426947</v>
      </c>
      <c r="J37" s="673">
        <f t="shared" si="2"/>
        <v>103.06951360020997</v>
      </c>
      <c r="K37" s="359">
        <f t="shared" si="5"/>
        <v>242.50752008447944</v>
      </c>
      <c r="L37" s="673">
        <f t="shared" si="9"/>
        <v>39.241497470275704</v>
      </c>
      <c r="N37" s="287" t="str">
        <f t="shared" si="7"/>
        <v/>
      </c>
      <c r="O37" s="673" t="str">
        <f t="array" ref="O37">IF(N37="","",MAX(IF(A:A=N37,K:K)))</f>
        <v/>
      </c>
    </row>
    <row r="38" spans="1:15" x14ac:dyDescent="0.35">
      <c r="A38" s="287">
        <f t="shared" si="3"/>
        <v>5</v>
      </c>
      <c r="B38" s="288">
        <v>31</v>
      </c>
      <c r="C38" s="667">
        <f>IF('User Dashboard'!Z$12=5,
IF('SIR Model Patient Calcs'!B38&lt;'User Dashboard'!AJ$15,'User Dashboard'!AN$14,
IF('SIR Model Patient Calcs'!B38&lt;'User Dashboard'!AJ$16,'User Dashboard'!AN$15,
IF('SIR Model Patient Calcs'!B38&lt;'User Dashboard'!AJ$17,'User Dashboard'!AN$16,
IF('SIR Model Patient Calcs'!B38&lt;'User Dashboard'!AJ$18,'User Dashboard'!AN$17,
'User Dashboard'!AN$18)))),
IF('User Dashboard'!Z$12=4,
IF('SIR Model Patient Calcs'!B38&lt;'User Dashboard'!AJ$15,'User Dashboard'!AN$14,
IF('SIR Model Patient Calcs'!B38&lt;'User Dashboard'!AJ$16,'User Dashboard'!AN$15,
IF('SIR Model Patient Calcs'!B38&lt;'User Dashboard'!AJ$17,'User Dashboard'!AN$16,
'User Dashboard'!AN$17))),
IF('User Dashboard'!Z$12=3,
IF('SIR Model Patient Calcs'!B38&lt;'User Dashboard'!AJ$15,'User Dashboard'!AN$14,
IF('SIR Model Patient Calcs'!B38&lt;'User Dashboard'!AJ$16,'User Dashboard'!AN$15,
'User Dashboard'!AN$16)),
IF('User Dashboard'!Z$12=2,
IF('SIR Model Patient Calcs'!B38&lt;'User Dashboard'!AJ$15,'User Dashboard'!AN$14,
'User Dashboard'!AN$15),
IF('User Dashboard'!Z$12=1,
'User Dashboard'!AN$14)))))</f>
        <v>15.209356603107825</v>
      </c>
      <c r="D38" s="668">
        <f>'User Dashboard'!X$16</f>
        <v>2.2072878851804097E-2</v>
      </c>
      <c r="E38" s="660">
        <f t="shared" si="0"/>
        <v>8.9862781521070398E-8</v>
      </c>
      <c r="F38" s="660">
        <f t="shared" si="8"/>
        <v>8.9862781521070385E-8</v>
      </c>
      <c r="G38" s="670">
        <f>1/'User Dashboard'!X$12</f>
        <v>0.14285714285714285</v>
      </c>
      <c r="H38" s="359">
        <f t="shared" si="1"/>
        <v>3735565.2841878547</v>
      </c>
      <c r="I38" s="672">
        <f t="shared" si="4"/>
        <v>166.32658333166785</v>
      </c>
      <c r="J38" s="673">
        <f t="shared" si="2"/>
        <v>122.98922881224847</v>
      </c>
      <c r="K38" s="359">
        <f t="shared" si="5"/>
        <v>289.31581214391633</v>
      </c>
      <c r="L38" s="673">
        <f t="shared" si="9"/>
        <v>46.808292059436894</v>
      </c>
      <c r="N38" s="287" t="str">
        <f t="shared" si="7"/>
        <v/>
      </c>
      <c r="O38" s="673" t="str">
        <f t="array" ref="O38">IF(N38="","",MAX(IF(A:A=N38,K:K)))</f>
        <v/>
      </c>
    </row>
    <row r="39" spans="1:15" x14ac:dyDescent="0.35">
      <c r="A39" s="287">
        <f t="shared" si="3"/>
        <v>5</v>
      </c>
      <c r="B39" s="288">
        <v>32</v>
      </c>
      <c r="C39" s="667">
        <f>IF('User Dashboard'!Z$12=5,
IF('SIR Model Patient Calcs'!B39&lt;'User Dashboard'!AJ$15,'User Dashboard'!AN$14,
IF('SIR Model Patient Calcs'!B39&lt;'User Dashboard'!AJ$16,'User Dashboard'!AN$15,
IF('SIR Model Patient Calcs'!B39&lt;'User Dashboard'!AJ$17,'User Dashboard'!AN$16,
IF('SIR Model Patient Calcs'!B39&lt;'User Dashboard'!AJ$18,'User Dashboard'!AN$17,
'User Dashboard'!AN$18)))),
IF('User Dashboard'!Z$12=4,
IF('SIR Model Patient Calcs'!B39&lt;'User Dashboard'!AJ$15,'User Dashboard'!AN$14,
IF('SIR Model Patient Calcs'!B39&lt;'User Dashboard'!AJ$16,'User Dashboard'!AN$15,
IF('SIR Model Patient Calcs'!B39&lt;'User Dashboard'!AJ$17,'User Dashboard'!AN$16,
'User Dashboard'!AN$17))),
IF('User Dashboard'!Z$12=3,
IF('SIR Model Patient Calcs'!B39&lt;'User Dashboard'!AJ$15,'User Dashboard'!AN$14,
IF('SIR Model Patient Calcs'!B39&lt;'User Dashboard'!AJ$16,'User Dashboard'!AN$15,
'User Dashboard'!AN$16)),
IF('User Dashboard'!Z$12=2,
IF('SIR Model Patient Calcs'!B39&lt;'User Dashboard'!AJ$15,'User Dashboard'!AN$14,
'User Dashboard'!AN$15),
IF('User Dashboard'!Z$12=1,
'User Dashboard'!AN$14)))))</f>
        <v>15.209356603107825</v>
      </c>
      <c r="D39" s="668">
        <f>'User Dashboard'!X$16</f>
        <v>2.2072878851804097E-2</v>
      </c>
      <c r="E39" s="660">
        <f t="shared" si="0"/>
        <v>8.9862781521070385E-8</v>
      </c>
      <c r="F39" s="660">
        <f t="shared" si="8"/>
        <v>8.9862781521070385E-8</v>
      </c>
      <c r="G39" s="670">
        <f>1/'User Dashboard'!X$12</f>
        <v>0.14285714285714285</v>
      </c>
      <c r="H39" s="359">
        <f t="shared" si="1"/>
        <v>3735509.4503020151</v>
      </c>
      <c r="I39" s="672">
        <f t="shared" si="4"/>
        <v>198.39952869533354</v>
      </c>
      <c r="J39" s="673">
        <f t="shared" si="2"/>
        <v>146.75016928820102</v>
      </c>
      <c r="K39" s="359">
        <f t="shared" si="5"/>
        <v>345.14969798353457</v>
      </c>
      <c r="L39" s="673">
        <f t="shared" si="9"/>
        <v>55.833885839618233</v>
      </c>
      <c r="N39" s="287" t="str">
        <f t="shared" si="7"/>
        <v/>
      </c>
      <c r="O39" s="673" t="str">
        <f t="array" ref="O39">IF(N39="","",MAX(IF(A:A=N39,K:K)))</f>
        <v/>
      </c>
    </row>
    <row r="40" spans="1:15" x14ac:dyDescent="0.35">
      <c r="A40" s="287">
        <f t="shared" si="3"/>
        <v>5</v>
      </c>
      <c r="B40" s="288">
        <v>33</v>
      </c>
      <c r="C40" s="667">
        <f>IF('User Dashboard'!Z$12=5,
IF('SIR Model Patient Calcs'!B40&lt;'User Dashboard'!AJ$15,'User Dashboard'!AN$14,
IF('SIR Model Patient Calcs'!B40&lt;'User Dashboard'!AJ$16,'User Dashboard'!AN$15,
IF('SIR Model Patient Calcs'!B40&lt;'User Dashboard'!AJ$17,'User Dashboard'!AN$16,
IF('SIR Model Patient Calcs'!B40&lt;'User Dashboard'!AJ$18,'User Dashboard'!AN$17,
'User Dashboard'!AN$18)))),
IF('User Dashboard'!Z$12=4,
IF('SIR Model Patient Calcs'!B40&lt;'User Dashboard'!AJ$15,'User Dashboard'!AN$14,
IF('SIR Model Patient Calcs'!B40&lt;'User Dashboard'!AJ$16,'User Dashboard'!AN$15,
IF('SIR Model Patient Calcs'!B40&lt;'User Dashboard'!AJ$17,'User Dashboard'!AN$16,
'User Dashboard'!AN$17))),
IF('User Dashboard'!Z$12=3,
IF('SIR Model Patient Calcs'!B40&lt;'User Dashboard'!AJ$15,'User Dashboard'!AN$14,
IF('SIR Model Patient Calcs'!B40&lt;'User Dashboard'!AJ$16,'User Dashboard'!AN$15,
'User Dashboard'!AN$16)),
IF('User Dashboard'!Z$12=2,
IF('SIR Model Patient Calcs'!B40&lt;'User Dashboard'!AJ$15,'User Dashboard'!AN$14,
'User Dashboard'!AN$15),
IF('User Dashboard'!Z$12=1,
'User Dashboard'!AN$14)))))</f>
        <v>15.209356603107825</v>
      </c>
      <c r="D40" s="668">
        <f>'User Dashboard'!X$16</f>
        <v>2.2072878851804097E-2</v>
      </c>
      <c r="E40" s="660">
        <f t="shared" si="0"/>
        <v>8.9862781521070385E-8</v>
      </c>
      <c r="F40" s="660">
        <f t="shared" si="8"/>
        <v>8.9862781521070385E-8</v>
      </c>
      <c r="G40" s="670">
        <f>1/'User Dashboard'!X$12</f>
        <v>0.14285714285714285</v>
      </c>
      <c r="H40" s="359">
        <f t="shared" si="1"/>
        <v>3735442.8508995352</v>
      </c>
      <c r="I40" s="672">
        <f t="shared" si="4"/>
        <v>236.65614136173599</v>
      </c>
      <c r="J40" s="673">
        <f t="shared" si="2"/>
        <v>175.0929591018201</v>
      </c>
      <c r="K40" s="359">
        <f t="shared" si="5"/>
        <v>411.74910046355609</v>
      </c>
      <c r="L40" s="673">
        <f t="shared" si="9"/>
        <v>66.599402480021524</v>
      </c>
      <c r="N40" s="287" t="str">
        <f t="shared" si="7"/>
        <v/>
      </c>
      <c r="O40" s="673" t="str">
        <f t="array" ref="O40">IF(N40="","",MAX(IF(A:A=N40,K:K)))</f>
        <v/>
      </c>
    </row>
    <row r="41" spans="1:15" x14ac:dyDescent="0.35">
      <c r="A41" s="287">
        <f t="shared" si="3"/>
        <v>5</v>
      </c>
      <c r="B41" s="288">
        <v>34</v>
      </c>
      <c r="C41" s="667">
        <f>IF('User Dashboard'!Z$12=5,
IF('SIR Model Patient Calcs'!B41&lt;'User Dashboard'!AJ$15,'User Dashboard'!AN$14,
IF('SIR Model Patient Calcs'!B41&lt;'User Dashboard'!AJ$16,'User Dashboard'!AN$15,
IF('SIR Model Patient Calcs'!B41&lt;'User Dashboard'!AJ$17,'User Dashboard'!AN$16,
IF('SIR Model Patient Calcs'!B41&lt;'User Dashboard'!AJ$18,'User Dashboard'!AN$17,
'User Dashboard'!AN$18)))),
IF('User Dashboard'!Z$12=4,
IF('SIR Model Patient Calcs'!B41&lt;'User Dashboard'!AJ$15,'User Dashboard'!AN$14,
IF('SIR Model Patient Calcs'!B41&lt;'User Dashboard'!AJ$16,'User Dashboard'!AN$15,
IF('SIR Model Patient Calcs'!B41&lt;'User Dashboard'!AJ$17,'User Dashboard'!AN$16,
'User Dashboard'!AN$17))),
IF('User Dashboard'!Z$12=3,
IF('SIR Model Patient Calcs'!B41&lt;'User Dashboard'!AJ$15,'User Dashboard'!AN$14,
IF('SIR Model Patient Calcs'!B41&lt;'User Dashboard'!AJ$16,'User Dashboard'!AN$15,
'User Dashboard'!AN$16)),
IF('User Dashboard'!Z$12=2,
IF('SIR Model Patient Calcs'!B41&lt;'User Dashboard'!AJ$15,'User Dashboard'!AN$14,
'User Dashboard'!AN$15),
IF('User Dashboard'!Z$12=1,
'User Dashboard'!AN$14)))))</f>
        <v>15.209356603107825</v>
      </c>
      <c r="D41" s="668">
        <f>'User Dashboard'!X$16</f>
        <v>2.2072878851804097E-2</v>
      </c>
      <c r="E41" s="660">
        <f t="shared" si="0"/>
        <v>8.9862781521070385E-8</v>
      </c>
      <c r="F41" s="660">
        <f t="shared" si="8"/>
        <v>8.9862781521070385E-8</v>
      </c>
      <c r="G41" s="670">
        <f>1/'User Dashboard'!X$12</f>
        <v>0.14285714285714285</v>
      </c>
      <c r="H41" s="359">
        <f t="shared" si="1"/>
        <v>3735363.410808573</v>
      </c>
      <c r="I41" s="672">
        <f t="shared" si="4"/>
        <v>282.28821212953108</v>
      </c>
      <c r="J41" s="673">
        <f t="shared" si="2"/>
        <v>208.9009792963538</v>
      </c>
      <c r="K41" s="359">
        <f t="shared" si="5"/>
        <v>491.18919142588487</v>
      </c>
      <c r="L41" s="673">
        <f t="shared" si="9"/>
        <v>79.440090962328782</v>
      </c>
      <c r="N41" s="287" t="str">
        <f t="shared" si="7"/>
        <v/>
      </c>
      <c r="O41" s="673" t="str">
        <f t="array" ref="O41">IF(N41="","",MAX(IF(A:A=N41,K:K)))</f>
        <v/>
      </c>
    </row>
    <row r="42" spans="1:15" x14ac:dyDescent="0.35">
      <c r="A42" s="287">
        <f t="shared" si="3"/>
        <v>5</v>
      </c>
      <c r="B42" s="288">
        <v>35</v>
      </c>
      <c r="C42" s="667">
        <f>IF('User Dashboard'!Z$12=5,
IF('SIR Model Patient Calcs'!B42&lt;'User Dashboard'!AJ$15,'User Dashboard'!AN$14,
IF('SIR Model Patient Calcs'!B42&lt;'User Dashboard'!AJ$16,'User Dashboard'!AN$15,
IF('SIR Model Patient Calcs'!B42&lt;'User Dashboard'!AJ$17,'User Dashboard'!AN$16,
IF('SIR Model Patient Calcs'!B42&lt;'User Dashboard'!AJ$18,'User Dashboard'!AN$17,
'User Dashboard'!AN$18)))),
IF('User Dashboard'!Z$12=4,
IF('SIR Model Patient Calcs'!B42&lt;'User Dashboard'!AJ$15,'User Dashboard'!AN$14,
IF('SIR Model Patient Calcs'!B42&lt;'User Dashboard'!AJ$16,'User Dashboard'!AN$15,
IF('SIR Model Patient Calcs'!B42&lt;'User Dashboard'!AJ$17,'User Dashboard'!AN$16,
'User Dashboard'!AN$17))),
IF('User Dashboard'!Z$12=3,
IF('SIR Model Patient Calcs'!B42&lt;'User Dashboard'!AJ$15,'User Dashboard'!AN$14,
IF('SIR Model Patient Calcs'!B42&lt;'User Dashboard'!AJ$16,'User Dashboard'!AN$15,
'User Dashboard'!AN$16)),
IF('User Dashboard'!Z$12=2,
IF('SIR Model Patient Calcs'!B42&lt;'User Dashboard'!AJ$15,'User Dashboard'!AN$14,
'User Dashboard'!AN$15),
IF('User Dashboard'!Z$12=1,
'User Dashboard'!AN$14)))))</f>
        <v>15.209356603107825</v>
      </c>
      <c r="D42" s="668">
        <f>'User Dashboard'!X$16</f>
        <v>2.2072878851804097E-2</v>
      </c>
      <c r="E42" s="660">
        <f t="shared" si="0"/>
        <v>8.9862781521070385E-8</v>
      </c>
      <c r="F42" s="660">
        <f t="shared" si="8"/>
        <v>8.9862781521070385E-8</v>
      </c>
      <c r="G42" s="670">
        <f>1/'User Dashboard'!X$12</f>
        <v>0.14285714285714285</v>
      </c>
      <c r="H42" s="359">
        <f t="shared" si="1"/>
        <v>3735268.6550831688</v>
      </c>
      <c r="I42" s="672">
        <f t="shared" si="4"/>
        <v>336.71705008669511</v>
      </c>
      <c r="J42" s="673">
        <f t="shared" si="2"/>
        <v>249.22786674342967</v>
      </c>
      <c r="K42" s="359">
        <f t="shared" si="5"/>
        <v>585.94491683012484</v>
      </c>
      <c r="L42" s="673">
        <f t="shared" si="9"/>
        <v>94.755725404239968</v>
      </c>
      <c r="N42" s="287" t="str">
        <f t="shared" si="7"/>
        <v/>
      </c>
      <c r="O42" s="673" t="str">
        <f t="array" ref="O42">IF(N42="","",MAX(IF(A:A=N42,K:K)))</f>
        <v/>
      </c>
    </row>
    <row r="43" spans="1:15" x14ac:dyDescent="0.35">
      <c r="A43" s="287">
        <f t="shared" si="3"/>
        <v>6</v>
      </c>
      <c r="B43" s="288">
        <v>36</v>
      </c>
      <c r="C43" s="667">
        <f>IF('User Dashboard'!Z$12=5,
IF('SIR Model Patient Calcs'!B43&lt;'User Dashboard'!AJ$15,'User Dashboard'!AN$14,
IF('SIR Model Patient Calcs'!B43&lt;'User Dashboard'!AJ$16,'User Dashboard'!AN$15,
IF('SIR Model Patient Calcs'!B43&lt;'User Dashboard'!AJ$17,'User Dashboard'!AN$16,
IF('SIR Model Patient Calcs'!B43&lt;'User Dashboard'!AJ$18,'User Dashboard'!AN$17,
'User Dashboard'!AN$18)))),
IF('User Dashboard'!Z$12=4,
IF('SIR Model Patient Calcs'!B43&lt;'User Dashboard'!AJ$15,'User Dashboard'!AN$14,
IF('SIR Model Patient Calcs'!B43&lt;'User Dashboard'!AJ$16,'User Dashboard'!AN$15,
IF('SIR Model Patient Calcs'!B43&lt;'User Dashboard'!AJ$17,'User Dashboard'!AN$16,
'User Dashboard'!AN$17))),
IF('User Dashboard'!Z$12=3,
IF('SIR Model Patient Calcs'!B43&lt;'User Dashboard'!AJ$15,'User Dashboard'!AN$14,
IF('SIR Model Patient Calcs'!B43&lt;'User Dashboard'!AJ$16,'User Dashboard'!AN$15,
'User Dashboard'!AN$16)),
IF('User Dashboard'!Z$12=2,
IF('SIR Model Patient Calcs'!B43&lt;'User Dashboard'!AJ$15,'User Dashboard'!AN$14,
'User Dashboard'!AN$15),
IF('User Dashboard'!Z$12=1,
'User Dashboard'!AN$14)))))</f>
        <v>15.209356603107825</v>
      </c>
      <c r="D43" s="668">
        <f>'User Dashboard'!X$16</f>
        <v>2.2072878851804097E-2</v>
      </c>
      <c r="E43" s="660">
        <f t="shared" si="0"/>
        <v>8.9862781521070385E-8</v>
      </c>
      <c r="F43" s="660">
        <f t="shared" si="8"/>
        <v>8.9862781521070385E-8</v>
      </c>
      <c r="G43" s="670">
        <f>1/'User Dashboard'!X$12</f>
        <v>0.14285714285714285</v>
      </c>
      <c r="H43" s="359">
        <f t="shared" si="1"/>
        <v>3735155.6320889262</v>
      </c>
      <c r="I43" s="672">
        <f t="shared" si="4"/>
        <v>401.63760860263142</v>
      </c>
      <c r="J43" s="673">
        <f t="shared" si="2"/>
        <v>297.33030247010038</v>
      </c>
      <c r="K43" s="359">
        <f t="shared" si="5"/>
        <v>698.96791107273179</v>
      </c>
      <c r="L43" s="673">
        <f t="shared" si="9"/>
        <v>113.02299424260696</v>
      </c>
      <c r="N43" s="287" t="str">
        <f t="shared" si="7"/>
        <v/>
      </c>
      <c r="O43" s="673" t="str">
        <f t="array" ref="O43">IF(N43="","",MAX(IF(A:A=N43,K:K)))</f>
        <v/>
      </c>
    </row>
    <row r="44" spans="1:15" x14ac:dyDescent="0.35">
      <c r="A44" s="287">
        <f t="shared" si="3"/>
        <v>6</v>
      </c>
      <c r="B44" s="288">
        <v>37</v>
      </c>
      <c r="C44" s="667">
        <f>IF('User Dashboard'!Z$12=5,
IF('SIR Model Patient Calcs'!B44&lt;'User Dashboard'!AJ$15,'User Dashboard'!AN$14,
IF('SIR Model Patient Calcs'!B44&lt;'User Dashboard'!AJ$16,'User Dashboard'!AN$15,
IF('SIR Model Patient Calcs'!B44&lt;'User Dashboard'!AJ$17,'User Dashboard'!AN$16,
IF('SIR Model Patient Calcs'!B44&lt;'User Dashboard'!AJ$18,'User Dashboard'!AN$17,
'User Dashboard'!AN$18)))),
IF('User Dashboard'!Z$12=4,
IF('SIR Model Patient Calcs'!B44&lt;'User Dashboard'!AJ$15,'User Dashboard'!AN$14,
IF('SIR Model Patient Calcs'!B44&lt;'User Dashboard'!AJ$16,'User Dashboard'!AN$15,
IF('SIR Model Patient Calcs'!B44&lt;'User Dashboard'!AJ$17,'User Dashboard'!AN$16,
'User Dashboard'!AN$17))),
IF('User Dashboard'!Z$12=3,
IF('SIR Model Patient Calcs'!B44&lt;'User Dashboard'!AJ$15,'User Dashboard'!AN$14,
IF('SIR Model Patient Calcs'!B44&lt;'User Dashboard'!AJ$16,'User Dashboard'!AN$15,
'User Dashboard'!AN$16)),
IF('User Dashboard'!Z$12=2,
IF('SIR Model Patient Calcs'!B44&lt;'User Dashboard'!AJ$15,'User Dashboard'!AN$14,
'User Dashboard'!AN$15),
IF('User Dashboard'!Z$12=1,
'User Dashboard'!AN$14)))))</f>
        <v>15.209356603107825</v>
      </c>
      <c r="D44" s="668">
        <f>'User Dashboard'!X$16</f>
        <v>2.2072878851804097E-2</v>
      </c>
      <c r="E44" s="660">
        <f t="shared" si="0"/>
        <v>8.9862781521070385E-8</v>
      </c>
      <c r="F44" s="660">
        <f t="shared" si="8"/>
        <v>8.9862781521070385E-8</v>
      </c>
      <c r="G44" s="670">
        <f>1/'User Dashboard'!X$12</f>
        <v>0.14285714285714285</v>
      </c>
      <c r="H44" s="359">
        <f t="shared" si="1"/>
        <v>3735020.8218333786</v>
      </c>
      <c r="I44" s="672">
        <f t="shared" si="4"/>
        <v>479.07106292127457</v>
      </c>
      <c r="J44" s="673">
        <f t="shared" si="2"/>
        <v>354.70710369904771</v>
      </c>
      <c r="K44" s="359">
        <f t="shared" si="5"/>
        <v>833.77816662032228</v>
      </c>
      <c r="L44" s="673">
        <f t="shared" si="9"/>
        <v>134.81025554759049</v>
      </c>
      <c r="N44" s="287" t="str">
        <f t="shared" ref="N44:N75" si="10">IF(OR(N43=0,N43=""),"",N43-1)</f>
        <v/>
      </c>
      <c r="O44" s="673" t="str">
        <f t="array" ref="O44">IF(N44="","",MAX(IF(A:A=N44,K:K)))</f>
        <v/>
      </c>
    </row>
    <row r="45" spans="1:15" x14ac:dyDescent="0.35">
      <c r="A45" s="287">
        <f t="shared" si="3"/>
        <v>6</v>
      </c>
      <c r="B45" s="288">
        <v>38</v>
      </c>
      <c r="C45" s="667">
        <f>IF('User Dashboard'!Z$12=5,
IF('SIR Model Patient Calcs'!B45&lt;'User Dashboard'!AJ$15,'User Dashboard'!AN$14,
IF('SIR Model Patient Calcs'!B45&lt;'User Dashboard'!AJ$16,'User Dashboard'!AN$15,
IF('SIR Model Patient Calcs'!B45&lt;'User Dashboard'!AJ$17,'User Dashboard'!AN$16,
IF('SIR Model Patient Calcs'!B45&lt;'User Dashboard'!AJ$18,'User Dashboard'!AN$17,
'User Dashboard'!AN$18)))),
IF('User Dashboard'!Z$12=4,
IF('SIR Model Patient Calcs'!B45&lt;'User Dashboard'!AJ$15,'User Dashboard'!AN$14,
IF('SIR Model Patient Calcs'!B45&lt;'User Dashboard'!AJ$16,'User Dashboard'!AN$15,
IF('SIR Model Patient Calcs'!B45&lt;'User Dashboard'!AJ$17,'User Dashboard'!AN$16,
'User Dashboard'!AN$17))),
IF('User Dashboard'!Z$12=3,
IF('SIR Model Patient Calcs'!B45&lt;'User Dashboard'!AJ$15,'User Dashboard'!AN$14,
IF('SIR Model Patient Calcs'!B45&lt;'User Dashboard'!AJ$16,'User Dashboard'!AN$15,
'User Dashboard'!AN$16)),
IF('User Dashboard'!Z$12=2,
IF('SIR Model Patient Calcs'!B45&lt;'User Dashboard'!AJ$15,'User Dashboard'!AN$14,
'User Dashboard'!AN$15),
IF('User Dashboard'!Z$12=1,
'User Dashboard'!AN$14)))))</f>
        <v>15.209356603107825</v>
      </c>
      <c r="D45" s="668">
        <f>'User Dashboard'!X$16</f>
        <v>2.2072878851804097E-2</v>
      </c>
      <c r="E45" s="660">
        <f t="shared" si="0"/>
        <v>8.9862781521070385E-8</v>
      </c>
      <c r="F45" s="660">
        <f t="shared" si="8"/>
        <v>8.9862781521070385E-8</v>
      </c>
      <c r="G45" s="670">
        <f>1/'User Dashboard'!X$12</f>
        <v>0.14285714285714285</v>
      </c>
      <c r="H45" s="359">
        <f t="shared" si="1"/>
        <v>3734860.0267283823</v>
      </c>
      <c r="I45" s="672">
        <f t="shared" si="4"/>
        <v>571.42744464289001</v>
      </c>
      <c r="J45" s="673">
        <f t="shared" si="2"/>
        <v>423.14582697351551</v>
      </c>
      <c r="K45" s="359">
        <f t="shared" si="5"/>
        <v>994.57327161640546</v>
      </c>
      <c r="L45" s="673">
        <f t="shared" si="9"/>
        <v>160.79510499608318</v>
      </c>
      <c r="N45" s="287" t="str">
        <f t="shared" si="10"/>
        <v/>
      </c>
      <c r="O45" s="673" t="str">
        <f t="array" ref="O45">IF(N45="","",MAX(IF(A:A=N45,K:K)))</f>
        <v/>
      </c>
    </row>
    <row r="46" spans="1:15" x14ac:dyDescent="0.35">
      <c r="A46" s="287">
        <f t="shared" si="3"/>
        <v>6</v>
      </c>
      <c r="B46" s="288">
        <v>39</v>
      </c>
      <c r="C46" s="667">
        <f>IF('User Dashboard'!Z$12=5,
IF('SIR Model Patient Calcs'!B46&lt;'User Dashboard'!AJ$15,'User Dashboard'!AN$14,
IF('SIR Model Patient Calcs'!B46&lt;'User Dashboard'!AJ$16,'User Dashboard'!AN$15,
IF('SIR Model Patient Calcs'!B46&lt;'User Dashboard'!AJ$17,'User Dashboard'!AN$16,
IF('SIR Model Patient Calcs'!B46&lt;'User Dashboard'!AJ$18,'User Dashboard'!AN$17,
'User Dashboard'!AN$18)))),
IF('User Dashboard'!Z$12=4,
IF('SIR Model Patient Calcs'!B46&lt;'User Dashboard'!AJ$15,'User Dashboard'!AN$14,
IF('SIR Model Patient Calcs'!B46&lt;'User Dashboard'!AJ$16,'User Dashboard'!AN$15,
IF('SIR Model Patient Calcs'!B46&lt;'User Dashboard'!AJ$17,'User Dashboard'!AN$16,
'User Dashboard'!AN$17))),
IF('User Dashboard'!Z$12=3,
IF('SIR Model Patient Calcs'!B46&lt;'User Dashboard'!AJ$15,'User Dashboard'!AN$14,
IF('SIR Model Patient Calcs'!B46&lt;'User Dashboard'!AJ$16,'User Dashboard'!AN$15,
'User Dashboard'!AN$16)),
IF('User Dashboard'!Z$12=2,
IF('SIR Model Patient Calcs'!B46&lt;'User Dashboard'!AJ$15,'User Dashboard'!AN$14,
'User Dashboard'!AN$15),
IF('User Dashboard'!Z$12=1,
'User Dashboard'!AN$14)))))</f>
        <v>15.209356603107825</v>
      </c>
      <c r="D46" s="668">
        <f>'User Dashboard'!X$16</f>
        <v>2.2072878851804097E-2</v>
      </c>
      <c r="E46" s="660">
        <f t="shared" si="0"/>
        <v>8.9862781521070372E-8</v>
      </c>
      <c r="F46" s="660">
        <f t="shared" si="8"/>
        <v>8.9862781521070385E-8</v>
      </c>
      <c r="G46" s="670">
        <f>1/'User Dashboard'!X$12</f>
        <v>0.14285714285714285</v>
      </c>
      <c r="H46" s="359">
        <f t="shared" si="1"/>
        <v>3734668.2414433635</v>
      </c>
      <c r="I46" s="672">
        <f t="shared" si="4"/>
        <v>681.5802375700888</v>
      </c>
      <c r="J46" s="673">
        <f t="shared" si="2"/>
        <v>504.77831906535692</v>
      </c>
      <c r="K46" s="359">
        <f t="shared" si="5"/>
        <v>1186.3585566354457</v>
      </c>
      <c r="L46" s="673">
        <f t="shared" si="9"/>
        <v>191.7852850190402</v>
      </c>
      <c r="N46" s="287" t="str">
        <f t="shared" si="10"/>
        <v/>
      </c>
      <c r="O46" s="673" t="str">
        <f t="array" ref="O46">IF(N46="","",MAX(IF(A:A=N46,K:K)))</f>
        <v/>
      </c>
    </row>
    <row r="47" spans="1:15" x14ac:dyDescent="0.35">
      <c r="A47" s="287">
        <f t="shared" si="3"/>
        <v>6</v>
      </c>
      <c r="B47" s="288">
        <v>40</v>
      </c>
      <c r="C47" s="667">
        <f>IF('User Dashboard'!Z$12=5,
IF('SIR Model Patient Calcs'!B47&lt;'User Dashboard'!AJ$15,'User Dashboard'!AN$14,
IF('SIR Model Patient Calcs'!B47&lt;'User Dashboard'!AJ$16,'User Dashboard'!AN$15,
IF('SIR Model Patient Calcs'!B47&lt;'User Dashboard'!AJ$17,'User Dashboard'!AN$16,
IF('SIR Model Patient Calcs'!B47&lt;'User Dashboard'!AJ$18,'User Dashboard'!AN$17,
'User Dashboard'!AN$18)))),
IF('User Dashboard'!Z$12=4,
IF('SIR Model Patient Calcs'!B47&lt;'User Dashboard'!AJ$15,'User Dashboard'!AN$14,
IF('SIR Model Patient Calcs'!B47&lt;'User Dashboard'!AJ$16,'User Dashboard'!AN$15,
IF('SIR Model Patient Calcs'!B47&lt;'User Dashboard'!AJ$17,'User Dashboard'!AN$16,
'User Dashboard'!AN$17))),
IF('User Dashboard'!Z$12=3,
IF('SIR Model Patient Calcs'!B47&lt;'User Dashboard'!AJ$15,'User Dashboard'!AN$14,
IF('SIR Model Patient Calcs'!B47&lt;'User Dashboard'!AJ$16,'User Dashboard'!AN$15,
'User Dashboard'!AN$16)),
IF('User Dashboard'!Z$12=2,
IF('SIR Model Patient Calcs'!B47&lt;'User Dashboard'!AJ$15,'User Dashboard'!AN$14,
'User Dashboard'!AN$15),
IF('User Dashboard'!Z$12=1,
'User Dashboard'!AN$14)))))</f>
        <v>15.209356603107825</v>
      </c>
      <c r="D47" s="668">
        <f>'User Dashboard'!X$16</f>
        <v>2.2072878851804097E-2</v>
      </c>
      <c r="E47" s="660">
        <f t="shared" si="0"/>
        <v>8.9862781521070372E-8</v>
      </c>
      <c r="F47" s="660">
        <f t="shared" si="8"/>
        <v>8.9862781521070385E-8</v>
      </c>
      <c r="G47" s="670">
        <f>1/'User Dashboard'!X$12</f>
        <v>0.14285714285714285</v>
      </c>
      <c r="H47" s="359">
        <f t="shared" si="1"/>
        <v>3734439.4978836654</v>
      </c>
      <c r="I47" s="672">
        <f t="shared" si="4"/>
        <v>812.95519190119273</v>
      </c>
      <c r="J47" s="673">
        <f t="shared" si="2"/>
        <v>602.14692443251249</v>
      </c>
      <c r="K47" s="359">
        <f t="shared" si="5"/>
        <v>1415.1021163337052</v>
      </c>
      <c r="L47" s="673">
        <f t="shared" si="9"/>
        <v>228.74355969825956</v>
      </c>
      <c r="N47" s="287" t="str">
        <f t="shared" si="10"/>
        <v/>
      </c>
      <c r="O47" s="673" t="str">
        <f t="array" ref="O47">IF(N47="","",MAX(IF(A:A=N47,K:K)))</f>
        <v/>
      </c>
    </row>
    <row r="48" spans="1:15" x14ac:dyDescent="0.35">
      <c r="A48" s="287">
        <f t="shared" si="3"/>
        <v>6</v>
      </c>
      <c r="B48" s="288">
        <v>41</v>
      </c>
      <c r="C48" s="667">
        <f>IF('User Dashboard'!Z$12=5,
IF('SIR Model Patient Calcs'!B48&lt;'User Dashboard'!AJ$15,'User Dashboard'!AN$14,
IF('SIR Model Patient Calcs'!B48&lt;'User Dashboard'!AJ$16,'User Dashboard'!AN$15,
IF('SIR Model Patient Calcs'!B48&lt;'User Dashboard'!AJ$17,'User Dashboard'!AN$16,
IF('SIR Model Patient Calcs'!B48&lt;'User Dashboard'!AJ$18,'User Dashboard'!AN$17,
'User Dashboard'!AN$18)))),
IF('User Dashboard'!Z$12=4,
IF('SIR Model Patient Calcs'!B48&lt;'User Dashboard'!AJ$15,'User Dashboard'!AN$14,
IF('SIR Model Patient Calcs'!B48&lt;'User Dashboard'!AJ$16,'User Dashboard'!AN$15,
IF('SIR Model Patient Calcs'!B48&lt;'User Dashboard'!AJ$17,'User Dashboard'!AN$16,
'User Dashboard'!AN$17))),
IF('User Dashboard'!Z$12=3,
IF('SIR Model Patient Calcs'!B48&lt;'User Dashboard'!AJ$15,'User Dashboard'!AN$14,
IF('SIR Model Patient Calcs'!B48&lt;'User Dashboard'!AJ$16,'User Dashboard'!AN$15,
'User Dashboard'!AN$16)),
IF('User Dashboard'!Z$12=2,
IF('SIR Model Patient Calcs'!B48&lt;'User Dashboard'!AJ$15,'User Dashboard'!AN$14,
'User Dashboard'!AN$15),
IF('User Dashboard'!Z$12=1,
'User Dashboard'!AN$14)))))</f>
        <v>15.209356603107825</v>
      </c>
      <c r="D48" s="668">
        <f>'User Dashboard'!X$16</f>
        <v>2.2072878851804097E-2</v>
      </c>
      <c r="E48" s="660">
        <f t="shared" si="0"/>
        <v>8.9862781521070372E-8</v>
      </c>
      <c r="F48" s="660">
        <f t="shared" si="8"/>
        <v>8.9862781521070385E-8</v>
      </c>
      <c r="G48" s="670">
        <f>1/'User Dashboard'!X$12</f>
        <v>0.14285714285714285</v>
      </c>
      <c r="H48" s="359">
        <f t="shared" si="1"/>
        <v>3734166.6805915553</v>
      </c>
      <c r="I48" s="672">
        <f t="shared" si="4"/>
        <v>969.6360280251514</v>
      </c>
      <c r="J48" s="673">
        <f t="shared" si="2"/>
        <v>718.2833804183972</v>
      </c>
      <c r="K48" s="359">
        <f t="shared" si="5"/>
        <v>1687.9194084435485</v>
      </c>
      <c r="L48" s="673">
        <f t="shared" si="9"/>
        <v>272.81729210984327</v>
      </c>
      <c r="N48" s="287" t="str">
        <f t="shared" si="10"/>
        <v/>
      </c>
      <c r="O48" s="673" t="str">
        <f t="array" ref="O48">IF(N48="","",MAX(IF(A:A=N48,K:K)))</f>
        <v/>
      </c>
    </row>
    <row r="49" spans="1:15" x14ac:dyDescent="0.35">
      <c r="A49" s="287">
        <f t="shared" si="3"/>
        <v>6</v>
      </c>
      <c r="B49" s="288">
        <v>42</v>
      </c>
      <c r="C49" s="667">
        <f>IF('User Dashboard'!Z$12=5,
IF('SIR Model Patient Calcs'!B49&lt;'User Dashboard'!AJ$15,'User Dashboard'!AN$14,
IF('SIR Model Patient Calcs'!B49&lt;'User Dashboard'!AJ$16,'User Dashboard'!AN$15,
IF('SIR Model Patient Calcs'!B49&lt;'User Dashboard'!AJ$17,'User Dashboard'!AN$16,
IF('SIR Model Patient Calcs'!B49&lt;'User Dashboard'!AJ$18,'User Dashboard'!AN$17,
'User Dashboard'!AN$18)))),
IF('User Dashboard'!Z$12=4,
IF('SIR Model Patient Calcs'!B49&lt;'User Dashboard'!AJ$15,'User Dashboard'!AN$14,
IF('SIR Model Patient Calcs'!B49&lt;'User Dashboard'!AJ$16,'User Dashboard'!AN$15,
IF('SIR Model Patient Calcs'!B49&lt;'User Dashboard'!AJ$17,'User Dashboard'!AN$16,
'User Dashboard'!AN$17))),
IF('User Dashboard'!Z$12=3,
IF('SIR Model Patient Calcs'!B49&lt;'User Dashboard'!AJ$15,'User Dashboard'!AN$14,
IF('SIR Model Patient Calcs'!B49&lt;'User Dashboard'!AJ$16,'User Dashboard'!AN$15,
'User Dashboard'!AN$16)),
IF('User Dashboard'!Z$12=2,
IF('SIR Model Patient Calcs'!B49&lt;'User Dashboard'!AJ$15,'User Dashboard'!AN$14,
'User Dashboard'!AN$15),
IF('User Dashboard'!Z$12=1,
'User Dashboard'!AN$14)))))</f>
        <v>15.209356603107825</v>
      </c>
      <c r="D49" s="668">
        <f>'User Dashboard'!X$16</f>
        <v>2.2072878851804097E-2</v>
      </c>
      <c r="E49" s="660">
        <f t="shared" si="0"/>
        <v>8.9862781521070372E-8</v>
      </c>
      <c r="F49" s="660">
        <f t="shared" si="8"/>
        <v>8.9862781521070385E-8</v>
      </c>
      <c r="G49" s="670">
        <f>1/'User Dashboard'!X$12</f>
        <v>0.14285714285714285</v>
      </c>
      <c r="H49" s="359">
        <f t="shared" si="1"/>
        <v>3733841.3070004955</v>
      </c>
      <c r="I49" s="672">
        <f t="shared" si="4"/>
        <v>1156.4901865100767</v>
      </c>
      <c r="J49" s="673">
        <f t="shared" si="2"/>
        <v>856.8028129934188</v>
      </c>
      <c r="K49" s="359">
        <f t="shared" si="5"/>
        <v>2013.2929995034956</v>
      </c>
      <c r="L49" s="673">
        <f t="shared" si="9"/>
        <v>325.3735910599471</v>
      </c>
      <c r="N49" s="287" t="str">
        <f t="shared" si="10"/>
        <v/>
      </c>
      <c r="O49" s="673" t="str">
        <f t="array" ref="O49">IF(N49="","",MAX(IF(A:A=N49,K:K)))</f>
        <v/>
      </c>
    </row>
    <row r="50" spans="1:15" x14ac:dyDescent="0.35">
      <c r="A50" s="287">
        <f t="shared" si="3"/>
        <v>7</v>
      </c>
      <c r="B50" s="288">
        <v>43</v>
      </c>
      <c r="C50" s="667">
        <f>IF('User Dashboard'!Z$12=5,
IF('SIR Model Patient Calcs'!B50&lt;'User Dashboard'!AJ$15,'User Dashboard'!AN$14,
IF('SIR Model Patient Calcs'!B50&lt;'User Dashboard'!AJ$16,'User Dashboard'!AN$15,
IF('SIR Model Patient Calcs'!B50&lt;'User Dashboard'!AJ$17,'User Dashboard'!AN$16,
IF('SIR Model Patient Calcs'!B50&lt;'User Dashboard'!AJ$18,'User Dashboard'!AN$17,
'User Dashboard'!AN$18)))),
IF('User Dashboard'!Z$12=4,
IF('SIR Model Patient Calcs'!B50&lt;'User Dashboard'!AJ$15,'User Dashboard'!AN$14,
IF('SIR Model Patient Calcs'!B50&lt;'User Dashboard'!AJ$16,'User Dashboard'!AN$15,
IF('SIR Model Patient Calcs'!B50&lt;'User Dashboard'!AJ$17,'User Dashboard'!AN$16,
'User Dashboard'!AN$17))),
IF('User Dashboard'!Z$12=3,
IF('SIR Model Patient Calcs'!B50&lt;'User Dashboard'!AJ$15,'User Dashboard'!AN$14,
IF('SIR Model Patient Calcs'!B50&lt;'User Dashboard'!AJ$16,'User Dashboard'!AN$15,
'User Dashboard'!AN$16)),
IF('User Dashboard'!Z$12=2,
IF('SIR Model Patient Calcs'!B50&lt;'User Dashboard'!AJ$15,'User Dashboard'!AN$14,
'User Dashboard'!AN$15),
IF('User Dashboard'!Z$12=1,
'User Dashboard'!AN$14)))))</f>
        <v>15.209356603107825</v>
      </c>
      <c r="D50" s="668">
        <f>'User Dashboard'!X$16</f>
        <v>2.2072878851804097E-2</v>
      </c>
      <c r="E50" s="660">
        <f t="shared" si="0"/>
        <v>8.9862781521070372E-8</v>
      </c>
      <c r="F50" s="660">
        <f t="shared" si="8"/>
        <v>8.9862781521070385E-8</v>
      </c>
      <c r="G50" s="670">
        <f>1/'User Dashboard'!X$12</f>
        <v>0.14285714285714285</v>
      </c>
      <c r="H50" s="359">
        <f t="shared" si="1"/>
        <v>3733453.2659559264</v>
      </c>
      <c r="I50" s="672">
        <f t="shared" si="4"/>
        <v>1379.3183472921887</v>
      </c>
      <c r="J50" s="673">
        <f t="shared" si="2"/>
        <v>1022.0156967805726</v>
      </c>
      <c r="K50" s="359">
        <f t="shared" si="5"/>
        <v>2401.3340440727616</v>
      </c>
      <c r="L50" s="673">
        <f t="shared" si="9"/>
        <v>388.04104456926598</v>
      </c>
      <c r="N50" s="287" t="str">
        <f t="shared" si="10"/>
        <v/>
      </c>
      <c r="O50" s="673" t="str">
        <f t="array" ref="O50">IF(N50="","",MAX(IF(A:A=N50,K:K)))</f>
        <v/>
      </c>
    </row>
    <row r="51" spans="1:15" x14ac:dyDescent="0.35">
      <c r="A51" s="287">
        <f t="shared" si="3"/>
        <v>7</v>
      </c>
      <c r="B51" s="288">
        <v>44</v>
      </c>
      <c r="C51" s="667">
        <f>IF('User Dashboard'!Z$12=5,
IF('SIR Model Patient Calcs'!B51&lt;'User Dashboard'!AJ$15,'User Dashboard'!AN$14,
IF('SIR Model Patient Calcs'!B51&lt;'User Dashboard'!AJ$16,'User Dashboard'!AN$15,
IF('SIR Model Patient Calcs'!B51&lt;'User Dashboard'!AJ$17,'User Dashboard'!AN$16,
IF('SIR Model Patient Calcs'!B51&lt;'User Dashboard'!AJ$18,'User Dashboard'!AN$17,
'User Dashboard'!AN$18)))),
IF('User Dashboard'!Z$12=4,
IF('SIR Model Patient Calcs'!B51&lt;'User Dashboard'!AJ$15,'User Dashboard'!AN$14,
IF('SIR Model Patient Calcs'!B51&lt;'User Dashboard'!AJ$16,'User Dashboard'!AN$15,
IF('SIR Model Patient Calcs'!B51&lt;'User Dashboard'!AJ$17,'User Dashboard'!AN$16,
'User Dashboard'!AN$17))),
IF('User Dashboard'!Z$12=3,
IF('SIR Model Patient Calcs'!B51&lt;'User Dashboard'!AJ$15,'User Dashboard'!AN$14,
IF('SIR Model Patient Calcs'!B51&lt;'User Dashboard'!AJ$16,'User Dashboard'!AN$15,
'User Dashboard'!AN$16)),
IF('User Dashboard'!Z$12=2,
IF('SIR Model Patient Calcs'!B51&lt;'User Dashboard'!AJ$15,'User Dashboard'!AN$14,
'User Dashboard'!AN$15),
IF('User Dashboard'!Z$12=1,
'User Dashboard'!AN$14)))))</f>
        <v>15.209356603107825</v>
      </c>
      <c r="D51" s="668">
        <f>'User Dashboard'!X$16</f>
        <v>2.2072878851804097E-2</v>
      </c>
      <c r="E51" s="660">
        <f t="shared" si="0"/>
        <v>8.9862781521070372E-8</v>
      </c>
      <c r="F51" s="660">
        <f t="shared" si="8"/>
        <v>8.9862781521070385E-8</v>
      </c>
      <c r="G51" s="670">
        <f>1/'User Dashboard'!X$12</f>
        <v>0.14285714285714285</v>
      </c>
      <c r="H51" s="359">
        <f t="shared" si="1"/>
        <v>3732990.5067260666</v>
      </c>
      <c r="I51" s="672">
        <f t="shared" si="4"/>
        <v>1645.0320989675588</v>
      </c>
      <c r="J51" s="673">
        <f t="shared" si="2"/>
        <v>1219.0611749651709</v>
      </c>
      <c r="K51" s="359">
        <f t="shared" si="5"/>
        <v>2864.09327393273</v>
      </c>
      <c r="L51" s="673">
        <f t="shared" si="9"/>
        <v>462.7592298599684</v>
      </c>
      <c r="N51" s="287" t="str">
        <f t="shared" si="10"/>
        <v/>
      </c>
      <c r="O51" s="673" t="str">
        <f t="array" ref="O51">IF(N51="","",MAX(IF(A:A=N51,K:K)))</f>
        <v/>
      </c>
    </row>
    <row r="52" spans="1:15" x14ac:dyDescent="0.35">
      <c r="A52" s="287">
        <f t="shared" si="3"/>
        <v>7</v>
      </c>
      <c r="B52" s="288">
        <v>45</v>
      </c>
      <c r="C52" s="667">
        <f>IF('User Dashboard'!Z$12=5,
IF('SIR Model Patient Calcs'!B52&lt;'User Dashboard'!AJ$15,'User Dashboard'!AN$14,
IF('SIR Model Patient Calcs'!B52&lt;'User Dashboard'!AJ$16,'User Dashboard'!AN$15,
IF('SIR Model Patient Calcs'!B52&lt;'User Dashboard'!AJ$17,'User Dashboard'!AN$16,
IF('SIR Model Patient Calcs'!B52&lt;'User Dashboard'!AJ$18,'User Dashboard'!AN$17,
'User Dashboard'!AN$18)))),
IF('User Dashboard'!Z$12=4,
IF('SIR Model Patient Calcs'!B52&lt;'User Dashboard'!AJ$15,'User Dashboard'!AN$14,
IF('SIR Model Patient Calcs'!B52&lt;'User Dashboard'!AJ$16,'User Dashboard'!AN$15,
IF('SIR Model Patient Calcs'!B52&lt;'User Dashboard'!AJ$17,'User Dashboard'!AN$16,
'User Dashboard'!AN$17))),
IF('User Dashboard'!Z$12=3,
IF('SIR Model Patient Calcs'!B52&lt;'User Dashboard'!AJ$15,'User Dashboard'!AN$14,
IF('SIR Model Patient Calcs'!B52&lt;'User Dashboard'!AJ$16,'User Dashboard'!AN$15,
'User Dashboard'!AN$16)),
IF('User Dashboard'!Z$12=2,
IF('SIR Model Patient Calcs'!B52&lt;'User Dashboard'!AJ$15,'User Dashboard'!AN$14,
'User Dashboard'!AN$15),
IF('User Dashboard'!Z$12=1,
'User Dashboard'!AN$14)))))</f>
        <v>15.209356603107825</v>
      </c>
      <c r="D52" s="668">
        <f>'User Dashboard'!X$16</f>
        <v>2.2072878851804097E-2</v>
      </c>
      <c r="E52" s="660">
        <f t="shared" si="0"/>
        <v>8.9862781521070372E-8</v>
      </c>
      <c r="F52" s="660">
        <f t="shared" si="8"/>
        <v>8.9862781521070385E-8</v>
      </c>
      <c r="G52" s="670">
        <f>1/'User Dashboard'!X$12</f>
        <v>0.14285714285714285</v>
      </c>
      <c r="H52" s="359">
        <f t="shared" si="1"/>
        <v>3732438.6693407595</v>
      </c>
      <c r="I52" s="672">
        <f t="shared" si="4"/>
        <v>1961.8648987077706</v>
      </c>
      <c r="J52" s="673">
        <f t="shared" si="2"/>
        <v>1454.065760531965</v>
      </c>
      <c r="K52" s="359">
        <f t="shared" si="5"/>
        <v>3415.9306592397356</v>
      </c>
      <c r="L52" s="673">
        <f t="shared" si="9"/>
        <v>551.83738530700566</v>
      </c>
      <c r="N52" s="287" t="str">
        <f t="shared" si="10"/>
        <v/>
      </c>
      <c r="O52" s="673" t="str">
        <f t="array" ref="O52">IF(N52="","",MAX(IF(A:A=N52,K:K)))</f>
        <v/>
      </c>
    </row>
    <row r="53" spans="1:15" x14ac:dyDescent="0.35">
      <c r="A53" s="287">
        <f t="shared" si="3"/>
        <v>7</v>
      </c>
      <c r="B53" s="288">
        <v>46</v>
      </c>
      <c r="C53" s="667">
        <f>IF('User Dashboard'!Z$12=5,
IF('SIR Model Patient Calcs'!B53&lt;'User Dashboard'!AJ$15,'User Dashboard'!AN$14,
IF('SIR Model Patient Calcs'!B53&lt;'User Dashboard'!AJ$16,'User Dashboard'!AN$15,
IF('SIR Model Patient Calcs'!B53&lt;'User Dashboard'!AJ$17,'User Dashboard'!AN$16,
IF('SIR Model Patient Calcs'!B53&lt;'User Dashboard'!AJ$18,'User Dashboard'!AN$17,
'User Dashboard'!AN$18)))),
IF('User Dashboard'!Z$12=4,
IF('SIR Model Patient Calcs'!B53&lt;'User Dashboard'!AJ$15,'User Dashboard'!AN$14,
IF('SIR Model Patient Calcs'!B53&lt;'User Dashboard'!AJ$16,'User Dashboard'!AN$15,
IF('SIR Model Patient Calcs'!B53&lt;'User Dashboard'!AJ$17,'User Dashboard'!AN$16,
'User Dashboard'!AN$17))),
IF('User Dashboard'!Z$12=3,
IF('SIR Model Patient Calcs'!B53&lt;'User Dashboard'!AJ$15,'User Dashboard'!AN$14,
IF('SIR Model Patient Calcs'!B53&lt;'User Dashboard'!AJ$16,'User Dashboard'!AN$15,
'User Dashboard'!AN$16)),
IF('User Dashboard'!Z$12=2,
IF('SIR Model Patient Calcs'!B53&lt;'User Dashboard'!AJ$15,'User Dashboard'!AN$14,
'User Dashboard'!AN$15),
IF('User Dashboard'!Z$12=1,
'User Dashboard'!AN$14)))))</f>
        <v>15.209356603107825</v>
      </c>
      <c r="D53" s="668">
        <f>'User Dashboard'!X$16</f>
        <v>2.2072878851804097E-2</v>
      </c>
      <c r="E53" s="660">
        <f t="shared" si="0"/>
        <v>8.9862781521070372E-8</v>
      </c>
      <c r="F53" s="660">
        <f t="shared" si="8"/>
        <v>8.9862781521070385E-8</v>
      </c>
      <c r="G53" s="670">
        <f>1/'User Dashboard'!X$12</f>
        <v>0.14285714285714285</v>
      </c>
      <c r="H53" s="359">
        <f t="shared" si="1"/>
        <v>3731780.6454915404</v>
      </c>
      <c r="I53" s="672">
        <f t="shared" si="4"/>
        <v>2339.6223338257569</v>
      </c>
      <c r="J53" s="673">
        <f t="shared" si="2"/>
        <v>1734.3321746330751</v>
      </c>
      <c r="K53" s="359">
        <f t="shared" si="5"/>
        <v>4073.9545084588317</v>
      </c>
      <c r="L53" s="673">
        <f t="shared" si="9"/>
        <v>658.02384921909606</v>
      </c>
      <c r="N53" s="287" t="str">
        <f t="shared" si="10"/>
        <v/>
      </c>
      <c r="O53" s="673" t="str">
        <f t="array" ref="O53">IF(N53="","",MAX(IF(A:A=N53,K:K)))</f>
        <v/>
      </c>
    </row>
    <row r="54" spans="1:15" x14ac:dyDescent="0.35">
      <c r="A54" s="287">
        <f t="shared" si="3"/>
        <v>7</v>
      </c>
      <c r="B54" s="288">
        <v>47</v>
      </c>
      <c r="C54" s="667">
        <f>IF('User Dashboard'!Z$12=5,
IF('SIR Model Patient Calcs'!B54&lt;'User Dashboard'!AJ$15,'User Dashboard'!AN$14,
IF('SIR Model Patient Calcs'!B54&lt;'User Dashboard'!AJ$16,'User Dashboard'!AN$15,
IF('SIR Model Patient Calcs'!B54&lt;'User Dashboard'!AJ$17,'User Dashboard'!AN$16,
IF('SIR Model Patient Calcs'!B54&lt;'User Dashboard'!AJ$18,'User Dashboard'!AN$17,
'User Dashboard'!AN$18)))),
IF('User Dashboard'!Z$12=4,
IF('SIR Model Patient Calcs'!B54&lt;'User Dashboard'!AJ$15,'User Dashboard'!AN$14,
IF('SIR Model Patient Calcs'!B54&lt;'User Dashboard'!AJ$16,'User Dashboard'!AN$15,
IF('SIR Model Patient Calcs'!B54&lt;'User Dashboard'!AJ$17,'User Dashboard'!AN$16,
'User Dashboard'!AN$17))),
IF('User Dashboard'!Z$12=3,
IF('SIR Model Patient Calcs'!B54&lt;'User Dashboard'!AJ$15,'User Dashboard'!AN$14,
IF('SIR Model Patient Calcs'!B54&lt;'User Dashboard'!AJ$16,'User Dashboard'!AN$15,
'User Dashboard'!AN$16)),
IF('User Dashboard'!Z$12=2,
IF('SIR Model Patient Calcs'!B54&lt;'User Dashboard'!AJ$15,'User Dashboard'!AN$14,
'User Dashboard'!AN$15),
IF('User Dashboard'!Z$12=1,
'User Dashboard'!AN$14)))))</f>
        <v>15.209356603107825</v>
      </c>
      <c r="D54" s="668">
        <f>'User Dashboard'!X$16</f>
        <v>2.2072878851804097E-2</v>
      </c>
      <c r="E54" s="660">
        <f t="shared" si="0"/>
        <v>8.9862781521070372E-8</v>
      </c>
      <c r="F54" s="660">
        <f t="shared" si="8"/>
        <v>8.9862781521070385E-8</v>
      </c>
      <c r="G54" s="670">
        <f>1/'User Dashboard'!X$12</f>
        <v>0.14285714285714285</v>
      </c>
      <c r="H54" s="359">
        <f t="shared" si="1"/>
        <v>3730996.0573793449</v>
      </c>
      <c r="I54" s="672">
        <f t="shared" si="4"/>
        <v>2789.9786840461888</v>
      </c>
      <c r="J54" s="673">
        <f t="shared" si="2"/>
        <v>2068.5639366081832</v>
      </c>
      <c r="K54" s="359">
        <f t="shared" si="5"/>
        <v>4858.5426206543725</v>
      </c>
      <c r="L54" s="673">
        <f t="shared" si="9"/>
        <v>784.58811219554082</v>
      </c>
      <c r="N54" s="287" t="str">
        <f t="shared" si="10"/>
        <v/>
      </c>
      <c r="O54" s="673" t="str">
        <f t="array" ref="O54">IF(N54="","",MAX(IF(A:A=N54,K:K)))</f>
        <v/>
      </c>
    </row>
    <row r="55" spans="1:15" x14ac:dyDescent="0.35">
      <c r="A55" s="287">
        <f t="shared" si="3"/>
        <v>7</v>
      </c>
      <c r="B55" s="288">
        <v>48</v>
      </c>
      <c r="C55" s="667">
        <f>IF('User Dashboard'!Z$12=5,
IF('SIR Model Patient Calcs'!B55&lt;'User Dashboard'!AJ$15,'User Dashboard'!AN$14,
IF('SIR Model Patient Calcs'!B55&lt;'User Dashboard'!AJ$16,'User Dashboard'!AN$15,
IF('SIR Model Patient Calcs'!B55&lt;'User Dashboard'!AJ$17,'User Dashboard'!AN$16,
IF('SIR Model Patient Calcs'!B55&lt;'User Dashboard'!AJ$18,'User Dashboard'!AN$17,
'User Dashboard'!AN$18)))),
IF('User Dashboard'!Z$12=4,
IF('SIR Model Patient Calcs'!B55&lt;'User Dashboard'!AJ$15,'User Dashboard'!AN$14,
IF('SIR Model Patient Calcs'!B55&lt;'User Dashboard'!AJ$16,'User Dashboard'!AN$15,
IF('SIR Model Patient Calcs'!B55&lt;'User Dashboard'!AJ$17,'User Dashboard'!AN$16,
'User Dashboard'!AN$17))),
IF('User Dashboard'!Z$12=3,
IF('SIR Model Patient Calcs'!B55&lt;'User Dashboard'!AJ$15,'User Dashboard'!AN$14,
IF('SIR Model Patient Calcs'!B55&lt;'User Dashboard'!AJ$16,'User Dashboard'!AN$15,
'User Dashboard'!AN$16)),
IF('User Dashboard'!Z$12=2,
IF('SIR Model Patient Calcs'!B55&lt;'User Dashboard'!AJ$15,'User Dashboard'!AN$14,
'User Dashboard'!AN$15),
IF('User Dashboard'!Z$12=1,
'User Dashboard'!AN$14)))))</f>
        <v>15.209356603107825</v>
      </c>
      <c r="D55" s="668">
        <f>'User Dashboard'!X$16</f>
        <v>2.2072878851804097E-2</v>
      </c>
      <c r="E55" s="660">
        <f t="shared" si="0"/>
        <v>8.9862781521070372E-8</v>
      </c>
      <c r="F55" s="660">
        <f t="shared" si="8"/>
        <v>8.9862781521070372E-8</v>
      </c>
      <c r="G55" s="670">
        <f>1/'User Dashboard'!X$12</f>
        <v>0.14285714285714285</v>
      </c>
      <c r="H55" s="359">
        <f t="shared" si="1"/>
        <v>3730060.6397889755</v>
      </c>
      <c r="I55" s="672">
        <f t="shared" si="4"/>
        <v>3326.827890980514</v>
      </c>
      <c r="J55" s="673">
        <f t="shared" si="2"/>
        <v>2467.132320043353</v>
      </c>
      <c r="K55" s="359">
        <f t="shared" si="5"/>
        <v>5793.9602110238666</v>
      </c>
      <c r="L55" s="673">
        <f t="shared" si="9"/>
        <v>935.41759036949406</v>
      </c>
      <c r="N55" s="287" t="str">
        <f t="shared" si="10"/>
        <v/>
      </c>
      <c r="O55" s="673" t="str">
        <f t="array" ref="O55">IF(N55="","",MAX(IF(A:A=N55,K:K)))</f>
        <v/>
      </c>
    </row>
    <row r="56" spans="1:15" x14ac:dyDescent="0.35">
      <c r="A56" s="287">
        <f t="shared" si="3"/>
        <v>7</v>
      </c>
      <c r="B56" s="288">
        <v>49</v>
      </c>
      <c r="C56" s="667">
        <f>IF('User Dashboard'!Z$12=5,
IF('SIR Model Patient Calcs'!B56&lt;'User Dashboard'!AJ$15,'User Dashboard'!AN$14,
IF('SIR Model Patient Calcs'!B56&lt;'User Dashboard'!AJ$16,'User Dashboard'!AN$15,
IF('SIR Model Patient Calcs'!B56&lt;'User Dashboard'!AJ$17,'User Dashboard'!AN$16,
IF('SIR Model Patient Calcs'!B56&lt;'User Dashboard'!AJ$18,'User Dashboard'!AN$17,
'User Dashboard'!AN$18)))),
IF('User Dashboard'!Z$12=4,
IF('SIR Model Patient Calcs'!B56&lt;'User Dashboard'!AJ$15,'User Dashboard'!AN$14,
IF('SIR Model Patient Calcs'!B56&lt;'User Dashboard'!AJ$16,'User Dashboard'!AN$15,
IF('SIR Model Patient Calcs'!B56&lt;'User Dashboard'!AJ$17,'User Dashboard'!AN$16,
'User Dashboard'!AN$17))),
IF('User Dashboard'!Z$12=3,
IF('SIR Model Patient Calcs'!B56&lt;'User Dashboard'!AJ$15,'User Dashboard'!AN$14,
IF('SIR Model Patient Calcs'!B56&lt;'User Dashboard'!AJ$16,'User Dashboard'!AN$15,
'User Dashboard'!AN$16)),
IF('User Dashboard'!Z$12=2,
IF('SIR Model Patient Calcs'!B56&lt;'User Dashboard'!AJ$15,'User Dashboard'!AN$14,
'User Dashboard'!AN$15),
IF('User Dashboard'!Z$12=1,
'User Dashboard'!AN$14)))))</f>
        <v>15.209356603107825</v>
      </c>
      <c r="D56" s="668">
        <f>'User Dashboard'!X$16</f>
        <v>2.2072878851804097E-2</v>
      </c>
      <c r="E56" s="660">
        <f t="shared" si="0"/>
        <v>8.9862781521070372E-8</v>
      </c>
      <c r="F56" s="660">
        <f t="shared" si="8"/>
        <v>8.9862781521070372E-8</v>
      </c>
      <c r="G56" s="670">
        <f>1/'User Dashboard'!X$12</f>
        <v>0.14285714285714285</v>
      </c>
      <c r="H56" s="359">
        <f t="shared" si="1"/>
        <v>3728945.5082906634</v>
      </c>
      <c r="I56" s="672">
        <f t="shared" si="4"/>
        <v>3966.6982620097833</v>
      </c>
      <c r="J56" s="673">
        <f t="shared" si="2"/>
        <v>2942.3934473262834</v>
      </c>
      <c r="K56" s="359">
        <f t="shared" si="5"/>
        <v>6909.0917093360667</v>
      </c>
      <c r="L56" s="673">
        <f t="shared" si="9"/>
        <v>1115.1314983122002</v>
      </c>
      <c r="N56" s="287" t="str">
        <f t="shared" si="10"/>
        <v/>
      </c>
      <c r="O56" s="673" t="str">
        <f t="array" ref="O56">IF(N56="","",MAX(IF(A:A=N56,K:K)))</f>
        <v/>
      </c>
    </row>
    <row r="57" spans="1:15" x14ac:dyDescent="0.35">
      <c r="A57" s="287">
        <f t="shared" si="3"/>
        <v>8</v>
      </c>
      <c r="B57" s="288">
        <v>50</v>
      </c>
      <c r="C57" s="667">
        <f>IF('User Dashboard'!Z$12=5,
IF('SIR Model Patient Calcs'!B57&lt;'User Dashboard'!AJ$15,'User Dashboard'!AN$14,
IF('SIR Model Patient Calcs'!B57&lt;'User Dashboard'!AJ$16,'User Dashboard'!AN$15,
IF('SIR Model Patient Calcs'!B57&lt;'User Dashboard'!AJ$17,'User Dashboard'!AN$16,
IF('SIR Model Patient Calcs'!B57&lt;'User Dashboard'!AJ$18,'User Dashboard'!AN$17,
'User Dashboard'!AN$18)))),
IF('User Dashboard'!Z$12=4,
IF('SIR Model Patient Calcs'!B57&lt;'User Dashboard'!AJ$15,'User Dashboard'!AN$14,
IF('SIR Model Patient Calcs'!B57&lt;'User Dashboard'!AJ$16,'User Dashboard'!AN$15,
IF('SIR Model Patient Calcs'!B57&lt;'User Dashboard'!AJ$17,'User Dashboard'!AN$16,
'User Dashboard'!AN$17))),
IF('User Dashboard'!Z$12=3,
IF('SIR Model Patient Calcs'!B57&lt;'User Dashboard'!AJ$15,'User Dashboard'!AN$14,
IF('SIR Model Patient Calcs'!B57&lt;'User Dashboard'!AJ$16,'User Dashboard'!AN$15,
'User Dashboard'!AN$16)),
IF('User Dashboard'!Z$12=2,
IF('SIR Model Patient Calcs'!B57&lt;'User Dashboard'!AJ$15,'User Dashboard'!AN$14,
'User Dashboard'!AN$15),
IF('User Dashboard'!Z$12=1,
'User Dashboard'!AN$14)))))</f>
        <v>15.209356603107825</v>
      </c>
      <c r="D57" s="668">
        <f>'User Dashboard'!X$16</f>
        <v>2.2072878851804097E-2</v>
      </c>
      <c r="E57" s="660">
        <f t="shared" si="0"/>
        <v>8.9862781521070372E-8</v>
      </c>
      <c r="F57" s="660">
        <f t="shared" si="8"/>
        <v>8.9862781521070372E-8</v>
      </c>
      <c r="G57" s="670">
        <f>1/'User Dashboard'!X$12</f>
        <v>0.14285714285714285</v>
      </c>
      <c r="H57" s="359">
        <f t="shared" si="1"/>
        <v>3727616.2938217269</v>
      </c>
      <c r="I57" s="672">
        <f t="shared" si="4"/>
        <v>4729.2415506589296</v>
      </c>
      <c r="J57" s="673">
        <f t="shared" si="2"/>
        <v>3509.0646276133953</v>
      </c>
      <c r="K57" s="359">
        <f t="shared" si="5"/>
        <v>8238.3061782723253</v>
      </c>
      <c r="L57" s="673">
        <f t="shared" si="9"/>
        <v>1329.2144689362585</v>
      </c>
      <c r="N57" s="287" t="str">
        <f t="shared" si="10"/>
        <v/>
      </c>
      <c r="O57" s="673" t="str">
        <f t="array" ref="O57">IF(N57="","",MAX(IF(A:A=N57,K:K)))</f>
        <v/>
      </c>
    </row>
    <row r="58" spans="1:15" x14ac:dyDescent="0.35">
      <c r="A58" s="287">
        <f t="shared" si="3"/>
        <v>8</v>
      </c>
      <c r="B58" s="288">
        <v>51</v>
      </c>
      <c r="C58" s="667">
        <f>IF('User Dashboard'!Z$12=5,
IF('SIR Model Patient Calcs'!B58&lt;'User Dashboard'!AJ$15,'User Dashboard'!AN$14,
IF('SIR Model Patient Calcs'!B58&lt;'User Dashboard'!AJ$16,'User Dashboard'!AN$15,
IF('SIR Model Patient Calcs'!B58&lt;'User Dashboard'!AJ$17,'User Dashboard'!AN$16,
IF('SIR Model Patient Calcs'!B58&lt;'User Dashboard'!AJ$18,'User Dashboard'!AN$17,
'User Dashboard'!AN$18)))),
IF('User Dashboard'!Z$12=4,
IF('SIR Model Patient Calcs'!B58&lt;'User Dashboard'!AJ$15,'User Dashboard'!AN$14,
IF('SIR Model Patient Calcs'!B58&lt;'User Dashboard'!AJ$16,'User Dashboard'!AN$15,
IF('SIR Model Patient Calcs'!B58&lt;'User Dashboard'!AJ$17,'User Dashboard'!AN$16,
'User Dashboard'!AN$17))),
IF('User Dashboard'!Z$12=3,
IF('SIR Model Patient Calcs'!B58&lt;'User Dashboard'!AJ$15,'User Dashboard'!AN$14,
IF('SIR Model Patient Calcs'!B58&lt;'User Dashboard'!AJ$16,'User Dashboard'!AN$15,
'User Dashboard'!AN$16)),
IF('User Dashboard'!Z$12=2,
IF('SIR Model Patient Calcs'!B58&lt;'User Dashboard'!AJ$15,'User Dashboard'!AN$14,
'User Dashboard'!AN$15),
IF('User Dashboard'!Z$12=1,
'User Dashboard'!AN$14)))))</f>
        <v>15.209356603107825</v>
      </c>
      <c r="D58" s="668">
        <f>'User Dashboard'!X$16</f>
        <v>2.2072878851804097E-2</v>
      </c>
      <c r="E58" s="660">
        <f t="shared" si="0"/>
        <v>8.9862781521070385E-8</v>
      </c>
      <c r="F58" s="660">
        <f t="shared" si="8"/>
        <v>8.9862781521070372E-8</v>
      </c>
      <c r="G58" s="670">
        <f>1/'User Dashboard'!X$12</f>
        <v>0.14285714285714285</v>
      </c>
      <c r="H58" s="359">
        <f t="shared" si="1"/>
        <v>3726032.1210110057</v>
      </c>
      <c r="I58" s="672">
        <f t="shared" si="4"/>
        <v>5637.808425571523</v>
      </c>
      <c r="J58" s="673">
        <f t="shared" si="2"/>
        <v>4184.6705634218142</v>
      </c>
      <c r="K58" s="359">
        <f t="shared" si="5"/>
        <v>9822.4789889933381</v>
      </c>
      <c r="L58" s="673">
        <f t="shared" si="9"/>
        <v>1584.1728107210129</v>
      </c>
      <c r="N58" s="287" t="str">
        <f t="shared" si="10"/>
        <v/>
      </c>
      <c r="O58" s="673" t="str">
        <f t="array" ref="O58">IF(N58="","",MAX(IF(A:A=N58,K:K)))</f>
        <v/>
      </c>
    </row>
    <row r="59" spans="1:15" x14ac:dyDescent="0.35">
      <c r="A59" s="287">
        <f t="shared" si="3"/>
        <v>8</v>
      </c>
      <c r="B59" s="288">
        <v>52</v>
      </c>
      <c r="C59" s="667">
        <f>IF('User Dashboard'!Z$12=5,
IF('SIR Model Patient Calcs'!B59&lt;'User Dashboard'!AJ$15,'User Dashboard'!AN$14,
IF('SIR Model Patient Calcs'!B59&lt;'User Dashboard'!AJ$16,'User Dashboard'!AN$15,
IF('SIR Model Patient Calcs'!B59&lt;'User Dashboard'!AJ$17,'User Dashboard'!AN$16,
IF('SIR Model Patient Calcs'!B59&lt;'User Dashboard'!AJ$18,'User Dashboard'!AN$17,
'User Dashboard'!AN$18)))),
IF('User Dashboard'!Z$12=4,
IF('SIR Model Patient Calcs'!B59&lt;'User Dashboard'!AJ$15,'User Dashboard'!AN$14,
IF('SIR Model Patient Calcs'!B59&lt;'User Dashboard'!AJ$16,'User Dashboard'!AN$15,
IF('SIR Model Patient Calcs'!B59&lt;'User Dashboard'!AJ$17,'User Dashboard'!AN$16,
'User Dashboard'!AN$17))),
IF('User Dashboard'!Z$12=3,
IF('SIR Model Patient Calcs'!B59&lt;'User Dashboard'!AJ$15,'User Dashboard'!AN$14,
IF('SIR Model Patient Calcs'!B59&lt;'User Dashboard'!AJ$16,'User Dashboard'!AN$15,
'User Dashboard'!AN$16)),
IF('User Dashboard'!Z$12=2,
IF('SIR Model Patient Calcs'!B59&lt;'User Dashboard'!AJ$15,'User Dashboard'!AN$14,
'User Dashboard'!AN$15),
IF('User Dashboard'!Z$12=1,
'User Dashboard'!AN$14)))))</f>
        <v>15.209356603107825</v>
      </c>
      <c r="D59" s="668">
        <f>'User Dashboard'!X$16</f>
        <v>2.2072878851804097E-2</v>
      </c>
      <c r="E59" s="660">
        <f t="shared" si="0"/>
        <v>8.9862781521070372E-8</v>
      </c>
      <c r="F59" s="660">
        <f t="shared" si="8"/>
        <v>8.9862781521070372E-8</v>
      </c>
      <c r="G59" s="670">
        <f>1/'User Dashboard'!X$12</f>
        <v>0.14285714285714285</v>
      </c>
      <c r="H59" s="359">
        <f t="shared" si="1"/>
        <v>3724144.4045365709</v>
      </c>
      <c r="I59" s="672">
        <f t="shared" si="4"/>
        <v>6720.123696353472</v>
      </c>
      <c r="J59" s="673">
        <f t="shared" si="2"/>
        <v>4990.0717670748891</v>
      </c>
      <c r="K59" s="359">
        <f t="shared" si="5"/>
        <v>11710.195463428361</v>
      </c>
      <c r="L59" s="673">
        <f t="shared" si="9"/>
        <v>1887.716474435023</v>
      </c>
      <c r="N59" s="287" t="str">
        <f t="shared" si="10"/>
        <v/>
      </c>
      <c r="O59" s="673" t="str">
        <f t="array" ref="O59">IF(N59="","",MAX(IF(A:A=N59,K:K)))</f>
        <v/>
      </c>
    </row>
    <row r="60" spans="1:15" x14ac:dyDescent="0.35">
      <c r="A60" s="287">
        <f t="shared" si="3"/>
        <v>8</v>
      </c>
      <c r="B60" s="288">
        <v>53</v>
      </c>
      <c r="C60" s="667">
        <f>IF('User Dashboard'!Z$12=5,
IF('SIR Model Patient Calcs'!B60&lt;'User Dashboard'!AJ$15,'User Dashboard'!AN$14,
IF('SIR Model Patient Calcs'!B60&lt;'User Dashboard'!AJ$16,'User Dashboard'!AN$15,
IF('SIR Model Patient Calcs'!B60&lt;'User Dashboard'!AJ$17,'User Dashboard'!AN$16,
IF('SIR Model Patient Calcs'!B60&lt;'User Dashboard'!AJ$18,'User Dashboard'!AN$17,
'User Dashboard'!AN$18)))),
IF('User Dashboard'!Z$12=4,
IF('SIR Model Patient Calcs'!B60&lt;'User Dashboard'!AJ$15,'User Dashboard'!AN$14,
IF('SIR Model Patient Calcs'!B60&lt;'User Dashboard'!AJ$16,'User Dashboard'!AN$15,
IF('SIR Model Patient Calcs'!B60&lt;'User Dashboard'!AJ$17,'User Dashboard'!AN$16,
'User Dashboard'!AN$17))),
IF('User Dashboard'!Z$12=3,
IF('SIR Model Patient Calcs'!B60&lt;'User Dashboard'!AJ$15,'User Dashboard'!AN$14,
IF('SIR Model Patient Calcs'!B60&lt;'User Dashboard'!AJ$16,'User Dashboard'!AN$15,
'User Dashboard'!AN$16)),
IF('User Dashboard'!Z$12=2,
IF('SIR Model Patient Calcs'!B60&lt;'User Dashboard'!AJ$15,'User Dashboard'!AN$14,
'User Dashboard'!AN$15),
IF('User Dashboard'!Z$12=1,
'User Dashboard'!AN$14)))))</f>
        <v>15.209356603107825</v>
      </c>
      <c r="D60" s="668">
        <f>'User Dashboard'!X$16</f>
        <v>2.2072878851804097E-2</v>
      </c>
      <c r="E60" s="660">
        <f t="shared" si="0"/>
        <v>8.9862781521070372E-8</v>
      </c>
      <c r="F60" s="660">
        <f t="shared" si="8"/>
        <v>8.9862781521070372E-8</v>
      </c>
      <c r="G60" s="670">
        <f>1/'User Dashboard'!X$12</f>
        <v>0.14285714285714285</v>
      </c>
      <c r="H60" s="359">
        <f t="shared" si="1"/>
        <v>3721895.4346682541</v>
      </c>
      <c r="I60" s="672">
        <f t="shared" si="4"/>
        <v>8009.0758937625096</v>
      </c>
      <c r="J60" s="673">
        <f t="shared" si="2"/>
        <v>5950.0894379825277</v>
      </c>
      <c r="K60" s="359">
        <f t="shared" si="5"/>
        <v>13959.165331745036</v>
      </c>
      <c r="L60" s="673">
        <f t="shared" si="9"/>
        <v>2248.9698683166753</v>
      </c>
      <c r="N60" s="287" t="str">
        <f t="shared" si="10"/>
        <v/>
      </c>
      <c r="O60" s="673" t="str">
        <f t="array" ref="O60">IF(N60="","",MAX(IF(A:A=N60,K:K)))</f>
        <v/>
      </c>
    </row>
    <row r="61" spans="1:15" x14ac:dyDescent="0.35">
      <c r="A61" s="287">
        <f t="shared" si="3"/>
        <v>8</v>
      </c>
      <c r="B61" s="288">
        <v>54</v>
      </c>
      <c r="C61" s="667">
        <f>IF('User Dashboard'!Z$12=5,
IF('SIR Model Patient Calcs'!B61&lt;'User Dashboard'!AJ$15,'User Dashboard'!AN$14,
IF('SIR Model Patient Calcs'!B61&lt;'User Dashboard'!AJ$16,'User Dashboard'!AN$15,
IF('SIR Model Patient Calcs'!B61&lt;'User Dashboard'!AJ$17,'User Dashboard'!AN$16,
IF('SIR Model Patient Calcs'!B61&lt;'User Dashboard'!AJ$18,'User Dashboard'!AN$17,
'User Dashboard'!AN$18)))),
IF('User Dashboard'!Z$12=4,
IF('SIR Model Patient Calcs'!B61&lt;'User Dashboard'!AJ$15,'User Dashboard'!AN$14,
IF('SIR Model Patient Calcs'!B61&lt;'User Dashboard'!AJ$16,'User Dashboard'!AN$15,
IF('SIR Model Patient Calcs'!B61&lt;'User Dashboard'!AJ$17,'User Dashboard'!AN$16,
'User Dashboard'!AN$17))),
IF('User Dashboard'!Z$12=3,
IF('SIR Model Patient Calcs'!B61&lt;'User Dashboard'!AJ$15,'User Dashboard'!AN$14,
IF('SIR Model Patient Calcs'!B61&lt;'User Dashboard'!AJ$16,'User Dashboard'!AN$15,
'User Dashboard'!AN$16)),
IF('User Dashboard'!Z$12=2,
IF('SIR Model Patient Calcs'!B61&lt;'User Dashboard'!AJ$15,'User Dashboard'!AN$14,
'User Dashboard'!AN$15),
IF('User Dashboard'!Z$12=1,
'User Dashboard'!AN$14)))))</f>
        <v>15.209356603107825</v>
      </c>
      <c r="D61" s="668">
        <f>'User Dashboard'!X$16</f>
        <v>2.2072878851804097E-2</v>
      </c>
      <c r="E61" s="660">
        <f t="shared" si="0"/>
        <v>8.9862781521070372E-8</v>
      </c>
      <c r="F61" s="660">
        <f t="shared" si="8"/>
        <v>8.9862781521070372E-8</v>
      </c>
      <c r="G61" s="670">
        <f>1/'User Dashboard'!X$12</f>
        <v>0.14285714285714285</v>
      </c>
      <c r="H61" s="359">
        <f t="shared" si="1"/>
        <v>3719216.7201356301</v>
      </c>
      <c r="I61" s="672">
        <f t="shared" si="4"/>
        <v>9543.6367272775096</v>
      </c>
      <c r="J61" s="673">
        <f t="shared" si="2"/>
        <v>7094.2431370914574</v>
      </c>
      <c r="K61" s="359">
        <f t="shared" si="5"/>
        <v>16637.879864368966</v>
      </c>
      <c r="L61" s="673">
        <f t="shared" si="9"/>
        <v>2678.7145326239297</v>
      </c>
      <c r="N61" s="287" t="str">
        <f t="shared" si="10"/>
        <v/>
      </c>
      <c r="O61" s="673" t="str">
        <f t="array" ref="O61">IF(N61="","",MAX(IF(A:A=N61,K:K)))</f>
        <v/>
      </c>
    </row>
    <row r="62" spans="1:15" x14ac:dyDescent="0.35">
      <c r="A62" s="287">
        <f t="shared" si="3"/>
        <v>8</v>
      </c>
      <c r="B62" s="288">
        <v>55</v>
      </c>
      <c r="C62" s="667">
        <f>IF('User Dashboard'!Z$12=5,
IF('SIR Model Patient Calcs'!B62&lt;'User Dashboard'!AJ$15,'User Dashboard'!AN$14,
IF('SIR Model Patient Calcs'!B62&lt;'User Dashboard'!AJ$16,'User Dashboard'!AN$15,
IF('SIR Model Patient Calcs'!B62&lt;'User Dashboard'!AJ$17,'User Dashboard'!AN$16,
IF('SIR Model Patient Calcs'!B62&lt;'User Dashboard'!AJ$18,'User Dashboard'!AN$17,
'User Dashboard'!AN$18)))),
IF('User Dashboard'!Z$12=4,
IF('SIR Model Patient Calcs'!B62&lt;'User Dashboard'!AJ$15,'User Dashboard'!AN$14,
IF('SIR Model Patient Calcs'!B62&lt;'User Dashboard'!AJ$16,'User Dashboard'!AN$15,
IF('SIR Model Patient Calcs'!B62&lt;'User Dashboard'!AJ$17,'User Dashboard'!AN$16,
'User Dashboard'!AN$17))),
IF('User Dashboard'!Z$12=3,
IF('SIR Model Patient Calcs'!B62&lt;'User Dashboard'!AJ$15,'User Dashboard'!AN$14,
IF('SIR Model Patient Calcs'!B62&lt;'User Dashboard'!AJ$16,'User Dashboard'!AN$15,
'User Dashboard'!AN$16)),
IF('User Dashboard'!Z$12=2,
IF('SIR Model Patient Calcs'!B62&lt;'User Dashboard'!AJ$15,'User Dashboard'!AN$14,
'User Dashboard'!AN$15),
IF('User Dashboard'!Z$12=1,
'User Dashboard'!AN$14)))))</f>
        <v>15.209356603107825</v>
      </c>
      <c r="D62" s="668">
        <f>'User Dashboard'!X$16</f>
        <v>2.2072878851804097E-2</v>
      </c>
      <c r="E62" s="660">
        <f t="shared" si="0"/>
        <v>8.9862781521070372E-8</v>
      </c>
      <c r="F62" s="660">
        <f t="shared" si="8"/>
        <v>8.9862781521070385E-8</v>
      </c>
      <c r="G62" s="670">
        <f>1/'User Dashboard'!X$12</f>
        <v>0.14285714285714285</v>
      </c>
      <c r="H62" s="359">
        <f t="shared" si="1"/>
        <v>3716027.0538895787</v>
      </c>
      <c r="I62" s="672">
        <f t="shared" si="4"/>
        <v>11369.926298003469</v>
      </c>
      <c r="J62" s="673">
        <f t="shared" si="2"/>
        <v>8457.619812416815</v>
      </c>
      <c r="K62" s="359">
        <f t="shared" si="5"/>
        <v>19827.546110420284</v>
      </c>
      <c r="L62" s="673">
        <f t="shared" si="9"/>
        <v>3189.666246051318</v>
      </c>
      <c r="N62" s="287" t="str">
        <f t="shared" si="10"/>
        <v/>
      </c>
      <c r="O62" s="673" t="str">
        <f t="array" ref="O62">IF(N62="","",MAX(IF(A:A=N62,K:K)))</f>
        <v/>
      </c>
    </row>
    <row r="63" spans="1:15" x14ac:dyDescent="0.35">
      <c r="A63" s="287">
        <f t="shared" si="3"/>
        <v>8</v>
      </c>
      <c r="B63" s="288">
        <v>56</v>
      </c>
      <c r="C63" s="667">
        <f>IF('User Dashboard'!Z$12=5,
IF('SIR Model Patient Calcs'!B63&lt;'User Dashboard'!AJ$15,'User Dashboard'!AN$14,
IF('SIR Model Patient Calcs'!B63&lt;'User Dashboard'!AJ$16,'User Dashboard'!AN$15,
IF('SIR Model Patient Calcs'!B63&lt;'User Dashboard'!AJ$17,'User Dashboard'!AN$16,
IF('SIR Model Patient Calcs'!B63&lt;'User Dashboard'!AJ$18,'User Dashboard'!AN$17,
'User Dashboard'!AN$18)))),
IF('User Dashboard'!Z$12=4,
IF('SIR Model Patient Calcs'!B63&lt;'User Dashboard'!AJ$15,'User Dashboard'!AN$14,
IF('SIR Model Patient Calcs'!B63&lt;'User Dashboard'!AJ$16,'User Dashboard'!AN$15,
IF('SIR Model Patient Calcs'!B63&lt;'User Dashboard'!AJ$17,'User Dashboard'!AN$16,
'User Dashboard'!AN$17))),
IF('User Dashboard'!Z$12=3,
IF('SIR Model Patient Calcs'!B63&lt;'User Dashboard'!AJ$15,'User Dashboard'!AN$14,
IF('SIR Model Patient Calcs'!B63&lt;'User Dashboard'!AJ$16,'User Dashboard'!AN$15,
'User Dashboard'!AN$16)),
IF('User Dashboard'!Z$12=2,
IF('SIR Model Patient Calcs'!B63&lt;'User Dashboard'!AJ$15,'User Dashboard'!AN$14,
'User Dashboard'!AN$15),
IF('User Dashboard'!Z$12=1,
'User Dashboard'!AN$14)))))</f>
        <v>15.209356603107825</v>
      </c>
      <c r="D63" s="668">
        <f>'User Dashboard'!X$16</f>
        <v>2.2072878851804097E-2</v>
      </c>
      <c r="E63" s="660">
        <f t="shared" si="0"/>
        <v>8.9862781521070372E-8</v>
      </c>
      <c r="F63" s="660">
        <f t="shared" si="8"/>
        <v>8.9862781521070372E-8</v>
      </c>
      <c r="G63" s="670">
        <f>1/'User Dashboard'!X$12</f>
        <v>0.14285714285714285</v>
      </c>
      <c r="H63" s="359">
        <f t="shared" si="1"/>
        <v>3712230.2656660122</v>
      </c>
      <c r="I63" s="672">
        <f t="shared" si="4"/>
        <v>13542.439336141088</v>
      </c>
      <c r="J63" s="673">
        <f t="shared" si="2"/>
        <v>10081.894997845882</v>
      </c>
      <c r="K63" s="359">
        <f t="shared" si="5"/>
        <v>23624.334333986968</v>
      </c>
      <c r="L63" s="673">
        <f t="shared" si="9"/>
        <v>3796.7882235666839</v>
      </c>
      <c r="N63" s="287" t="str">
        <f t="shared" si="10"/>
        <v/>
      </c>
      <c r="O63" s="673" t="str">
        <f t="array" ref="O63">IF(N63="","",MAX(IF(A:A=N63,K:K)))</f>
        <v/>
      </c>
    </row>
    <row r="64" spans="1:15" x14ac:dyDescent="0.35">
      <c r="A64" s="287">
        <f t="shared" si="3"/>
        <v>9</v>
      </c>
      <c r="B64" s="288">
        <v>57</v>
      </c>
      <c r="C64" s="667">
        <f>IF('User Dashboard'!Z$12=5,
IF('SIR Model Patient Calcs'!B64&lt;'User Dashboard'!AJ$15,'User Dashboard'!AN$14,
IF('SIR Model Patient Calcs'!B64&lt;'User Dashboard'!AJ$16,'User Dashboard'!AN$15,
IF('SIR Model Patient Calcs'!B64&lt;'User Dashboard'!AJ$17,'User Dashboard'!AN$16,
IF('SIR Model Patient Calcs'!B64&lt;'User Dashboard'!AJ$18,'User Dashboard'!AN$17,
'User Dashboard'!AN$18)))),
IF('User Dashboard'!Z$12=4,
IF('SIR Model Patient Calcs'!B64&lt;'User Dashboard'!AJ$15,'User Dashboard'!AN$14,
IF('SIR Model Patient Calcs'!B64&lt;'User Dashboard'!AJ$16,'User Dashboard'!AN$15,
IF('SIR Model Patient Calcs'!B64&lt;'User Dashboard'!AJ$17,'User Dashboard'!AN$16,
'User Dashboard'!AN$17))),
IF('User Dashboard'!Z$12=3,
IF('SIR Model Patient Calcs'!B64&lt;'User Dashboard'!AJ$15,'User Dashboard'!AN$14,
IF('SIR Model Patient Calcs'!B64&lt;'User Dashboard'!AJ$16,'User Dashboard'!AN$15,
'User Dashboard'!AN$16)),
IF('User Dashboard'!Z$12=2,
IF('SIR Model Patient Calcs'!B64&lt;'User Dashboard'!AJ$15,'User Dashboard'!AN$14,
'User Dashboard'!AN$15),
IF('User Dashboard'!Z$12=1,
'User Dashboard'!AN$14)))))</f>
        <v>15.209356603107825</v>
      </c>
      <c r="D64" s="668">
        <f>'User Dashboard'!X$16</f>
        <v>2.2072878851804097E-2</v>
      </c>
      <c r="E64" s="660">
        <f t="shared" si="0"/>
        <v>8.9862781521070372E-8</v>
      </c>
      <c r="F64" s="660">
        <f t="shared" si="8"/>
        <v>8.9862781521070372E-8</v>
      </c>
      <c r="G64" s="670">
        <f>1/'User Dashboard'!X$12</f>
        <v>0.14285714285714285</v>
      </c>
      <c r="H64" s="359">
        <f t="shared" si="1"/>
        <v>3707712.6252173013</v>
      </c>
      <c r="I64" s="672">
        <f t="shared" si="4"/>
        <v>16125.445593974619</v>
      </c>
      <c r="J64" s="673">
        <f t="shared" si="2"/>
        <v>12016.52918872318</v>
      </c>
      <c r="K64" s="359">
        <f t="shared" si="5"/>
        <v>28141.974782697798</v>
      </c>
      <c r="L64" s="673">
        <f t="shared" si="9"/>
        <v>4517.6404487108302</v>
      </c>
      <c r="N64" s="287" t="str">
        <f t="shared" si="10"/>
        <v/>
      </c>
      <c r="O64" s="673" t="str">
        <f t="array" ref="O64">IF(N64="","",MAX(IF(A:A=N64,K:K)))</f>
        <v/>
      </c>
    </row>
    <row r="65" spans="1:15" x14ac:dyDescent="0.35">
      <c r="A65" s="287">
        <f t="shared" si="3"/>
        <v>9</v>
      </c>
      <c r="B65" s="288">
        <v>58</v>
      </c>
      <c r="C65" s="667">
        <f>IF('User Dashboard'!Z$12=5,
IF('SIR Model Patient Calcs'!B65&lt;'User Dashboard'!AJ$15,'User Dashboard'!AN$14,
IF('SIR Model Patient Calcs'!B65&lt;'User Dashboard'!AJ$16,'User Dashboard'!AN$15,
IF('SIR Model Patient Calcs'!B65&lt;'User Dashboard'!AJ$17,'User Dashboard'!AN$16,
IF('SIR Model Patient Calcs'!B65&lt;'User Dashboard'!AJ$18,'User Dashboard'!AN$17,
'User Dashboard'!AN$18)))),
IF('User Dashboard'!Z$12=4,
IF('SIR Model Patient Calcs'!B65&lt;'User Dashboard'!AJ$15,'User Dashboard'!AN$14,
IF('SIR Model Patient Calcs'!B65&lt;'User Dashboard'!AJ$16,'User Dashboard'!AN$15,
IF('SIR Model Patient Calcs'!B65&lt;'User Dashboard'!AJ$17,'User Dashboard'!AN$16,
'User Dashboard'!AN$17))),
IF('User Dashboard'!Z$12=3,
IF('SIR Model Patient Calcs'!B65&lt;'User Dashboard'!AJ$15,'User Dashboard'!AN$14,
IF('SIR Model Patient Calcs'!B65&lt;'User Dashboard'!AJ$16,'User Dashboard'!AN$15,
'User Dashboard'!AN$16)),
IF('User Dashboard'!Z$12=2,
IF('SIR Model Patient Calcs'!B65&lt;'User Dashboard'!AJ$15,'User Dashboard'!AN$14,
'User Dashboard'!AN$15),
IF('User Dashboard'!Z$12=1,
'User Dashboard'!AN$14)))))</f>
        <v>15.209356603107825</v>
      </c>
      <c r="D65" s="668">
        <f>'User Dashboard'!X$16</f>
        <v>2.2072878851804097E-2</v>
      </c>
      <c r="E65" s="660">
        <f t="shared" si="0"/>
        <v>8.9862781521070372E-8</v>
      </c>
      <c r="F65" s="660">
        <f t="shared" si="8"/>
        <v>8.9862781521070385E-8</v>
      </c>
      <c r="G65" s="670">
        <f>1/'User Dashboard'!X$12</f>
        <v>0.14285714285714285</v>
      </c>
      <c r="H65" s="359">
        <f t="shared" si="1"/>
        <v>3702339.8626673855</v>
      </c>
      <c r="I65" s="672">
        <f t="shared" si="4"/>
        <v>19194.573059037139</v>
      </c>
      <c r="J65" s="673">
        <f t="shared" si="2"/>
        <v>14320.164273576696</v>
      </c>
      <c r="K65" s="359">
        <f t="shared" si="5"/>
        <v>33514.737332613833</v>
      </c>
      <c r="L65" s="673">
        <f t="shared" si="9"/>
        <v>5372.7625499160349</v>
      </c>
      <c r="N65" s="287" t="str">
        <f t="shared" si="10"/>
        <v/>
      </c>
      <c r="O65" s="673" t="str">
        <f t="array" ref="O65">IF(N65="","",MAX(IF(A:A=N65,K:K)))</f>
        <v/>
      </c>
    </row>
    <row r="66" spans="1:15" x14ac:dyDescent="0.35">
      <c r="A66" s="287">
        <f t="shared" si="3"/>
        <v>9</v>
      </c>
      <c r="B66" s="288">
        <v>59</v>
      </c>
      <c r="C66" s="667">
        <f>IF('User Dashboard'!Z$12=5,
IF('SIR Model Patient Calcs'!B66&lt;'User Dashboard'!AJ$15,'User Dashboard'!AN$14,
IF('SIR Model Patient Calcs'!B66&lt;'User Dashboard'!AJ$16,'User Dashboard'!AN$15,
IF('SIR Model Patient Calcs'!B66&lt;'User Dashboard'!AJ$17,'User Dashboard'!AN$16,
IF('SIR Model Patient Calcs'!B66&lt;'User Dashboard'!AJ$18,'User Dashboard'!AN$17,
'User Dashboard'!AN$18)))),
IF('User Dashboard'!Z$12=4,
IF('SIR Model Patient Calcs'!B66&lt;'User Dashboard'!AJ$15,'User Dashboard'!AN$14,
IF('SIR Model Patient Calcs'!B66&lt;'User Dashboard'!AJ$16,'User Dashboard'!AN$15,
IF('SIR Model Patient Calcs'!B66&lt;'User Dashboard'!AJ$17,'User Dashboard'!AN$16,
'User Dashboard'!AN$17))),
IF('User Dashboard'!Z$12=3,
IF('SIR Model Patient Calcs'!B66&lt;'User Dashboard'!AJ$15,'User Dashboard'!AN$14,
IF('SIR Model Patient Calcs'!B66&lt;'User Dashboard'!AJ$16,'User Dashboard'!AN$15,
'User Dashboard'!AN$16)),
IF('User Dashboard'!Z$12=2,
IF('SIR Model Patient Calcs'!B66&lt;'User Dashboard'!AJ$15,'User Dashboard'!AN$14,
'User Dashboard'!AN$15),
IF('User Dashboard'!Z$12=1,
'User Dashboard'!AN$14)))))</f>
        <v>15.209356603107825</v>
      </c>
      <c r="D66" s="668">
        <f>'User Dashboard'!X$16</f>
        <v>2.2072878851804097E-2</v>
      </c>
      <c r="E66" s="660">
        <f t="shared" si="0"/>
        <v>8.9862781521070372E-8</v>
      </c>
      <c r="F66" s="660">
        <f t="shared" si="8"/>
        <v>8.9862781521070385E-8</v>
      </c>
      <c r="G66" s="670">
        <f>1/'User Dashboard'!X$12</f>
        <v>0.14285714285714285</v>
      </c>
      <c r="H66" s="359">
        <f t="shared" si="1"/>
        <v>3695953.7791071711</v>
      </c>
      <c r="I66" s="672">
        <f t="shared" si="4"/>
        <v>22838.574753674962</v>
      </c>
      <c r="J66" s="673">
        <f t="shared" si="2"/>
        <v>17062.246139153431</v>
      </c>
      <c r="K66" s="359">
        <f t="shared" si="5"/>
        <v>39900.820892828393</v>
      </c>
      <c r="L66" s="673">
        <f t="shared" si="9"/>
        <v>6386.0835602145598</v>
      </c>
      <c r="N66" s="287" t="str">
        <f t="shared" si="10"/>
        <v/>
      </c>
      <c r="O66" s="673" t="str">
        <f t="array" ref="O66">IF(N66="","",MAX(IF(A:A=N66,K:K)))</f>
        <v/>
      </c>
    </row>
    <row r="67" spans="1:15" x14ac:dyDescent="0.35">
      <c r="A67" s="287">
        <f t="shared" si="3"/>
        <v>9</v>
      </c>
      <c r="B67" s="288">
        <v>60</v>
      </c>
      <c r="C67" s="667">
        <f>IF('User Dashboard'!Z$12=5,
IF('SIR Model Patient Calcs'!B67&lt;'User Dashboard'!AJ$15,'User Dashboard'!AN$14,
IF('SIR Model Patient Calcs'!B67&lt;'User Dashboard'!AJ$16,'User Dashboard'!AN$15,
IF('SIR Model Patient Calcs'!B67&lt;'User Dashboard'!AJ$17,'User Dashboard'!AN$16,
IF('SIR Model Patient Calcs'!B67&lt;'User Dashboard'!AJ$18,'User Dashboard'!AN$17,
'User Dashboard'!AN$18)))),
IF('User Dashboard'!Z$12=4,
IF('SIR Model Patient Calcs'!B67&lt;'User Dashboard'!AJ$15,'User Dashboard'!AN$14,
IF('SIR Model Patient Calcs'!B67&lt;'User Dashboard'!AJ$16,'User Dashboard'!AN$15,
IF('SIR Model Patient Calcs'!B67&lt;'User Dashboard'!AJ$17,'User Dashboard'!AN$16,
'User Dashboard'!AN$17))),
IF('User Dashboard'!Z$12=3,
IF('SIR Model Patient Calcs'!B67&lt;'User Dashboard'!AJ$15,'User Dashboard'!AN$14,
IF('SIR Model Patient Calcs'!B67&lt;'User Dashboard'!AJ$16,'User Dashboard'!AN$15,
'User Dashboard'!AN$16)),
IF('User Dashboard'!Z$12=2,
IF('SIR Model Patient Calcs'!B67&lt;'User Dashboard'!AJ$15,'User Dashboard'!AN$14,
'User Dashboard'!AN$15),
IF('User Dashboard'!Z$12=1,
'User Dashboard'!AN$14)))))</f>
        <v>15.209356603107825</v>
      </c>
      <c r="D67" s="668">
        <f>'User Dashboard'!X$16</f>
        <v>2.2072878851804097E-2</v>
      </c>
      <c r="E67" s="660">
        <f t="shared" si="0"/>
        <v>8.9862781521070372E-8</v>
      </c>
      <c r="F67" s="660">
        <f t="shared" si="8"/>
        <v>8.9862781521070385E-8</v>
      </c>
      <c r="G67" s="670">
        <f>1/'User Dashboard'!X$12</f>
        <v>0.14285714285714285</v>
      </c>
      <c r="H67" s="359">
        <f t="shared" si="1"/>
        <v>3688368.4332621065</v>
      </c>
      <c r="I67" s="672">
        <f t="shared" si="4"/>
        <v>27161.267062500214</v>
      </c>
      <c r="J67" s="673">
        <f t="shared" si="2"/>
        <v>20324.899675392709</v>
      </c>
      <c r="K67" s="359">
        <f t="shared" si="5"/>
        <v>47486.166737892927</v>
      </c>
      <c r="L67" s="673">
        <f t="shared" si="9"/>
        <v>7585.3458450645339</v>
      </c>
      <c r="N67" s="287" t="str">
        <f t="shared" si="10"/>
        <v/>
      </c>
      <c r="O67" s="673" t="str">
        <f t="array" ref="O67">IF(N67="","",MAX(IF(A:A=N67,K:K)))</f>
        <v/>
      </c>
    </row>
    <row r="68" spans="1:15" x14ac:dyDescent="0.35">
      <c r="A68" s="287">
        <f t="shared" si="3"/>
        <v>9</v>
      </c>
      <c r="B68" s="288">
        <v>61</v>
      </c>
      <c r="C68" s="667">
        <f>IF('User Dashboard'!Z$12=5,
IF('SIR Model Patient Calcs'!B68&lt;'User Dashboard'!AJ$15,'User Dashboard'!AN$14,
IF('SIR Model Patient Calcs'!B68&lt;'User Dashboard'!AJ$16,'User Dashboard'!AN$15,
IF('SIR Model Patient Calcs'!B68&lt;'User Dashboard'!AJ$17,'User Dashboard'!AN$16,
IF('SIR Model Patient Calcs'!B68&lt;'User Dashboard'!AJ$18,'User Dashboard'!AN$17,
'User Dashboard'!AN$18)))),
IF('User Dashboard'!Z$12=4,
IF('SIR Model Patient Calcs'!B68&lt;'User Dashboard'!AJ$15,'User Dashboard'!AN$14,
IF('SIR Model Patient Calcs'!B68&lt;'User Dashboard'!AJ$16,'User Dashboard'!AN$15,
IF('SIR Model Patient Calcs'!B68&lt;'User Dashboard'!AJ$17,'User Dashboard'!AN$16,
'User Dashboard'!AN$17))),
IF('User Dashboard'!Z$12=3,
IF('SIR Model Patient Calcs'!B68&lt;'User Dashboard'!AJ$15,'User Dashboard'!AN$14,
IF('SIR Model Patient Calcs'!B68&lt;'User Dashboard'!AJ$16,'User Dashboard'!AN$15,
'User Dashboard'!AN$16)),
IF('User Dashboard'!Z$12=2,
IF('SIR Model Patient Calcs'!B68&lt;'User Dashboard'!AJ$15,'User Dashboard'!AN$14,
'User Dashboard'!AN$15),
IF('User Dashboard'!Z$12=1,
'User Dashboard'!AN$14)))))</f>
        <v>15.209356603107825</v>
      </c>
      <c r="D68" s="668">
        <f>'User Dashboard'!X$16</f>
        <v>2.2072878851804097E-2</v>
      </c>
      <c r="E68" s="660">
        <f t="shared" si="0"/>
        <v>8.9862781521070372E-8</v>
      </c>
      <c r="F68" s="660">
        <f t="shared" si="8"/>
        <v>8.9862781521070372E-8</v>
      </c>
      <c r="G68" s="670">
        <f>1/'User Dashboard'!X$12</f>
        <v>0.14285714285714285</v>
      </c>
      <c r="H68" s="359">
        <f t="shared" si="1"/>
        <v>3679365.911509952</v>
      </c>
      <c r="I68" s="672">
        <f t="shared" si="4"/>
        <v>32283.607805726293</v>
      </c>
      <c r="J68" s="673">
        <f t="shared" si="2"/>
        <v>24205.08068432131</v>
      </c>
      <c r="K68" s="359">
        <f t="shared" si="5"/>
        <v>56488.6884900476</v>
      </c>
      <c r="L68" s="673">
        <f t="shared" si="9"/>
        <v>9002.5217521546729</v>
      </c>
      <c r="N68" s="287" t="str">
        <f t="shared" si="10"/>
        <v/>
      </c>
      <c r="O68" s="673" t="str">
        <f t="array" ref="O68">IF(N68="","",MAX(IF(A:A=N68,K:K)))</f>
        <v/>
      </c>
    </row>
    <row r="69" spans="1:15" x14ac:dyDescent="0.35">
      <c r="A69" s="287">
        <f t="shared" si="3"/>
        <v>9</v>
      </c>
      <c r="B69" s="288">
        <v>62</v>
      </c>
      <c r="C69" s="667">
        <f>IF('User Dashboard'!Z$12=5,
IF('SIR Model Patient Calcs'!B69&lt;'User Dashboard'!AJ$15,'User Dashboard'!AN$14,
IF('SIR Model Patient Calcs'!B69&lt;'User Dashboard'!AJ$16,'User Dashboard'!AN$15,
IF('SIR Model Patient Calcs'!B69&lt;'User Dashboard'!AJ$17,'User Dashboard'!AN$16,
IF('SIR Model Patient Calcs'!B69&lt;'User Dashboard'!AJ$18,'User Dashboard'!AN$17,
'User Dashboard'!AN$18)))),
IF('User Dashboard'!Z$12=4,
IF('SIR Model Patient Calcs'!B69&lt;'User Dashboard'!AJ$15,'User Dashboard'!AN$14,
IF('SIR Model Patient Calcs'!B69&lt;'User Dashboard'!AJ$16,'User Dashboard'!AN$15,
IF('SIR Model Patient Calcs'!B69&lt;'User Dashboard'!AJ$17,'User Dashboard'!AN$16,
'User Dashboard'!AN$17))),
IF('User Dashboard'!Z$12=3,
IF('SIR Model Patient Calcs'!B69&lt;'User Dashboard'!AJ$15,'User Dashboard'!AN$14,
IF('SIR Model Patient Calcs'!B69&lt;'User Dashboard'!AJ$16,'User Dashboard'!AN$15,
'User Dashboard'!AN$16)),
IF('User Dashboard'!Z$12=2,
IF('SIR Model Patient Calcs'!B69&lt;'User Dashboard'!AJ$15,'User Dashboard'!AN$14,
'User Dashboard'!AN$15),
IF('User Dashboard'!Z$12=1,
'User Dashboard'!AN$14)))))</f>
        <v>15.209356603107825</v>
      </c>
      <c r="D69" s="668">
        <f>'User Dashboard'!X$16</f>
        <v>2.2072878851804097E-2</v>
      </c>
      <c r="E69" s="660">
        <f t="shared" si="0"/>
        <v>8.9862781521070372E-8</v>
      </c>
      <c r="F69" s="660">
        <f t="shared" si="8"/>
        <v>8.9862781521070372E-8</v>
      </c>
      <c r="G69" s="670">
        <f>1/'User Dashboard'!X$12</f>
        <v>0.14285714285714285</v>
      </c>
      <c r="H69" s="359">
        <f t="shared" si="1"/>
        <v>3668691.7222153251</v>
      </c>
      <c r="I69" s="672">
        <f t="shared" si="4"/>
        <v>38345.853128106748</v>
      </c>
      <c r="J69" s="673">
        <f t="shared" si="2"/>
        <v>28817.024656567923</v>
      </c>
      <c r="K69" s="359">
        <f t="shared" si="5"/>
        <v>67162.877784674667</v>
      </c>
      <c r="L69" s="673">
        <f t="shared" si="9"/>
        <v>10674.189294627067</v>
      </c>
      <c r="N69" s="287" t="str">
        <f t="shared" si="10"/>
        <v/>
      </c>
      <c r="O69" s="673" t="str">
        <f t="array" ref="O69">IF(N69="","",MAX(IF(A:A=N69,K:K)))</f>
        <v/>
      </c>
    </row>
    <row r="70" spans="1:15" x14ac:dyDescent="0.35">
      <c r="A70" s="287">
        <f t="shared" si="3"/>
        <v>9</v>
      </c>
      <c r="B70" s="288">
        <v>63</v>
      </c>
      <c r="C70" s="667">
        <f>IF('User Dashboard'!Z$12=5,
IF('SIR Model Patient Calcs'!B70&lt;'User Dashboard'!AJ$15,'User Dashboard'!AN$14,
IF('SIR Model Patient Calcs'!B70&lt;'User Dashboard'!AJ$16,'User Dashboard'!AN$15,
IF('SIR Model Patient Calcs'!B70&lt;'User Dashboard'!AJ$17,'User Dashboard'!AN$16,
IF('SIR Model Patient Calcs'!B70&lt;'User Dashboard'!AJ$18,'User Dashboard'!AN$17,
'User Dashboard'!AN$18)))),
IF('User Dashboard'!Z$12=4,
IF('SIR Model Patient Calcs'!B70&lt;'User Dashboard'!AJ$15,'User Dashboard'!AN$14,
IF('SIR Model Patient Calcs'!B70&lt;'User Dashboard'!AJ$16,'User Dashboard'!AN$15,
IF('SIR Model Patient Calcs'!B70&lt;'User Dashboard'!AJ$17,'User Dashboard'!AN$16,
'User Dashboard'!AN$17))),
IF('User Dashboard'!Z$12=3,
IF('SIR Model Patient Calcs'!B70&lt;'User Dashboard'!AJ$15,'User Dashboard'!AN$14,
IF('SIR Model Patient Calcs'!B70&lt;'User Dashboard'!AJ$16,'User Dashboard'!AN$15,
'User Dashboard'!AN$16)),
IF('User Dashboard'!Z$12=2,
IF('SIR Model Patient Calcs'!B70&lt;'User Dashboard'!AJ$15,'User Dashboard'!AN$14,
'User Dashboard'!AN$15),
IF('User Dashboard'!Z$12=1,
'User Dashboard'!AN$14)))))</f>
        <v>15.209356603107825</v>
      </c>
      <c r="D70" s="668">
        <f>'User Dashboard'!X$16</f>
        <v>2.2072878851804097E-2</v>
      </c>
      <c r="E70" s="660">
        <f t="shared" si="0"/>
        <v>8.9862781521070372E-8</v>
      </c>
      <c r="F70" s="660">
        <f t="shared" si="8"/>
        <v>8.9862781521070372E-8</v>
      </c>
      <c r="G70" s="670">
        <f>1/'User Dashboard'!X$12</f>
        <v>0.14285714285714285</v>
      </c>
      <c r="H70" s="359">
        <f t="shared" si="1"/>
        <v>3656049.9057336454</v>
      </c>
      <c r="I70" s="672">
        <f t="shared" si="4"/>
        <v>45509.690591485363</v>
      </c>
      <c r="J70" s="673">
        <f t="shared" si="2"/>
        <v>34295.003674868887</v>
      </c>
      <c r="K70" s="359">
        <f t="shared" si="5"/>
        <v>79804.694266354258</v>
      </c>
      <c r="L70" s="673">
        <f t="shared" si="9"/>
        <v>12641.816481679591</v>
      </c>
      <c r="N70" s="287" t="str">
        <f t="shared" si="10"/>
        <v/>
      </c>
      <c r="O70" s="673" t="str">
        <f t="array" ref="O70">IF(N70="","",MAX(IF(A:A=N70,K:K)))</f>
        <v/>
      </c>
    </row>
    <row r="71" spans="1:15" x14ac:dyDescent="0.35">
      <c r="A71" s="287">
        <f t="shared" si="3"/>
        <v>10</v>
      </c>
      <c r="B71" s="288">
        <v>64</v>
      </c>
      <c r="C71" s="667">
        <f>IF('User Dashboard'!Z$12=5,
IF('SIR Model Patient Calcs'!B71&lt;'User Dashboard'!AJ$15,'User Dashboard'!AN$14,
IF('SIR Model Patient Calcs'!B71&lt;'User Dashboard'!AJ$16,'User Dashboard'!AN$15,
IF('SIR Model Patient Calcs'!B71&lt;'User Dashboard'!AJ$17,'User Dashboard'!AN$16,
IF('SIR Model Patient Calcs'!B71&lt;'User Dashboard'!AJ$18,'User Dashboard'!AN$17,
'User Dashboard'!AN$18)))),
IF('User Dashboard'!Z$12=4,
IF('SIR Model Patient Calcs'!B71&lt;'User Dashboard'!AJ$15,'User Dashboard'!AN$14,
IF('SIR Model Patient Calcs'!B71&lt;'User Dashboard'!AJ$16,'User Dashboard'!AN$15,
IF('SIR Model Patient Calcs'!B71&lt;'User Dashboard'!AJ$17,'User Dashboard'!AN$16,
'User Dashboard'!AN$17))),
IF('User Dashboard'!Z$12=3,
IF('SIR Model Patient Calcs'!B71&lt;'User Dashboard'!AJ$15,'User Dashboard'!AN$14,
IF('SIR Model Patient Calcs'!B71&lt;'User Dashboard'!AJ$16,'User Dashboard'!AN$15,
'User Dashboard'!AN$16)),
IF('User Dashboard'!Z$12=2,
IF('SIR Model Patient Calcs'!B71&lt;'User Dashboard'!AJ$15,'User Dashboard'!AN$14,
'User Dashboard'!AN$15),
IF('User Dashboard'!Z$12=1,
'User Dashboard'!AN$14)))))</f>
        <v>15.209356603107825</v>
      </c>
      <c r="D71" s="668">
        <f>'User Dashboard'!X$16</f>
        <v>2.2072878851804097E-2</v>
      </c>
      <c r="E71" s="660">
        <f t="shared" ref="E71:E134" si="11">(C71*D71)/SUM(H71:J71)</f>
        <v>8.9862781521070372E-8</v>
      </c>
      <c r="F71" s="660">
        <f t="shared" si="8"/>
        <v>8.9862781521070372E-8</v>
      </c>
      <c r="G71" s="670">
        <f>1/'User Dashboard'!X$12</f>
        <v>0.14285714285714285</v>
      </c>
      <c r="H71" s="359">
        <f t="shared" si="1"/>
        <v>3641098.0239265878</v>
      </c>
      <c r="I71" s="672">
        <f t="shared" si="4"/>
        <v>53960.188028331017</v>
      </c>
      <c r="J71" s="673">
        <f t="shared" si="2"/>
        <v>40796.388045081083</v>
      </c>
      <c r="K71" s="359">
        <f t="shared" si="5"/>
        <v>94756.5760734121</v>
      </c>
      <c r="L71" s="673">
        <f t="shared" si="9"/>
        <v>14951.881807057842</v>
      </c>
      <c r="N71" s="287" t="str">
        <f t="shared" si="10"/>
        <v/>
      </c>
      <c r="O71" s="673" t="str">
        <f t="array" ref="O71">IF(N71="","",MAX(IF(A:A=N71,K:K)))</f>
        <v/>
      </c>
    </row>
    <row r="72" spans="1:15" x14ac:dyDescent="0.35">
      <c r="A72" s="287">
        <f t="shared" si="3"/>
        <v>10</v>
      </c>
      <c r="B72" s="288">
        <v>65</v>
      </c>
      <c r="C72" s="667">
        <f>IF('User Dashboard'!Z$12=5,
IF('SIR Model Patient Calcs'!B72&lt;'User Dashboard'!AJ$15,'User Dashboard'!AN$14,
IF('SIR Model Patient Calcs'!B72&lt;'User Dashboard'!AJ$16,'User Dashboard'!AN$15,
IF('SIR Model Patient Calcs'!B72&lt;'User Dashboard'!AJ$17,'User Dashboard'!AN$16,
IF('SIR Model Patient Calcs'!B72&lt;'User Dashboard'!AJ$18,'User Dashboard'!AN$17,
'User Dashboard'!AN$18)))),
IF('User Dashboard'!Z$12=4,
IF('SIR Model Patient Calcs'!B72&lt;'User Dashboard'!AJ$15,'User Dashboard'!AN$14,
IF('SIR Model Patient Calcs'!B72&lt;'User Dashboard'!AJ$16,'User Dashboard'!AN$15,
IF('SIR Model Patient Calcs'!B72&lt;'User Dashboard'!AJ$17,'User Dashboard'!AN$16,
'User Dashboard'!AN$17))),
IF('User Dashboard'!Z$12=3,
IF('SIR Model Patient Calcs'!B72&lt;'User Dashboard'!AJ$15,'User Dashboard'!AN$14,
IF('SIR Model Patient Calcs'!B72&lt;'User Dashboard'!AJ$16,'User Dashboard'!AN$15,
'User Dashboard'!AN$16)),
IF('User Dashboard'!Z$12=2,
IF('SIR Model Patient Calcs'!B72&lt;'User Dashboard'!AJ$15,'User Dashboard'!AN$14,
'User Dashboard'!AN$15),
IF('User Dashboard'!Z$12=1,
'User Dashboard'!AN$14)))))</f>
        <v>15.209356603107825</v>
      </c>
      <c r="D72" s="668">
        <f>'User Dashboard'!X$16</f>
        <v>2.2072878851804097E-2</v>
      </c>
      <c r="E72" s="660">
        <f t="shared" si="11"/>
        <v>8.9862781521070358E-8</v>
      </c>
      <c r="F72" s="660">
        <f t="shared" si="8"/>
        <v>8.9862781521070372E-8</v>
      </c>
      <c r="G72" s="670">
        <f>1/'User Dashboard'!X$12</f>
        <v>0.14285714285714285</v>
      </c>
      <c r="H72" s="359">
        <f t="shared" ref="H72:H135" si="12">-MIN(F71*I71,1)*H71+H71</f>
        <v>3623442.2937757885</v>
      </c>
      <c r="I72" s="672">
        <f t="shared" si="4"/>
        <v>63907.319889368853</v>
      </c>
      <c r="J72" s="673">
        <f t="shared" ref="J72:J135" si="13">G71*I71+J71</f>
        <v>48504.986334842659</v>
      </c>
      <c r="K72" s="359">
        <f t="shared" si="5"/>
        <v>112412.30622421151</v>
      </c>
      <c r="L72" s="673">
        <f t="shared" si="9"/>
        <v>17655.730150799413</v>
      </c>
      <c r="N72" s="287" t="str">
        <f t="shared" si="10"/>
        <v/>
      </c>
      <c r="O72" s="673" t="str">
        <f t="array" ref="O72">IF(N72="","",MAX(IF(A:A=N72,K:K)))</f>
        <v/>
      </c>
    </row>
    <row r="73" spans="1:15" x14ac:dyDescent="0.35">
      <c r="A73" s="287">
        <f t="shared" ref="A73:A136" si="14">IF(AND(IF(L73&lt;1,0,1)*ROUNDUP(B73/7,0)=0,B73&lt;&gt;0),"",IF(L73&lt;1,0,1)*ROUNDUP(B73/7,0))</f>
        <v>10</v>
      </c>
      <c r="B73" s="288">
        <v>66</v>
      </c>
      <c r="C73" s="667">
        <f>IF('User Dashboard'!Z$12=5,
IF('SIR Model Patient Calcs'!B73&lt;'User Dashboard'!AJ$15,'User Dashboard'!AN$14,
IF('SIR Model Patient Calcs'!B73&lt;'User Dashboard'!AJ$16,'User Dashboard'!AN$15,
IF('SIR Model Patient Calcs'!B73&lt;'User Dashboard'!AJ$17,'User Dashboard'!AN$16,
IF('SIR Model Patient Calcs'!B73&lt;'User Dashboard'!AJ$18,'User Dashboard'!AN$17,
'User Dashboard'!AN$18)))),
IF('User Dashboard'!Z$12=4,
IF('SIR Model Patient Calcs'!B73&lt;'User Dashboard'!AJ$15,'User Dashboard'!AN$14,
IF('SIR Model Patient Calcs'!B73&lt;'User Dashboard'!AJ$16,'User Dashboard'!AN$15,
IF('SIR Model Patient Calcs'!B73&lt;'User Dashboard'!AJ$17,'User Dashboard'!AN$16,
'User Dashboard'!AN$17))),
IF('User Dashboard'!Z$12=3,
IF('SIR Model Patient Calcs'!B73&lt;'User Dashboard'!AJ$15,'User Dashboard'!AN$14,
IF('SIR Model Patient Calcs'!B73&lt;'User Dashboard'!AJ$16,'User Dashboard'!AN$15,
'User Dashboard'!AN$16)),
IF('User Dashboard'!Z$12=2,
IF('SIR Model Patient Calcs'!B73&lt;'User Dashboard'!AJ$15,'User Dashboard'!AN$14,
'User Dashboard'!AN$15),
IF('User Dashboard'!Z$12=1,
'User Dashboard'!AN$14)))))</f>
        <v>15.209356603107825</v>
      </c>
      <c r="D73" s="668">
        <f>'User Dashboard'!X$16</f>
        <v>2.2072878851804097E-2</v>
      </c>
      <c r="E73" s="660">
        <f t="shared" si="11"/>
        <v>8.9862781521070372E-8</v>
      </c>
      <c r="F73" s="660">
        <f t="shared" si="8"/>
        <v>8.9862781521070372E-8</v>
      </c>
      <c r="G73" s="670">
        <f>1/'User Dashboard'!X$12</f>
        <v>0.14285714285714285</v>
      </c>
      <c r="H73" s="359">
        <f t="shared" si="12"/>
        <v>3602633.2649830901</v>
      </c>
      <c r="I73" s="672">
        <f t="shared" ref="I73:I136" si="15">MIN(F72*I72,1)*H72-G72*I72+I72</f>
        <v>75586.731555014616</v>
      </c>
      <c r="J73" s="673">
        <f t="shared" si="13"/>
        <v>57634.603461895349</v>
      </c>
      <c r="K73" s="359">
        <f t="shared" ref="K73:K136" si="16">(I73+J73)</f>
        <v>133221.33501690996</v>
      </c>
      <c r="L73" s="673">
        <f t="shared" ref="L73:L136" si="17">(K73-K72)</f>
        <v>20809.028792698446</v>
      </c>
      <c r="N73" s="287" t="str">
        <f t="shared" si="10"/>
        <v/>
      </c>
      <c r="O73" s="673" t="str">
        <f t="array" ref="O73">IF(N73="","",MAX(IF(A:A=N73,K:K)))</f>
        <v/>
      </c>
    </row>
    <row r="74" spans="1:15" x14ac:dyDescent="0.35">
      <c r="A74" s="287">
        <f t="shared" si="14"/>
        <v>10</v>
      </c>
      <c r="B74" s="288">
        <v>67</v>
      </c>
      <c r="C74" s="667">
        <f>IF('User Dashboard'!Z$12=5,
IF('SIR Model Patient Calcs'!B74&lt;'User Dashboard'!AJ$15,'User Dashboard'!AN$14,
IF('SIR Model Patient Calcs'!B74&lt;'User Dashboard'!AJ$16,'User Dashboard'!AN$15,
IF('SIR Model Patient Calcs'!B74&lt;'User Dashboard'!AJ$17,'User Dashboard'!AN$16,
IF('SIR Model Patient Calcs'!B74&lt;'User Dashboard'!AJ$18,'User Dashboard'!AN$17,
'User Dashboard'!AN$18)))),
IF('User Dashboard'!Z$12=4,
IF('SIR Model Patient Calcs'!B74&lt;'User Dashboard'!AJ$15,'User Dashboard'!AN$14,
IF('SIR Model Patient Calcs'!B74&lt;'User Dashboard'!AJ$16,'User Dashboard'!AN$15,
IF('SIR Model Patient Calcs'!B74&lt;'User Dashboard'!AJ$17,'User Dashboard'!AN$16,
'User Dashboard'!AN$17))),
IF('User Dashboard'!Z$12=3,
IF('SIR Model Patient Calcs'!B74&lt;'User Dashboard'!AJ$15,'User Dashboard'!AN$14,
IF('SIR Model Patient Calcs'!B74&lt;'User Dashboard'!AJ$16,'User Dashboard'!AN$15,
'User Dashboard'!AN$16)),
IF('User Dashboard'!Z$12=2,
IF('SIR Model Patient Calcs'!B74&lt;'User Dashboard'!AJ$15,'User Dashboard'!AN$14,
'User Dashboard'!AN$15),
IF('User Dashboard'!Z$12=1,
'User Dashboard'!AN$14)))))</f>
        <v>15.209356603107825</v>
      </c>
      <c r="D74" s="668">
        <f>'User Dashboard'!X$16</f>
        <v>2.2072878851804097E-2</v>
      </c>
      <c r="E74" s="660">
        <f t="shared" si="11"/>
        <v>8.9862781521070358E-8</v>
      </c>
      <c r="F74" s="660">
        <f t="shared" si="8"/>
        <v>8.9862781521070372E-8</v>
      </c>
      <c r="G74" s="670">
        <f>1/'User Dashboard'!X$12</f>
        <v>0.14285714285714285</v>
      </c>
      <c r="H74" s="359">
        <f t="shared" si="12"/>
        <v>3578162.6165076043</v>
      </c>
      <c r="I74" s="672">
        <f t="shared" si="15"/>
        <v>89259.275522641343</v>
      </c>
      <c r="J74" s="673">
        <f t="shared" si="13"/>
        <v>68432.707969754585</v>
      </c>
      <c r="K74" s="359">
        <f t="shared" si="16"/>
        <v>157691.98349239593</v>
      </c>
      <c r="L74" s="673">
        <f t="shared" si="17"/>
        <v>24470.64847548597</v>
      </c>
      <c r="N74" s="287" t="str">
        <f t="shared" si="10"/>
        <v/>
      </c>
      <c r="O74" s="673" t="str">
        <f t="array" ref="O74">IF(N74="","",MAX(IF(A:A=N74,K:K)))</f>
        <v/>
      </c>
    </row>
    <row r="75" spans="1:15" x14ac:dyDescent="0.35">
      <c r="A75" s="287">
        <f t="shared" si="14"/>
        <v>10</v>
      </c>
      <c r="B75" s="288">
        <v>68</v>
      </c>
      <c r="C75" s="667">
        <f>IF('User Dashboard'!Z$12=5,
IF('SIR Model Patient Calcs'!B75&lt;'User Dashboard'!AJ$15,'User Dashboard'!AN$14,
IF('SIR Model Patient Calcs'!B75&lt;'User Dashboard'!AJ$16,'User Dashboard'!AN$15,
IF('SIR Model Patient Calcs'!B75&lt;'User Dashboard'!AJ$17,'User Dashboard'!AN$16,
IF('SIR Model Patient Calcs'!B75&lt;'User Dashboard'!AJ$18,'User Dashboard'!AN$17,
'User Dashboard'!AN$18)))),
IF('User Dashboard'!Z$12=4,
IF('SIR Model Patient Calcs'!B75&lt;'User Dashboard'!AJ$15,'User Dashboard'!AN$14,
IF('SIR Model Patient Calcs'!B75&lt;'User Dashboard'!AJ$16,'User Dashboard'!AN$15,
IF('SIR Model Patient Calcs'!B75&lt;'User Dashboard'!AJ$17,'User Dashboard'!AN$16,
'User Dashboard'!AN$17))),
IF('User Dashboard'!Z$12=3,
IF('SIR Model Patient Calcs'!B75&lt;'User Dashboard'!AJ$15,'User Dashboard'!AN$14,
IF('SIR Model Patient Calcs'!B75&lt;'User Dashboard'!AJ$16,'User Dashboard'!AN$15,
'User Dashboard'!AN$16)),
IF('User Dashboard'!Z$12=2,
IF('SIR Model Patient Calcs'!B75&lt;'User Dashboard'!AJ$15,'User Dashboard'!AN$14,
'User Dashboard'!AN$15),
IF('User Dashboard'!Z$12=1,
'User Dashboard'!AN$14)))))</f>
        <v>15.209356603107825</v>
      </c>
      <c r="D75" s="668">
        <f>'User Dashboard'!X$16</f>
        <v>2.2072878851804097E-2</v>
      </c>
      <c r="E75" s="660">
        <f t="shared" si="11"/>
        <v>8.9862781521070358E-8</v>
      </c>
      <c r="F75" s="660">
        <f t="shared" si="8"/>
        <v>8.9862781521070372E-8</v>
      </c>
      <c r="G75" s="670">
        <f>1/'User Dashboard'!X$12</f>
        <v>0.14285714285714285</v>
      </c>
      <c r="H75" s="359">
        <f t="shared" si="12"/>
        <v>3549461.8636654634</v>
      </c>
      <c r="I75" s="672">
        <f t="shared" si="15"/>
        <v>105208.70329011892</v>
      </c>
      <c r="J75" s="673">
        <f t="shared" si="13"/>
        <v>81184.033044417636</v>
      </c>
      <c r="K75" s="359">
        <f t="shared" si="16"/>
        <v>186392.73633453657</v>
      </c>
      <c r="L75" s="673">
        <f t="shared" si="17"/>
        <v>28700.752842140646</v>
      </c>
      <c r="N75" s="287" t="str">
        <f t="shared" si="10"/>
        <v/>
      </c>
      <c r="O75" s="673" t="str">
        <f t="array" ref="O75">IF(N75="","",MAX(IF(A:A=N75,K:K)))</f>
        <v/>
      </c>
    </row>
    <row r="76" spans="1:15" x14ac:dyDescent="0.35">
      <c r="A76" s="287">
        <f t="shared" si="14"/>
        <v>10</v>
      </c>
      <c r="B76" s="288">
        <v>69</v>
      </c>
      <c r="C76" s="667">
        <f>IF('User Dashboard'!Z$12=5,
IF('SIR Model Patient Calcs'!B76&lt;'User Dashboard'!AJ$15,'User Dashboard'!AN$14,
IF('SIR Model Patient Calcs'!B76&lt;'User Dashboard'!AJ$16,'User Dashboard'!AN$15,
IF('SIR Model Patient Calcs'!B76&lt;'User Dashboard'!AJ$17,'User Dashboard'!AN$16,
IF('SIR Model Patient Calcs'!B76&lt;'User Dashboard'!AJ$18,'User Dashboard'!AN$17,
'User Dashboard'!AN$18)))),
IF('User Dashboard'!Z$12=4,
IF('SIR Model Patient Calcs'!B76&lt;'User Dashboard'!AJ$15,'User Dashboard'!AN$14,
IF('SIR Model Patient Calcs'!B76&lt;'User Dashboard'!AJ$16,'User Dashboard'!AN$15,
IF('SIR Model Patient Calcs'!B76&lt;'User Dashboard'!AJ$17,'User Dashboard'!AN$16,
'User Dashboard'!AN$17))),
IF('User Dashboard'!Z$12=3,
IF('SIR Model Patient Calcs'!B76&lt;'User Dashboard'!AJ$15,'User Dashboard'!AN$14,
IF('SIR Model Patient Calcs'!B76&lt;'User Dashboard'!AJ$16,'User Dashboard'!AN$15,
'User Dashboard'!AN$16)),
IF('User Dashboard'!Z$12=2,
IF('SIR Model Patient Calcs'!B76&lt;'User Dashboard'!AJ$15,'User Dashboard'!AN$14,
'User Dashboard'!AN$15),
IF('User Dashboard'!Z$12=1,
'User Dashboard'!AN$14)))))</f>
        <v>15.209356603107825</v>
      </c>
      <c r="D76" s="668">
        <f>'User Dashboard'!X$16</f>
        <v>2.2072878851804097E-2</v>
      </c>
      <c r="E76" s="660">
        <f t="shared" si="11"/>
        <v>8.9862781521070358E-8</v>
      </c>
      <c r="F76" s="660">
        <f t="shared" si="8"/>
        <v>8.9862781521070372E-8</v>
      </c>
      <c r="G76" s="670">
        <f>1/'User Dashboard'!X$12</f>
        <v>0.14285714285714285</v>
      </c>
      <c r="H76" s="359">
        <f t="shared" si="12"/>
        <v>3515904.020544495</v>
      </c>
      <c r="I76" s="672">
        <f t="shared" si="15"/>
        <v>123736.73165535596</v>
      </c>
      <c r="J76" s="673">
        <f t="shared" si="13"/>
        <v>96213.847800148913</v>
      </c>
      <c r="K76" s="359">
        <f t="shared" si="16"/>
        <v>219950.57945550489</v>
      </c>
      <c r="L76" s="673">
        <f t="shared" si="17"/>
        <v>33557.843120968319</v>
      </c>
      <c r="N76" s="287" t="str">
        <f t="shared" ref="N76:N107" si="18">IF(OR(N75=0,N75=""),"",N75-1)</f>
        <v/>
      </c>
      <c r="O76" s="673" t="str">
        <f t="array" ref="O76">IF(N76="","",MAX(IF(A:A=N76,K:K)))</f>
        <v/>
      </c>
    </row>
    <row r="77" spans="1:15" x14ac:dyDescent="0.35">
      <c r="A77" s="287">
        <f t="shared" si="14"/>
        <v>10</v>
      </c>
      <c r="B77" s="288">
        <v>70</v>
      </c>
      <c r="C77" s="667">
        <f>IF('User Dashboard'!Z$12=5,
IF('SIR Model Patient Calcs'!B77&lt;'User Dashboard'!AJ$15,'User Dashboard'!AN$14,
IF('SIR Model Patient Calcs'!B77&lt;'User Dashboard'!AJ$16,'User Dashboard'!AN$15,
IF('SIR Model Patient Calcs'!B77&lt;'User Dashboard'!AJ$17,'User Dashboard'!AN$16,
IF('SIR Model Patient Calcs'!B77&lt;'User Dashboard'!AJ$18,'User Dashboard'!AN$17,
'User Dashboard'!AN$18)))),
IF('User Dashboard'!Z$12=4,
IF('SIR Model Patient Calcs'!B77&lt;'User Dashboard'!AJ$15,'User Dashboard'!AN$14,
IF('SIR Model Patient Calcs'!B77&lt;'User Dashboard'!AJ$16,'User Dashboard'!AN$15,
IF('SIR Model Patient Calcs'!B77&lt;'User Dashboard'!AJ$17,'User Dashboard'!AN$16,
'User Dashboard'!AN$17))),
IF('User Dashboard'!Z$12=3,
IF('SIR Model Patient Calcs'!B77&lt;'User Dashboard'!AJ$15,'User Dashboard'!AN$14,
IF('SIR Model Patient Calcs'!B77&lt;'User Dashboard'!AJ$16,'User Dashboard'!AN$15,
'User Dashboard'!AN$16)),
IF('User Dashboard'!Z$12=2,
IF('SIR Model Patient Calcs'!B77&lt;'User Dashboard'!AJ$15,'User Dashboard'!AN$14,
'User Dashboard'!AN$15),
IF('User Dashboard'!Z$12=1,
'User Dashboard'!AN$14)))))</f>
        <v>15.209356603107825</v>
      </c>
      <c r="D77" s="668">
        <f>'User Dashboard'!X$16</f>
        <v>2.2072878851804097E-2</v>
      </c>
      <c r="E77" s="660">
        <f t="shared" si="11"/>
        <v>8.9862781521070358E-8</v>
      </c>
      <c r="F77" s="660">
        <f t="shared" si="8"/>
        <v>8.9862781521070372E-8</v>
      </c>
      <c r="G77" s="670">
        <f>1/'User Dashboard'!X$12</f>
        <v>0.14285714285714285</v>
      </c>
      <c r="H77" s="359">
        <f t="shared" si="12"/>
        <v>3476809.5344512407</v>
      </c>
      <c r="I77" s="672">
        <f t="shared" si="15"/>
        <v>145154.54179784504</v>
      </c>
      <c r="J77" s="673">
        <f t="shared" si="13"/>
        <v>113890.52375091406</v>
      </c>
      <c r="K77" s="359">
        <f t="shared" si="16"/>
        <v>259045.0655487591</v>
      </c>
      <c r="L77" s="673">
        <f t="shared" si="17"/>
        <v>39094.486093254207</v>
      </c>
      <c r="N77" s="287" t="str">
        <f t="shared" si="18"/>
        <v/>
      </c>
      <c r="O77" s="673" t="str">
        <f t="array" ref="O77">IF(N77="","",MAX(IF(A:A=N77,K:K)))</f>
        <v/>
      </c>
    </row>
    <row r="78" spans="1:15" x14ac:dyDescent="0.35">
      <c r="A78" s="287">
        <f t="shared" si="14"/>
        <v>11</v>
      </c>
      <c r="B78" s="288">
        <v>71</v>
      </c>
      <c r="C78" s="667">
        <f>IF('User Dashboard'!Z$12=5,
IF('SIR Model Patient Calcs'!B78&lt;'User Dashboard'!AJ$15,'User Dashboard'!AN$14,
IF('SIR Model Patient Calcs'!B78&lt;'User Dashboard'!AJ$16,'User Dashboard'!AN$15,
IF('SIR Model Patient Calcs'!B78&lt;'User Dashboard'!AJ$17,'User Dashboard'!AN$16,
IF('SIR Model Patient Calcs'!B78&lt;'User Dashboard'!AJ$18,'User Dashboard'!AN$17,
'User Dashboard'!AN$18)))),
IF('User Dashboard'!Z$12=4,
IF('SIR Model Patient Calcs'!B78&lt;'User Dashboard'!AJ$15,'User Dashboard'!AN$14,
IF('SIR Model Patient Calcs'!B78&lt;'User Dashboard'!AJ$16,'User Dashboard'!AN$15,
IF('SIR Model Patient Calcs'!B78&lt;'User Dashboard'!AJ$17,'User Dashboard'!AN$16,
'User Dashboard'!AN$17))),
IF('User Dashboard'!Z$12=3,
IF('SIR Model Patient Calcs'!B78&lt;'User Dashboard'!AJ$15,'User Dashboard'!AN$14,
IF('SIR Model Patient Calcs'!B78&lt;'User Dashboard'!AJ$16,'User Dashboard'!AN$15,
'User Dashboard'!AN$16)),
IF('User Dashboard'!Z$12=2,
IF('SIR Model Patient Calcs'!B78&lt;'User Dashboard'!AJ$15,'User Dashboard'!AN$14,
'User Dashboard'!AN$15),
IF('User Dashboard'!Z$12=1,
'User Dashboard'!AN$14)))))</f>
        <v>15.209356603107825</v>
      </c>
      <c r="D78" s="668">
        <f>'User Dashboard'!X$16</f>
        <v>2.2072878851804097E-2</v>
      </c>
      <c r="E78" s="660">
        <f t="shared" si="11"/>
        <v>8.9862781521070372E-8</v>
      </c>
      <c r="F78" s="660">
        <f t="shared" si="8"/>
        <v>8.9862781521070372E-8</v>
      </c>
      <c r="G78" s="670">
        <f>1/'User Dashboard'!X$12</f>
        <v>0.14285714285714285</v>
      </c>
      <c r="H78" s="359">
        <f t="shared" si="12"/>
        <v>3431458.0626049796</v>
      </c>
      <c r="I78" s="672">
        <f t="shared" si="15"/>
        <v>169769.65053012827</v>
      </c>
      <c r="J78" s="673">
        <f t="shared" si="13"/>
        <v>134626.88686489192</v>
      </c>
      <c r="K78" s="359">
        <f t="shared" si="16"/>
        <v>304396.53739502019</v>
      </c>
      <c r="L78" s="673">
        <f t="shared" si="17"/>
        <v>45351.471846261091</v>
      </c>
      <c r="N78" s="287" t="str">
        <f t="shared" si="18"/>
        <v/>
      </c>
      <c r="O78" s="673" t="str">
        <f t="array" ref="O78">IF(N78="","",MAX(IF(A:A=N78,K:K)))</f>
        <v/>
      </c>
    </row>
    <row r="79" spans="1:15" x14ac:dyDescent="0.35">
      <c r="A79" s="287">
        <f t="shared" si="14"/>
        <v>11</v>
      </c>
      <c r="B79" s="288">
        <v>72</v>
      </c>
      <c r="C79" s="667">
        <f>IF('User Dashboard'!Z$12=5,
IF('SIR Model Patient Calcs'!B79&lt;'User Dashboard'!AJ$15,'User Dashboard'!AN$14,
IF('SIR Model Patient Calcs'!B79&lt;'User Dashboard'!AJ$16,'User Dashboard'!AN$15,
IF('SIR Model Patient Calcs'!B79&lt;'User Dashboard'!AJ$17,'User Dashboard'!AN$16,
IF('SIR Model Patient Calcs'!B79&lt;'User Dashboard'!AJ$18,'User Dashboard'!AN$17,
'User Dashboard'!AN$18)))),
IF('User Dashboard'!Z$12=4,
IF('SIR Model Patient Calcs'!B79&lt;'User Dashboard'!AJ$15,'User Dashboard'!AN$14,
IF('SIR Model Patient Calcs'!B79&lt;'User Dashboard'!AJ$16,'User Dashboard'!AN$15,
IF('SIR Model Patient Calcs'!B79&lt;'User Dashboard'!AJ$17,'User Dashboard'!AN$16,
'User Dashboard'!AN$17))),
IF('User Dashboard'!Z$12=3,
IF('SIR Model Patient Calcs'!B79&lt;'User Dashboard'!AJ$15,'User Dashboard'!AN$14,
IF('SIR Model Patient Calcs'!B79&lt;'User Dashboard'!AJ$16,'User Dashboard'!AN$15,
'User Dashboard'!AN$16)),
IF('User Dashboard'!Z$12=2,
IF('SIR Model Patient Calcs'!B79&lt;'User Dashboard'!AJ$15,'User Dashboard'!AN$14,
'User Dashboard'!AN$15),
IF('User Dashboard'!Z$12=1,
'User Dashboard'!AN$14)))))</f>
        <v>15.209356603107825</v>
      </c>
      <c r="D79" s="668">
        <f>'User Dashboard'!X$16</f>
        <v>2.2072878851804097E-2</v>
      </c>
      <c r="E79" s="660">
        <f t="shared" si="11"/>
        <v>8.9862781521070358E-8</v>
      </c>
      <c r="F79" s="660">
        <f t="shared" si="8"/>
        <v>8.9862781521070372E-8</v>
      </c>
      <c r="G79" s="670">
        <f>1/'User Dashboard'!X$12</f>
        <v>0.14285714285714285</v>
      </c>
      <c r="H79" s="359">
        <f t="shared" si="12"/>
        <v>3379107.8310014987</v>
      </c>
      <c r="I79" s="672">
        <f t="shared" si="15"/>
        <v>197867.07491501956</v>
      </c>
      <c r="J79" s="673">
        <f t="shared" si="13"/>
        <v>158879.69408348168</v>
      </c>
      <c r="K79" s="359">
        <f t="shared" si="16"/>
        <v>356746.76899850124</v>
      </c>
      <c r="L79" s="673">
        <f t="shared" si="17"/>
        <v>52350.23160348105</v>
      </c>
      <c r="N79" s="287" t="str">
        <f t="shared" si="18"/>
        <v/>
      </c>
      <c r="O79" s="673" t="str">
        <f t="array" ref="O79">IF(N79="","",MAX(IF(A:A=N79,K:K)))</f>
        <v/>
      </c>
    </row>
    <row r="80" spans="1:15" x14ac:dyDescent="0.35">
      <c r="A80" s="287">
        <f t="shared" si="14"/>
        <v>11</v>
      </c>
      <c r="B80" s="288">
        <v>73</v>
      </c>
      <c r="C80" s="667">
        <f>IF('User Dashboard'!Z$12=5,
IF('SIR Model Patient Calcs'!B80&lt;'User Dashboard'!AJ$15,'User Dashboard'!AN$14,
IF('SIR Model Patient Calcs'!B80&lt;'User Dashboard'!AJ$16,'User Dashboard'!AN$15,
IF('SIR Model Patient Calcs'!B80&lt;'User Dashboard'!AJ$17,'User Dashboard'!AN$16,
IF('SIR Model Patient Calcs'!B80&lt;'User Dashboard'!AJ$18,'User Dashboard'!AN$17,
'User Dashboard'!AN$18)))),
IF('User Dashboard'!Z$12=4,
IF('SIR Model Patient Calcs'!B80&lt;'User Dashboard'!AJ$15,'User Dashboard'!AN$14,
IF('SIR Model Patient Calcs'!B80&lt;'User Dashboard'!AJ$16,'User Dashboard'!AN$15,
IF('SIR Model Patient Calcs'!B80&lt;'User Dashboard'!AJ$17,'User Dashboard'!AN$16,
'User Dashboard'!AN$17))),
IF('User Dashboard'!Z$12=3,
IF('SIR Model Patient Calcs'!B80&lt;'User Dashboard'!AJ$15,'User Dashboard'!AN$14,
IF('SIR Model Patient Calcs'!B80&lt;'User Dashboard'!AJ$16,'User Dashboard'!AN$15,
'User Dashboard'!AN$16)),
IF('User Dashboard'!Z$12=2,
IF('SIR Model Patient Calcs'!B80&lt;'User Dashboard'!AJ$15,'User Dashboard'!AN$14,
'User Dashboard'!AN$15),
IF('User Dashboard'!Z$12=1,
'User Dashboard'!AN$14)))))</f>
        <v>15.209356603107825</v>
      </c>
      <c r="D80" s="668">
        <f>'User Dashboard'!X$16</f>
        <v>2.2072878851804097E-2</v>
      </c>
      <c r="E80" s="660">
        <f t="shared" si="11"/>
        <v>8.9862781521070372E-8</v>
      </c>
      <c r="F80" s="660">
        <f t="shared" ref="F80:F143" si="19">AVERAGE(E71:E80)</f>
        <v>8.9862781521070372E-8</v>
      </c>
      <c r="G80" s="670">
        <f>1/'User Dashboard'!X$12</f>
        <v>0.14285714285714285</v>
      </c>
      <c r="H80" s="359">
        <f t="shared" si="12"/>
        <v>3319024.3008117471</v>
      </c>
      <c r="I80" s="672">
        <f t="shared" si="15"/>
        <v>229683.88011691105</v>
      </c>
      <c r="J80" s="673">
        <f t="shared" si="13"/>
        <v>187146.4190713416</v>
      </c>
      <c r="K80" s="359">
        <f t="shared" si="16"/>
        <v>416830.29918825265</v>
      </c>
      <c r="L80" s="673">
        <f t="shared" si="17"/>
        <v>60083.530189751415</v>
      </c>
      <c r="N80" s="287" t="str">
        <f t="shared" si="18"/>
        <v/>
      </c>
      <c r="O80" s="673" t="str">
        <f t="array" ref="O80">IF(N80="","",MAX(IF(A:A=N80,K:K)))</f>
        <v/>
      </c>
    </row>
    <row r="81" spans="1:15" x14ac:dyDescent="0.35">
      <c r="A81" s="287">
        <f t="shared" si="14"/>
        <v>11</v>
      </c>
      <c r="B81" s="288">
        <v>74</v>
      </c>
      <c r="C81" s="667">
        <f>IF('User Dashboard'!Z$12=5,
IF('SIR Model Patient Calcs'!B81&lt;'User Dashboard'!AJ$15,'User Dashboard'!AN$14,
IF('SIR Model Patient Calcs'!B81&lt;'User Dashboard'!AJ$16,'User Dashboard'!AN$15,
IF('SIR Model Patient Calcs'!B81&lt;'User Dashboard'!AJ$17,'User Dashboard'!AN$16,
IF('SIR Model Patient Calcs'!B81&lt;'User Dashboard'!AJ$18,'User Dashboard'!AN$17,
'User Dashboard'!AN$18)))),
IF('User Dashboard'!Z$12=4,
IF('SIR Model Patient Calcs'!B81&lt;'User Dashboard'!AJ$15,'User Dashboard'!AN$14,
IF('SIR Model Patient Calcs'!B81&lt;'User Dashboard'!AJ$16,'User Dashboard'!AN$15,
IF('SIR Model Patient Calcs'!B81&lt;'User Dashboard'!AJ$17,'User Dashboard'!AN$16,
'User Dashboard'!AN$17))),
IF('User Dashboard'!Z$12=3,
IF('SIR Model Patient Calcs'!B81&lt;'User Dashboard'!AJ$15,'User Dashboard'!AN$14,
IF('SIR Model Patient Calcs'!B81&lt;'User Dashboard'!AJ$16,'User Dashboard'!AN$15,
'User Dashboard'!AN$16)),
IF('User Dashboard'!Z$12=2,
IF('SIR Model Patient Calcs'!B81&lt;'User Dashboard'!AJ$15,'User Dashboard'!AN$14,
'User Dashboard'!AN$15),
IF('User Dashboard'!Z$12=1,
'User Dashboard'!AN$14)))))</f>
        <v>15.209356603107825</v>
      </c>
      <c r="D81" s="668">
        <f>'User Dashboard'!X$16</f>
        <v>2.2072878851804097E-2</v>
      </c>
      <c r="E81" s="660">
        <f t="shared" si="11"/>
        <v>8.9862781521070372E-8</v>
      </c>
      <c r="F81" s="660">
        <f t="shared" si="19"/>
        <v>8.9862781521070372E-8</v>
      </c>
      <c r="G81" s="670">
        <f>1/'User Dashboard'!X$12</f>
        <v>0.14285714285714285</v>
      </c>
      <c r="H81" s="359">
        <f t="shared" si="12"/>
        <v>3250519.5319128572</v>
      </c>
      <c r="I81" s="672">
        <f t="shared" si="15"/>
        <v>265376.66614195658</v>
      </c>
      <c r="J81" s="673">
        <f t="shared" si="13"/>
        <v>219958.40194518602</v>
      </c>
      <c r="K81" s="359">
        <f t="shared" si="16"/>
        <v>485335.0680871426</v>
      </c>
      <c r="L81" s="673">
        <f t="shared" si="17"/>
        <v>68504.768898889946</v>
      </c>
      <c r="N81" s="287" t="str">
        <f t="shared" si="18"/>
        <v/>
      </c>
      <c r="O81" s="673" t="str">
        <f t="array" ref="O81">IF(N81="","",MAX(IF(A:A=N81,K:K)))</f>
        <v/>
      </c>
    </row>
    <row r="82" spans="1:15" x14ac:dyDescent="0.35">
      <c r="A82" s="287">
        <f t="shared" si="14"/>
        <v>11</v>
      </c>
      <c r="B82" s="288">
        <v>75</v>
      </c>
      <c r="C82" s="667">
        <f>IF('User Dashboard'!Z$12=5,
IF('SIR Model Patient Calcs'!B82&lt;'User Dashboard'!AJ$15,'User Dashboard'!AN$14,
IF('SIR Model Patient Calcs'!B82&lt;'User Dashboard'!AJ$16,'User Dashboard'!AN$15,
IF('SIR Model Patient Calcs'!B82&lt;'User Dashboard'!AJ$17,'User Dashboard'!AN$16,
IF('SIR Model Patient Calcs'!B82&lt;'User Dashboard'!AJ$18,'User Dashboard'!AN$17,
'User Dashboard'!AN$18)))),
IF('User Dashboard'!Z$12=4,
IF('SIR Model Patient Calcs'!B82&lt;'User Dashboard'!AJ$15,'User Dashboard'!AN$14,
IF('SIR Model Patient Calcs'!B82&lt;'User Dashboard'!AJ$16,'User Dashboard'!AN$15,
IF('SIR Model Patient Calcs'!B82&lt;'User Dashboard'!AJ$17,'User Dashboard'!AN$16,
'User Dashboard'!AN$17))),
IF('User Dashboard'!Z$12=3,
IF('SIR Model Patient Calcs'!B82&lt;'User Dashboard'!AJ$15,'User Dashboard'!AN$14,
IF('SIR Model Patient Calcs'!B82&lt;'User Dashboard'!AJ$16,'User Dashboard'!AN$15,
'User Dashboard'!AN$16)),
IF('User Dashboard'!Z$12=2,
IF('SIR Model Patient Calcs'!B82&lt;'User Dashboard'!AJ$15,'User Dashboard'!AN$14,
'User Dashboard'!AN$15),
IF('User Dashboard'!Z$12=1,
'User Dashboard'!AN$14)))))</f>
        <v>15.209356603107825</v>
      </c>
      <c r="D82" s="668">
        <f>'User Dashboard'!X$16</f>
        <v>2.2072878851804097E-2</v>
      </c>
      <c r="E82" s="660">
        <f t="shared" si="11"/>
        <v>8.9862781521070372E-8</v>
      </c>
      <c r="F82" s="660">
        <f t="shared" si="19"/>
        <v>8.9862781521070372E-8</v>
      </c>
      <c r="G82" s="670">
        <f>1/'User Dashboard'!X$12</f>
        <v>0.14285714285714285</v>
      </c>
      <c r="H82" s="359">
        <f t="shared" si="12"/>
        <v>3173002.8149296758</v>
      </c>
      <c r="I82" s="672">
        <f t="shared" si="15"/>
        <v>304982.43081914424</v>
      </c>
      <c r="J82" s="673">
        <f t="shared" si="13"/>
        <v>257869.35425117982</v>
      </c>
      <c r="K82" s="359">
        <f t="shared" si="16"/>
        <v>562851.78507032408</v>
      </c>
      <c r="L82" s="673">
        <f t="shared" si="17"/>
        <v>77516.716983181483</v>
      </c>
      <c r="N82" s="287" t="str">
        <f t="shared" si="18"/>
        <v/>
      </c>
      <c r="O82" s="673" t="str">
        <f t="array" ref="O82">IF(N82="","",MAX(IF(A:A=N82,K:K)))</f>
        <v/>
      </c>
    </row>
    <row r="83" spans="1:15" x14ac:dyDescent="0.35">
      <c r="A83" s="287">
        <f t="shared" si="14"/>
        <v>11</v>
      </c>
      <c r="B83" s="288">
        <v>76</v>
      </c>
      <c r="C83" s="667">
        <f>IF('User Dashboard'!Z$12=5,
IF('SIR Model Patient Calcs'!B83&lt;'User Dashboard'!AJ$15,'User Dashboard'!AN$14,
IF('SIR Model Patient Calcs'!B83&lt;'User Dashboard'!AJ$16,'User Dashboard'!AN$15,
IF('SIR Model Patient Calcs'!B83&lt;'User Dashboard'!AJ$17,'User Dashboard'!AN$16,
IF('SIR Model Patient Calcs'!B83&lt;'User Dashboard'!AJ$18,'User Dashboard'!AN$17,
'User Dashboard'!AN$18)))),
IF('User Dashboard'!Z$12=4,
IF('SIR Model Patient Calcs'!B83&lt;'User Dashboard'!AJ$15,'User Dashboard'!AN$14,
IF('SIR Model Patient Calcs'!B83&lt;'User Dashboard'!AJ$16,'User Dashboard'!AN$15,
IF('SIR Model Patient Calcs'!B83&lt;'User Dashboard'!AJ$17,'User Dashboard'!AN$16,
'User Dashboard'!AN$17))),
IF('User Dashboard'!Z$12=3,
IF('SIR Model Patient Calcs'!B83&lt;'User Dashboard'!AJ$15,'User Dashboard'!AN$14,
IF('SIR Model Patient Calcs'!B83&lt;'User Dashboard'!AJ$16,'User Dashboard'!AN$15,
'User Dashboard'!AN$16)),
IF('User Dashboard'!Z$12=2,
IF('SIR Model Patient Calcs'!B83&lt;'User Dashboard'!AJ$15,'User Dashboard'!AN$14,
'User Dashboard'!AN$15),
IF('User Dashboard'!Z$12=1,
'User Dashboard'!AN$14)))))</f>
        <v>15.209356603107825</v>
      </c>
      <c r="D83" s="668">
        <f>'User Dashboard'!X$16</f>
        <v>2.2072878851804097E-2</v>
      </c>
      <c r="E83" s="660">
        <f t="shared" si="11"/>
        <v>8.9862781521070372E-8</v>
      </c>
      <c r="F83" s="660">
        <f t="shared" si="19"/>
        <v>8.9862781521070372E-8</v>
      </c>
      <c r="G83" s="670">
        <f>1/'User Dashboard'!X$12</f>
        <v>0.14285714285714285</v>
      </c>
      <c r="H83" s="359">
        <f t="shared" si="12"/>
        <v>3086041.6926048282</v>
      </c>
      <c r="I83" s="672">
        <f t="shared" si="15"/>
        <v>348374.63445554272</v>
      </c>
      <c r="J83" s="673">
        <f t="shared" si="13"/>
        <v>301438.27293962898</v>
      </c>
      <c r="K83" s="359">
        <f t="shared" si="16"/>
        <v>649812.9073951717</v>
      </c>
      <c r="L83" s="673">
        <f t="shared" si="17"/>
        <v>86961.122324847616</v>
      </c>
      <c r="N83" s="287" t="str">
        <f t="shared" si="18"/>
        <v/>
      </c>
      <c r="O83" s="673" t="str">
        <f t="array" ref="O83">IF(N83="","",MAX(IF(A:A=N83,K:K)))</f>
        <v/>
      </c>
    </row>
    <row r="84" spans="1:15" x14ac:dyDescent="0.35">
      <c r="A84" s="287">
        <f t="shared" si="14"/>
        <v>11</v>
      </c>
      <c r="B84" s="288">
        <v>77</v>
      </c>
      <c r="C84" s="667">
        <f>IF('User Dashboard'!Z$12=5,
IF('SIR Model Patient Calcs'!B84&lt;'User Dashboard'!AJ$15,'User Dashboard'!AN$14,
IF('SIR Model Patient Calcs'!B84&lt;'User Dashboard'!AJ$16,'User Dashboard'!AN$15,
IF('SIR Model Patient Calcs'!B84&lt;'User Dashboard'!AJ$17,'User Dashboard'!AN$16,
IF('SIR Model Patient Calcs'!B84&lt;'User Dashboard'!AJ$18,'User Dashboard'!AN$17,
'User Dashboard'!AN$18)))),
IF('User Dashboard'!Z$12=4,
IF('SIR Model Patient Calcs'!B84&lt;'User Dashboard'!AJ$15,'User Dashboard'!AN$14,
IF('SIR Model Patient Calcs'!B84&lt;'User Dashboard'!AJ$16,'User Dashboard'!AN$15,
IF('SIR Model Patient Calcs'!B84&lt;'User Dashboard'!AJ$17,'User Dashboard'!AN$16,
'User Dashboard'!AN$17))),
IF('User Dashboard'!Z$12=3,
IF('SIR Model Patient Calcs'!B84&lt;'User Dashboard'!AJ$15,'User Dashboard'!AN$14,
IF('SIR Model Patient Calcs'!B84&lt;'User Dashboard'!AJ$16,'User Dashboard'!AN$15,
'User Dashboard'!AN$16)),
IF('User Dashboard'!Z$12=2,
IF('SIR Model Patient Calcs'!B84&lt;'User Dashboard'!AJ$15,'User Dashboard'!AN$14,
'User Dashboard'!AN$15),
IF('User Dashboard'!Z$12=1,
'User Dashboard'!AN$14)))))</f>
        <v>15.209356603107825</v>
      </c>
      <c r="D84" s="668">
        <f>'User Dashboard'!X$16</f>
        <v>2.2072878851804097E-2</v>
      </c>
      <c r="E84" s="660">
        <f t="shared" si="11"/>
        <v>8.9862781521070372E-8</v>
      </c>
      <c r="F84" s="660">
        <f t="shared" si="19"/>
        <v>8.9862781521070372E-8</v>
      </c>
      <c r="G84" s="670">
        <f>1/'User Dashboard'!X$12</f>
        <v>0.14285714285714285</v>
      </c>
      <c r="H84" s="359">
        <f t="shared" si="12"/>
        <v>2989430.3378139911</v>
      </c>
      <c r="I84" s="672">
        <f t="shared" si="15"/>
        <v>395218.18432415935</v>
      </c>
      <c r="J84" s="673">
        <f t="shared" si="13"/>
        <v>351206.07786184934</v>
      </c>
      <c r="K84" s="359">
        <f t="shared" si="16"/>
        <v>746424.26218600874</v>
      </c>
      <c r="L84" s="673">
        <f t="shared" si="17"/>
        <v>96611.354790837038</v>
      </c>
      <c r="N84" s="287" t="str">
        <f t="shared" si="18"/>
        <v/>
      </c>
      <c r="O84" s="673" t="str">
        <f t="array" ref="O84">IF(N84="","",MAX(IF(A:A=N84,K:K)))</f>
        <v/>
      </c>
    </row>
    <row r="85" spans="1:15" x14ac:dyDescent="0.35">
      <c r="A85" s="287">
        <f t="shared" si="14"/>
        <v>12</v>
      </c>
      <c r="B85" s="288">
        <v>78</v>
      </c>
      <c r="C85" s="667">
        <f>IF('User Dashboard'!Z$12=5,
IF('SIR Model Patient Calcs'!B85&lt;'User Dashboard'!AJ$15,'User Dashboard'!AN$14,
IF('SIR Model Patient Calcs'!B85&lt;'User Dashboard'!AJ$16,'User Dashboard'!AN$15,
IF('SIR Model Patient Calcs'!B85&lt;'User Dashboard'!AJ$17,'User Dashboard'!AN$16,
IF('SIR Model Patient Calcs'!B85&lt;'User Dashboard'!AJ$18,'User Dashboard'!AN$17,
'User Dashboard'!AN$18)))),
IF('User Dashboard'!Z$12=4,
IF('SIR Model Patient Calcs'!B85&lt;'User Dashboard'!AJ$15,'User Dashboard'!AN$14,
IF('SIR Model Patient Calcs'!B85&lt;'User Dashboard'!AJ$16,'User Dashboard'!AN$15,
IF('SIR Model Patient Calcs'!B85&lt;'User Dashboard'!AJ$17,'User Dashboard'!AN$16,
'User Dashboard'!AN$17))),
IF('User Dashboard'!Z$12=3,
IF('SIR Model Patient Calcs'!B85&lt;'User Dashboard'!AJ$15,'User Dashboard'!AN$14,
IF('SIR Model Patient Calcs'!B85&lt;'User Dashboard'!AJ$16,'User Dashboard'!AN$15,
'User Dashboard'!AN$16)),
IF('User Dashboard'!Z$12=2,
IF('SIR Model Patient Calcs'!B85&lt;'User Dashboard'!AJ$15,'User Dashboard'!AN$14,
'User Dashboard'!AN$15),
IF('User Dashboard'!Z$12=1,
'User Dashboard'!AN$14)))))</f>
        <v>15.209356603107825</v>
      </c>
      <c r="D85" s="668">
        <f>'User Dashboard'!X$16</f>
        <v>2.2072878851804097E-2</v>
      </c>
      <c r="E85" s="660">
        <f t="shared" si="11"/>
        <v>8.9862781521070372E-8</v>
      </c>
      <c r="F85" s="660">
        <f t="shared" si="19"/>
        <v>8.9862781521070372E-8</v>
      </c>
      <c r="G85" s="670">
        <f>1/'User Dashboard'!X$12</f>
        <v>0.14285714285714285</v>
      </c>
      <c r="H85" s="359">
        <f t="shared" si="12"/>
        <v>2883259.507597723</v>
      </c>
      <c r="I85" s="672">
        <f t="shared" si="15"/>
        <v>444929.27392269042</v>
      </c>
      <c r="J85" s="673">
        <f t="shared" si="13"/>
        <v>407665.81847958639</v>
      </c>
      <c r="K85" s="359">
        <f t="shared" si="16"/>
        <v>852595.09240227682</v>
      </c>
      <c r="L85" s="673">
        <f t="shared" si="17"/>
        <v>106170.83021626808</v>
      </c>
      <c r="N85" s="287" t="str">
        <f t="shared" si="18"/>
        <v/>
      </c>
      <c r="O85" s="673" t="str">
        <f t="array" ref="O85">IF(N85="","",MAX(IF(A:A=N85,K:K)))</f>
        <v/>
      </c>
    </row>
    <row r="86" spans="1:15" x14ac:dyDescent="0.35">
      <c r="A86" s="287">
        <f t="shared" si="14"/>
        <v>12</v>
      </c>
      <c r="B86" s="288">
        <v>79</v>
      </c>
      <c r="C86" s="667">
        <f>IF('User Dashboard'!Z$12=5,
IF('SIR Model Patient Calcs'!B86&lt;'User Dashboard'!AJ$15,'User Dashboard'!AN$14,
IF('SIR Model Patient Calcs'!B86&lt;'User Dashboard'!AJ$16,'User Dashboard'!AN$15,
IF('SIR Model Patient Calcs'!B86&lt;'User Dashboard'!AJ$17,'User Dashboard'!AN$16,
IF('SIR Model Patient Calcs'!B86&lt;'User Dashboard'!AJ$18,'User Dashboard'!AN$17,
'User Dashboard'!AN$18)))),
IF('User Dashboard'!Z$12=4,
IF('SIR Model Patient Calcs'!B86&lt;'User Dashboard'!AJ$15,'User Dashboard'!AN$14,
IF('SIR Model Patient Calcs'!B86&lt;'User Dashboard'!AJ$16,'User Dashboard'!AN$15,
IF('SIR Model Patient Calcs'!B86&lt;'User Dashboard'!AJ$17,'User Dashboard'!AN$16,
'User Dashboard'!AN$17))),
IF('User Dashboard'!Z$12=3,
IF('SIR Model Patient Calcs'!B86&lt;'User Dashboard'!AJ$15,'User Dashboard'!AN$14,
IF('SIR Model Patient Calcs'!B86&lt;'User Dashboard'!AJ$16,'User Dashboard'!AN$15,
'User Dashboard'!AN$16)),
IF('User Dashboard'!Z$12=2,
IF('SIR Model Patient Calcs'!B86&lt;'User Dashboard'!AJ$15,'User Dashboard'!AN$14,
'User Dashboard'!AN$15),
IF('User Dashboard'!Z$12=1,
'User Dashboard'!AN$14)))))</f>
        <v>15.209356603107825</v>
      </c>
      <c r="D86" s="668">
        <f>'User Dashboard'!X$16</f>
        <v>2.2072878851804097E-2</v>
      </c>
      <c r="E86" s="660">
        <f t="shared" si="11"/>
        <v>8.9862781521070358E-8</v>
      </c>
      <c r="F86" s="660">
        <f t="shared" si="19"/>
        <v>8.9862781521070372E-8</v>
      </c>
      <c r="G86" s="670">
        <f>1/'User Dashboard'!X$12</f>
        <v>0.14285714285714285</v>
      </c>
      <c r="H86" s="359">
        <f t="shared" si="12"/>
        <v>2767979.3475191295</v>
      </c>
      <c r="I86" s="672">
        <f t="shared" si="15"/>
        <v>496648.10915518535</v>
      </c>
      <c r="J86" s="673">
        <f t="shared" si="13"/>
        <v>471227.143325685</v>
      </c>
      <c r="K86" s="359">
        <f t="shared" si="16"/>
        <v>967875.25248087035</v>
      </c>
      <c r="L86" s="673">
        <f t="shared" si="17"/>
        <v>115280.16007859353</v>
      </c>
      <c r="N86" s="287" t="str">
        <f t="shared" si="18"/>
        <v/>
      </c>
      <c r="O86" s="673" t="str">
        <f t="array" ref="O86">IF(N86="","",MAX(IF(A:A=N86,K:K)))</f>
        <v/>
      </c>
    </row>
    <row r="87" spans="1:15" x14ac:dyDescent="0.35">
      <c r="A87" s="287">
        <f t="shared" si="14"/>
        <v>12</v>
      </c>
      <c r="B87" s="288">
        <v>80</v>
      </c>
      <c r="C87" s="667">
        <f>IF('User Dashboard'!Z$12=5,
IF('SIR Model Patient Calcs'!B87&lt;'User Dashboard'!AJ$15,'User Dashboard'!AN$14,
IF('SIR Model Patient Calcs'!B87&lt;'User Dashboard'!AJ$16,'User Dashboard'!AN$15,
IF('SIR Model Patient Calcs'!B87&lt;'User Dashboard'!AJ$17,'User Dashboard'!AN$16,
IF('SIR Model Patient Calcs'!B87&lt;'User Dashboard'!AJ$18,'User Dashboard'!AN$17,
'User Dashboard'!AN$18)))),
IF('User Dashboard'!Z$12=4,
IF('SIR Model Patient Calcs'!B87&lt;'User Dashboard'!AJ$15,'User Dashboard'!AN$14,
IF('SIR Model Patient Calcs'!B87&lt;'User Dashboard'!AJ$16,'User Dashboard'!AN$15,
IF('SIR Model Patient Calcs'!B87&lt;'User Dashboard'!AJ$17,'User Dashboard'!AN$16,
'User Dashboard'!AN$17))),
IF('User Dashboard'!Z$12=3,
IF('SIR Model Patient Calcs'!B87&lt;'User Dashboard'!AJ$15,'User Dashboard'!AN$14,
IF('SIR Model Patient Calcs'!B87&lt;'User Dashboard'!AJ$16,'User Dashboard'!AN$15,
'User Dashboard'!AN$16)),
IF('User Dashboard'!Z$12=2,
IF('SIR Model Patient Calcs'!B87&lt;'User Dashboard'!AJ$15,'User Dashboard'!AN$14,
'User Dashboard'!AN$15),
IF('User Dashboard'!Z$12=1,
'User Dashboard'!AN$14)))))</f>
        <v>15.209356603107825</v>
      </c>
      <c r="D87" s="668">
        <f>'User Dashboard'!X$16</f>
        <v>2.2072878851804097E-2</v>
      </c>
      <c r="E87" s="660">
        <f t="shared" si="11"/>
        <v>8.9862781521070358E-8</v>
      </c>
      <c r="F87" s="660">
        <f t="shared" si="19"/>
        <v>8.9862781521070372E-8</v>
      </c>
      <c r="G87" s="670">
        <f>1/'User Dashboard'!X$12</f>
        <v>0.14285714285714285</v>
      </c>
      <c r="H87" s="359">
        <f t="shared" si="12"/>
        <v>2644443.9295474845</v>
      </c>
      <c r="I87" s="672">
        <f t="shared" si="15"/>
        <v>549233.79724751832</v>
      </c>
      <c r="J87" s="673">
        <f t="shared" si="13"/>
        <v>542176.87320499716</v>
      </c>
      <c r="K87" s="359">
        <f t="shared" si="16"/>
        <v>1091410.6704525156</v>
      </c>
      <c r="L87" s="673">
        <f t="shared" si="17"/>
        <v>123535.41797164525</v>
      </c>
      <c r="N87" s="287" t="str">
        <f t="shared" si="18"/>
        <v/>
      </c>
      <c r="O87" s="673" t="str">
        <f t="array" ref="O87">IF(N87="","",MAX(IF(A:A=N87,K:K)))</f>
        <v/>
      </c>
    </row>
    <row r="88" spans="1:15" x14ac:dyDescent="0.35">
      <c r="A88" s="287">
        <f t="shared" si="14"/>
        <v>12</v>
      </c>
      <c r="B88" s="288">
        <v>81</v>
      </c>
      <c r="C88" s="667">
        <f>IF('User Dashboard'!Z$12=5,
IF('SIR Model Patient Calcs'!B88&lt;'User Dashboard'!AJ$15,'User Dashboard'!AN$14,
IF('SIR Model Patient Calcs'!B88&lt;'User Dashboard'!AJ$16,'User Dashboard'!AN$15,
IF('SIR Model Patient Calcs'!B88&lt;'User Dashboard'!AJ$17,'User Dashboard'!AN$16,
IF('SIR Model Patient Calcs'!B88&lt;'User Dashboard'!AJ$18,'User Dashboard'!AN$17,
'User Dashboard'!AN$18)))),
IF('User Dashboard'!Z$12=4,
IF('SIR Model Patient Calcs'!B88&lt;'User Dashboard'!AJ$15,'User Dashboard'!AN$14,
IF('SIR Model Patient Calcs'!B88&lt;'User Dashboard'!AJ$16,'User Dashboard'!AN$15,
IF('SIR Model Patient Calcs'!B88&lt;'User Dashboard'!AJ$17,'User Dashboard'!AN$16,
'User Dashboard'!AN$17))),
IF('User Dashboard'!Z$12=3,
IF('SIR Model Patient Calcs'!B88&lt;'User Dashboard'!AJ$15,'User Dashboard'!AN$14,
IF('SIR Model Patient Calcs'!B88&lt;'User Dashboard'!AJ$16,'User Dashboard'!AN$15,
'User Dashboard'!AN$16)),
IF('User Dashboard'!Z$12=2,
IF('SIR Model Patient Calcs'!B88&lt;'User Dashboard'!AJ$15,'User Dashboard'!AN$14,
'User Dashboard'!AN$15),
IF('User Dashboard'!Z$12=1,
'User Dashboard'!AN$14)))))</f>
        <v>15.209356603107825</v>
      </c>
      <c r="D88" s="668">
        <f>'User Dashboard'!X$16</f>
        <v>2.2072878851804097E-2</v>
      </c>
      <c r="E88" s="660">
        <f t="shared" si="11"/>
        <v>8.9862781521070372E-8</v>
      </c>
      <c r="F88" s="660">
        <f t="shared" si="19"/>
        <v>8.9862781521070372E-8</v>
      </c>
      <c r="G88" s="670">
        <f>1/'User Dashboard'!X$12</f>
        <v>0.14285714285714285</v>
      </c>
      <c r="H88" s="359">
        <f t="shared" si="12"/>
        <v>2513925.6098405956</v>
      </c>
      <c r="I88" s="672">
        <f t="shared" si="15"/>
        <v>601290.1459190473</v>
      </c>
      <c r="J88" s="673">
        <f t="shared" si="13"/>
        <v>620638.84424035694</v>
      </c>
      <c r="K88" s="359">
        <f t="shared" si="16"/>
        <v>1221928.9901594042</v>
      </c>
      <c r="L88" s="673">
        <f t="shared" si="17"/>
        <v>130518.31970688864</v>
      </c>
      <c r="N88" s="287" t="str">
        <f t="shared" si="18"/>
        <v/>
      </c>
      <c r="O88" s="673" t="str">
        <f t="array" ref="O88">IF(N88="","",MAX(IF(A:A=N88,K:K)))</f>
        <v/>
      </c>
    </row>
    <row r="89" spans="1:15" x14ac:dyDescent="0.35">
      <c r="A89" s="287">
        <f t="shared" si="14"/>
        <v>12</v>
      </c>
      <c r="B89" s="288">
        <v>82</v>
      </c>
      <c r="C89" s="667">
        <f>IF('User Dashboard'!Z$12=5,
IF('SIR Model Patient Calcs'!B89&lt;'User Dashboard'!AJ$15,'User Dashboard'!AN$14,
IF('SIR Model Patient Calcs'!B89&lt;'User Dashboard'!AJ$16,'User Dashboard'!AN$15,
IF('SIR Model Patient Calcs'!B89&lt;'User Dashboard'!AJ$17,'User Dashboard'!AN$16,
IF('SIR Model Patient Calcs'!B89&lt;'User Dashboard'!AJ$18,'User Dashboard'!AN$17,
'User Dashboard'!AN$18)))),
IF('User Dashboard'!Z$12=4,
IF('SIR Model Patient Calcs'!B89&lt;'User Dashboard'!AJ$15,'User Dashboard'!AN$14,
IF('SIR Model Patient Calcs'!B89&lt;'User Dashboard'!AJ$16,'User Dashboard'!AN$15,
IF('SIR Model Patient Calcs'!B89&lt;'User Dashboard'!AJ$17,'User Dashboard'!AN$16,
'User Dashboard'!AN$17))),
IF('User Dashboard'!Z$12=3,
IF('SIR Model Patient Calcs'!B89&lt;'User Dashboard'!AJ$15,'User Dashboard'!AN$14,
IF('SIR Model Patient Calcs'!B89&lt;'User Dashboard'!AJ$16,'User Dashboard'!AN$15,
'User Dashboard'!AN$16)),
IF('User Dashboard'!Z$12=2,
IF('SIR Model Patient Calcs'!B89&lt;'User Dashboard'!AJ$15,'User Dashboard'!AN$14,
'User Dashboard'!AN$15),
IF('User Dashboard'!Z$12=1,
'User Dashboard'!AN$14)))))</f>
        <v>15.209356603107825</v>
      </c>
      <c r="D89" s="668">
        <f>'User Dashboard'!X$16</f>
        <v>2.2072878851804097E-2</v>
      </c>
      <c r="E89" s="660">
        <f t="shared" si="11"/>
        <v>8.9862781521070358E-8</v>
      </c>
      <c r="F89" s="660">
        <f t="shared" si="19"/>
        <v>8.9862781521070372E-8</v>
      </c>
      <c r="G89" s="670">
        <f>1/'User Dashboard'!X$12</f>
        <v>0.14285714285714285</v>
      </c>
      <c r="H89" s="359">
        <f t="shared" si="12"/>
        <v>2378089.1464051572</v>
      </c>
      <c r="I89" s="672">
        <f t="shared" si="15"/>
        <v>651228.01708033611</v>
      </c>
      <c r="J89" s="673">
        <f t="shared" si="13"/>
        <v>706537.43651450658</v>
      </c>
      <c r="K89" s="359">
        <f t="shared" si="16"/>
        <v>1357765.4535948427</v>
      </c>
      <c r="L89" s="673">
        <f t="shared" si="17"/>
        <v>135836.46343543846</v>
      </c>
      <c r="N89" s="287" t="str">
        <f t="shared" si="18"/>
        <v/>
      </c>
      <c r="O89" s="673" t="str">
        <f t="array" ref="O89">IF(N89="","",MAX(IF(A:A=N89,K:K)))</f>
        <v/>
      </c>
    </row>
    <row r="90" spans="1:15" x14ac:dyDescent="0.35">
      <c r="A90" s="287">
        <f t="shared" si="14"/>
        <v>12</v>
      </c>
      <c r="B90" s="288">
        <v>83</v>
      </c>
      <c r="C90" s="667">
        <f>IF('User Dashboard'!Z$12=5,
IF('SIR Model Patient Calcs'!B90&lt;'User Dashboard'!AJ$15,'User Dashboard'!AN$14,
IF('SIR Model Patient Calcs'!B90&lt;'User Dashboard'!AJ$16,'User Dashboard'!AN$15,
IF('SIR Model Patient Calcs'!B90&lt;'User Dashboard'!AJ$17,'User Dashboard'!AN$16,
IF('SIR Model Patient Calcs'!B90&lt;'User Dashboard'!AJ$18,'User Dashboard'!AN$17,
'User Dashboard'!AN$18)))),
IF('User Dashboard'!Z$12=4,
IF('SIR Model Patient Calcs'!B90&lt;'User Dashboard'!AJ$15,'User Dashboard'!AN$14,
IF('SIR Model Patient Calcs'!B90&lt;'User Dashboard'!AJ$16,'User Dashboard'!AN$15,
IF('SIR Model Patient Calcs'!B90&lt;'User Dashboard'!AJ$17,'User Dashboard'!AN$16,
'User Dashboard'!AN$17))),
IF('User Dashboard'!Z$12=3,
IF('SIR Model Patient Calcs'!B90&lt;'User Dashboard'!AJ$15,'User Dashboard'!AN$14,
IF('SIR Model Patient Calcs'!B90&lt;'User Dashboard'!AJ$16,'User Dashboard'!AN$15,
'User Dashboard'!AN$16)),
IF('User Dashboard'!Z$12=2,
IF('SIR Model Patient Calcs'!B90&lt;'User Dashboard'!AJ$15,'User Dashboard'!AN$14,
'User Dashboard'!AN$15),
IF('User Dashboard'!Z$12=1,
'User Dashboard'!AN$14)))))</f>
        <v>15.209356603107825</v>
      </c>
      <c r="D90" s="668">
        <f>'User Dashboard'!X$16</f>
        <v>2.2072878851804097E-2</v>
      </c>
      <c r="E90" s="660">
        <f t="shared" si="11"/>
        <v>8.9862781521070372E-8</v>
      </c>
      <c r="F90" s="660">
        <f t="shared" si="19"/>
        <v>8.9862781521070372E-8</v>
      </c>
      <c r="G90" s="670">
        <f>1/'User Dashboard'!X$12</f>
        <v>0.14285714285714285</v>
      </c>
      <c r="H90" s="359">
        <f t="shared" si="12"/>
        <v>2238920.6085501546</v>
      </c>
      <c r="I90" s="672">
        <f t="shared" si="15"/>
        <v>697363.98106671905</v>
      </c>
      <c r="J90" s="673">
        <f t="shared" si="13"/>
        <v>799570.01038312598</v>
      </c>
      <c r="K90" s="359">
        <f t="shared" si="16"/>
        <v>1496933.991449845</v>
      </c>
      <c r="L90" s="673">
        <f t="shared" si="17"/>
        <v>139168.53785500233</v>
      </c>
      <c r="N90" s="287" t="str">
        <f t="shared" si="18"/>
        <v/>
      </c>
      <c r="O90" s="673" t="str">
        <f t="array" ref="O90">IF(N90="","",MAX(IF(A:A=N90,K:K)))</f>
        <v/>
      </c>
    </row>
    <row r="91" spans="1:15" x14ac:dyDescent="0.35">
      <c r="A91" s="287">
        <f t="shared" si="14"/>
        <v>12</v>
      </c>
      <c r="B91" s="288">
        <v>84</v>
      </c>
      <c r="C91" s="667">
        <f>IF('User Dashboard'!Z$12=5,
IF('SIR Model Patient Calcs'!B91&lt;'User Dashboard'!AJ$15,'User Dashboard'!AN$14,
IF('SIR Model Patient Calcs'!B91&lt;'User Dashboard'!AJ$16,'User Dashboard'!AN$15,
IF('SIR Model Patient Calcs'!B91&lt;'User Dashboard'!AJ$17,'User Dashboard'!AN$16,
IF('SIR Model Patient Calcs'!B91&lt;'User Dashboard'!AJ$18,'User Dashboard'!AN$17,
'User Dashboard'!AN$18)))),
IF('User Dashboard'!Z$12=4,
IF('SIR Model Patient Calcs'!B91&lt;'User Dashboard'!AJ$15,'User Dashboard'!AN$14,
IF('SIR Model Patient Calcs'!B91&lt;'User Dashboard'!AJ$16,'User Dashboard'!AN$15,
IF('SIR Model Patient Calcs'!B91&lt;'User Dashboard'!AJ$17,'User Dashboard'!AN$16,
'User Dashboard'!AN$17))),
IF('User Dashboard'!Z$12=3,
IF('SIR Model Patient Calcs'!B91&lt;'User Dashboard'!AJ$15,'User Dashboard'!AN$14,
IF('SIR Model Patient Calcs'!B91&lt;'User Dashboard'!AJ$16,'User Dashboard'!AN$15,
'User Dashboard'!AN$16)),
IF('User Dashboard'!Z$12=2,
IF('SIR Model Patient Calcs'!B91&lt;'User Dashboard'!AJ$15,'User Dashboard'!AN$14,
'User Dashboard'!AN$15),
IF('User Dashboard'!Z$12=1,
'User Dashboard'!AN$14)))))</f>
        <v>15.209356603107825</v>
      </c>
      <c r="D91" s="668">
        <f>'User Dashboard'!X$16</f>
        <v>2.2072878851804097E-2</v>
      </c>
      <c r="E91" s="660">
        <f t="shared" si="11"/>
        <v>8.9862781521070372E-8</v>
      </c>
      <c r="F91" s="660">
        <f t="shared" si="19"/>
        <v>8.9862781521070372E-8</v>
      </c>
      <c r="G91" s="670">
        <f>1/'User Dashboard'!X$12</f>
        <v>0.14285714285714285</v>
      </c>
      <c r="H91" s="359">
        <f t="shared" si="12"/>
        <v>2098614.0206069103</v>
      </c>
      <c r="I91" s="672">
        <f t="shared" si="15"/>
        <v>738047.14314328914</v>
      </c>
      <c r="J91" s="673">
        <f t="shared" si="13"/>
        <v>899193.43624980014</v>
      </c>
      <c r="K91" s="359">
        <f t="shared" si="16"/>
        <v>1637240.5793930893</v>
      </c>
      <c r="L91" s="673">
        <f t="shared" si="17"/>
        <v>140306.58794324426</v>
      </c>
      <c r="N91" s="287" t="str">
        <f t="shared" si="18"/>
        <v/>
      </c>
      <c r="O91" s="673" t="str">
        <f t="array" ref="O91">IF(N91="","",MAX(IF(A:A=N91,K:K)))</f>
        <v/>
      </c>
    </row>
    <row r="92" spans="1:15" x14ac:dyDescent="0.35">
      <c r="A92" s="287">
        <f t="shared" si="14"/>
        <v>13</v>
      </c>
      <c r="B92" s="288">
        <v>85</v>
      </c>
      <c r="C92" s="667">
        <f>IF('User Dashboard'!Z$12=5,
IF('SIR Model Patient Calcs'!B92&lt;'User Dashboard'!AJ$15,'User Dashboard'!AN$14,
IF('SIR Model Patient Calcs'!B92&lt;'User Dashboard'!AJ$16,'User Dashboard'!AN$15,
IF('SIR Model Patient Calcs'!B92&lt;'User Dashboard'!AJ$17,'User Dashboard'!AN$16,
IF('SIR Model Patient Calcs'!B92&lt;'User Dashboard'!AJ$18,'User Dashboard'!AN$17,
'User Dashboard'!AN$18)))),
IF('User Dashboard'!Z$12=4,
IF('SIR Model Patient Calcs'!B92&lt;'User Dashboard'!AJ$15,'User Dashboard'!AN$14,
IF('SIR Model Patient Calcs'!B92&lt;'User Dashboard'!AJ$16,'User Dashboard'!AN$15,
IF('SIR Model Patient Calcs'!B92&lt;'User Dashboard'!AJ$17,'User Dashboard'!AN$16,
'User Dashboard'!AN$17))),
IF('User Dashboard'!Z$12=3,
IF('SIR Model Patient Calcs'!B92&lt;'User Dashboard'!AJ$15,'User Dashboard'!AN$14,
IF('SIR Model Patient Calcs'!B92&lt;'User Dashboard'!AJ$16,'User Dashboard'!AN$15,
'User Dashboard'!AN$16)),
IF('User Dashboard'!Z$12=2,
IF('SIR Model Patient Calcs'!B92&lt;'User Dashboard'!AJ$15,'User Dashboard'!AN$14,
'User Dashboard'!AN$15),
IF('User Dashboard'!Z$12=1,
'User Dashboard'!AN$14)))))</f>
        <v>15.209356603107825</v>
      </c>
      <c r="D92" s="668">
        <f>'User Dashboard'!X$16</f>
        <v>2.2072878851804097E-2</v>
      </c>
      <c r="E92" s="660">
        <f t="shared" si="11"/>
        <v>8.9862781521070372E-8</v>
      </c>
      <c r="F92" s="660">
        <f t="shared" si="19"/>
        <v>8.9862781521070372E-8</v>
      </c>
      <c r="G92" s="670">
        <f>1/'User Dashboard'!X$12</f>
        <v>0.14285714285714285</v>
      </c>
      <c r="H92" s="359">
        <f t="shared" si="12"/>
        <v>1959427.7076047529</v>
      </c>
      <c r="I92" s="672">
        <f t="shared" si="15"/>
        <v>771798.14998211956</v>
      </c>
      <c r="J92" s="673">
        <f t="shared" si="13"/>
        <v>1004628.7424131271</v>
      </c>
      <c r="K92" s="359">
        <f t="shared" si="16"/>
        <v>1776426.8923952468</v>
      </c>
      <c r="L92" s="673">
        <f t="shared" si="17"/>
        <v>139186.31300215749</v>
      </c>
      <c r="N92" s="287" t="str">
        <f t="shared" si="18"/>
        <v/>
      </c>
      <c r="O92" s="673" t="str">
        <f t="array" ref="O92">IF(N92="","",MAX(IF(A:A=N92,K:K)))</f>
        <v/>
      </c>
    </row>
    <row r="93" spans="1:15" x14ac:dyDescent="0.35">
      <c r="A93" s="287">
        <f t="shared" si="14"/>
        <v>13</v>
      </c>
      <c r="B93" s="288">
        <v>86</v>
      </c>
      <c r="C93" s="667">
        <f>IF('User Dashboard'!Z$12=5,
IF('SIR Model Patient Calcs'!B93&lt;'User Dashboard'!AJ$15,'User Dashboard'!AN$14,
IF('SIR Model Patient Calcs'!B93&lt;'User Dashboard'!AJ$16,'User Dashboard'!AN$15,
IF('SIR Model Patient Calcs'!B93&lt;'User Dashboard'!AJ$17,'User Dashboard'!AN$16,
IF('SIR Model Patient Calcs'!B93&lt;'User Dashboard'!AJ$18,'User Dashboard'!AN$17,
'User Dashboard'!AN$18)))),
IF('User Dashboard'!Z$12=4,
IF('SIR Model Patient Calcs'!B93&lt;'User Dashboard'!AJ$15,'User Dashboard'!AN$14,
IF('SIR Model Patient Calcs'!B93&lt;'User Dashboard'!AJ$16,'User Dashboard'!AN$15,
IF('SIR Model Patient Calcs'!B93&lt;'User Dashboard'!AJ$17,'User Dashboard'!AN$16,
'User Dashboard'!AN$17))),
IF('User Dashboard'!Z$12=3,
IF('SIR Model Patient Calcs'!B93&lt;'User Dashboard'!AJ$15,'User Dashboard'!AN$14,
IF('SIR Model Patient Calcs'!B93&lt;'User Dashboard'!AJ$16,'User Dashboard'!AN$15,
'User Dashboard'!AN$16)),
IF('User Dashboard'!Z$12=2,
IF('SIR Model Patient Calcs'!B93&lt;'User Dashboard'!AJ$15,'User Dashboard'!AN$14,
'User Dashboard'!AN$15),
IF('User Dashboard'!Z$12=1,
'User Dashboard'!AN$14)))))</f>
        <v>15.209356603107825</v>
      </c>
      <c r="D93" s="668">
        <f>'User Dashboard'!X$16</f>
        <v>2.2072878851804097E-2</v>
      </c>
      <c r="E93" s="660">
        <f t="shared" si="11"/>
        <v>8.9862781521070372E-8</v>
      </c>
      <c r="F93" s="660">
        <f t="shared" si="19"/>
        <v>8.9862781521070372E-8</v>
      </c>
      <c r="G93" s="670">
        <f>1/'User Dashboard'!X$12</f>
        <v>0.14285714285714285</v>
      </c>
      <c r="H93" s="359">
        <f t="shared" si="12"/>
        <v>1823529.7795560053</v>
      </c>
      <c r="I93" s="672">
        <f t="shared" si="15"/>
        <v>797439.19946199283</v>
      </c>
      <c r="J93" s="673">
        <f t="shared" si="13"/>
        <v>1114885.6209820013</v>
      </c>
      <c r="K93" s="359">
        <f t="shared" si="16"/>
        <v>1912324.8204439941</v>
      </c>
      <c r="L93" s="673">
        <f t="shared" si="17"/>
        <v>135897.92804874736</v>
      </c>
      <c r="N93" s="287" t="str">
        <f t="shared" si="18"/>
        <v/>
      </c>
      <c r="O93" s="673" t="str">
        <f t="array" ref="O93">IF(N93="","",MAX(IF(A:A=N93,K:K)))</f>
        <v/>
      </c>
    </row>
    <row r="94" spans="1:15" x14ac:dyDescent="0.35">
      <c r="A94" s="287">
        <f t="shared" si="14"/>
        <v>13</v>
      </c>
      <c r="B94" s="288">
        <v>87</v>
      </c>
      <c r="C94" s="667">
        <f>IF('User Dashboard'!Z$12=5,
IF('SIR Model Patient Calcs'!B94&lt;'User Dashboard'!AJ$15,'User Dashboard'!AN$14,
IF('SIR Model Patient Calcs'!B94&lt;'User Dashboard'!AJ$16,'User Dashboard'!AN$15,
IF('SIR Model Patient Calcs'!B94&lt;'User Dashboard'!AJ$17,'User Dashboard'!AN$16,
IF('SIR Model Patient Calcs'!B94&lt;'User Dashboard'!AJ$18,'User Dashboard'!AN$17,
'User Dashboard'!AN$18)))),
IF('User Dashboard'!Z$12=4,
IF('SIR Model Patient Calcs'!B94&lt;'User Dashboard'!AJ$15,'User Dashboard'!AN$14,
IF('SIR Model Patient Calcs'!B94&lt;'User Dashboard'!AJ$16,'User Dashboard'!AN$15,
IF('SIR Model Patient Calcs'!B94&lt;'User Dashboard'!AJ$17,'User Dashboard'!AN$16,
'User Dashboard'!AN$17))),
IF('User Dashboard'!Z$12=3,
IF('SIR Model Patient Calcs'!B94&lt;'User Dashboard'!AJ$15,'User Dashboard'!AN$14,
IF('SIR Model Patient Calcs'!B94&lt;'User Dashboard'!AJ$16,'User Dashboard'!AN$15,
'User Dashboard'!AN$16)),
IF('User Dashboard'!Z$12=2,
IF('SIR Model Patient Calcs'!B94&lt;'User Dashboard'!AJ$15,'User Dashboard'!AN$14,
'User Dashboard'!AN$15),
IF('User Dashboard'!Z$12=1,
'User Dashboard'!AN$14)))))</f>
        <v>15.209356603107825</v>
      </c>
      <c r="D94" s="668">
        <f>'User Dashboard'!X$16</f>
        <v>2.2072878851804097E-2</v>
      </c>
      <c r="E94" s="660">
        <f t="shared" si="11"/>
        <v>8.9862781521070372E-8</v>
      </c>
      <c r="F94" s="660">
        <f t="shared" si="19"/>
        <v>8.9862781521070372E-8</v>
      </c>
      <c r="G94" s="670">
        <f>1/'User Dashboard'!X$12</f>
        <v>0.14285714285714285</v>
      </c>
      <c r="H94" s="359">
        <f t="shared" si="12"/>
        <v>1692855.4448891422</v>
      </c>
      <c r="I94" s="672">
        <f t="shared" si="15"/>
        <v>814193.64849142823</v>
      </c>
      <c r="J94" s="673">
        <f t="shared" si="13"/>
        <v>1228805.5066194288</v>
      </c>
      <c r="K94" s="359">
        <f t="shared" si="16"/>
        <v>2042999.155110857</v>
      </c>
      <c r="L94" s="673">
        <f t="shared" si="17"/>
        <v>130674.33466686285</v>
      </c>
      <c r="N94" s="287" t="str">
        <f t="shared" si="18"/>
        <v/>
      </c>
      <c r="O94" s="673" t="str">
        <f t="array" ref="O94">IF(N94="","",MAX(IF(A:A=N94,K:K)))</f>
        <v/>
      </c>
    </row>
    <row r="95" spans="1:15" x14ac:dyDescent="0.35">
      <c r="A95" s="287">
        <f t="shared" si="14"/>
        <v>13</v>
      </c>
      <c r="B95" s="288">
        <v>88</v>
      </c>
      <c r="C95" s="667">
        <f>IF('User Dashboard'!Z$12=5,
IF('SIR Model Patient Calcs'!B95&lt;'User Dashboard'!AJ$15,'User Dashboard'!AN$14,
IF('SIR Model Patient Calcs'!B95&lt;'User Dashboard'!AJ$16,'User Dashboard'!AN$15,
IF('SIR Model Patient Calcs'!B95&lt;'User Dashboard'!AJ$17,'User Dashboard'!AN$16,
IF('SIR Model Patient Calcs'!B95&lt;'User Dashboard'!AJ$18,'User Dashboard'!AN$17,
'User Dashboard'!AN$18)))),
IF('User Dashboard'!Z$12=4,
IF('SIR Model Patient Calcs'!B95&lt;'User Dashboard'!AJ$15,'User Dashboard'!AN$14,
IF('SIR Model Patient Calcs'!B95&lt;'User Dashboard'!AJ$16,'User Dashboard'!AN$15,
IF('SIR Model Patient Calcs'!B95&lt;'User Dashboard'!AJ$17,'User Dashboard'!AN$16,
'User Dashboard'!AN$17))),
IF('User Dashboard'!Z$12=3,
IF('SIR Model Patient Calcs'!B95&lt;'User Dashboard'!AJ$15,'User Dashboard'!AN$14,
IF('SIR Model Patient Calcs'!B95&lt;'User Dashboard'!AJ$16,'User Dashboard'!AN$15,
'User Dashboard'!AN$16)),
IF('User Dashboard'!Z$12=2,
IF('SIR Model Patient Calcs'!B95&lt;'User Dashboard'!AJ$15,'User Dashboard'!AN$14,
'User Dashboard'!AN$15),
IF('User Dashboard'!Z$12=1,
'User Dashboard'!AN$14)))))</f>
        <v>15.209356603107825</v>
      </c>
      <c r="D95" s="668">
        <f>'User Dashboard'!X$16</f>
        <v>2.2072878851804097E-2</v>
      </c>
      <c r="E95" s="660">
        <f t="shared" si="11"/>
        <v>8.9862781521070385E-8</v>
      </c>
      <c r="F95" s="660">
        <f t="shared" si="19"/>
        <v>8.9862781521070372E-8</v>
      </c>
      <c r="G95" s="670">
        <f>1/'User Dashboard'!X$12</f>
        <v>0.14285714285714285</v>
      </c>
      <c r="H95" s="359">
        <f t="shared" si="12"/>
        <v>1568996.4811921401</v>
      </c>
      <c r="I95" s="672">
        <f t="shared" si="15"/>
        <v>821739.23383251193</v>
      </c>
      <c r="J95" s="673">
        <f t="shared" si="13"/>
        <v>1345118.884975347</v>
      </c>
      <c r="K95" s="359">
        <f t="shared" si="16"/>
        <v>2166858.1188078588</v>
      </c>
      <c r="L95" s="673">
        <f t="shared" si="17"/>
        <v>123858.9636970018</v>
      </c>
      <c r="N95" s="287" t="str">
        <f t="shared" si="18"/>
        <v/>
      </c>
      <c r="O95" s="673" t="str">
        <f t="array" ref="O95">IF(N95="","",MAX(IF(A:A=N95,K:K)))</f>
        <v/>
      </c>
    </row>
    <row r="96" spans="1:15" x14ac:dyDescent="0.35">
      <c r="A96" s="287">
        <f t="shared" si="14"/>
        <v>13</v>
      </c>
      <c r="B96" s="288">
        <v>89</v>
      </c>
      <c r="C96" s="667">
        <f>IF('User Dashboard'!Z$12=5,
IF('SIR Model Patient Calcs'!B96&lt;'User Dashboard'!AJ$15,'User Dashboard'!AN$14,
IF('SIR Model Patient Calcs'!B96&lt;'User Dashboard'!AJ$16,'User Dashboard'!AN$15,
IF('SIR Model Patient Calcs'!B96&lt;'User Dashboard'!AJ$17,'User Dashboard'!AN$16,
IF('SIR Model Patient Calcs'!B96&lt;'User Dashboard'!AJ$18,'User Dashboard'!AN$17,
'User Dashboard'!AN$18)))),
IF('User Dashboard'!Z$12=4,
IF('SIR Model Patient Calcs'!B96&lt;'User Dashboard'!AJ$15,'User Dashboard'!AN$14,
IF('SIR Model Patient Calcs'!B96&lt;'User Dashboard'!AJ$16,'User Dashboard'!AN$15,
IF('SIR Model Patient Calcs'!B96&lt;'User Dashboard'!AJ$17,'User Dashboard'!AN$16,
'User Dashboard'!AN$17))),
IF('User Dashboard'!Z$12=3,
IF('SIR Model Patient Calcs'!B96&lt;'User Dashboard'!AJ$15,'User Dashboard'!AN$14,
IF('SIR Model Patient Calcs'!B96&lt;'User Dashboard'!AJ$16,'User Dashboard'!AN$15,
'User Dashboard'!AN$16)),
IF('User Dashboard'!Z$12=2,
IF('SIR Model Patient Calcs'!B96&lt;'User Dashboard'!AJ$15,'User Dashboard'!AN$14,
'User Dashboard'!AN$15),
IF('User Dashboard'!Z$12=1,
'User Dashboard'!AN$14)))))</f>
        <v>15.209356603107825</v>
      </c>
      <c r="D96" s="668">
        <f>'User Dashboard'!X$16</f>
        <v>2.2072878851804097E-2</v>
      </c>
      <c r="E96" s="660">
        <f t="shared" si="11"/>
        <v>8.9862781521070372E-8</v>
      </c>
      <c r="F96" s="660">
        <f t="shared" si="19"/>
        <v>8.9862781521070372E-8</v>
      </c>
      <c r="G96" s="670">
        <f>1/'User Dashboard'!X$12</f>
        <v>0.14285714285714285</v>
      </c>
      <c r="H96" s="359">
        <f t="shared" si="12"/>
        <v>1453135.8608250502</v>
      </c>
      <c r="I96" s="672">
        <f t="shared" si="15"/>
        <v>820208.53508067178</v>
      </c>
      <c r="J96" s="673">
        <f t="shared" si="13"/>
        <v>1462510.2040942772</v>
      </c>
      <c r="K96" s="359">
        <f t="shared" si="16"/>
        <v>2282718.739174949</v>
      </c>
      <c r="L96" s="673">
        <f t="shared" si="17"/>
        <v>115860.62036709022</v>
      </c>
      <c r="N96" s="287" t="str">
        <f t="shared" si="18"/>
        <v/>
      </c>
      <c r="O96" s="673" t="str">
        <f t="array" ref="O96">IF(N96="","",MAX(IF(A:A=N96,K:K)))</f>
        <v/>
      </c>
    </row>
    <row r="97" spans="1:15" x14ac:dyDescent="0.35">
      <c r="A97" s="287">
        <f t="shared" si="14"/>
        <v>13</v>
      </c>
      <c r="B97" s="288">
        <v>90</v>
      </c>
      <c r="C97" s="667">
        <f>IF('User Dashboard'!Z$12=5,
IF('SIR Model Patient Calcs'!B97&lt;'User Dashboard'!AJ$15,'User Dashboard'!AN$14,
IF('SIR Model Patient Calcs'!B97&lt;'User Dashboard'!AJ$16,'User Dashboard'!AN$15,
IF('SIR Model Patient Calcs'!B97&lt;'User Dashboard'!AJ$17,'User Dashboard'!AN$16,
IF('SIR Model Patient Calcs'!B97&lt;'User Dashboard'!AJ$18,'User Dashboard'!AN$17,
'User Dashboard'!AN$18)))),
IF('User Dashboard'!Z$12=4,
IF('SIR Model Patient Calcs'!B97&lt;'User Dashboard'!AJ$15,'User Dashboard'!AN$14,
IF('SIR Model Patient Calcs'!B97&lt;'User Dashboard'!AJ$16,'User Dashboard'!AN$15,
IF('SIR Model Patient Calcs'!B97&lt;'User Dashboard'!AJ$17,'User Dashboard'!AN$16,
'User Dashboard'!AN$17))),
IF('User Dashboard'!Z$12=3,
IF('SIR Model Patient Calcs'!B97&lt;'User Dashboard'!AJ$15,'User Dashboard'!AN$14,
IF('SIR Model Patient Calcs'!B97&lt;'User Dashboard'!AJ$16,'User Dashboard'!AN$15,
'User Dashboard'!AN$16)),
IF('User Dashboard'!Z$12=2,
IF('SIR Model Patient Calcs'!B97&lt;'User Dashboard'!AJ$15,'User Dashboard'!AN$14,
'User Dashboard'!AN$15),
IF('User Dashboard'!Z$12=1,
'User Dashboard'!AN$14)))))</f>
        <v>15.209356603107825</v>
      </c>
      <c r="D97" s="668">
        <f>'User Dashboard'!X$16</f>
        <v>2.2072878851804097E-2</v>
      </c>
      <c r="E97" s="660">
        <f t="shared" si="11"/>
        <v>8.9862781521070372E-8</v>
      </c>
      <c r="F97" s="660">
        <f t="shared" si="19"/>
        <v>8.9862781521070372E-8</v>
      </c>
      <c r="G97" s="670">
        <f>1/'User Dashboard'!X$12</f>
        <v>0.14285714285714285</v>
      </c>
      <c r="H97" s="359">
        <f t="shared" si="12"/>
        <v>1346030.7088109439</v>
      </c>
      <c r="I97" s="672">
        <f t="shared" si="15"/>
        <v>810141.03922611068</v>
      </c>
      <c r="J97" s="673">
        <f t="shared" si="13"/>
        <v>1579682.8519629447</v>
      </c>
      <c r="K97" s="359">
        <f t="shared" si="16"/>
        <v>2389823.8911890555</v>
      </c>
      <c r="L97" s="673">
        <f t="shared" si="17"/>
        <v>107105.15201410651</v>
      </c>
      <c r="N97" s="287" t="str">
        <f t="shared" si="18"/>
        <v/>
      </c>
      <c r="O97" s="673" t="str">
        <f t="array" ref="O97">IF(N97="","",MAX(IF(A:A=N97,K:K)))</f>
        <v/>
      </c>
    </row>
    <row r="98" spans="1:15" x14ac:dyDescent="0.35">
      <c r="A98" s="287">
        <f t="shared" si="14"/>
        <v>13</v>
      </c>
      <c r="B98" s="288">
        <v>91</v>
      </c>
      <c r="C98" s="667">
        <f>IF('User Dashboard'!Z$12=5,
IF('SIR Model Patient Calcs'!B98&lt;'User Dashboard'!AJ$15,'User Dashboard'!AN$14,
IF('SIR Model Patient Calcs'!B98&lt;'User Dashboard'!AJ$16,'User Dashboard'!AN$15,
IF('SIR Model Patient Calcs'!B98&lt;'User Dashboard'!AJ$17,'User Dashboard'!AN$16,
IF('SIR Model Patient Calcs'!B98&lt;'User Dashboard'!AJ$18,'User Dashboard'!AN$17,
'User Dashboard'!AN$18)))),
IF('User Dashboard'!Z$12=4,
IF('SIR Model Patient Calcs'!B98&lt;'User Dashboard'!AJ$15,'User Dashboard'!AN$14,
IF('SIR Model Patient Calcs'!B98&lt;'User Dashboard'!AJ$16,'User Dashboard'!AN$15,
IF('SIR Model Patient Calcs'!B98&lt;'User Dashboard'!AJ$17,'User Dashboard'!AN$16,
'User Dashboard'!AN$17))),
IF('User Dashboard'!Z$12=3,
IF('SIR Model Patient Calcs'!B98&lt;'User Dashboard'!AJ$15,'User Dashboard'!AN$14,
IF('SIR Model Patient Calcs'!B98&lt;'User Dashboard'!AJ$16,'User Dashboard'!AN$15,
'User Dashboard'!AN$16)),
IF('User Dashboard'!Z$12=2,
IF('SIR Model Patient Calcs'!B98&lt;'User Dashboard'!AJ$15,'User Dashboard'!AN$14,
'User Dashboard'!AN$15),
IF('User Dashboard'!Z$12=1,
'User Dashboard'!AN$14)))))</f>
        <v>15.209356603107825</v>
      </c>
      <c r="D98" s="668">
        <f>'User Dashboard'!X$16</f>
        <v>2.2072878851804097E-2</v>
      </c>
      <c r="E98" s="660">
        <f t="shared" si="11"/>
        <v>8.9862781521070372E-8</v>
      </c>
      <c r="F98" s="660">
        <f t="shared" si="19"/>
        <v>8.9862781521070372E-8</v>
      </c>
      <c r="G98" s="670">
        <f>1/'User Dashboard'!X$12</f>
        <v>0.14285714285714285</v>
      </c>
      <c r="H98" s="359">
        <f t="shared" si="12"/>
        <v>1248037.6175389863</v>
      </c>
      <c r="I98" s="672">
        <f t="shared" si="15"/>
        <v>792399.69632290956</v>
      </c>
      <c r="J98" s="673">
        <f t="shared" si="13"/>
        <v>1695417.2861381033</v>
      </c>
      <c r="K98" s="359">
        <f t="shared" si="16"/>
        <v>2487816.9824610129</v>
      </c>
      <c r="L98" s="673">
        <f t="shared" si="17"/>
        <v>97993.091271957383</v>
      </c>
      <c r="N98" s="287" t="str">
        <f t="shared" si="18"/>
        <v/>
      </c>
      <c r="O98" s="673" t="str">
        <f t="array" ref="O98">IF(N98="","",MAX(IF(A:A=N98,K:K)))</f>
        <v/>
      </c>
    </row>
    <row r="99" spans="1:15" x14ac:dyDescent="0.35">
      <c r="A99" s="287">
        <f t="shared" si="14"/>
        <v>14</v>
      </c>
      <c r="B99" s="288">
        <v>92</v>
      </c>
      <c r="C99" s="667">
        <f>IF('User Dashboard'!Z$12=5,
IF('SIR Model Patient Calcs'!B99&lt;'User Dashboard'!AJ$15,'User Dashboard'!AN$14,
IF('SIR Model Patient Calcs'!B99&lt;'User Dashboard'!AJ$16,'User Dashboard'!AN$15,
IF('SIR Model Patient Calcs'!B99&lt;'User Dashboard'!AJ$17,'User Dashboard'!AN$16,
IF('SIR Model Patient Calcs'!B99&lt;'User Dashboard'!AJ$18,'User Dashboard'!AN$17,
'User Dashboard'!AN$18)))),
IF('User Dashboard'!Z$12=4,
IF('SIR Model Patient Calcs'!B99&lt;'User Dashboard'!AJ$15,'User Dashboard'!AN$14,
IF('SIR Model Patient Calcs'!B99&lt;'User Dashboard'!AJ$16,'User Dashboard'!AN$15,
IF('SIR Model Patient Calcs'!B99&lt;'User Dashboard'!AJ$17,'User Dashboard'!AN$16,
'User Dashboard'!AN$17))),
IF('User Dashboard'!Z$12=3,
IF('SIR Model Patient Calcs'!B99&lt;'User Dashboard'!AJ$15,'User Dashboard'!AN$14,
IF('SIR Model Patient Calcs'!B99&lt;'User Dashboard'!AJ$16,'User Dashboard'!AN$15,
'User Dashboard'!AN$16)),
IF('User Dashboard'!Z$12=2,
IF('SIR Model Patient Calcs'!B99&lt;'User Dashboard'!AJ$15,'User Dashboard'!AN$14,
'User Dashboard'!AN$15),
IF('User Dashboard'!Z$12=1,
'User Dashboard'!AN$14)))))</f>
        <v>15.209356603107825</v>
      </c>
      <c r="D99" s="668">
        <f>'User Dashboard'!X$16</f>
        <v>2.2072878851804097E-2</v>
      </c>
      <c r="E99" s="660">
        <f t="shared" si="11"/>
        <v>8.9862781521070372E-8</v>
      </c>
      <c r="F99" s="660">
        <f t="shared" si="19"/>
        <v>8.9862781521070385E-8</v>
      </c>
      <c r="G99" s="670">
        <f>1/'User Dashboard'!X$12</f>
        <v>0.14285714285714285</v>
      </c>
      <c r="H99" s="359">
        <f t="shared" si="12"/>
        <v>1159168.3023943708</v>
      </c>
      <c r="I99" s="672">
        <f t="shared" si="15"/>
        <v>768069.05484996666</v>
      </c>
      <c r="J99" s="673">
        <f t="shared" si="13"/>
        <v>1808617.242755662</v>
      </c>
      <c r="K99" s="359">
        <f t="shared" si="16"/>
        <v>2576686.2976056286</v>
      </c>
      <c r="L99" s="673">
        <f t="shared" si="17"/>
        <v>88869.315144615714</v>
      </c>
      <c r="N99" s="287" t="str">
        <f t="shared" si="18"/>
        <v/>
      </c>
      <c r="O99" s="673" t="str">
        <f t="array" ref="O99">IF(N99="","",MAX(IF(A:A=N99,K:K)))</f>
        <v/>
      </c>
    </row>
    <row r="100" spans="1:15" x14ac:dyDescent="0.35">
      <c r="A100" s="287">
        <f t="shared" si="14"/>
        <v>14</v>
      </c>
      <c r="B100" s="288">
        <v>93</v>
      </c>
      <c r="C100" s="667">
        <f>IF('User Dashboard'!Z$12=5,
IF('SIR Model Patient Calcs'!B100&lt;'User Dashboard'!AJ$15,'User Dashboard'!AN$14,
IF('SIR Model Patient Calcs'!B100&lt;'User Dashboard'!AJ$16,'User Dashboard'!AN$15,
IF('SIR Model Patient Calcs'!B100&lt;'User Dashboard'!AJ$17,'User Dashboard'!AN$16,
IF('SIR Model Patient Calcs'!B100&lt;'User Dashboard'!AJ$18,'User Dashboard'!AN$17,
'User Dashboard'!AN$18)))),
IF('User Dashboard'!Z$12=4,
IF('SIR Model Patient Calcs'!B100&lt;'User Dashboard'!AJ$15,'User Dashboard'!AN$14,
IF('SIR Model Patient Calcs'!B100&lt;'User Dashboard'!AJ$16,'User Dashboard'!AN$15,
IF('SIR Model Patient Calcs'!B100&lt;'User Dashboard'!AJ$17,'User Dashboard'!AN$16,
'User Dashboard'!AN$17))),
IF('User Dashboard'!Z$12=3,
IF('SIR Model Patient Calcs'!B100&lt;'User Dashboard'!AJ$15,'User Dashboard'!AN$14,
IF('SIR Model Patient Calcs'!B100&lt;'User Dashboard'!AJ$16,'User Dashboard'!AN$15,
'User Dashboard'!AN$16)),
IF('User Dashboard'!Z$12=2,
IF('SIR Model Patient Calcs'!B100&lt;'User Dashboard'!AJ$15,'User Dashboard'!AN$14,
'User Dashboard'!AN$15),
IF('User Dashboard'!Z$12=1,
'User Dashboard'!AN$14)))))</f>
        <v>15.209356603107825</v>
      </c>
      <c r="D100" s="668">
        <f>'User Dashboard'!X$16</f>
        <v>2.2072878851804097E-2</v>
      </c>
      <c r="E100" s="660">
        <f t="shared" si="11"/>
        <v>8.9862781521070372E-8</v>
      </c>
      <c r="F100" s="660">
        <f t="shared" si="19"/>
        <v>8.9862781521070372E-8</v>
      </c>
      <c r="G100" s="670">
        <f>1/'User Dashboard'!X$12</f>
        <v>0.14285714285714285</v>
      </c>
      <c r="H100" s="359">
        <f t="shared" si="12"/>
        <v>1079161.5537103615</v>
      </c>
      <c r="I100" s="672">
        <f t="shared" si="15"/>
        <v>738351.65284112352</v>
      </c>
      <c r="J100" s="673">
        <f t="shared" si="13"/>
        <v>1918341.3934485144</v>
      </c>
      <c r="K100" s="359">
        <f t="shared" si="16"/>
        <v>2656693.0462896377</v>
      </c>
      <c r="L100" s="673">
        <f t="shared" si="17"/>
        <v>80006.748684009071</v>
      </c>
      <c r="N100" s="287" t="str">
        <f t="shared" si="18"/>
        <v/>
      </c>
      <c r="O100" s="673" t="str">
        <f t="array" ref="O100">IF(N100="","",MAX(IF(A:A=N100,K:K)))</f>
        <v/>
      </c>
    </row>
    <row r="101" spans="1:15" x14ac:dyDescent="0.35">
      <c r="A101" s="287">
        <f t="shared" si="14"/>
        <v>14</v>
      </c>
      <c r="B101" s="288">
        <v>94</v>
      </c>
      <c r="C101" s="667">
        <f>IF('User Dashboard'!Z$12=5,
IF('SIR Model Patient Calcs'!B101&lt;'User Dashboard'!AJ$15,'User Dashboard'!AN$14,
IF('SIR Model Patient Calcs'!B101&lt;'User Dashboard'!AJ$16,'User Dashboard'!AN$15,
IF('SIR Model Patient Calcs'!B101&lt;'User Dashboard'!AJ$17,'User Dashboard'!AN$16,
IF('SIR Model Patient Calcs'!B101&lt;'User Dashboard'!AJ$18,'User Dashboard'!AN$17,
'User Dashboard'!AN$18)))),
IF('User Dashboard'!Z$12=4,
IF('SIR Model Patient Calcs'!B101&lt;'User Dashboard'!AJ$15,'User Dashboard'!AN$14,
IF('SIR Model Patient Calcs'!B101&lt;'User Dashboard'!AJ$16,'User Dashboard'!AN$15,
IF('SIR Model Patient Calcs'!B101&lt;'User Dashboard'!AJ$17,'User Dashboard'!AN$16,
'User Dashboard'!AN$17))),
IF('User Dashboard'!Z$12=3,
IF('SIR Model Patient Calcs'!B101&lt;'User Dashboard'!AJ$15,'User Dashboard'!AN$14,
IF('SIR Model Patient Calcs'!B101&lt;'User Dashboard'!AJ$16,'User Dashboard'!AN$15,
'User Dashboard'!AN$16)),
IF('User Dashboard'!Z$12=2,
IF('SIR Model Patient Calcs'!B101&lt;'User Dashboard'!AJ$15,'User Dashboard'!AN$14,
'User Dashboard'!AN$15),
IF('User Dashboard'!Z$12=1,
'User Dashboard'!AN$14)))))</f>
        <v>15.209356603107825</v>
      </c>
      <c r="D101" s="668">
        <f>'User Dashboard'!X$16</f>
        <v>2.2072878851804097E-2</v>
      </c>
      <c r="E101" s="660">
        <f t="shared" si="11"/>
        <v>8.9862781521070372E-8</v>
      </c>
      <c r="F101" s="660">
        <f t="shared" si="19"/>
        <v>8.9862781521070372E-8</v>
      </c>
      <c r="G101" s="670">
        <f>1/'User Dashboard'!X$12</f>
        <v>0.14285714285714285</v>
      </c>
      <c r="H101" s="359">
        <f t="shared" si="12"/>
        <v>1007558.824974922</v>
      </c>
      <c r="I101" s="672">
        <f t="shared" si="15"/>
        <v>704475.57402783097</v>
      </c>
      <c r="J101" s="673">
        <f t="shared" si="13"/>
        <v>2023820.2009972464</v>
      </c>
      <c r="K101" s="359">
        <f t="shared" si="16"/>
        <v>2728295.7750250772</v>
      </c>
      <c r="L101" s="673">
        <f t="shared" si="17"/>
        <v>71602.728735439479</v>
      </c>
      <c r="N101" s="287" t="str">
        <f t="shared" si="18"/>
        <v/>
      </c>
      <c r="O101" s="673" t="str">
        <f t="array" ref="O101">IF(N101="","",MAX(IF(A:A=N101,K:K)))</f>
        <v/>
      </c>
    </row>
    <row r="102" spans="1:15" x14ac:dyDescent="0.35">
      <c r="A102" s="287">
        <f t="shared" si="14"/>
        <v>14</v>
      </c>
      <c r="B102" s="288">
        <v>95</v>
      </c>
      <c r="C102" s="667">
        <f>IF('User Dashboard'!Z$12=5,
IF('SIR Model Patient Calcs'!B102&lt;'User Dashboard'!AJ$15,'User Dashboard'!AN$14,
IF('SIR Model Patient Calcs'!B102&lt;'User Dashboard'!AJ$16,'User Dashboard'!AN$15,
IF('SIR Model Patient Calcs'!B102&lt;'User Dashboard'!AJ$17,'User Dashboard'!AN$16,
IF('SIR Model Patient Calcs'!B102&lt;'User Dashboard'!AJ$18,'User Dashboard'!AN$17,
'User Dashboard'!AN$18)))),
IF('User Dashboard'!Z$12=4,
IF('SIR Model Patient Calcs'!B102&lt;'User Dashboard'!AJ$15,'User Dashboard'!AN$14,
IF('SIR Model Patient Calcs'!B102&lt;'User Dashboard'!AJ$16,'User Dashboard'!AN$15,
IF('SIR Model Patient Calcs'!B102&lt;'User Dashboard'!AJ$17,'User Dashboard'!AN$16,
'User Dashboard'!AN$17))),
IF('User Dashboard'!Z$12=3,
IF('SIR Model Patient Calcs'!B102&lt;'User Dashboard'!AJ$15,'User Dashboard'!AN$14,
IF('SIR Model Patient Calcs'!B102&lt;'User Dashboard'!AJ$16,'User Dashboard'!AN$15,
'User Dashboard'!AN$16)),
IF('User Dashboard'!Z$12=2,
IF('SIR Model Patient Calcs'!B102&lt;'User Dashboard'!AJ$15,'User Dashboard'!AN$14,
'User Dashboard'!AN$15),
IF('User Dashboard'!Z$12=1,
'User Dashboard'!AN$14)))))</f>
        <v>15.209356603107825</v>
      </c>
      <c r="D102" s="668">
        <f>'User Dashboard'!X$16</f>
        <v>2.2072878851804097E-2</v>
      </c>
      <c r="E102" s="660">
        <f t="shared" si="11"/>
        <v>8.9862781521070372E-8</v>
      </c>
      <c r="F102" s="660">
        <f t="shared" si="19"/>
        <v>8.9862781521070385E-8</v>
      </c>
      <c r="G102" s="670">
        <f>1/'User Dashboard'!X$12</f>
        <v>0.14285714285714285</v>
      </c>
      <c r="H102" s="359">
        <f t="shared" si="12"/>
        <v>943774.17038787995</v>
      </c>
      <c r="I102" s="672">
        <f t="shared" si="15"/>
        <v>667620.86089661147</v>
      </c>
      <c r="J102" s="673">
        <f t="shared" si="13"/>
        <v>2124459.5687155081</v>
      </c>
      <c r="K102" s="359">
        <f t="shared" si="16"/>
        <v>2792080.4296121197</v>
      </c>
      <c r="L102" s="673">
        <f t="shared" si="17"/>
        <v>63784.654587042518</v>
      </c>
      <c r="N102" s="287" t="str">
        <f t="shared" si="18"/>
        <v/>
      </c>
      <c r="O102" s="673" t="str">
        <f t="array" ref="O102">IF(N102="","",MAX(IF(A:A=N102,K:K)))</f>
        <v/>
      </c>
    </row>
    <row r="103" spans="1:15" x14ac:dyDescent="0.35">
      <c r="A103" s="287">
        <f t="shared" si="14"/>
        <v>14</v>
      </c>
      <c r="B103" s="288">
        <v>96</v>
      </c>
      <c r="C103" s="667">
        <f>IF('User Dashboard'!Z$12=5,
IF('SIR Model Patient Calcs'!B103&lt;'User Dashboard'!AJ$15,'User Dashboard'!AN$14,
IF('SIR Model Patient Calcs'!B103&lt;'User Dashboard'!AJ$16,'User Dashboard'!AN$15,
IF('SIR Model Patient Calcs'!B103&lt;'User Dashboard'!AJ$17,'User Dashboard'!AN$16,
IF('SIR Model Patient Calcs'!B103&lt;'User Dashboard'!AJ$18,'User Dashboard'!AN$17,
'User Dashboard'!AN$18)))),
IF('User Dashboard'!Z$12=4,
IF('SIR Model Patient Calcs'!B103&lt;'User Dashboard'!AJ$15,'User Dashboard'!AN$14,
IF('SIR Model Patient Calcs'!B103&lt;'User Dashboard'!AJ$16,'User Dashboard'!AN$15,
IF('SIR Model Patient Calcs'!B103&lt;'User Dashboard'!AJ$17,'User Dashboard'!AN$16,
'User Dashboard'!AN$17))),
IF('User Dashboard'!Z$12=3,
IF('SIR Model Patient Calcs'!B103&lt;'User Dashboard'!AJ$15,'User Dashboard'!AN$14,
IF('SIR Model Patient Calcs'!B103&lt;'User Dashboard'!AJ$16,'User Dashboard'!AN$15,
'User Dashboard'!AN$16)),
IF('User Dashboard'!Z$12=2,
IF('SIR Model Patient Calcs'!B103&lt;'User Dashboard'!AJ$15,'User Dashboard'!AN$14,
'User Dashboard'!AN$15),
IF('User Dashboard'!Z$12=1,
'User Dashboard'!AN$14)))))</f>
        <v>15.209356603107825</v>
      </c>
      <c r="D103" s="668">
        <f>'User Dashboard'!X$16</f>
        <v>2.2072878851804097E-2</v>
      </c>
      <c r="E103" s="660">
        <f t="shared" si="11"/>
        <v>8.9862781521070372E-8</v>
      </c>
      <c r="F103" s="660">
        <f t="shared" si="19"/>
        <v>8.9862781521070385E-8</v>
      </c>
      <c r="G103" s="670">
        <f>1/'User Dashboard'!X$12</f>
        <v>0.14285714285714285</v>
      </c>
      <c r="H103" s="359">
        <f t="shared" si="12"/>
        <v>887153.13029184472</v>
      </c>
      <c r="I103" s="672">
        <f t="shared" si="15"/>
        <v>628867.49229313072</v>
      </c>
      <c r="J103" s="673">
        <f t="shared" si="13"/>
        <v>2219833.9774150238</v>
      </c>
      <c r="K103" s="359">
        <f t="shared" si="16"/>
        <v>2848701.4697081544</v>
      </c>
      <c r="L103" s="673">
        <f t="shared" si="17"/>
        <v>56621.040096034762</v>
      </c>
      <c r="N103" s="287" t="str">
        <f t="shared" si="18"/>
        <v/>
      </c>
      <c r="O103" s="673" t="str">
        <f t="array" ref="O103">IF(N103="","",MAX(IF(A:A=N103,K:K)))</f>
        <v/>
      </c>
    </row>
    <row r="104" spans="1:15" x14ac:dyDescent="0.35">
      <c r="A104" s="287">
        <f t="shared" si="14"/>
        <v>14</v>
      </c>
      <c r="B104" s="288">
        <v>97</v>
      </c>
      <c r="C104" s="667">
        <f>IF('User Dashboard'!Z$12=5,
IF('SIR Model Patient Calcs'!B104&lt;'User Dashboard'!AJ$15,'User Dashboard'!AN$14,
IF('SIR Model Patient Calcs'!B104&lt;'User Dashboard'!AJ$16,'User Dashboard'!AN$15,
IF('SIR Model Patient Calcs'!B104&lt;'User Dashboard'!AJ$17,'User Dashboard'!AN$16,
IF('SIR Model Patient Calcs'!B104&lt;'User Dashboard'!AJ$18,'User Dashboard'!AN$17,
'User Dashboard'!AN$18)))),
IF('User Dashboard'!Z$12=4,
IF('SIR Model Patient Calcs'!B104&lt;'User Dashboard'!AJ$15,'User Dashboard'!AN$14,
IF('SIR Model Patient Calcs'!B104&lt;'User Dashboard'!AJ$16,'User Dashboard'!AN$15,
IF('SIR Model Patient Calcs'!B104&lt;'User Dashboard'!AJ$17,'User Dashboard'!AN$16,
'User Dashboard'!AN$17))),
IF('User Dashboard'!Z$12=3,
IF('SIR Model Patient Calcs'!B104&lt;'User Dashboard'!AJ$15,'User Dashboard'!AN$14,
IF('SIR Model Patient Calcs'!B104&lt;'User Dashboard'!AJ$16,'User Dashboard'!AN$15,
'User Dashboard'!AN$16)),
IF('User Dashboard'!Z$12=2,
IF('SIR Model Patient Calcs'!B104&lt;'User Dashboard'!AJ$15,'User Dashboard'!AN$14,
'User Dashboard'!AN$15),
IF('User Dashboard'!Z$12=1,
'User Dashboard'!AN$14)))))</f>
        <v>15.209356603107825</v>
      </c>
      <c r="D104" s="668">
        <f>'User Dashboard'!X$16</f>
        <v>2.2072878851804097E-2</v>
      </c>
      <c r="E104" s="660">
        <f t="shared" si="11"/>
        <v>8.9862781521070372E-8</v>
      </c>
      <c r="F104" s="660">
        <f t="shared" si="19"/>
        <v>8.9862781521070385E-8</v>
      </c>
      <c r="G104" s="670">
        <f>1/'User Dashboard'!X$12</f>
        <v>0.14285714285714285</v>
      </c>
      <c r="H104" s="359">
        <f t="shared" si="12"/>
        <v>837018.52593394078</v>
      </c>
      <c r="I104" s="672">
        <f t="shared" si="15"/>
        <v>589163.88346630172</v>
      </c>
      <c r="J104" s="673">
        <f t="shared" si="13"/>
        <v>2309672.1905997568</v>
      </c>
      <c r="K104" s="359">
        <f t="shared" si="16"/>
        <v>2898836.0740660587</v>
      </c>
      <c r="L104" s="673">
        <f t="shared" si="17"/>
        <v>50134.604357904289</v>
      </c>
      <c r="N104" s="287" t="str">
        <f t="shared" si="18"/>
        <v/>
      </c>
      <c r="O104" s="673" t="str">
        <f t="array" ref="O104">IF(N104="","",MAX(IF(A:A=N104,K:K)))</f>
        <v/>
      </c>
    </row>
    <row r="105" spans="1:15" x14ac:dyDescent="0.35">
      <c r="A105" s="287">
        <f t="shared" si="14"/>
        <v>14</v>
      </c>
      <c r="B105" s="288">
        <v>98</v>
      </c>
      <c r="C105" s="667">
        <f>IF('User Dashboard'!Z$12=5,
IF('SIR Model Patient Calcs'!B105&lt;'User Dashboard'!AJ$15,'User Dashboard'!AN$14,
IF('SIR Model Patient Calcs'!B105&lt;'User Dashboard'!AJ$16,'User Dashboard'!AN$15,
IF('SIR Model Patient Calcs'!B105&lt;'User Dashboard'!AJ$17,'User Dashboard'!AN$16,
IF('SIR Model Patient Calcs'!B105&lt;'User Dashboard'!AJ$18,'User Dashboard'!AN$17,
'User Dashboard'!AN$18)))),
IF('User Dashboard'!Z$12=4,
IF('SIR Model Patient Calcs'!B105&lt;'User Dashboard'!AJ$15,'User Dashboard'!AN$14,
IF('SIR Model Patient Calcs'!B105&lt;'User Dashboard'!AJ$16,'User Dashboard'!AN$15,
IF('SIR Model Patient Calcs'!B105&lt;'User Dashboard'!AJ$17,'User Dashboard'!AN$16,
'User Dashboard'!AN$17))),
IF('User Dashboard'!Z$12=3,
IF('SIR Model Patient Calcs'!B105&lt;'User Dashboard'!AJ$15,'User Dashboard'!AN$14,
IF('SIR Model Patient Calcs'!B105&lt;'User Dashboard'!AJ$16,'User Dashboard'!AN$15,
'User Dashboard'!AN$16)),
IF('User Dashboard'!Z$12=2,
IF('SIR Model Patient Calcs'!B105&lt;'User Dashboard'!AJ$15,'User Dashboard'!AN$14,
'User Dashboard'!AN$15),
IF('User Dashboard'!Z$12=1,
'User Dashboard'!AN$14)))))</f>
        <v>15.209356603107825</v>
      </c>
      <c r="D105" s="668">
        <f>'User Dashboard'!X$16</f>
        <v>2.2072878851804097E-2</v>
      </c>
      <c r="E105" s="660">
        <f t="shared" si="11"/>
        <v>8.9862781521070372E-8</v>
      </c>
      <c r="F105" s="660">
        <f t="shared" si="19"/>
        <v>8.9862781521070372E-8</v>
      </c>
      <c r="G105" s="670">
        <f>1/'User Dashboard'!X$12</f>
        <v>0.14285714285714285</v>
      </c>
      <c r="H105" s="359">
        <f t="shared" si="12"/>
        <v>792703.49632903642</v>
      </c>
      <c r="I105" s="672">
        <f t="shared" si="15"/>
        <v>549312.64400459162</v>
      </c>
      <c r="J105" s="673">
        <f t="shared" si="13"/>
        <v>2393838.4596663713</v>
      </c>
      <c r="K105" s="359">
        <f t="shared" si="16"/>
        <v>2943151.1036709631</v>
      </c>
      <c r="L105" s="673">
        <f t="shared" si="17"/>
        <v>44315.029604904354</v>
      </c>
      <c r="N105" s="287" t="str">
        <f t="shared" si="18"/>
        <v/>
      </c>
      <c r="O105" s="673" t="str">
        <f t="array" ref="O105">IF(N105="","",MAX(IF(A:A=N105,K:K)))</f>
        <v/>
      </c>
    </row>
    <row r="106" spans="1:15" x14ac:dyDescent="0.35">
      <c r="A106" s="287">
        <f t="shared" si="14"/>
        <v>15</v>
      </c>
      <c r="B106" s="288">
        <v>99</v>
      </c>
      <c r="C106" s="667">
        <f>IF('User Dashboard'!Z$12=5,
IF('SIR Model Patient Calcs'!B106&lt;'User Dashboard'!AJ$15,'User Dashboard'!AN$14,
IF('SIR Model Patient Calcs'!B106&lt;'User Dashboard'!AJ$16,'User Dashboard'!AN$15,
IF('SIR Model Patient Calcs'!B106&lt;'User Dashboard'!AJ$17,'User Dashboard'!AN$16,
IF('SIR Model Patient Calcs'!B106&lt;'User Dashboard'!AJ$18,'User Dashboard'!AN$17,
'User Dashboard'!AN$18)))),
IF('User Dashboard'!Z$12=4,
IF('SIR Model Patient Calcs'!B106&lt;'User Dashboard'!AJ$15,'User Dashboard'!AN$14,
IF('SIR Model Patient Calcs'!B106&lt;'User Dashboard'!AJ$16,'User Dashboard'!AN$15,
IF('SIR Model Patient Calcs'!B106&lt;'User Dashboard'!AJ$17,'User Dashboard'!AN$16,
'User Dashboard'!AN$17))),
IF('User Dashboard'!Z$12=3,
IF('SIR Model Patient Calcs'!B106&lt;'User Dashboard'!AJ$15,'User Dashboard'!AN$14,
IF('SIR Model Patient Calcs'!B106&lt;'User Dashboard'!AJ$16,'User Dashboard'!AN$15,
'User Dashboard'!AN$16)),
IF('User Dashboard'!Z$12=2,
IF('SIR Model Patient Calcs'!B106&lt;'User Dashboard'!AJ$15,'User Dashboard'!AN$14,
'User Dashboard'!AN$15),
IF('User Dashboard'!Z$12=1,
'User Dashboard'!AN$14)))))</f>
        <v>15.209356603107825</v>
      </c>
      <c r="D106" s="668">
        <f>'User Dashboard'!X$16</f>
        <v>2.2072878851804097E-2</v>
      </c>
      <c r="E106" s="660">
        <f t="shared" si="11"/>
        <v>8.9862781521070372E-8</v>
      </c>
      <c r="F106" s="660">
        <f t="shared" si="19"/>
        <v>8.9862781521070372E-8</v>
      </c>
      <c r="G106" s="670">
        <f>1/'User Dashboard'!X$12</f>
        <v>0.14285714285714285</v>
      </c>
      <c r="H106" s="359">
        <f t="shared" si="12"/>
        <v>753573.46221206011</v>
      </c>
      <c r="I106" s="672">
        <f t="shared" si="15"/>
        <v>509969.44326376915</v>
      </c>
      <c r="J106" s="673">
        <f t="shared" si="13"/>
        <v>2472311.6945241704</v>
      </c>
      <c r="K106" s="359">
        <f t="shared" si="16"/>
        <v>2982281.1377879395</v>
      </c>
      <c r="L106" s="673">
        <f t="shared" si="17"/>
        <v>39130.034116976429</v>
      </c>
      <c r="N106" s="287" t="str">
        <f t="shared" si="18"/>
        <v/>
      </c>
      <c r="O106" s="673" t="str">
        <f t="array" ref="O106">IF(N106="","",MAX(IF(A:A=N106,K:K)))</f>
        <v/>
      </c>
    </row>
    <row r="107" spans="1:15" x14ac:dyDescent="0.35">
      <c r="A107" s="287">
        <f t="shared" si="14"/>
        <v>15</v>
      </c>
      <c r="B107" s="288">
        <v>100</v>
      </c>
      <c r="C107" s="667">
        <f>IF('User Dashboard'!Z$12=5,
IF('SIR Model Patient Calcs'!B107&lt;'User Dashboard'!AJ$15,'User Dashboard'!AN$14,
IF('SIR Model Patient Calcs'!B107&lt;'User Dashboard'!AJ$16,'User Dashboard'!AN$15,
IF('SIR Model Patient Calcs'!B107&lt;'User Dashboard'!AJ$17,'User Dashboard'!AN$16,
IF('SIR Model Patient Calcs'!B107&lt;'User Dashboard'!AJ$18,'User Dashboard'!AN$17,
'User Dashboard'!AN$18)))),
IF('User Dashboard'!Z$12=4,
IF('SIR Model Patient Calcs'!B107&lt;'User Dashboard'!AJ$15,'User Dashboard'!AN$14,
IF('SIR Model Patient Calcs'!B107&lt;'User Dashboard'!AJ$16,'User Dashboard'!AN$15,
IF('SIR Model Patient Calcs'!B107&lt;'User Dashboard'!AJ$17,'User Dashboard'!AN$16,
'User Dashboard'!AN$17))),
IF('User Dashboard'!Z$12=3,
IF('SIR Model Patient Calcs'!B107&lt;'User Dashboard'!AJ$15,'User Dashboard'!AN$14,
IF('SIR Model Patient Calcs'!B107&lt;'User Dashboard'!AJ$16,'User Dashboard'!AN$15,
'User Dashboard'!AN$16)),
IF('User Dashboard'!Z$12=2,
IF('SIR Model Patient Calcs'!B107&lt;'User Dashboard'!AJ$15,'User Dashboard'!AN$14,
'User Dashboard'!AN$15),
IF('User Dashboard'!Z$12=1,
'User Dashboard'!AN$14)))))</f>
        <v>15.209356603107825</v>
      </c>
      <c r="D107" s="668">
        <f>'User Dashboard'!X$16</f>
        <v>2.2072878851804097E-2</v>
      </c>
      <c r="E107" s="660">
        <f t="shared" si="11"/>
        <v>8.9862781521070372E-8</v>
      </c>
      <c r="F107" s="660">
        <f t="shared" si="19"/>
        <v>8.9862781521070372E-8</v>
      </c>
      <c r="G107" s="670">
        <f>1/'User Dashboard'!X$12</f>
        <v>0.14285714285714285</v>
      </c>
      <c r="H107" s="359">
        <f t="shared" si="12"/>
        <v>719039.24568809359</v>
      </c>
      <c r="I107" s="672">
        <f t="shared" si="15"/>
        <v>471650.88217862573</v>
      </c>
      <c r="J107" s="673">
        <f t="shared" si="13"/>
        <v>2545164.4721332802</v>
      </c>
      <c r="K107" s="359">
        <f t="shared" si="16"/>
        <v>3016815.3543119058</v>
      </c>
      <c r="L107" s="673">
        <f t="shared" si="17"/>
        <v>34534.216523966286</v>
      </c>
      <c r="N107" s="287" t="str">
        <f t="shared" si="18"/>
        <v/>
      </c>
      <c r="O107" s="673" t="str">
        <f t="array" ref="O107">IF(N107="","",MAX(IF(A:A=N107,K:K)))</f>
        <v/>
      </c>
    </row>
    <row r="108" spans="1:15" x14ac:dyDescent="0.35">
      <c r="A108" s="287">
        <f t="shared" si="14"/>
        <v>15</v>
      </c>
      <c r="B108" s="288">
        <v>101</v>
      </c>
      <c r="C108" s="667">
        <f>IF('User Dashboard'!Z$12=5,
IF('SIR Model Patient Calcs'!B108&lt;'User Dashboard'!AJ$15,'User Dashboard'!AN$14,
IF('SIR Model Patient Calcs'!B108&lt;'User Dashboard'!AJ$16,'User Dashboard'!AN$15,
IF('SIR Model Patient Calcs'!B108&lt;'User Dashboard'!AJ$17,'User Dashboard'!AN$16,
IF('SIR Model Patient Calcs'!B108&lt;'User Dashboard'!AJ$18,'User Dashboard'!AN$17,
'User Dashboard'!AN$18)))),
IF('User Dashboard'!Z$12=4,
IF('SIR Model Patient Calcs'!B108&lt;'User Dashboard'!AJ$15,'User Dashboard'!AN$14,
IF('SIR Model Patient Calcs'!B108&lt;'User Dashboard'!AJ$16,'User Dashboard'!AN$15,
IF('SIR Model Patient Calcs'!B108&lt;'User Dashboard'!AJ$17,'User Dashboard'!AN$16,
'User Dashboard'!AN$17))),
IF('User Dashboard'!Z$12=3,
IF('SIR Model Patient Calcs'!B108&lt;'User Dashboard'!AJ$15,'User Dashboard'!AN$14,
IF('SIR Model Patient Calcs'!B108&lt;'User Dashboard'!AJ$16,'User Dashboard'!AN$15,
'User Dashboard'!AN$16)),
IF('User Dashboard'!Z$12=2,
IF('SIR Model Patient Calcs'!B108&lt;'User Dashboard'!AJ$15,'User Dashboard'!AN$14,
'User Dashboard'!AN$15),
IF('User Dashboard'!Z$12=1,
'User Dashboard'!AN$14)))))</f>
        <v>15.209356603107825</v>
      </c>
      <c r="D108" s="668">
        <f>'User Dashboard'!X$16</f>
        <v>2.2072878851804097E-2</v>
      </c>
      <c r="E108" s="660">
        <f t="shared" si="11"/>
        <v>8.9862781521070372E-8</v>
      </c>
      <c r="F108" s="660">
        <f t="shared" si="19"/>
        <v>8.9862781521070372E-8</v>
      </c>
      <c r="G108" s="670">
        <f>1/'User Dashboard'!X$12</f>
        <v>0.14285714285714285</v>
      </c>
      <c r="H108" s="359">
        <f t="shared" si="12"/>
        <v>688563.58683532092</v>
      </c>
      <c r="I108" s="672">
        <f t="shared" si="15"/>
        <v>434747.84357730905</v>
      </c>
      <c r="J108" s="673">
        <f t="shared" si="13"/>
        <v>2612543.1695873695</v>
      </c>
      <c r="K108" s="359">
        <f t="shared" si="16"/>
        <v>3047291.0131646786</v>
      </c>
      <c r="L108" s="673">
        <f t="shared" si="17"/>
        <v>30475.658852772787</v>
      </c>
      <c r="N108" s="287" t="str">
        <f t="shared" ref="N108:N122" si="20">IF(OR(N107=0,N107=""),"",N107-1)</f>
        <v/>
      </c>
      <c r="O108" s="673" t="str">
        <f t="array" ref="O108">IF(N108="","",MAX(IF(A:A=N108,K:K)))</f>
        <v/>
      </c>
    </row>
    <row r="109" spans="1:15" x14ac:dyDescent="0.35">
      <c r="A109" s="287">
        <f t="shared" si="14"/>
        <v>15</v>
      </c>
      <c r="B109" s="288">
        <v>102</v>
      </c>
      <c r="C109" s="667">
        <f>IF('User Dashboard'!Z$12=5,
IF('SIR Model Patient Calcs'!B109&lt;'User Dashboard'!AJ$15,'User Dashboard'!AN$14,
IF('SIR Model Patient Calcs'!B109&lt;'User Dashboard'!AJ$16,'User Dashboard'!AN$15,
IF('SIR Model Patient Calcs'!B109&lt;'User Dashboard'!AJ$17,'User Dashboard'!AN$16,
IF('SIR Model Patient Calcs'!B109&lt;'User Dashboard'!AJ$18,'User Dashboard'!AN$17,
'User Dashboard'!AN$18)))),
IF('User Dashboard'!Z$12=4,
IF('SIR Model Patient Calcs'!B109&lt;'User Dashboard'!AJ$15,'User Dashboard'!AN$14,
IF('SIR Model Patient Calcs'!B109&lt;'User Dashboard'!AJ$16,'User Dashboard'!AN$15,
IF('SIR Model Patient Calcs'!B109&lt;'User Dashboard'!AJ$17,'User Dashboard'!AN$16,
'User Dashboard'!AN$17))),
IF('User Dashboard'!Z$12=3,
IF('SIR Model Patient Calcs'!B109&lt;'User Dashboard'!AJ$15,'User Dashboard'!AN$14,
IF('SIR Model Patient Calcs'!B109&lt;'User Dashboard'!AJ$16,'User Dashboard'!AN$15,
'User Dashboard'!AN$16)),
IF('User Dashboard'!Z$12=2,
IF('SIR Model Patient Calcs'!B109&lt;'User Dashboard'!AJ$15,'User Dashboard'!AN$14,
'User Dashboard'!AN$15),
IF('User Dashboard'!Z$12=1,
'User Dashboard'!AN$14)))))</f>
        <v>15.209356603107825</v>
      </c>
      <c r="D109" s="668">
        <f>'User Dashboard'!X$16</f>
        <v>2.2072878851804097E-2</v>
      </c>
      <c r="E109" s="660">
        <f t="shared" si="11"/>
        <v>8.9862781521070372E-8</v>
      </c>
      <c r="F109" s="660">
        <f t="shared" si="19"/>
        <v>8.9862781521070372E-8</v>
      </c>
      <c r="G109" s="670">
        <f>1/'User Dashboard'!X$12</f>
        <v>0.14285714285714285</v>
      </c>
      <c r="H109" s="359">
        <f t="shared" si="12"/>
        <v>661663.02528872993</v>
      </c>
      <c r="I109" s="672">
        <f t="shared" si="15"/>
        <v>399541.57032714161</v>
      </c>
      <c r="J109" s="673">
        <f t="shared" si="13"/>
        <v>2674650.0043841279</v>
      </c>
      <c r="K109" s="359">
        <f t="shared" si="16"/>
        <v>3074191.5747112697</v>
      </c>
      <c r="L109" s="673">
        <f t="shared" si="17"/>
        <v>26900.561546591111</v>
      </c>
      <c r="N109" s="287" t="str">
        <f t="shared" si="20"/>
        <v/>
      </c>
      <c r="O109" s="673" t="str">
        <f t="array" ref="O109">IF(N109="","",MAX(IF(A:A=N109,K:K)))</f>
        <v/>
      </c>
    </row>
    <row r="110" spans="1:15" x14ac:dyDescent="0.35">
      <c r="A110" s="287">
        <f t="shared" si="14"/>
        <v>15</v>
      </c>
      <c r="B110" s="288">
        <v>103</v>
      </c>
      <c r="C110" s="667">
        <f>IF('User Dashboard'!Z$12=5,
IF('SIR Model Patient Calcs'!B110&lt;'User Dashboard'!AJ$15,'User Dashboard'!AN$14,
IF('SIR Model Patient Calcs'!B110&lt;'User Dashboard'!AJ$16,'User Dashboard'!AN$15,
IF('SIR Model Patient Calcs'!B110&lt;'User Dashboard'!AJ$17,'User Dashboard'!AN$16,
IF('SIR Model Patient Calcs'!B110&lt;'User Dashboard'!AJ$18,'User Dashboard'!AN$17,
'User Dashboard'!AN$18)))),
IF('User Dashboard'!Z$12=4,
IF('SIR Model Patient Calcs'!B110&lt;'User Dashboard'!AJ$15,'User Dashboard'!AN$14,
IF('SIR Model Patient Calcs'!B110&lt;'User Dashboard'!AJ$16,'User Dashboard'!AN$15,
IF('SIR Model Patient Calcs'!B110&lt;'User Dashboard'!AJ$17,'User Dashboard'!AN$16,
'User Dashboard'!AN$17))),
IF('User Dashboard'!Z$12=3,
IF('SIR Model Patient Calcs'!B110&lt;'User Dashboard'!AJ$15,'User Dashboard'!AN$14,
IF('SIR Model Patient Calcs'!B110&lt;'User Dashboard'!AJ$16,'User Dashboard'!AN$15,
'User Dashboard'!AN$16)),
IF('User Dashboard'!Z$12=2,
IF('SIR Model Patient Calcs'!B110&lt;'User Dashboard'!AJ$15,'User Dashboard'!AN$14,
'User Dashboard'!AN$15),
IF('User Dashboard'!Z$12=1,
'User Dashboard'!AN$14)))))</f>
        <v>15.209356603107825</v>
      </c>
      <c r="D110" s="668">
        <f>'User Dashboard'!X$16</f>
        <v>2.2072878851804097E-2</v>
      </c>
      <c r="E110" s="660">
        <f t="shared" si="11"/>
        <v>8.9862781521070372E-8</v>
      </c>
      <c r="F110" s="660">
        <f t="shared" si="19"/>
        <v>8.9862781521070372E-8</v>
      </c>
      <c r="G110" s="670">
        <f>1/'User Dashboard'!X$12</f>
        <v>0.14285714285714285</v>
      </c>
      <c r="H110" s="359">
        <f t="shared" si="12"/>
        <v>637906.73105074617</v>
      </c>
      <c r="I110" s="672">
        <f t="shared" si="15"/>
        <v>366220.49737553374</v>
      </c>
      <c r="J110" s="673">
        <f t="shared" si="13"/>
        <v>2731727.3715737197</v>
      </c>
      <c r="K110" s="359">
        <f t="shared" si="16"/>
        <v>3097947.8689492536</v>
      </c>
      <c r="L110" s="673">
        <f t="shared" si="17"/>
        <v>23756.294237983879</v>
      </c>
      <c r="N110" s="287" t="str">
        <f t="shared" si="20"/>
        <v/>
      </c>
      <c r="O110" s="673" t="str">
        <f t="array" ref="O110">IF(N110="","",MAX(IF(A:A=N110,K:K)))</f>
        <v/>
      </c>
    </row>
    <row r="111" spans="1:15" x14ac:dyDescent="0.35">
      <c r="A111" s="287">
        <f t="shared" si="14"/>
        <v>15</v>
      </c>
      <c r="B111" s="288">
        <v>104</v>
      </c>
      <c r="C111" s="667">
        <f>IF('User Dashboard'!Z$12=5,
IF('SIR Model Patient Calcs'!B111&lt;'User Dashboard'!AJ$15,'User Dashboard'!AN$14,
IF('SIR Model Patient Calcs'!B111&lt;'User Dashboard'!AJ$16,'User Dashboard'!AN$15,
IF('SIR Model Patient Calcs'!B111&lt;'User Dashboard'!AJ$17,'User Dashboard'!AN$16,
IF('SIR Model Patient Calcs'!B111&lt;'User Dashboard'!AJ$18,'User Dashboard'!AN$17,
'User Dashboard'!AN$18)))),
IF('User Dashboard'!Z$12=4,
IF('SIR Model Patient Calcs'!B111&lt;'User Dashboard'!AJ$15,'User Dashboard'!AN$14,
IF('SIR Model Patient Calcs'!B111&lt;'User Dashboard'!AJ$16,'User Dashboard'!AN$15,
IF('SIR Model Patient Calcs'!B111&lt;'User Dashboard'!AJ$17,'User Dashboard'!AN$16,
'User Dashboard'!AN$17))),
IF('User Dashboard'!Z$12=3,
IF('SIR Model Patient Calcs'!B111&lt;'User Dashboard'!AJ$15,'User Dashboard'!AN$14,
IF('SIR Model Patient Calcs'!B111&lt;'User Dashboard'!AJ$16,'User Dashboard'!AN$15,
'User Dashboard'!AN$16)),
IF('User Dashboard'!Z$12=2,
IF('SIR Model Patient Calcs'!B111&lt;'User Dashboard'!AJ$15,'User Dashboard'!AN$14,
'User Dashboard'!AN$15),
IF('User Dashboard'!Z$12=1,
'User Dashboard'!AN$14)))))</f>
        <v>15.209356603107825</v>
      </c>
      <c r="D111" s="668">
        <f>'User Dashboard'!X$16</f>
        <v>2.2072878851804097E-2</v>
      </c>
      <c r="E111" s="660">
        <f t="shared" si="11"/>
        <v>8.9862781521070372E-8</v>
      </c>
      <c r="F111" s="660">
        <f t="shared" si="19"/>
        <v>8.9862781521070372E-8</v>
      </c>
      <c r="G111" s="670">
        <f>1/'User Dashboard'!X$12</f>
        <v>0.14285714285714285</v>
      </c>
      <c r="H111" s="359">
        <f t="shared" si="12"/>
        <v>616913.48045066651</v>
      </c>
      <c r="I111" s="672">
        <f t="shared" si="15"/>
        <v>334896.53406482283</v>
      </c>
      <c r="J111" s="673">
        <f t="shared" si="13"/>
        <v>2784044.5854845103</v>
      </c>
      <c r="K111" s="359">
        <f t="shared" si="16"/>
        <v>3118941.1195493331</v>
      </c>
      <c r="L111" s="673">
        <f t="shared" si="17"/>
        <v>20993.25060007954</v>
      </c>
      <c r="N111" s="287" t="str">
        <f t="shared" si="20"/>
        <v/>
      </c>
      <c r="O111" s="673" t="str">
        <f t="array" ref="O111">IF(N111="","",MAX(IF(A:A=N111,K:K)))</f>
        <v/>
      </c>
    </row>
    <row r="112" spans="1:15" x14ac:dyDescent="0.35">
      <c r="A112" s="287">
        <f t="shared" si="14"/>
        <v>15</v>
      </c>
      <c r="B112" s="288">
        <v>105</v>
      </c>
      <c r="C112" s="667">
        <f>IF('User Dashboard'!Z$12=5,
IF('SIR Model Patient Calcs'!B112&lt;'User Dashboard'!AJ$15,'User Dashboard'!AN$14,
IF('SIR Model Patient Calcs'!B112&lt;'User Dashboard'!AJ$16,'User Dashboard'!AN$15,
IF('SIR Model Patient Calcs'!B112&lt;'User Dashboard'!AJ$17,'User Dashboard'!AN$16,
IF('SIR Model Patient Calcs'!B112&lt;'User Dashboard'!AJ$18,'User Dashboard'!AN$17,
'User Dashboard'!AN$18)))),
IF('User Dashboard'!Z$12=4,
IF('SIR Model Patient Calcs'!B112&lt;'User Dashboard'!AJ$15,'User Dashboard'!AN$14,
IF('SIR Model Patient Calcs'!B112&lt;'User Dashboard'!AJ$16,'User Dashboard'!AN$15,
IF('SIR Model Patient Calcs'!B112&lt;'User Dashboard'!AJ$17,'User Dashboard'!AN$16,
'User Dashboard'!AN$17))),
IF('User Dashboard'!Z$12=3,
IF('SIR Model Patient Calcs'!B112&lt;'User Dashboard'!AJ$15,'User Dashboard'!AN$14,
IF('SIR Model Patient Calcs'!B112&lt;'User Dashboard'!AJ$16,'User Dashboard'!AN$15,
'User Dashboard'!AN$16)),
IF('User Dashboard'!Z$12=2,
IF('SIR Model Patient Calcs'!B112&lt;'User Dashboard'!AJ$15,'User Dashboard'!AN$14,
'User Dashboard'!AN$15),
IF('User Dashboard'!Z$12=1,
'User Dashboard'!AN$14)))))</f>
        <v>15.209356603107825</v>
      </c>
      <c r="D112" s="668">
        <f>'User Dashboard'!X$16</f>
        <v>2.2072878851804097E-2</v>
      </c>
      <c r="E112" s="660">
        <f t="shared" si="11"/>
        <v>8.9862781521070372E-8</v>
      </c>
      <c r="F112" s="660">
        <f t="shared" si="19"/>
        <v>8.9862781521070372E-8</v>
      </c>
      <c r="G112" s="670">
        <f>1/'User Dashboard'!X$12</f>
        <v>0.14285714285714285</v>
      </c>
      <c r="H112" s="359">
        <f t="shared" si="12"/>
        <v>598347.63331055921</v>
      </c>
      <c r="I112" s="672">
        <f t="shared" si="15"/>
        <v>305620.0191956698</v>
      </c>
      <c r="J112" s="673">
        <f t="shared" si="13"/>
        <v>2831886.9474937706</v>
      </c>
      <c r="K112" s="359">
        <f t="shared" si="16"/>
        <v>3137506.9666894404</v>
      </c>
      <c r="L112" s="673">
        <f t="shared" si="17"/>
        <v>18565.847140107304</v>
      </c>
      <c r="N112" s="287" t="str">
        <f t="shared" si="20"/>
        <v/>
      </c>
      <c r="O112" s="673" t="str">
        <f t="array" ref="O112">IF(N112="","",MAX(IF(A:A=N112,K:K)))</f>
        <v/>
      </c>
    </row>
    <row r="113" spans="1:15" x14ac:dyDescent="0.35">
      <c r="A113" s="287">
        <f t="shared" si="14"/>
        <v>16</v>
      </c>
      <c r="B113" s="288">
        <v>106</v>
      </c>
      <c r="C113" s="667">
        <f>IF('User Dashboard'!Z$12=5,
IF('SIR Model Patient Calcs'!B113&lt;'User Dashboard'!AJ$15,'User Dashboard'!AN$14,
IF('SIR Model Patient Calcs'!B113&lt;'User Dashboard'!AJ$16,'User Dashboard'!AN$15,
IF('SIR Model Patient Calcs'!B113&lt;'User Dashboard'!AJ$17,'User Dashboard'!AN$16,
IF('SIR Model Patient Calcs'!B113&lt;'User Dashboard'!AJ$18,'User Dashboard'!AN$17,
'User Dashboard'!AN$18)))),
IF('User Dashboard'!Z$12=4,
IF('SIR Model Patient Calcs'!B113&lt;'User Dashboard'!AJ$15,'User Dashboard'!AN$14,
IF('SIR Model Patient Calcs'!B113&lt;'User Dashboard'!AJ$16,'User Dashboard'!AN$15,
IF('SIR Model Patient Calcs'!B113&lt;'User Dashboard'!AJ$17,'User Dashboard'!AN$16,
'User Dashboard'!AN$17))),
IF('User Dashboard'!Z$12=3,
IF('SIR Model Patient Calcs'!B113&lt;'User Dashboard'!AJ$15,'User Dashboard'!AN$14,
IF('SIR Model Patient Calcs'!B113&lt;'User Dashboard'!AJ$16,'User Dashboard'!AN$15,
'User Dashboard'!AN$16)),
IF('User Dashboard'!Z$12=2,
IF('SIR Model Patient Calcs'!B113&lt;'User Dashboard'!AJ$15,'User Dashboard'!AN$14,
'User Dashboard'!AN$15),
IF('User Dashboard'!Z$12=1,
'User Dashboard'!AN$14)))))</f>
        <v>15.209356603107825</v>
      </c>
      <c r="D113" s="668">
        <f>'User Dashboard'!X$16</f>
        <v>2.2072878851804097E-2</v>
      </c>
      <c r="E113" s="660">
        <f t="shared" si="11"/>
        <v>8.9862781521070372E-8</v>
      </c>
      <c r="F113" s="660">
        <f t="shared" si="19"/>
        <v>8.9862781521070372E-8</v>
      </c>
      <c r="G113" s="670">
        <f>1/'User Dashboard'!X$12</f>
        <v>0.14285714285714285</v>
      </c>
      <c r="H113" s="359">
        <f t="shared" si="12"/>
        <v>581914.6946782032</v>
      </c>
      <c r="I113" s="672">
        <f t="shared" si="15"/>
        <v>278392.95508578722</v>
      </c>
      <c r="J113" s="673">
        <f t="shared" si="13"/>
        <v>2875546.950236009</v>
      </c>
      <c r="K113" s="359">
        <f t="shared" si="16"/>
        <v>3153939.9053217964</v>
      </c>
      <c r="L113" s="673">
        <f t="shared" si="17"/>
        <v>16432.938632356003</v>
      </c>
      <c r="N113" s="287" t="str">
        <f t="shared" si="20"/>
        <v/>
      </c>
      <c r="O113" s="673" t="str">
        <f t="array" ref="O113">IF(N113="","",MAX(IF(A:A=N113,K:K)))</f>
        <v/>
      </c>
    </row>
    <row r="114" spans="1:15" x14ac:dyDescent="0.35">
      <c r="A114" s="287">
        <f t="shared" si="14"/>
        <v>16</v>
      </c>
      <c r="B114" s="288">
        <v>107</v>
      </c>
      <c r="C114" s="667">
        <f>IF('User Dashboard'!Z$12=5,
IF('SIR Model Patient Calcs'!B114&lt;'User Dashboard'!AJ$15,'User Dashboard'!AN$14,
IF('SIR Model Patient Calcs'!B114&lt;'User Dashboard'!AJ$16,'User Dashboard'!AN$15,
IF('SIR Model Patient Calcs'!B114&lt;'User Dashboard'!AJ$17,'User Dashboard'!AN$16,
IF('SIR Model Patient Calcs'!B114&lt;'User Dashboard'!AJ$18,'User Dashboard'!AN$17,
'User Dashboard'!AN$18)))),
IF('User Dashboard'!Z$12=4,
IF('SIR Model Patient Calcs'!B114&lt;'User Dashboard'!AJ$15,'User Dashboard'!AN$14,
IF('SIR Model Patient Calcs'!B114&lt;'User Dashboard'!AJ$16,'User Dashboard'!AN$15,
IF('SIR Model Patient Calcs'!B114&lt;'User Dashboard'!AJ$17,'User Dashboard'!AN$16,
'User Dashboard'!AN$17))),
IF('User Dashboard'!Z$12=3,
IF('SIR Model Patient Calcs'!B114&lt;'User Dashboard'!AJ$15,'User Dashboard'!AN$14,
IF('SIR Model Patient Calcs'!B114&lt;'User Dashboard'!AJ$16,'User Dashboard'!AN$15,
'User Dashboard'!AN$16)),
IF('User Dashboard'!Z$12=2,
IF('SIR Model Patient Calcs'!B114&lt;'User Dashboard'!AJ$15,'User Dashboard'!AN$14,
'User Dashboard'!AN$15),
IF('User Dashboard'!Z$12=1,
'User Dashboard'!AN$14)))))</f>
        <v>15.209356603107825</v>
      </c>
      <c r="D114" s="668">
        <f>'User Dashboard'!X$16</f>
        <v>2.2072878851804097E-2</v>
      </c>
      <c r="E114" s="660">
        <f t="shared" si="11"/>
        <v>8.9862781521070372E-8</v>
      </c>
      <c r="F114" s="660">
        <f t="shared" si="19"/>
        <v>8.9862781521070372E-8</v>
      </c>
      <c r="G114" s="670">
        <f>1/'User Dashboard'!X$12</f>
        <v>0.14285714285714285</v>
      </c>
      <c r="H114" s="359">
        <f t="shared" si="12"/>
        <v>567356.83857100981</v>
      </c>
      <c r="I114" s="672">
        <f t="shared" si="15"/>
        <v>253180.38903786815</v>
      </c>
      <c r="J114" s="673">
        <f t="shared" si="13"/>
        <v>2915317.3723911215</v>
      </c>
      <c r="K114" s="359">
        <f t="shared" si="16"/>
        <v>3168497.7614289895</v>
      </c>
      <c r="L114" s="673">
        <f t="shared" si="17"/>
        <v>14557.856107193045</v>
      </c>
      <c r="N114" s="287" t="str">
        <f t="shared" si="20"/>
        <v/>
      </c>
      <c r="O114" s="673" t="str">
        <f t="array" ref="O114">IF(N114="","",MAX(IF(A:A=N114,K:K)))</f>
        <v/>
      </c>
    </row>
    <row r="115" spans="1:15" x14ac:dyDescent="0.35">
      <c r="A115" s="287">
        <f t="shared" si="14"/>
        <v>16</v>
      </c>
      <c r="B115" s="288">
        <v>108</v>
      </c>
      <c r="C115" s="667">
        <f>IF('User Dashboard'!Z$12=5,
IF('SIR Model Patient Calcs'!B115&lt;'User Dashboard'!AJ$15,'User Dashboard'!AN$14,
IF('SIR Model Patient Calcs'!B115&lt;'User Dashboard'!AJ$16,'User Dashboard'!AN$15,
IF('SIR Model Patient Calcs'!B115&lt;'User Dashboard'!AJ$17,'User Dashboard'!AN$16,
IF('SIR Model Patient Calcs'!B115&lt;'User Dashboard'!AJ$18,'User Dashboard'!AN$17,
'User Dashboard'!AN$18)))),
IF('User Dashboard'!Z$12=4,
IF('SIR Model Patient Calcs'!B115&lt;'User Dashboard'!AJ$15,'User Dashboard'!AN$14,
IF('SIR Model Patient Calcs'!B115&lt;'User Dashboard'!AJ$16,'User Dashboard'!AN$15,
IF('SIR Model Patient Calcs'!B115&lt;'User Dashboard'!AJ$17,'User Dashboard'!AN$16,
'User Dashboard'!AN$17))),
IF('User Dashboard'!Z$12=3,
IF('SIR Model Patient Calcs'!B115&lt;'User Dashboard'!AJ$15,'User Dashboard'!AN$14,
IF('SIR Model Patient Calcs'!B115&lt;'User Dashboard'!AJ$16,'User Dashboard'!AN$15,
'User Dashboard'!AN$16)),
IF('User Dashboard'!Z$12=2,
IF('SIR Model Patient Calcs'!B115&lt;'User Dashboard'!AJ$15,'User Dashboard'!AN$14,
'User Dashboard'!AN$15),
IF('User Dashboard'!Z$12=1,
'User Dashboard'!AN$14)))))</f>
        <v>15.209356603107825</v>
      </c>
      <c r="D115" s="668">
        <f>'User Dashboard'!X$16</f>
        <v>2.2072878851804097E-2</v>
      </c>
      <c r="E115" s="660">
        <f t="shared" si="11"/>
        <v>8.9862781521070372E-8</v>
      </c>
      <c r="F115" s="660">
        <f t="shared" si="19"/>
        <v>8.9862781521070372E-8</v>
      </c>
      <c r="G115" s="670">
        <f>1/'User Dashboard'!X$12</f>
        <v>0.14285714285714285</v>
      </c>
      <c r="H115" s="359">
        <f t="shared" si="12"/>
        <v>554448.62287061242</v>
      </c>
      <c r="I115" s="672">
        <f t="shared" si="15"/>
        <v>229919.9777328558</v>
      </c>
      <c r="J115" s="673">
        <f t="shared" si="13"/>
        <v>2951485.9993965314</v>
      </c>
      <c r="K115" s="359">
        <f t="shared" si="16"/>
        <v>3181405.9771293872</v>
      </c>
      <c r="L115" s="673">
        <f t="shared" si="17"/>
        <v>12908.215700397734</v>
      </c>
      <c r="N115" s="287" t="str">
        <f t="shared" si="20"/>
        <v/>
      </c>
      <c r="O115" s="673" t="str">
        <f t="array" ref="O115">IF(N115="","",MAX(IF(A:A=N115,K:K)))</f>
        <v/>
      </c>
    </row>
    <row r="116" spans="1:15" x14ac:dyDescent="0.35">
      <c r="A116" s="287">
        <f t="shared" si="14"/>
        <v>16</v>
      </c>
      <c r="B116" s="288">
        <v>109</v>
      </c>
      <c r="C116" s="667">
        <f>IF('User Dashboard'!Z$12=5,
IF('SIR Model Patient Calcs'!B116&lt;'User Dashboard'!AJ$15,'User Dashboard'!AN$14,
IF('SIR Model Patient Calcs'!B116&lt;'User Dashboard'!AJ$16,'User Dashboard'!AN$15,
IF('SIR Model Patient Calcs'!B116&lt;'User Dashboard'!AJ$17,'User Dashboard'!AN$16,
IF('SIR Model Patient Calcs'!B116&lt;'User Dashboard'!AJ$18,'User Dashboard'!AN$17,
'User Dashboard'!AN$18)))),
IF('User Dashboard'!Z$12=4,
IF('SIR Model Patient Calcs'!B116&lt;'User Dashboard'!AJ$15,'User Dashboard'!AN$14,
IF('SIR Model Patient Calcs'!B116&lt;'User Dashboard'!AJ$16,'User Dashboard'!AN$15,
IF('SIR Model Patient Calcs'!B116&lt;'User Dashboard'!AJ$17,'User Dashboard'!AN$16,
'User Dashboard'!AN$17))),
IF('User Dashboard'!Z$12=3,
IF('SIR Model Patient Calcs'!B116&lt;'User Dashboard'!AJ$15,'User Dashboard'!AN$14,
IF('SIR Model Patient Calcs'!B116&lt;'User Dashboard'!AJ$16,'User Dashboard'!AN$15,
'User Dashboard'!AN$16)),
IF('User Dashboard'!Z$12=2,
IF('SIR Model Patient Calcs'!B116&lt;'User Dashboard'!AJ$15,'User Dashboard'!AN$14,
'User Dashboard'!AN$15),
IF('User Dashboard'!Z$12=1,
'User Dashboard'!AN$14)))))</f>
        <v>15.209356603107825</v>
      </c>
      <c r="D116" s="668">
        <f>'User Dashboard'!X$16</f>
        <v>2.2072878851804097E-2</v>
      </c>
      <c r="E116" s="660">
        <f t="shared" si="11"/>
        <v>8.9862781521070372E-8</v>
      </c>
      <c r="F116" s="660">
        <f t="shared" si="19"/>
        <v>8.9862781521070372E-8</v>
      </c>
      <c r="G116" s="670">
        <f>1/'User Dashboard'!X$12</f>
        <v>0.14285714285714285</v>
      </c>
      <c r="H116" s="359">
        <f t="shared" si="12"/>
        <v>542993.02196750767</v>
      </c>
      <c r="I116" s="672">
        <f t="shared" si="15"/>
        <v>208529.86753126685</v>
      </c>
      <c r="J116" s="673">
        <f t="shared" si="13"/>
        <v>2984331.7105012252</v>
      </c>
      <c r="K116" s="359">
        <f t="shared" si="16"/>
        <v>3192861.5780324922</v>
      </c>
      <c r="L116" s="673">
        <f t="shared" si="17"/>
        <v>11455.600903104991</v>
      </c>
      <c r="N116" s="287" t="str">
        <f t="shared" si="20"/>
        <v/>
      </c>
      <c r="O116" s="673" t="str">
        <f t="array" ref="O116">IF(N116="","",MAX(IF(A:A=N116,K:K)))</f>
        <v/>
      </c>
    </row>
    <row r="117" spans="1:15" x14ac:dyDescent="0.35">
      <c r="A117" s="287">
        <f t="shared" si="14"/>
        <v>16</v>
      </c>
      <c r="B117" s="288">
        <v>110</v>
      </c>
      <c r="C117" s="667">
        <f>IF('User Dashboard'!Z$12=5,
IF('SIR Model Patient Calcs'!B117&lt;'User Dashboard'!AJ$15,'User Dashboard'!AN$14,
IF('SIR Model Patient Calcs'!B117&lt;'User Dashboard'!AJ$16,'User Dashboard'!AN$15,
IF('SIR Model Patient Calcs'!B117&lt;'User Dashboard'!AJ$17,'User Dashboard'!AN$16,
IF('SIR Model Patient Calcs'!B117&lt;'User Dashboard'!AJ$18,'User Dashboard'!AN$17,
'User Dashboard'!AN$18)))),
IF('User Dashboard'!Z$12=4,
IF('SIR Model Patient Calcs'!B117&lt;'User Dashboard'!AJ$15,'User Dashboard'!AN$14,
IF('SIR Model Patient Calcs'!B117&lt;'User Dashboard'!AJ$16,'User Dashboard'!AN$15,
IF('SIR Model Patient Calcs'!B117&lt;'User Dashboard'!AJ$17,'User Dashboard'!AN$16,
'User Dashboard'!AN$17))),
IF('User Dashboard'!Z$12=3,
IF('SIR Model Patient Calcs'!B117&lt;'User Dashboard'!AJ$15,'User Dashboard'!AN$14,
IF('SIR Model Patient Calcs'!B117&lt;'User Dashboard'!AJ$16,'User Dashboard'!AN$15,
'User Dashboard'!AN$16)),
IF('User Dashboard'!Z$12=2,
IF('SIR Model Patient Calcs'!B117&lt;'User Dashboard'!AJ$15,'User Dashboard'!AN$14,
'User Dashboard'!AN$15),
IF('User Dashboard'!Z$12=1,
'User Dashboard'!AN$14)))))</f>
        <v>15.209356603107825</v>
      </c>
      <c r="D117" s="668">
        <f>'User Dashboard'!X$16</f>
        <v>2.2072878851804097E-2</v>
      </c>
      <c r="E117" s="660">
        <f t="shared" si="11"/>
        <v>8.9862781521070372E-8</v>
      </c>
      <c r="F117" s="660">
        <f t="shared" si="19"/>
        <v>8.9862781521070372E-8</v>
      </c>
      <c r="G117" s="670">
        <f>1/'User Dashboard'!X$12</f>
        <v>0.14285714285714285</v>
      </c>
      <c r="H117" s="359">
        <f t="shared" si="12"/>
        <v>532817.83558724145</v>
      </c>
      <c r="I117" s="672">
        <f t="shared" si="15"/>
        <v>188915.07283563778</v>
      </c>
      <c r="J117" s="673">
        <f t="shared" si="13"/>
        <v>3014121.6915771207</v>
      </c>
      <c r="K117" s="359">
        <f t="shared" si="16"/>
        <v>3203036.7644127584</v>
      </c>
      <c r="L117" s="673">
        <f t="shared" si="17"/>
        <v>10175.186380266212</v>
      </c>
      <c r="N117" s="287" t="str">
        <f t="shared" si="20"/>
        <v/>
      </c>
      <c r="O117" s="673" t="str">
        <f t="array" ref="O117">IF(N117="","",MAX(IF(A:A=N117,K:K)))</f>
        <v/>
      </c>
    </row>
    <row r="118" spans="1:15" x14ac:dyDescent="0.35">
      <c r="A118" s="287">
        <f t="shared" si="14"/>
        <v>16</v>
      </c>
      <c r="B118" s="288">
        <v>111</v>
      </c>
      <c r="C118" s="667">
        <f>IF('User Dashboard'!Z$12=5,
IF('SIR Model Patient Calcs'!B118&lt;'User Dashboard'!AJ$15,'User Dashboard'!AN$14,
IF('SIR Model Patient Calcs'!B118&lt;'User Dashboard'!AJ$16,'User Dashboard'!AN$15,
IF('SIR Model Patient Calcs'!B118&lt;'User Dashboard'!AJ$17,'User Dashboard'!AN$16,
IF('SIR Model Patient Calcs'!B118&lt;'User Dashboard'!AJ$18,'User Dashboard'!AN$17,
'User Dashboard'!AN$18)))),
IF('User Dashboard'!Z$12=4,
IF('SIR Model Patient Calcs'!B118&lt;'User Dashboard'!AJ$15,'User Dashboard'!AN$14,
IF('SIR Model Patient Calcs'!B118&lt;'User Dashboard'!AJ$16,'User Dashboard'!AN$15,
IF('SIR Model Patient Calcs'!B118&lt;'User Dashboard'!AJ$17,'User Dashboard'!AN$16,
'User Dashboard'!AN$17))),
IF('User Dashboard'!Z$12=3,
IF('SIR Model Patient Calcs'!B118&lt;'User Dashboard'!AJ$15,'User Dashboard'!AN$14,
IF('SIR Model Patient Calcs'!B118&lt;'User Dashboard'!AJ$16,'User Dashboard'!AN$15,
'User Dashboard'!AN$16)),
IF('User Dashboard'!Z$12=2,
IF('SIR Model Patient Calcs'!B118&lt;'User Dashboard'!AJ$15,'User Dashboard'!AN$14,
'User Dashboard'!AN$15),
IF('User Dashboard'!Z$12=1,
'User Dashboard'!AN$14)))))</f>
        <v>15.209356603107825</v>
      </c>
      <c r="D118" s="668">
        <f>'User Dashboard'!X$16</f>
        <v>2.2072878851804097E-2</v>
      </c>
      <c r="E118" s="660">
        <f t="shared" si="11"/>
        <v>8.9862781521070358E-8</v>
      </c>
      <c r="F118" s="660">
        <f t="shared" si="19"/>
        <v>8.9862781521070372E-8</v>
      </c>
      <c r="G118" s="670">
        <f>1/'User Dashboard'!X$12</f>
        <v>0.14285714285714285</v>
      </c>
      <c r="H118" s="359">
        <f t="shared" si="12"/>
        <v>523772.48881198675</v>
      </c>
      <c r="I118" s="672">
        <f t="shared" si="15"/>
        <v>170972.55206294422</v>
      </c>
      <c r="J118" s="673">
        <f t="shared" si="13"/>
        <v>3041109.5591250691</v>
      </c>
      <c r="K118" s="359">
        <f t="shared" si="16"/>
        <v>3212082.1111880131</v>
      </c>
      <c r="L118" s="673">
        <f t="shared" si="17"/>
        <v>9045.3467752547003</v>
      </c>
      <c r="N118" s="287" t="str">
        <f t="shared" si="20"/>
        <v/>
      </c>
      <c r="O118" s="673" t="str">
        <f t="array" ref="O118">IF(N118="","",MAX(IF(A:A=N118,K:K)))</f>
        <v/>
      </c>
    </row>
    <row r="119" spans="1:15" x14ac:dyDescent="0.35">
      <c r="A119" s="287">
        <f t="shared" si="14"/>
        <v>16</v>
      </c>
      <c r="B119" s="288">
        <v>112</v>
      </c>
      <c r="C119" s="667">
        <f>IF('User Dashboard'!Z$12=5,
IF('SIR Model Patient Calcs'!B119&lt;'User Dashboard'!AJ$15,'User Dashboard'!AN$14,
IF('SIR Model Patient Calcs'!B119&lt;'User Dashboard'!AJ$16,'User Dashboard'!AN$15,
IF('SIR Model Patient Calcs'!B119&lt;'User Dashboard'!AJ$17,'User Dashboard'!AN$16,
IF('SIR Model Patient Calcs'!B119&lt;'User Dashboard'!AJ$18,'User Dashboard'!AN$17,
'User Dashboard'!AN$18)))),
IF('User Dashboard'!Z$12=4,
IF('SIR Model Patient Calcs'!B119&lt;'User Dashboard'!AJ$15,'User Dashboard'!AN$14,
IF('SIR Model Patient Calcs'!B119&lt;'User Dashboard'!AJ$16,'User Dashboard'!AN$15,
IF('SIR Model Patient Calcs'!B119&lt;'User Dashboard'!AJ$17,'User Dashboard'!AN$16,
'User Dashboard'!AN$17))),
IF('User Dashboard'!Z$12=3,
IF('SIR Model Patient Calcs'!B119&lt;'User Dashboard'!AJ$15,'User Dashboard'!AN$14,
IF('SIR Model Patient Calcs'!B119&lt;'User Dashboard'!AJ$16,'User Dashboard'!AN$15,
'User Dashboard'!AN$16)),
IF('User Dashboard'!Z$12=2,
IF('SIR Model Patient Calcs'!B119&lt;'User Dashboard'!AJ$15,'User Dashboard'!AN$14,
'User Dashboard'!AN$15),
IF('User Dashboard'!Z$12=1,
'User Dashboard'!AN$14)))))</f>
        <v>15.209356603107825</v>
      </c>
      <c r="D119" s="668">
        <f>'User Dashboard'!X$16</f>
        <v>2.2072878851804097E-2</v>
      </c>
      <c r="E119" s="660">
        <f t="shared" si="11"/>
        <v>8.9862781521070358E-8</v>
      </c>
      <c r="F119" s="660">
        <f t="shared" si="19"/>
        <v>8.9862781521070372E-8</v>
      </c>
      <c r="G119" s="670">
        <f>1/'User Dashboard'!X$12</f>
        <v>0.14285714285714285</v>
      </c>
      <c r="H119" s="359">
        <f t="shared" si="12"/>
        <v>515725.21210532135</v>
      </c>
      <c r="I119" s="672">
        <f t="shared" si="15"/>
        <v>154595.17847490331</v>
      </c>
      <c r="J119" s="673">
        <f t="shared" si="13"/>
        <v>3065534.2094197753</v>
      </c>
      <c r="K119" s="359">
        <f t="shared" si="16"/>
        <v>3220129.3878946784</v>
      </c>
      <c r="L119" s="673">
        <f t="shared" si="17"/>
        <v>8047.2767066652887</v>
      </c>
      <c r="N119" s="287" t="str">
        <f t="shared" si="20"/>
        <v/>
      </c>
      <c r="O119" s="673" t="str">
        <f t="array" ref="O119">IF(N119="","",MAX(IF(A:A=N119,K:K)))</f>
        <v/>
      </c>
    </row>
    <row r="120" spans="1:15" x14ac:dyDescent="0.35">
      <c r="A120" s="287">
        <f t="shared" si="14"/>
        <v>17</v>
      </c>
      <c r="B120" s="288">
        <v>113</v>
      </c>
      <c r="C120" s="667">
        <f>IF('User Dashboard'!Z$12=5,
IF('SIR Model Patient Calcs'!B120&lt;'User Dashboard'!AJ$15,'User Dashboard'!AN$14,
IF('SIR Model Patient Calcs'!B120&lt;'User Dashboard'!AJ$16,'User Dashboard'!AN$15,
IF('SIR Model Patient Calcs'!B120&lt;'User Dashboard'!AJ$17,'User Dashboard'!AN$16,
IF('SIR Model Patient Calcs'!B120&lt;'User Dashboard'!AJ$18,'User Dashboard'!AN$17,
'User Dashboard'!AN$18)))),
IF('User Dashboard'!Z$12=4,
IF('SIR Model Patient Calcs'!B120&lt;'User Dashboard'!AJ$15,'User Dashboard'!AN$14,
IF('SIR Model Patient Calcs'!B120&lt;'User Dashboard'!AJ$16,'User Dashboard'!AN$15,
IF('SIR Model Patient Calcs'!B120&lt;'User Dashboard'!AJ$17,'User Dashboard'!AN$16,
'User Dashboard'!AN$17))),
IF('User Dashboard'!Z$12=3,
IF('SIR Model Patient Calcs'!B120&lt;'User Dashboard'!AJ$15,'User Dashboard'!AN$14,
IF('SIR Model Patient Calcs'!B120&lt;'User Dashboard'!AJ$16,'User Dashboard'!AN$15,
'User Dashboard'!AN$16)),
IF('User Dashboard'!Z$12=2,
IF('SIR Model Patient Calcs'!B120&lt;'User Dashboard'!AJ$15,'User Dashboard'!AN$14,
'User Dashboard'!AN$15),
IF('User Dashboard'!Z$12=1,
'User Dashboard'!AN$14)))))</f>
        <v>15.209356603107825</v>
      </c>
      <c r="D120" s="668">
        <f>'User Dashboard'!X$16</f>
        <v>2.2072878851804097E-2</v>
      </c>
      <c r="E120" s="660">
        <f t="shared" si="11"/>
        <v>8.9862781521070358E-8</v>
      </c>
      <c r="F120" s="660">
        <f t="shared" si="19"/>
        <v>8.9862781521070372E-8</v>
      </c>
      <c r="G120" s="670">
        <f>1/'User Dashboard'!X$12</f>
        <v>0.14285714285714285</v>
      </c>
      <c r="H120" s="359">
        <f t="shared" si="12"/>
        <v>508560.57553797436</v>
      </c>
      <c r="I120" s="672">
        <f t="shared" si="15"/>
        <v>139674.78954583552</v>
      </c>
      <c r="J120" s="673">
        <f t="shared" si="13"/>
        <v>3087619.2349161902</v>
      </c>
      <c r="K120" s="359">
        <f t="shared" si="16"/>
        <v>3227294.0244620256</v>
      </c>
      <c r="L120" s="673">
        <f t="shared" si="17"/>
        <v>7164.6365673472174</v>
      </c>
      <c r="N120" s="287" t="str">
        <f t="shared" si="20"/>
        <v/>
      </c>
      <c r="O120" s="673" t="str">
        <f t="array" ref="O120">IF(N120="","",MAX(IF(A:A=N120,K:K)))</f>
        <v/>
      </c>
    </row>
    <row r="121" spans="1:15" x14ac:dyDescent="0.35">
      <c r="A121" s="287">
        <f t="shared" si="14"/>
        <v>17</v>
      </c>
      <c r="B121" s="288">
        <v>114</v>
      </c>
      <c r="C121" s="667">
        <f>IF('User Dashboard'!Z$12=5,
IF('SIR Model Patient Calcs'!B121&lt;'User Dashboard'!AJ$15,'User Dashboard'!AN$14,
IF('SIR Model Patient Calcs'!B121&lt;'User Dashboard'!AJ$16,'User Dashboard'!AN$15,
IF('SIR Model Patient Calcs'!B121&lt;'User Dashboard'!AJ$17,'User Dashboard'!AN$16,
IF('SIR Model Patient Calcs'!B121&lt;'User Dashboard'!AJ$18,'User Dashboard'!AN$17,
'User Dashboard'!AN$18)))),
IF('User Dashboard'!Z$12=4,
IF('SIR Model Patient Calcs'!B121&lt;'User Dashboard'!AJ$15,'User Dashboard'!AN$14,
IF('SIR Model Patient Calcs'!B121&lt;'User Dashboard'!AJ$16,'User Dashboard'!AN$15,
IF('SIR Model Patient Calcs'!B121&lt;'User Dashboard'!AJ$17,'User Dashboard'!AN$16,
'User Dashboard'!AN$17))),
IF('User Dashboard'!Z$12=3,
IF('SIR Model Patient Calcs'!B121&lt;'User Dashboard'!AJ$15,'User Dashboard'!AN$14,
IF('SIR Model Patient Calcs'!B121&lt;'User Dashboard'!AJ$16,'User Dashboard'!AN$15,
'User Dashboard'!AN$16)),
IF('User Dashboard'!Z$12=2,
IF('SIR Model Patient Calcs'!B121&lt;'User Dashboard'!AJ$15,'User Dashboard'!AN$14,
'User Dashboard'!AN$15),
IF('User Dashboard'!Z$12=1,
'User Dashboard'!AN$14)))))</f>
        <v>15.209356603107825</v>
      </c>
      <c r="D121" s="668">
        <f>'User Dashboard'!X$16</f>
        <v>2.2072878851804097E-2</v>
      </c>
      <c r="E121" s="660">
        <f t="shared" si="11"/>
        <v>8.9862781521070358E-8</v>
      </c>
      <c r="F121" s="660">
        <f t="shared" si="19"/>
        <v>8.9862781521070372E-8</v>
      </c>
      <c r="G121" s="670">
        <f>1/'User Dashboard'!X$12</f>
        <v>0.14285714285714285</v>
      </c>
      <c r="H121" s="359">
        <f t="shared" si="12"/>
        <v>502177.34436836257</v>
      </c>
      <c r="I121" s="672">
        <f t="shared" si="15"/>
        <v>126104.4793517565</v>
      </c>
      <c r="J121" s="673">
        <f t="shared" si="13"/>
        <v>3107572.7762798811</v>
      </c>
      <c r="K121" s="359">
        <f t="shared" si="16"/>
        <v>3233677.2556316378</v>
      </c>
      <c r="L121" s="673">
        <f t="shared" si="17"/>
        <v>6383.2311696121469</v>
      </c>
      <c r="N121" s="287" t="str">
        <f t="shared" si="20"/>
        <v/>
      </c>
      <c r="O121" s="673" t="str">
        <f t="array" ref="O121">IF(N121="","",MAX(IF(A:A=N121,K:K)))</f>
        <v/>
      </c>
    </row>
    <row r="122" spans="1:15" x14ac:dyDescent="0.35">
      <c r="A122" s="287">
        <f t="shared" si="14"/>
        <v>17</v>
      </c>
      <c r="B122" s="288">
        <v>115</v>
      </c>
      <c r="C122" s="667">
        <f>IF('User Dashboard'!Z$12=5,
IF('SIR Model Patient Calcs'!B122&lt;'User Dashboard'!AJ$15,'User Dashboard'!AN$14,
IF('SIR Model Patient Calcs'!B122&lt;'User Dashboard'!AJ$16,'User Dashboard'!AN$15,
IF('SIR Model Patient Calcs'!B122&lt;'User Dashboard'!AJ$17,'User Dashboard'!AN$16,
IF('SIR Model Patient Calcs'!B122&lt;'User Dashboard'!AJ$18,'User Dashboard'!AN$17,
'User Dashboard'!AN$18)))),
IF('User Dashboard'!Z$12=4,
IF('SIR Model Patient Calcs'!B122&lt;'User Dashboard'!AJ$15,'User Dashboard'!AN$14,
IF('SIR Model Patient Calcs'!B122&lt;'User Dashboard'!AJ$16,'User Dashboard'!AN$15,
IF('SIR Model Patient Calcs'!B122&lt;'User Dashboard'!AJ$17,'User Dashboard'!AN$16,
'User Dashboard'!AN$17))),
IF('User Dashboard'!Z$12=3,
IF('SIR Model Patient Calcs'!B122&lt;'User Dashboard'!AJ$15,'User Dashboard'!AN$14,
IF('SIR Model Patient Calcs'!B122&lt;'User Dashboard'!AJ$16,'User Dashboard'!AN$15,
'User Dashboard'!AN$16)),
IF('User Dashboard'!Z$12=2,
IF('SIR Model Patient Calcs'!B122&lt;'User Dashboard'!AJ$15,'User Dashboard'!AN$14,
'User Dashboard'!AN$15),
IF('User Dashboard'!Z$12=1,
'User Dashboard'!AN$14)))))</f>
        <v>15.209356603107825</v>
      </c>
      <c r="D122" s="668">
        <f>'User Dashboard'!X$16</f>
        <v>2.2072878851804097E-2</v>
      </c>
      <c r="E122" s="660">
        <f t="shared" si="11"/>
        <v>8.9862781521070358E-8</v>
      </c>
      <c r="F122" s="660">
        <f t="shared" si="19"/>
        <v>8.9862781521070372E-8</v>
      </c>
      <c r="G122" s="670">
        <f>1/'User Dashboard'!X$12</f>
        <v>0.14285714285714285</v>
      </c>
      <c r="H122" s="359">
        <f t="shared" si="12"/>
        <v>496486.62084741285</v>
      </c>
      <c r="I122" s="672">
        <f t="shared" si="15"/>
        <v>113780.27725102671</v>
      </c>
      <c r="J122" s="673">
        <f t="shared" si="13"/>
        <v>3125587.7019015606</v>
      </c>
      <c r="K122" s="359">
        <f t="shared" si="16"/>
        <v>3239367.9791525872</v>
      </c>
      <c r="L122" s="673">
        <f t="shared" si="17"/>
        <v>5690.7235209494829</v>
      </c>
      <c r="N122" s="287" t="str">
        <f t="shared" si="20"/>
        <v/>
      </c>
      <c r="O122" s="673" t="str">
        <f t="array" ref="O122">IF(N122="","",MAX(IF(A:A=N122,K:K)))</f>
        <v/>
      </c>
    </row>
    <row r="123" spans="1:15" x14ac:dyDescent="0.35">
      <c r="A123" s="287">
        <f t="shared" si="14"/>
        <v>17</v>
      </c>
      <c r="B123" s="288">
        <v>116</v>
      </c>
      <c r="C123" s="667">
        <f>IF('User Dashboard'!Z$12=5,
IF('SIR Model Patient Calcs'!B123&lt;'User Dashboard'!AJ$15,'User Dashboard'!AN$14,
IF('SIR Model Patient Calcs'!B123&lt;'User Dashboard'!AJ$16,'User Dashboard'!AN$15,
IF('SIR Model Patient Calcs'!B123&lt;'User Dashboard'!AJ$17,'User Dashboard'!AN$16,
IF('SIR Model Patient Calcs'!B123&lt;'User Dashboard'!AJ$18,'User Dashboard'!AN$17,
'User Dashboard'!AN$18)))),
IF('User Dashboard'!Z$12=4,
IF('SIR Model Patient Calcs'!B123&lt;'User Dashboard'!AJ$15,'User Dashboard'!AN$14,
IF('SIR Model Patient Calcs'!B123&lt;'User Dashboard'!AJ$16,'User Dashboard'!AN$15,
IF('SIR Model Patient Calcs'!B123&lt;'User Dashboard'!AJ$17,'User Dashboard'!AN$16,
'User Dashboard'!AN$17))),
IF('User Dashboard'!Z$12=3,
IF('SIR Model Patient Calcs'!B123&lt;'User Dashboard'!AJ$15,'User Dashboard'!AN$14,
IF('SIR Model Patient Calcs'!B123&lt;'User Dashboard'!AJ$16,'User Dashboard'!AN$15,
'User Dashboard'!AN$16)),
IF('User Dashboard'!Z$12=2,
IF('SIR Model Patient Calcs'!B123&lt;'User Dashboard'!AJ$15,'User Dashboard'!AN$14,
'User Dashboard'!AN$15),
IF('User Dashboard'!Z$12=1,
'User Dashboard'!AN$14)))))</f>
        <v>15.209356603107825</v>
      </c>
      <c r="D123" s="668">
        <f>'User Dashboard'!X$16</f>
        <v>2.2072878851804097E-2</v>
      </c>
      <c r="E123" s="660">
        <f t="shared" si="11"/>
        <v>8.9862781521070358E-8</v>
      </c>
      <c r="F123" s="660">
        <f t="shared" si="19"/>
        <v>8.9862781521070372E-8</v>
      </c>
      <c r="G123" s="670">
        <f>1/'User Dashboard'!X$12</f>
        <v>0.14285714285714285</v>
      </c>
      <c r="H123" s="359">
        <f t="shared" si="12"/>
        <v>491410.23768873769</v>
      </c>
      <c r="I123" s="672">
        <f t="shared" si="15"/>
        <v>102602.33508812661</v>
      </c>
      <c r="J123" s="673">
        <f t="shared" si="13"/>
        <v>3141842.0272231358</v>
      </c>
      <c r="K123" s="359">
        <f t="shared" si="16"/>
        <v>3244444.3623112626</v>
      </c>
      <c r="L123" s="673">
        <f t="shared" si="17"/>
        <v>5076.383158675395</v>
      </c>
    </row>
    <row r="124" spans="1:15" x14ac:dyDescent="0.35">
      <c r="A124" s="287">
        <f t="shared" si="14"/>
        <v>17</v>
      </c>
      <c r="B124" s="288">
        <v>117</v>
      </c>
      <c r="C124" s="667">
        <f>IF('User Dashboard'!Z$12=5,
IF('SIR Model Patient Calcs'!B124&lt;'User Dashboard'!AJ$15,'User Dashboard'!AN$14,
IF('SIR Model Patient Calcs'!B124&lt;'User Dashboard'!AJ$16,'User Dashboard'!AN$15,
IF('SIR Model Patient Calcs'!B124&lt;'User Dashboard'!AJ$17,'User Dashboard'!AN$16,
IF('SIR Model Patient Calcs'!B124&lt;'User Dashboard'!AJ$18,'User Dashboard'!AN$17,
'User Dashboard'!AN$18)))),
IF('User Dashboard'!Z$12=4,
IF('SIR Model Patient Calcs'!B124&lt;'User Dashboard'!AJ$15,'User Dashboard'!AN$14,
IF('SIR Model Patient Calcs'!B124&lt;'User Dashboard'!AJ$16,'User Dashboard'!AN$15,
IF('SIR Model Patient Calcs'!B124&lt;'User Dashboard'!AJ$17,'User Dashboard'!AN$16,
'User Dashboard'!AN$17))),
IF('User Dashboard'!Z$12=3,
IF('SIR Model Patient Calcs'!B124&lt;'User Dashboard'!AJ$15,'User Dashboard'!AN$14,
IF('SIR Model Patient Calcs'!B124&lt;'User Dashboard'!AJ$16,'User Dashboard'!AN$15,
'User Dashboard'!AN$16)),
IF('User Dashboard'!Z$12=2,
IF('SIR Model Patient Calcs'!B124&lt;'User Dashboard'!AJ$15,'User Dashboard'!AN$14,
'User Dashboard'!AN$15),
IF('User Dashboard'!Z$12=1,
'User Dashboard'!AN$14)))))</f>
        <v>15.209356603107825</v>
      </c>
      <c r="D124" s="668">
        <f>'User Dashboard'!X$16</f>
        <v>2.2072878851804097E-2</v>
      </c>
      <c r="E124" s="660">
        <f t="shared" si="11"/>
        <v>8.9862781521070372E-8</v>
      </c>
      <c r="F124" s="660">
        <f t="shared" si="19"/>
        <v>8.9862781521070372E-8</v>
      </c>
      <c r="G124" s="670">
        <f>1/'User Dashboard'!X$12</f>
        <v>0.14285714285714285</v>
      </c>
      <c r="H124" s="359">
        <f t="shared" si="12"/>
        <v>486879.37081362167</v>
      </c>
      <c r="I124" s="672">
        <f t="shared" si="15"/>
        <v>92475.725522081659</v>
      </c>
      <c r="J124" s="673">
        <f t="shared" si="13"/>
        <v>3156499.5036642966</v>
      </c>
      <c r="K124" s="359">
        <f t="shared" si="16"/>
        <v>3248975.2291863784</v>
      </c>
      <c r="L124" s="673">
        <f t="shared" si="17"/>
        <v>4530.866875115782</v>
      </c>
    </row>
    <row r="125" spans="1:15" x14ac:dyDescent="0.35">
      <c r="A125" s="287">
        <f t="shared" si="14"/>
        <v>17</v>
      </c>
      <c r="B125" s="288">
        <v>118</v>
      </c>
      <c r="C125" s="667">
        <f>IF('User Dashboard'!Z$12=5,
IF('SIR Model Patient Calcs'!B125&lt;'User Dashboard'!AJ$15,'User Dashboard'!AN$14,
IF('SIR Model Patient Calcs'!B125&lt;'User Dashboard'!AJ$16,'User Dashboard'!AN$15,
IF('SIR Model Patient Calcs'!B125&lt;'User Dashboard'!AJ$17,'User Dashboard'!AN$16,
IF('SIR Model Patient Calcs'!B125&lt;'User Dashboard'!AJ$18,'User Dashboard'!AN$17,
'User Dashboard'!AN$18)))),
IF('User Dashboard'!Z$12=4,
IF('SIR Model Patient Calcs'!B125&lt;'User Dashboard'!AJ$15,'User Dashboard'!AN$14,
IF('SIR Model Patient Calcs'!B125&lt;'User Dashboard'!AJ$16,'User Dashboard'!AN$15,
IF('SIR Model Patient Calcs'!B125&lt;'User Dashboard'!AJ$17,'User Dashboard'!AN$16,
'User Dashboard'!AN$17))),
IF('User Dashboard'!Z$12=3,
IF('SIR Model Patient Calcs'!B125&lt;'User Dashboard'!AJ$15,'User Dashboard'!AN$14,
IF('SIR Model Patient Calcs'!B125&lt;'User Dashboard'!AJ$16,'User Dashboard'!AN$15,
'User Dashboard'!AN$16)),
IF('User Dashboard'!Z$12=2,
IF('SIR Model Patient Calcs'!B125&lt;'User Dashboard'!AJ$15,'User Dashboard'!AN$14,
'User Dashboard'!AN$15),
IF('User Dashboard'!Z$12=1,
'User Dashboard'!AN$14)))))</f>
        <v>15.209356603107825</v>
      </c>
      <c r="D125" s="668">
        <f>'User Dashboard'!X$16</f>
        <v>2.2072878851804097E-2</v>
      </c>
      <c r="E125" s="660">
        <f t="shared" si="11"/>
        <v>8.9862781521070358E-8</v>
      </c>
      <c r="F125" s="660">
        <f t="shared" si="19"/>
        <v>8.9862781521070372E-8</v>
      </c>
      <c r="G125" s="670">
        <f>1/'User Dashboard'!X$12</f>
        <v>0.14285714285714285</v>
      </c>
      <c r="H125" s="359">
        <f t="shared" si="12"/>
        <v>482833.34193499503</v>
      </c>
      <c r="I125" s="672">
        <f t="shared" si="15"/>
        <v>83310.936468982385</v>
      </c>
      <c r="J125" s="673">
        <f t="shared" si="13"/>
        <v>3169710.3215960227</v>
      </c>
      <c r="K125" s="359">
        <f t="shared" si="16"/>
        <v>3253021.2580650053</v>
      </c>
      <c r="L125" s="673">
        <f t="shared" si="17"/>
        <v>4046.0288786268793</v>
      </c>
    </row>
    <row r="126" spans="1:15" x14ac:dyDescent="0.35">
      <c r="A126" s="287">
        <f t="shared" si="14"/>
        <v>17</v>
      </c>
      <c r="B126" s="288">
        <v>119</v>
      </c>
      <c r="C126" s="667">
        <f>IF('User Dashboard'!Z$12=5,
IF('SIR Model Patient Calcs'!B126&lt;'User Dashboard'!AJ$15,'User Dashboard'!AN$14,
IF('SIR Model Patient Calcs'!B126&lt;'User Dashboard'!AJ$16,'User Dashboard'!AN$15,
IF('SIR Model Patient Calcs'!B126&lt;'User Dashboard'!AJ$17,'User Dashboard'!AN$16,
IF('SIR Model Patient Calcs'!B126&lt;'User Dashboard'!AJ$18,'User Dashboard'!AN$17,
'User Dashboard'!AN$18)))),
IF('User Dashboard'!Z$12=4,
IF('SIR Model Patient Calcs'!B126&lt;'User Dashboard'!AJ$15,'User Dashboard'!AN$14,
IF('SIR Model Patient Calcs'!B126&lt;'User Dashboard'!AJ$16,'User Dashboard'!AN$15,
IF('SIR Model Patient Calcs'!B126&lt;'User Dashboard'!AJ$17,'User Dashboard'!AN$16,
'User Dashboard'!AN$17))),
IF('User Dashboard'!Z$12=3,
IF('SIR Model Patient Calcs'!B126&lt;'User Dashboard'!AJ$15,'User Dashboard'!AN$14,
IF('SIR Model Patient Calcs'!B126&lt;'User Dashboard'!AJ$16,'User Dashboard'!AN$15,
'User Dashboard'!AN$16)),
IF('User Dashboard'!Z$12=2,
IF('SIR Model Patient Calcs'!B126&lt;'User Dashboard'!AJ$15,'User Dashboard'!AN$14,
'User Dashboard'!AN$15),
IF('User Dashboard'!Z$12=1,
'User Dashboard'!AN$14)))))</f>
        <v>15.209356603107825</v>
      </c>
      <c r="D126" s="668">
        <f>'User Dashboard'!X$16</f>
        <v>2.2072878851804097E-2</v>
      </c>
      <c r="E126" s="660">
        <f t="shared" si="11"/>
        <v>8.9862781521070358E-8</v>
      </c>
      <c r="F126" s="660">
        <f t="shared" si="19"/>
        <v>8.9862781521070372E-8</v>
      </c>
      <c r="G126" s="670">
        <f>1/'User Dashboard'!X$12</f>
        <v>0.14285714285714285</v>
      </c>
      <c r="H126" s="359">
        <f t="shared" si="12"/>
        <v>479218.5847804292</v>
      </c>
      <c r="I126" s="672">
        <f t="shared" si="15"/>
        <v>75024.131270836457</v>
      </c>
      <c r="J126" s="673">
        <f t="shared" si="13"/>
        <v>3181611.8839487345</v>
      </c>
      <c r="K126" s="359">
        <f t="shared" si="16"/>
        <v>3256636.0152195711</v>
      </c>
      <c r="L126" s="673">
        <f t="shared" si="17"/>
        <v>3614.7571545657702</v>
      </c>
    </row>
    <row r="127" spans="1:15" x14ac:dyDescent="0.35">
      <c r="A127" s="287">
        <f t="shared" si="14"/>
        <v>18</v>
      </c>
      <c r="B127" s="288">
        <v>120</v>
      </c>
      <c r="C127" s="667">
        <f>IF('User Dashboard'!Z$12=5,
IF('SIR Model Patient Calcs'!B127&lt;'User Dashboard'!AJ$15,'User Dashboard'!AN$14,
IF('SIR Model Patient Calcs'!B127&lt;'User Dashboard'!AJ$16,'User Dashboard'!AN$15,
IF('SIR Model Patient Calcs'!B127&lt;'User Dashboard'!AJ$17,'User Dashboard'!AN$16,
IF('SIR Model Patient Calcs'!B127&lt;'User Dashboard'!AJ$18,'User Dashboard'!AN$17,
'User Dashboard'!AN$18)))),
IF('User Dashboard'!Z$12=4,
IF('SIR Model Patient Calcs'!B127&lt;'User Dashboard'!AJ$15,'User Dashboard'!AN$14,
IF('SIR Model Patient Calcs'!B127&lt;'User Dashboard'!AJ$16,'User Dashboard'!AN$15,
IF('SIR Model Patient Calcs'!B127&lt;'User Dashboard'!AJ$17,'User Dashboard'!AN$16,
'User Dashboard'!AN$17))),
IF('User Dashboard'!Z$12=3,
IF('SIR Model Patient Calcs'!B127&lt;'User Dashboard'!AJ$15,'User Dashboard'!AN$14,
IF('SIR Model Patient Calcs'!B127&lt;'User Dashboard'!AJ$16,'User Dashboard'!AN$15,
'User Dashboard'!AN$16)),
IF('User Dashboard'!Z$12=2,
IF('SIR Model Patient Calcs'!B127&lt;'User Dashboard'!AJ$15,'User Dashboard'!AN$14,
'User Dashboard'!AN$15),
IF('User Dashboard'!Z$12=1,
'User Dashboard'!AN$14)))))</f>
        <v>15.209356603107825</v>
      </c>
      <c r="D127" s="668">
        <f>'User Dashboard'!X$16</f>
        <v>2.2072878851804097E-2</v>
      </c>
      <c r="E127" s="660">
        <f t="shared" si="11"/>
        <v>8.9862781521070358E-8</v>
      </c>
      <c r="F127" s="660">
        <f t="shared" si="19"/>
        <v>8.9862781521070372E-8</v>
      </c>
      <c r="G127" s="670">
        <f>1/'User Dashboard'!X$12</f>
        <v>0.14285714285714285</v>
      </c>
      <c r="H127" s="359">
        <f t="shared" si="12"/>
        <v>475987.75196956139</v>
      </c>
      <c r="I127" s="672">
        <f t="shared" si="15"/>
        <v>67537.231043013337</v>
      </c>
      <c r="J127" s="673">
        <f t="shared" si="13"/>
        <v>3192329.6169874254</v>
      </c>
      <c r="K127" s="359">
        <f t="shared" si="16"/>
        <v>3259866.8480304386</v>
      </c>
      <c r="L127" s="673">
        <f t="shared" si="17"/>
        <v>3230.8328108675778</v>
      </c>
    </row>
    <row r="128" spans="1:15" x14ac:dyDescent="0.35">
      <c r="A128" s="287">
        <f t="shared" si="14"/>
        <v>18</v>
      </c>
      <c r="B128" s="288">
        <v>121</v>
      </c>
      <c r="C128" s="667">
        <f>IF('User Dashboard'!Z$12=5,
IF('SIR Model Patient Calcs'!B128&lt;'User Dashboard'!AJ$15,'User Dashboard'!AN$14,
IF('SIR Model Patient Calcs'!B128&lt;'User Dashboard'!AJ$16,'User Dashboard'!AN$15,
IF('SIR Model Patient Calcs'!B128&lt;'User Dashboard'!AJ$17,'User Dashboard'!AN$16,
IF('SIR Model Patient Calcs'!B128&lt;'User Dashboard'!AJ$18,'User Dashboard'!AN$17,
'User Dashboard'!AN$18)))),
IF('User Dashboard'!Z$12=4,
IF('SIR Model Patient Calcs'!B128&lt;'User Dashboard'!AJ$15,'User Dashboard'!AN$14,
IF('SIR Model Patient Calcs'!B128&lt;'User Dashboard'!AJ$16,'User Dashboard'!AN$15,
IF('SIR Model Patient Calcs'!B128&lt;'User Dashboard'!AJ$17,'User Dashboard'!AN$16,
'User Dashboard'!AN$17))),
IF('User Dashboard'!Z$12=3,
IF('SIR Model Patient Calcs'!B128&lt;'User Dashboard'!AJ$15,'User Dashboard'!AN$14,
IF('SIR Model Patient Calcs'!B128&lt;'User Dashboard'!AJ$16,'User Dashboard'!AN$15,
'User Dashboard'!AN$16)),
IF('User Dashboard'!Z$12=2,
IF('SIR Model Patient Calcs'!B128&lt;'User Dashboard'!AJ$15,'User Dashboard'!AN$14,
'User Dashboard'!AN$15),
IF('User Dashboard'!Z$12=1,
'User Dashboard'!AN$14)))))</f>
        <v>15.209356603107825</v>
      </c>
      <c r="D128" s="668">
        <f>'User Dashboard'!X$16</f>
        <v>2.2072878851804097E-2</v>
      </c>
      <c r="E128" s="660">
        <f t="shared" si="11"/>
        <v>8.9862781521070372E-8</v>
      </c>
      <c r="F128" s="660">
        <f t="shared" si="19"/>
        <v>8.9862781521070372E-8</v>
      </c>
      <c r="G128" s="670">
        <f>1/'User Dashboard'!X$12</f>
        <v>0.14285714285714285</v>
      </c>
      <c r="H128" s="359">
        <f t="shared" si="12"/>
        <v>473098.94258750806</v>
      </c>
      <c r="I128" s="672">
        <f t="shared" si="15"/>
        <v>60777.864561779061</v>
      </c>
      <c r="J128" s="673">
        <f t="shared" si="13"/>
        <v>3201977.7928507128</v>
      </c>
      <c r="K128" s="359">
        <f t="shared" si="16"/>
        <v>3262755.6574124917</v>
      </c>
      <c r="L128" s="673">
        <f t="shared" si="17"/>
        <v>2888.8093820530921</v>
      </c>
    </row>
    <row r="129" spans="1:12" x14ac:dyDescent="0.35">
      <c r="A129" s="287">
        <f t="shared" si="14"/>
        <v>18</v>
      </c>
      <c r="B129" s="288">
        <v>122</v>
      </c>
      <c r="C129" s="667">
        <f>IF('User Dashboard'!Z$12=5,
IF('SIR Model Patient Calcs'!B129&lt;'User Dashboard'!AJ$15,'User Dashboard'!AN$14,
IF('SIR Model Patient Calcs'!B129&lt;'User Dashboard'!AJ$16,'User Dashboard'!AN$15,
IF('SIR Model Patient Calcs'!B129&lt;'User Dashboard'!AJ$17,'User Dashboard'!AN$16,
IF('SIR Model Patient Calcs'!B129&lt;'User Dashboard'!AJ$18,'User Dashboard'!AN$17,
'User Dashboard'!AN$18)))),
IF('User Dashboard'!Z$12=4,
IF('SIR Model Patient Calcs'!B129&lt;'User Dashboard'!AJ$15,'User Dashboard'!AN$14,
IF('SIR Model Patient Calcs'!B129&lt;'User Dashboard'!AJ$16,'User Dashboard'!AN$15,
IF('SIR Model Patient Calcs'!B129&lt;'User Dashboard'!AJ$17,'User Dashboard'!AN$16,
'User Dashboard'!AN$17))),
IF('User Dashboard'!Z$12=3,
IF('SIR Model Patient Calcs'!B129&lt;'User Dashboard'!AJ$15,'User Dashboard'!AN$14,
IF('SIR Model Patient Calcs'!B129&lt;'User Dashboard'!AJ$16,'User Dashboard'!AN$15,
'User Dashboard'!AN$16)),
IF('User Dashboard'!Z$12=2,
IF('SIR Model Patient Calcs'!B129&lt;'User Dashboard'!AJ$15,'User Dashboard'!AN$14,
'User Dashboard'!AN$15),
IF('User Dashboard'!Z$12=1,
'User Dashboard'!AN$14)))))</f>
        <v>15.209356603107825</v>
      </c>
      <c r="D129" s="668">
        <f>'User Dashboard'!X$16</f>
        <v>2.2072878851804097E-2</v>
      </c>
      <c r="E129" s="660">
        <f t="shared" si="11"/>
        <v>8.9862781521070372E-8</v>
      </c>
      <c r="F129" s="660">
        <f t="shared" si="19"/>
        <v>8.9862781521070372E-8</v>
      </c>
      <c r="G129" s="670">
        <f>1/'User Dashboard'!X$12</f>
        <v>0.14285714285714285</v>
      </c>
      <c r="H129" s="359">
        <f t="shared" si="12"/>
        <v>470515.03324877104</v>
      </c>
      <c r="I129" s="672">
        <f t="shared" si="15"/>
        <v>54679.221820261926</v>
      </c>
      <c r="J129" s="673">
        <f t="shared" si="13"/>
        <v>3210660.3449309669</v>
      </c>
      <c r="K129" s="359">
        <f t="shared" si="16"/>
        <v>3265339.5667512286</v>
      </c>
      <c r="L129" s="673">
        <f t="shared" si="17"/>
        <v>2583.9093387369066</v>
      </c>
    </row>
    <row r="130" spans="1:12" x14ac:dyDescent="0.35">
      <c r="A130" s="287">
        <f t="shared" si="14"/>
        <v>18</v>
      </c>
      <c r="B130" s="288">
        <v>123</v>
      </c>
      <c r="C130" s="667">
        <f>IF('User Dashboard'!Z$12=5,
IF('SIR Model Patient Calcs'!B130&lt;'User Dashboard'!AJ$15,'User Dashboard'!AN$14,
IF('SIR Model Patient Calcs'!B130&lt;'User Dashboard'!AJ$16,'User Dashboard'!AN$15,
IF('SIR Model Patient Calcs'!B130&lt;'User Dashboard'!AJ$17,'User Dashboard'!AN$16,
IF('SIR Model Patient Calcs'!B130&lt;'User Dashboard'!AJ$18,'User Dashboard'!AN$17,
'User Dashboard'!AN$18)))),
IF('User Dashboard'!Z$12=4,
IF('SIR Model Patient Calcs'!B130&lt;'User Dashboard'!AJ$15,'User Dashboard'!AN$14,
IF('SIR Model Patient Calcs'!B130&lt;'User Dashboard'!AJ$16,'User Dashboard'!AN$15,
IF('SIR Model Patient Calcs'!B130&lt;'User Dashboard'!AJ$17,'User Dashboard'!AN$16,
'User Dashboard'!AN$17))),
IF('User Dashboard'!Z$12=3,
IF('SIR Model Patient Calcs'!B130&lt;'User Dashboard'!AJ$15,'User Dashboard'!AN$14,
IF('SIR Model Patient Calcs'!B130&lt;'User Dashboard'!AJ$16,'User Dashboard'!AN$15,
'User Dashboard'!AN$16)),
IF('User Dashboard'!Z$12=2,
IF('SIR Model Patient Calcs'!B130&lt;'User Dashboard'!AJ$15,'User Dashboard'!AN$14,
'User Dashboard'!AN$15),
IF('User Dashboard'!Z$12=1,
'User Dashboard'!AN$14)))))</f>
        <v>15.209356603107825</v>
      </c>
      <c r="D130" s="668">
        <f>'User Dashboard'!X$16</f>
        <v>2.2072878851804097E-2</v>
      </c>
      <c r="E130" s="660">
        <f t="shared" si="11"/>
        <v>8.9862781521070372E-8</v>
      </c>
      <c r="F130" s="660">
        <f t="shared" si="19"/>
        <v>8.9862781521070372E-8</v>
      </c>
      <c r="G130" s="670">
        <f>1/'User Dashboard'!X$12</f>
        <v>0.14285714285714285</v>
      </c>
      <c r="H130" s="359">
        <f t="shared" si="12"/>
        <v>468203.09789434954</v>
      </c>
      <c r="I130" s="672">
        <f t="shared" si="15"/>
        <v>49179.839771788858</v>
      </c>
      <c r="J130" s="673">
        <f t="shared" si="13"/>
        <v>3218471.6623338615</v>
      </c>
      <c r="K130" s="359">
        <f t="shared" si="16"/>
        <v>3267651.5021056505</v>
      </c>
      <c r="L130" s="673">
        <f t="shared" si="17"/>
        <v>2311.9353544218466</v>
      </c>
    </row>
    <row r="131" spans="1:12" x14ac:dyDescent="0.35">
      <c r="A131" s="287">
        <f t="shared" si="14"/>
        <v>18</v>
      </c>
      <c r="B131" s="288">
        <v>124</v>
      </c>
      <c r="C131" s="667">
        <f>IF('User Dashboard'!Z$12=5,
IF('SIR Model Patient Calcs'!B131&lt;'User Dashboard'!AJ$15,'User Dashboard'!AN$14,
IF('SIR Model Patient Calcs'!B131&lt;'User Dashboard'!AJ$16,'User Dashboard'!AN$15,
IF('SIR Model Patient Calcs'!B131&lt;'User Dashboard'!AJ$17,'User Dashboard'!AN$16,
IF('SIR Model Patient Calcs'!B131&lt;'User Dashboard'!AJ$18,'User Dashboard'!AN$17,
'User Dashboard'!AN$18)))),
IF('User Dashboard'!Z$12=4,
IF('SIR Model Patient Calcs'!B131&lt;'User Dashboard'!AJ$15,'User Dashboard'!AN$14,
IF('SIR Model Patient Calcs'!B131&lt;'User Dashboard'!AJ$16,'User Dashboard'!AN$15,
IF('SIR Model Patient Calcs'!B131&lt;'User Dashboard'!AJ$17,'User Dashboard'!AN$16,
'User Dashboard'!AN$17))),
IF('User Dashboard'!Z$12=3,
IF('SIR Model Patient Calcs'!B131&lt;'User Dashboard'!AJ$15,'User Dashboard'!AN$14,
IF('SIR Model Patient Calcs'!B131&lt;'User Dashboard'!AJ$16,'User Dashboard'!AN$15,
'User Dashboard'!AN$16)),
IF('User Dashboard'!Z$12=2,
IF('SIR Model Patient Calcs'!B131&lt;'User Dashboard'!AJ$15,'User Dashboard'!AN$14,
'User Dashboard'!AN$15),
IF('User Dashboard'!Z$12=1,
'User Dashboard'!AN$14)))))</f>
        <v>15.209356603107825</v>
      </c>
      <c r="D131" s="668">
        <f>'User Dashboard'!X$16</f>
        <v>2.2072878851804097E-2</v>
      </c>
      <c r="E131" s="660">
        <f t="shared" si="11"/>
        <v>8.9862781521070358E-8</v>
      </c>
      <c r="F131" s="660">
        <f t="shared" si="19"/>
        <v>8.9862781521070372E-8</v>
      </c>
      <c r="G131" s="670">
        <f>1/'User Dashboard'!X$12</f>
        <v>0.14285714285714285</v>
      </c>
      <c r="H131" s="359">
        <f t="shared" si="12"/>
        <v>466133.90370792686</v>
      </c>
      <c r="I131" s="672">
        <f t="shared" si="15"/>
        <v>44223.342562241713</v>
      </c>
      <c r="J131" s="673">
        <f t="shared" si="13"/>
        <v>3225497.3537298315</v>
      </c>
      <c r="K131" s="359">
        <f t="shared" si="16"/>
        <v>3269720.6962920735</v>
      </c>
      <c r="L131" s="673">
        <f t="shared" si="17"/>
        <v>2069.1941864229739</v>
      </c>
    </row>
    <row r="132" spans="1:12" x14ac:dyDescent="0.35">
      <c r="A132" s="287">
        <f t="shared" si="14"/>
        <v>18</v>
      </c>
      <c r="B132" s="288">
        <v>125</v>
      </c>
      <c r="C132" s="667">
        <f>IF('User Dashboard'!Z$12=5,
IF('SIR Model Patient Calcs'!B132&lt;'User Dashboard'!AJ$15,'User Dashboard'!AN$14,
IF('SIR Model Patient Calcs'!B132&lt;'User Dashboard'!AJ$16,'User Dashboard'!AN$15,
IF('SIR Model Patient Calcs'!B132&lt;'User Dashboard'!AJ$17,'User Dashboard'!AN$16,
IF('SIR Model Patient Calcs'!B132&lt;'User Dashboard'!AJ$18,'User Dashboard'!AN$17,
'User Dashboard'!AN$18)))),
IF('User Dashboard'!Z$12=4,
IF('SIR Model Patient Calcs'!B132&lt;'User Dashboard'!AJ$15,'User Dashboard'!AN$14,
IF('SIR Model Patient Calcs'!B132&lt;'User Dashboard'!AJ$16,'User Dashboard'!AN$15,
IF('SIR Model Patient Calcs'!B132&lt;'User Dashboard'!AJ$17,'User Dashboard'!AN$16,
'User Dashboard'!AN$17))),
IF('User Dashboard'!Z$12=3,
IF('SIR Model Patient Calcs'!B132&lt;'User Dashboard'!AJ$15,'User Dashboard'!AN$14,
IF('SIR Model Patient Calcs'!B132&lt;'User Dashboard'!AJ$16,'User Dashboard'!AN$15,
'User Dashboard'!AN$16)),
IF('User Dashboard'!Z$12=2,
IF('SIR Model Patient Calcs'!B132&lt;'User Dashboard'!AJ$15,'User Dashboard'!AN$14,
'User Dashboard'!AN$15),
IF('User Dashboard'!Z$12=1,
'User Dashboard'!AN$14)))))</f>
        <v>15.209356603107825</v>
      </c>
      <c r="D132" s="668">
        <f>'User Dashboard'!X$16</f>
        <v>2.2072878851804097E-2</v>
      </c>
      <c r="E132" s="660">
        <f t="shared" si="11"/>
        <v>8.9862781521070358E-8</v>
      </c>
      <c r="F132" s="660">
        <f t="shared" si="19"/>
        <v>8.9862781521070372E-8</v>
      </c>
      <c r="G132" s="670">
        <f>1/'User Dashboard'!X$12</f>
        <v>0.14285714285714285</v>
      </c>
      <c r="H132" s="359">
        <f t="shared" si="12"/>
        <v>464281.47239223641</v>
      </c>
      <c r="I132" s="672">
        <f t="shared" si="15"/>
        <v>39758.153511897654</v>
      </c>
      <c r="J132" s="673">
        <f t="shared" si="13"/>
        <v>3231814.9740958661</v>
      </c>
      <c r="K132" s="359">
        <f t="shared" si="16"/>
        <v>3271573.1276077637</v>
      </c>
      <c r="L132" s="673">
        <f t="shared" si="17"/>
        <v>1852.431315690279</v>
      </c>
    </row>
    <row r="133" spans="1:12" x14ac:dyDescent="0.35">
      <c r="A133" s="287">
        <f t="shared" si="14"/>
        <v>18</v>
      </c>
      <c r="B133" s="288">
        <v>126</v>
      </c>
      <c r="C133" s="667">
        <f>IF('User Dashboard'!Z$12=5,
IF('SIR Model Patient Calcs'!B133&lt;'User Dashboard'!AJ$15,'User Dashboard'!AN$14,
IF('SIR Model Patient Calcs'!B133&lt;'User Dashboard'!AJ$16,'User Dashboard'!AN$15,
IF('SIR Model Patient Calcs'!B133&lt;'User Dashboard'!AJ$17,'User Dashboard'!AN$16,
IF('SIR Model Patient Calcs'!B133&lt;'User Dashboard'!AJ$18,'User Dashboard'!AN$17,
'User Dashboard'!AN$18)))),
IF('User Dashboard'!Z$12=4,
IF('SIR Model Patient Calcs'!B133&lt;'User Dashboard'!AJ$15,'User Dashboard'!AN$14,
IF('SIR Model Patient Calcs'!B133&lt;'User Dashboard'!AJ$16,'User Dashboard'!AN$15,
IF('SIR Model Patient Calcs'!B133&lt;'User Dashboard'!AJ$17,'User Dashboard'!AN$16,
'User Dashboard'!AN$17))),
IF('User Dashboard'!Z$12=3,
IF('SIR Model Patient Calcs'!B133&lt;'User Dashboard'!AJ$15,'User Dashboard'!AN$14,
IF('SIR Model Patient Calcs'!B133&lt;'User Dashboard'!AJ$16,'User Dashboard'!AN$15,
'User Dashboard'!AN$16)),
IF('User Dashboard'!Z$12=2,
IF('SIR Model Patient Calcs'!B133&lt;'User Dashboard'!AJ$15,'User Dashboard'!AN$14,
'User Dashboard'!AN$15),
IF('User Dashboard'!Z$12=1,
'User Dashboard'!AN$14)))))</f>
        <v>15.209356603107825</v>
      </c>
      <c r="D133" s="668">
        <f>'User Dashboard'!X$16</f>
        <v>2.2072878851804097E-2</v>
      </c>
      <c r="E133" s="660">
        <f t="shared" si="11"/>
        <v>8.9862781521070358E-8</v>
      </c>
      <c r="F133" s="660">
        <f t="shared" si="19"/>
        <v>8.9862781521070372E-8</v>
      </c>
      <c r="G133" s="670">
        <f>1/'User Dashboard'!X$12</f>
        <v>0.14285714285714285</v>
      </c>
      <c r="H133" s="359">
        <f t="shared" si="12"/>
        <v>462622.69763988937</v>
      </c>
      <c r="I133" s="672">
        <f t="shared" si="15"/>
        <v>35737.192048259283</v>
      </c>
      <c r="J133" s="673">
        <f t="shared" si="13"/>
        <v>3237494.7103118515</v>
      </c>
      <c r="K133" s="359">
        <f t="shared" si="16"/>
        <v>3273231.9023601105</v>
      </c>
      <c r="L133" s="673">
        <f t="shared" si="17"/>
        <v>1658.7747523467988</v>
      </c>
    </row>
    <row r="134" spans="1:12" x14ac:dyDescent="0.35">
      <c r="A134" s="287">
        <f t="shared" si="14"/>
        <v>19</v>
      </c>
      <c r="B134" s="288">
        <v>127</v>
      </c>
      <c r="C134" s="667">
        <f>IF('User Dashboard'!Z$12=5,
IF('SIR Model Patient Calcs'!B134&lt;'User Dashboard'!AJ$15,'User Dashboard'!AN$14,
IF('SIR Model Patient Calcs'!B134&lt;'User Dashboard'!AJ$16,'User Dashboard'!AN$15,
IF('SIR Model Patient Calcs'!B134&lt;'User Dashboard'!AJ$17,'User Dashboard'!AN$16,
IF('SIR Model Patient Calcs'!B134&lt;'User Dashboard'!AJ$18,'User Dashboard'!AN$17,
'User Dashboard'!AN$18)))),
IF('User Dashboard'!Z$12=4,
IF('SIR Model Patient Calcs'!B134&lt;'User Dashboard'!AJ$15,'User Dashboard'!AN$14,
IF('SIR Model Patient Calcs'!B134&lt;'User Dashboard'!AJ$16,'User Dashboard'!AN$15,
IF('SIR Model Patient Calcs'!B134&lt;'User Dashboard'!AJ$17,'User Dashboard'!AN$16,
'User Dashboard'!AN$17))),
IF('User Dashboard'!Z$12=3,
IF('SIR Model Patient Calcs'!B134&lt;'User Dashboard'!AJ$15,'User Dashboard'!AN$14,
IF('SIR Model Patient Calcs'!B134&lt;'User Dashboard'!AJ$16,'User Dashboard'!AN$15,
'User Dashboard'!AN$16)),
IF('User Dashboard'!Z$12=2,
IF('SIR Model Patient Calcs'!B134&lt;'User Dashboard'!AJ$15,'User Dashboard'!AN$14,
'User Dashboard'!AN$15),
IF('User Dashboard'!Z$12=1,
'User Dashboard'!AN$14)))))</f>
        <v>15.209356603107825</v>
      </c>
      <c r="D134" s="668">
        <f>'User Dashboard'!X$16</f>
        <v>2.2072878851804097E-2</v>
      </c>
      <c r="E134" s="660">
        <f t="shared" si="11"/>
        <v>8.9862781521070358E-8</v>
      </c>
      <c r="F134" s="660">
        <f t="shared" si="19"/>
        <v>8.9862781521070372E-8</v>
      </c>
      <c r="G134" s="670">
        <f>1/'User Dashboard'!X$12</f>
        <v>0.14285714285714285</v>
      </c>
      <c r="H134" s="359">
        <f t="shared" si="12"/>
        <v>461137.0109932943</v>
      </c>
      <c r="I134" s="672">
        <f t="shared" si="15"/>
        <v>32117.565545103022</v>
      </c>
      <c r="J134" s="673">
        <f t="shared" si="13"/>
        <v>3242600.0234616026</v>
      </c>
      <c r="K134" s="359">
        <f t="shared" si="16"/>
        <v>3274717.5890067057</v>
      </c>
      <c r="L134" s="673">
        <f t="shared" si="17"/>
        <v>1485.6866465951316</v>
      </c>
    </row>
    <row r="135" spans="1:12" x14ac:dyDescent="0.35">
      <c r="A135" s="287">
        <f t="shared" si="14"/>
        <v>19</v>
      </c>
      <c r="B135" s="288">
        <v>128</v>
      </c>
      <c r="C135" s="667">
        <f>IF('User Dashboard'!Z$12=5,
IF('SIR Model Patient Calcs'!B135&lt;'User Dashboard'!AJ$15,'User Dashboard'!AN$14,
IF('SIR Model Patient Calcs'!B135&lt;'User Dashboard'!AJ$16,'User Dashboard'!AN$15,
IF('SIR Model Patient Calcs'!B135&lt;'User Dashboard'!AJ$17,'User Dashboard'!AN$16,
IF('SIR Model Patient Calcs'!B135&lt;'User Dashboard'!AJ$18,'User Dashboard'!AN$17,
'User Dashboard'!AN$18)))),
IF('User Dashboard'!Z$12=4,
IF('SIR Model Patient Calcs'!B135&lt;'User Dashboard'!AJ$15,'User Dashboard'!AN$14,
IF('SIR Model Patient Calcs'!B135&lt;'User Dashboard'!AJ$16,'User Dashboard'!AN$15,
IF('SIR Model Patient Calcs'!B135&lt;'User Dashboard'!AJ$17,'User Dashboard'!AN$16,
'User Dashboard'!AN$17))),
IF('User Dashboard'!Z$12=3,
IF('SIR Model Patient Calcs'!B135&lt;'User Dashboard'!AJ$15,'User Dashboard'!AN$14,
IF('SIR Model Patient Calcs'!B135&lt;'User Dashboard'!AJ$16,'User Dashboard'!AN$15,
'User Dashboard'!AN$16)),
IF('User Dashboard'!Z$12=2,
IF('SIR Model Patient Calcs'!B135&lt;'User Dashboard'!AJ$15,'User Dashboard'!AN$14,
'User Dashboard'!AN$15),
IF('User Dashboard'!Z$12=1,
'User Dashboard'!AN$14)))))</f>
        <v>15.209356603107825</v>
      </c>
      <c r="D135" s="668">
        <f>'User Dashboard'!X$16</f>
        <v>2.2072878851804097E-2</v>
      </c>
      <c r="E135" s="660">
        <f t="shared" ref="E135:E198" si="21">(C135*D135)/SUM(H135:J135)</f>
        <v>8.9862781521070358E-8</v>
      </c>
      <c r="F135" s="660">
        <f t="shared" si="19"/>
        <v>8.9862781521070372E-8</v>
      </c>
      <c r="G135" s="670">
        <f>1/'User Dashboard'!X$12</f>
        <v>0.14285714285714285</v>
      </c>
      <c r="H135" s="359">
        <f t="shared" si="12"/>
        <v>459806.08944522153</v>
      </c>
      <c r="I135" s="672">
        <f t="shared" si="15"/>
        <v>28860.263443875363</v>
      </c>
      <c r="J135" s="673">
        <f t="shared" si="13"/>
        <v>3247188.2471109033</v>
      </c>
      <c r="K135" s="359">
        <f t="shared" si="16"/>
        <v>3276048.5105547789</v>
      </c>
      <c r="L135" s="673">
        <f t="shared" si="17"/>
        <v>1330.92154807318</v>
      </c>
    </row>
    <row r="136" spans="1:12" x14ac:dyDescent="0.35">
      <c r="A136" s="287">
        <f t="shared" si="14"/>
        <v>19</v>
      </c>
      <c r="B136" s="288">
        <v>129</v>
      </c>
      <c r="C136" s="667">
        <f>IF('User Dashboard'!Z$12=5,
IF('SIR Model Patient Calcs'!B136&lt;'User Dashboard'!AJ$15,'User Dashboard'!AN$14,
IF('SIR Model Patient Calcs'!B136&lt;'User Dashboard'!AJ$16,'User Dashboard'!AN$15,
IF('SIR Model Patient Calcs'!B136&lt;'User Dashboard'!AJ$17,'User Dashboard'!AN$16,
IF('SIR Model Patient Calcs'!B136&lt;'User Dashboard'!AJ$18,'User Dashboard'!AN$17,
'User Dashboard'!AN$18)))),
IF('User Dashboard'!Z$12=4,
IF('SIR Model Patient Calcs'!B136&lt;'User Dashboard'!AJ$15,'User Dashboard'!AN$14,
IF('SIR Model Patient Calcs'!B136&lt;'User Dashboard'!AJ$16,'User Dashboard'!AN$15,
IF('SIR Model Patient Calcs'!B136&lt;'User Dashboard'!AJ$17,'User Dashboard'!AN$16,
'User Dashboard'!AN$17))),
IF('User Dashboard'!Z$12=3,
IF('SIR Model Patient Calcs'!B136&lt;'User Dashboard'!AJ$15,'User Dashboard'!AN$14,
IF('SIR Model Patient Calcs'!B136&lt;'User Dashboard'!AJ$16,'User Dashboard'!AN$15,
'User Dashboard'!AN$16)),
IF('User Dashboard'!Z$12=2,
IF('SIR Model Patient Calcs'!B136&lt;'User Dashboard'!AJ$15,'User Dashboard'!AN$14,
'User Dashboard'!AN$15),
IF('User Dashboard'!Z$12=1,
'User Dashboard'!AN$14)))))</f>
        <v>15.209356603107825</v>
      </c>
      <c r="D136" s="668">
        <f>'User Dashboard'!X$16</f>
        <v>2.2072878851804097E-2</v>
      </c>
      <c r="E136" s="660">
        <f t="shared" si="21"/>
        <v>8.9862781521070358E-8</v>
      </c>
      <c r="F136" s="660">
        <f t="shared" si="19"/>
        <v>8.9862781521070372E-8</v>
      </c>
      <c r="G136" s="670">
        <f>1/'User Dashboard'!X$12</f>
        <v>0.14285714285714285</v>
      </c>
      <c r="H136" s="359">
        <f t="shared" ref="H136:H199" si="22">-MIN(F135*I135,1)*H135+H135</f>
        <v>458613.59911286813</v>
      </c>
      <c r="I136" s="672">
        <f t="shared" si="15"/>
        <v>25929.858998532247</v>
      </c>
      <c r="J136" s="673">
        <f t="shared" ref="J136:J199" si="23">G135*I135+J135</f>
        <v>3251311.1418885998</v>
      </c>
      <c r="K136" s="359">
        <f t="shared" si="16"/>
        <v>3277241.0008871322</v>
      </c>
      <c r="L136" s="673">
        <f t="shared" si="17"/>
        <v>1192.4903323533945</v>
      </c>
    </row>
    <row r="137" spans="1:12" x14ac:dyDescent="0.35">
      <c r="A137" s="287">
        <f t="shared" ref="A137:A200" si="24">IF(AND(IF(L137&lt;1,0,1)*ROUNDUP(B137/7,0)=0,B137&lt;&gt;0),"",IF(L137&lt;1,0,1)*ROUNDUP(B137/7,0))</f>
        <v>19</v>
      </c>
      <c r="B137" s="288">
        <v>130</v>
      </c>
      <c r="C137" s="667">
        <f>IF('User Dashboard'!Z$12=5,
IF('SIR Model Patient Calcs'!B137&lt;'User Dashboard'!AJ$15,'User Dashboard'!AN$14,
IF('SIR Model Patient Calcs'!B137&lt;'User Dashboard'!AJ$16,'User Dashboard'!AN$15,
IF('SIR Model Patient Calcs'!B137&lt;'User Dashboard'!AJ$17,'User Dashboard'!AN$16,
IF('SIR Model Patient Calcs'!B137&lt;'User Dashboard'!AJ$18,'User Dashboard'!AN$17,
'User Dashboard'!AN$18)))),
IF('User Dashboard'!Z$12=4,
IF('SIR Model Patient Calcs'!B137&lt;'User Dashboard'!AJ$15,'User Dashboard'!AN$14,
IF('SIR Model Patient Calcs'!B137&lt;'User Dashboard'!AJ$16,'User Dashboard'!AN$15,
IF('SIR Model Patient Calcs'!B137&lt;'User Dashboard'!AJ$17,'User Dashboard'!AN$16,
'User Dashboard'!AN$17))),
IF('User Dashboard'!Z$12=3,
IF('SIR Model Patient Calcs'!B137&lt;'User Dashboard'!AJ$15,'User Dashboard'!AN$14,
IF('SIR Model Patient Calcs'!B137&lt;'User Dashboard'!AJ$16,'User Dashboard'!AN$15,
'User Dashboard'!AN$16)),
IF('User Dashboard'!Z$12=2,
IF('SIR Model Patient Calcs'!B137&lt;'User Dashboard'!AJ$15,'User Dashboard'!AN$14,
'User Dashboard'!AN$15),
IF('User Dashboard'!Z$12=1,
'User Dashboard'!AN$14)))))</f>
        <v>15.209356603107825</v>
      </c>
      <c r="D137" s="668">
        <f>'User Dashboard'!X$16</f>
        <v>2.2072878851804097E-2</v>
      </c>
      <c r="E137" s="660">
        <f t="shared" si="21"/>
        <v>8.9862781521070358E-8</v>
      </c>
      <c r="F137" s="660">
        <f t="shared" si="19"/>
        <v>8.9862781521070372E-8</v>
      </c>
      <c r="G137" s="670">
        <f>1/'User Dashboard'!X$12</f>
        <v>0.14285714285714285</v>
      </c>
      <c r="H137" s="359">
        <f t="shared" si="22"/>
        <v>457544.97014926677</v>
      </c>
      <c r="I137" s="672">
        <f t="shared" ref="I137:I200" si="25">MIN(F136*I136,1)*H136-G136*I136+I136</f>
        <v>23294.22239091474</v>
      </c>
      <c r="J137" s="673">
        <f t="shared" si="23"/>
        <v>3255015.4074598188</v>
      </c>
      <c r="K137" s="359">
        <f t="shared" ref="K137:K200" si="26">(I137+J137)</f>
        <v>3278309.6298507336</v>
      </c>
      <c r="L137" s="673">
        <f t="shared" ref="L137:L200" si="27">(K137-K136)</f>
        <v>1068.6289636013098</v>
      </c>
    </row>
    <row r="138" spans="1:12" x14ac:dyDescent="0.35">
      <c r="A138" s="287">
        <f t="shared" si="24"/>
        <v>19</v>
      </c>
      <c r="B138" s="288">
        <v>131</v>
      </c>
      <c r="C138" s="667">
        <f>IF('User Dashboard'!Z$12=5,
IF('SIR Model Patient Calcs'!B138&lt;'User Dashboard'!AJ$15,'User Dashboard'!AN$14,
IF('SIR Model Patient Calcs'!B138&lt;'User Dashboard'!AJ$16,'User Dashboard'!AN$15,
IF('SIR Model Patient Calcs'!B138&lt;'User Dashboard'!AJ$17,'User Dashboard'!AN$16,
IF('SIR Model Patient Calcs'!B138&lt;'User Dashboard'!AJ$18,'User Dashboard'!AN$17,
'User Dashboard'!AN$18)))),
IF('User Dashboard'!Z$12=4,
IF('SIR Model Patient Calcs'!B138&lt;'User Dashboard'!AJ$15,'User Dashboard'!AN$14,
IF('SIR Model Patient Calcs'!B138&lt;'User Dashboard'!AJ$16,'User Dashboard'!AN$15,
IF('SIR Model Patient Calcs'!B138&lt;'User Dashboard'!AJ$17,'User Dashboard'!AN$16,
'User Dashboard'!AN$17))),
IF('User Dashboard'!Z$12=3,
IF('SIR Model Patient Calcs'!B138&lt;'User Dashboard'!AJ$15,'User Dashboard'!AN$14,
IF('SIR Model Patient Calcs'!B138&lt;'User Dashboard'!AJ$16,'User Dashboard'!AN$15,
'User Dashboard'!AN$16)),
IF('User Dashboard'!Z$12=2,
IF('SIR Model Patient Calcs'!B138&lt;'User Dashboard'!AJ$15,'User Dashboard'!AN$14,
'User Dashboard'!AN$15),
IF('User Dashboard'!Z$12=1,
'User Dashboard'!AN$14)))))</f>
        <v>15.209356603107825</v>
      </c>
      <c r="D138" s="668">
        <f>'User Dashboard'!X$16</f>
        <v>2.2072878851804097E-2</v>
      </c>
      <c r="E138" s="660">
        <f t="shared" si="21"/>
        <v>8.9862781521070345E-8</v>
      </c>
      <c r="F138" s="660">
        <f t="shared" si="19"/>
        <v>8.9862781521070372E-8</v>
      </c>
      <c r="G138" s="670">
        <f>1/'User Dashboard'!X$12</f>
        <v>0.14285714285714285</v>
      </c>
      <c r="H138" s="359">
        <f t="shared" si="22"/>
        <v>456587.1987590213</v>
      </c>
      <c r="I138" s="672">
        <f t="shared" si="25"/>
        <v>20924.247725315243</v>
      </c>
      <c r="J138" s="673">
        <f t="shared" si="23"/>
        <v>3258343.1535156639</v>
      </c>
      <c r="K138" s="359">
        <f t="shared" si="26"/>
        <v>3279267.4012409793</v>
      </c>
      <c r="L138" s="673">
        <f t="shared" si="27"/>
        <v>957.77139024576172</v>
      </c>
    </row>
    <row r="139" spans="1:12" x14ac:dyDescent="0.35">
      <c r="A139" s="287">
        <f t="shared" si="24"/>
        <v>19</v>
      </c>
      <c r="B139" s="288">
        <v>132</v>
      </c>
      <c r="C139" s="667">
        <f>IF('User Dashboard'!Z$12=5,
IF('SIR Model Patient Calcs'!B139&lt;'User Dashboard'!AJ$15,'User Dashboard'!AN$14,
IF('SIR Model Patient Calcs'!B139&lt;'User Dashboard'!AJ$16,'User Dashboard'!AN$15,
IF('SIR Model Patient Calcs'!B139&lt;'User Dashboard'!AJ$17,'User Dashboard'!AN$16,
IF('SIR Model Patient Calcs'!B139&lt;'User Dashboard'!AJ$18,'User Dashboard'!AN$17,
'User Dashboard'!AN$18)))),
IF('User Dashboard'!Z$12=4,
IF('SIR Model Patient Calcs'!B139&lt;'User Dashboard'!AJ$15,'User Dashboard'!AN$14,
IF('SIR Model Patient Calcs'!B139&lt;'User Dashboard'!AJ$16,'User Dashboard'!AN$15,
IF('SIR Model Patient Calcs'!B139&lt;'User Dashboard'!AJ$17,'User Dashboard'!AN$16,
'User Dashboard'!AN$17))),
IF('User Dashboard'!Z$12=3,
IF('SIR Model Patient Calcs'!B139&lt;'User Dashboard'!AJ$15,'User Dashboard'!AN$14,
IF('SIR Model Patient Calcs'!B139&lt;'User Dashboard'!AJ$16,'User Dashboard'!AN$15,
'User Dashboard'!AN$16)),
IF('User Dashboard'!Z$12=2,
IF('SIR Model Patient Calcs'!B139&lt;'User Dashboard'!AJ$15,'User Dashboard'!AN$14,
'User Dashboard'!AN$15),
IF('User Dashboard'!Z$12=1,
'User Dashboard'!AN$14)))))</f>
        <v>15.209356603107825</v>
      </c>
      <c r="D139" s="668">
        <f>'User Dashboard'!X$16</f>
        <v>2.2072878851804097E-2</v>
      </c>
      <c r="E139" s="660">
        <f t="shared" si="21"/>
        <v>8.9862781521070345E-8</v>
      </c>
      <c r="F139" s="660">
        <f t="shared" si="19"/>
        <v>8.9862781521070372E-8</v>
      </c>
      <c r="G139" s="670">
        <f>1/'User Dashboard'!X$12</f>
        <v>0.14285714285714285</v>
      </c>
      <c r="H139" s="359">
        <f t="shared" si="22"/>
        <v>455728.67278024001</v>
      </c>
      <c r="I139" s="672">
        <f t="shared" si="25"/>
        <v>18793.595457622945</v>
      </c>
      <c r="J139" s="673">
        <f t="shared" si="23"/>
        <v>3261332.3317621374</v>
      </c>
      <c r="K139" s="359">
        <f t="shared" si="26"/>
        <v>3280125.9272197601</v>
      </c>
      <c r="L139" s="673">
        <f t="shared" si="27"/>
        <v>858.52597878081724</v>
      </c>
    </row>
    <row r="140" spans="1:12" x14ac:dyDescent="0.35">
      <c r="A140" s="287">
        <f t="shared" si="24"/>
        <v>19</v>
      </c>
      <c r="B140" s="288">
        <v>133</v>
      </c>
      <c r="C140" s="667">
        <f>IF('User Dashboard'!Z$12=5,
IF('SIR Model Patient Calcs'!B140&lt;'User Dashboard'!AJ$15,'User Dashboard'!AN$14,
IF('SIR Model Patient Calcs'!B140&lt;'User Dashboard'!AJ$16,'User Dashboard'!AN$15,
IF('SIR Model Patient Calcs'!B140&lt;'User Dashboard'!AJ$17,'User Dashboard'!AN$16,
IF('SIR Model Patient Calcs'!B140&lt;'User Dashboard'!AJ$18,'User Dashboard'!AN$17,
'User Dashboard'!AN$18)))),
IF('User Dashboard'!Z$12=4,
IF('SIR Model Patient Calcs'!B140&lt;'User Dashboard'!AJ$15,'User Dashboard'!AN$14,
IF('SIR Model Patient Calcs'!B140&lt;'User Dashboard'!AJ$16,'User Dashboard'!AN$15,
IF('SIR Model Patient Calcs'!B140&lt;'User Dashboard'!AJ$17,'User Dashboard'!AN$16,
'User Dashboard'!AN$17))),
IF('User Dashboard'!Z$12=3,
IF('SIR Model Patient Calcs'!B140&lt;'User Dashboard'!AJ$15,'User Dashboard'!AN$14,
IF('SIR Model Patient Calcs'!B140&lt;'User Dashboard'!AJ$16,'User Dashboard'!AN$15,
'User Dashboard'!AN$16)),
IF('User Dashboard'!Z$12=2,
IF('SIR Model Patient Calcs'!B140&lt;'User Dashboard'!AJ$15,'User Dashboard'!AN$14,
'User Dashboard'!AN$15),
IF('User Dashboard'!Z$12=1,
'User Dashboard'!AN$14)))))</f>
        <v>15.209356603107825</v>
      </c>
      <c r="D140" s="668">
        <f>'User Dashboard'!X$16</f>
        <v>2.2072878851804097E-2</v>
      </c>
      <c r="E140" s="660">
        <f t="shared" si="21"/>
        <v>8.9862781521070345E-8</v>
      </c>
      <c r="F140" s="660">
        <f t="shared" si="19"/>
        <v>8.9862781521070372E-8</v>
      </c>
      <c r="G140" s="670">
        <f>1/'User Dashboard'!X$12</f>
        <v>0.14285714285714285</v>
      </c>
      <c r="H140" s="359">
        <f t="shared" si="22"/>
        <v>454959.01779804676</v>
      </c>
      <c r="I140" s="672">
        <f t="shared" si="25"/>
        <v>16878.451088727219</v>
      </c>
      <c r="J140" s="673">
        <f t="shared" si="23"/>
        <v>3264017.1311132265</v>
      </c>
      <c r="K140" s="359">
        <f t="shared" si="26"/>
        <v>3280895.582201954</v>
      </c>
      <c r="L140" s="673">
        <f t="shared" si="27"/>
        <v>769.6549821938388</v>
      </c>
    </row>
    <row r="141" spans="1:12" x14ac:dyDescent="0.35">
      <c r="A141" s="287">
        <f t="shared" si="24"/>
        <v>20</v>
      </c>
      <c r="B141" s="288">
        <v>134</v>
      </c>
      <c r="C141" s="667">
        <f>IF('User Dashboard'!Z$12=5,
IF('SIR Model Patient Calcs'!B141&lt;'User Dashboard'!AJ$15,'User Dashboard'!AN$14,
IF('SIR Model Patient Calcs'!B141&lt;'User Dashboard'!AJ$16,'User Dashboard'!AN$15,
IF('SIR Model Patient Calcs'!B141&lt;'User Dashboard'!AJ$17,'User Dashboard'!AN$16,
IF('SIR Model Patient Calcs'!B141&lt;'User Dashboard'!AJ$18,'User Dashboard'!AN$17,
'User Dashboard'!AN$18)))),
IF('User Dashboard'!Z$12=4,
IF('SIR Model Patient Calcs'!B141&lt;'User Dashboard'!AJ$15,'User Dashboard'!AN$14,
IF('SIR Model Patient Calcs'!B141&lt;'User Dashboard'!AJ$16,'User Dashboard'!AN$15,
IF('SIR Model Patient Calcs'!B141&lt;'User Dashboard'!AJ$17,'User Dashboard'!AN$16,
'User Dashboard'!AN$17))),
IF('User Dashboard'!Z$12=3,
IF('SIR Model Patient Calcs'!B141&lt;'User Dashboard'!AJ$15,'User Dashboard'!AN$14,
IF('SIR Model Patient Calcs'!B141&lt;'User Dashboard'!AJ$16,'User Dashboard'!AN$15,
'User Dashboard'!AN$16)),
IF('User Dashboard'!Z$12=2,
IF('SIR Model Patient Calcs'!B141&lt;'User Dashboard'!AJ$15,'User Dashboard'!AN$14,
'User Dashboard'!AN$15),
IF('User Dashboard'!Z$12=1,
'User Dashboard'!AN$14)))))</f>
        <v>15.209356603107825</v>
      </c>
      <c r="D141" s="668">
        <f>'User Dashboard'!X$16</f>
        <v>2.2072878851804097E-2</v>
      </c>
      <c r="E141" s="660">
        <f t="shared" si="21"/>
        <v>8.9862781521070345E-8</v>
      </c>
      <c r="F141" s="660">
        <f t="shared" si="19"/>
        <v>8.9862781521070372E-8</v>
      </c>
      <c r="G141" s="670">
        <f>1/'User Dashboard'!X$12</f>
        <v>0.14285714285714285</v>
      </c>
      <c r="H141" s="359">
        <f t="shared" si="22"/>
        <v>454268.96118159557</v>
      </c>
      <c r="I141" s="672">
        <f t="shared" si="25"/>
        <v>15157.300406788807</v>
      </c>
      <c r="J141" s="673">
        <f t="shared" si="23"/>
        <v>3266428.3384116162</v>
      </c>
      <c r="K141" s="359">
        <f t="shared" si="26"/>
        <v>3281585.6388184051</v>
      </c>
      <c r="L141" s="673">
        <f t="shared" si="27"/>
        <v>690.05661645112559</v>
      </c>
    </row>
    <row r="142" spans="1:12" x14ac:dyDescent="0.35">
      <c r="A142" s="287">
        <f t="shared" si="24"/>
        <v>20</v>
      </c>
      <c r="B142" s="288">
        <v>135</v>
      </c>
      <c r="C142" s="667">
        <f>IF('User Dashboard'!Z$12=5,
IF('SIR Model Patient Calcs'!B142&lt;'User Dashboard'!AJ$15,'User Dashboard'!AN$14,
IF('SIR Model Patient Calcs'!B142&lt;'User Dashboard'!AJ$16,'User Dashboard'!AN$15,
IF('SIR Model Patient Calcs'!B142&lt;'User Dashboard'!AJ$17,'User Dashboard'!AN$16,
IF('SIR Model Patient Calcs'!B142&lt;'User Dashboard'!AJ$18,'User Dashboard'!AN$17,
'User Dashboard'!AN$18)))),
IF('User Dashboard'!Z$12=4,
IF('SIR Model Patient Calcs'!B142&lt;'User Dashboard'!AJ$15,'User Dashboard'!AN$14,
IF('SIR Model Patient Calcs'!B142&lt;'User Dashboard'!AJ$16,'User Dashboard'!AN$15,
IF('SIR Model Patient Calcs'!B142&lt;'User Dashboard'!AJ$17,'User Dashboard'!AN$16,
'User Dashboard'!AN$17))),
IF('User Dashboard'!Z$12=3,
IF('SIR Model Patient Calcs'!B142&lt;'User Dashboard'!AJ$15,'User Dashboard'!AN$14,
IF('SIR Model Patient Calcs'!B142&lt;'User Dashboard'!AJ$16,'User Dashboard'!AN$15,
'User Dashboard'!AN$16)),
IF('User Dashboard'!Z$12=2,
IF('SIR Model Patient Calcs'!B142&lt;'User Dashboard'!AJ$15,'User Dashboard'!AN$14,
'User Dashboard'!AN$15),
IF('User Dashboard'!Z$12=1,
'User Dashboard'!AN$14)))))</f>
        <v>15.209356603107825</v>
      </c>
      <c r="D142" s="668">
        <f>'User Dashboard'!X$16</f>
        <v>2.2072878851804097E-2</v>
      </c>
      <c r="E142" s="660">
        <f t="shared" si="21"/>
        <v>8.9862781521070345E-8</v>
      </c>
      <c r="F142" s="660">
        <f t="shared" si="19"/>
        <v>8.9862781521070372E-8</v>
      </c>
      <c r="G142" s="670">
        <f>1/'User Dashboard'!X$12</f>
        <v>0.14285714285714285</v>
      </c>
      <c r="H142" s="359">
        <f t="shared" si="22"/>
        <v>453650.21179830254</v>
      </c>
      <c r="I142" s="672">
        <f t="shared" si="25"/>
        <v>13610.721160540576</v>
      </c>
      <c r="J142" s="673">
        <f t="shared" si="23"/>
        <v>3268593.6670411574</v>
      </c>
      <c r="K142" s="359">
        <f t="shared" si="26"/>
        <v>3282204.3882016977</v>
      </c>
      <c r="L142" s="673">
        <f t="shared" si="27"/>
        <v>618.74938329262659</v>
      </c>
    </row>
    <row r="143" spans="1:12" x14ac:dyDescent="0.35">
      <c r="A143" s="287">
        <f t="shared" si="24"/>
        <v>20</v>
      </c>
      <c r="B143" s="288">
        <v>136</v>
      </c>
      <c r="C143" s="667">
        <f>IF('User Dashboard'!Z$12=5,
IF('SIR Model Patient Calcs'!B143&lt;'User Dashboard'!AJ$15,'User Dashboard'!AN$14,
IF('SIR Model Patient Calcs'!B143&lt;'User Dashboard'!AJ$16,'User Dashboard'!AN$15,
IF('SIR Model Patient Calcs'!B143&lt;'User Dashboard'!AJ$17,'User Dashboard'!AN$16,
IF('SIR Model Patient Calcs'!B143&lt;'User Dashboard'!AJ$18,'User Dashboard'!AN$17,
'User Dashboard'!AN$18)))),
IF('User Dashboard'!Z$12=4,
IF('SIR Model Patient Calcs'!B143&lt;'User Dashboard'!AJ$15,'User Dashboard'!AN$14,
IF('SIR Model Patient Calcs'!B143&lt;'User Dashboard'!AJ$16,'User Dashboard'!AN$15,
IF('SIR Model Patient Calcs'!B143&lt;'User Dashboard'!AJ$17,'User Dashboard'!AN$16,
'User Dashboard'!AN$17))),
IF('User Dashboard'!Z$12=3,
IF('SIR Model Patient Calcs'!B143&lt;'User Dashboard'!AJ$15,'User Dashboard'!AN$14,
IF('SIR Model Patient Calcs'!B143&lt;'User Dashboard'!AJ$16,'User Dashboard'!AN$15,
'User Dashboard'!AN$16)),
IF('User Dashboard'!Z$12=2,
IF('SIR Model Patient Calcs'!B143&lt;'User Dashboard'!AJ$15,'User Dashboard'!AN$14,
'User Dashboard'!AN$15),
IF('User Dashboard'!Z$12=1,
'User Dashboard'!AN$14)))))</f>
        <v>15.209356603107825</v>
      </c>
      <c r="D143" s="668">
        <f>'User Dashboard'!X$16</f>
        <v>2.2072878851804097E-2</v>
      </c>
      <c r="E143" s="660">
        <f t="shared" si="21"/>
        <v>8.9862781521070358E-8</v>
      </c>
      <c r="F143" s="660">
        <f t="shared" si="19"/>
        <v>8.9862781521070358E-8</v>
      </c>
      <c r="G143" s="670">
        <f>1/'User Dashboard'!X$12</f>
        <v>0.14285714285714285</v>
      </c>
      <c r="H143" s="359">
        <f t="shared" si="22"/>
        <v>453095.35346634907</v>
      </c>
      <c r="I143" s="672">
        <f t="shared" si="25"/>
        <v>12221.190755273936</v>
      </c>
      <c r="J143" s="673">
        <f t="shared" si="23"/>
        <v>3270538.0557783772</v>
      </c>
      <c r="K143" s="359">
        <f t="shared" si="26"/>
        <v>3282759.2465336514</v>
      </c>
      <c r="L143" s="673">
        <f t="shared" si="27"/>
        <v>554.85833195364103</v>
      </c>
    </row>
    <row r="144" spans="1:12" x14ac:dyDescent="0.35">
      <c r="A144" s="287">
        <f t="shared" si="24"/>
        <v>20</v>
      </c>
      <c r="B144" s="288">
        <v>137</v>
      </c>
      <c r="C144" s="667">
        <f>IF('User Dashboard'!Z$12=5,
IF('SIR Model Patient Calcs'!B144&lt;'User Dashboard'!AJ$15,'User Dashboard'!AN$14,
IF('SIR Model Patient Calcs'!B144&lt;'User Dashboard'!AJ$16,'User Dashboard'!AN$15,
IF('SIR Model Patient Calcs'!B144&lt;'User Dashboard'!AJ$17,'User Dashboard'!AN$16,
IF('SIR Model Patient Calcs'!B144&lt;'User Dashboard'!AJ$18,'User Dashboard'!AN$17,
'User Dashboard'!AN$18)))),
IF('User Dashboard'!Z$12=4,
IF('SIR Model Patient Calcs'!B144&lt;'User Dashboard'!AJ$15,'User Dashboard'!AN$14,
IF('SIR Model Patient Calcs'!B144&lt;'User Dashboard'!AJ$16,'User Dashboard'!AN$15,
IF('SIR Model Patient Calcs'!B144&lt;'User Dashboard'!AJ$17,'User Dashboard'!AN$16,
'User Dashboard'!AN$17))),
IF('User Dashboard'!Z$12=3,
IF('SIR Model Patient Calcs'!B144&lt;'User Dashboard'!AJ$15,'User Dashboard'!AN$14,
IF('SIR Model Patient Calcs'!B144&lt;'User Dashboard'!AJ$16,'User Dashboard'!AN$15,
'User Dashboard'!AN$16)),
IF('User Dashboard'!Z$12=2,
IF('SIR Model Patient Calcs'!B144&lt;'User Dashboard'!AJ$15,'User Dashboard'!AN$14,
'User Dashboard'!AN$15),
IF('User Dashboard'!Z$12=1,
'User Dashboard'!AN$14)))))</f>
        <v>15.209356603107825</v>
      </c>
      <c r="D144" s="668">
        <f>'User Dashboard'!X$16</f>
        <v>2.2072878851804097E-2</v>
      </c>
      <c r="E144" s="660">
        <f t="shared" si="21"/>
        <v>8.9862781521070358E-8</v>
      </c>
      <c r="F144" s="660">
        <f t="shared" ref="F144:F207" si="28">AVERAGE(E135:E144)</f>
        <v>8.9862781521070358E-8</v>
      </c>
      <c r="G144" s="670">
        <f>1/'User Dashboard'!X$12</f>
        <v>0.14285714285714285</v>
      </c>
      <c r="H144" s="359">
        <f t="shared" si="22"/>
        <v>452597.75046806299</v>
      </c>
      <c r="I144" s="672">
        <f t="shared" si="25"/>
        <v>10972.909359949428</v>
      </c>
      <c r="J144" s="673">
        <f t="shared" si="23"/>
        <v>3272283.9401719877</v>
      </c>
      <c r="K144" s="359">
        <f t="shared" si="26"/>
        <v>3283256.8495319374</v>
      </c>
      <c r="L144" s="673">
        <f t="shared" si="27"/>
        <v>497.60299828602001</v>
      </c>
    </row>
    <row r="145" spans="1:12" x14ac:dyDescent="0.35">
      <c r="A145" s="287">
        <f t="shared" si="24"/>
        <v>20</v>
      </c>
      <c r="B145" s="288">
        <v>138</v>
      </c>
      <c r="C145" s="667">
        <f>IF('User Dashboard'!Z$12=5,
IF('SIR Model Patient Calcs'!B145&lt;'User Dashboard'!AJ$15,'User Dashboard'!AN$14,
IF('SIR Model Patient Calcs'!B145&lt;'User Dashboard'!AJ$16,'User Dashboard'!AN$15,
IF('SIR Model Patient Calcs'!B145&lt;'User Dashboard'!AJ$17,'User Dashboard'!AN$16,
IF('SIR Model Patient Calcs'!B145&lt;'User Dashboard'!AJ$18,'User Dashboard'!AN$17,
'User Dashboard'!AN$18)))),
IF('User Dashboard'!Z$12=4,
IF('SIR Model Patient Calcs'!B145&lt;'User Dashboard'!AJ$15,'User Dashboard'!AN$14,
IF('SIR Model Patient Calcs'!B145&lt;'User Dashboard'!AJ$16,'User Dashboard'!AN$15,
IF('SIR Model Patient Calcs'!B145&lt;'User Dashboard'!AJ$17,'User Dashboard'!AN$16,
'User Dashboard'!AN$17))),
IF('User Dashboard'!Z$12=3,
IF('SIR Model Patient Calcs'!B145&lt;'User Dashboard'!AJ$15,'User Dashboard'!AN$14,
IF('SIR Model Patient Calcs'!B145&lt;'User Dashboard'!AJ$16,'User Dashboard'!AN$15,
'User Dashboard'!AN$16)),
IF('User Dashboard'!Z$12=2,
IF('SIR Model Patient Calcs'!B145&lt;'User Dashboard'!AJ$15,'User Dashboard'!AN$14,
'User Dashboard'!AN$15),
IF('User Dashboard'!Z$12=1,
'User Dashboard'!AN$14)))))</f>
        <v>15.209356603107825</v>
      </c>
      <c r="D145" s="668">
        <f>'User Dashboard'!X$16</f>
        <v>2.2072878851804097E-2</v>
      </c>
      <c r="E145" s="660">
        <f t="shared" si="21"/>
        <v>8.9862781521070358E-8</v>
      </c>
      <c r="F145" s="660">
        <f t="shared" si="28"/>
        <v>8.9862781521070358E-8</v>
      </c>
      <c r="G145" s="670">
        <f>1/'User Dashboard'!X$12</f>
        <v>0.14285714285714285</v>
      </c>
      <c r="H145" s="359">
        <f t="shared" si="22"/>
        <v>452151.46366981236</v>
      </c>
      <c r="I145" s="672">
        <f t="shared" si="25"/>
        <v>9851.6376782072821</v>
      </c>
      <c r="J145" s="673">
        <f t="shared" si="23"/>
        <v>3273851.4986519804</v>
      </c>
      <c r="K145" s="359">
        <f t="shared" si="26"/>
        <v>3283703.1363301878</v>
      </c>
      <c r="L145" s="673">
        <f t="shared" si="27"/>
        <v>446.2867982503958</v>
      </c>
    </row>
    <row r="146" spans="1:12" x14ac:dyDescent="0.35">
      <c r="A146" s="287">
        <f t="shared" si="24"/>
        <v>20</v>
      </c>
      <c r="B146" s="288">
        <v>139</v>
      </c>
      <c r="C146" s="667">
        <f>IF('User Dashboard'!Z$12=5,
IF('SIR Model Patient Calcs'!B146&lt;'User Dashboard'!AJ$15,'User Dashboard'!AN$14,
IF('SIR Model Patient Calcs'!B146&lt;'User Dashboard'!AJ$16,'User Dashboard'!AN$15,
IF('SIR Model Patient Calcs'!B146&lt;'User Dashboard'!AJ$17,'User Dashboard'!AN$16,
IF('SIR Model Patient Calcs'!B146&lt;'User Dashboard'!AJ$18,'User Dashboard'!AN$17,
'User Dashboard'!AN$18)))),
IF('User Dashboard'!Z$12=4,
IF('SIR Model Patient Calcs'!B146&lt;'User Dashboard'!AJ$15,'User Dashboard'!AN$14,
IF('SIR Model Patient Calcs'!B146&lt;'User Dashboard'!AJ$16,'User Dashboard'!AN$15,
IF('SIR Model Patient Calcs'!B146&lt;'User Dashboard'!AJ$17,'User Dashboard'!AN$16,
'User Dashboard'!AN$17))),
IF('User Dashboard'!Z$12=3,
IF('SIR Model Patient Calcs'!B146&lt;'User Dashboard'!AJ$15,'User Dashboard'!AN$14,
IF('SIR Model Patient Calcs'!B146&lt;'User Dashboard'!AJ$16,'User Dashboard'!AN$15,
'User Dashboard'!AN$16)),
IF('User Dashboard'!Z$12=2,
IF('SIR Model Patient Calcs'!B146&lt;'User Dashboard'!AJ$15,'User Dashboard'!AN$14,
'User Dashboard'!AN$15),
IF('User Dashboard'!Z$12=1,
'User Dashboard'!AN$14)))))</f>
        <v>15.209356603107825</v>
      </c>
      <c r="D146" s="668">
        <f>'User Dashboard'!X$16</f>
        <v>2.2072878851804097E-2</v>
      </c>
      <c r="E146" s="660">
        <f t="shared" si="21"/>
        <v>8.9862781521070358E-8</v>
      </c>
      <c r="F146" s="660">
        <f t="shared" si="28"/>
        <v>8.9862781521070358E-8</v>
      </c>
      <c r="G146" s="670">
        <f>1/'User Dashboard'!X$12</f>
        <v>0.14285714285714285</v>
      </c>
      <c r="H146" s="359">
        <f t="shared" si="22"/>
        <v>451751.17598463304</v>
      </c>
      <c r="I146" s="672">
        <f t="shared" si="25"/>
        <v>8844.5485522141225</v>
      </c>
      <c r="J146" s="673">
        <f t="shared" si="23"/>
        <v>3275258.8754631528</v>
      </c>
      <c r="K146" s="359">
        <f t="shared" si="26"/>
        <v>3284103.4240153669</v>
      </c>
      <c r="L146" s="673">
        <f t="shared" si="27"/>
        <v>400.28768517915159</v>
      </c>
    </row>
    <row r="147" spans="1:12" x14ac:dyDescent="0.35">
      <c r="A147" s="287">
        <f t="shared" si="24"/>
        <v>20</v>
      </c>
      <c r="B147" s="288">
        <v>140</v>
      </c>
      <c r="C147" s="667">
        <f>IF('User Dashboard'!Z$12=5,
IF('SIR Model Patient Calcs'!B147&lt;'User Dashboard'!AJ$15,'User Dashboard'!AN$14,
IF('SIR Model Patient Calcs'!B147&lt;'User Dashboard'!AJ$16,'User Dashboard'!AN$15,
IF('SIR Model Patient Calcs'!B147&lt;'User Dashboard'!AJ$17,'User Dashboard'!AN$16,
IF('SIR Model Patient Calcs'!B147&lt;'User Dashboard'!AJ$18,'User Dashboard'!AN$17,
'User Dashboard'!AN$18)))),
IF('User Dashboard'!Z$12=4,
IF('SIR Model Patient Calcs'!B147&lt;'User Dashboard'!AJ$15,'User Dashboard'!AN$14,
IF('SIR Model Patient Calcs'!B147&lt;'User Dashboard'!AJ$16,'User Dashboard'!AN$15,
IF('SIR Model Patient Calcs'!B147&lt;'User Dashboard'!AJ$17,'User Dashboard'!AN$16,
'User Dashboard'!AN$17))),
IF('User Dashboard'!Z$12=3,
IF('SIR Model Patient Calcs'!B147&lt;'User Dashboard'!AJ$15,'User Dashboard'!AN$14,
IF('SIR Model Patient Calcs'!B147&lt;'User Dashboard'!AJ$16,'User Dashboard'!AN$15,
'User Dashboard'!AN$16)),
IF('User Dashboard'!Z$12=2,
IF('SIR Model Patient Calcs'!B147&lt;'User Dashboard'!AJ$15,'User Dashboard'!AN$14,
'User Dashboard'!AN$15),
IF('User Dashboard'!Z$12=1,
'User Dashboard'!AN$14)))))</f>
        <v>15.209356603107825</v>
      </c>
      <c r="D147" s="668">
        <f>'User Dashboard'!X$16</f>
        <v>2.2072878851804097E-2</v>
      </c>
      <c r="E147" s="660">
        <f t="shared" si="21"/>
        <v>8.9862781521070372E-8</v>
      </c>
      <c r="F147" s="660">
        <f t="shared" si="28"/>
        <v>8.9862781521070358E-8</v>
      </c>
      <c r="G147" s="670">
        <f>1/'User Dashboard'!X$12</f>
        <v>0.14285714285714285</v>
      </c>
      <c r="H147" s="359">
        <f t="shared" si="22"/>
        <v>451392.12607704056</v>
      </c>
      <c r="I147" s="672">
        <f t="shared" si="25"/>
        <v>7940.0915237760064</v>
      </c>
      <c r="J147" s="673">
        <f t="shared" si="23"/>
        <v>3276522.3823991832</v>
      </c>
      <c r="K147" s="359">
        <f t="shared" si="26"/>
        <v>3284462.4739229591</v>
      </c>
      <c r="L147" s="673">
        <f t="shared" si="27"/>
        <v>359.04990759212524</v>
      </c>
    </row>
    <row r="148" spans="1:12" x14ac:dyDescent="0.35">
      <c r="A148" s="287">
        <f t="shared" si="24"/>
        <v>21</v>
      </c>
      <c r="B148" s="288">
        <v>141</v>
      </c>
      <c r="C148" s="667">
        <f>IF('User Dashboard'!Z$12=5,
IF('SIR Model Patient Calcs'!B148&lt;'User Dashboard'!AJ$15,'User Dashboard'!AN$14,
IF('SIR Model Patient Calcs'!B148&lt;'User Dashboard'!AJ$16,'User Dashboard'!AN$15,
IF('SIR Model Patient Calcs'!B148&lt;'User Dashboard'!AJ$17,'User Dashboard'!AN$16,
IF('SIR Model Patient Calcs'!B148&lt;'User Dashboard'!AJ$18,'User Dashboard'!AN$17,
'User Dashboard'!AN$18)))),
IF('User Dashboard'!Z$12=4,
IF('SIR Model Patient Calcs'!B148&lt;'User Dashboard'!AJ$15,'User Dashboard'!AN$14,
IF('SIR Model Patient Calcs'!B148&lt;'User Dashboard'!AJ$16,'User Dashboard'!AN$15,
IF('SIR Model Patient Calcs'!B148&lt;'User Dashboard'!AJ$17,'User Dashboard'!AN$16,
'User Dashboard'!AN$17))),
IF('User Dashboard'!Z$12=3,
IF('SIR Model Patient Calcs'!B148&lt;'User Dashboard'!AJ$15,'User Dashboard'!AN$14,
IF('SIR Model Patient Calcs'!B148&lt;'User Dashboard'!AJ$16,'User Dashboard'!AN$15,
'User Dashboard'!AN$16)),
IF('User Dashboard'!Z$12=2,
IF('SIR Model Patient Calcs'!B148&lt;'User Dashboard'!AJ$15,'User Dashboard'!AN$14,
'User Dashboard'!AN$15),
IF('User Dashboard'!Z$12=1,
'User Dashboard'!AN$14)))))</f>
        <v>15.209356603107825</v>
      </c>
      <c r="D148" s="668">
        <f>'User Dashboard'!X$16</f>
        <v>2.2072878851804097E-2</v>
      </c>
      <c r="E148" s="660">
        <f t="shared" si="21"/>
        <v>8.9862781521070358E-8</v>
      </c>
      <c r="F148" s="660">
        <f t="shared" si="28"/>
        <v>8.9862781521070358E-8</v>
      </c>
      <c r="G148" s="670">
        <f>1/'User Dashboard'!X$12</f>
        <v>0.14285714285714285</v>
      </c>
      <c r="H148" s="359">
        <f t="shared" si="22"/>
        <v>451070.04934960185</v>
      </c>
      <c r="I148" s="672">
        <f t="shared" si="25"/>
        <v>7127.8694621038721</v>
      </c>
      <c r="J148" s="673">
        <f t="shared" si="23"/>
        <v>3277656.6811882942</v>
      </c>
      <c r="K148" s="359">
        <f t="shared" si="26"/>
        <v>3284784.5506503982</v>
      </c>
      <c r="L148" s="673">
        <f t="shared" si="27"/>
        <v>322.07672743918374</v>
      </c>
    </row>
    <row r="149" spans="1:12" x14ac:dyDescent="0.35">
      <c r="A149" s="287">
        <f t="shared" si="24"/>
        <v>21</v>
      </c>
      <c r="B149" s="288">
        <v>142</v>
      </c>
      <c r="C149" s="667">
        <f>IF('User Dashboard'!Z$12=5,
IF('SIR Model Patient Calcs'!B149&lt;'User Dashboard'!AJ$15,'User Dashboard'!AN$14,
IF('SIR Model Patient Calcs'!B149&lt;'User Dashboard'!AJ$16,'User Dashboard'!AN$15,
IF('SIR Model Patient Calcs'!B149&lt;'User Dashboard'!AJ$17,'User Dashboard'!AN$16,
IF('SIR Model Patient Calcs'!B149&lt;'User Dashboard'!AJ$18,'User Dashboard'!AN$17,
'User Dashboard'!AN$18)))),
IF('User Dashboard'!Z$12=4,
IF('SIR Model Patient Calcs'!B149&lt;'User Dashboard'!AJ$15,'User Dashboard'!AN$14,
IF('SIR Model Patient Calcs'!B149&lt;'User Dashboard'!AJ$16,'User Dashboard'!AN$15,
IF('SIR Model Patient Calcs'!B149&lt;'User Dashboard'!AJ$17,'User Dashboard'!AN$16,
'User Dashboard'!AN$17))),
IF('User Dashboard'!Z$12=3,
IF('SIR Model Patient Calcs'!B149&lt;'User Dashboard'!AJ$15,'User Dashboard'!AN$14,
IF('SIR Model Patient Calcs'!B149&lt;'User Dashboard'!AJ$16,'User Dashboard'!AN$15,
'User Dashboard'!AN$16)),
IF('User Dashboard'!Z$12=2,
IF('SIR Model Patient Calcs'!B149&lt;'User Dashboard'!AJ$15,'User Dashboard'!AN$14,
'User Dashboard'!AN$15),
IF('User Dashboard'!Z$12=1,
'User Dashboard'!AN$14)))))</f>
        <v>15.209356603107825</v>
      </c>
      <c r="D149" s="668">
        <f>'User Dashboard'!X$16</f>
        <v>2.2072878851804097E-2</v>
      </c>
      <c r="E149" s="660">
        <f t="shared" si="21"/>
        <v>8.9862781521070358E-8</v>
      </c>
      <c r="F149" s="660">
        <f t="shared" si="28"/>
        <v>8.9862781521070372E-8</v>
      </c>
      <c r="G149" s="670">
        <f>1/'User Dashboard'!X$12</f>
        <v>0.14285714285714285</v>
      </c>
      <c r="H149" s="359">
        <f t="shared" si="22"/>
        <v>450781.12537142076</v>
      </c>
      <c r="I149" s="672">
        <f t="shared" si="25"/>
        <v>6398.5263742701463</v>
      </c>
      <c r="J149" s="673">
        <f t="shared" si="23"/>
        <v>3278674.9482543091</v>
      </c>
      <c r="K149" s="359">
        <f t="shared" si="26"/>
        <v>3285073.4746285793</v>
      </c>
      <c r="L149" s="673">
        <f t="shared" si="27"/>
        <v>288.92397818109021</v>
      </c>
    </row>
    <row r="150" spans="1:12" x14ac:dyDescent="0.35">
      <c r="A150" s="287">
        <f t="shared" si="24"/>
        <v>21</v>
      </c>
      <c r="B150" s="288">
        <v>143</v>
      </c>
      <c r="C150" s="667">
        <f>IF('User Dashboard'!Z$12=5,
IF('SIR Model Patient Calcs'!B150&lt;'User Dashboard'!AJ$15,'User Dashboard'!AN$14,
IF('SIR Model Patient Calcs'!B150&lt;'User Dashboard'!AJ$16,'User Dashboard'!AN$15,
IF('SIR Model Patient Calcs'!B150&lt;'User Dashboard'!AJ$17,'User Dashboard'!AN$16,
IF('SIR Model Patient Calcs'!B150&lt;'User Dashboard'!AJ$18,'User Dashboard'!AN$17,
'User Dashboard'!AN$18)))),
IF('User Dashboard'!Z$12=4,
IF('SIR Model Patient Calcs'!B150&lt;'User Dashboard'!AJ$15,'User Dashboard'!AN$14,
IF('SIR Model Patient Calcs'!B150&lt;'User Dashboard'!AJ$16,'User Dashboard'!AN$15,
IF('SIR Model Patient Calcs'!B150&lt;'User Dashboard'!AJ$17,'User Dashboard'!AN$16,
'User Dashboard'!AN$17))),
IF('User Dashboard'!Z$12=3,
IF('SIR Model Patient Calcs'!B150&lt;'User Dashboard'!AJ$15,'User Dashboard'!AN$14,
IF('SIR Model Patient Calcs'!B150&lt;'User Dashboard'!AJ$16,'User Dashboard'!AN$15,
'User Dashboard'!AN$16)),
IF('User Dashboard'!Z$12=2,
IF('SIR Model Patient Calcs'!B150&lt;'User Dashboard'!AJ$15,'User Dashboard'!AN$14,
'User Dashboard'!AN$15),
IF('User Dashboard'!Z$12=1,
'User Dashboard'!AN$14)))))</f>
        <v>15.209356603107825</v>
      </c>
      <c r="D150" s="668">
        <f>'User Dashboard'!X$16</f>
        <v>2.2072878851804097E-2</v>
      </c>
      <c r="E150" s="660">
        <f t="shared" si="21"/>
        <v>8.9862781521070358E-8</v>
      </c>
      <c r="F150" s="660">
        <f t="shared" si="28"/>
        <v>8.9862781521070372E-8</v>
      </c>
      <c r="G150" s="670">
        <f>1/'User Dashboard'!X$12</f>
        <v>0.14285714285714285</v>
      </c>
      <c r="H150" s="359">
        <f t="shared" si="22"/>
        <v>450521.93101269705</v>
      </c>
      <c r="I150" s="672">
        <f t="shared" si="25"/>
        <v>5743.6455366695327</v>
      </c>
      <c r="J150" s="673">
        <f t="shared" si="23"/>
        <v>3279589.0234506335</v>
      </c>
      <c r="K150" s="359">
        <f t="shared" si="26"/>
        <v>3285332.668987303</v>
      </c>
      <c r="L150" s="673">
        <f t="shared" si="27"/>
        <v>259.19435872370377</v>
      </c>
    </row>
    <row r="151" spans="1:12" x14ac:dyDescent="0.35">
      <c r="A151" s="287">
        <f t="shared" si="24"/>
        <v>21</v>
      </c>
      <c r="B151" s="288">
        <v>144</v>
      </c>
      <c r="C151" s="667">
        <f>IF('User Dashboard'!Z$12=5,
IF('SIR Model Patient Calcs'!B151&lt;'User Dashboard'!AJ$15,'User Dashboard'!AN$14,
IF('SIR Model Patient Calcs'!B151&lt;'User Dashboard'!AJ$16,'User Dashboard'!AN$15,
IF('SIR Model Patient Calcs'!B151&lt;'User Dashboard'!AJ$17,'User Dashboard'!AN$16,
IF('SIR Model Patient Calcs'!B151&lt;'User Dashboard'!AJ$18,'User Dashboard'!AN$17,
'User Dashboard'!AN$18)))),
IF('User Dashboard'!Z$12=4,
IF('SIR Model Patient Calcs'!B151&lt;'User Dashboard'!AJ$15,'User Dashboard'!AN$14,
IF('SIR Model Patient Calcs'!B151&lt;'User Dashboard'!AJ$16,'User Dashboard'!AN$15,
IF('SIR Model Patient Calcs'!B151&lt;'User Dashboard'!AJ$17,'User Dashboard'!AN$16,
'User Dashboard'!AN$17))),
IF('User Dashboard'!Z$12=3,
IF('SIR Model Patient Calcs'!B151&lt;'User Dashboard'!AJ$15,'User Dashboard'!AN$14,
IF('SIR Model Patient Calcs'!B151&lt;'User Dashboard'!AJ$16,'User Dashboard'!AN$15,
'User Dashboard'!AN$16)),
IF('User Dashboard'!Z$12=2,
IF('SIR Model Patient Calcs'!B151&lt;'User Dashboard'!AJ$15,'User Dashboard'!AN$14,
'User Dashboard'!AN$15),
IF('User Dashboard'!Z$12=1,
'User Dashboard'!AN$14)))))</f>
        <v>15.209356603107825</v>
      </c>
      <c r="D151" s="668">
        <f>'User Dashboard'!X$16</f>
        <v>2.2072878851804097E-2</v>
      </c>
      <c r="E151" s="660">
        <f t="shared" si="21"/>
        <v>8.9862781521070358E-8</v>
      </c>
      <c r="F151" s="660">
        <f t="shared" si="28"/>
        <v>8.9862781521070372E-8</v>
      </c>
      <c r="G151" s="670">
        <f>1/'User Dashboard'!X$12</f>
        <v>0.14285714285714285</v>
      </c>
      <c r="H151" s="359">
        <f t="shared" si="22"/>
        <v>450289.39863944467</v>
      </c>
      <c r="I151" s="672">
        <f t="shared" si="25"/>
        <v>5155.6571189691367</v>
      </c>
      <c r="J151" s="673">
        <f t="shared" si="23"/>
        <v>3280409.5442415862</v>
      </c>
      <c r="K151" s="359">
        <f t="shared" si="26"/>
        <v>3285565.2013605554</v>
      </c>
      <c r="L151" s="673">
        <f t="shared" si="27"/>
        <v>232.53237325232476</v>
      </c>
    </row>
    <row r="152" spans="1:12" x14ac:dyDescent="0.35">
      <c r="A152" s="287">
        <f t="shared" si="24"/>
        <v>21</v>
      </c>
      <c r="B152" s="288">
        <v>145</v>
      </c>
      <c r="C152" s="667">
        <f>IF('User Dashboard'!Z$12=5,
IF('SIR Model Patient Calcs'!B152&lt;'User Dashboard'!AJ$15,'User Dashboard'!AN$14,
IF('SIR Model Patient Calcs'!B152&lt;'User Dashboard'!AJ$16,'User Dashboard'!AN$15,
IF('SIR Model Patient Calcs'!B152&lt;'User Dashboard'!AJ$17,'User Dashboard'!AN$16,
IF('SIR Model Patient Calcs'!B152&lt;'User Dashboard'!AJ$18,'User Dashboard'!AN$17,
'User Dashboard'!AN$18)))),
IF('User Dashboard'!Z$12=4,
IF('SIR Model Patient Calcs'!B152&lt;'User Dashboard'!AJ$15,'User Dashboard'!AN$14,
IF('SIR Model Patient Calcs'!B152&lt;'User Dashboard'!AJ$16,'User Dashboard'!AN$15,
IF('SIR Model Patient Calcs'!B152&lt;'User Dashboard'!AJ$17,'User Dashboard'!AN$16,
'User Dashboard'!AN$17))),
IF('User Dashboard'!Z$12=3,
IF('SIR Model Patient Calcs'!B152&lt;'User Dashboard'!AJ$15,'User Dashboard'!AN$14,
IF('SIR Model Patient Calcs'!B152&lt;'User Dashboard'!AJ$16,'User Dashboard'!AN$15,
'User Dashboard'!AN$16)),
IF('User Dashboard'!Z$12=2,
IF('SIR Model Patient Calcs'!B152&lt;'User Dashboard'!AJ$15,'User Dashboard'!AN$14,
'User Dashboard'!AN$15),
IF('User Dashboard'!Z$12=1,
'User Dashboard'!AN$14)))))</f>
        <v>15.209356603107825</v>
      </c>
      <c r="D152" s="668">
        <f>'User Dashboard'!X$16</f>
        <v>2.2072878851804097E-2</v>
      </c>
      <c r="E152" s="660">
        <f t="shared" si="21"/>
        <v>8.9862781521070358E-8</v>
      </c>
      <c r="F152" s="660">
        <f t="shared" si="28"/>
        <v>8.9862781521070372E-8</v>
      </c>
      <c r="G152" s="670">
        <f>1/'User Dashboard'!X$12</f>
        <v>0.14285714285714285</v>
      </c>
      <c r="H152" s="359">
        <f t="shared" si="22"/>
        <v>450080.77880039037</v>
      </c>
      <c r="I152" s="672">
        <f t="shared" si="25"/>
        <v>4627.7545124564103</v>
      </c>
      <c r="J152" s="673">
        <f t="shared" si="23"/>
        <v>3281146.0666871532</v>
      </c>
      <c r="K152" s="359">
        <f t="shared" si="26"/>
        <v>3285773.8211996094</v>
      </c>
      <c r="L152" s="673">
        <f t="shared" si="27"/>
        <v>208.61983905406669</v>
      </c>
    </row>
    <row r="153" spans="1:12" x14ac:dyDescent="0.35">
      <c r="A153" s="287">
        <f t="shared" si="24"/>
        <v>21</v>
      </c>
      <c r="B153" s="288">
        <v>146</v>
      </c>
      <c r="C153" s="667">
        <f>IF('User Dashboard'!Z$12=5,
IF('SIR Model Patient Calcs'!B153&lt;'User Dashboard'!AJ$15,'User Dashboard'!AN$14,
IF('SIR Model Patient Calcs'!B153&lt;'User Dashboard'!AJ$16,'User Dashboard'!AN$15,
IF('SIR Model Patient Calcs'!B153&lt;'User Dashboard'!AJ$17,'User Dashboard'!AN$16,
IF('SIR Model Patient Calcs'!B153&lt;'User Dashboard'!AJ$18,'User Dashboard'!AN$17,
'User Dashboard'!AN$18)))),
IF('User Dashboard'!Z$12=4,
IF('SIR Model Patient Calcs'!B153&lt;'User Dashboard'!AJ$15,'User Dashboard'!AN$14,
IF('SIR Model Patient Calcs'!B153&lt;'User Dashboard'!AJ$16,'User Dashboard'!AN$15,
IF('SIR Model Patient Calcs'!B153&lt;'User Dashboard'!AJ$17,'User Dashboard'!AN$16,
'User Dashboard'!AN$17))),
IF('User Dashboard'!Z$12=3,
IF('SIR Model Patient Calcs'!B153&lt;'User Dashboard'!AJ$15,'User Dashboard'!AN$14,
IF('SIR Model Patient Calcs'!B153&lt;'User Dashboard'!AJ$16,'User Dashboard'!AN$15,
'User Dashboard'!AN$16)),
IF('User Dashboard'!Z$12=2,
IF('SIR Model Patient Calcs'!B153&lt;'User Dashboard'!AJ$15,'User Dashboard'!AN$14,
'User Dashboard'!AN$15),
IF('User Dashboard'!Z$12=1,
'User Dashboard'!AN$14)))))</f>
        <v>15.209356603107825</v>
      </c>
      <c r="D153" s="668">
        <f>'User Dashboard'!X$16</f>
        <v>2.2072878851804097E-2</v>
      </c>
      <c r="E153" s="660">
        <f t="shared" si="21"/>
        <v>8.9862781521070372E-8</v>
      </c>
      <c r="F153" s="660">
        <f t="shared" si="28"/>
        <v>8.9862781521070372E-8</v>
      </c>
      <c r="G153" s="670">
        <f>1/'User Dashboard'!X$12</f>
        <v>0.14285714285714285</v>
      </c>
      <c r="H153" s="359">
        <f t="shared" si="22"/>
        <v>449893.60690577608</v>
      </c>
      <c r="I153" s="672">
        <f t="shared" si="25"/>
        <v>4153.8186195769431</v>
      </c>
      <c r="J153" s="673">
        <f t="shared" si="23"/>
        <v>3281807.1744746468</v>
      </c>
      <c r="K153" s="359">
        <f t="shared" si="26"/>
        <v>3285960.9930942236</v>
      </c>
      <c r="L153" s="673">
        <f t="shared" si="27"/>
        <v>187.17189461411908</v>
      </c>
    </row>
    <row r="154" spans="1:12" x14ac:dyDescent="0.35">
      <c r="A154" s="287">
        <f t="shared" si="24"/>
        <v>21</v>
      </c>
      <c r="B154" s="288">
        <v>147</v>
      </c>
      <c r="C154" s="667">
        <f>IF('User Dashboard'!Z$12=5,
IF('SIR Model Patient Calcs'!B154&lt;'User Dashboard'!AJ$15,'User Dashboard'!AN$14,
IF('SIR Model Patient Calcs'!B154&lt;'User Dashboard'!AJ$16,'User Dashboard'!AN$15,
IF('SIR Model Patient Calcs'!B154&lt;'User Dashboard'!AJ$17,'User Dashboard'!AN$16,
IF('SIR Model Patient Calcs'!B154&lt;'User Dashboard'!AJ$18,'User Dashboard'!AN$17,
'User Dashboard'!AN$18)))),
IF('User Dashboard'!Z$12=4,
IF('SIR Model Patient Calcs'!B154&lt;'User Dashboard'!AJ$15,'User Dashboard'!AN$14,
IF('SIR Model Patient Calcs'!B154&lt;'User Dashboard'!AJ$16,'User Dashboard'!AN$15,
IF('SIR Model Patient Calcs'!B154&lt;'User Dashboard'!AJ$17,'User Dashboard'!AN$16,
'User Dashboard'!AN$17))),
IF('User Dashboard'!Z$12=3,
IF('SIR Model Patient Calcs'!B154&lt;'User Dashboard'!AJ$15,'User Dashboard'!AN$14,
IF('SIR Model Patient Calcs'!B154&lt;'User Dashboard'!AJ$16,'User Dashboard'!AN$15,
'User Dashboard'!AN$16)),
IF('User Dashboard'!Z$12=2,
IF('SIR Model Patient Calcs'!B154&lt;'User Dashboard'!AJ$15,'User Dashboard'!AN$14,
'User Dashboard'!AN$15),
IF('User Dashboard'!Z$12=1,
'User Dashboard'!AN$14)))))</f>
        <v>15.209356603107825</v>
      </c>
      <c r="D154" s="668">
        <f>'User Dashboard'!X$16</f>
        <v>2.2072878851804097E-2</v>
      </c>
      <c r="E154" s="660">
        <f t="shared" si="21"/>
        <v>8.9862781521070372E-8</v>
      </c>
      <c r="F154" s="660">
        <f t="shared" si="28"/>
        <v>8.9862781521070372E-8</v>
      </c>
      <c r="G154" s="670">
        <f>1/'User Dashboard'!X$12</f>
        <v>0.14285714285714285</v>
      </c>
      <c r="H154" s="359">
        <f t="shared" si="22"/>
        <v>449725.67345672933</v>
      </c>
      <c r="I154" s="672">
        <f t="shared" si="25"/>
        <v>3728.3494086841056</v>
      </c>
      <c r="J154" s="673">
        <f t="shared" si="23"/>
        <v>3282400.5771345864</v>
      </c>
      <c r="K154" s="359">
        <f t="shared" si="26"/>
        <v>3286128.9265432707</v>
      </c>
      <c r="L154" s="673">
        <f t="shared" si="27"/>
        <v>167.93344904715195</v>
      </c>
    </row>
    <row r="155" spans="1:12" x14ac:dyDescent="0.35">
      <c r="A155" s="287">
        <f t="shared" si="24"/>
        <v>22</v>
      </c>
      <c r="B155" s="288">
        <v>148</v>
      </c>
      <c r="C155" s="667">
        <f>IF('User Dashboard'!Z$12=5,
IF('SIR Model Patient Calcs'!B155&lt;'User Dashboard'!AJ$15,'User Dashboard'!AN$14,
IF('SIR Model Patient Calcs'!B155&lt;'User Dashboard'!AJ$16,'User Dashboard'!AN$15,
IF('SIR Model Patient Calcs'!B155&lt;'User Dashboard'!AJ$17,'User Dashboard'!AN$16,
IF('SIR Model Patient Calcs'!B155&lt;'User Dashboard'!AJ$18,'User Dashboard'!AN$17,
'User Dashboard'!AN$18)))),
IF('User Dashboard'!Z$12=4,
IF('SIR Model Patient Calcs'!B155&lt;'User Dashboard'!AJ$15,'User Dashboard'!AN$14,
IF('SIR Model Patient Calcs'!B155&lt;'User Dashboard'!AJ$16,'User Dashboard'!AN$15,
IF('SIR Model Patient Calcs'!B155&lt;'User Dashboard'!AJ$17,'User Dashboard'!AN$16,
'User Dashboard'!AN$17))),
IF('User Dashboard'!Z$12=3,
IF('SIR Model Patient Calcs'!B155&lt;'User Dashboard'!AJ$15,'User Dashboard'!AN$14,
IF('SIR Model Patient Calcs'!B155&lt;'User Dashboard'!AJ$16,'User Dashboard'!AN$15,
'User Dashboard'!AN$16)),
IF('User Dashboard'!Z$12=2,
IF('SIR Model Patient Calcs'!B155&lt;'User Dashboard'!AJ$15,'User Dashboard'!AN$14,
'User Dashboard'!AN$15),
IF('User Dashboard'!Z$12=1,
'User Dashboard'!AN$14)))))</f>
        <v>15.209356603107825</v>
      </c>
      <c r="D155" s="668">
        <f>'User Dashboard'!X$16</f>
        <v>2.2072878851804097E-2</v>
      </c>
      <c r="E155" s="660">
        <f t="shared" si="21"/>
        <v>8.9862781521070358E-8</v>
      </c>
      <c r="F155" s="660">
        <f t="shared" si="28"/>
        <v>8.9862781521070372E-8</v>
      </c>
      <c r="G155" s="670">
        <f>1/'User Dashboard'!X$12</f>
        <v>0.14285714285714285</v>
      </c>
      <c r="H155" s="359">
        <f t="shared" si="22"/>
        <v>449574.99743529671</v>
      </c>
      <c r="I155" s="672">
        <f t="shared" si="25"/>
        <v>3346.4040860189775</v>
      </c>
      <c r="J155" s="673">
        <f t="shared" si="23"/>
        <v>3282933.1984786843</v>
      </c>
      <c r="K155" s="359">
        <f t="shared" si="26"/>
        <v>3286279.6025647032</v>
      </c>
      <c r="L155" s="673">
        <f t="shared" si="27"/>
        <v>150.67602143250406</v>
      </c>
    </row>
    <row r="156" spans="1:12" x14ac:dyDescent="0.35">
      <c r="A156" s="287">
        <f t="shared" si="24"/>
        <v>22</v>
      </c>
      <c r="B156" s="288">
        <v>149</v>
      </c>
      <c r="C156" s="667">
        <f>IF('User Dashboard'!Z$12=5,
IF('SIR Model Patient Calcs'!B156&lt;'User Dashboard'!AJ$15,'User Dashboard'!AN$14,
IF('SIR Model Patient Calcs'!B156&lt;'User Dashboard'!AJ$16,'User Dashboard'!AN$15,
IF('SIR Model Patient Calcs'!B156&lt;'User Dashboard'!AJ$17,'User Dashboard'!AN$16,
IF('SIR Model Patient Calcs'!B156&lt;'User Dashboard'!AJ$18,'User Dashboard'!AN$17,
'User Dashboard'!AN$18)))),
IF('User Dashboard'!Z$12=4,
IF('SIR Model Patient Calcs'!B156&lt;'User Dashboard'!AJ$15,'User Dashboard'!AN$14,
IF('SIR Model Patient Calcs'!B156&lt;'User Dashboard'!AJ$16,'User Dashboard'!AN$15,
IF('SIR Model Patient Calcs'!B156&lt;'User Dashboard'!AJ$17,'User Dashboard'!AN$16,
'User Dashboard'!AN$17))),
IF('User Dashboard'!Z$12=3,
IF('SIR Model Patient Calcs'!B156&lt;'User Dashboard'!AJ$15,'User Dashboard'!AN$14,
IF('SIR Model Patient Calcs'!B156&lt;'User Dashboard'!AJ$16,'User Dashboard'!AN$15,
'User Dashboard'!AN$16)),
IF('User Dashboard'!Z$12=2,
IF('SIR Model Patient Calcs'!B156&lt;'User Dashboard'!AJ$15,'User Dashboard'!AN$14,
'User Dashboard'!AN$15),
IF('User Dashboard'!Z$12=1,
'User Dashboard'!AN$14)))))</f>
        <v>15.209356603107825</v>
      </c>
      <c r="D156" s="668">
        <f>'User Dashboard'!X$16</f>
        <v>2.2072878851804097E-2</v>
      </c>
      <c r="E156" s="660">
        <f t="shared" si="21"/>
        <v>8.9862781521070358E-8</v>
      </c>
      <c r="F156" s="660">
        <f t="shared" si="28"/>
        <v>8.9862781521070372E-8</v>
      </c>
      <c r="G156" s="670">
        <f>1/'User Dashboard'!X$12</f>
        <v>0.14285714285714285</v>
      </c>
      <c r="H156" s="359">
        <f t="shared" si="22"/>
        <v>449439.80251020071</v>
      </c>
      <c r="I156" s="672">
        <f t="shared" si="25"/>
        <v>3003.5412845408141</v>
      </c>
      <c r="J156" s="673">
        <f t="shared" si="23"/>
        <v>3283411.2562052584</v>
      </c>
      <c r="K156" s="359">
        <f t="shared" si="26"/>
        <v>3286414.7974897991</v>
      </c>
      <c r="L156" s="673">
        <f t="shared" si="27"/>
        <v>135.19492509588599</v>
      </c>
    </row>
    <row r="157" spans="1:12" x14ac:dyDescent="0.35">
      <c r="A157" s="287">
        <f t="shared" si="24"/>
        <v>22</v>
      </c>
      <c r="B157" s="288">
        <v>150</v>
      </c>
      <c r="C157" s="667">
        <f>IF('User Dashboard'!Z$12=5,
IF('SIR Model Patient Calcs'!B157&lt;'User Dashboard'!AJ$15,'User Dashboard'!AN$14,
IF('SIR Model Patient Calcs'!B157&lt;'User Dashboard'!AJ$16,'User Dashboard'!AN$15,
IF('SIR Model Patient Calcs'!B157&lt;'User Dashboard'!AJ$17,'User Dashboard'!AN$16,
IF('SIR Model Patient Calcs'!B157&lt;'User Dashboard'!AJ$18,'User Dashboard'!AN$17,
'User Dashboard'!AN$18)))),
IF('User Dashboard'!Z$12=4,
IF('SIR Model Patient Calcs'!B157&lt;'User Dashboard'!AJ$15,'User Dashboard'!AN$14,
IF('SIR Model Patient Calcs'!B157&lt;'User Dashboard'!AJ$16,'User Dashboard'!AN$15,
IF('SIR Model Patient Calcs'!B157&lt;'User Dashboard'!AJ$17,'User Dashboard'!AN$16,
'User Dashboard'!AN$17))),
IF('User Dashboard'!Z$12=3,
IF('SIR Model Patient Calcs'!B157&lt;'User Dashboard'!AJ$15,'User Dashboard'!AN$14,
IF('SIR Model Patient Calcs'!B157&lt;'User Dashboard'!AJ$16,'User Dashboard'!AN$15,
'User Dashboard'!AN$16)),
IF('User Dashboard'!Z$12=2,
IF('SIR Model Patient Calcs'!B157&lt;'User Dashboard'!AJ$15,'User Dashboard'!AN$14,
'User Dashboard'!AN$15),
IF('User Dashboard'!Z$12=1,
'User Dashboard'!AN$14)))))</f>
        <v>15.209356603107825</v>
      </c>
      <c r="D157" s="668">
        <f>'User Dashboard'!X$16</f>
        <v>2.2072878851804097E-2</v>
      </c>
      <c r="E157" s="660">
        <f t="shared" si="21"/>
        <v>8.9862781521070358E-8</v>
      </c>
      <c r="F157" s="660">
        <f t="shared" si="28"/>
        <v>8.9862781521070372E-8</v>
      </c>
      <c r="G157" s="670">
        <f>1/'User Dashboard'!X$12</f>
        <v>0.14285714285714285</v>
      </c>
      <c r="H157" s="359">
        <f t="shared" si="22"/>
        <v>449318.49575277709</v>
      </c>
      <c r="I157" s="672">
        <f t="shared" si="25"/>
        <v>2695.7707156014626</v>
      </c>
      <c r="J157" s="673">
        <f t="shared" si="23"/>
        <v>3283840.3335316214</v>
      </c>
      <c r="K157" s="359">
        <f t="shared" si="26"/>
        <v>3286536.1042472227</v>
      </c>
      <c r="L157" s="673">
        <f t="shared" si="27"/>
        <v>121.30675742356107</v>
      </c>
    </row>
    <row r="158" spans="1:12" x14ac:dyDescent="0.35">
      <c r="A158" s="287">
        <f t="shared" si="24"/>
        <v>22</v>
      </c>
      <c r="B158" s="288">
        <v>151</v>
      </c>
      <c r="C158" s="667">
        <f>IF('User Dashboard'!Z$12=5,
IF('SIR Model Patient Calcs'!B158&lt;'User Dashboard'!AJ$15,'User Dashboard'!AN$14,
IF('SIR Model Patient Calcs'!B158&lt;'User Dashboard'!AJ$16,'User Dashboard'!AN$15,
IF('SIR Model Patient Calcs'!B158&lt;'User Dashboard'!AJ$17,'User Dashboard'!AN$16,
IF('SIR Model Patient Calcs'!B158&lt;'User Dashboard'!AJ$18,'User Dashboard'!AN$17,
'User Dashboard'!AN$18)))),
IF('User Dashboard'!Z$12=4,
IF('SIR Model Patient Calcs'!B158&lt;'User Dashboard'!AJ$15,'User Dashboard'!AN$14,
IF('SIR Model Patient Calcs'!B158&lt;'User Dashboard'!AJ$16,'User Dashboard'!AN$15,
IF('SIR Model Patient Calcs'!B158&lt;'User Dashboard'!AJ$17,'User Dashboard'!AN$16,
'User Dashboard'!AN$17))),
IF('User Dashboard'!Z$12=3,
IF('SIR Model Patient Calcs'!B158&lt;'User Dashboard'!AJ$15,'User Dashboard'!AN$14,
IF('SIR Model Patient Calcs'!B158&lt;'User Dashboard'!AJ$16,'User Dashboard'!AN$15,
'User Dashboard'!AN$16)),
IF('User Dashboard'!Z$12=2,
IF('SIR Model Patient Calcs'!B158&lt;'User Dashboard'!AJ$15,'User Dashboard'!AN$14,
'User Dashboard'!AN$15),
IF('User Dashboard'!Z$12=1,
'User Dashboard'!AN$14)))))</f>
        <v>15.209356603107825</v>
      </c>
      <c r="D158" s="668">
        <f>'User Dashboard'!X$16</f>
        <v>2.2072878851804097E-2</v>
      </c>
      <c r="E158" s="660">
        <f t="shared" si="21"/>
        <v>8.9862781521070358E-8</v>
      </c>
      <c r="F158" s="660">
        <f t="shared" si="28"/>
        <v>8.9862781521070372E-8</v>
      </c>
      <c r="G158" s="670">
        <f>1/'User Dashboard'!X$12</f>
        <v>0.14285714285714285</v>
      </c>
      <c r="H158" s="359">
        <f t="shared" si="22"/>
        <v>449209.6485921283</v>
      </c>
      <c r="I158" s="672">
        <f t="shared" si="25"/>
        <v>2419.5077740214638</v>
      </c>
      <c r="J158" s="673">
        <f t="shared" si="23"/>
        <v>3284225.4436338502</v>
      </c>
      <c r="K158" s="359">
        <f t="shared" si="26"/>
        <v>3286644.9514078717</v>
      </c>
      <c r="L158" s="673">
        <f t="shared" si="27"/>
        <v>108.84716064902022</v>
      </c>
    </row>
    <row r="159" spans="1:12" x14ac:dyDescent="0.35">
      <c r="A159" s="287">
        <f t="shared" si="24"/>
        <v>22</v>
      </c>
      <c r="B159" s="288">
        <v>152</v>
      </c>
      <c r="C159" s="667">
        <f>IF('User Dashboard'!Z$12=5,
IF('SIR Model Patient Calcs'!B159&lt;'User Dashboard'!AJ$15,'User Dashboard'!AN$14,
IF('SIR Model Patient Calcs'!B159&lt;'User Dashboard'!AJ$16,'User Dashboard'!AN$15,
IF('SIR Model Patient Calcs'!B159&lt;'User Dashboard'!AJ$17,'User Dashboard'!AN$16,
IF('SIR Model Patient Calcs'!B159&lt;'User Dashboard'!AJ$18,'User Dashboard'!AN$17,
'User Dashboard'!AN$18)))),
IF('User Dashboard'!Z$12=4,
IF('SIR Model Patient Calcs'!B159&lt;'User Dashboard'!AJ$15,'User Dashboard'!AN$14,
IF('SIR Model Patient Calcs'!B159&lt;'User Dashboard'!AJ$16,'User Dashboard'!AN$15,
IF('SIR Model Patient Calcs'!B159&lt;'User Dashboard'!AJ$17,'User Dashboard'!AN$16,
'User Dashboard'!AN$17))),
IF('User Dashboard'!Z$12=3,
IF('SIR Model Patient Calcs'!B159&lt;'User Dashboard'!AJ$15,'User Dashboard'!AN$14,
IF('SIR Model Patient Calcs'!B159&lt;'User Dashboard'!AJ$16,'User Dashboard'!AN$15,
'User Dashboard'!AN$16)),
IF('User Dashboard'!Z$12=2,
IF('SIR Model Patient Calcs'!B159&lt;'User Dashboard'!AJ$15,'User Dashboard'!AN$14,
'User Dashboard'!AN$15),
IF('User Dashboard'!Z$12=1,
'User Dashboard'!AN$14)))))</f>
        <v>15.209356603107825</v>
      </c>
      <c r="D159" s="668">
        <f>'User Dashboard'!X$16</f>
        <v>2.2072878851804097E-2</v>
      </c>
      <c r="E159" s="660">
        <f t="shared" si="21"/>
        <v>8.9862781521070358E-8</v>
      </c>
      <c r="F159" s="660">
        <f t="shared" si="28"/>
        <v>8.9862781521070372E-8</v>
      </c>
      <c r="G159" s="670">
        <f>1/'User Dashboard'!X$12</f>
        <v>0.14285714285714285</v>
      </c>
      <c r="H159" s="359">
        <f t="shared" si="22"/>
        <v>449111.97976893606</v>
      </c>
      <c r="I159" s="672">
        <f t="shared" si="25"/>
        <v>2171.5326294963493</v>
      </c>
      <c r="J159" s="673">
        <f t="shared" si="23"/>
        <v>3284571.0876015676</v>
      </c>
      <c r="K159" s="359">
        <f t="shared" si="26"/>
        <v>3286742.620231064</v>
      </c>
      <c r="L159" s="673">
        <f t="shared" si="27"/>
        <v>97.668823192361742</v>
      </c>
    </row>
    <row r="160" spans="1:12" x14ac:dyDescent="0.35">
      <c r="A160" s="287">
        <f t="shared" si="24"/>
        <v>22</v>
      </c>
      <c r="B160" s="288">
        <v>153</v>
      </c>
      <c r="C160" s="667">
        <f>IF('User Dashboard'!Z$12=5,
IF('SIR Model Patient Calcs'!B160&lt;'User Dashboard'!AJ$15,'User Dashboard'!AN$14,
IF('SIR Model Patient Calcs'!B160&lt;'User Dashboard'!AJ$16,'User Dashboard'!AN$15,
IF('SIR Model Patient Calcs'!B160&lt;'User Dashboard'!AJ$17,'User Dashboard'!AN$16,
IF('SIR Model Patient Calcs'!B160&lt;'User Dashboard'!AJ$18,'User Dashboard'!AN$17,
'User Dashboard'!AN$18)))),
IF('User Dashboard'!Z$12=4,
IF('SIR Model Patient Calcs'!B160&lt;'User Dashboard'!AJ$15,'User Dashboard'!AN$14,
IF('SIR Model Patient Calcs'!B160&lt;'User Dashboard'!AJ$16,'User Dashboard'!AN$15,
IF('SIR Model Patient Calcs'!B160&lt;'User Dashboard'!AJ$17,'User Dashboard'!AN$16,
'User Dashboard'!AN$17))),
IF('User Dashboard'!Z$12=3,
IF('SIR Model Patient Calcs'!B160&lt;'User Dashboard'!AJ$15,'User Dashboard'!AN$14,
IF('SIR Model Patient Calcs'!B160&lt;'User Dashboard'!AJ$16,'User Dashboard'!AN$15,
'User Dashboard'!AN$16)),
IF('User Dashboard'!Z$12=2,
IF('SIR Model Patient Calcs'!B160&lt;'User Dashboard'!AJ$15,'User Dashboard'!AN$14,
'User Dashboard'!AN$15),
IF('User Dashboard'!Z$12=1,
'User Dashboard'!AN$14)))))</f>
        <v>15.209356603107825</v>
      </c>
      <c r="D160" s="668">
        <f>'User Dashboard'!X$16</f>
        <v>2.2072878851804097E-2</v>
      </c>
      <c r="E160" s="660">
        <f t="shared" si="21"/>
        <v>8.9862781521070358E-8</v>
      </c>
      <c r="F160" s="660">
        <f t="shared" si="28"/>
        <v>8.9862781521070372E-8</v>
      </c>
      <c r="G160" s="670">
        <f>1/'User Dashboard'!X$12</f>
        <v>0.14285714285714285</v>
      </c>
      <c r="H160" s="359">
        <f t="shared" si="22"/>
        <v>449024.34007415781</v>
      </c>
      <c r="I160" s="672">
        <f t="shared" si="25"/>
        <v>1948.9533772037125</v>
      </c>
      <c r="J160" s="673">
        <f t="shared" si="23"/>
        <v>3284881.3065486387</v>
      </c>
      <c r="K160" s="359">
        <f t="shared" si="26"/>
        <v>3286830.2599258423</v>
      </c>
      <c r="L160" s="673">
        <f t="shared" si="27"/>
        <v>87.639694778248668</v>
      </c>
    </row>
    <row r="161" spans="1:12" x14ac:dyDescent="0.35">
      <c r="A161" s="287">
        <f t="shared" si="24"/>
        <v>22</v>
      </c>
      <c r="B161" s="288">
        <v>154</v>
      </c>
      <c r="C161" s="667">
        <f>IF('User Dashboard'!Z$12=5,
IF('SIR Model Patient Calcs'!B161&lt;'User Dashboard'!AJ$15,'User Dashboard'!AN$14,
IF('SIR Model Patient Calcs'!B161&lt;'User Dashboard'!AJ$16,'User Dashboard'!AN$15,
IF('SIR Model Patient Calcs'!B161&lt;'User Dashboard'!AJ$17,'User Dashboard'!AN$16,
IF('SIR Model Patient Calcs'!B161&lt;'User Dashboard'!AJ$18,'User Dashboard'!AN$17,
'User Dashboard'!AN$18)))),
IF('User Dashboard'!Z$12=4,
IF('SIR Model Patient Calcs'!B161&lt;'User Dashboard'!AJ$15,'User Dashboard'!AN$14,
IF('SIR Model Patient Calcs'!B161&lt;'User Dashboard'!AJ$16,'User Dashboard'!AN$15,
IF('SIR Model Patient Calcs'!B161&lt;'User Dashboard'!AJ$17,'User Dashboard'!AN$16,
'User Dashboard'!AN$17))),
IF('User Dashboard'!Z$12=3,
IF('SIR Model Patient Calcs'!B161&lt;'User Dashboard'!AJ$15,'User Dashboard'!AN$14,
IF('SIR Model Patient Calcs'!B161&lt;'User Dashboard'!AJ$16,'User Dashboard'!AN$15,
'User Dashboard'!AN$16)),
IF('User Dashboard'!Z$12=2,
IF('SIR Model Patient Calcs'!B161&lt;'User Dashboard'!AJ$15,'User Dashboard'!AN$14,
'User Dashboard'!AN$15),
IF('User Dashboard'!Z$12=1,
'User Dashboard'!AN$14)))))</f>
        <v>15.209356603107825</v>
      </c>
      <c r="D161" s="668">
        <f>'User Dashboard'!X$16</f>
        <v>2.2072878851804097E-2</v>
      </c>
      <c r="E161" s="660">
        <f t="shared" si="21"/>
        <v>8.9862781521070345E-8</v>
      </c>
      <c r="F161" s="660">
        <f t="shared" si="28"/>
        <v>8.9862781521070372E-8</v>
      </c>
      <c r="G161" s="670">
        <f>1/'User Dashboard'!X$12</f>
        <v>0.14285714285714285</v>
      </c>
      <c r="H161" s="359">
        <f t="shared" si="22"/>
        <v>448945.69868245971</v>
      </c>
      <c r="I161" s="672">
        <f t="shared" si="25"/>
        <v>1749.1728578727157</v>
      </c>
      <c r="J161" s="673">
        <f t="shared" si="23"/>
        <v>3285159.7284596679</v>
      </c>
      <c r="K161" s="359">
        <f t="shared" si="26"/>
        <v>3286908.9013175406</v>
      </c>
      <c r="L161" s="673">
        <f t="shared" si="27"/>
        <v>78.641391698271036</v>
      </c>
    </row>
    <row r="162" spans="1:12" x14ac:dyDescent="0.35">
      <c r="A162" s="287">
        <f t="shared" si="24"/>
        <v>23</v>
      </c>
      <c r="B162" s="288">
        <v>155</v>
      </c>
      <c r="C162" s="667">
        <f>IF('User Dashboard'!Z$12=5,
IF('SIR Model Patient Calcs'!B162&lt;'User Dashboard'!AJ$15,'User Dashboard'!AN$14,
IF('SIR Model Patient Calcs'!B162&lt;'User Dashboard'!AJ$16,'User Dashboard'!AN$15,
IF('SIR Model Patient Calcs'!B162&lt;'User Dashboard'!AJ$17,'User Dashboard'!AN$16,
IF('SIR Model Patient Calcs'!B162&lt;'User Dashboard'!AJ$18,'User Dashboard'!AN$17,
'User Dashboard'!AN$18)))),
IF('User Dashboard'!Z$12=4,
IF('SIR Model Patient Calcs'!B162&lt;'User Dashboard'!AJ$15,'User Dashboard'!AN$14,
IF('SIR Model Patient Calcs'!B162&lt;'User Dashboard'!AJ$16,'User Dashboard'!AN$15,
IF('SIR Model Patient Calcs'!B162&lt;'User Dashboard'!AJ$17,'User Dashboard'!AN$16,
'User Dashboard'!AN$17))),
IF('User Dashboard'!Z$12=3,
IF('SIR Model Patient Calcs'!B162&lt;'User Dashboard'!AJ$15,'User Dashboard'!AN$14,
IF('SIR Model Patient Calcs'!B162&lt;'User Dashboard'!AJ$16,'User Dashboard'!AN$15,
'User Dashboard'!AN$16)),
IF('User Dashboard'!Z$12=2,
IF('SIR Model Patient Calcs'!B162&lt;'User Dashboard'!AJ$15,'User Dashboard'!AN$14,
'User Dashboard'!AN$15),
IF('User Dashboard'!Z$12=1,
'User Dashboard'!AN$14)))))</f>
        <v>15.209356603107825</v>
      </c>
      <c r="D162" s="668">
        <f>'User Dashboard'!X$16</f>
        <v>2.2072878851804097E-2</v>
      </c>
      <c r="E162" s="660">
        <f t="shared" si="21"/>
        <v>8.9862781521070345E-8</v>
      </c>
      <c r="F162" s="660">
        <f t="shared" si="28"/>
        <v>8.9862781521070372E-8</v>
      </c>
      <c r="G162" s="670">
        <f>1/'User Dashboard'!X$12</f>
        <v>0.14285714285714285</v>
      </c>
      <c r="H162" s="359">
        <f t="shared" si="22"/>
        <v>448875.13091111358</v>
      </c>
      <c r="I162" s="672">
        <f t="shared" si="25"/>
        <v>1569.8587923798759</v>
      </c>
      <c r="J162" s="673">
        <f t="shared" si="23"/>
        <v>3285409.6102965069</v>
      </c>
      <c r="K162" s="359">
        <f t="shared" si="26"/>
        <v>3286979.4690888869</v>
      </c>
      <c r="L162" s="673">
        <f t="shared" si="27"/>
        <v>70.567771346308291</v>
      </c>
    </row>
    <row r="163" spans="1:12" x14ac:dyDescent="0.35">
      <c r="A163" s="287">
        <f t="shared" si="24"/>
        <v>23</v>
      </c>
      <c r="B163" s="288">
        <v>156</v>
      </c>
      <c r="C163" s="667">
        <f>IF('User Dashboard'!Z$12=5,
IF('SIR Model Patient Calcs'!B163&lt;'User Dashboard'!AJ$15,'User Dashboard'!AN$14,
IF('SIR Model Patient Calcs'!B163&lt;'User Dashboard'!AJ$16,'User Dashboard'!AN$15,
IF('SIR Model Patient Calcs'!B163&lt;'User Dashboard'!AJ$17,'User Dashboard'!AN$16,
IF('SIR Model Patient Calcs'!B163&lt;'User Dashboard'!AJ$18,'User Dashboard'!AN$17,
'User Dashboard'!AN$18)))),
IF('User Dashboard'!Z$12=4,
IF('SIR Model Patient Calcs'!B163&lt;'User Dashboard'!AJ$15,'User Dashboard'!AN$14,
IF('SIR Model Patient Calcs'!B163&lt;'User Dashboard'!AJ$16,'User Dashboard'!AN$15,
IF('SIR Model Patient Calcs'!B163&lt;'User Dashboard'!AJ$17,'User Dashboard'!AN$16,
'User Dashboard'!AN$17))),
IF('User Dashboard'!Z$12=3,
IF('SIR Model Patient Calcs'!B163&lt;'User Dashboard'!AJ$15,'User Dashboard'!AN$14,
IF('SIR Model Patient Calcs'!B163&lt;'User Dashboard'!AJ$16,'User Dashboard'!AN$15,
'User Dashboard'!AN$16)),
IF('User Dashboard'!Z$12=2,
IF('SIR Model Patient Calcs'!B163&lt;'User Dashboard'!AJ$15,'User Dashboard'!AN$14,
'User Dashboard'!AN$15),
IF('User Dashboard'!Z$12=1,
'User Dashboard'!AN$14)))))</f>
        <v>15.209356603107825</v>
      </c>
      <c r="D163" s="668">
        <f>'User Dashboard'!X$16</f>
        <v>2.2072878851804097E-2</v>
      </c>
      <c r="E163" s="660">
        <f t="shared" si="21"/>
        <v>8.9862781521070345E-8</v>
      </c>
      <c r="F163" s="660">
        <f t="shared" si="28"/>
        <v>8.9862781521070372E-8</v>
      </c>
      <c r="G163" s="670">
        <f>1/'User Dashboard'!X$12</f>
        <v>0.14285714285714285</v>
      </c>
      <c r="H163" s="359">
        <f t="shared" si="22"/>
        <v>448811.80725355272</v>
      </c>
      <c r="I163" s="672">
        <f t="shared" si="25"/>
        <v>1408.9169081721643</v>
      </c>
      <c r="J163" s="673">
        <f t="shared" si="23"/>
        <v>3285633.8758382755</v>
      </c>
      <c r="K163" s="359">
        <f t="shared" si="26"/>
        <v>3287042.7927464475</v>
      </c>
      <c r="L163" s="673">
        <f t="shared" si="27"/>
        <v>63.323657560627908</v>
      </c>
    </row>
    <row r="164" spans="1:12" x14ac:dyDescent="0.35">
      <c r="A164" s="287">
        <f t="shared" si="24"/>
        <v>23</v>
      </c>
      <c r="B164" s="288">
        <v>157</v>
      </c>
      <c r="C164" s="667">
        <f>IF('User Dashboard'!Z$12=5,
IF('SIR Model Patient Calcs'!B164&lt;'User Dashboard'!AJ$15,'User Dashboard'!AN$14,
IF('SIR Model Patient Calcs'!B164&lt;'User Dashboard'!AJ$16,'User Dashboard'!AN$15,
IF('SIR Model Patient Calcs'!B164&lt;'User Dashboard'!AJ$17,'User Dashboard'!AN$16,
IF('SIR Model Patient Calcs'!B164&lt;'User Dashboard'!AJ$18,'User Dashboard'!AN$17,
'User Dashboard'!AN$18)))),
IF('User Dashboard'!Z$12=4,
IF('SIR Model Patient Calcs'!B164&lt;'User Dashboard'!AJ$15,'User Dashboard'!AN$14,
IF('SIR Model Patient Calcs'!B164&lt;'User Dashboard'!AJ$16,'User Dashboard'!AN$15,
IF('SIR Model Patient Calcs'!B164&lt;'User Dashboard'!AJ$17,'User Dashboard'!AN$16,
'User Dashboard'!AN$17))),
IF('User Dashboard'!Z$12=3,
IF('SIR Model Patient Calcs'!B164&lt;'User Dashboard'!AJ$15,'User Dashboard'!AN$14,
IF('SIR Model Patient Calcs'!B164&lt;'User Dashboard'!AJ$16,'User Dashboard'!AN$15,
'User Dashboard'!AN$16)),
IF('User Dashboard'!Z$12=2,
IF('SIR Model Patient Calcs'!B164&lt;'User Dashboard'!AJ$15,'User Dashboard'!AN$14,
'User Dashboard'!AN$15),
IF('User Dashboard'!Z$12=1,
'User Dashboard'!AN$14)))))</f>
        <v>15.209356603107825</v>
      </c>
      <c r="D164" s="668">
        <f>'User Dashboard'!X$16</f>
        <v>2.2072878851804097E-2</v>
      </c>
      <c r="E164" s="660">
        <f t="shared" si="21"/>
        <v>8.9862781521070345E-8</v>
      </c>
      <c r="F164" s="660">
        <f t="shared" si="28"/>
        <v>8.9862781521070372E-8</v>
      </c>
      <c r="G164" s="670">
        <f>1/'User Dashboard'!X$12</f>
        <v>0.14285714285714285</v>
      </c>
      <c r="H164" s="359">
        <f t="shared" si="22"/>
        <v>448754.98355314147</v>
      </c>
      <c r="I164" s="672">
        <f t="shared" si="25"/>
        <v>1264.4667645588322</v>
      </c>
      <c r="J164" s="673">
        <f t="shared" si="23"/>
        <v>3285835.1496823002</v>
      </c>
      <c r="K164" s="359">
        <f t="shared" si="26"/>
        <v>3287099.6164468592</v>
      </c>
      <c r="L164" s="673">
        <f t="shared" si="27"/>
        <v>56.823700411710888</v>
      </c>
    </row>
    <row r="165" spans="1:12" x14ac:dyDescent="0.35">
      <c r="A165" s="287">
        <f t="shared" si="24"/>
        <v>23</v>
      </c>
      <c r="B165" s="288">
        <v>158</v>
      </c>
      <c r="C165" s="667">
        <f>IF('User Dashboard'!Z$12=5,
IF('SIR Model Patient Calcs'!B165&lt;'User Dashboard'!AJ$15,'User Dashboard'!AN$14,
IF('SIR Model Patient Calcs'!B165&lt;'User Dashboard'!AJ$16,'User Dashboard'!AN$15,
IF('SIR Model Patient Calcs'!B165&lt;'User Dashboard'!AJ$17,'User Dashboard'!AN$16,
IF('SIR Model Patient Calcs'!B165&lt;'User Dashboard'!AJ$18,'User Dashboard'!AN$17,
'User Dashboard'!AN$18)))),
IF('User Dashboard'!Z$12=4,
IF('SIR Model Patient Calcs'!B165&lt;'User Dashboard'!AJ$15,'User Dashboard'!AN$14,
IF('SIR Model Patient Calcs'!B165&lt;'User Dashboard'!AJ$16,'User Dashboard'!AN$15,
IF('SIR Model Patient Calcs'!B165&lt;'User Dashboard'!AJ$17,'User Dashboard'!AN$16,
'User Dashboard'!AN$17))),
IF('User Dashboard'!Z$12=3,
IF('SIR Model Patient Calcs'!B165&lt;'User Dashboard'!AJ$15,'User Dashboard'!AN$14,
IF('SIR Model Patient Calcs'!B165&lt;'User Dashboard'!AJ$16,'User Dashboard'!AN$15,
'User Dashboard'!AN$16)),
IF('User Dashboard'!Z$12=2,
IF('SIR Model Patient Calcs'!B165&lt;'User Dashboard'!AJ$15,'User Dashboard'!AN$14,
'User Dashboard'!AN$15),
IF('User Dashboard'!Z$12=1,
'User Dashboard'!AN$14)))))</f>
        <v>15.209356603107825</v>
      </c>
      <c r="D165" s="668">
        <f>'User Dashboard'!X$16</f>
        <v>2.2072878851804097E-2</v>
      </c>
      <c r="E165" s="660">
        <f t="shared" si="21"/>
        <v>8.9862781521070345E-8</v>
      </c>
      <c r="F165" s="660">
        <f t="shared" si="28"/>
        <v>8.9862781521070372E-8</v>
      </c>
      <c r="G165" s="670">
        <f>1/'User Dashboard'!X$12</f>
        <v>0.14285714285714285</v>
      </c>
      <c r="H165" s="359">
        <f t="shared" si="22"/>
        <v>448703.99219722167</v>
      </c>
      <c r="I165" s="672">
        <f t="shared" si="25"/>
        <v>1134.82001125595</v>
      </c>
      <c r="J165" s="673">
        <f t="shared" si="23"/>
        <v>3286015.7877915227</v>
      </c>
      <c r="K165" s="359">
        <f t="shared" si="26"/>
        <v>3287150.6078027785</v>
      </c>
      <c r="L165" s="673">
        <f t="shared" si="27"/>
        <v>50.991355919279158</v>
      </c>
    </row>
    <row r="166" spans="1:12" x14ac:dyDescent="0.35">
      <c r="A166" s="287">
        <f t="shared" si="24"/>
        <v>23</v>
      </c>
      <c r="B166" s="288">
        <v>159</v>
      </c>
      <c r="C166" s="667">
        <f>IF('User Dashboard'!Z$12=5,
IF('SIR Model Patient Calcs'!B166&lt;'User Dashboard'!AJ$15,'User Dashboard'!AN$14,
IF('SIR Model Patient Calcs'!B166&lt;'User Dashboard'!AJ$16,'User Dashboard'!AN$15,
IF('SIR Model Patient Calcs'!B166&lt;'User Dashboard'!AJ$17,'User Dashboard'!AN$16,
IF('SIR Model Patient Calcs'!B166&lt;'User Dashboard'!AJ$18,'User Dashboard'!AN$17,
'User Dashboard'!AN$18)))),
IF('User Dashboard'!Z$12=4,
IF('SIR Model Patient Calcs'!B166&lt;'User Dashboard'!AJ$15,'User Dashboard'!AN$14,
IF('SIR Model Patient Calcs'!B166&lt;'User Dashboard'!AJ$16,'User Dashboard'!AN$15,
IF('SIR Model Patient Calcs'!B166&lt;'User Dashboard'!AJ$17,'User Dashboard'!AN$16,
'User Dashboard'!AN$17))),
IF('User Dashboard'!Z$12=3,
IF('SIR Model Patient Calcs'!B166&lt;'User Dashboard'!AJ$15,'User Dashboard'!AN$14,
IF('SIR Model Patient Calcs'!B166&lt;'User Dashboard'!AJ$16,'User Dashboard'!AN$15,
'User Dashboard'!AN$16)),
IF('User Dashboard'!Z$12=2,
IF('SIR Model Patient Calcs'!B166&lt;'User Dashboard'!AJ$15,'User Dashboard'!AN$14,
'User Dashboard'!AN$15),
IF('User Dashboard'!Z$12=1,
'User Dashboard'!AN$14)))))</f>
        <v>15.209356603107825</v>
      </c>
      <c r="D166" s="668">
        <f>'User Dashboard'!X$16</f>
        <v>2.2072878851804097E-2</v>
      </c>
      <c r="E166" s="660">
        <f t="shared" si="21"/>
        <v>8.9862781521070358E-8</v>
      </c>
      <c r="F166" s="660">
        <f t="shared" si="28"/>
        <v>8.9862781521070358E-8</v>
      </c>
      <c r="G166" s="670">
        <f>1/'User Dashboard'!X$12</f>
        <v>0.14285714285714285</v>
      </c>
      <c r="H166" s="359">
        <f t="shared" si="22"/>
        <v>448658.23422438087</v>
      </c>
      <c r="I166" s="672">
        <f t="shared" si="25"/>
        <v>1018.4608396316289</v>
      </c>
      <c r="J166" s="673">
        <f t="shared" si="23"/>
        <v>3286177.9049359877</v>
      </c>
      <c r="K166" s="359">
        <f t="shared" si="26"/>
        <v>3287196.3657756192</v>
      </c>
      <c r="L166" s="673">
        <f t="shared" si="27"/>
        <v>45.757972840685397</v>
      </c>
    </row>
    <row r="167" spans="1:12" x14ac:dyDescent="0.35">
      <c r="A167" s="287">
        <f t="shared" si="24"/>
        <v>23</v>
      </c>
      <c r="B167" s="288">
        <v>160</v>
      </c>
      <c r="C167" s="667">
        <f>IF('User Dashboard'!Z$12=5,
IF('SIR Model Patient Calcs'!B167&lt;'User Dashboard'!AJ$15,'User Dashboard'!AN$14,
IF('SIR Model Patient Calcs'!B167&lt;'User Dashboard'!AJ$16,'User Dashboard'!AN$15,
IF('SIR Model Patient Calcs'!B167&lt;'User Dashboard'!AJ$17,'User Dashboard'!AN$16,
IF('SIR Model Patient Calcs'!B167&lt;'User Dashboard'!AJ$18,'User Dashboard'!AN$17,
'User Dashboard'!AN$18)))),
IF('User Dashboard'!Z$12=4,
IF('SIR Model Patient Calcs'!B167&lt;'User Dashboard'!AJ$15,'User Dashboard'!AN$14,
IF('SIR Model Patient Calcs'!B167&lt;'User Dashboard'!AJ$16,'User Dashboard'!AN$15,
IF('SIR Model Patient Calcs'!B167&lt;'User Dashboard'!AJ$17,'User Dashboard'!AN$16,
'User Dashboard'!AN$17))),
IF('User Dashboard'!Z$12=3,
IF('SIR Model Patient Calcs'!B167&lt;'User Dashboard'!AJ$15,'User Dashboard'!AN$14,
IF('SIR Model Patient Calcs'!B167&lt;'User Dashboard'!AJ$16,'User Dashboard'!AN$15,
'User Dashboard'!AN$16)),
IF('User Dashboard'!Z$12=2,
IF('SIR Model Patient Calcs'!B167&lt;'User Dashboard'!AJ$15,'User Dashboard'!AN$14,
'User Dashboard'!AN$15),
IF('User Dashboard'!Z$12=1,
'User Dashboard'!AN$14)))))</f>
        <v>15.209356603107825</v>
      </c>
      <c r="D167" s="668">
        <f>'User Dashboard'!X$16</f>
        <v>2.2072878851804097E-2</v>
      </c>
      <c r="E167" s="660">
        <f t="shared" si="21"/>
        <v>8.9862781521070358E-8</v>
      </c>
      <c r="F167" s="660">
        <f t="shared" si="28"/>
        <v>8.9862781521070358E-8</v>
      </c>
      <c r="G167" s="670">
        <f>1/'User Dashboard'!X$12</f>
        <v>0.14285714285714285</v>
      </c>
      <c r="H167" s="359">
        <f t="shared" si="22"/>
        <v>448617.17224933393</v>
      </c>
      <c r="I167" s="672">
        <f t="shared" si="25"/>
        <v>914.02840901689899</v>
      </c>
      <c r="J167" s="673">
        <f t="shared" si="23"/>
        <v>3286323.3993416494</v>
      </c>
      <c r="K167" s="359">
        <f t="shared" si="26"/>
        <v>3287237.4277506662</v>
      </c>
      <c r="L167" s="673">
        <f t="shared" si="27"/>
        <v>41.061975046992302</v>
      </c>
    </row>
    <row r="168" spans="1:12" x14ac:dyDescent="0.35">
      <c r="A168" s="287">
        <f t="shared" si="24"/>
        <v>23</v>
      </c>
      <c r="B168" s="288">
        <v>161</v>
      </c>
      <c r="C168" s="667">
        <f>IF('User Dashboard'!Z$12=5,
IF('SIR Model Patient Calcs'!B168&lt;'User Dashboard'!AJ$15,'User Dashboard'!AN$14,
IF('SIR Model Patient Calcs'!B168&lt;'User Dashboard'!AJ$16,'User Dashboard'!AN$15,
IF('SIR Model Patient Calcs'!B168&lt;'User Dashboard'!AJ$17,'User Dashboard'!AN$16,
IF('SIR Model Patient Calcs'!B168&lt;'User Dashboard'!AJ$18,'User Dashboard'!AN$17,
'User Dashboard'!AN$18)))),
IF('User Dashboard'!Z$12=4,
IF('SIR Model Patient Calcs'!B168&lt;'User Dashboard'!AJ$15,'User Dashboard'!AN$14,
IF('SIR Model Patient Calcs'!B168&lt;'User Dashboard'!AJ$16,'User Dashboard'!AN$15,
IF('SIR Model Patient Calcs'!B168&lt;'User Dashboard'!AJ$17,'User Dashboard'!AN$16,
'User Dashboard'!AN$17))),
IF('User Dashboard'!Z$12=3,
IF('SIR Model Patient Calcs'!B168&lt;'User Dashboard'!AJ$15,'User Dashboard'!AN$14,
IF('SIR Model Patient Calcs'!B168&lt;'User Dashboard'!AJ$16,'User Dashboard'!AN$15,
'User Dashboard'!AN$16)),
IF('User Dashboard'!Z$12=2,
IF('SIR Model Patient Calcs'!B168&lt;'User Dashboard'!AJ$15,'User Dashboard'!AN$14,
'User Dashboard'!AN$15),
IF('User Dashboard'!Z$12=1,
'User Dashboard'!AN$14)))))</f>
        <v>15.209356603107825</v>
      </c>
      <c r="D168" s="668">
        <f>'User Dashboard'!X$16</f>
        <v>2.2072878851804097E-2</v>
      </c>
      <c r="E168" s="660">
        <f t="shared" si="21"/>
        <v>8.9862781521070358E-8</v>
      </c>
      <c r="F168" s="660">
        <f t="shared" si="28"/>
        <v>8.9862781521070358E-8</v>
      </c>
      <c r="G168" s="670">
        <f>1/'User Dashboard'!X$12</f>
        <v>0.14285714285714285</v>
      </c>
      <c r="H168" s="359">
        <f t="shared" si="22"/>
        <v>448580.32411999331</v>
      </c>
      <c r="I168" s="672">
        <f t="shared" si="25"/>
        <v>820.30105135512929</v>
      </c>
      <c r="J168" s="673">
        <f t="shared" si="23"/>
        <v>3286453.9748286516</v>
      </c>
      <c r="K168" s="359">
        <f t="shared" si="26"/>
        <v>3287274.2758800066</v>
      </c>
      <c r="L168" s="673">
        <f t="shared" si="27"/>
        <v>36.848129340447485</v>
      </c>
    </row>
    <row r="169" spans="1:12" x14ac:dyDescent="0.35">
      <c r="A169" s="287">
        <f t="shared" si="24"/>
        <v>24</v>
      </c>
      <c r="B169" s="288">
        <v>162</v>
      </c>
      <c r="C169" s="667">
        <f>IF('User Dashboard'!Z$12=5,
IF('SIR Model Patient Calcs'!B169&lt;'User Dashboard'!AJ$15,'User Dashboard'!AN$14,
IF('SIR Model Patient Calcs'!B169&lt;'User Dashboard'!AJ$16,'User Dashboard'!AN$15,
IF('SIR Model Patient Calcs'!B169&lt;'User Dashboard'!AJ$17,'User Dashboard'!AN$16,
IF('SIR Model Patient Calcs'!B169&lt;'User Dashboard'!AJ$18,'User Dashboard'!AN$17,
'User Dashboard'!AN$18)))),
IF('User Dashboard'!Z$12=4,
IF('SIR Model Patient Calcs'!B169&lt;'User Dashboard'!AJ$15,'User Dashboard'!AN$14,
IF('SIR Model Patient Calcs'!B169&lt;'User Dashboard'!AJ$16,'User Dashboard'!AN$15,
IF('SIR Model Patient Calcs'!B169&lt;'User Dashboard'!AJ$17,'User Dashboard'!AN$16,
'User Dashboard'!AN$17))),
IF('User Dashboard'!Z$12=3,
IF('SIR Model Patient Calcs'!B169&lt;'User Dashboard'!AJ$15,'User Dashboard'!AN$14,
IF('SIR Model Patient Calcs'!B169&lt;'User Dashboard'!AJ$16,'User Dashboard'!AN$15,
'User Dashboard'!AN$16)),
IF('User Dashboard'!Z$12=2,
IF('SIR Model Patient Calcs'!B169&lt;'User Dashboard'!AJ$15,'User Dashboard'!AN$14,
'User Dashboard'!AN$15),
IF('User Dashboard'!Z$12=1,
'User Dashboard'!AN$14)))))</f>
        <v>15.209356603107825</v>
      </c>
      <c r="D169" s="668">
        <f>'User Dashboard'!X$16</f>
        <v>2.2072878851804097E-2</v>
      </c>
      <c r="E169" s="660">
        <f t="shared" si="21"/>
        <v>8.9862781521070358E-8</v>
      </c>
      <c r="F169" s="660">
        <f t="shared" si="28"/>
        <v>8.9862781521070358E-8</v>
      </c>
      <c r="G169" s="670">
        <f>1/'User Dashboard'!X$12</f>
        <v>0.14285714285714285</v>
      </c>
      <c r="H169" s="359">
        <f t="shared" si="22"/>
        <v>448547.25723036774</v>
      </c>
      <c r="I169" s="672">
        <f t="shared" si="25"/>
        <v>736.18207650141665</v>
      </c>
      <c r="J169" s="673">
        <f t="shared" si="23"/>
        <v>3286571.1606931309</v>
      </c>
      <c r="K169" s="359">
        <f t="shared" si="26"/>
        <v>3287307.3427696321</v>
      </c>
      <c r="L169" s="673">
        <f t="shared" si="27"/>
        <v>33.066889625508338</v>
      </c>
    </row>
    <row r="170" spans="1:12" x14ac:dyDescent="0.35">
      <c r="A170" s="287">
        <f t="shared" si="24"/>
        <v>24</v>
      </c>
      <c r="B170" s="288">
        <v>163</v>
      </c>
      <c r="C170" s="667">
        <f>IF('User Dashboard'!Z$12=5,
IF('SIR Model Patient Calcs'!B170&lt;'User Dashboard'!AJ$15,'User Dashboard'!AN$14,
IF('SIR Model Patient Calcs'!B170&lt;'User Dashboard'!AJ$16,'User Dashboard'!AN$15,
IF('SIR Model Patient Calcs'!B170&lt;'User Dashboard'!AJ$17,'User Dashboard'!AN$16,
IF('SIR Model Patient Calcs'!B170&lt;'User Dashboard'!AJ$18,'User Dashboard'!AN$17,
'User Dashboard'!AN$18)))),
IF('User Dashboard'!Z$12=4,
IF('SIR Model Patient Calcs'!B170&lt;'User Dashboard'!AJ$15,'User Dashboard'!AN$14,
IF('SIR Model Patient Calcs'!B170&lt;'User Dashboard'!AJ$16,'User Dashboard'!AN$15,
IF('SIR Model Patient Calcs'!B170&lt;'User Dashboard'!AJ$17,'User Dashboard'!AN$16,
'User Dashboard'!AN$17))),
IF('User Dashboard'!Z$12=3,
IF('SIR Model Patient Calcs'!B170&lt;'User Dashboard'!AJ$15,'User Dashboard'!AN$14,
IF('SIR Model Patient Calcs'!B170&lt;'User Dashboard'!AJ$16,'User Dashboard'!AN$15,
'User Dashboard'!AN$16)),
IF('User Dashboard'!Z$12=2,
IF('SIR Model Patient Calcs'!B170&lt;'User Dashboard'!AJ$15,'User Dashboard'!AN$14,
'User Dashboard'!AN$15),
IF('User Dashboard'!Z$12=1,
'User Dashboard'!AN$14)))))</f>
        <v>15.209356603107825</v>
      </c>
      <c r="D170" s="668">
        <f>'User Dashboard'!X$16</f>
        <v>2.2072878851804097E-2</v>
      </c>
      <c r="E170" s="660">
        <f t="shared" si="21"/>
        <v>8.9862781521070372E-8</v>
      </c>
      <c r="F170" s="660">
        <f t="shared" si="28"/>
        <v>8.9862781521070358E-8</v>
      </c>
      <c r="G170" s="670">
        <f>1/'User Dashboard'!X$12</f>
        <v>0.14285714285714285</v>
      </c>
      <c r="H170" s="359">
        <f t="shared" si="22"/>
        <v>448517.58342100668</v>
      </c>
      <c r="I170" s="672">
        <f t="shared" si="25"/>
        <v>660.68701779082141</v>
      </c>
      <c r="J170" s="673">
        <f t="shared" si="23"/>
        <v>3286676.3295612023</v>
      </c>
      <c r="K170" s="359">
        <f t="shared" si="26"/>
        <v>3287337.0165789933</v>
      </c>
      <c r="L170" s="673">
        <f t="shared" si="27"/>
        <v>29.673809361178428</v>
      </c>
    </row>
    <row r="171" spans="1:12" x14ac:dyDescent="0.35">
      <c r="A171" s="287">
        <f t="shared" si="24"/>
        <v>24</v>
      </c>
      <c r="B171" s="288">
        <v>164</v>
      </c>
      <c r="C171" s="667">
        <f>IF('User Dashboard'!Z$12=5,
IF('SIR Model Patient Calcs'!B171&lt;'User Dashboard'!AJ$15,'User Dashboard'!AN$14,
IF('SIR Model Patient Calcs'!B171&lt;'User Dashboard'!AJ$16,'User Dashboard'!AN$15,
IF('SIR Model Patient Calcs'!B171&lt;'User Dashboard'!AJ$17,'User Dashboard'!AN$16,
IF('SIR Model Patient Calcs'!B171&lt;'User Dashboard'!AJ$18,'User Dashboard'!AN$17,
'User Dashboard'!AN$18)))),
IF('User Dashboard'!Z$12=4,
IF('SIR Model Patient Calcs'!B171&lt;'User Dashboard'!AJ$15,'User Dashboard'!AN$14,
IF('SIR Model Patient Calcs'!B171&lt;'User Dashboard'!AJ$16,'User Dashboard'!AN$15,
IF('SIR Model Patient Calcs'!B171&lt;'User Dashboard'!AJ$17,'User Dashboard'!AN$16,
'User Dashboard'!AN$17))),
IF('User Dashboard'!Z$12=3,
IF('SIR Model Patient Calcs'!B171&lt;'User Dashboard'!AJ$15,'User Dashboard'!AN$14,
IF('SIR Model Patient Calcs'!B171&lt;'User Dashboard'!AJ$16,'User Dashboard'!AN$15,
'User Dashboard'!AN$16)),
IF('User Dashboard'!Z$12=2,
IF('SIR Model Patient Calcs'!B171&lt;'User Dashboard'!AJ$15,'User Dashboard'!AN$14,
'User Dashboard'!AN$15),
IF('User Dashboard'!Z$12=1,
'User Dashboard'!AN$14)))))</f>
        <v>15.209356603107825</v>
      </c>
      <c r="D171" s="668">
        <f>'User Dashboard'!X$16</f>
        <v>2.2072878851804097E-2</v>
      </c>
      <c r="E171" s="660">
        <f t="shared" si="21"/>
        <v>8.9862781521070372E-8</v>
      </c>
      <c r="F171" s="660">
        <f t="shared" si="28"/>
        <v>8.9862781521070358E-8</v>
      </c>
      <c r="G171" s="670">
        <f>1/'User Dashboard'!X$12</f>
        <v>0.14285714285714285</v>
      </c>
      <c r="H171" s="359">
        <f t="shared" si="22"/>
        <v>448490.95440590795</v>
      </c>
      <c r="I171" s="672">
        <f t="shared" si="25"/>
        <v>592.93217320514577</v>
      </c>
      <c r="J171" s="673">
        <f t="shared" si="23"/>
        <v>3286770.7134208865</v>
      </c>
      <c r="K171" s="359">
        <f t="shared" si="26"/>
        <v>3287363.6455940916</v>
      </c>
      <c r="L171" s="673">
        <f t="shared" si="27"/>
        <v>26.629015098325908</v>
      </c>
    </row>
    <row r="172" spans="1:12" x14ac:dyDescent="0.35">
      <c r="A172" s="287">
        <f t="shared" si="24"/>
        <v>24</v>
      </c>
      <c r="B172" s="288">
        <v>165</v>
      </c>
      <c r="C172" s="667">
        <f>IF('User Dashboard'!Z$12=5,
IF('SIR Model Patient Calcs'!B172&lt;'User Dashboard'!AJ$15,'User Dashboard'!AN$14,
IF('SIR Model Patient Calcs'!B172&lt;'User Dashboard'!AJ$16,'User Dashboard'!AN$15,
IF('SIR Model Patient Calcs'!B172&lt;'User Dashboard'!AJ$17,'User Dashboard'!AN$16,
IF('SIR Model Patient Calcs'!B172&lt;'User Dashboard'!AJ$18,'User Dashboard'!AN$17,
'User Dashboard'!AN$18)))),
IF('User Dashboard'!Z$12=4,
IF('SIR Model Patient Calcs'!B172&lt;'User Dashboard'!AJ$15,'User Dashboard'!AN$14,
IF('SIR Model Patient Calcs'!B172&lt;'User Dashboard'!AJ$16,'User Dashboard'!AN$15,
IF('SIR Model Patient Calcs'!B172&lt;'User Dashboard'!AJ$17,'User Dashboard'!AN$16,
'User Dashboard'!AN$17))),
IF('User Dashboard'!Z$12=3,
IF('SIR Model Patient Calcs'!B172&lt;'User Dashboard'!AJ$15,'User Dashboard'!AN$14,
IF('SIR Model Patient Calcs'!B172&lt;'User Dashboard'!AJ$16,'User Dashboard'!AN$15,
'User Dashboard'!AN$16)),
IF('User Dashboard'!Z$12=2,
IF('SIR Model Patient Calcs'!B172&lt;'User Dashboard'!AJ$15,'User Dashboard'!AN$14,
'User Dashboard'!AN$15),
IF('User Dashboard'!Z$12=1,
'User Dashboard'!AN$14)))))</f>
        <v>15.209356603107825</v>
      </c>
      <c r="D172" s="668">
        <f>'User Dashboard'!X$16</f>
        <v>2.2072878851804097E-2</v>
      </c>
      <c r="E172" s="660">
        <f t="shared" si="21"/>
        <v>8.9862781521070372E-8</v>
      </c>
      <c r="F172" s="660">
        <f t="shared" si="28"/>
        <v>8.9862781521070372E-8</v>
      </c>
      <c r="G172" s="670">
        <f>1/'User Dashboard'!X$12</f>
        <v>0.14285714285714285</v>
      </c>
      <c r="H172" s="359">
        <f t="shared" si="22"/>
        <v>448467.05767122976</v>
      </c>
      <c r="I172" s="672">
        <f t="shared" si="25"/>
        <v>532.12431171119431</v>
      </c>
      <c r="J172" s="673">
        <f t="shared" si="23"/>
        <v>3286855.4180170586</v>
      </c>
      <c r="K172" s="359">
        <f t="shared" si="26"/>
        <v>3287387.5423287698</v>
      </c>
      <c r="L172" s="673">
        <f t="shared" si="27"/>
        <v>23.896734678186476</v>
      </c>
    </row>
    <row r="173" spans="1:12" x14ac:dyDescent="0.35">
      <c r="A173" s="287">
        <f t="shared" si="24"/>
        <v>24</v>
      </c>
      <c r="B173" s="288">
        <v>166</v>
      </c>
      <c r="C173" s="667">
        <f>IF('User Dashboard'!Z$12=5,
IF('SIR Model Patient Calcs'!B173&lt;'User Dashboard'!AJ$15,'User Dashboard'!AN$14,
IF('SIR Model Patient Calcs'!B173&lt;'User Dashboard'!AJ$16,'User Dashboard'!AN$15,
IF('SIR Model Patient Calcs'!B173&lt;'User Dashboard'!AJ$17,'User Dashboard'!AN$16,
IF('SIR Model Patient Calcs'!B173&lt;'User Dashboard'!AJ$18,'User Dashboard'!AN$17,
'User Dashboard'!AN$18)))),
IF('User Dashboard'!Z$12=4,
IF('SIR Model Patient Calcs'!B173&lt;'User Dashboard'!AJ$15,'User Dashboard'!AN$14,
IF('SIR Model Patient Calcs'!B173&lt;'User Dashboard'!AJ$16,'User Dashboard'!AN$15,
IF('SIR Model Patient Calcs'!B173&lt;'User Dashboard'!AJ$17,'User Dashboard'!AN$16,
'User Dashboard'!AN$17))),
IF('User Dashboard'!Z$12=3,
IF('SIR Model Patient Calcs'!B173&lt;'User Dashboard'!AJ$15,'User Dashboard'!AN$14,
IF('SIR Model Patient Calcs'!B173&lt;'User Dashboard'!AJ$16,'User Dashboard'!AN$15,
'User Dashboard'!AN$16)),
IF('User Dashboard'!Z$12=2,
IF('SIR Model Patient Calcs'!B173&lt;'User Dashboard'!AJ$15,'User Dashboard'!AN$14,
'User Dashboard'!AN$15),
IF('User Dashboard'!Z$12=1,
'User Dashboard'!AN$14)))))</f>
        <v>15.209356603107825</v>
      </c>
      <c r="D173" s="668">
        <f>'User Dashboard'!X$16</f>
        <v>2.2072878851804097E-2</v>
      </c>
      <c r="E173" s="660">
        <f t="shared" si="21"/>
        <v>8.9862781521070372E-8</v>
      </c>
      <c r="F173" s="660">
        <f t="shared" si="28"/>
        <v>8.9862781521070372E-8</v>
      </c>
      <c r="G173" s="670">
        <f>1/'User Dashboard'!X$12</f>
        <v>0.14285714285714285</v>
      </c>
      <c r="H173" s="359">
        <f t="shared" si="22"/>
        <v>448445.61279688339</v>
      </c>
      <c r="I173" s="672">
        <f t="shared" si="25"/>
        <v>477.55142724166768</v>
      </c>
      <c r="J173" s="673">
        <f t="shared" si="23"/>
        <v>3286931.4357758746</v>
      </c>
      <c r="K173" s="359">
        <f t="shared" si="26"/>
        <v>3287408.9872031165</v>
      </c>
      <c r="L173" s="673">
        <f t="shared" si="27"/>
        <v>21.444874346721917</v>
      </c>
    </row>
    <row r="174" spans="1:12" x14ac:dyDescent="0.35">
      <c r="A174" s="287">
        <f t="shared" si="24"/>
        <v>24</v>
      </c>
      <c r="B174" s="288">
        <v>167</v>
      </c>
      <c r="C174" s="667">
        <f>IF('User Dashboard'!Z$12=5,
IF('SIR Model Patient Calcs'!B174&lt;'User Dashboard'!AJ$15,'User Dashboard'!AN$14,
IF('SIR Model Patient Calcs'!B174&lt;'User Dashboard'!AJ$16,'User Dashboard'!AN$15,
IF('SIR Model Patient Calcs'!B174&lt;'User Dashboard'!AJ$17,'User Dashboard'!AN$16,
IF('SIR Model Patient Calcs'!B174&lt;'User Dashboard'!AJ$18,'User Dashboard'!AN$17,
'User Dashboard'!AN$18)))),
IF('User Dashboard'!Z$12=4,
IF('SIR Model Patient Calcs'!B174&lt;'User Dashboard'!AJ$15,'User Dashboard'!AN$14,
IF('SIR Model Patient Calcs'!B174&lt;'User Dashboard'!AJ$16,'User Dashboard'!AN$15,
IF('SIR Model Patient Calcs'!B174&lt;'User Dashboard'!AJ$17,'User Dashboard'!AN$16,
'User Dashboard'!AN$17))),
IF('User Dashboard'!Z$12=3,
IF('SIR Model Patient Calcs'!B174&lt;'User Dashboard'!AJ$15,'User Dashboard'!AN$14,
IF('SIR Model Patient Calcs'!B174&lt;'User Dashboard'!AJ$16,'User Dashboard'!AN$15,
'User Dashboard'!AN$16)),
IF('User Dashboard'!Z$12=2,
IF('SIR Model Patient Calcs'!B174&lt;'User Dashboard'!AJ$15,'User Dashboard'!AN$14,
'User Dashboard'!AN$15),
IF('User Dashboard'!Z$12=1,
'User Dashboard'!AN$14)))))</f>
        <v>15.209356603107825</v>
      </c>
      <c r="D174" s="668">
        <f>'User Dashboard'!X$16</f>
        <v>2.2072878851804097E-2</v>
      </c>
      <c r="E174" s="660">
        <f t="shared" si="21"/>
        <v>8.9862781521070372E-8</v>
      </c>
      <c r="F174" s="660">
        <f t="shared" si="28"/>
        <v>8.9862781521070372E-8</v>
      </c>
      <c r="G174" s="670">
        <f>1/'User Dashboard'!X$12</f>
        <v>0.14285714285714285</v>
      </c>
      <c r="H174" s="359">
        <f t="shared" si="22"/>
        <v>448426.36815720354</v>
      </c>
      <c r="I174" s="672">
        <f t="shared" si="25"/>
        <v>428.5744344584474</v>
      </c>
      <c r="J174" s="673">
        <f t="shared" si="23"/>
        <v>3286999.6574083376</v>
      </c>
      <c r="K174" s="359">
        <f t="shared" si="26"/>
        <v>3287428.2318427959</v>
      </c>
      <c r="L174" s="673">
        <f t="shared" si="27"/>
        <v>19.244639679323882</v>
      </c>
    </row>
    <row r="175" spans="1:12" x14ac:dyDescent="0.35">
      <c r="A175" s="287">
        <f t="shared" si="24"/>
        <v>24</v>
      </c>
      <c r="B175" s="288">
        <v>168</v>
      </c>
      <c r="C175" s="667">
        <f>IF('User Dashboard'!Z$12=5,
IF('SIR Model Patient Calcs'!B175&lt;'User Dashboard'!AJ$15,'User Dashboard'!AN$14,
IF('SIR Model Patient Calcs'!B175&lt;'User Dashboard'!AJ$16,'User Dashboard'!AN$15,
IF('SIR Model Patient Calcs'!B175&lt;'User Dashboard'!AJ$17,'User Dashboard'!AN$16,
IF('SIR Model Patient Calcs'!B175&lt;'User Dashboard'!AJ$18,'User Dashboard'!AN$17,
'User Dashboard'!AN$18)))),
IF('User Dashboard'!Z$12=4,
IF('SIR Model Patient Calcs'!B175&lt;'User Dashboard'!AJ$15,'User Dashboard'!AN$14,
IF('SIR Model Patient Calcs'!B175&lt;'User Dashboard'!AJ$16,'User Dashboard'!AN$15,
IF('SIR Model Patient Calcs'!B175&lt;'User Dashboard'!AJ$17,'User Dashboard'!AN$16,
'User Dashboard'!AN$17))),
IF('User Dashboard'!Z$12=3,
IF('SIR Model Patient Calcs'!B175&lt;'User Dashboard'!AJ$15,'User Dashboard'!AN$14,
IF('SIR Model Patient Calcs'!B175&lt;'User Dashboard'!AJ$16,'User Dashboard'!AN$15,
'User Dashboard'!AN$16)),
IF('User Dashboard'!Z$12=2,
IF('SIR Model Patient Calcs'!B175&lt;'User Dashboard'!AJ$15,'User Dashboard'!AN$14,
'User Dashboard'!AN$15),
IF('User Dashboard'!Z$12=1,
'User Dashboard'!AN$14)))))</f>
        <v>15.209356603107825</v>
      </c>
      <c r="D175" s="668">
        <f>'User Dashboard'!X$16</f>
        <v>2.2072878851804097E-2</v>
      </c>
      <c r="E175" s="660">
        <f t="shared" si="21"/>
        <v>8.9862781521070372E-8</v>
      </c>
      <c r="F175" s="660">
        <f t="shared" si="28"/>
        <v>8.9862781521070372E-8</v>
      </c>
      <c r="G175" s="670">
        <f>1/'User Dashboard'!X$12</f>
        <v>0.14285714285714285</v>
      </c>
      <c r="H175" s="359">
        <f t="shared" si="22"/>
        <v>448409.09796146862</v>
      </c>
      <c r="I175" s="672">
        <f t="shared" si="25"/>
        <v>384.61971098499021</v>
      </c>
      <c r="J175" s="673">
        <f t="shared" si="23"/>
        <v>3287060.8823275459</v>
      </c>
      <c r="K175" s="359">
        <f t="shared" si="26"/>
        <v>3287445.502038531</v>
      </c>
      <c r="L175" s="673">
        <f t="shared" si="27"/>
        <v>17.270195735152811</v>
      </c>
    </row>
    <row r="176" spans="1:12" x14ac:dyDescent="0.35">
      <c r="A176" s="287">
        <f t="shared" si="24"/>
        <v>25</v>
      </c>
      <c r="B176" s="288">
        <v>169</v>
      </c>
      <c r="C176" s="667">
        <f>IF('User Dashboard'!Z$12=5,
IF('SIR Model Patient Calcs'!B176&lt;'User Dashboard'!AJ$15,'User Dashboard'!AN$14,
IF('SIR Model Patient Calcs'!B176&lt;'User Dashboard'!AJ$16,'User Dashboard'!AN$15,
IF('SIR Model Patient Calcs'!B176&lt;'User Dashboard'!AJ$17,'User Dashboard'!AN$16,
IF('SIR Model Patient Calcs'!B176&lt;'User Dashboard'!AJ$18,'User Dashboard'!AN$17,
'User Dashboard'!AN$18)))),
IF('User Dashboard'!Z$12=4,
IF('SIR Model Patient Calcs'!B176&lt;'User Dashboard'!AJ$15,'User Dashboard'!AN$14,
IF('SIR Model Patient Calcs'!B176&lt;'User Dashboard'!AJ$16,'User Dashboard'!AN$15,
IF('SIR Model Patient Calcs'!B176&lt;'User Dashboard'!AJ$17,'User Dashboard'!AN$16,
'User Dashboard'!AN$17))),
IF('User Dashboard'!Z$12=3,
IF('SIR Model Patient Calcs'!B176&lt;'User Dashboard'!AJ$15,'User Dashboard'!AN$14,
IF('SIR Model Patient Calcs'!B176&lt;'User Dashboard'!AJ$16,'User Dashboard'!AN$15,
'User Dashboard'!AN$16)),
IF('User Dashboard'!Z$12=2,
IF('SIR Model Patient Calcs'!B176&lt;'User Dashboard'!AJ$15,'User Dashboard'!AN$14,
'User Dashboard'!AN$15),
IF('User Dashboard'!Z$12=1,
'User Dashboard'!AN$14)))))</f>
        <v>15.209356603107825</v>
      </c>
      <c r="D176" s="668">
        <f>'User Dashboard'!X$16</f>
        <v>2.2072878851804097E-2</v>
      </c>
      <c r="E176" s="660">
        <f t="shared" si="21"/>
        <v>8.9862781521070372E-8</v>
      </c>
      <c r="F176" s="660">
        <f t="shared" si="28"/>
        <v>8.9862781521070372E-8</v>
      </c>
      <c r="G176" s="670">
        <f>1/'User Dashboard'!X$12</f>
        <v>0.14285714285714285</v>
      </c>
      <c r="H176" s="359">
        <f t="shared" si="22"/>
        <v>448393.59959913546</v>
      </c>
      <c r="I176" s="672">
        <f t="shared" si="25"/>
        <v>345.17240032028246</v>
      </c>
      <c r="J176" s="673">
        <f t="shared" si="23"/>
        <v>3287115.8280005436</v>
      </c>
      <c r="K176" s="359">
        <f t="shared" si="26"/>
        <v>3287461.0004008641</v>
      </c>
      <c r="L176" s="673">
        <f t="shared" si="27"/>
        <v>15.498362333048135</v>
      </c>
    </row>
    <row r="177" spans="1:12" x14ac:dyDescent="0.35">
      <c r="A177" s="287">
        <f t="shared" si="24"/>
        <v>25</v>
      </c>
      <c r="B177" s="288">
        <v>170</v>
      </c>
      <c r="C177" s="667">
        <f>IF('User Dashboard'!Z$12=5,
IF('SIR Model Patient Calcs'!B177&lt;'User Dashboard'!AJ$15,'User Dashboard'!AN$14,
IF('SIR Model Patient Calcs'!B177&lt;'User Dashboard'!AJ$16,'User Dashboard'!AN$15,
IF('SIR Model Patient Calcs'!B177&lt;'User Dashboard'!AJ$17,'User Dashboard'!AN$16,
IF('SIR Model Patient Calcs'!B177&lt;'User Dashboard'!AJ$18,'User Dashboard'!AN$17,
'User Dashboard'!AN$18)))),
IF('User Dashboard'!Z$12=4,
IF('SIR Model Patient Calcs'!B177&lt;'User Dashboard'!AJ$15,'User Dashboard'!AN$14,
IF('SIR Model Patient Calcs'!B177&lt;'User Dashboard'!AJ$16,'User Dashboard'!AN$15,
IF('SIR Model Patient Calcs'!B177&lt;'User Dashboard'!AJ$17,'User Dashboard'!AN$16,
'User Dashboard'!AN$17))),
IF('User Dashboard'!Z$12=3,
IF('SIR Model Patient Calcs'!B177&lt;'User Dashboard'!AJ$15,'User Dashboard'!AN$14,
IF('SIR Model Patient Calcs'!B177&lt;'User Dashboard'!AJ$16,'User Dashboard'!AN$15,
'User Dashboard'!AN$16)),
IF('User Dashboard'!Z$12=2,
IF('SIR Model Patient Calcs'!B177&lt;'User Dashboard'!AJ$15,'User Dashboard'!AN$14,
'User Dashboard'!AN$15),
IF('User Dashboard'!Z$12=1,
'User Dashboard'!AN$14)))))</f>
        <v>15.209356603107825</v>
      </c>
      <c r="D177" s="668">
        <f>'User Dashboard'!X$16</f>
        <v>2.2072878851804097E-2</v>
      </c>
      <c r="E177" s="660">
        <f t="shared" si="21"/>
        <v>8.9862781521070372E-8</v>
      </c>
      <c r="F177" s="660">
        <f t="shared" si="28"/>
        <v>8.9862781521070372E-8</v>
      </c>
      <c r="G177" s="670">
        <f>1/'User Dashboard'!X$12</f>
        <v>0.14285714285714285</v>
      </c>
      <c r="H177" s="359">
        <f t="shared" si="22"/>
        <v>448379.69125830859</v>
      </c>
      <c r="I177" s="672">
        <f t="shared" si="25"/>
        <v>309.77039824427101</v>
      </c>
      <c r="J177" s="673">
        <f t="shared" si="23"/>
        <v>3287165.1383434464</v>
      </c>
      <c r="K177" s="359">
        <f t="shared" si="26"/>
        <v>3287474.9087416907</v>
      </c>
      <c r="L177" s="673">
        <f t="shared" si="27"/>
        <v>13.908340826630592</v>
      </c>
    </row>
    <row r="178" spans="1:12" x14ac:dyDescent="0.35">
      <c r="A178" s="287">
        <f t="shared" si="24"/>
        <v>25</v>
      </c>
      <c r="B178" s="288">
        <v>171</v>
      </c>
      <c r="C178" s="667">
        <f>IF('User Dashboard'!Z$12=5,
IF('SIR Model Patient Calcs'!B178&lt;'User Dashboard'!AJ$15,'User Dashboard'!AN$14,
IF('SIR Model Patient Calcs'!B178&lt;'User Dashboard'!AJ$16,'User Dashboard'!AN$15,
IF('SIR Model Patient Calcs'!B178&lt;'User Dashboard'!AJ$17,'User Dashboard'!AN$16,
IF('SIR Model Patient Calcs'!B178&lt;'User Dashboard'!AJ$18,'User Dashboard'!AN$17,
'User Dashboard'!AN$18)))),
IF('User Dashboard'!Z$12=4,
IF('SIR Model Patient Calcs'!B178&lt;'User Dashboard'!AJ$15,'User Dashboard'!AN$14,
IF('SIR Model Patient Calcs'!B178&lt;'User Dashboard'!AJ$16,'User Dashboard'!AN$15,
IF('SIR Model Patient Calcs'!B178&lt;'User Dashboard'!AJ$17,'User Dashboard'!AN$16,
'User Dashboard'!AN$17))),
IF('User Dashboard'!Z$12=3,
IF('SIR Model Patient Calcs'!B178&lt;'User Dashboard'!AJ$15,'User Dashboard'!AN$14,
IF('SIR Model Patient Calcs'!B178&lt;'User Dashboard'!AJ$16,'User Dashboard'!AN$15,
'User Dashboard'!AN$16)),
IF('User Dashboard'!Z$12=2,
IF('SIR Model Patient Calcs'!B178&lt;'User Dashboard'!AJ$15,'User Dashboard'!AN$14,
'User Dashboard'!AN$15),
IF('User Dashboard'!Z$12=1,
'User Dashboard'!AN$14)))))</f>
        <v>15.209356603107825</v>
      </c>
      <c r="D178" s="668">
        <f>'User Dashboard'!X$16</f>
        <v>2.2072878851804097E-2</v>
      </c>
      <c r="E178" s="660">
        <f t="shared" si="21"/>
        <v>8.9862781521070372E-8</v>
      </c>
      <c r="F178" s="660">
        <f t="shared" si="28"/>
        <v>8.9862781521070372E-8</v>
      </c>
      <c r="G178" s="670">
        <f>1/'User Dashboard'!X$12</f>
        <v>0.14285714285714285</v>
      </c>
      <c r="H178" s="359">
        <f t="shared" si="22"/>
        <v>448367.20978923835</v>
      </c>
      <c r="I178" s="672">
        <f t="shared" si="25"/>
        <v>277.99895327960627</v>
      </c>
      <c r="J178" s="673">
        <f t="shared" si="23"/>
        <v>3287209.3912574812</v>
      </c>
      <c r="K178" s="359">
        <f t="shared" si="26"/>
        <v>3287487.3902107608</v>
      </c>
      <c r="L178" s="673">
        <f t="shared" si="27"/>
        <v>12.481469070073217</v>
      </c>
    </row>
    <row r="179" spans="1:12" x14ac:dyDescent="0.35">
      <c r="A179" s="287">
        <f t="shared" si="24"/>
        <v>25</v>
      </c>
      <c r="B179" s="288">
        <v>172</v>
      </c>
      <c r="C179" s="667">
        <f>IF('User Dashboard'!Z$12=5,
IF('SIR Model Patient Calcs'!B179&lt;'User Dashboard'!AJ$15,'User Dashboard'!AN$14,
IF('SIR Model Patient Calcs'!B179&lt;'User Dashboard'!AJ$16,'User Dashboard'!AN$15,
IF('SIR Model Patient Calcs'!B179&lt;'User Dashboard'!AJ$17,'User Dashboard'!AN$16,
IF('SIR Model Patient Calcs'!B179&lt;'User Dashboard'!AJ$18,'User Dashboard'!AN$17,
'User Dashboard'!AN$18)))),
IF('User Dashboard'!Z$12=4,
IF('SIR Model Patient Calcs'!B179&lt;'User Dashboard'!AJ$15,'User Dashboard'!AN$14,
IF('SIR Model Patient Calcs'!B179&lt;'User Dashboard'!AJ$16,'User Dashboard'!AN$15,
IF('SIR Model Patient Calcs'!B179&lt;'User Dashboard'!AJ$17,'User Dashboard'!AN$16,
'User Dashboard'!AN$17))),
IF('User Dashboard'!Z$12=3,
IF('SIR Model Patient Calcs'!B179&lt;'User Dashboard'!AJ$15,'User Dashboard'!AN$14,
IF('SIR Model Patient Calcs'!B179&lt;'User Dashboard'!AJ$16,'User Dashboard'!AN$15,
'User Dashboard'!AN$16)),
IF('User Dashboard'!Z$12=2,
IF('SIR Model Patient Calcs'!B179&lt;'User Dashboard'!AJ$15,'User Dashboard'!AN$14,
'User Dashboard'!AN$15),
IF('User Dashboard'!Z$12=1,
'User Dashboard'!AN$14)))))</f>
        <v>15.209356603107825</v>
      </c>
      <c r="D179" s="668">
        <f>'User Dashboard'!X$16</f>
        <v>2.2072878851804097E-2</v>
      </c>
      <c r="E179" s="660">
        <f t="shared" si="21"/>
        <v>8.9862781521070372E-8</v>
      </c>
      <c r="F179" s="660">
        <f t="shared" si="28"/>
        <v>8.9862781521070372E-8</v>
      </c>
      <c r="G179" s="670">
        <f>1/'User Dashboard'!X$12</f>
        <v>0.14285714285714285</v>
      </c>
      <c r="H179" s="359">
        <f t="shared" si="22"/>
        <v>448356.00878756947</v>
      </c>
      <c r="I179" s="672">
        <f t="shared" si="25"/>
        <v>249.4858187656765</v>
      </c>
      <c r="J179" s="673">
        <f t="shared" si="23"/>
        <v>3287249.105393664</v>
      </c>
      <c r="K179" s="359">
        <f t="shared" si="26"/>
        <v>3287498.5912124296</v>
      </c>
      <c r="L179" s="673">
        <f t="shared" si="27"/>
        <v>11.20100166881457</v>
      </c>
    </row>
    <row r="180" spans="1:12" x14ac:dyDescent="0.35">
      <c r="A180" s="287">
        <f t="shared" si="24"/>
        <v>25</v>
      </c>
      <c r="B180" s="288">
        <v>173</v>
      </c>
      <c r="C180" s="667">
        <f>IF('User Dashboard'!Z$12=5,
IF('SIR Model Patient Calcs'!B180&lt;'User Dashboard'!AJ$15,'User Dashboard'!AN$14,
IF('SIR Model Patient Calcs'!B180&lt;'User Dashboard'!AJ$16,'User Dashboard'!AN$15,
IF('SIR Model Patient Calcs'!B180&lt;'User Dashboard'!AJ$17,'User Dashboard'!AN$16,
IF('SIR Model Patient Calcs'!B180&lt;'User Dashboard'!AJ$18,'User Dashboard'!AN$17,
'User Dashboard'!AN$18)))),
IF('User Dashboard'!Z$12=4,
IF('SIR Model Patient Calcs'!B180&lt;'User Dashboard'!AJ$15,'User Dashboard'!AN$14,
IF('SIR Model Patient Calcs'!B180&lt;'User Dashboard'!AJ$16,'User Dashboard'!AN$15,
IF('SIR Model Patient Calcs'!B180&lt;'User Dashboard'!AJ$17,'User Dashboard'!AN$16,
'User Dashboard'!AN$17))),
IF('User Dashboard'!Z$12=3,
IF('SIR Model Patient Calcs'!B180&lt;'User Dashboard'!AJ$15,'User Dashboard'!AN$14,
IF('SIR Model Patient Calcs'!B180&lt;'User Dashboard'!AJ$16,'User Dashboard'!AN$15,
'User Dashboard'!AN$16)),
IF('User Dashboard'!Z$12=2,
IF('SIR Model Patient Calcs'!B180&lt;'User Dashboard'!AJ$15,'User Dashboard'!AN$14,
'User Dashboard'!AN$15),
IF('User Dashboard'!Z$12=1,
'User Dashboard'!AN$14)))))</f>
        <v>15.209356603107825</v>
      </c>
      <c r="D180" s="668">
        <f>'User Dashboard'!X$16</f>
        <v>2.2072878851804097E-2</v>
      </c>
      <c r="E180" s="660">
        <f t="shared" si="21"/>
        <v>8.9862781521070372E-8</v>
      </c>
      <c r="F180" s="660">
        <f t="shared" si="28"/>
        <v>8.9862781521070372E-8</v>
      </c>
      <c r="G180" s="670">
        <f>1/'User Dashboard'!X$12</f>
        <v>0.14285714285714285</v>
      </c>
      <c r="H180" s="359">
        <f t="shared" si="22"/>
        <v>448345.95687468245</v>
      </c>
      <c r="I180" s="672">
        <f t="shared" si="25"/>
        <v>223.89690040046281</v>
      </c>
      <c r="J180" s="673">
        <f t="shared" si="23"/>
        <v>3287284.7462249161</v>
      </c>
      <c r="K180" s="359">
        <f t="shared" si="26"/>
        <v>3287508.6431253166</v>
      </c>
      <c r="L180" s="673">
        <f t="shared" si="27"/>
        <v>10.051912887021899</v>
      </c>
    </row>
    <row r="181" spans="1:12" x14ac:dyDescent="0.35">
      <c r="A181" s="287">
        <f t="shared" si="24"/>
        <v>25</v>
      </c>
      <c r="B181" s="288">
        <v>174</v>
      </c>
      <c r="C181" s="667">
        <f>IF('User Dashboard'!Z$12=5,
IF('SIR Model Patient Calcs'!B181&lt;'User Dashboard'!AJ$15,'User Dashboard'!AN$14,
IF('SIR Model Patient Calcs'!B181&lt;'User Dashboard'!AJ$16,'User Dashboard'!AN$15,
IF('SIR Model Patient Calcs'!B181&lt;'User Dashboard'!AJ$17,'User Dashboard'!AN$16,
IF('SIR Model Patient Calcs'!B181&lt;'User Dashboard'!AJ$18,'User Dashboard'!AN$17,
'User Dashboard'!AN$18)))),
IF('User Dashboard'!Z$12=4,
IF('SIR Model Patient Calcs'!B181&lt;'User Dashboard'!AJ$15,'User Dashboard'!AN$14,
IF('SIR Model Patient Calcs'!B181&lt;'User Dashboard'!AJ$16,'User Dashboard'!AN$15,
IF('SIR Model Patient Calcs'!B181&lt;'User Dashboard'!AJ$17,'User Dashboard'!AN$16,
'User Dashboard'!AN$17))),
IF('User Dashboard'!Z$12=3,
IF('SIR Model Patient Calcs'!B181&lt;'User Dashboard'!AJ$15,'User Dashboard'!AN$14,
IF('SIR Model Patient Calcs'!B181&lt;'User Dashboard'!AJ$16,'User Dashboard'!AN$15,
'User Dashboard'!AN$16)),
IF('User Dashboard'!Z$12=2,
IF('SIR Model Patient Calcs'!B181&lt;'User Dashboard'!AJ$15,'User Dashboard'!AN$14,
'User Dashboard'!AN$15),
IF('User Dashboard'!Z$12=1,
'User Dashboard'!AN$14)))))</f>
        <v>15.209356603107825</v>
      </c>
      <c r="D181" s="668">
        <f>'User Dashboard'!X$16</f>
        <v>2.2072878851804097E-2</v>
      </c>
      <c r="E181" s="660">
        <f t="shared" si="21"/>
        <v>8.9862781521070372E-8</v>
      </c>
      <c r="F181" s="660">
        <f t="shared" si="28"/>
        <v>8.9862781521070372E-8</v>
      </c>
      <c r="G181" s="670">
        <f>1/'User Dashboard'!X$12</f>
        <v>0.14285714285714285</v>
      </c>
      <c r="H181" s="359">
        <f t="shared" si="22"/>
        <v>448336.93615481746</v>
      </c>
      <c r="I181" s="672">
        <f t="shared" si="25"/>
        <v>200.93234877967487</v>
      </c>
      <c r="J181" s="673">
        <f t="shared" si="23"/>
        <v>3287316.7314964021</v>
      </c>
      <c r="K181" s="359">
        <f t="shared" si="26"/>
        <v>3287517.6638451819</v>
      </c>
      <c r="L181" s="673">
        <f t="shared" si="27"/>
        <v>9.0207198653370142</v>
      </c>
    </row>
    <row r="182" spans="1:12" x14ac:dyDescent="0.35">
      <c r="A182" s="287">
        <f t="shared" si="24"/>
        <v>25</v>
      </c>
      <c r="B182" s="288">
        <v>175</v>
      </c>
      <c r="C182" s="667">
        <f>IF('User Dashboard'!Z$12=5,
IF('SIR Model Patient Calcs'!B182&lt;'User Dashboard'!AJ$15,'User Dashboard'!AN$14,
IF('SIR Model Patient Calcs'!B182&lt;'User Dashboard'!AJ$16,'User Dashboard'!AN$15,
IF('SIR Model Patient Calcs'!B182&lt;'User Dashboard'!AJ$17,'User Dashboard'!AN$16,
IF('SIR Model Patient Calcs'!B182&lt;'User Dashboard'!AJ$18,'User Dashboard'!AN$17,
'User Dashboard'!AN$18)))),
IF('User Dashboard'!Z$12=4,
IF('SIR Model Patient Calcs'!B182&lt;'User Dashboard'!AJ$15,'User Dashboard'!AN$14,
IF('SIR Model Patient Calcs'!B182&lt;'User Dashboard'!AJ$16,'User Dashboard'!AN$15,
IF('SIR Model Patient Calcs'!B182&lt;'User Dashboard'!AJ$17,'User Dashboard'!AN$16,
'User Dashboard'!AN$17))),
IF('User Dashboard'!Z$12=3,
IF('SIR Model Patient Calcs'!B182&lt;'User Dashboard'!AJ$15,'User Dashboard'!AN$14,
IF('SIR Model Patient Calcs'!B182&lt;'User Dashboard'!AJ$16,'User Dashboard'!AN$15,
'User Dashboard'!AN$16)),
IF('User Dashboard'!Z$12=2,
IF('SIR Model Patient Calcs'!B182&lt;'User Dashboard'!AJ$15,'User Dashboard'!AN$14,
'User Dashboard'!AN$15),
IF('User Dashboard'!Z$12=1,
'User Dashboard'!AN$14)))))</f>
        <v>15.209356603107825</v>
      </c>
      <c r="D182" s="668">
        <f>'User Dashboard'!X$16</f>
        <v>2.2072878851804097E-2</v>
      </c>
      <c r="E182" s="660">
        <f t="shared" si="21"/>
        <v>8.9862781521070372E-8</v>
      </c>
      <c r="F182" s="660">
        <f t="shared" si="28"/>
        <v>8.9862781521070372E-8</v>
      </c>
      <c r="G182" s="670">
        <f>1/'User Dashboard'!X$12</f>
        <v>0.14285714285714285</v>
      </c>
      <c r="H182" s="359">
        <f t="shared" si="22"/>
        <v>448328.84083077178</v>
      </c>
      <c r="I182" s="672">
        <f t="shared" si="25"/>
        <v>180.32305157111279</v>
      </c>
      <c r="J182" s="673">
        <f t="shared" si="23"/>
        <v>3287345.4361176565</v>
      </c>
      <c r="K182" s="359">
        <f t="shared" si="26"/>
        <v>3287525.7591692274</v>
      </c>
      <c r="L182" s="673">
        <f t="shared" si="27"/>
        <v>8.0953240455128253</v>
      </c>
    </row>
    <row r="183" spans="1:12" x14ac:dyDescent="0.35">
      <c r="A183" s="287">
        <f t="shared" si="24"/>
        <v>26</v>
      </c>
      <c r="B183" s="288">
        <v>176</v>
      </c>
      <c r="C183" s="667">
        <f>IF('User Dashboard'!Z$12=5,
IF('SIR Model Patient Calcs'!B183&lt;'User Dashboard'!AJ$15,'User Dashboard'!AN$14,
IF('SIR Model Patient Calcs'!B183&lt;'User Dashboard'!AJ$16,'User Dashboard'!AN$15,
IF('SIR Model Patient Calcs'!B183&lt;'User Dashboard'!AJ$17,'User Dashboard'!AN$16,
IF('SIR Model Patient Calcs'!B183&lt;'User Dashboard'!AJ$18,'User Dashboard'!AN$17,
'User Dashboard'!AN$18)))),
IF('User Dashboard'!Z$12=4,
IF('SIR Model Patient Calcs'!B183&lt;'User Dashboard'!AJ$15,'User Dashboard'!AN$14,
IF('SIR Model Patient Calcs'!B183&lt;'User Dashboard'!AJ$16,'User Dashboard'!AN$15,
IF('SIR Model Patient Calcs'!B183&lt;'User Dashboard'!AJ$17,'User Dashboard'!AN$16,
'User Dashboard'!AN$17))),
IF('User Dashboard'!Z$12=3,
IF('SIR Model Patient Calcs'!B183&lt;'User Dashboard'!AJ$15,'User Dashboard'!AN$14,
IF('SIR Model Patient Calcs'!B183&lt;'User Dashboard'!AJ$16,'User Dashboard'!AN$15,
'User Dashboard'!AN$16)),
IF('User Dashboard'!Z$12=2,
IF('SIR Model Patient Calcs'!B183&lt;'User Dashboard'!AJ$15,'User Dashboard'!AN$14,
'User Dashboard'!AN$15),
IF('User Dashboard'!Z$12=1,
'User Dashboard'!AN$14)))))</f>
        <v>15.209356603107825</v>
      </c>
      <c r="D183" s="668">
        <f>'User Dashboard'!X$16</f>
        <v>2.2072878851804097E-2</v>
      </c>
      <c r="E183" s="660">
        <f t="shared" si="21"/>
        <v>8.9862781521070372E-8</v>
      </c>
      <c r="F183" s="660">
        <f t="shared" si="28"/>
        <v>8.9862781521070372E-8</v>
      </c>
      <c r="G183" s="670">
        <f>1/'User Dashboard'!X$12</f>
        <v>0.14285714285714285</v>
      </c>
      <c r="H183" s="359">
        <f t="shared" si="22"/>
        <v>448321.57596184412</v>
      </c>
      <c r="I183" s="672">
        <f t="shared" si="25"/>
        <v>161.82748456001943</v>
      </c>
      <c r="J183" s="673">
        <f t="shared" si="23"/>
        <v>3287371.1965535954</v>
      </c>
      <c r="K183" s="359">
        <f t="shared" si="26"/>
        <v>3287533.0240381556</v>
      </c>
      <c r="L183" s="673">
        <f t="shared" si="27"/>
        <v>7.2648689281195402</v>
      </c>
    </row>
    <row r="184" spans="1:12" x14ac:dyDescent="0.35">
      <c r="A184" s="287">
        <f t="shared" si="24"/>
        <v>26</v>
      </c>
      <c r="B184" s="288">
        <v>177</v>
      </c>
      <c r="C184" s="667">
        <f>IF('User Dashboard'!Z$12=5,
IF('SIR Model Patient Calcs'!B184&lt;'User Dashboard'!AJ$15,'User Dashboard'!AN$14,
IF('SIR Model Patient Calcs'!B184&lt;'User Dashboard'!AJ$16,'User Dashboard'!AN$15,
IF('SIR Model Patient Calcs'!B184&lt;'User Dashboard'!AJ$17,'User Dashboard'!AN$16,
IF('SIR Model Patient Calcs'!B184&lt;'User Dashboard'!AJ$18,'User Dashboard'!AN$17,
'User Dashboard'!AN$18)))),
IF('User Dashboard'!Z$12=4,
IF('SIR Model Patient Calcs'!B184&lt;'User Dashboard'!AJ$15,'User Dashboard'!AN$14,
IF('SIR Model Patient Calcs'!B184&lt;'User Dashboard'!AJ$16,'User Dashboard'!AN$15,
IF('SIR Model Patient Calcs'!B184&lt;'User Dashboard'!AJ$17,'User Dashboard'!AN$16,
'User Dashboard'!AN$17))),
IF('User Dashboard'!Z$12=3,
IF('SIR Model Patient Calcs'!B184&lt;'User Dashboard'!AJ$15,'User Dashboard'!AN$14,
IF('SIR Model Patient Calcs'!B184&lt;'User Dashboard'!AJ$16,'User Dashboard'!AN$15,
'User Dashboard'!AN$16)),
IF('User Dashboard'!Z$12=2,
IF('SIR Model Patient Calcs'!B184&lt;'User Dashboard'!AJ$15,'User Dashboard'!AN$14,
'User Dashboard'!AN$15),
IF('User Dashboard'!Z$12=1,
'User Dashboard'!AN$14)))))</f>
        <v>15.209356603107825</v>
      </c>
      <c r="D184" s="668">
        <f>'User Dashboard'!X$16</f>
        <v>2.2072878851804097E-2</v>
      </c>
      <c r="E184" s="660">
        <f t="shared" si="21"/>
        <v>8.9862781521070372E-8</v>
      </c>
      <c r="F184" s="660">
        <f t="shared" si="28"/>
        <v>8.9862781521070372E-8</v>
      </c>
      <c r="G184" s="670">
        <f>1/'User Dashboard'!X$12</f>
        <v>0.14285714285714285</v>
      </c>
      <c r="H184" s="359">
        <f t="shared" si="22"/>
        <v>448315.056349386</v>
      </c>
      <c r="I184" s="672">
        <f t="shared" si="25"/>
        <v>145.2288849381269</v>
      </c>
      <c r="J184" s="673">
        <f t="shared" si="23"/>
        <v>3287394.3147656755</v>
      </c>
      <c r="K184" s="359">
        <f t="shared" si="26"/>
        <v>3287539.5436506136</v>
      </c>
      <c r="L184" s="673">
        <f t="shared" si="27"/>
        <v>6.5196124580688775</v>
      </c>
    </row>
    <row r="185" spans="1:12" x14ac:dyDescent="0.35">
      <c r="A185" s="287">
        <f t="shared" si="24"/>
        <v>26</v>
      </c>
      <c r="B185" s="288">
        <v>178</v>
      </c>
      <c r="C185" s="667">
        <f>IF('User Dashboard'!Z$12=5,
IF('SIR Model Patient Calcs'!B185&lt;'User Dashboard'!AJ$15,'User Dashboard'!AN$14,
IF('SIR Model Patient Calcs'!B185&lt;'User Dashboard'!AJ$16,'User Dashboard'!AN$15,
IF('SIR Model Patient Calcs'!B185&lt;'User Dashboard'!AJ$17,'User Dashboard'!AN$16,
IF('SIR Model Patient Calcs'!B185&lt;'User Dashboard'!AJ$18,'User Dashboard'!AN$17,
'User Dashboard'!AN$18)))),
IF('User Dashboard'!Z$12=4,
IF('SIR Model Patient Calcs'!B185&lt;'User Dashboard'!AJ$15,'User Dashboard'!AN$14,
IF('SIR Model Patient Calcs'!B185&lt;'User Dashboard'!AJ$16,'User Dashboard'!AN$15,
IF('SIR Model Patient Calcs'!B185&lt;'User Dashboard'!AJ$17,'User Dashboard'!AN$16,
'User Dashboard'!AN$17))),
IF('User Dashboard'!Z$12=3,
IF('SIR Model Patient Calcs'!B185&lt;'User Dashboard'!AJ$15,'User Dashboard'!AN$14,
IF('SIR Model Patient Calcs'!B185&lt;'User Dashboard'!AJ$16,'User Dashboard'!AN$15,
'User Dashboard'!AN$16)),
IF('User Dashboard'!Z$12=2,
IF('SIR Model Patient Calcs'!B185&lt;'User Dashboard'!AJ$15,'User Dashboard'!AN$14,
'User Dashboard'!AN$15),
IF('User Dashboard'!Z$12=1,
'User Dashboard'!AN$14)))))</f>
        <v>15.209356603107825</v>
      </c>
      <c r="D185" s="668">
        <f>'User Dashboard'!X$16</f>
        <v>2.2072878851804097E-2</v>
      </c>
      <c r="E185" s="660">
        <f t="shared" si="21"/>
        <v>8.9862781521070372E-8</v>
      </c>
      <c r="F185" s="660">
        <f t="shared" si="28"/>
        <v>8.9862781521070372E-8</v>
      </c>
      <c r="G185" s="670">
        <f>1/'User Dashboard'!X$12</f>
        <v>0.14285714285714285</v>
      </c>
      <c r="H185" s="359">
        <f t="shared" si="22"/>
        <v>448309.20553683117</v>
      </c>
      <c r="I185" s="672">
        <f t="shared" si="25"/>
        <v>130.33271393034448</v>
      </c>
      <c r="J185" s="673">
        <f t="shared" si="23"/>
        <v>3287415.0617492381</v>
      </c>
      <c r="K185" s="359">
        <f t="shared" si="26"/>
        <v>3287545.3944631685</v>
      </c>
      <c r="L185" s="673">
        <f t="shared" si="27"/>
        <v>5.8508125548250973</v>
      </c>
    </row>
    <row r="186" spans="1:12" x14ac:dyDescent="0.35">
      <c r="A186" s="287">
        <f t="shared" si="24"/>
        <v>26</v>
      </c>
      <c r="B186" s="288">
        <v>179</v>
      </c>
      <c r="C186" s="667">
        <f>IF('User Dashboard'!Z$12=5,
IF('SIR Model Patient Calcs'!B186&lt;'User Dashboard'!AJ$15,'User Dashboard'!AN$14,
IF('SIR Model Patient Calcs'!B186&lt;'User Dashboard'!AJ$16,'User Dashboard'!AN$15,
IF('SIR Model Patient Calcs'!B186&lt;'User Dashboard'!AJ$17,'User Dashboard'!AN$16,
IF('SIR Model Patient Calcs'!B186&lt;'User Dashboard'!AJ$18,'User Dashboard'!AN$17,
'User Dashboard'!AN$18)))),
IF('User Dashboard'!Z$12=4,
IF('SIR Model Patient Calcs'!B186&lt;'User Dashboard'!AJ$15,'User Dashboard'!AN$14,
IF('SIR Model Patient Calcs'!B186&lt;'User Dashboard'!AJ$16,'User Dashboard'!AN$15,
IF('SIR Model Patient Calcs'!B186&lt;'User Dashboard'!AJ$17,'User Dashboard'!AN$16,
'User Dashboard'!AN$17))),
IF('User Dashboard'!Z$12=3,
IF('SIR Model Patient Calcs'!B186&lt;'User Dashboard'!AJ$15,'User Dashboard'!AN$14,
IF('SIR Model Patient Calcs'!B186&lt;'User Dashboard'!AJ$16,'User Dashboard'!AN$15,
'User Dashboard'!AN$16)),
IF('User Dashboard'!Z$12=2,
IF('SIR Model Patient Calcs'!B186&lt;'User Dashboard'!AJ$15,'User Dashboard'!AN$14,
'User Dashboard'!AN$15),
IF('User Dashboard'!Z$12=1,
'User Dashboard'!AN$14)))))</f>
        <v>15.209356603107825</v>
      </c>
      <c r="D186" s="668">
        <f>'User Dashboard'!X$16</f>
        <v>2.2072878851804097E-2</v>
      </c>
      <c r="E186" s="660">
        <f t="shared" si="21"/>
        <v>8.9862781521070372E-8</v>
      </c>
      <c r="F186" s="660">
        <f t="shared" si="28"/>
        <v>8.9862781521070372E-8</v>
      </c>
      <c r="G186" s="670">
        <f>1/'User Dashboard'!X$12</f>
        <v>0.14285714285714285</v>
      </c>
      <c r="H186" s="359">
        <f t="shared" si="22"/>
        <v>448303.95491242909</v>
      </c>
      <c r="I186" s="672">
        <f t="shared" si="25"/>
        <v>116.96437919954161</v>
      </c>
      <c r="J186" s="673">
        <f t="shared" si="23"/>
        <v>3287433.6807083711</v>
      </c>
      <c r="K186" s="359">
        <f t="shared" si="26"/>
        <v>3287550.6450875704</v>
      </c>
      <c r="L186" s="673">
        <f t="shared" si="27"/>
        <v>5.2506244019605219</v>
      </c>
    </row>
    <row r="187" spans="1:12" x14ac:dyDescent="0.35">
      <c r="A187" s="287">
        <f t="shared" si="24"/>
        <v>26</v>
      </c>
      <c r="B187" s="288">
        <v>180</v>
      </c>
      <c r="C187" s="667">
        <f>IF('User Dashboard'!Z$12=5,
IF('SIR Model Patient Calcs'!B187&lt;'User Dashboard'!AJ$15,'User Dashboard'!AN$14,
IF('SIR Model Patient Calcs'!B187&lt;'User Dashboard'!AJ$16,'User Dashboard'!AN$15,
IF('SIR Model Patient Calcs'!B187&lt;'User Dashboard'!AJ$17,'User Dashboard'!AN$16,
IF('SIR Model Patient Calcs'!B187&lt;'User Dashboard'!AJ$18,'User Dashboard'!AN$17,
'User Dashboard'!AN$18)))),
IF('User Dashboard'!Z$12=4,
IF('SIR Model Patient Calcs'!B187&lt;'User Dashboard'!AJ$15,'User Dashboard'!AN$14,
IF('SIR Model Patient Calcs'!B187&lt;'User Dashboard'!AJ$16,'User Dashboard'!AN$15,
IF('SIR Model Patient Calcs'!B187&lt;'User Dashboard'!AJ$17,'User Dashboard'!AN$16,
'User Dashboard'!AN$17))),
IF('User Dashboard'!Z$12=3,
IF('SIR Model Patient Calcs'!B187&lt;'User Dashboard'!AJ$15,'User Dashboard'!AN$14,
IF('SIR Model Patient Calcs'!B187&lt;'User Dashboard'!AJ$16,'User Dashboard'!AN$15,
'User Dashboard'!AN$16)),
IF('User Dashboard'!Z$12=2,
IF('SIR Model Patient Calcs'!B187&lt;'User Dashboard'!AJ$15,'User Dashboard'!AN$14,
'User Dashboard'!AN$15),
IF('User Dashboard'!Z$12=1,
'User Dashboard'!AN$14)))))</f>
        <v>15.209356603107825</v>
      </c>
      <c r="D187" s="668">
        <f>'User Dashboard'!X$16</f>
        <v>2.2072878851804097E-2</v>
      </c>
      <c r="E187" s="660">
        <f t="shared" si="21"/>
        <v>8.9862781521070372E-8</v>
      </c>
      <c r="F187" s="660">
        <f t="shared" si="28"/>
        <v>8.9862781521070372E-8</v>
      </c>
      <c r="G187" s="670">
        <f>1/'User Dashboard'!X$12</f>
        <v>0.14285714285714285</v>
      </c>
      <c r="H187" s="359">
        <f t="shared" si="22"/>
        <v>448299.24290412141</v>
      </c>
      <c r="I187" s="672">
        <f t="shared" si="25"/>
        <v>104.96719047872838</v>
      </c>
      <c r="J187" s="673">
        <f t="shared" si="23"/>
        <v>3287450.3899053996</v>
      </c>
      <c r="K187" s="359">
        <f t="shared" si="26"/>
        <v>3287555.3570958786</v>
      </c>
      <c r="L187" s="673">
        <f t="shared" si="27"/>
        <v>4.7120083081535995</v>
      </c>
    </row>
    <row r="188" spans="1:12" x14ac:dyDescent="0.35">
      <c r="A188" s="287">
        <f t="shared" si="24"/>
        <v>26</v>
      </c>
      <c r="B188" s="288">
        <v>181</v>
      </c>
      <c r="C188" s="667">
        <f>IF('User Dashboard'!Z$12=5,
IF('SIR Model Patient Calcs'!B188&lt;'User Dashboard'!AJ$15,'User Dashboard'!AN$14,
IF('SIR Model Patient Calcs'!B188&lt;'User Dashboard'!AJ$16,'User Dashboard'!AN$15,
IF('SIR Model Patient Calcs'!B188&lt;'User Dashboard'!AJ$17,'User Dashboard'!AN$16,
IF('SIR Model Patient Calcs'!B188&lt;'User Dashboard'!AJ$18,'User Dashboard'!AN$17,
'User Dashboard'!AN$18)))),
IF('User Dashboard'!Z$12=4,
IF('SIR Model Patient Calcs'!B188&lt;'User Dashboard'!AJ$15,'User Dashboard'!AN$14,
IF('SIR Model Patient Calcs'!B188&lt;'User Dashboard'!AJ$16,'User Dashboard'!AN$15,
IF('SIR Model Patient Calcs'!B188&lt;'User Dashboard'!AJ$17,'User Dashboard'!AN$16,
'User Dashboard'!AN$17))),
IF('User Dashboard'!Z$12=3,
IF('SIR Model Patient Calcs'!B188&lt;'User Dashboard'!AJ$15,'User Dashboard'!AN$14,
IF('SIR Model Patient Calcs'!B188&lt;'User Dashboard'!AJ$16,'User Dashboard'!AN$15,
'User Dashboard'!AN$16)),
IF('User Dashboard'!Z$12=2,
IF('SIR Model Patient Calcs'!B188&lt;'User Dashboard'!AJ$15,'User Dashboard'!AN$14,
'User Dashboard'!AN$15),
IF('User Dashboard'!Z$12=1,
'User Dashboard'!AN$14)))))</f>
        <v>15.209356603107825</v>
      </c>
      <c r="D188" s="668">
        <f>'User Dashboard'!X$16</f>
        <v>2.2072878851804097E-2</v>
      </c>
      <c r="E188" s="660">
        <f t="shared" si="21"/>
        <v>8.9862781521070372E-8</v>
      </c>
      <c r="F188" s="660">
        <f t="shared" si="28"/>
        <v>8.9862781521070372E-8</v>
      </c>
      <c r="G188" s="670">
        <f>1/'User Dashboard'!X$12</f>
        <v>0.14285714285714285</v>
      </c>
      <c r="H188" s="359">
        <f t="shared" si="22"/>
        <v>448295.01425708993</v>
      </c>
      <c r="I188" s="672">
        <f t="shared" si="25"/>
        <v>94.200524584673559</v>
      </c>
      <c r="J188" s="673">
        <f t="shared" si="23"/>
        <v>3287465.3852183251</v>
      </c>
      <c r="K188" s="359">
        <f t="shared" si="26"/>
        <v>3287559.5857429099</v>
      </c>
      <c r="L188" s="673">
        <f t="shared" si="27"/>
        <v>4.2286470313556492</v>
      </c>
    </row>
    <row r="189" spans="1:12" x14ac:dyDescent="0.35">
      <c r="A189" s="287">
        <f t="shared" si="24"/>
        <v>26</v>
      </c>
      <c r="B189" s="288">
        <v>182</v>
      </c>
      <c r="C189" s="667">
        <f>IF('User Dashboard'!Z$12=5,
IF('SIR Model Patient Calcs'!B189&lt;'User Dashboard'!AJ$15,'User Dashboard'!AN$14,
IF('SIR Model Patient Calcs'!B189&lt;'User Dashboard'!AJ$16,'User Dashboard'!AN$15,
IF('SIR Model Patient Calcs'!B189&lt;'User Dashboard'!AJ$17,'User Dashboard'!AN$16,
IF('SIR Model Patient Calcs'!B189&lt;'User Dashboard'!AJ$18,'User Dashboard'!AN$17,
'User Dashboard'!AN$18)))),
IF('User Dashboard'!Z$12=4,
IF('SIR Model Patient Calcs'!B189&lt;'User Dashboard'!AJ$15,'User Dashboard'!AN$14,
IF('SIR Model Patient Calcs'!B189&lt;'User Dashboard'!AJ$16,'User Dashboard'!AN$15,
IF('SIR Model Patient Calcs'!B189&lt;'User Dashboard'!AJ$17,'User Dashboard'!AN$16,
'User Dashboard'!AN$17))),
IF('User Dashboard'!Z$12=3,
IF('SIR Model Patient Calcs'!B189&lt;'User Dashboard'!AJ$15,'User Dashboard'!AN$14,
IF('SIR Model Patient Calcs'!B189&lt;'User Dashboard'!AJ$16,'User Dashboard'!AN$15,
'User Dashboard'!AN$16)),
IF('User Dashboard'!Z$12=2,
IF('SIR Model Patient Calcs'!B189&lt;'User Dashboard'!AJ$15,'User Dashboard'!AN$14,
'User Dashboard'!AN$15),
IF('User Dashboard'!Z$12=1,
'User Dashboard'!AN$14)))))</f>
        <v>15.209356603107825</v>
      </c>
      <c r="D189" s="668">
        <f>'User Dashboard'!X$16</f>
        <v>2.2072878851804097E-2</v>
      </c>
      <c r="E189" s="660">
        <f t="shared" si="21"/>
        <v>8.9862781521070372E-8</v>
      </c>
      <c r="F189" s="660">
        <f t="shared" si="28"/>
        <v>8.9862781521070372E-8</v>
      </c>
      <c r="G189" s="670">
        <f>1/'User Dashboard'!X$12</f>
        <v>0.14285714285714285</v>
      </c>
      <c r="H189" s="359">
        <f t="shared" si="22"/>
        <v>448291.21938547888</v>
      </c>
      <c r="I189" s="672">
        <f t="shared" si="25"/>
        <v>84.538178397938609</v>
      </c>
      <c r="J189" s="673">
        <f t="shared" si="23"/>
        <v>3287478.8424361227</v>
      </c>
      <c r="K189" s="359">
        <f t="shared" si="26"/>
        <v>3287563.3806145205</v>
      </c>
      <c r="L189" s="673">
        <f t="shared" si="27"/>
        <v>3.7948716105893254</v>
      </c>
    </row>
    <row r="190" spans="1:12" x14ac:dyDescent="0.35">
      <c r="A190" s="287">
        <f t="shared" si="24"/>
        <v>27</v>
      </c>
      <c r="B190" s="288">
        <v>183</v>
      </c>
      <c r="C190" s="667">
        <f>IF('User Dashboard'!Z$12=5,
IF('SIR Model Patient Calcs'!B190&lt;'User Dashboard'!AJ$15,'User Dashboard'!AN$14,
IF('SIR Model Patient Calcs'!B190&lt;'User Dashboard'!AJ$16,'User Dashboard'!AN$15,
IF('SIR Model Patient Calcs'!B190&lt;'User Dashboard'!AJ$17,'User Dashboard'!AN$16,
IF('SIR Model Patient Calcs'!B190&lt;'User Dashboard'!AJ$18,'User Dashboard'!AN$17,
'User Dashboard'!AN$18)))),
IF('User Dashboard'!Z$12=4,
IF('SIR Model Patient Calcs'!B190&lt;'User Dashboard'!AJ$15,'User Dashboard'!AN$14,
IF('SIR Model Patient Calcs'!B190&lt;'User Dashboard'!AJ$16,'User Dashboard'!AN$15,
IF('SIR Model Patient Calcs'!B190&lt;'User Dashboard'!AJ$17,'User Dashboard'!AN$16,
'User Dashboard'!AN$17))),
IF('User Dashboard'!Z$12=3,
IF('SIR Model Patient Calcs'!B190&lt;'User Dashboard'!AJ$15,'User Dashboard'!AN$14,
IF('SIR Model Patient Calcs'!B190&lt;'User Dashboard'!AJ$16,'User Dashboard'!AN$15,
'User Dashboard'!AN$16)),
IF('User Dashboard'!Z$12=2,
IF('SIR Model Patient Calcs'!B190&lt;'User Dashboard'!AJ$15,'User Dashboard'!AN$14,
'User Dashboard'!AN$15),
IF('User Dashboard'!Z$12=1,
'User Dashboard'!AN$14)))))</f>
        <v>15.209356603107825</v>
      </c>
      <c r="D190" s="668">
        <f>'User Dashboard'!X$16</f>
        <v>2.2072878851804097E-2</v>
      </c>
      <c r="E190" s="660">
        <f t="shared" si="21"/>
        <v>8.9862781521070372E-8</v>
      </c>
      <c r="F190" s="660">
        <f t="shared" si="28"/>
        <v>8.9862781521070372E-8</v>
      </c>
      <c r="G190" s="670">
        <f>1/'User Dashboard'!X$12</f>
        <v>0.14285714285714285</v>
      </c>
      <c r="H190" s="359">
        <f t="shared" si="22"/>
        <v>448287.81379066972</v>
      </c>
      <c r="I190" s="672">
        <f t="shared" si="25"/>
        <v>75.86689057882343</v>
      </c>
      <c r="J190" s="673">
        <f t="shared" si="23"/>
        <v>3287490.919318751</v>
      </c>
      <c r="K190" s="359">
        <f t="shared" si="26"/>
        <v>3287566.78620933</v>
      </c>
      <c r="L190" s="673">
        <f t="shared" si="27"/>
        <v>3.4055948094464839</v>
      </c>
    </row>
    <row r="191" spans="1:12" x14ac:dyDescent="0.35">
      <c r="A191" s="287">
        <f t="shared" si="24"/>
        <v>27</v>
      </c>
      <c r="B191" s="288">
        <v>184</v>
      </c>
      <c r="C191" s="667">
        <f>IF('User Dashboard'!Z$12=5,
IF('SIR Model Patient Calcs'!B191&lt;'User Dashboard'!AJ$15,'User Dashboard'!AN$14,
IF('SIR Model Patient Calcs'!B191&lt;'User Dashboard'!AJ$16,'User Dashboard'!AN$15,
IF('SIR Model Patient Calcs'!B191&lt;'User Dashboard'!AJ$17,'User Dashboard'!AN$16,
IF('SIR Model Patient Calcs'!B191&lt;'User Dashboard'!AJ$18,'User Dashboard'!AN$17,
'User Dashboard'!AN$18)))),
IF('User Dashboard'!Z$12=4,
IF('SIR Model Patient Calcs'!B191&lt;'User Dashboard'!AJ$15,'User Dashboard'!AN$14,
IF('SIR Model Patient Calcs'!B191&lt;'User Dashboard'!AJ$16,'User Dashboard'!AN$15,
IF('SIR Model Patient Calcs'!B191&lt;'User Dashboard'!AJ$17,'User Dashboard'!AN$16,
'User Dashboard'!AN$17))),
IF('User Dashboard'!Z$12=3,
IF('SIR Model Patient Calcs'!B191&lt;'User Dashboard'!AJ$15,'User Dashboard'!AN$14,
IF('SIR Model Patient Calcs'!B191&lt;'User Dashboard'!AJ$16,'User Dashboard'!AN$15,
'User Dashboard'!AN$16)),
IF('User Dashboard'!Z$12=2,
IF('SIR Model Patient Calcs'!B191&lt;'User Dashboard'!AJ$15,'User Dashboard'!AN$14,
'User Dashboard'!AN$15),
IF('User Dashboard'!Z$12=1,
'User Dashboard'!AN$14)))))</f>
        <v>15.209356603107825</v>
      </c>
      <c r="D191" s="668">
        <f>'User Dashboard'!X$16</f>
        <v>2.2072878851804097E-2</v>
      </c>
      <c r="E191" s="660">
        <f t="shared" si="21"/>
        <v>8.9862781521070372E-8</v>
      </c>
      <c r="F191" s="660">
        <f t="shared" si="28"/>
        <v>8.9862781521070372E-8</v>
      </c>
      <c r="G191" s="670">
        <f>1/'User Dashboard'!X$12</f>
        <v>0.14285714285714285</v>
      </c>
      <c r="H191" s="359">
        <f t="shared" si="22"/>
        <v>448284.75753927149</v>
      </c>
      <c r="I191" s="672">
        <f t="shared" si="25"/>
        <v>68.085014751520703</v>
      </c>
      <c r="J191" s="673">
        <f t="shared" si="23"/>
        <v>3287501.7574459766</v>
      </c>
      <c r="K191" s="359">
        <f t="shared" si="26"/>
        <v>3287569.8424607283</v>
      </c>
      <c r="L191" s="673">
        <f t="shared" si="27"/>
        <v>3.0562513982877135</v>
      </c>
    </row>
    <row r="192" spans="1:12" x14ac:dyDescent="0.35">
      <c r="A192" s="287">
        <f t="shared" si="24"/>
        <v>27</v>
      </c>
      <c r="B192" s="288">
        <v>185</v>
      </c>
      <c r="C192" s="667">
        <f>IF('User Dashboard'!Z$12=5,
IF('SIR Model Patient Calcs'!B192&lt;'User Dashboard'!AJ$15,'User Dashboard'!AN$14,
IF('SIR Model Patient Calcs'!B192&lt;'User Dashboard'!AJ$16,'User Dashboard'!AN$15,
IF('SIR Model Patient Calcs'!B192&lt;'User Dashboard'!AJ$17,'User Dashboard'!AN$16,
IF('SIR Model Patient Calcs'!B192&lt;'User Dashboard'!AJ$18,'User Dashboard'!AN$17,
'User Dashboard'!AN$18)))),
IF('User Dashboard'!Z$12=4,
IF('SIR Model Patient Calcs'!B192&lt;'User Dashboard'!AJ$15,'User Dashboard'!AN$14,
IF('SIR Model Patient Calcs'!B192&lt;'User Dashboard'!AJ$16,'User Dashboard'!AN$15,
IF('SIR Model Patient Calcs'!B192&lt;'User Dashboard'!AJ$17,'User Dashboard'!AN$16,
'User Dashboard'!AN$17))),
IF('User Dashboard'!Z$12=3,
IF('SIR Model Patient Calcs'!B192&lt;'User Dashboard'!AJ$15,'User Dashboard'!AN$14,
IF('SIR Model Patient Calcs'!B192&lt;'User Dashboard'!AJ$16,'User Dashboard'!AN$15,
'User Dashboard'!AN$16)),
IF('User Dashboard'!Z$12=2,
IF('SIR Model Patient Calcs'!B192&lt;'User Dashboard'!AJ$15,'User Dashboard'!AN$14,
'User Dashboard'!AN$15),
IF('User Dashboard'!Z$12=1,
'User Dashboard'!AN$14)))))</f>
        <v>15.209356603107825</v>
      </c>
      <c r="D192" s="668">
        <f>'User Dashboard'!X$16</f>
        <v>2.2072878851804097E-2</v>
      </c>
      <c r="E192" s="660">
        <f t="shared" si="21"/>
        <v>8.9862781521070372E-8</v>
      </c>
      <c r="F192" s="660">
        <f t="shared" si="28"/>
        <v>8.9862781521070372E-8</v>
      </c>
      <c r="G192" s="670">
        <f>1/'User Dashboard'!X$12</f>
        <v>0.14285714285714285</v>
      </c>
      <c r="H192" s="359">
        <f t="shared" si="22"/>
        <v>448282.01479469211</v>
      </c>
      <c r="I192" s="672">
        <f t="shared" si="25"/>
        <v>61.101328652144673</v>
      </c>
      <c r="J192" s="673">
        <f t="shared" si="23"/>
        <v>3287511.4838766553</v>
      </c>
      <c r="K192" s="359">
        <f t="shared" si="26"/>
        <v>3287572.5852053077</v>
      </c>
      <c r="L192" s="673">
        <f t="shared" si="27"/>
        <v>2.7427445794455707</v>
      </c>
    </row>
    <row r="193" spans="1:12" x14ac:dyDescent="0.35">
      <c r="A193" s="287">
        <f t="shared" si="24"/>
        <v>27</v>
      </c>
      <c r="B193" s="288">
        <v>186</v>
      </c>
      <c r="C193" s="667">
        <f>IF('User Dashboard'!Z$12=5,
IF('SIR Model Patient Calcs'!B193&lt;'User Dashboard'!AJ$15,'User Dashboard'!AN$14,
IF('SIR Model Patient Calcs'!B193&lt;'User Dashboard'!AJ$16,'User Dashboard'!AN$15,
IF('SIR Model Patient Calcs'!B193&lt;'User Dashboard'!AJ$17,'User Dashboard'!AN$16,
IF('SIR Model Patient Calcs'!B193&lt;'User Dashboard'!AJ$18,'User Dashboard'!AN$17,
'User Dashboard'!AN$18)))),
IF('User Dashboard'!Z$12=4,
IF('SIR Model Patient Calcs'!B193&lt;'User Dashboard'!AJ$15,'User Dashboard'!AN$14,
IF('SIR Model Patient Calcs'!B193&lt;'User Dashboard'!AJ$16,'User Dashboard'!AN$15,
IF('SIR Model Patient Calcs'!B193&lt;'User Dashboard'!AJ$17,'User Dashboard'!AN$16,
'User Dashboard'!AN$17))),
IF('User Dashboard'!Z$12=3,
IF('SIR Model Patient Calcs'!B193&lt;'User Dashboard'!AJ$15,'User Dashboard'!AN$14,
IF('SIR Model Patient Calcs'!B193&lt;'User Dashboard'!AJ$16,'User Dashboard'!AN$15,
'User Dashboard'!AN$16)),
IF('User Dashboard'!Z$12=2,
IF('SIR Model Patient Calcs'!B193&lt;'User Dashboard'!AJ$15,'User Dashboard'!AN$14,
'User Dashboard'!AN$15),
IF('User Dashboard'!Z$12=1,
'User Dashboard'!AN$14)))))</f>
        <v>15.209356603107825</v>
      </c>
      <c r="D193" s="668">
        <f>'User Dashboard'!X$16</f>
        <v>2.2072878851804097E-2</v>
      </c>
      <c r="E193" s="660">
        <f t="shared" si="21"/>
        <v>8.9862781521070372E-8</v>
      </c>
      <c r="F193" s="660">
        <f t="shared" si="28"/>
        <v>8.9862781521070372E-8</v>
      </c>
      <c r="G193" s="670">
        <f>1/'User Dashboard'!X$12</f>
        <v>0.14285714285714285</v>
      </c>
      <c r="H193" s="359">
        <f t="shared" si="22"/>
        <v>448279.5533967879</v>
      </c>
      <c r="I193" s="672">
        <f t="shared" si="25"/>
        <v>54.833965320322719</v>
      </c>
      <c r="J193" s="673">
        <f t="shared" si="23"/>
        <v>3287520.2126378915</v>
      </c>
      <c r="K193" s="359">
        <f t="shared" si="26"/>
        <v>3287575.0466032117</v>
      </c>
      <c r="L193" s="673">
        <f t="shared" si="27"/>
        <v>2.461397903971374</v>
      </c>
    </row>
    <row r="194" spans="1:12" x14ac:dyDescent="0.35">
      <c r="A194" s="287">
        <f t="shared" si="24"/>
        <v>27</v>
      </c>
      <c r="B194" s="288">
        <v>187</v>
      </c>
      <c r="C194" s="667">
        <f>IF('User Dashboard'!Z$12=5,
IF('SIR Model Patient Calcs'!B194&lt;'User Dashboard'!AJ$15,'User Dashboard'!AN$14,
IF('SIR Model Patient Calcs'!B194&lt;'User Dashboard'!AJ$16,'User Dashboard'!AN$15,
IF('SIR Model Patient Calcs'!B194&lt;'User Dashboard'!AJ$17,'User Dashboard'!AN$16,
IF('SIR Model Patient Calcs'!B194&lt;'User Dashboard'!AJ$18,'User Dashboard'!AN$17,
'User Dashboard'!AN$18)))),
IF('User Dashboard'!Z$12=4,
IF('SIR Model Patient Calcs'!B194&lt;'User Dashboard'!AJ$15,'User Dashboard'!AN$14,
IF('SIR Model Patient Calcs'!B194&lt;'User Dashboard'!AJ$16,'User Dashboard'!AN$15,
IF('SIR Model Patient Calcs'!B194&lt;'User Dashboard'!AJ$17,'User Dashboard'!AN$16,
'User Dashboard'!AN$17))),
IF('User Dashboard'!Z$12=3,
IF('SIR Model Patient Calcs'!B194&lt;'User Dashboard'!AJ$15,'User Dashboard'!AN$14,
IF('SIR Model Patient Calcs'!B194&lt;'User Dashboard'!AJ$16,'User Dashboard'!AN$15,
'User Dashboard'!AN$16)),
IF('User Dashboard'!Z$12=2,
IF('SIR Model Patient Calcs'!B194&lt;'User Dashboard'!AJ$15,'User Dashboard'!AN$14,
'User Dashboard'!AN$15),
IF('User Dashboard'!Z$12=1,
'User Dashboard'!AN$14)))))</f>
        <v>15.209356603107825</v>
      </c>
      <c r="D194" s="668">
        <f>'User Dashboard'!X$16</f>
        <v>2.2072878851804097E-2</v>
      </c>
      <c r="E194" s="660">
        <f t="shared" si="21"/>
        <v>8.9862781521070372E-8</v>
      </c>
      <c r="F194" s="660">
        <f t="shared" si="28"/>
        <v>8.9862781521070372E-8</v>
      </c>
      <c r="G194" s="670">
        <f>1/'User Dashboard'!X$12</f>
        <v>0.14285714285714285</v>
      </c>
      <c r="H194" s="359">
        <f t="shared" si="22"/>
        <v>448277.3444846542</v>
      </c>
      <c r="I194" s="672">
        <f t="shared" si="25"/>
        <v>49.209453836812919</v>
      </c>
      <c r="J194" s="673">
        <f t="shared" si="23"/>
        <v>3287528.0460615088</v>
      </c>
      <c r="K194" s="359">
        <f t="shared" si="26"/>
        <v>3287577.2555153458</v>
      </c>
      <c r="L194" s="673">
        <f t="shared" si="27"/>
        <v>2.2089121341705322</v>
      </c>
    </row>
    <row r="195" spans="1:12" x14ac:dyDescent="0.35">
      <c r="A195" s="287">
        <f t="shared" si="24"/>
        <v>27</v>
      </c>
      <c r="B195" s="288">
        <v>188</v>
      </c>
      <c r="C195" s="667">
        <f>IF('User Dashboard'!Z$12=5,
IF('SIR Model Patient Calcs'!B195&lt;'User Dashboard'!AJ$15,'User Dashboard'!AN$14,
IF('SIR Model Patient Calcs'!B195&lt;'User Dashboard'!AJ$16,'User Dashboard'!AN$15,
IF('SIR Model Patient Calcs'!B195&lt;'User Dashboard'!AJ$17,'User Dashboard'!AN$16,
IF('SIR Model Patient Calcs'!B195&lt;'User Dashboard'!AJ$18,'User Dashboard'!AN$17,
'User Dashboard'!AN$18)))),
IF('User Dashboard'!Z$12=4,
IF('SIR Model Patient Calcs'!B195&lt;'User Dashboard'!AJ$15,'User Dashboard'!AN$14,
IF('SIR Model Patient Calcs'!B195&lt;'User Dashboard'!AJ$16,'User Dashboard'!AN$15,
IF('SIR Model Patient Calcs'!B195&lt;'User Dashboard'!AJ$17,'User Dashboard'!AN$16,
'User Dashboard'!AN$17))),
IF('User Dashboard'!Z$12=3,
IF('SIR Model Patient Calcs'!B195&lt;'User Dashboard'!AJ$15,'User Dashboard'!AN$14,
IF('SIR Model Patient Calcs'!B195&lt;'User Dashboard'!AJ$16,'User Dashboard'!AN$15,
'User Dashboard'!AN$16)),
IF('User Dashboard'!Z$12=2,
IF('SIR Model Patient Calcs'!B195&lt;'User Dashboard'!AJ$15,'User Dashboard'!AN$14,
'User Dashboard'!AN$15),
IF('User Dashboard'!Z$12=1,
'User Dashboard'!AN$14)))))</f>
        <v>15.209356603107825</v>
      </c>
      <c r="D195" s="668">
        <f>'User Dashboard'!X$16</f>
        <v>2.2072878851804097E-2</v>
      </c>
      <c r="E195" s="660">
        <f t="shared" si="21"/>
        <v>8.9862781521070358E-8</v>
      </c>
      <c r="F195" s="660">
        <f t="shared" si="28"/>
        <v>8.9862781521070372E-8</v>
      </c>
      <c r="G195" s="670">
        <f>1/'User Dashboard'!X$12</f>
        <v>0.14285714285714285</v>
      </c>
      <c r="H195" s="359">
        <f t="shared" si="22"/>
        <v>448275.3621581269</v>
      </c>
      <c r="I195" s="672">
        <f t="shared" si="25"/>
        <v>44.161858387438002</v>
      </c>
      <c r="J195" s="673">
        <f t="shared" si="23"/>
        <v>3287535.0759834857</v>
      </c>
      <c r="K195" s="359">
        <f t="shared" si="26"/>
        <v>3287579.237841873</v>
      </c>
      <c r="L195" s="673">
        <f t="shared" si="27"/>
        <v>1.9823265271261334</v>
      </c>
    </row>
    <row r="196" spans="1:12" x14ac:dyDescent="0.35">
      <c r="A196" s="287">
        <f t="shared" si="24"/>
        <v>27</v>
      </c>
      <c r="B196" s="288">
        <v>189</v>
      </c>
      <c r="C196" s="667">
        <f>IF('User Dashboard'!Z$12=5,
IF('SIR Model Patient Calcs'!B196&lt;'User Dashboard'!AJ$15,'User Dashboard'!AN$14,
IF('SIR Model Patient Calcs'!B196&lt;'User Dashboard'!AJ$16,'User Dashboard'!AN$15,
IF('SIR Model Patient Calcs'!B196&lt;'User Dashboard'!AJ$17,'User Dashboard'!AN$16,
IF('SIR Model Patient Calcs'!B196&lt;'User Dashboard'!AJ$18,'User Dashboard'!AN$17,
'User Dashboard'!AN$18)))),
IF('User Dashboard'!Z$12=4,
IF('SIR Model Patient Calcs'!B196&lt;'User Dashboard'!AJ$15,'User Dashboard'!AN$14,
IF('SIR Model Patient Calcs'!B196&lt;'User Dashboard'!AJ$16,'User Dashboard'!AN$15,
IF('SIR Model Patient Calcs'!B196&lt;'User Dashboard'!AJ$17,'User Dashboard'!AN$16,
'User Dashboard'!AN$17))),
IF('User Dashboard'!Z$12=3,
IF('SIR Model Patient Calcs'!B196&lt;'User Dashboard'!AJ$15,'User Dashboard'!AN$14,
IF('SIR Model Patient Calcs'!B196&lt;'User Dashboard'!AJ$16,'User Dashboard'!AN$15,
'User Dashboard'!AN$16)),
IF('User Dashboard'!Z$12=2,
IF('SIR Model Patient Calcs'!B196&lt;'User Dashboard'!AJ$15,'User Dashboard'!AN$14,
'User Dashboard'!AN$15),
IF('User Dashboard'!Z$12=1,
'User Dashboard'!AN$14)))))</f>
        <v>15.209356603107825</v>
      </c>
      <c r="D196" s="668">
        <f>'User Dashboard'!X$16</f>
        <v>2.2072878851804097E-2</v>
      </c>
      <c r="E196" s="660">
        <f t="shared" si="21"/>
        <v>8.9862781521070372E-8</v>
      </c>
      <c r="F196" s="660">
        <f t="shared" si="28"/>
        <v>8.9862781521070372E-8</v>
      </c>
      <c r="G196" s="670">
        <f>1/'User Dashboard'!X$12</f>
        <v>0.14285714285714285</v>
      </c>
      <c r="H196" s="359">
        <f t="shared" si="22"/>
        <v>448273.58317402069</v>
      </c>
      <c r="I196" s="672">
        <f t="shared" si="25"/>
        <v>39.632005581179818</v>
      </c>
      <c r="J196" s="673">
        <f t="shared" si="23"/>
        <v>3287541.3848203979</v>
      </c>
      <c r="K196" s="359">
        <f t="shared" si="26"/>
        <v>3287581.0168259791</v>
      </c>
      <c r="L196" s="673">
        <f t="shared" si="27"/>
        <v>1.7789841061457992</v>
      </c>
    </row>
    <row r="197" spans="1:12" x14ac:dyDescent="0.35">
      <c r="A197" s="287">
        <f t="shared" si="24"/>
        <v>28</v>
      </c>
      <c r="B197" s="288">
        <v>190</v>
      </c>
      <c r="C197" s="667">
        <f>IF('User Dashboard'!Z$12=5,
IF('SIR Model Patient Calcs'!B197&lt;'User Dashboard'!AJ$15,'User Dashboard'!AN$14,
IF('SIR Model Patient Calcs'!B197&lt;'User Dashboard'!AJ$16,'User Dashboard'!AN$15,
IF('SIR Model Patient Calcs'!B197&lt;'User Dashboard'!AJ$17,'User Dashboard'!AN$16,
IF('SIR Model Patient Calcs'!B197&lt;'User Dashboard'!AJ$18,'User Dashboard'!AN$17,
'User Dashboard'!AN$18)))),
IF('User Dashboard'!Z$12=4,
IF('SIR Model Patient Calcs'!B197&lt;'User Dashboard'!AJ$15,'User Dashboard'!AN$14,
IF('SIR Model Patient Calcs'!B197&lt;'User Dashboard'!AJ$16,'User Dashboard'!AN$15,
IF('SIR Model Patient Calcs'!B197&lt;'User Dashboard'!AJ$17,'User Dashboard'!AN$16,
'User Dashboard'!AN$17))),
IF('User Dashboard'!Z$12=3,
IF('SIR Model Patient Calcs'!B197&lt;'User Dashboard'!AJ$15,'User Dashboard'!AN$14,
IF('SIR Model Patient Calcs'!B197&lt;'User Dashboard'!AJ$16,'User Dashboard'!AN$15,
'User Dashboard'!AN$16)),
IF('User Dashboard'!Z$12=2,
IF('SIR Model Patient Calcs'!B197&lt;'User Dashboard'!AJ$15,'User Dashboard'!AN$14,
'User Dashboard'!AN$15),
IF('User Dashboard'!Z$12=1,
'User Dashboard'!AN$14)))))</f>
        <v>15.209356603107825</v>
      </c>
      <c r="D197" s="668">
        <f>'User Dashboard'!X$16</f>
        <v>2.2072878851804097E-2</v>
      </c>
      <c r="E197" s="660">
        <f t="shared" si="21"/>
        <v>8.9862781521070372E-8</v>
      </c>
      <c r="F197" s="660">
        <f t="shared" si="28"/>
        <v>8.9862781521070372E-8</v>
      </c>
      <c r="G197" s="670">
        <f>1/'User Dashboard'!X$12</f>
        <v>0.14285714285714285</v>
      </c>
      <c r="H197" s="359">
        <f t="shared" si="22"/>
        <v>448271.98667353811</v>
      </c>
      <c r="I197" s="672">
        <f t="shared" si="25"/>
        <v>35.566790980766342</v>
      </c>
      <c r="J197" s="673">
        <f t="shared" si="23"/>
        <v>3287547.0465354808</v>
      </c>
      <c r="K197" s="359">
        <f t="shared" si="26"/>
        <v>3287582.6133264615</v>
      </c>
      <c r="L197" s="673">
        <f t="shared" si="27"/>
        <v>1.5965004824101925</v>
      </c>
    </row>
    <row r="198" spans="1:12" x14ac:dyDescent="0.35">
      <c r="A198" s="287">
        <f t="shared" si="24"/>
        <v>28</v>
      </c>
      <c r="B198" s="288">
        <v>191</v>
      </c>
      <c r="C198" s="667">
        <f>IF('User Dashboard'!Z$12=5,
IF('SIR Model Patient Calcs'!B198&lt;'User Dashboard'!AJ$15,'User Dashboard'!AN$14,
IF('SIR Model Patient Calcs'!B198&lt;'User Dashboard'!AJ$16,'User Dashboard'!AN$15,
IF('SIR Model Patient Calcs'!B198&lt;'User Dashboard'!AJ$17,'User Dashboard'!AN$16,
IF('SIR Model Patient Calcs'!B198&lt;'User Dashboard'!AJ$18,'User Dashboard'!AN$17,
'User Dashboard'!AN$18)))),
IF('User Dashboard'!Z$12=4,
IF('SIR Model Patient Calcs'!B198&lt;'User Dashboard'!AJ$15,'User Dashboard'!AN$14,
IF('SIR Model Patient Calcs'!B198&lt;'User Dashboard'!AJ$16,'User Dashboard'!AN$15,
IF('SIR Model Patient Calcs'!B198&lt;'User Dashboard'!AJ$17,'User Dashboard'!AN$16,
'User Dashboard'!AN$17))),
IF('User Dashboard'!Z$12=3,
IF('SIR Model Patient Calcs'!B198&lt;'User Dashboard'!AJ$15,'User Dashboard'!AN$14,
IF('SIR Model Patient Calcs'!B198&lt;'User Dashboard'!AJ$16,'User Dashboard'!AN$15,
'User Dashboard'!AN$16)),
IF('User Dashboard'!Z$12=2,
IF('SIR Model Patient Calcs'!B198&lt;'User Dashboard'!AJ$15,'User Dashboard'!AN$14,
'User Dashboard'!AN$15),
IF('User Dashboard'!Z$12=1,
'User Dashboard'!AN$14)))))</f>
        <v>15.209356603107825</v>
      </c>
      <c r="D198" s="668">
        <f>'User Dashboard'!X$16</f>
        <v>2.2072878851804097E-2</v>
      </c>
      <c r="E198" s="660">
        <f t="shared" si="21"/>
        <v>8.9862781521070372E-8</v>
      </c>
      <c r="F198" s="660">
        <f t="shared" si="28"/>
        <v>8.9862781521070372E-8</v>
      </c>
      <c r="G198" s="670">
        <f>1/'User Dashboard'!X$12</f>
        <v>0.14285714285714285</v>
      </c>
      <c r="H198" s="359">
        <f t="shared" si="22"/>
        <v>448270.55393764935</v>
      </c>
      <c r="I198" s="672">
        <f t="shared" si="25"/>
        <v>31.918556729387419</v>
      </c>
      <c r="J198" s="673">
        <f t="shared" si="23"/>
        <v>3287552.1275056209</v>
      </c>
      <c r="K198" s="359">
        <f t="shared" si="26"/>
        <v>3287584.0460623503</v>
      </c>
      <c r="L198" s="673">
        <f t="shared" si="27"/>
        <v>1.4327358887530863</v>
      </c>
    </row>
    <row r="199" spans="1:12" x14ac:dyDescent="0.35">
      <c r="A199" s="287">
        <f t="shared" si="24"/>
        <v>28</v>
      </c>
      <c r="B199" s="288">
        <v>192</v>
      </c>
      <c r="C199" s="667">
        <f>IF('User Dashboard'!Z$12=5,
IF('SIR Model Patient Calcs'!B199&lt;'User Dashboard'!AJ$15,'User Dashboard'!AN$14,
IF('SIR Model Patient Calcs'!B199&lt;'User Dashboard'!AJ$16,'User Dashboard'!AN$15,
IF('SIR Model Patient Calcs'!B199&lt;'User Dashboard'!AJ$17,'User Dashboard'!AN$16,
IF('SIR Model Patient Calcs'!B199&lt;'User Dashboard'!AJ$18,'User Dashboard'!AN$17,
'User Dashboard'!AN$18)))),
IF('User Dashboard'!Z$12=4,
IF('SIR Model Patient Calcs'!B199&lt;'User Dashboard'!AJ$15,'User Dashboard'!AN$14,
IF('SIR Model Patient Calcs'!B199&lt;'User Dashboard'!AJ$16,'User Dashboard'!AN$15,
IF('SIR Model Patient Calcs'!B199&lt;'User Dashboard'!AJ$17,'User Dashboard'!AN$16,
'User Dashboard'!AN$17))),
IF('User Dashboard'!Z$12=3,
IF('SIR Model Patient Calcs'!B199&lt;'User Dashboard'!AJ$15,'User Dashboard'!AN$14,
IF('SIR Model Patient Calcs'!B199&lt;'User Dashboard'!AJ$16,'User Dashboard'!AN$15,
'User Dashboard'!AN$16)),
IF('User Dashboard'!Z$12=2,
IF('SIR Model Patient Calcs'!B199&lt;'User Dashboard'!AJ$15,'User Dashboard'!AN$14,
'User Dashboard'!AN$15),
IF('User Dashboard'!Z$12=1,
'User Dashboard'!AN$14)))))</f>
        <v>15.209356603107825</v>
      </c>
      <c r="D199" s="668">
        <f>'User Dashboard'!X$16</f>
        <v>2.2072878851804097E-2</v>
      </c>
      <c r="E199" s="660">
        <f t="shared" ref="E199:E262" si="29">(C199*D199)/SUM(H199:J199)</f>
        <v>8.9862781521070372E-8</v>
      </c>
      <c r="F199" s="660">
        <f t="shared" si="28"/>
        <v>8.9862781521070372E-8</v>
      </c>
      <c r="G199" s="670">
        <f>1/'User Dashboard'!X$12</f>
        <v>0.14285714285714285</v>
      </c>
      <c r="H199" s="359">
        <f t="shared" si="22"/>
        <v>448269.26816757227</v>
      </c>
      <c r="I199" s="672">
        <f t="shared" si="25"/>
        <v>28.644532987984434</v>
      </c>
      <c r="J199" s="673">
        <f t="shared" si="23"/>
        <v>3287556.6872994392</v>
      </c>
      <c r="K199" s="359">
        <f t="shared" si="26"/>
        <v>3287585.3318324271</v>
      </c>
      <c r="L199" s="673">
        <f t="shared" si="27"/>
        <v>1.2857700767926872</v>
      </c>
    </row>
    <row r="200" spans="1:12" x14ac:dyDescent="0.35">
      <c r="A200" s="287">
        <f t="shared" si="24"/>
        <v>28</v>
      </c>
      <c r="B200" s="288">
        <v>193</v>
      </c>
      <c r="C200" s="667">
        <f>IF('User Dashboard'!Z$12=5,
IF('SIR Model Patient Calcs'!B200&lt;'User Dashboard'!AJ$15,'User Dashboard'!AN$14,
IF('SIR Model Patient Calcs'!B200&lt;'User Dashboard'!AJ$16,'User Dashboard'!AN$15,
IF('SIR Model Patient Calcs'!B200&lt;'User Dashboard'!AJ$17,'User Dashboard'!AN$16,
IF('SIR Model Patient Calcs'!B200&lt;'User Dashboard'!AJ$18,'User Dashboard'!AN$17,
'User Dashboard'!AN$18)))),
IF('User Dashboard'!Z$12=4,
IF('SIR Model Patient Calcs'!B200&lt;'User Dashboard'!AJ$15,'User Dashboard'!AN$14,
IF('SIR Model Patient Calcs'!B200&lt;'User Dashboard'!AJ$16,'User Dashboard'!AN$15,
IF('SIR Model Patient Calcs'!B200&lt;'User Dashboard'!AJ$17,'User Dashboard'!AN$16,
'User Dashboard'!AN$17))),
IF('User Dashboard'!Z$12=3,
IF('SIR Model Patient Calcs'!B200&lt;'User Dashboard'!AJ$15,'User Dashboard'!AN$14,
IF('SIR Model Patient Calcs'!B200&lt;'User Dashboard'!AJ$16,'User Dashboard'!AN$15,
'User Dashboard'!AN$16)),
IF('User Dashboard'!Z$12=2,
IF('SIR Model Patient Calcs'!B200&lt;'User Dashboard'!AJ$15,'User Dashboard'!AN$14,
'User Dashboard'!AN$15),
IF('User Dashboard'!Z$12=1,
'User Dashboard'!AN$14)))))</f>
        <v>15.209356603107825</v>
      </c>
      <c r="D200" s="668">
        <f>'User Dashboard'!X$16</f>
        <v>2.2072878851804097E-2</v>
      </c>
      <c r="E200" s="660">
        <f t="shared" si="29"/>
        <v>8.9862781521070372E-8</v>
      </c>
      <c r="F200" s="660">
        <f t="shared" si="28"/>
        <v>8.9862781521070372E-8</v>
      </c>
      <c r="G200" s="670">
        <f>1/'User Dashboard'!X$12</f>
        <v>0.14285714285714285</v>
      </c>
      <c r="H200" s="359">
        <f t="shared" ref="H200:H263" si="30">-MIN(F199*I199,1)*H199+H199</f>
        <v>448268.11428777565</v>
      </c>
      <c r="I200" s="672">
        <f t="shared" si="25"/>
        <v>25.706336643484299</v>
      </c>
      <c r="J200" s="673">
        <f t="shared" ref="J200:J263" si="31">G199*I199+J199</f>
        <v>3287560.7793755801</v>
      </c>
      <c r="K200" s="359">
        <f t="shared" si="26"/>
        <v>3287586.4857122237</v>
      </c>
      <c r="L200" s="673">
        <f t="shared" si="27"/>
        <v>1.1538797966204584</v>
      </c>
    </row>
    <row r="201" spans="1:12" x14ac:dyDescent="0.35">
      <c r="A201" s="287">
        <f t="shared" ref="A201:A264" si="32">IF(AND(IF(L201&lt;1,0,1)*ROUNDUP(B201/7,0)=0,B201&lt;&gt;0),"",IF(L201&lt;1,0,1)*ROUNDUP(B201/7,0))</f>
        <v>28</v>
      </c>
      <c r="B201" s="288">
        <v>194</v>
      </c>
      <c r="C201" s="667">
        <f>IF('User Dashboard'!Z$12=5,
IF('SIR Model Patient Calcs'!B201&lt;'User Dashboard'!AJ$15,'User Dashboard'!AN$14,
IF('SIR Model Patient Calcs'!B201&lt;'User Dashboard'!AJ$16,'User Dashboard'!AN$15,
IF('SIR Model Patient Calcs'!B201&lt;'User Dashboard'!AJ$17,'User Dashboard'!AN$16,
IF('SIR Model Patient Calcs'!B201&lt;'User Dashboard'!AJ$18,'User Dashboard'!AN$17,
'User Dashboard'!AN$18)))),
IF('User Dashboard'!Z$12=4,
IF('SIR Model Patient Calcs'!B201&lt;'User Dashboard'!AJ$15,'User Dashboard'!AN$14,
IF('SIR Model Patient Calcs'!B201&lt;'User Dashboard'!AJ$16,'User Dashboard'!AN$15,
IF('SIR Model Patient Calcs'!B201&lt;'User Dashboard'!AJ$17,'User Dashboard'!AN$16,
'User Dashboard'!AN$17))),
IF('User Dashboard'!Z$12=3,
IF('SIR Model Patient Calcs'!B201&lt;'User Dashboard'!AJ$15,'User Dashboard'!AN$14,
IF('SIR Model Patient Calcs'!B201&lt;'User Dashboard'!AJ$16,'User Dashboard'!AN$15,
'User Dashboard'!AN$16)),
IF('User Dashboard'!Z$12=2,
IF('SIR Model Patient Calcs'!B201&lt;'User Dashboard'!AJ$15,'User Dashboard'!AN$14,
'User Dashboard'!AN$15),
IF('User Dashboard'!Z$12=1,
'User Dashboard'!AN$14)))))</f>
        <v>15.209356603107825</v>
      </c>
      <c r="D201" s="668">
        <f>'User Dashboard'!X$16</f>
        <v>2.2072878851804097E-2</v>
      </c>
      <c r="E201" s="660">
        <f t="shared" si="29"/>
        <v>8.9862781521070372E-8</v>
      </c>
      <c r="F201" s="660">
        <f t="shared" si="28"/>
        <v>8.9862781521070372E-8</v>
      </c>
      <c r="G201" s="670">
        <f>1/'User Dashboard'!X$12</f>
        <v>0.14285714285714285</v>
      </c>
      <c r="H201" s="359">
        <f t="shared" si="30"/>
        <v>448267.07876919489</v>
      </c>
      <c r="I201" s="672">
        <f t="shared" ref="I201:I264" si="33">MIN(F200*I200,1)*H200-G200*I200+I200</f>
        <v>23.069521418030973</v>
      </c>
      <c r="J201" s="673">
        <f t="shared" si="31"/>
        <v>3287564.4517093864</v>
      </c>
      <c r="K201" s="359">
        <f t="shared" ref="K201:K264" si="34">(I201+J201)</f>
        <v>3287587.5212308043</v>
      </c>
      <c r="L201" s="673">
        <f t="shared" ref="L201:L264" si="35">(K201-K200)</f>
        <v>1.0355185805819929</v>
      </c>
    </row>
    <row r="202" spans="1:12" x14ac:dyDescent="0.35">
      <c r="A202" s="287" t="str">
        <f t="shared" si="32"/>
        <v/>
      </c>
      <c r="B202" s="288">
        <v>195</v>
      </c>
      <c r="C202" s="667">
        <f>IF('User Dashboard'!Z$12=5,
IF('SIR Model Patient Calcs'!B202&lt;'User Dashboard'!AJ$15,'User Dashboard'!AN$14,
IF('SIR Model Patient Calcs'!B202&lt;'User Dashboard'!AJ$16,'User Dashboard'!AN$15,
IF('SIR Model Patient Calcs'!B202&lt;'User Dashboard'!AJ$17,'User Dashboard'!AN$16,
IF('SIR Model Patient Calcs'!B202&lt;'User Dashboard'!AJ$18,'User Dashboard'!AN$17,
'User Dashboard'!AN$18)))),
IF('User Dashboard'!Z$12=4,
IF('SIR Model Patient Calcs'!B202&lt;'User Dashboard'!AJ$15,'User Dashboard'!AN$14,
IF('SIR Model Patient Calcs'!B202&lt;'User Dashboard'!AJ$16,'User Dashboard'!AN$15,
IF('SIR Model Patient Calcs'!B202&lt;'User Dashboard'!AJ$17,'User Dashboard'!AN$16,
'User Dashboard'!AN$17))),
IF('User Dashboard'!Z$12=3,
IF('SIR Model Patient Calcs'!B202&lt;'User Dashboard'!AJ$15,'User Dashboard'!AN$14,
IF('SIR Model Patient Calcs'!B202&lt;'User Dashboard'!AJ$16,'User Dashboard'!AN$15,
'User Dashboard'!AN$16)),
IF('User Dashboard'!Z$12=2,
IF('SIR Model Patient Calcs'!B202&lt;'User Dashboard'!AJ$15,'User Dashboard'!AN$14,
'User Dashboard'!AN$15),
IF('User Dashboard'!Z$12=1,
'User Dashboard'!AN$14)))))</f>
        <v>15.209356603107825</v>
      </c>
      <c r="D202" s="668">
        <f>'User Dashboard'!X$16</f>
        <v>2.2072878851804097E-2</v>
      </c>
      <c r="E202" s="660">
        <f t="shared" si="29"/>
        <v>8.9862781521070372E-8</v>
      </c>
      <c r="F202" s="660">
        <f t="shared" si="28"/>
        <v>8.9862781521070372E-8</v>
      </c>
      <c r="G202" s="670">
        <f>1/'User Dashboard'!X$12</f>
        <v>0.14285714285714285</v>
      </c>
      <c r="H202" s="359">
        <f t="shared" si="30"/>
        <v>448266.14947058557</v>
      </c>
      <c r="I202" s="672">
        <f t="shared" si="33"/>
        <v>20.70317411047597</v>
      </c>
      <c r="J202" s="673">
        <f t="shared" si="31"/>
        <v>3287567.7473553033</v>
      </c>
      <c r="K202" s="359">
        <f t="shared" si="34"/>
        <v>3287588.4505294138</v>
      </c>
      <c r="L202" s="673">
        <f t="shared" si="35"/>
        <v>0.92929860949516296</v>
      </c>
    </row>
    <row r="203" spans="1:12" x14ac:dyDescent="0.35">
      <c r="A203" s="287" t="str">
        <f t="shared" si="32"/>
        <v/>
      </c>
      <c r="B203" s="288">
        <v>196</v>
      </c>
      <c r="C203" s="667">
        <f>IF('User Dashboard'!Z$12=5,
IF('SIR Model Patient Calcs'!B203&lt;'User Dashboard'!AJ$15,'User Dashboard'!AN$14,
IF('SIR Model Patient Calcs'!B203&lt;'User Dashboard'!AJ$16,'User Dashboard'!AN$15,
IF('SIR Model Patient Calcs'!B203&lt;'User Dashboard'!AJ$17,'User Dashboard'!AN$16,
IF('SIR Model Patient Calcs'!B203&lt;'User Dashboard'!AJ$18,'User Dashboard'!AN$17,
'User Dashboard'!AN$18)))),
IF('User Dashboard'!Z$12=4,
IF('SIR Model Patient Calcs'!B203&lt;'User Dashboard'!AJ$15,'User Dashboard'!AN$14,
IF('SIR Model Patient Calcs'!B203&lt;'User Dashboard'!AJ$16,'User Dashboard'!AN$15,
IF('SIR Model Patient Calcs'!B203&lt;'User Dashboard'!AJ$17,'User Dashboard'!AN$16,
'User Dashboard'!AN$17))),
IF('User Dashboard'!Z$12=3,
IF('SIR Model Patient Calcs'!B203&lt;'User Dashboard'!AJ$15,'User Dashboard'!AN$14,
IF('SIR Model Patient Calcs'!B203&lt;'User Dashboard'!AJ$16,'User Dashboard'!AN$15,
'User Dashboard'!AN$16)),
IF('User Dashboard'!Z$12=2,
IF('SIR Model Patient Calcs'!B203&lt;'User Dashboard'!AJ$15,'User Dashboard'!AN$14,
'User Dashboard'!AN$15),
IF('User Dashboard'!Z$12=1,
'User Dashboard'!AN$14)))))</f>
        <v>15.209356603107825</v>
      </c>
      <c r="D203" s="668">
        <f>'User Dashboard'!X$16</f>
        <v>2.2072878851804097E-2</v>
      </c>
      <c r="E203" s="660">
        <f t="shared" si="29"/>
        <v>8.9862781521070372E-8</v>
      </c>
      <c r="F203" s="660">
        <f t="shared" si="28"/>
        <v>8.9862781521070372E-8</v>
      </c>
      <c r="G203" s="670">
        <f>1/'User Dashboard'!X$12</f>
        <v>0.14285714285714285</v>
      </c>
      <c r="H203" s="359">
        <f t="shared" si="30"/>
        <v>448265.31549615343</v>
      </c>
      <c r="I203" s="672">
        <f t="shared" si="33"/>
        <v>18.579552241104448</v>
      </c>
      <c r="J203" s="673">
        <f t="shared" si="31"/>
        <v>3287570.7049516048</v>
      </c>
      <c r="K203" s="359">
        <f t="shared" si="34"/>
        <v>3287589.284503846</v>
      </c>
      <c r="L203" s="673">
        <f t="shared" si="35"/>
        <v>0.83397443220019341</v>
      </c>
    </row>
    <row r="204" spans="1:12" x14ac:dyDescent="0.35">
      <c r="A204" s="287" t="str">
        <f t="shared" si="32"/>
        <v/>
      </c>
      <c r="B204" s="288">
        <v>197</v>
      </c>
      <c r="C204" s="667">
        <f>IF('User Dashboard'!Z$12=5,
IF('SIR Model Patient Calcs'!B204&lt;'User Dashboard'!AJ$15,'User Dashboard'!AN$14,
IF('SIR Model Patient Calcs'!B204&lt;'User Dashboard'!AJ$16,'User Dashboard'!AN$15,
IF('SIR Model Patient Calcs'!B204&lt;'User Dashboard'!AJ$17,'User Dashboard'!AN$16,
IF('SIR Model Patient Calcs'!B204&lt;'User Dashboard'!AJ$18,'User Dashboard'!AN$17,
'User Dashboard'!AN$18)))),
IF('User Dashboard'!Z$12=4,
IF('SIR Model Patient Calcs'!B204&lt;'User Dashboard'!AJ$15,'User Dashboard'!AN$14,
IF('SIR Model Patient Calcs'!B204&lt;'User Dashboard'!AJ$16,'User Dashboard'!AN$15,
IF('SIR Model Patient Calcs'!B204&lt;'User Dashboard'!AJ$17,'User Dashboard'!AN$16,
'User Dashboard'!AN$17))),
IF('User Dashboard'!Z$12=3,
IF('SIR Model Patient Calcs'!B204&lt;'User Dashboard'!AJ$15,'User Dashboard'!AN$14,
IF('SIR Model Patient Calcs'!B204&lt;'User Dashboard'!AJ$16,'User Dashboard'!AN$15,
'User Dashboard'!AN$16)),
IF('User Dashboard'!Z$12=2,
IF('SIR Model Patient Calcs'!B204&lt;'User Dashboard'!AJ$15,'User Dashboard'!AN$14,
'User Dashboard'!AN$15),
IF('User Dashboard'!Z$12=1,
'User Dashboard'!AN$14)))))</f>
        <v>15.209356603107825</v>
      </c>
      <c r="D204" s="668">
        <f>'User Dashboard'!X$16</f>
        <v>2.2072878851804097E-2</v>
      </c>
      <c r="E204" s="660">
        <f t="shared" si="29"/>
        <v>8.9862781521070372E-8</v>
      </c>
      <c r="F204" s="660">
        <f t="shared" si="28"/>
        <v>8.9862781521070372E-8</v>
      </c>
      <c r="G204" s="670">
        <f>1/'User Dashboard'!X$12</f>
        <v>0.14285714285714285</v>
      </c>
      <c r="H204" s="359">
        <f t="shared" si="30"/>
        <v>448264.56706779072</v>
      </c>
      <c r="I204" s="672">
        <f t="shared" si="33"/>
        <v>16.673758855068613</v>
      </c>
      <c r="J204" s="673">
        <f t="shared" si="31"/>
        <v>3287573.3591733538</v>
      </c>
      <c r="K204" s="359">
        <f t="shared" si="34"/>
        <v>3287590.0329322089</v>
      </c>
      <c r="L204" s="673">
        <f t="shared" si="35"/>
        <v>0.74842836288735271</v>
      </c>
    </row>
    <row r="205" spans="1:12" x14ac:dyDescent="0.35">
      <c r="A205" s="287" t="str">
        <f t="shared" si="32"/>
        <v/>
      </c>
      <c r="B205" s="288">
        <v>198</v>
      </c>
      <c r="C205" s="667">
        <f>IF('User Dashboard'!Z$12=5,
IF('SIR Model Patient Calcs'!B205&lt;'User Dashboard'!AJ$15,'User Dashboard'!AN$14,
IF('SIR Model Patient Calcs'!B205&lt;'User Dashboard'!AJ$16,'User Dashboard'!AN$15,
IF('SIR Model Patient Calcs'!B205&lt;'User Dashboard'!AJ$17,'User Dashboard'!AN$16,
IF('SIR Model Patient Calcs'!B205&lt;'User Dashboard'!AJ$18,'User Dashboard'!AN$17,
'User Dashboard'!AN$18)))),
IF('User Dashboard'!Z$12=4,
IF('SIR Model Patient Calcs'!B205&lt;'User Dashboard'!AJ$15,'User Dashboard'!AN$14,
IF('SIR Model Patient Calcs'!B205&lt;'User Dashboard'!AJ$16,'User Dashboard'!AN$15,
IF('SIR Model Patient Calcs'!B205&lt;'User Dashboard'!AJ$17,'User Dashboard'!AN$16,
'User Dashboard'!AN$17))),
IF('User Dashboard'!Z$12=3,
IF('SIR Model Patient Calcs'!B205&lt;'User Dashboard'!AJ$15,'User Dashboard'!AN$14,
IF('SIR Model Patient Calcs'!B205&lt;'User Dashboard'!AJ$16,'User Dashboard'!AN$15,
'User Dashboard'!AN$16)),
IF('User Dashboard'!Z$12=2,
IF('SIR Model Patient Calcs'!B205&lt;'User Dashboard'!AJ$15,'User Dashboard'!AN$14,
'User Dashboard'!AN$15),
IF('User Dashboard'!Z$12=1,
'User Dashboard'!AN$14)))))</f>
        <v>15.209356603107825</v>
      </c>
      <c r="D205" s="668">
        <f>'User Dashboard'!X$16</f>
        <v>2.2072878851804097E-2</v>
      </c>
      <c r="E205" s="660">
        <f t="shared" si="29"/>
        <v>8.9862781521070372E-8</v>
      </c>
      <c r="F205" s="660">
        <f t="shared" si="28"/>
        <v>8.9862781521070372E-8</v>
      </c>
      <c r="G205" s="670">
        <f>1/'User Dashboard'!X$12</f>
        <v>0.14285714285714285</v>
      </c>
      <c r="H205" s="359">
        <f t="shared" si="30"/>
        <v>448263.89541042014</v>
      </c>
      <c r="I205" s="672">
        <f t="shared" si="33"/>
        <v>14.963450674912281</v>
      </c>
      <c r="J205" s="673">
        <f t="shared" si="31"/>
        <v>3287575.7411389044</v>
      </c>
      <c r="K205" s="359">
        <f t="shared" si="34"/>
        <v>3287590.7045895793</v>
      </c>
      <c r="L205" s="673">
        <f t="shared" si="35"/>
        <v>0.671657370403409</v>
      </c>
    </row>
    <row r="206" spans="1:12" x14ac:dyDescent="0.35">
      <c r="A206" s="287" t="str">
        <f t="shared" si="32"/>
        <v/>
      </c>
      <c r="B206" s="288">
        <v>199</v>
      </c>
      <c r="C206" s="667">
        <f>IF('User Dashboard'!Z$12=5,
IF('SIR Model Patient Calcs'!B206&lt;'User Dashboard'!AJ$15,'User Dashboard'!AN$14,
IF('SIR Model Patient Calcs'!B206&lt;'User Dashboard'!AJ$16,'User Dashboard'!AN$15,
IF('SIR Model Patient Calcs'!B206&lt;'User Dashboard'!AJ$17,'User Dashboard'!AN$16,
IF('SIR Model Patient Calcs'!B206&lt;'User Dashboard'!AJ$18,'User Dashboard'!AN$17,
'User Dashboard'!AN$18)))),
IF('User Dashboard'!Z$12=4,
IF('SIR Model Patient Calcs'!B206&lt;'User Dashboard'!AJ$15,'User Dashboard'!AN$14,
IF('SIR Model Patient Calcs'!B206&lt;'User Dashboard'!AJ$16,'User Dashboard'!AN$15,
IF('SIR Model Patient Calcs'!B206&lt;'User Dashboard'!AJ$17,'User Dashboard'!AN$16,
'User Dashboard'!AN$17))),
IF('User Dashboard'!Z$12=3,
IF('SIR Model Patient Calcs'!B206&lt;'User Dashboard'!AJ$15,'User Dashboard'!AN$14,
IF('SIR Model Patient Calcs'!B206&lt;'User Dashboard'!AJ$16,'User Dashboard'!AN$15,
'User Dashboard'!AN$16)),
IF('User Dashboard'!Z$12=2,
IF('SIR Model Patient Calcs'!B206&lt;'User Dashboard'!AJ$15,'User Dashboard'!AN$14,
'User Dashboard'!AN$15),
IF('User Dashboard'!Z$12=1,
'User Dashboard'!AN$14)))))</f>
        <v>15.209356603107825</v>
      </c>
      <c r="D206" s="668">
        <f>'User Dashboard'!X$16</f>
        <v>2.2072878851804097E-2</v>
      </c>
      <c r="E206" s="660">
        <f t="shared" si="29"/>
        <v>8.9862781521070372E-8</v>
      </c>
      <c r="F206" s="660">
        <f t="shared" si="28"/>
        <v>8.9862781521070372E-8</v>
      </c>
      <c r="G206" s="670">
        <f>1/'User Dashboard'!X$12</f>
        <v>0.14285714285714285</v>
      </c>
      <c r="H206" s="359">
        <f t="shared" si="30"/>
        <v>448263.29264910141</v>
      </c>
      <c r="I206" s="672">
        <f t="shared" si="33"/>
        <v>13.428576182963097</v>
      </c>
      <c r="J206" s="673">
        <f t="shared" si="31"/>
        <v>3287577.8787747151</v>
      </c>
      <c r="K206" s="359">
        <f t="shared" si="34"/>
        <v>3287591.3073508982</v>
      </c>
      <c r="L206" s="673">
        <f t="shared" si="35"/>
        <v>0.60276131890714169</v>
      </c>
    </row>
    <row r="207" spans="1:12" x14ac:dyDescent="0.35">
      <c r="A207" s="287" t="str">
        <f t="shared" si="32"/>
        <v/>
      </c>
      <c r="B207" s="288">
        <v>200</v>
      </c>
      <c r="C207" s="667">
        <f>IF('User Dashboard'!Z$12=5,
IF('SIR Model Patient Calcs'!B207&lt;'User Dashboard'!AJ$15,'User Dashboard'!AN$14,
IF('SIR Model Patient Calcs'!B207&lt;'User Dashboard'!AJ$16,'User Dashboard'!AN$15,
IF('SIR Model Patient Calcs'!B207&lt;'User Dashboard'!AJ$17,'User Dashboard'!AN$16,
IF('SIR Model Patient Calcs'!B207&lt;'User Dashboard'!AJ$18,'User Dashboard'!AN$17,
'User Dashboard'!AN$18)))),
IF('User Dashboard'!Z$12=4,
IF('SIR Model Patient Calcs'!B207&lt;'User Dashboard'!AJ$15,'User Dashboard'!AN$14,
IF('SIR Model Patient Calcs'!B207&lt;'User Dashboard'!AJ$16,'User Dashboard'!AN$15,
IF('SIR Model Patient Calcs'!B207&lt;'User Dashboard'!AJ$17,'User Dashboard'!AN$16,
'User Dashboard'!AN$17))),
IF('User Dashboard'!Z$12=3,
IF('SIR Model Patient Calcs'!B207&lt;'User Dashboard'!AJ$15,'User Dashboard'!AN$14,
IF('SIR Model Patient Calcs'!B207&lt;'User Dashboard'!AJ$16,'User Dashboard'!AN$15,
'User Dashboard'!AN$16)),
IF('User Dashboard'!Z$12=2,
IF('SIR Model Patient Calcs'!B207&lt;'User Dashboard'!AJ$15,'User Dashboard'!AN$14,
'User Dashboard'!AN$15),
IF('User Dashboard'!Z$12=1,
'User Dashboard'!AN$14)))))</f>
        <v>15.209356603107825</v>
      </c>
      <c r="D207" s="668">
        <f>'User Dashboard'!X$16</f>
        <v>2.2072878851804097E-2</v>
      </c>
      <c r="E207" s="660">
        <f t="shared" si="29"/>
        <v>8.9862781521070372E-8</v>
      </c>
      <c r="F207" s="660">
        <f t="shared" si="28"/>
        <v>8.9862781521070372E-8</v>
      </c>
      <c r="G207" s="670">
        <f>1/'User Dashboard'!X$12</f>
        <v>0.14285714285714285</v>
      </c>
      <c r="H207" s="359">
        <f t="shared" si="30"/>
        <v>448262.75171669346</v>
      </c>
      <c r="I207" s="672">
        <f t="shared" si="33"/>
        <v>12.051140564790908</v>
      </c>
      <c r="J207" s="673">
        <f t="shared" si="31"/>
        <v>3287579.7971427413</v>
      </c>
      <c r="K207" s="359">
        <f t="shared" si="34"/>
        <v>3287591.8482833062</v>
      </c>
      <c r="L207" s="673">
        <f t="shared" si="35"/>
        <v>0.5409324080683291</v>
      </c>
    </row>
    <row r="208" spans="1:12" x14ac:dyDescent="0.35">
      <c r="A208" s="287" t="str">
        <f t="shared" si="32"/>
        <v/>
      </c>
      <c r="B208" s="288">
        <v>201</v>
      </c>
      <c r="C208" s="667">
        <f>IF('User Dashboard'!Z$12=5,
IF('SIR Model Patient Calcs'!B208&lt;'User Dashboard'!AJ$15,'User Dashboard'!AN$14,
IF('SIR Model Patient Calcs'!B208&lt;'User Dashboard'!AJ$16,'User Dashboard'!AN$15,
IF('SIR Model Patient Calcs'!B208&lt;'User Dashboard'!AJ$17,'User Dashboard'!AN$16,
IF('SIR Model Patient Calcs'!B208&lt;'User Dashboard'!AJ$18,'User Dashboard'!AN$17,
'User Dashboard'!AN$18)))),
IF('User Dashboard'!Z$12=4,
IF('SIR Model Patient Calcs'!B208&lt;'User Dashboard'!AJ$15,'User Dashboard'!AN$14,
IF('SIR Model Patient Calcs'!B208&lt;'User Dashboard'!AJ$16,'User Dashboard'!AN$15,
IF('SIR Model Patient Calcs'!B208&lt;'User Dashboard'!AJ$17,'User Dashboard'!AN$16,
'User Dashboard'!AN$17))),
IF('User Dashboard'!Z$12=3,
IF('SIR Model Patient Calcs'!B208&lt;'User Dashboard'!AJ$15,'User Dashboard'!AN$14,
IF('SIR Model Patient Calcs'!B208&lt;'User Dashboard'!AJ$16,'User Dashboard'!AN$15,
'User Dashboard'!AN$16)),
IF('User Dashboard'!Z$12=2,
IF('SIR Model Patient Calcs'!B208&lt;'User Dashboard'!AJ$15,'User Dashboard'!AN$14,
'User Dashboard'!AN$15),
IF('User Dashboard'!Z$12=1,
'User Dashboard'!AN$14)))))</f>
        <v>15.209356603107825</v>
      </c>
      <c r="D208" s="668">
        <f>'User Dashboard'!X$16</f>
        <v>2.2072878851804097E-2</v>
      </c>
      <c r="E208" s="660">
        <f t="shared" si="29"/>
        <v>8.9862781521070372E-8</v>
      </c>
      <c r="F208" s="660">
        <f t="shared" ref="F208:F271" si="36">AVERAGE(E199:E208)</f>
        <v>8.9862781521070372E-8</v>
      </c>
      <c r="G208" s="670">
        <f>1/'User Dashboard'!X$12</f>
        <v>0.14285714285714285</v>
      </c>
      <c r="H208" s="359">
        <f t="shared" si="30"/>
        <v>448262.26627098955</v>
      </c>
      <c r="I208" s="672">
        <f t="shared" si="33"/>
        <v>10.814994759467741</v>
      </c>
      <c r="J208" s="673">
        <f t="shared" si="31"/>
        <v>3287581.5187342507</v>
      </c>
      <c r="K208" s="359">
        <f t="shared" si="34"/>
        <v>3287592.3337290101</v>
      </c>
      <c r="L208" s="673">
        <f t="shared" si="35"/>
        <v>0.48544570384547114</v>
      </c>
    </row>
    <row r="209" spans="1:12" x14ac:dyDescent="0.35">
      <c r="A209" s="287" t="str">
        <f t="shared" si="32"/>
        <v/>
      </c>
      <c r="B209" s="288">
        <v>202</v>
      </c>
      <c r="C209" s="667">
        <f>IF('User Dashboard'!Z$12=5,
IF('SIR Model Patient Calcs'!B209&lt;'User Dashboard'!AJ$15,'User Dashboard'!AN$14,
IF('SIR Model Patient Calcs'!B209&lt;'User Dashboard'!AJ$16,'User Dashboard'!AN$15,
IF('SIR Model Patient Calcs'!B209&lt;'User Dashboard'!AJ$17,'User Dashboard'!AN$16,
IF('SIR Model Patient Calcs'!B209&lt;'User Dashboard'!AJ$18,'User Dashboard'!AN$17,
'User Dashboard'!AN$18)))),
IF('User Dashboard'!Z$12=4,
IF('SIR Model Patient Calcs'!B209&lt;'User Dashboard'!AJ$15,'User Dashboard'!AN$14,
IF('SIR Model Patient Calcs'!B209&lt;'User Dashboard'!AJ$16,'User Dashboard'!AN$15,
IF('SIR Model Patient Calcs'!B209&lt;'User Dashboard'!AJ$17,'User Dashboard'!AN$16,
'User Dashboard'!AN$17))),
IF('User Dashboard'!Z$12=3,
IF('SIR Model Patient Calcs'!B209&lt;'User Dashboard'!AJ$15,'User Dashboard'!AN$14,
IF('SIR Model Patient Calcs'!B209&lt;'User Dashboard'!AJ$16,'User Dashboard'!AN$15,
'User Dashboard'!AN$16)),
IF('User Dashboard'!Z$12=2,
IF('SIR Model Patient Calcs'!B209&lt;'User Dashboard'!AJ$15,'User Dashboard'!AN$14,
'User Dashboard'!AN$15),
IF('User Dashboard'!Z$12=1,
'User Dashboard'!AN$14)))))</f>
        <v>15.209356603107825</v>
      </c>
      <c r="D209" s="668">
        <f>'User Dashboard'!X$16</f>
        <v>2.2072878851804097E-2</v>
      </c>
      <c r="E209" s="660">
        <f t="shared" si="29"/>
        <v>8.9862781521070372E-8</v>
      </c>
      <c r="F209" s="660">
        <f t="shared" si="36"/>
        <v>8.9862781521070372E-8</v>
      </c>
      <c r="G209" s="670">
        <f>1/'User Dashboard'!X$12</f>
        <v>0.14285714285714285</v>
      </c>
      <c r="H209" s="359">
        <f t="shared" si="30"/>
        <v>448261.83062035299</v>
      </c>
      <c r="I209" s="672">
        <f t="shared" si="33"/>
        <v>9.7056461446860016</v>
      </c>
      <c r="J209" s="673">
        <f t="shared" si="31"/>
        <v>3287583.0637335018</v>
      </c>
      <c r="K209" s="359">
        <f t="shared" si="34"/>
        <v>3287592.7693796465</v>
      </c>
      <c r="L209" s="673">
        <f t="shared" si="35"/>
        <v>0.43565063644200563</v>
      </c>
    </row>
    <row r="210" spans="1:12" x14ac:dyDescent="0.35">
      <c r="A210" s="287" t="str">
        <f t="shared" si="32"/>
        <v/>
      </c>
      <c r="B210" s="288">
        <v>203</v>
      </c>
      <c r="C210" s="667">
        <f>IF('User Dashboard'!Z$12=5,
IF('SIR Model Patient Calcs'!B210&lt;'User Dashboard'!AJ$15,'User Dashboard'!AN$14,
IF('SIR Model Patient Calcs'!B210&lt;'User Dashboard'!AJ$16,'User Dashboard'!AN$15,
IF('SIR Model Patient Calcs'!B210&lt;'User Dashboard'!AJ$17,'User Dashboard'!AN$16,
IF('SIR Model Patient Calcs'!B210&lt;'User Dashboard'!AJ$18,'User Dashboard'!AN$17,
'User Dashboard'!AN$18)))),
IF('User Dashboard'!Z$12=4,
IF('SIR Model Patient Calcs'!B210&lt;'User Dashboard'!AJ$15,'User Dashboard'!AN$14,
IF('SIR Model Patient Calcs'!B210&lt;'User Dashboard'!AJ$16,'User Dashboard'!AN$15,
IF('SIR Model Patient Calcs'!B210&lt;'User Dashboard'!AJ$17,'User Dashboard'!AN$16,
'User Dashboard'!AN$17))),
IF('User Dashboard'!Z$12=3,
IF('SIR Model Patient Calcs'!B210&lt;'User Dashboard'!AJ$15,'User Dashboard'!AN$14,
IF('SIR Model Patient Calcs'!B210&lt;'User Dashboard'!AJ$16,'User Dashboard'!AN$15,
'User Dashboard'!AN$16)),
IF('User Dashboard'!Z$12=2,
IF('SIR Model Patient Calcs'!B210&lt;'User Dashboard'!AJ$15,'User Dashboard'!AN$14,
'User Dashboard'!AN$15),
IF('User Dashboard'!Z$12=1,
'User Dashboard'!AN$14)))))</f>
        <v>15.209356603107825</v>
      </c>
      <c r="D210" s="668">
        <f>'User Dashboard'!X$16</f>
        <v>2.2072878851804097E-2</v>
      </c>
      <c r="E210" s="660">
        <f t="shared" si="29"/>
        <v>8.9862781521070372E-8</v>
      </c>
      <c r="F210" s="660">
        <f t="shared" si="36"/>
        <v>8.9862781521070372E-8</v>
      </c>
      <c r="G210" s="670">
        <f>1/'User Dashboard'!X$12</f>
        <v>0.14285714285714285</v>
      </c>
      <c r="H210" s="359">
        <f t="shared" si="30"/>
        <v>448261.43965698167</v>
      </c>
      <c r="I210" s="672">
        <f t="shared" si="33"/>
        <v>8.7100886381921452</v>
      </c>
      <c r="J210" s="673">
        <f t="shared" si="31"/>
        <v>3287584.4502543798</v>
      </c>
      <c r="K210" s="359">
        <f t="shared" si="34"/>
        <v>3287593.1603430179</v>
      </c>
      <c r="L210" s="673">
        <f t="shared" si="35"/>
        <v>0.39096337137743831</v>
      </c>
    </row>
    <row r="211" spans="1:12" x14ac:dyDescent="0.35">
      <c r="A211" s="287" t="str">
        <f t="shared" si="32"/>
        <v/>
      </c>
      <c r="B211" s="288">
        <v>204</v>
      </c>
      <c r="C211" s="667">
        <f>IF('User Dashboard'!Z$12=5,
IF('SIR Model Patient Calcs'!B211&lt;'User Dashboard'!AJ$15,'User Dashboard'!AN$14,
IF('SIR Model Patient Calcs'!B211&lt;'User Dashboard'!AJ$16,'User Dashboard'!AN$15,
IF('SIR Model Patient Calcs'!B211&lt;'User Dashboard'!AJ$17,'User Dashboard'!AN$16,
IF('SIR Model Patient Calcs'!B211&lt;'User Dashboard'!AJ$18,'User Dashboard'!AN$17,
'User Dashboard'!AN$18)))),
IF('User Dashboard'!Z$12=4,
IF('SIR Model Patient Calcs'!B211&lt;'User Dashboard'!AJ$15,'User Dashboard'!AN$14,
IF('SIR Model Patient Calcs'!B211&lt;'User Dashboard'!AJ$16,'User Dashboard'!AN$15,
IF('SIR Model Patient Calcs'!B211&lt;'User Dashboard'!AJ$17,'User Dashboard'!AN$16,
'User Dashboard'!AN$17))),
IF('User Dashboard'!Z$12=3,
IF('SIR Model Patient Calcs'!B211&lt;'User Dashboard'!AJ$15,'User Dashboard'!AN$14,
IF('SIR Model Patient Calcs'!B211&lt;'User Dashboard'!AJ$16,'User Dashboard'!AN$15,
'User Dashboard'!AN$16)),
IF('User Dashboard'!Z$12=2,
IF('SIR Model Patient Calcs'!B211&lt;'User Dashboard'!AJ$15,'User Dashboard'!AN$14,
'User Dashboard'!AN$15),
IF('User Dashboard'!Z$12=1,
'User Dashboard'!AN$14)))))</f>
        <v>15.209356603107825</v>
      </c>
      <c r="D211" s="668">
        <f>'User Dashboard'!X$16</f>
        <v>2.2072878851804097E-2</v>
      </c>
      <c r="E211" s="660">
        <f t="shared" si="29"/>
        <v>8.9862781521070372E-8</v>
      </c>
      <c r="F211" s="660">
        <f t="shared" si="36"/>
        <v>8.9862781521070372E-8</v>
      </c>
      <c r="G211" s="670">
        <f>1/'User Dashboard'!X$12</f>
        <v>0.14285714285714285</v>
      </c>
      <c r="H211" s="359">
        <f t="shared" si="30"/>
        <v>448261.08879701857</v>
      </c>
      <c r="I211" s="672">
        <f t="shared" si="33"/>
        <v>7.8166502244322054</v>
      </c>
      <c r="J211" s="673">
        <f t="shared" si="31"/>
        <v>3287585.6945527568</v>
      </c>
      <c r="K211" s="359">
        <f t="shared" si="34"/>
        <v>3287593.5112029812</v>
      </c>
      <c r="L211" s="673">
        <f t="shared" si="35"/>
        <v>0.35085996333509684</v>
      </c>
    </row>
    <row r="212" spans="1:12" x14ac:dyDescent="0.35">
      <c r="A212" s="287" t="str">
        <f t="shared" si="32"/>
        <v/>
      </c>
      <c r="B212" s="288">
        <v>205</v>
      </c>
      <c r="C212" s="667">
        <f>IF('User Dashboard'!Z$12=5,
IF('SIR Model Patient Calcs'!B212&lt;'User Dashboard'!AJ$15,'User Dashboard'!AN$14,
IF('SIR Model Patient Calcs'!B212&lt;'User Dashboard'!AJ$16,'User Dashboard'!AN$15,
IF('SIR Model Patient Calcs'!B212&lt;'User Dashboard'!AJ$17,'User Dashboard'!AN$16,
IF('SIR Model Patient Calcs'!B212&lt;'User Dashboard'!AJ$18,'User Dashboard'!AN$17,
'User Dashboard'!AN$18)))),
IF('User Dashboard'!Z$12=4,
IF('SIR Model Patient Calcs'!B212&lt;'User Dashboard'!AJ$15,'User Dashboard'!AN$14,
IF('SIR Model Patient Calcs'!B212&lt;'User Dashboard'!AJ$16,'User Dashboard'!AN$15,
IF('SIR Model Patient Calcs'!B212&lt;'User Dashboard'!AJ$17,'User Dashboard'!AN$16,
'User Dashboard'!AN$17))),
IF('User Dashboard'!Z$12=3,
IF('SIR Model Patient Calcs'!B212&lt;'User Dashboard'!AJ$15,'User Dashboard'!AN$14,
IF('SIR Model Patient Calcs'!B212&lt;'User Dashboard'!AJ$16,'User Dashboard'!AN$15,
'User Dashboard'!AN$16)),
IF('User Dashboard'!Z$12=2,
IF('SIR Model Patient Calcs'!B212&lt;'User Dashboard'!AJ$15,'User Dashboard'!AN$14,
'User Dashboard'!AN$15),
IF('User Dashboard'!Z$12=1,
'User Dashboard'!AN$14)))))</f>
        <v>15.209356603107825</v>
      </c>
      <c r="D212" s="668">
        <f>'User Dashboard'!X$16</f>
        <v>2.2072878851804097E-2</v>
      </c>
      <c r="E212" s="660">
        <f t="shared" si="29"/>
        <v>8.9862781521070358E-8</v>
      </c>
      <c r="F212" s="660">
        <f t="shared" si="36"/>
        <v>8.9862781521070372E-8</v>
      </c>
      <c r="G212" s="670">
        <f>1/'User Dashboard'!X$12</f>
        <v>0.14285714285714285</v>
      </c>
      <c r="H212" s="359">
        <f t="shared" si="30"/>
        <v>448260.77392680576</v>
      </c>
      <c r="I212" s="672">
        <f t="shared" si="33"/>
        <v>7.0148561194400454</v>
      </c>
      <c r="J212" s="673">
        <f t="shared" si="31"/>
        <v>3287586.8112170747</v>
      </c>
      <c r="K212" s="359">
        <f t="shared" si="34"/>
        <v>3287593.8260731944</v>
      </c>
      <c r="L212" s="673">
        <f t="shared" si="35"/>
        <v>0.31487021315842867</v>
      </c>
    </row>
    <row r="213" spans="1:12" x14ac:dyDescent="0.35">
      <c r="A213" s="287" t="str">
        <f t="shared" si="32"/>
        <v/>
      </c>
      <c r="B213" s="288">
        <v>206</v>
      </c>
      <c r="C213" s="667">
        <f>IF('User Dashboard'!Z$12=5,
IF('SIR Model Patient Calcs'!B213&lt;'User Dashboard'!AJ$15,'User Dashboard'!AN$14,
IF('SIR Model Patient Calcs'!B213&lt;'User Dashboard'!AJ$16,'User Dashboard'!AN$15,
IF('SIR Model Patient Calcs'!B213&lt;'User Dashboard'!AJ$17,'User Dashboard'!AN$16,
IF('SIR Model Patient Calcs'!B213&lt;'User Dashboard'!AJ$18,'User Dashboard'!AN$17,
'User Dashboard'!AN$18)))),
IF('User Dashboard'!Z$12=4,
IF('SIR Model Patient Calcs'!B213&lt;'User Dashboard'!AJ$15,'User Dashboard'!AN$14,
IF('SIR Model Patient Calcs'!B213&lt;'User Dashboard'!AJ$16,'User Dashboard'!AN$15,
IF('SIR Model Patient Calcs'!B213&lt;'User Dashboard'!AJ$17,'User Dashboard'!AN$16,
'User Dashboard'!AN$17))),
IF('User Dashboard'!Z$12=3,
IF('SIR Model Patient Calcs'!B213&lt;'User Dashboard'!AJ$15,'User Dashboard'!AN$14,
IF('SIR Model Patient Calcs'!B213&lt;'User Dashboard'!AJ$16,'User Dashboard'!AN$15,
'User Dashboard'!AN$16)),
IF('User Dashboard'!Z$12=2,
IF('SIR Model Patient Calcs'!B213&lt;'User Dashboard'!AJ$15,'User Dashboard'!AN$14,
'User Dashboard'!AN$15),
IF('User Dashboard'!Z$12=1,
'User Dashboard'!AN$14)))))</f>
        <v>15.209356603107825</v>
      </c>
      <c r="D213" s="668">
        <f>'User Dashboard'!X$16</f>
        <v>2.2072878851804097E-2</v>
      </c>
      <c r="E213" s="660">
        <f t="shared" si="29"/>
        <v>8.9862781521070358E-8</v>
      </c>
      <c r="F213" s="660">
        <f t="shared" si="36"/>
        <v>8.9862781521070372E-8</v>
      </c>
      <c r="G213" s="670">
        <f>1/'User Dashboard'!X$12</f>
        <v>0.14285714285714285</v>
      </c>
      <c r="H213" s="359">
        <f t="shared" si="30"/>
        <v>448260.49135465221</v>
      </c>
      <c r="I213" s="672">
        <f t="shared" si="33"/>
        <v>6.2953059702147671</v>
      </c>
      <c r="J213" s="673">
        <f t="shared" si="31"/>
        <v>3287587.8133393778</v>
      </c>
      <c r="K213" s="359">
        <f t="shared" si="34"/>
        <v>3287594.1086453479</v>
      </c>
      <c r="L213" s="673">
        <f t="shared" si="35"/>
        <v>0.28257215349003673</v>
      </c>
    </row>
    <row r="214" spans="1:12" x14ac:dyDescent="0.35">
      <c r="A214" s="287" t="str">
        <f t="shared" si="32"/>
        <v/>
      </c>
      <c r="B214" s="288">
        <v>207</v>
      </c>
      <c r="C214" s="667">
        <f>IF('User Dashboard'!Z$12=5,
IF('SIR Model Patient Calcs'!B214&lt;'User Dashboard'!AJ$15,'User Dashboard'!AN$14,
IF('SIR Model Patient Calcs'!B214&lt;'User Dashboard'!AJ$16,'User Dashboard'!AN$15,
IF('SIR Model Patient Calcs'!B214&lt;'User Dashboard'!AJ$17,'User Dashboard'!AN$16,
IF('SIR Model Patient Calcs'!B214&lt;'User Dashboard'!AJ$18,'User Dashboard'!AN$17,
'User Dashboard'!AN$18)))),
IF('User Dashboard'!Z$12=4,
IF('SIR Model Patient Calcs'!B214&lt;'User Dashboard'!AJ$15,'User Dashboard'!AN$14,
IF('SIR Model Patient Calcs'!B214&lt;'User Dashboard'!AJ$16,'User Dashboard'!AN$15,
IF('SIR Model Patient Calcs'!B214&lt;'User Dashboard'!AJ$17,'User Dashboard'!AN$16,
'User Dashboard'!AN$17))),
IF('User Dashboard'!Z$12=3,
IF('SIR Model Patient Calcs'!B214&lt;'User Dashboard'!AJ$15,'User Dashboard'!AN$14,
IF('SIR Model Patient Calcs'!B214&lt;'User Dashboard'!AJ$16,'User Dashboard'!AN$15,
'User Dashboard'!AN$16)),
IF('User Dashboard'!Z$12=2,
IF('SIR Model Patient Calcs'!B214&lt;'User Dashboard'!AJ$15,'User Dashboard'!AN$14,
'User Dashboard'!AN$15),
IF('User Dashboard'!Z$12=1,
'User Dashboard'!AN$14)))))</f>
        <v>15.209356603107825</v>
      </c>
      <c r="D214" s="668">
        <f>'User Dashboard'!X$16</f>
        <v>2.2072878851804097E-2</v>
      </c>
      <c r="E214" s="660">
        <f t="shared" si="29"/>
        <v>8.9862781521070358E-8</v>
      </c>
      <c r="F214" s="660">
        <f t="shared" si="36"/>
        <v>8.9862781521070372E-8</v>
      </c>
      <c r="G214" s="670">
        <f>1/'User Dashboard'!X$12</f>
        <v>0.14285714285714285</v>
      </c>
      <c r="H214" s="359">
        <f t="shared" si="30"/>
        <v>448260.23776754882</v>
      </c>
      <c r="I214" s="672">
        <f t="shared" si="33"/>
        <v>5.6495636492720802</v>
      </c>
      <c r="J214" s="673">
        <f t="shared" si="31"/>
        <v>3287588.7126688021</v>
      </c>
      <c r="K214" s="359">
        <f t="shared" si="34"/>
        <v>3287594.3622324513</v>
      </c>
      <c r="L214" s="673">
        <f t="shared" si="35"/>
        <v>0.25358710344880819</v>
      </c>
    </row>
    <row r="215" spans="1:12" x14ac:dyDescent="0.35">
      <c r="A215" s="287" t="str">
        <f t="shared" si="32"/>
        <v/>
      </c>
      <c r="B215" s="288">
        <v>208</v>
      </c>
      <c r="C215" s="667">
        <f>IF('User Dashboard'!Z$12=5,
IF('SIR Model Patient Calcs'!B215&lt;'User Dashboard'!AJ$15,'User Dashboard'!AN$14,
IF('SIR Model Patient Calcs'!B215&lt;'User Dashboard'!AJ$16,'User Dashboard'!AN$15,
IF('SIR Model Patient Calcs'!B215&lt;'User Dashboard'!AJ$17,'User Dashboard'!AN$16,
IF('SIR Model Patient Calcs'!B215&lt;'User Dashboard'!AJ$18,'User Dashboard'!AN$17,
'User Dashboard'!AN$18)))),
IF('User Dashboard'!Z$12=4,
IF('SIR Model Patient Calcs'!B215&lt;'User Dashboard'!AJ$15,'User Dashboard'!AN$14,
IF('SIR Model Patient Calcs'!B215&lt;'User Dashboard'!AJ$16,'User Dashboard'!AN$15,
IF('SIR Model Patient Calcs'!B215&lt;'User Dashboard'!AJ$17,'User Dashboard'!AN$16,
'User Dashboard'!AN$17))),
IF('User Dashboard'!Z$12=3,
IF('SIR Model Patient Calcs'!B215&lt;'User Dashboard'!AJ$15,'User Dashboard'!AN$14,
IF('SIR Model Patient Calcs'!B215&lt;'User Dashboard'!AJ$16,'User Dashboard'!AN$15,
'User Dashboard'!AN$16)),
IF('User Dashboard'!Z$12=2,
IF('SIR Model Patient Calcs'!B215&lt;'User Dashboard'!AJ$15,'User Dashboard'!AN$14,
'User Dashboard'!AN$15),
IF('User Dashboard'!Z$12=1,
'User Dashboard'!AN$14)))))</f>
        <v>15.209356603107825</v>
      </c>
      <c r="D215" s="668">
        <f>'User Dashboard'!X$16</f>
        <v>2.2072878851804097E-2</v>
      </c>
      <c r="E215" s="660">
        <f t="shared" si="29"/>
        <v>8.9862781521070358E-8</v>
      </c>
      <c r="F215" s="660">
        <f t="shared" si="36"/>
        <v>8.9862781521070372E-8</v>
      </c>
      <c r="G215" s="670">
        <f>1/'User Dashboard'!X$12</f>
        <v>0.14285714285714285</v>
      </c>
      <c r="H215" s="359">
        <f t="shared" si="30"/>
        <v>448260.01019232412</v>
      </c>
      <c r="I215" s="672">
        <f t="shared" si="33"/>
        <v>5.0700583526386058</v>
      </c>
      <c r="J215" s="673">
        <f t="shared" si="31"/>
        <v>3287589.5197493234</v>
      </c>
      <c r="K215" s="359">
        <f t="shared" si="34"/>
        <v>3287594.5898076762</v>
      </c>
      <c r="L215" s="673">
        <f t="shared" si="35"/>
        <v>0.22757522482424974</v>
      </c>
    </row>
    <row r="216" spans="1:12" x14ac:dyDescent="0.35">
      <c r="A216" s="287" t="str">
        <f t="shared" si="32"/>
        <v/>
      </c>
      <c r="B216" s="288">
        <v>209</v>
      </c>
      <c r="C216" s="667">
        <f>IF('User Dashboard'!Z$12=5,
IF('SIR Model Patient Calcs'!B216&lt;'User Dashboard'!AJ$15,'User Dashboard'!AN$14,
IF('SIR Model Patient Calcs'!B216&lt;'User Dashboard'!AJ$16,'User Dashboard'!AN$15,
IF('SIR Model Patient Calcs'!B216&lt;'User Dashboard'!AJ$17,'User Dashboard'!AN$16,
IF('SIR Model Patient Calcs'!B216&lt;'User Dashboard'!AJ$18,'User Dashboard'!AN$17,
'User Dashboard'!AN$18)))),
IF('User Dashboard'!Z$12=4,
IF('SIR Model Patient Calcs'!B216&lt;'User Dashboard'!AJ$15,'User Dashboard'!AN$14,
IF('SIR Model Patient Calcs'!B216&lt;'User Dashboard'!AJ$16,'User Dashboard'!AN$15,
IF('SIR Model Patient Calcs'!B216&lt;'User Dashboard'!AJ$17,'User Dashboard'!AN$16,
'User Dashboard'!AN$17))),
IF('User Dashboard'!Z$12=3,
IF('SIR Model Patient Calcs'!B216&lt;'User Dashboard'!AJ$15,'User Dashboard'!AN$14,
IF('SIR Model Patient Calcs'!B216&lt;'User Dashboard'!AJ$16,'User Dashboard'!AN$15,
'User Dashboard'!AN$16)),
IF('User Dashboard'!Z$12=2,
IF('SIR Model Patient Calcs'!B216&lt;'User Dashboard'!AJ$15,'User Dashboard'!AN$14,
'User Dashboard'!AN$15),
IF('User Dashboard'!Z$12=1,
'User Dashboard'!AN$14)))))</f>
        <v>15.209356603107825</v>
      </c>
      <c r="D216" s="668">
        <f>'User Dashboard'!X$16</f>
        <v>2.2072878851804097E-2</v>
      </c>
      <c r="E216" s="660">
        <f t="shared" si="29"/>
        <v>8.9862781521070345E-8</v>
      </c>
      <c r="F216" s="660">
        <f t="shared" si="36"/>
        <v>8.9862781521070372E-8</v>
      </c>
      <c r="G216" s="670">
        <f>1/'User Dashboard'!X$12</f>
        <v>0.14285714285714285</v>
      </c>
      <c r="H216" s="359">
        <f t="shared" si="30"/>
        <v>448259.80596078438</v>
      </c>
      <c r="I216" s="672">
        <f t="shared" si="33"/>
        <v>4.549995842014277</v>
      </c>
      <c r="J216" s="673">
        <f t="shared" si="31"/>
        <v>3287590.244043374</v>
      </c>
      <c r="K216" s="359">
        <f t="shared" si="34"/>
        <v>3287594.7940392159</v>
      </c>
      <c r="L216" s="673">
        <f t="shared" si="35"/>
        <v>0.20423153974115849</v>
      </c>
    </row>
    <row r="217" spans="1:12" x14ac:dyDescent="0.35">
      <c r="A217" s="287" t="str">
        <f t="shared" si="32"/>
        <v/>
      </c>
      <c r="B217" s="288">
        <v>210</v>
      </c>
      <c r="C217" s="667">
        <f>IF('User Dashboard'!Z$12=5,
IF('SIR Model Patient Calcs'!B217&lt;'User Dashboard'!AJ$15,'User Dashboard'!AN$14,
IF('SIR Model Patient Calcs'!B217&lt;'User Dashboard'!AJ$16,'User Dashboard'!AN$15,
IF('SIR Model Patient Calcs'!B217&lt;'User Dashboard'!AJ$17,'User Dashboard'!AN$16,
IF('SIR Model Patient Calcs'!B217&lt;'User Dashboard'!AJ$18,'User Dashboard'!AN$17,
'User Dashboard'!AN$18)))),
IF('User Dashboard'!Z$12=4,
IF('SIR Model Patient Calcs'!B217&lt;'User Dashboard'!AJ$15,'User Dashboard'!AN$14,
IF('SIR Model Patient Calcs'!B217&lt;'User Dashboard'!AJ$16,'User Dashboard'!AN$15,
IF('SIR Model Patient Calcs'!B217&lt;'User Dashboard'!AJ$17,'User Dashboard'!AN$16,
'User Dashboard'!AN$17))),
IF('User Dashboard'!Z$12=3,
IF('SIR Model Patient Calcs'!B217&lt;'User Dashboard'!AJ$15,'User Dashboard'!AN$14,
IF('SIR Model Patient Calcs'!B217&lt;'User Dashboard'!AJ$16,'User Dashboard'!AN$15,
'User Dashboard'!AN$16)),
IF('User Dashboard'!Z$12=2,
IF('SIR Model Patient Calcs'!B217&lt;'User Dashboard'!AJ$15,'User Dashboard'!AN$14,
'User Dashboard'!AN$15),
IF('User Dashboard'!Z$12=1,
'User Dashboard'!AN$14)))))</f>
        <v>15.209356603107825</v>
      </c>
      <c r="D217" s="668">
        <f>'User Dashboard'!X$16</f>
        <v>2.2072878851804097E-2</v>
      </c>
      <c r="E217" s="660">
        <f t="shared" si="29"/>
        <v>8.9862781521070345E-8</v>
      </c>
      <c r="F217" s="660">
        <f t="shared" si="36"/>
        <v>8.9862781521070372E-8</v>
      </c>
      <c r="G217" s="670">
        <f>1/'User Dashboard'!X$12</f>
        <v>0.14285714285714285</v>
      </c>
      <c r="H217" s="359">
        <f t="shared" si="30"/>
        <v>448259.6226784297</v>
      </c>
      <c r="I217" s="672">
        <f t="shared" si="33"/>
        <v>4.083278790705962</v>
      </c>
      <c r="J217" s="673">
        <f t="shared" si="31"/>
        <v>3287590.8940427802</v>
      </c>
      <c r="K217" s="359">
        <f t="shared" si="34"/>
        <v>3287594.9773215707</v>
      </c>
      <c r="L217" s="673">
        <f t="shared" si="35"/>
        <v>0.18328235484659672</v>
      </c>
    </row>
    <row r="218" spans="1:12" x14ac:dyDescent="0.35">
      <c r="A218" s="287" t="str">
        <f t="shared" si="32"/>
        <v/>
      </c>
      <c r="B218" s="288">
        <v>211</v>
      </c>
      <c r="C218" s="667">
        <f>IF('User Dashboard'!Z$12=5,
IF('SIR Model Patient Calcs'!B218&lt;'User Dashboard'!AJ$15,'User Dashboard'!AN$14,
IF('SIR Model Patient Calcs'!B218&lt;'User Dashboard'!AJ$16,'User Dashboard'!AN$15,
IF('SIR Model Patient Calcs'!B218&lt;'User Dashboard'!AJ$17,'User Dashboard'!AN$16,
IF('SIR Model Patient Calcs'!B218&lt;'User Dashboard'!AJ$18,'User Dashboard'!AN$17,
'User Dashboard'!AN$18)))),
IF('User Dashboard'!Z$12=4,
IF('SIR Model Patient Calcs'!B218&lt;'User Dashboard'!AJ$15,'User Dashboard'!AN$14,
IF('SIR Model Patient Calcs'!B218&lt;'User Dashboard'!AJ$16,'User Dashboard'!AN$15,
IF('SIR Model Patient Calcs'!B218&lt;'User Dashboard'!AJ$17,'User Dashboard'!AN$16,
'User Dashboard'!AN$17))),
IF('User Dashboard'!Z$12=3,
IF('SIR Model Patient Calcs'!B218&lt;'User Dashboard'!AJ$15,'User Dashboard'!AN$14,
IF('SIR Model Patient Calcs'!B218&lt;'User Dashboard'!AJ$16,'User Dashboard'!AN$15,
'User Dashboard'!AN$16)),
IF('User Dashboard'!Z$12=2,
IF('SIR Model Patient Calcs'!B218&lt;'User Dashboard'!AJ$15,'User Dashboard'!AN$14,
'User Dashboard'!AN$15),
IF('User Dashboard'!Z$12=1,
'User Dashboard'!AN$14)))))</f>
        <v>15.209356603107825</v>
      </c>
      <c r="D218" s="668">
        <f>'User Dashboard'!X$16</f>
        <v>2.2072878851804097E-2</v>
      </c>
      <c r="E218" s="660">
        <f t="shared" si="29"/>
        <v>8.9862781521070345E-8</v>
      </c>
      <c r="F218" s="660">
        <f t="shared" si="36"/>
        <v>8.9862781521070372E-8</v>
      </c>
      <c r="G218" s="670">
        <f>1/'User Dashboard'!X$12</f>
        <v>0.14285714285714285</v>
      </c>
      <c r="H218" s="359">
        <f t="shared" si="30"/>
        <v>448259.45819637924</v>
      </c>
      <c r="I218" s="672">
        <f t="shared" si="33"/>
        <v>3.664435299626247</v>
      </c>
      <c r="J218" s="673">
        <f t="shared" si="31"/>
        <v>3287591.4773683217</v>
      </c>
      <c r="K218" s="359">
        <f t="shared" si="34"/>
        <v>3287595.1418036213</v>
      </c>
      <c r="L218" s="673">
        <f t="shared" si="35"/>
        <v>0.16448205057531595</v>
      </c>
    </row>
    <row r="219" spans="1:12" x14ac:dyDescent="0.35">
      <c r="A219" s="287" t="str">
        <f t="shared" si="32"/>
        <v/>
      </c>
      <c r="B219" s="288">
        <v>212</v>
      </c>
      <c r="C219" s="667">
        <f>IF('User Dashboard'!Z$12=5,
IF('SIR Model Patient Calcs'!B219&lt;'User Dashboard'!AJ$15,'User Dashboard'!AN$14,
IF('SIR Model Patient Calcs'!B219&lt;'User Dashboard'!AJ$16,'User Dashboard'!AN$15,
IF('SIR Model Patient Calcs'!B219&lt;'User Dashboard'!AJ$17,'User Dashboard'!AN$16,
IF('SIR Model Patient Calcs'!B219&lt;'User Dashboard'!AJ$18,'User Dashboard'!AN$17,
'User Dashboard'!AN$18)))),
IF('User Dashboard'!Z$12=4,
IF('SIR Model Patient Calcs'!B219&lt;'User Dashboard'!AJ$15,'User Dashboard'!AN$14,
IF('SIR Model Patient Calcs'!B219&lt;'User Dashboard'!AJ$16,'User Dashboard'!AN$15,
IF('SIR Model Patient Calcs'!B219&lt;'User Dashboard'!AJ$17,'User Dashboard'!AN$16,
'User Dashboard'!AN$17))),
IF('User Dashboard'!Z$12=3,
IF('SIR Model Patient Calcs'!B219&lt;'User Dashboard'!AJ$15,'User Dashboard'!AN$14,
IF('SIR Model Patient Calcs'!B219&lt;'User Dashboard'!AJ$16,'User Dashboard'!AN$15,
'User Dashboard'!AN$16)),
IF('User Dashboard'!Z$12=2,
IF('SIR Model Patient Calcs'!B219&lt;'User Dashboard'!AJ$15,'User Dashboard'!AN$14,
'User Dashboard'!AN$15),
IF('User Dashboard'!Z$12=1,
'User Dashboard'!AN$14)))))</f>
        <v>15.209356603107825</v>
      </c>
      <c r="D219" s="668">
        <f>'User Dashboard'!X$16</f>
        <v>2.2072878851804097E-2</v>
      </c>
      <c r="E219" s="660">
        <f t="shared" si="29"/>
        <v>8.9862781521070345E-8</v>
      </c>
      <c r="F219" s="660">
        <f t="shared" si="36"/>
        <v>8.9862781521070372E-8</v>
      </c>
      <c r="G219" s="670">
        <f>1/'User Dashboard'!X$12</f>
        <v>0.14285714285714285</v>
      </c>
      <c r="H219" s="359">
        <f t="shared" si="30"/>
        <v>448259.31058617641</v>
      </c>
      <c r="I219" s="672">
        <f t="shared" si="33"/>
        <v>3.2885547454038271</v>
      </c>
      <c r="J219" s="673">
        <f t="shared" si="31"/>
        <v>3287592.000859079</v>
      </c>
      <c r="K219" s="359">
        <f t="shared" si="34"/>
        <v>3287595.2894138242</v>
      </c>
      <c r="L219" s="673">
        <f t="shared" si="35"/>
        <v>0.14761020289734006</v>
      </c>
    </row>
    <row r="220" spans="1:12" x14ac:dyDescent="0.35">
      <c r="A220" s="287" t="str">
        <f t="shared" si="32"/>
        <v/>
      </c>
      <c r="B220" s="288">
        <v>213</v>
      </c>
      <c r="C220" s="667">
        <f>IF('User Dashboard'!Z$12=5,
IF('SIR Model Patient Calcs'!B220&lt;'User Dashboard'!AJ$15,'User Dashboard'!AN$14,
IF('SIR Model Patient Calcs'!B220&lt;'User Dashboard'!AJ$16,'User Dashboard'!AN$15,
IF('SIR Model Patient Calcs'!B220&lt;'User Dashboard'!AJ$17,'User Dashboard'!AN$16,
IF('SIR Model Patient Calcs'!B220&lt;'User Dashboard'!AJ$18,'User Dashboard'!AN$17,
'User Dashboard'!AN$18)))),
IF('User Dashboard'!Z$12=4,
IF('SIR Model Patient Calcs'!B220&lt;'User Dashboard'!AJ$15,'User Dashboard'!AN$14,
IF('SIR Model Patient Calcs'!B220&lt;'User Dashboard'!AJ$16,'User Dashboard'!AN$15,
IF('SIR Model Patient Calcs'!B220&lt;'User Dashboard'!AJ$17,'User Dashboard'!AN$16,
'User Dashboard'!AN$17))),
IF('User Dashboard'!Z$12=3,
IF('SIR Model Patient Calcs'!B220&lt;'User Dashboard'!AJ$15,'User Dashboard'!AN$14,
IF('SIR Model Patient Calcs'!B220&lt;'User Dashboard'!AJ$16,'User Dashboard'!AN$15,
'User Dashboard'!AN$16)),
IF('User Dashboard'!Z$12=2,
IF('SIR Model Patient Calcs'!B220&lt;'User Dashboard'!AJ$15,'User Dashboard'!AN$14,
'User Dashboard'!AN$15),
IF('User Dashboard'!Z$12=1,
'User Dashboard'!AN$14)))))</f>
        <v>15.209356603107825</v>
      </c>
      <c r="D220" s="668">
        <f>'User Dashboard'!X$16</f>
        <v>2.2072878851804097E-2</v>
      </c>
      <c r="E220" s="660">
        <f t="shared" si="29"/>
        <v>8.9862781521070345E-8</v>
      </c>
      <c r="F220" s="660">
        <f t="shared" si="36"/>
        <v>8.9862781521070372E-8</v>
      </c>
      <c r="G220" s="670">
        <f>1/'User Dashboard'!X$12</f>
        <v>0.14285714285714285</v>
      </c>
      <c r="H220" s="359">
        <f t="shared" si="30"/>
        <v>448259.17811717815</v>
      </c>
      <c r="I220" s="672">
        <f t="shared" si="33"/>
        <v>2.9512302085870181</v>
      </c>
      <c r="J220" s="673">
        <f t="shared" si="31"/>
        <v>3287592.4706526138</v>
      </c>
      <c r="K220" s="359">
        <f t="shared" si="34"/>
        <v>3287595.4218828222</v>
      </c>
      <c r="L220" s="673">
        <f t="shared" si="35"/>
        <v>0.13246899796649814</v>
      </c>
    </row>
    <row r="221" spans="1:12" x14ac:dyDescent="0.35">
      <c r="A221" s="287" t="str">
        <f t="shared" si="32"/>
        <v/>
      </c>
      <c r="B221" s="288">
        <v>214</v>
      </c>
      <c r="C221" s="667">
        <f>IF('User Dashboard'!Z$12=5,
IF('SIR Model Patient Calcs'!B221&lt;'User Dashboard'!AJ$15,'User Dashboard'!AN$14,
IF('SIR Model Patient Calcs'!B221&lt;'User Dashboard'!AJ$16,'User Dashboard'!AN$15,
IF('SIR Model Patient Calcs'!B221&lt;'User Dashboard'!AJ$17,'User Dashboard'!AN$16,
IF('SIR Model Patient Calcs'!B221&lt;'User Dashboard'!AJ$18,'User Dashboard'!AN$17,
'User Dashboard'!AN$18)))),
IF('User Dashboard'!Z$12=4,
IF('SIR Model Patient Calcs'!B221&lt;'User Dashboard'!AJ$15,'User Dashboard'!AN$14,
IF('SIR Model Patient Calcs'!B221&lt;'User Dashboard'!AJ$16,'User Dashboard'!AN$15,
IF('SIR Model Patient Calcs'!B221&lt;'User Dashboard'!AJ$17,'User Dashboard'!AN$16,
'User Dashboard'!AN$17))),
IF('User Dashboard'!Z$12=3,
IF('SIR Model Patient Calcs'!B221&lt;'User Dashboard'!AJ$15,'User Dashboard'!AN$14,
IF('SIR Model Patient Calcs'!B221&lt;'User Dashboard'!AJ$16,'User Dashboard'!AN$15,
'User Dashboard'!AN$16)),
IF('User Dashboard'!Z$12=2,
IF('SIR Model Patient Calcs'!B221&lt;'User Dashboard'!AJ$15,'User Dashboard'!AN$14,
'User Dashboard'!AN$15),
IF('User Dashboard'!Z$12=1,
'User Dashboard'!AN$14)))))</f>
        <v>15.209356603107825</v>
      </c>
      <c r="D221" s="668">
        <f>'User Dashboard'!X$16</f>
        <v>2.2072878851804097E-2</v>
      </c>
      <c r="E221" s="660">
        <f t="shared" si="29"/>
        <v>8.9862781521070345E-8</v>
      </c>
      <c r="F221" s="660">
        <f t="shared" si="36"/>
        <v>8.9862781521070358E-8</v>
      </c>
      <c r="G221" s="670">
        <f>1/'User Dashboard'!X$12</f>
        <v>0.14285714285714285</v>
      </c>
      <c r="H221" s="359">
        <f t="shared" si="30"/>
        <v>448259.05923626421</v>
      </c>
      <c r="I221" s="672">
        <f t="shared" si="33"/>
        <v>2.6485068070457318</v>
      </c>
      <c r="J221" s="673">
        <f t="shared" si="31"/>
        <v>3287592.8922569291</v>
      </c>
      <c r="K221" s="359">
        <f t="shared" si="34"/>
        <v>3287595.5407637362</v>
      </c>
      <c r="L221" s="673">
        <f t="shared" si="35"/>
        <v>0.11888091405853629</v>
      </c>
    </row>
    <row r="222" spans="1:12" x14ac:dyDescent="0.35">
      <c r="A222" s="287" t="str">
        <f t="shared" si="32"/>
        <v/>
      </c>
      <c r="B222" s="288">
        <v>215</v>
      </c>
      <c r="C222" s="667">
        <f>IF('User Dashboard'!Z$12=5,
IF('SIR Model Patient Calcs'!B222&lt;'User Dashboard'!AJ$15,'User Dashboard'!AN$14,
IF('SIR Model Patient Calcs'!B222&lt;'User Dashboard'!AJ$16,'User Dashboard'!AN$15,
IF('SIR Model Patient Calcs'!B222&lt;'User Dashboard'!AJ$17,'User Dashboard'!AN$16,
IF('SIR Model Patient Calcs'!B222&lt;'User Dashboard'!AJ$18,'User Dashboard'!AN$17,
'User Dashboard'!AN$18)))),
IF('User Dashboard'!Z$12=4,
IF('SIR Model Patient Calcs'!B222&lt;'User Dashboard'!AJ$15,'User Dashboard'!AN$14,
IF('SIR Model Patient Calcs'!B222&lt;'User Dashboard'!AJ$16,'User Dashboard'!AN$15,
IF('SIR Model Patient Calcs'!B222&lt;'User Dashboard'!AJ$17,'User Dashboard'!AN$16,
'User Dashboard'!AN$17))),
IF('User Dashboard'!Z$12=3,
IF('SIR Model Patient Calcs'!B222&lt;'User Dashboard'!AJ$15,'User Dashboard'!AN$14,
IF('SIR Model Patient Calcs'!B222&lt;'User Dashboard'!AJ$16,'User Dashboard'!AN$15,
'User Dashboard'!AN$16)),
IF('User Dashboard'!Z$12=2,
IF('SIR Model Patient Calcs'!B222&lt;'User Dashboard'!AJ$15,'User Dashboard'!AN$14,
'User Dashboard'!AN$15),
IF('User Dashboard'!Z$12=1,
'User Dashboard'!AN$14)))))</f>
        <v>15.209356603107825</v>
      </c>
      <c r="D222" s="668">
        <f>'User Dashboard'!X$16</f>
        <v>2.2072878851804097E-2</v>
      </c>
      <c r="E222" s="660">
        <f t="shared" si="29"/>
        <v>8.9862781521070345E-8</v>
      </c>
      <c r="F222" s="660">
        <f t="shared" si="36"/>
        <v>8.9862781521070358E-8</v>
      </c>
      <c r="G222" s="670">
        <f>1/'User Dashboard'!X$12</f>
        <v>0.14285714285714285</v>
      </c>
      <c r="H222" s="359">
        <f t="shared" si="30"/>
        <v>448258.95254962705</v>
      </c>
      <c r="I222" s="672">
        <f t="shared" si="33"/>
        <v>2.3768353288929425</v>
      </c>
      <c r="J222" s="673">
        <f t="shared" si="31"/>
        <v>3287593.2706150445</v>
      </c>
      <c r="K222" s="359">
        <f t="shared" si="34"/>
        <v>3287595.6474503735</v>
      </c>
      <c r="L222" s="673">
        <f t="shared" si="35"/>
        <v>0.10668663727119565</v>
      </c>
    </row>
    <row r="223" spans="1:12" x14ac:dyDescent="0.35">
      <c r="A223" s="287" t="str">
        <f t="shared" si="32"/>
        <v/>
      </c>
      <c r="B223" s="288">
        <v>216</v>
      </c>
      <c r="C223" s="667">
        <f>IF('User Dashboard'!Z$12=5,
IF('SIR Model Patient Calcs'!B223&lt;'User Dashboard'!AJ$15,'User Dashboard'!AN$14,
IF('SIR Model Patient Calcs'!B223&lt;'User Dashboard'!AJ$16,'User Dashboard'!AN$15,
IF('SIR Model Patient Calcs'!B223&lt;'User Dashboard'!AJ$17,'User Dashboard'!AN$16,
IF('SIR Model Patient Calcs'!B223&lt;'User Dashboard'!AJ$18,'User Dashboard'!AN$17,
'User Dashboard'!AN$18)))),
IF('User Dashboard'!Z$12=4,
IF('SIR Model Patient Calcs'!B223&lt;'User Dashboard'!AJ$15,'User Dashboard'!AN$14,
IF('SIR Model Patient Calcs'!B223&lt;'User Dashboard'!AJ$16,'User Dashboard'!AN$15,
IF('SIR Model Patient Calcs'!B223&lt;'User Dashboard'!AJ$17,'User Dashboard'!AN$16,
'User Dashboard'!AN$17))),
IF('User Dashboard'!Z$12=3,
IF('SIR Model Patient Calcs'!B223&lt;'User Dashboard'!AJ$15,'User Dashboard'!AN$14,
IF('SIR Model Patient Calcs'!B223&lt;'User Dashboard'!AJ$16,'User Dashboard'!AN$15,
'User Dashboard'!AN$16)),
IF('User Dashboard'!Z$12=2,
IF('SIR Model Patient Calcs'!B223&lt;'User Dashboard'!AJ$15,'User Dashboard'!AN$14,
'User Dashboard'!AN$15),
IF('User Dashboard'!Z$12=1,
'User Dashboard'!AN$14)))))</f>
        <v>15.209356603107825</v>
      </c>
      <c r="D223" s="668">
        <f>'User Dashboard'!X$16</f>
        <v>2.2072878851804097E-2</v>
      </c>
      <c r="E223" s="660">
        <f t="shared" si="29"/>
        <v>8.9862781521070345E-8</v>
      </c>
      <c r="F223" s="660">
        <f t="shared" si="36"/>
        <v>8.9862781521070358E-8</v>
      </c>
      <c r="G223" s="670">
        <f>1/'User Dashboard'!X$12</f>
        <v>0.14285714285714285</v>
      </c>
      <c r="H223" s="359">
        <f t="shared" si="30"/>
        <v>448258.85680643044</v>
      </c>
      <c r="I223" s="672">
        <f t="shared" si="33"/>
        <v>2.1330306213648695</v>
      </c>
      <c r="J223" s="673">
        <f t="shared" si="31"/>
        <v>3287593.6101629487</v>
      </c>
      <c r="K223" s="359">
        <f t="shared" si="34"/>
        <v>3287595.7431935701</v>
      </c>
      <c r="L223" s="673">
        <f t="shared" si="35"/>
        <v>9.5743196550756693E-2</v>
      </c>
    </row>
    <row r="224" spans="1:12" x14ac:dyDescent="0.35">
      <c r="A224" s="287" t="str">
        <f t="shared" si="32"/>
        <v/>
      </c>
      <c r="B224" s="288">
        <v>217</v>
      </c>
      <c r="C224" s="667">
        <f>IF('User Dashboard'!Z$12=5,
IF('SIR Model Patient Calcs'!B224&lt;'User Dashboard'!AJ$15,'User Dashboard'!AN$14,
IF('SIR Model Patient Calcs'!B224&lt;'User Dashboard'!AJ$16,'User Dashboard'!AN$15,
IF('SIR Model Patient Calcs'!B224&lt;'User Dashboard'!AJ$17,'User Dashboard'!AN$16,
IF('SIR Model Patient Calcs'!B224&lt;'User Dashboard'!AJ$18,'User Dashboard'!AN$17,
'User Dashboard'!AN$18)))),
IF('User Dashboard'!Z$12=4,
IF('SIR Model Patient Calcs'!B224&lt;'User Dashboard'!AJ$15,'User Dashboard'!AN$14,
IF('SIR Model Patient Calcs'!B224&lt;'User Dashboard'!AJ$16,'User Dashboard'!AN$15,
IF('SIR Model Patient Calcs'!B224&lt;'User Dashboard'!AJ$17,'User Dashboard'!AN$16,
'User Dashboard'!AN$17))),
IF('User Dashboard'!Z$12=3,
IF('SIR Model Patient Calcs'!B224&lt;'User Dashboard'!AJ$15,'User Dashboard'!AN$14,
IF('SIR Model Patient Calcs'!B224&lt;'User Dashboard'!AJ$16,'User Dashboard'!AN$15,
'User Dashboard'!AN$16)),
IF('User Dashboard'!Z$12=2,
IF('SIR Model Patient Calcs'!B224&lt;'User Dashboard'!AJ$15,'User Dashboard'!AN$14,
'User Dashboard'!AN$15),
IF('User Dashboard'!Z$12=1,
'User Dashboard'!AN$14)))))</f>
        <v>15.209356603107825</v>
      </c>
      <c r="D224" s="668">
        <f>'User Dashboard'!X$16</f>
        <v>2.2072878851804097E-2</v>
      </c>
      <c r="E224" s="660">
        <f t="shared" si="29"/>
        <v>8.9862781521070345E-8</v>
      </c>
      <c r="F224" s="660">
        <f t="shared" si="36"/>
        <v>8.9862781521070358E-8</v>
      </c>
      <c r="G224" s="670">
        <f>1/'User Dashboard'!X$12</f>
        <v>0.14285714285714285</v>
      </c>
      <c r="H224" s="359">
        <f t="shared" si="30"/>
        <v>448258.77088414377</v>
      </c>
      <c r="I224" s="672">
        <f t="shared" si="33"/>
        <v>1.9142342478473422</v>
      </c>
      <c r="J224" s="673">
        <f t="shared" si="31"/>
        <v>3287593.9148816089</v>
      </c>
      <c r="K224" s="359">
        <f t="shared" si="34"/>
        <v>3287595.8291158569</v>
      </c>
      <c r="L224" s="673">
        <f t="shared" si="35"/>
        <v>8.5922286845743656E-2</v>
      </c>
    </row>
    <row r="225" spans="1:12" x14ac:dyDescent="0.35">
      <c r="A225" s="287" t="str">
        <f t="shared" si="32"/>
        <v/>
      </c>
      <c r="B225" s="288">
        <v>218</v>
      </c>
      <c r="C225" s="667">
        <f>IF('User Dashboard'!Z$12=5,
IF('SIR Model Patient Calcs'!B225&lt;'User Dashboard'!AJ$15,'User Dashboard'!AN$14,
IF('SIR Model Patient Calcs'!B225&lt;'User Dashboard'!AJ$16,'User Dashboard'!AN$15,
IF('SIR Model Patient Calcs'!B225&lt;'User Dashboard'!AJ$17,'User Dashboard'!AN$16,
IF('SIR Model Patient Calcs'!B225&lt;'User Dashboard'!AJ$18,'User Dashboard'!AN$17,
'User Dashboard'!AN$18)))),
IF('User Dashboard'!Z$12=4,
IF('SIR Model Patient Calcs'!B225&lt;'User Dashboard'!AJ$15,'User Dashboard'!AN$14,
IF('SIR Model Patient Calcs'!B225&lt;'User Dashboard'!AJ$16,'User Dashboard'!AN$15,
IF('SIR Model Patient Calcs'!B225&lt;'User Dashboard'!AJ$17,'User Dashboard'!AN$16,
'User Dashboard'!AN$17))),
IF('User Dashboard'!Z$12=3,
IF('SIR Model Patient Calcs'!B225&lt;'User Dashboard'!AJ$15,'User Dashboard'!AN$14,
IF('SIR Model Patient Calcs'!B225&lt;'User Dashboard'!AJ$16,'User Dashboard'!AN$15,
'User Dashboard'!AN$16)),
IF('User Dashboard'!Z$12=2,
IF('SIR Model Patient Calcs'!B225&lt;'User Dashboard'!AJ$15,'User Dashboard'!AN$14,
'User Dashboard'!AN$15),
IF('User Dashboard'!Z$12=1,
'User Dashboard'!AN$14)))))</f>
        <v>15.209356603107825</v>
      </c>
      <c r="D225" s="668">
        <f>'User Dashboard'!X$16</f>
        <v>2.2072878851804097E-2</v>
      </c>
      <c r="E225" s="660">
        <f t="shared" si="29"/>
        <v>8.9862781521070345E-8</v>
      </c>
      <c r="F225" s="660">
        <f t="shared" si="36"/>
        <v>8.9862781521070358E-8</v>
      </c>
      <c r="G225" s="670">
        <f>1/'User Dashboard'!X$12</f>
        <v>0.14285714285714285</v>
      </c>
      <c r="H225" s="359">
        <f t="shared" si="30"/>
        <v>448258.69377538096</v>
      </c>
      <c r="I225" s="672">
        <f t="shared" si="33"/>
        <v>1.7178809752671738</v>
      </c>
      <c r="J225" s="673">
        <f t="shared" si="31"/>
        <v>3287594.1883436441</v>
      </c>
      <c r="K225" s="359">
        <f t="shared" si="34"/>
        <v>3287595.9062246196</v>
      </c>
      <c r="L225" s="673">
        <f t="shared" si="35"/>
        <v>7.7108762692660093E-2</v>
      </c>
    </row>
    <row r="226" spans="1:12" x14ac:dyDescent="0.35">
      <c r="A226" s="287" t="str">
        <f t="shared" si="32"/>
        <v/>
      </c>
      <c r="B226" s="288">
        <v>219</v>
      </c>
      <c r="C226" s="667">
        <f>IF('User Dashboard'!Z$12=5,
IF('SIR Model Patient Calcs'!B226&lt;'User Dashboard'!AJ$15,'User Dashboard'!AN$14,
IF('SIR Model Patient Calcs'!B226&lt;'User Dashboard'!AJ$16,'User Dashboard'!AN$15,
IF('SIR Model Patient Calcs'!B226&lt;'User Dashboard'!AJ$17,'User Dashboard'!AN$16,
IF('SIR Model Patient Calcs'!B226&lt;'User Dashboard'!AJ$18,'User Dashboard'!AN$17,
'User Dashboard'!AN$18)))),
IF('User Dashboard'!Z$12=4,
IF('SIR Model Patient Calcs'!B226&lt;'User Dashboard'!AJ$15,'User Dashboard'!AN$14,
IF('SIR Model Patient Calcs'!B226&lt;'User Dashboard'!AJ$16,'User Dashboard'!AN$15,
IF('SIR Model Patient Calcs'!B226&lt;'User Dashboard'!AJ$17,'User Dashboard'!AN$16,
'User Dashboard'!AN$17))),
IF('User Dashboard'!Z$12=3,
IF('SIR Model Patient Calcs'!B226&lt;'User Dashboard'!AJ$15,'User Dashboard'!AN$14,
IF('SIR Model Patient Calcs'!B226&lt;'User Dashboard'!AJ$16,'User Dashboard'!AN$15,
'User Dashboard'!AN$16)),
IF('User Dashboard'!Z$12=2,
IF('SIR Model Patient Calcs'!B226&lt;'User Dashboard'!AJ$15,'User Dashboard'!AN$14,
'User Dashboard'!AN$15),
IF('User Dashboard'!Z$12=1,
'User Dashboard'!AN$14)))))</f>
        <v>15.209356603107825</v>
      </c>
      <c r="D226" s="668">
        <f>'User Dashboard'!X$16</f>
        <v>2.2072878851804097E-2</v>
      </c>
      <c r="E226" s="660">
        <f t="shared" si="29"/>
        <v>8.9862781521070345E-8</v>
      </c>
      <c r="F226" s="660">
        <f t="shared" si="36"/>
        <v>8.9862781521070358E-8</v>
      </c>
      <c r="G226" s="670">
        <f>1/'User Dashboard'!X$12</f>
        <v>0.14285714285714285</v>
      </c>
      <c r="H226" s="359">
        <f t="shared" si="30"/>
        <v>448258.62457608938</v>
      </c>
      <c r="I226" s="672">
        <f t="shared" si="33"/>
        <v>1.54166869896795</v>
      </c>
      <c r="J226" s="673">
        <f t="shared" si="31"/>
        <v>3287594.433755212</v>
      </c>
      <c r="K226" s="359">
        <f t="shared" si="34"/>
        <v>3287595.9754239111</v>
      </c>
      <c r="L226" s="673">
        <f t="shared" si="35"/>
        <v>6.919929152354598E-2</v>
      </c>
    </row>
    <row r="227" spans="1:12" x14ac:dyDescent="0.35">
      <c r="A227" s="287" t="str">
        <f t="shared" si="32"/>
        <v/>
      </c>
      <c r="B227" s="288">
        <v>220</v>
      </c>
      <c r="C227" s="667">
        <f>IF('User Dashboard'!Z$12=5,
IF('SIR Model Patient Calcs'!B227&lt;'User Dashboard'!AJ$15,'User Dashboard'!AN$14,
IF('SIR Model Patient Calcs'!B227&lt;'User Dashboard'!AJ$16,'User Dashboard'!AN$15,
IF('SIR Model Patient Calcs'!B227&lt;'User Dashboard'!AJ$17,'User Dashboard'!AN$16,
IF('SIR Model Patient Calcs'!B227&lt;'User Dashboard'!AJ$18,'User Dashboard'!AN$17,
'User Dashboard'!AN$18)))),
IF('User Dashboard'!Z$12=4,
IF('SIR Model Patient Calcs'!B227&lt;'User Dashboard'!AJ$15,'User Dashboard'!AN$14,
IF('SIR Model Patient Calcs'!B227&lt;'User Dashboard'!AJ$16,'User Dashboard'!AN$15,
IF('SIR Model Patient Calcs'!B227&lt;'User Dashboard'!AJ$17,'User Dashboard'!AN$16,
'User Dashboard'!AN$17))),
IF('User Dashboard'!Z$12=3,
IF('SIR Model Patient Calcs'!B227&lt;'User Dashboard'!AJ$15,'User Dashboard'!AN$14,
IF('SIR Model Patient Calcs'!B227&lt;'User Dashboard'!AJ$16,'User Dashboard'!AN$15,
'User Dashboard'!AN$16)),
IF('User Dashboard'!Z$12=2,
IF('SIR Model Patient Calcs'!B227&lt;'User Dashboard'!AJ$15,'User Dashboard'!AN$14,
'User Dashboard'!AN$15),
IF('User Dashboard'!Z$12=1,
'User Dashboard'!AN$14)))))</f>
        <v>15.209356603107825</v>
      </c>
      <c r="D227" s="668">
        <f>'User Dashboard'!X$16</f>
        <v>2.2072878851804097E-2</v>
      </c>
      <c r="E227" s="660">
        <f t="shared" si="29"/>
        <v>8.9862781521070345E-8</v>
      </c>
      <c r="F227" s="660">
        <f t="shared" si="36"/>
        <v>8.9862781521070358E-8</v>
      </c>
      <c r="G227" s="670">
        <f>1/'User Dashboard'!X$12</f>
        <v>0.14285714285714285</v>
      </c>
      <c r="H227" s="359">
        <f t="shared" si="30"/>
        <v>448258.56247495027</v>
      </c>
      <c r="I227" s="672">
        <f t="shared" si="33"/>
        <v>1.3835314524854954</v>
      </c>
      <c r="J227" s="673">
        <f t="shared" si="31"/>
        <v>3287594.6539935977</v>
      </c>
      <c r="K227" s="359">
        <f t="shared" si="34"/>
        <v>3287596.0375250503</v>
      </c>
      <c r="L227" s="673">
        <f t="shared" si="35"/>
        <v>6.2101139221340418E-2</v>
      </c>
    </row>
    <row r="228" spans="1:12" x14ac:dyDescent="0.35">
      <c r="A228" s="287" t="str">
        <f t="shared" si="32"/>
        <v/>
      </c>
      <c r="B228" s="288">
        <v>221</v>
      </c>
      <c r="C228" s="667">
        <f>IF('User Dashboard'!Z$12=5,
IF('SIR Model Patient Calcs'!B228&lt;'User Dashboard'!AJ$15,'User Dashboard'!AN$14,
IF('SIR Model Patient Calcs'!B228&lt;'User Dashboard'!AJ$16,'User Dashboard'!AN$15,
IF('SIR Model Patient Calcs'!B228&lt;'User Dashboard'!AJ$17,'User Dashboard'!AN$16,
IF('SIR Model Patient Calcs'!B228&lt;'User Dashboard'!AJ$18,'User Dashboard'!AN$17,
'User Dashboard'!AN$18)))),
IF('User Dashboard'!Z$12=4,
IF('SIR Model Patient Calcs'!B228&lt;'User Dashboard'!AJ$15,'User Dashboard'!AN$14,
IF('SIR Model Patient Calcs'!B228&lt;'User Dashboard'!AJ$16,'User Dashboard'!AN$15,
IF('SIR Model Patient Calcs'!B228&lt;'User Dashboard'!AJ$17,'User Dashboard'!AN$16,
'User Dashboard'!AN$17))),
IF('User Dashboard'!Z$12=3,
IF('SIR Model Patient Calcs'!B228&lt;'User Dashboard'!AJ$15,'User Dashboard'!AN$14,
IF('SIR Model Patient Calcs'!B228&lt;'User Dashboard'!AJ$16,'User Dashboard'!AN$15,
'User Dashboard'!AN$16)),
IF('User Dashboard'!Z$12=2,
IF('SIR Model Patient Calcs'!B228&lt;'User Dashboard'!AJ$15,'User Dashboard'!AN$14,
'User Dashboard'!AN$15),
IF('User Dashboard'!Z$12=1,
'User Dashboard'!AN$14)))))</f>
        <v>15.209356603107825</v>
      </c>
      <c r="D228" s="668">
        <f>'User Dashboard'!X$16</f>
        <v>2.2072878851804097E-2</v>
      </c>
      <c r="E228" s="660">
        <f t="shared" si="29"/>
        <v>8.9862781521070345E-8</v>
      </c>
      <c r="F228" s="660">
        <f t="shared" si="36"/>
        <v>8.9862781521070358E-8</v>
      </c>
      <c r="G228" s="670">
        <f>1/'User Dashboard'!X$12</f>
        <v>0.14285714285714285</v>
      </c>
      <c r="H228" s="359">
        <f t="shared" si="30"/>
        <v>448258.5067438666</v>
      </c>
      <c r="I228" s="672">
        <f t="shared" si="33"/>
        <v>1.2416151858015598</v>
      </c>
      <c r="J228" s="673">
        <f t="shared" si="31"/>
        <v>3287594.8516409481</v>
      </c>
      <c r="K228" s="359">
        <f t="shared" si="34"/>
        <v>3287596.0932561341</v>
      </c>
      <c r="L228" s="673">
        <f t="shared" si="35"/>
        <v>5.5731083732098341E-2</v>
      </c>
    </row>
    <row r="229" spans="1:12" x14ac:dyDescent="0.35">
      <c r="A229" s="287" t="str">
        <f t="shared" si="32"/>
        <v/>
      </c>
      <c r="B229" s="288">
        <v>222</v>
      </c>
      <c r="C229" s="667">
        <f>IF('User Dashboard'!Z$12=5,
IF('SIR Model Patient Calcs'!B229&lt;'User Dashboard'!AJ$15,'User Dashboard'!AN$14,
IF('SIR Model Patient Calcs'!B229&lt;'User Dashboard'!AJ$16,'User Dashboard'!AN$15,
IF('SIR Model Patient Calcs'!B229&lt;'User Dashboard'!AJ$17,'User Dashboard'!AN$16,
IF('SIR Model Patient Calcs'!B229&lt;'User Dashboard'!AJ$18,'User Dashboard'!AN$17,
'User Dashboard'!AN$18)))),
IF('User Dashboard'!Z$12=4,
IF('SIR Model Patient Calcs'!B229&lt;'User Dashboard'!AJ$15,'User Dashboard'!AN$14,
IF('SIR Model Patient Calcs'!B229&lt;'User Dashboard'!AJ$16,'User Dashboard'!AN$15,
IF('SIR Model Patient Calcs'!B229&lt;'User Dashboard'!AJ$17,'User Dashboard'!AN$16,
'User Dashboard'!AN$17))),
IF('User Dashboard'!Z$12=3,
IF('SIR Model Patient Calcs'!B229&lt;'User Dashboard'!AJ$15,'User Dashboard'!AN$14,
IF('SIR Model Patient Calcs'!B229&lt;'User Dashboard'!AJ$16,'User Dashboard'!AN$15,
'User Dashboard'!AN$16)),
IF('User Dashboard'!Z$12=2,
IF('SIR Model Patient Calcs'!B229&lt;'User Dashboard'!AJ$15,'User Dashboard'!AN$14,
'User Dashboard'!AN$15),
IF('User Dashboard'!Z$12=1,
'User Dashboard'!AN$14)))))</f>
        <v>15.209356603107825</v>
      </c>
      <c r="D229" s="668">
        <f>'User Dashboard'!X$16</f>
        <v>2.2072878851804097E-2</v>
      </c>
      <c r="E229" s="660">
        <f t="shared" si="29"/>
        <v>8.9862781521070345E-8</v>
      </c>
      <c r="F229" s="660">
        <f t="shared" si="36"/>
        <v>8.9862781521070358E-8</v>
      </c>
      <c r="G229" s="670">
        <f>1/'User Dashboard'!X$12</f>
        <v>0.14285714285714285</v>
      </c>
      <c r="H229" s="359">
        <f t="shared" si="30"/>
        <v>448258.45672942634</v>
      </c>
      <c r="I229" s="672">
        <f t="shared" si="33"/>
        <v>1.1142560281087177</v>
      </c>
      <c r="J229" s="673">
        <f t="shared" si="31"/>
        <v>3287595.029014546</v>
      </c>
      <c r="K229" s="359">
        <f t="shared" si="34"/>
        <v>3287596.143270574</v>
      </c>
      <c r="L229" s="673">
        <f t="shared" si="35"/>
        <v>5.0014439970254898E-2</v>
      </c>
    </row>
    <row r="230" spans="1:12" x14ac:dyDescent="0.35">
      <c r="A230" s="287" t="str">
        <f t="shared" si="32"/>
        <v/>
      </c>
      <c r="B230" s="288">
        <v>223</v>
      </c>
      <c r="C230" s="667">
        <f>IF('User Dashboard'!Z$12=5,
IF('SIR Model Patient Calcs'!B230&lt;'User Dashboard'!AJ$15,'User Dashboard'!AN$14,
IF('SIR Model Patient Calcs'!B230&lt;'User Dashboard'!AJ$16,'User Dashboard'!AN$15,
IF('SIR Model Patient Calcs'!B230&lt;'User Dashboard'!AJ$17,'User Dashboard'!AN$16,
IF('SIR Model Patient Calcs'!B230&lt;'User Dashboard'!AJ$18,'User Dashboard'!AN$17,
'User Dashboard'!AN$18)))),
IF('User Dashboard'!Z$12=4,
IF('SIR Model Patient Calcs'!B230&lt;'User Dashboard'!AJ$15,'User Dashboard'!AN$14,
IF('SIR Model Patient Calcs'!B230&lt;'User Dashboard'!AJ$16,'User Dashboard'!AN$15,
IF('SIR Model Patient Calcs'!B230&lt;'User Dashboard'!AJ$17,'User Dashboard'!AN$16,
'User Dashboard'!AN$17))),
IF('User Dashboard'!Z$12=3,
IF('SIR Model Patient Calcs'!B230&lt;'User Dashboard'!AJ$15,'User Dashboard'!AN$14,
IF('SIR Model Patient Calcs'!B230&lt;'User Dashboard'!AJ$16,'User Dashboard'!AN$15,
'User Dashboard'!AN$16)),
IF('User Dashboard'!Z$12=2,
IF('SIR Model Patient Calcs'!B230&lt;'User Dashboard'!AJ$15,'User Dashboard'!AN$14,
'User Dashboard'!AN$15),
IF('User Dashboard'!Z$12=1,
'User Dashboard'!AN$14)))))</f>
        <v>15.209356603107825</v>
      </c>
      <c r="D230" s="668">
        <f>'User Dashboard'!X$16</f>
        <v>2.2072878851804097E-2</v>
      </c>
      <c r="E230" s="660">
        <f t="shared" si="29"/>
        <v>8.9862781521070345E-8</v>
      </c>
      <c r="F230" s="660">
        <f t="shared" si="36"/>
        <v>8.9862781521070358E-8</v>
      </c>
      <c r="G230" s="670">
        <f>1/'User Dashboard'!X$12</f>
        <v>0.14285714285714285</v>
      </c>
      <c r="H230" s="359">
        <f t="shared" si="30"/>
        <v>448258.41184524162</v>
      </c>
      <c r="I230" s="672">
        <f t="shared" si="33"/>
        <v>0.99996078024539969</v>
      </c>
      <c r="J230" s="673">
        <f t="shared" si="31"/>
        <v>3287595.1881939787</v>
      </c>
      <c r="K230" s="359">
        <f t="shared" si="34"/>
        <v>3287596.1881547589</v>
      </c>
      <c r="L230" s="673">
        <f t="shared" si="35"/>
        <v>4.4884184841066599E-2</v>
      </c>
    </row>
    <row r="231" spans="1:12" x14ac:dyDescent="0.35">
      <c r="A231" s="287" t="str">
        <f t="shared" si="32"/>
        <v/>
      </c>
      <c r="B231" s="288">
        <v>224</v>
      </c>
      <c r="C231" s="667">
        <f>IF('User Dashboard'!Z$12=5,
IF('SIR Model Patient Calcs'!B231&lt;'User Dashboard'!AJ$15,'User Dashboard'!AN$14,
IF('SIR Model Patient Calcs'!B231&lt;'User Dashboard'!AJ$16,'User Dashboard'!AN$15,
IF('SIR Model Patient Calcs'!B231&lt;'User Dashboard'!AJ$17,'User Dashboard'!AN$16,
IF('SIR Model Patient Calcs'!B231&lt;'User Dashboard'!AJ$18,'User Dashboard'!AN$17,
'User Dashboard'!AN$18)))),
IF('User Dashboard'!Z$12=4,
IF('SIR Model Patient Calcs'!B231&lt;'User Dashboard'!AJ$15,'User Dashboard'!AN$14,
IF('SIR Model Patient Calcs'!B231&lt;'User Dashboard'!AJ$16,'User Dashboard'!AN$15,
IF('SIR Model Patient Calcs'!B231&lt;'User Dashboard'!AJ$17,'User Dashboard'!AN$16,
'User Dashboard'!AN$17))),
IF('User Dashboard'!Z$12=3,
IF('SIR Model Patient Calcs'!B231&lt;'User Dashboard'!AJ$15,'User Dashboard'!AN$14,
IF('SIR Model Patient Calcs'!B231&lt;'User Dashboard'!AJ$16,'User Dashboard'!AN$15,
'User Dashboard'!AN$16)),
IF('User Dashboard'!Z$12=2,
IF('SIR Model Patient Calcs'!B231&lt;'User Dashboard'!AJ$15,'User Dashboard'!AN$14,
'User Dashboard'!AN$15),
IF('User Dashboard'!Z$12=1,
'User Dashboard'!AN$14)))))</f>
        <v>15.209356603107825</v>
      </c>
      <c r="D231" s="668">
        <f>'User Dashboard'!X$16</f>
        <v>2.2072878851804097E-2</v>
      </c>
      <c r="E231" s="660">
        <f t="shared" si="29"/>
        <v>8.9862781521070345E-8</v>
      </c>
      <c r="F231" s="660">
        <f t="shared" si="36"/>
        <v>8.9862781521070358E-8</v>
      </c>
      <c r="G231" s="670">
        <f>1/'User Dashboard'!X$12</f>
        <v>0.14285714285714285</v>
      </c>
      <c r="H231" s="359">
        <f t="shared" si="30"/>
        <v>448258.37156507373</v>
      </c>
      <c r="I231" s="672">
        <f t="shared" si="33"/>
        <v>0.8973894080987127</v>
      </c>
      <c r="J231" s="673">
        <f t="shared" si="31"/>
        <v>3287595.3310455186</v>
      </c>
      <c r="K231" s="359">
        <f t="shared" si="34"/>
        <v>3287596.2284349268</v>
      </c>
      <c r="L231" s="673">
        <f t="shared" si="35"/>
        <v>4.0280167944729328E-2</v>
      </c>
    </row>
    <row r="232" spans="1:12" x14ac:dyDescent="0.35">
      <c r="A232" s="287" t="str">
        <f t="shared" si="32"/>
        <v/>
      </c>
      <c r="B232" s="288">
        <v>225</v>
      </c>
      <c r="C232" s="667">
        <f>IF('User Dashboard'!Z$12=5,
IF('SIR Model Patient Calcs'!B232&lt;'User Dashboard'!AJ$15,'User Dashboard'!AN$14,
IF('SIR Model Patient Calcs'!B232&lt;'User Dashboard'!AJ$16,'User Dashboard'!AN$15,
IF('SIR Model Patient Calcs'!B232&lt;'User Dashboard'!AJ$17,'User Dashboard'!AN$16,
IF('SIR Model Patient Calcs'!B232&lt;'User Dashboard'!AJ$18,'User Dashboard'!AN$17,
'User Dashboard'!AN$18)))),
IF('User Dashboard'!Z$12=4,
IF('SIR Model Patient Calcs'!B232&lt;'User Dashboard'!AJ$15,'User Dashboard'!AN$14,
IF('SIR Model Patient Calcs'!B232&lt;'User Dashboard'!AJ$16,'User Dashboard'!AN$15,
IF('SIR Model Patient Calcs'!B232&lt;'User Dashboard'!AJ$17,'User Dashboard'!AN$16,
'User Dashboard'!AN$17))),
IF('User Dashboard'!Z$12=3,
IF('SIR Model Patient Calcs'!B232&lt;'User Dashboard'!AJ$15,'User Dashboard'!AN$14,
IF('SIR Model Patient Calcs'!B232&lt;'User Dashboard'!AJ$16,'User Dashboard'!AN$15,
'User Dashboard'!AN$16)),
IF('User Dashboard'!Z$12=2,
IF('SIR Model Patient Calcs'!B232&lt;'User Dashboard'!AJ$15,'User Dashboard'!AN$14,
'User Dashboard'!AN$15),
IF('User Dashboard'!Z$12=1,
'User Dashboard'!AN$14)))))</f>
        <v>15.209356603107825</v>
      </c>
      <c r="D232" s="668">
        <f>'User Dashboard'!X$16</f>
        <v>2.2072878851804097E-2</v>
      </c>
      <c r="E232" s="660">
        <f t="shared" si="29"/>
        <v>8.9862781521070345E-8</v>
      </c>
      <c r="F232" s="660">
        <f t="shared" si="36"/>
        <v>8.9862781521070358E-8</v>
      </c>
      <c r="G232" s="670">
        <f>1/'User Dashboard'!X$12</f>
        <v>0.14285714285714285</v>
      </c>
      <c r="H232" s="359">
        <f t="shared" si="30"/>
        <v>448258.33541666321</v>
      </c>
      <c r="I232" s="672">
        <f t="shared" si="33"/>
        <v>0.80533933173057615</v>
      </c>
      <c r="J232" s="673">
        <f t="shared" si="31"/>
        <v>3287595.4592440054</v>
      </c>
      <c r="K232" s="359">
        <f t="shared" si="34"/>
        <v>3287596.2645833371</v>
      </c>
      <c r="L232" s="673">
        <f t="shared" si="35"/>
        <v>3.614841029047966E-2</v>
      </c>
    </row>
    <row r="233" spans="1:12" x14ac:dyDescent="0.35">
      <c r="A233" s="287" t="str">
        <f t="shared" si="32"/>
        <v/>
      </c>
      <c r="B233" s="288">
        <v>226</v>
      </c>
      <c r="C233" s="667">
        <f>IF('User Dashboard'!Z$12=5,
IF('SIR Model Patient Calcs'!B233&lt;'User Dashboard'!AJ$15,'User Dashboard'!AN$14,
IF('SIR Model Patient Calcs'!B233&lt;'User Dashboard'!AJ$16,'User Dashboard'!AN$15,
IF('SIR Model Patient Calcs'!B233&lt;'User Dashboard'!AJ$17,'User Dashboard'!AN$16,
IF('SIR Model Patient Calcs'!B233&lt;'User Dashboard'!AJ$18,'User Dashboard'!AN$17,
'User Dashboard'!AN$18)))),
IF('User Dashboard'!Z$12=4,
IF('SIR Model Patient Calcs'!B233&lt;'User Dashboard'!AJ$15,'User Dashboard'!AN$14,
IF('SIR Model Patient Calcs'!B233&lt;'User Dashboard'!AJ$16,'User Dashboard'!AN$15,
IF('SIR Model Patient Calcs'!B233&lt;'User Dashboard'!AJ$17,'User Dashboard'!AN$16,
'User Dashboard'!AN$17))),
IF('User Dashboard'!Z$12=3,
IF('SIR Model Patient Calcs'!B233&lt;'User Dashboard'!AJ$15,'User Dashboard'!AN$14,
IF('SIR Model Patient Calcs'!B233&lt;'User Dashboard'!AJ$16,'User Dashboard'!AN$15,
'User Dashboard'!AN$16)),
IF('User Dashboard'!Z$12=2,
IF('SIR Model Patient Calcs'!B233&lt;'User Dashboard'!AJ$15,'User Dashboard'!AN$14,
'User Dashboard'!AN$15),
IF('User Dashboard'!Z$12=1,
'User Dashboard'!AN$14)))))</f>
        <v>15.209356603107825</v>
      </c>
      <c r="D233" s="668">
        <f>'User Dashboard'!X$16</f>
        <v>2.2072878851804097E-2</v>
      </c>
      <c r="E233" s="660">
        <f t="shared" si="29"/>
        <v>8.9862781521070345E-8</v>
      </c>
      <c r="F233" s="660">
        <f t="shared" si="36"/>
        <v>8.9862781521070358E-8</v>
      </c>
      <c r="G233" s="670">
        <f>1/'User Dashboard'!X$12</f>
        <v>0.14285714285714285</v>
      </c>
      <c r="H233" s="359">
        <f t="shared" si="30"/>
        <v>448258.30297619296</v>
      </c>
      <c r="I233" s="672">
        <f t="shared" si="33"/>
        <v>0.72273132603464185</v>
      </c>
      <c r="J233" s="673">
        <f t="shared" si="31"/>
        <v>3287595.5742924814</v>
      </c>
      <c r="K233" s="359">
        <f t="shared" si="34"/>
        <v>3287596.2970238077</v>
      </c>
      <c r="L233" s="673">
        <f t="shared" si="35"/>
        <v>3.2440470531582832E-2</v>
      </c>
    </row>
    <row r="234" spans="1:12" x14ac:dyDescent="0.35">
      <c r="A234" s="287" t="str">
        <f t="shared" si="32"/>
        <v/>
      </c>
      <c r="B234" s="288">
        <v>227</v>
      </c>
      <c r="C234" s="667">
        <f>IF('User Dashboard'!Z$12=5,
IF('SIR Model Patient Calcs'!B234&lt;'User Dashboard'!AJ$15,'User Dashboard'!AN$14,
IF('SIR Model Patient Calcs'!B234&lt;'User Dashboard'!AJ$16,'User Dashboard'!AN$15,
IF('SIR Model Patient Calcs'!B234&lt;'User Dashboard'!AJ$17,'User Dashboard'!AN$16,
IF('SIR Model Patient Calcs'!B234&lt;'User Dashboard'!AJ$18,'User Dashboard'!AN$17,
'User Dashboard'!AN$18)))),
IF('User Dashboard'!Z$12=4,
IF('SIR Model Patient Calcs'!B234&lt;'User Dashboard'!AJ$15,'User Dashboard'!AN$14,
IF('SIR Model Patient Calcs'!B234&lt;'User Dashboard'!AJ$16,'User Dashboard'!AN$15,
IF('SIR Model Patient Calcs'!B234&lt;'User Dashboard'!AJ$17,'User Dashboard'!AN$16,
'User Dashboard'!AN$17))),
IF('User Dashboard'!Z$12=3,
IF('SIR Model Patient Calcs'!B234&lt;'User Dashboard'!AJ$15,'User Dashboard'!AN$14,
IF('SIR Model Patient Calcs'!B234&lt;'User Dashboard'!AJ$16,'User Dashboard'!AN$15,
'User Dashboard'!AN$16)),
IF('User Dashboard'!Z$12=2,
IF('SIR Model Patient Calcs'!B234&lt;'User Dashboard'!AJ$15,'User Dashboard'!AN$14,
'User Dashboard'!AN$15),
IF('User Dashboard'!Z$12=1,
'User Dashboard'!AN$14)))))</f>
        <v>15.209356603107825</v>
      </c>
      <c r="D234" s="668">
        <f>'User Dashboard'!X$16</f>
        <v>2.2072878851804097E-2</v>
      </c>
      <c r="E234" s="660">
        <f t="shared" si="29"/>
        <v>8.9862781521070345E-8</v>
      </c>
      <c r="F234" s="660">
        <f t="shared" si="36"/>
        <v>8.9862781521070358E-8</v>
      </c>
      <c r="G234" s="670">
        <f>1/'User Dashboard'!X$12</f>
        <v>0.14285714285714285</v>
      </c>
      <c r="H234" s="359">
        <f t="shared" si="30"/>
        <v>448258.27386331907</v>
      </c>
      <c r="I234" s="672">
        <f t="shared" si="33"/>
        <v>0.64859686762420543</v>
      </c>
      <c r="J234" s="673">
        <f t="shared" si="31"/>
        <v>3287595.6775398138</v>
      </c>
      <c r="K234" s="359">
        <f t="shared" si="34"/>
        <v>3287596.3261366813</v>
      </c>
      <c r="L234" s="673">
        <f t="shared" si="35"/>
        <v>2.911287359893322E-2</v>
      </c>
    </row>
    <row r="235" spans="1:12" x14ac:dyDescent="0.35">
      <c r="A235" s="287" t="str">
        <f t="shared" si="32"/>
        <v/>
      </c>
      <c r="B235" s="288">
        <v>228</v>
      </c>
      <c r="C235" s="667">
        <f>IF('User Dashboard'!Z$12=5,
IF('SIR Model Patient Calcs'!B235&lt;'User Dashboard'!AJ$15,'User Dashboard'!AN$14,
IF('SIR Model Patient Calcs'!B235&lt;'User Dashboard'!AJ$16,'User Dashboard'!AN$15,
IF('SIR Model Patient Calcs'!B235&lt;'User Dashboard'!AJ$17,'User Dashboard'!AN$16,
IF('SIR Model Patient Calcs'!B235&lt;'User Dashboard'!AJ$18,'User Dashboard'!AN$17,
'User Dashboard'!AN$18)))),
IF('User Dashboard'!Z$12=4,
IF('SIR Model Patient Calcs'!B235&lt;'User Dashboard'!AJ$15,'User Dashboard'!AN$14,
IF('SIR Model Patient Calcs'!B235&lt;'User Dashboard'!AJ$16,'User Dashboard'!AN$15,
IF('SIR Model Patient Calcs'!B235&lt;'User Dashboard'!AJ$17,'User Dashboard'!AN$16,
'User Dashboard'!AN$17))),
IF('User Dashboard'!Z$12=3,
IF('SIR Model Patient Calcs'!B235&lt;'User Dashboard'!AJ$15,'User Dashboard'!AN$14,
IF('SIR Model Patient Calcs'!B235&lt;'User Dashboard'!AJ$16,'User Dashboard'!AN$15,
'User Dashboard'!AN$16)),
IF('User Dashboard'!Z$12=2,
IF('SIR Model Patient Calcs'!B235&lt;'User Dashboard'!AJ$15,'User Dashboard'!AN$14,
'User Dashboard'!AN$15),
IF('User Dashboard'!Z$12=1,
'User Dashboard'!AN$14)))))</f>
        <v>15.209356603107825</v>
      </c>
      <c r="D235" s="668">
        <f>'User Dashboard'!X$16</f>
        <v>2.2072878851804097E-2</v>
      </c>
      <c r="E235" s="660">
        <f t="shared" si="29"/>
        <v>8.9862781521070345E-8</v>
      </c>
      <c r="F235" s="660">
        <f t="shared" si="36"/>
        <v>8.9862781521070358E-8</v>
      </c>
      <c r="G235" s="670">
        <f>1/'User Dashboard'!X$12</f>
        <v>0.14285714285714285</v>
      </c>
      <c r="H235" s="359">
        <f t="shared" si="30"/>
        <v>448258.2477367117</v>
      </c>
      <c r="I235" s="672">
        <f t="shared" si="33"/>
        <v>0.58206677960629993</v>
      </c>
      <c r="J235" s="673">
        <f t="shared" si="31"/>
        <v>3287595.7701965091</v>
      </c>
      <c r="K235" s="359">
        <f t="shared" si="34"/>
        <v>3287596.3522632886</v>
      </c>
      <c r="L235" s="673">
        <f t="shared" si="35"/>
        <v>2.6126607321202755E-2</v>
      </c>
    </row>
    <row r="236" spans="1:12" x14ac:dyDescent="0.35">
      <c r="A236" s="287" t="str">
        <f t="shared" si="32"/>
        <v/>
      </c>
      <c r="B236" s="288">
        <v>229</v>
      </c>
      <c r="C236" s="667">
        <f>IF('User Dashboard'!Z$12=5,
IF('SIR Model Patient Calcs'!B236&lt;'User Dashboard'!AJ$15,'User Dashboard'!AN$14,
IF('SIR Model Patient Calcs'!B236&lt;'User Dashboard'!AJ$16,'User Dashboard'!AN$15,
IF('SIR Model Patient Calcs'!B236&lt;'User Dashboard'!AJ$17,'User Dashboard'!AN$16,
IF('SIR Model Patient Calcs'!B236&lt;'User Dashboard'!AJ$18,'User Dashboard'!AN$17,
'User Dashboard'!AN$18)))),
IF('User Dashboard'!Z$12=4,
IF('SIR Model Patient Calcs'!B236&lt;'User Dashboard'!AJ$15,'User Dashboard'!AN$14,
IF('SIR Model Patient Calcs'!B236&lt;'User Dashboard'!AJ$16,'User Dashboard'!AN$15,
IF('SIR Model Patient Calcs'!B236&lt;'User Dashboard'!AJ$17,'User Dashboard'!AN$16,
'User Dashboard'!AN$17))),
IF('User Dashboard'!Z$12=3,
IF('SIR Model Patient Calcs'!B236&lt;'User Dashboard'!AJ$15,'User Dashboard'!AN$14,
IF('SIR Model Patient Calcs'!B236&lt;'User Dashboard'!AJ$16,'User Dashboard'!AN$15,
'User Dashboard'!AN$16)),
IF('User Dashboard'!Z$12=2,
IF('SIR Model Patient Calcs'!B236&lt;'User Dashboard'!AJ$15,'User Dashboard'!AN$14,
'User Dashboard'!AN$15),
IF('User Dashboard'!Z$12=1,
'User Dashboard'!AN$14)))))</f>
        <v>15.209356603107825</v>
      </c>
      <c r="D236" s="668">
        <f>'User Dashboard'!X$16</f>
        <v>2.2072878851804097E-2</v>
      </c>
      <c r="E236" s="660">
        <f t="shared" si="29"/>
        <v>8.9862781521070345E-8</v>
      </c>
      <c r="F236" s="660">
        <f t="shared" si="36"/>
        <v>8.9862781521070358E-8</v>
      </c>
      <c r="G236" s="670">
        <f>1/'User Dashboard'!X$12</f>
        <v>0.14285714285714285</v>
      </c>
      <c r="H236" s="359">
        <f t="shared" si="30"/>
        <v>448258.22429005313</v>
      </c>
      <c r="I236" s="672">
        <f t="shared" si="33"/>
        <v>0.52236104111311954</v>
      </c>
      <c r="J236" s="673">
        <f t="shared" si="31"/>
        <v>3287595.8533489062</v>
      </c>
      <c r="K236" s="359">
        <f t="shared" si="34"/>
        <v>3287596.3757099472</v>
      </c>
      <c r="L236" s="673">
        <f t="shared" si="35"/>
        <v>2.3446658626198769E-2</v>
      </c>
    </row>
    <row r="237" spans="1:12" x14ac:dyDescent="0.35">
      <c r="A237" s="287" t="str">
        <f t="shared" si="32"/>
        <v/>
      </c>
      <c r="B237" s="288">
        <v>230</v>
      </c>
      <c r="C237" s="667">
        <f>IF('User Dashboard'!Z$12=5,
IF('SIR Model Patient Calcs'!B237&lt;'User Dashboard'!AJ$15,'User Dashboard'!AN$14,
IF('SIR Model Patient Calcs'!B237&lt;'User Dashboard'!AJ$16,'User Dashboard'!AN$15,
IF('SIR Model Patient Calcs'!B237&lt;'User Dashboard'!AJ$17,'User Dashboard'!AN$16,
IF('SIR Model Patient Calcs'!B237&lt;'User Dashboard'!AJ$18,'User Dashboard'!AN$17,
'User Dashboard'!AN$18)))),
IF('User Dashboard'!Z$12=4,
IF('SIR Model Patient Calcs'!B237&lt;'User Dashboard'!AJ$15,'User Dashboard'!AN$14,
IF('SIR Model Patient Calcs'!B237&lt;'User Dashboard'!AJ$16,'User Dashboard'!AN$15,
IF('SIR Model Patient Calcs'!B237&lt;'User Dashboard'!AJ$17,'User Dashboard'!AN$16,
'User Dashboard'!AN$17))),
IF('User Dashboard'!Z$12=3,
IF('SIR Model Patient Calcs'!B237&lt;'User Dashboard'!AJ$15,'User Dashboard'!AN$14,
IF('SIR Model Patient Calcs'!B237&lt;'User Dashboard'!AJ$16,'User Dashboard'!AN$15,
'User Dashboard'!AN$16)),
IF('User Dashboard'!Z$12=2,
IF('SIR Model Patient Calcs'!B237&lt;'User Dashboard'!AJ$15,'User Dashboard'!AN$14,
'User Dashboard'!AN$15),
IF('User Dashboard'!Z$12=1,
'User Dashboard'!AN$14)))))</f>
        <v>15.209356603107825</v>
      </c>
      <c r="D237" s="668">
        <f>'User Dashboard'!X$16</f>
        <v>2.2072878851804097E-2</v>
      </c>
      <c r="E237" s="660">
        <f t="shared" si="29"/>
        <v>8.9862781521070345E-8</v>
      </c>
      <c r="F237" s="660">
        <f t="shared" si="36"/>
        <v>8.9862781521070358E-8</v>
      </c>
      <c r="G237" s="670">
        <f>1/'User Dashboard'!X$12</f>
        <v>0.14285714285714285</v>
      </c>
      <c r="H237" s="359">
        <f t="shared" si="30"/>
        <v>448258.20324844623</v>
      </c>
      <c r="I237" s="672">
        <f t="shared" si="33"/>
        <v>0.46877964211720685</v>
      </c>
      <c r="J237" s="673">
        <f t="shared" si="31"/>
        <v>3287595.9279719121</v>
      </c>
      <c r="K237" s="359">
        <f t="shared" si="34"/>
        <v>3287596.3967515542</v>
      </c>
      <c r="L237" s="673">
        <f t="shared" si="35"/>
        <v>2.1041607018560171E-2</v>
      </c>
    </row>
    <row r="238" spans="1:12" x14ac:dyDescent="0.35">
      <c r="A238" s="287" t="str">
        <f t="shared" si="32"/>
        <v/>
      </c>
      <c r="B238" s="288">
        <v>231</v>
      </c>
      <c r="C238" s="667">
        <f>IF('User Dashboard'!Z$12=5,
IF('SIR Model Patient Calcs'!B238&lt;'User Dashboard'!AJ$15,'User Dashboard'!AN$14,
IF('SIR Model Patient Calcs'!B238&lt;'User Dashboard'!AJ$16,'User Dashboard'!AN$15,
IF('SIR Model Patient Calcs'!B238&lt;'User Dashboard'!AJ$17,'User Dashboard'!AN$16,
IF('SIR Model Patient Calcs'!B238&lt;'User Dashboard'!AJ$18,'User Dashboard'!AN$17,
'User Dashboard'!AN$18)))),
IF('User Dashboard'!Z$12=4,
IF('SIR Model Patient Calcs'!B238&lt;'User Dashboard'!AJ$15,'User Dashboard'!AN$14,
IF('SIR Model Patient Calcs'!B238&lt;'User Dashboard'!AJ$16,'User Dashboard'!AN$15,
IF('SIR Model Patient Calcs'!B238&lt;'User Dashboard'!AJ$17,'User Dashboard'!AN$16,
'User Dashboard'!AN$17))),
IF('User Dashboard'!Z$12=3,
IF('SIR Model Patient Calcs'!B238&lt;'User Dashboard'!AJ$15,'User Dashboard'!AN$14,
IF('SIR Model Patient Calcs'!B238&lt;'User Dashboard'!AJ$16,'User Dashboard'!AN$15,
'User Dashboard'!AN$16)),
IF('User Dashboard'!Z$12=2,
IF('SIR Model Patient Calcs'!B238&lt;'User Dashboard'!AJ$15,'User Dashboard'!AN$14,
'User Dashboard'!AN$15),
IF('User Dashboard'!Z$12=1,
'User Dashboard'!AN$14)))))</f>
        <v>15.209356603107825</v>
      </c>
      <c r="D238" s="668">
        <f>'User Dashboard'!X$16</f>
        <v>2.2072878851804097E-2</v>
      </c>
      <c r="E238" s="660">
        <f t="shared" si="29"/>
        <v>8.9862781521070358E-8</v>
      </c>
      <c r="F238" s="660">
        <f t="shared" si="36"/>
        <v>8.9862781521070358E-8</v>
      </c>
      <c r="G238" s="670">
        <f>1/'User Dashboard'!X$12</f>
        <v>0.14285714285714285</v>
      </c>
      <c r="H238" s="359">
        <f t="shared" si="30"/>
        <v>448258.18436519173</v>
      </c>
      <c r="I238" s="672">
        <f t="shared" si="33"/>
        <v>0.42069437631151618</v>
      </c>
      <c r="J238" s="673">
        <f t="shared" si="31"/>
        <v>3287595.9949404323</v>
      </c>
      <c r="K238" s="359">
        <f t="shared" si="34"/>
        <v>3287596.4156348086</v>
      </c>
      <c r="L238" s="673">
        <f t="shared" si="35"/>
        <v>1.8883254379034042E-2</v>
      </c>
    </row>
    <row r="239" spans="1:12" x14ac:dyDescent="0.35">
      <c r="A239" s="287" t="str">
        <f t="shared" si="32"/>
        <v/>
      </c>
      <c r="B239" s="288">
        <v>232</v>
      </c>
      <c r="C239" s="667">
        <f>IF('User Dashboard'!Z$12=5,
IF('SIR Model Patient Calcs'!B239&lt;'User Dashboard'!AJ$15,'User Dashboard'!AN$14,
IF('SIR Model Patient Calcs'!B239&lt;'User Dashboard'!AJ$16,'User Dashboard'!AN$15,
IF('SIR Model Patient Calcs'!B239&lt;'User Dashboard'!AJ$17,'User Dashboard'!AN$16,
IF('SIR Model Patient Calcs'!B239&lt;'User Dashboard'!AJ$18,'User Dashboard'!AN$17,
'User Dashboard'!AN$18)))),
IF('User Dashboard'!Z$12=4,
IF('SIR Model Patient Calcs'!B239&lt;'User Dashboard'!AJ$15,'User Dashboard'!AN$14,
IF('SIR Model Patient Calcs'!B239&lt;'User Dashboard'!AJ$16,'User Dashboard'!AN$15,
IF('SIR Model Patient Calcs'!B239&lt;'User Dashboard'!AJ$17,'User Dashboard'!AN$16,
'User Dashboard'!AN$17))),
IF('User Dashboard'!Z$12=3,
IF('SIR Model Patient Calcs'!B239&lt;'User Dashboard'!AJ$15,'User Dashboard'!AN$14,
IF('SIR Model Patient Calcs'!B239&lt;'User Dashboard'!AJ$16,'User Dashboard'!AN$15,
'User Dashboard'!AN$16)),
IF('User Dashboard'!Z$12=2,
IF('SIR Model Patient Calcs'!B239&lt;'User Dashboard'!AJ$15,'User Dashboard'!AN$14,
'User Dashboard'!AN$15),
IF('User Dashboard'!Z$12=1,
'User Dashboard'!AN$14)))))</f>
        <v>15.209356603107825</v>
      </c>
      <c r="D239" s="668">
        <f>'User Dashboard'!X$16</f>
        <v>2.2072878851804097E-2</v>
      </c>
      <c r="E239" s="660">
        <f t="shared" si="29"/>
        <v>8.9862781521070358E-8</v>
      </c>
      <c r="F239" s="660">
        <f t="shared" si="36"/>
        <v>8.9862781521070358E-8</v>
      </c>
      <c r="G239" s="670">
        <f>1/'User Dashboard'!X$12</f>
        <v>0.14285714285714285</v>
      </c>
      <c r="H239" s="359">
        <f t="shared" si="30"/>
        <v>448258.16741889558</v>
      </c>
      <c r="I239" s="672">
        <f t="shared" si="33"/>
        <v>0.37754147583318926</v>
      </c>
      <c r="J239" s="673">
        <f t="shared" si="31"/>
        <v>3287596.0550396289</v>
      </c>
      <c r="K239" s="359">
        <f t="shared" si="34"/>
        <v>3287596.4325811048</v>
      </c>
      <c r="L239" s="673">
        <f t="shared" si="35"/>
        <v>1.6946296207606792E-2</v>
      </c>
    </row>
    <row r="240" spans="1:12" x14ac:dyDescent="0.35">
      <c r="A240" s="287" t="str">
        <f t="shared" si="32"/>
        <v/>
      </c>
      <c r="B240" s="288">
        <v>233</v>
      </c>
      <c r="C240" s="667">
        <f>IF('User Dashboard'!Z$12=5,
IF('SIR Model Patient Calcs'!B240&lt;'User Dashboard'!AJ$15,'User Dashboard'!AN$14,
IF('SIR Model Patient Calcs'!B240&lt;'User Dashboard'!AJ$16,'User Dashboard'!AN$15,
IF('SIR Model Patient Calcs'!B240&lt;'User Dashboard'!AJ$17,'User Dashboard'!AN$16,
IF('SIR Model Patient Calcs'!B240&lt;'User Dashboard'!AJ$18,'User Dashboard'!AN$17,
'User Dashboard'!AN$18)))),
IF('User Dashboard'!Z$12=4,
IF('SIR Model Patient Calcs'!B240&lt;'User Dashboard'!AJ$15,'User Dashboard'!AN$14,
IF('SIR Model Patient Calcs'!B240&lt;'User Dashboard'!AJ$16,'User Dashboard'!AN$15,
IF('SIR Model Patient Calcs'!B240&lt;'User Dashboard'!AJ$17,'User Dashboard'!AN$16,
'User Dashboard'!AN$17))),
IF('User Dashboard'!Z$12=3,
IF('SIR Model Patient Calcs'!B240&lt;'User Dashboard'!AJ$15,'User Dashboard'!AN$14,
IF('SIR Model Patient Calcs'!B240&lt;'User Dashboard'!AJ$16,'User Dashboard'!AN$15,
'User Dashboard'!AN$16)),
IF('User Dashboard'!Z$12=2,
IF('SIR Model Patient Calcs'!B240&lt;'User Dashboard'!AJ$15,'User Dashboard'!AN$14,
'User Dashboard'!AN$15),
IF('User Dashboard'!Z$12=1,
'User Dashboard'!AN$14)))))</f>
        <v>15.209356603107825</v>
      </c>
      <c r="D240" s="668">
        <f>'User Dashboard'!X$16</f>
        <v>2.2072878851804097E-2</v>
      </c>
      <c r="E240" s="660">
        <f t="shared" si="29"/>
        <v>8.9862781521070358E-8</v>
      </c>
      <c r="F240" s="660">
        <f t="shared" si="36"/>
        <v>8.9862781521070358E-8</v>
      </c>
      <c r="G240" s="670">
        <f>1/'User Dashboard'!X$12</f>
        <v>0.14285714285714285</v>
      </c>
      <c r="H240" s="359">
        <f t="shared" si="30"/>
        <v>448258.15221087338</v>
      </c>
      <c r="I240" s="672">
        <f t="shared" si="33"/>
        <v>0.3388150014795635</v>
      </c>
      <c r="J240" s="673">
        <f t="shared" si="31"/>
        <v>3287596.1089741252</v>
      </c>
      <c r="K240" s="359">
        <f t="shared" si="34"/>
        <v>3287596.4477891265</v>
      </c>
      <c r="L240" s="673">
        <f t="shared" si="35"/>
        <v>1.5208021737635136E-2</v>
      </c>
    </row>
    <row r="241" spans="1:12" x14ac:dyDescent="0.35">
      <c r="A241" s="287" t="str">
        <f t="shared" si="32"/>
        <v/>
      </c>
      <c r="B241" s="288">
        <v>234</v>
      </c>
      <c r="C241" s="667">
        <f>IF('User Dashboard'!Z$12=5,
IF('SIR Model Patient Calcs'!B241&lt;'User Dashboard'!AJ$15,'User Dashboard'!AN$14,
IF('SIR Model Patient Calcs'!B241&lt;'User Dashboard'!AJ$16,'User Dashboard'!AN$15,
IF('SIR Model Patient Calcs'!B241&lt;'User Dashboard'!AJ$17,'User Dashboard'!AN$16,
IF('SIR Model Patient Calcs'!B241&lt;'User Dashboard'!AJ$18,'User Dashboard'!AN$17,
'User Dashboard'!AN$18)))),
IF('User Dashboard'!Z$12=4,
IF('SIR Model Patient Calcs'!B241&lt;'User Dashboard'!AJ$15,'User Dashboard'!AN$14,
IF('SIR Model Patient Calcs'!B241&lt;'User Dashboard'!AJ$16,'User Dashboard'!AN$15,
IF('SIR Model Patient Calcs'!B241&lt;'User Dashboard'!AJ$17,'User Dashboard'!AN$16,
'User Dashboard'!AN$17))),
IF('User Dashboard'!Z$12=3,
IF('SIR Model Patient Calcs'!B241&lt;'User Dashboard'!AJ$15,'User Dashboard'!AN$14,
IF('SIR Model Patient Calcs'!B241&lt;'User Dashboard'!AJ$16,'User Dashboard'!AN$15,
'User Dashboard'!AN$16)),
IF('User Dashboard'!Z$12=2,
IF('SIR Model Patient Calcs'!B241&lt;'User Dashboard'!AJ$15,'User Dashboard'!AN$14,
'User Dashboard'!AN$15),
IF('User Dashboard'!Z$12=1,
'User Dashboard'!AN$14)))))</f>
        <v>15.209356603107825</v>
      </c>
      <c r="D241" s="668">
        <f>'User Dashboard'!X$16</f>
        <v>2.2072878851804097E-2</v>
      </c>
      <c r="E241" s="660">
        <f t="shared" si="29"/>
        <v>8.9862781521070358E-8</v>
      </c>
      <c r="F241" s="660">
        <f t="shared" si="36"/>
        <v>8.9862781521070358E-8</v>
      </c>
      <c r="G241" s="670">
        <f>1/'User Dashboard'!X$12</f>
        <v>0.14285714285714285</v>
      </c>
      <c r="H241" s="359">
        <f t="shared" si="30"/>
        <v>448258.13856282085</v>
      </c>
      <c r="I241" s="672">
        <f t="shared" si="33"/>
        <v>0.30406091092227905</v>
      </c>
      <c r="J241" s="673">
        <f t="shared" si="31"/>
        <v>3287596.1573762684</v>
      </c>
      <c r="K241" s="359">
        <f t="shared" si="34"/>
        <v>3287596.4614371792</v>
      </c>
      <c r="L241" s="673">
        <f t="shared" si="35"/>
        <v>1.3648052699863911E-2</v>
      </c>
    </row>
    <row r="242" spans="1:12" x14ac:dyDescent="0.35">
      <c r="A242" s="287" t="str">
        <f t="shared" si="32"/>
        <v/>
      </c>
      <c r="B242" s="288">
        <v>235</v>
      </c>
      <c r="C242" s="667">
        <f>IF('User Dashboard'!Z$12=5,
IF('SIR Model Patient Calcs'!B242&lt;'User Dashboard'!AJ$15,'User Dashboard'!AN$14,
IF('SIR Model Patient Calcs'!B242&lt;'User Dashboard'!AJ$16,'User Dashboard'!AN$15,
IF('SIR Model Patient Calcs'!B242&lt;'User Dashboard'!AJ$17,'User Dashboard'!AN$16,
IF('SIR Model Patient Calcs'!B242&lt;'User Dashboard'!AJ$18,'User Dashboard'!AN$17,
'User Dashboard'!AN$18)))),
IF('User Dashboard'!Z$12=4,
IF('SIR Model Patient Calcs'!B242&lt;'User Dashboard'!AJ$15,'User Dashboard'!AN$14,
IF('SIR Model Patient Calcs'!B242&lt;'User Dashboard'!AJ$16,'User Dashboard'!AN$15,
IF('SIR Model Patient Calcs'!B242&lt;'User Dashboard'!AJ$17,'User Dashboard'!AN$16,
'User Dashboard'!AN$17))),
IF('User Dashboard'!Z$12=3,
IF('SIR Model Patient Calcs'!B242&lt;'User Dashboard'!AJ$15,'User Dashboard'!AN$14,
IF('SIR Model Patient Calcs'!B242&lt;'User Dashboard'!AJ$16,'User Dashboard'!AN$15,
'User Dashboard'!AN$16)),
IF('User Dashboard'!Z$12=2,
IF('SIR Model Patient Calcs'!B242&lt;'User Dashboard'!AJ$15,'User Dashboard'!AN$14,
'User Dashboard'!AN$15),
IF('User Dashboard'!Z$12=1,
'User Dashboard'!AN$14)))))</f>
        <v>15.209356603107825</v>
      </c>
      <c r="D242" s="668">
        <f>'User Dashboard'!X$16</f>
        <v>2.2072878851804097E-2</v>
      </c>
      <c r="E242" s="660">
        <f t="shared" si="29"/>
        <v>8.9862781521070358E-8</v>
      </c>
      <c r="F242" s="660">
        <f t="shared" si="36"/>
        <v>8.9862781521070358E-8</v>
      </c>
      <c r="G242" s="670">
        <f>1/'User Dashboard'!X$12</f>
        <v>0.14285714285714285</v>
      </c>
      <c r="H242" s="359">
        <f t="shared" si="30"/>
        <v>448258.1263147234</v>
      </c>
      <c r="I242" s="672">
        <f t="shared" si="33"/>
        <v>0.27287173537418796</v>
      </c>
      <c r="J242" s="673">
        <f t="shared" si="31"/>
        <v>3287596.2008135412</v>
      </c>
      <c r="K242" s="359">
        <f t="shared" si="34"/>
        <v>3287596.4736852767</v>
      </c>
      <c r="L242" s="673">
        <f t="shared" si="35"/>
        <v>1.2248097453266382E-2</v>
      </c>
    </row>
    <row r="243" spans="1:12" x14ac:dyDescent="0.35">
      <c r="A243" s="287" t="str">
        <f t="shared" si="32"/>
        <v/>
      </c>
      <c r="B243" s="288">
        <v>236</v>
      </c>
      <c r="C243" s="667">
        <f>IF('User Dashboard'!Z$12=5,
IF('SIR Model Patient Calcs'!B243&lt;'User Dashboard'!AJ$15,'User Dashboard'!AN$14,
IF('SIR Model Patient Calcs'!B243&lt;'User Dashboard'!AJ$16,'User Dashboard'!AN$15,
IF('SIR Model Patient Calcs'!B243&lt;'User Dashboard'!AJ$17,'User Dashboard'!AN$16,
IF('SIR Model Patient Calcs'!B243&lt;'User Dashboard'!AJ$18,'User Dashboard'!AN$17,
'User Dashboard'!AN$18)))),
IF('User Dashboard'!Z$12=4,
IF('SIR Model Patient Calcs'!B243&lt;'User Dashboard'!AJ$15,'User Dashboard'!AN$14,
IF('SIR Model Patient Calcs'!B243&lt;'User Dashboard'!AJ$16,'User Dashboard'!AN$15,
IF('SIR Model Patient Calcs'!B243&lt;'User Dashboard'!AJ$17,'User Dashboard'!AN$16,
'User Dashboard'!AN$17))),
IF('User Dashboard'!Z$12=3,
IF('SIR Model Patient Calcs'!B243&lt;'User Dashboard'!AJ$15,'User Dashboard'!AN$14,
IF('SIR Model Patient Calcs'!B243&lt;'User Dashboard'!AJ$16,'User Dashboard'!AN$15,
'User Dashboard'!AN$16)),
IF('User Dashboard'!Z$12=2,
IF('SIR Model Patient Calcs'!B243&lt;'User Dashboard'!AJ$15,'User Dashboard'!AN$14,
'User Dashboard'!AN$15),
IF('User Dashboard'!Z$12=1,
'User Dashboard'!AN$14)))))</f>
        <v>15.209356603107825</v>
      </c>
      <c r="D243" s="668">
        <f>'User Dashboard'!X$16</f>
        <v>2.2072878851804097E-2</v>
      </c>
      <c r="E243" s="660">
        <f t="shared" si="29"/>
        <v>8.9862781521070358E-8</v>
      </c>
      <c r="F243" s="660">
        <f t="shared" si="36"/>
        <v>8.9862781521070358E-8</v>
      </c>
      <c r="G243" s="670">
        <f>1/'User Dashboard'!X$12</f>
        <v>0.14285714285714285</v>
      </c>
      <c r="H243" s="359">
        <f t="shared" si="30"/>
        <v>448258.11532297998</v>
      </c>
      <c r="I243" s="672">
        <f t="shared" si="33"/>
        <v>0.24488180229728029</v>
      </c>
      <c r="J243" s="673">
        <f t="shared" si="31"/>
        <v>3287596.2397952178</v>
      </c>
      <c r="K243" s="359">
        <f t="shared" si="34"/>
        <v>3287596.48467702</v>
      </c>
      <c r="L243" s="673">
        <f t="shared" si="35"/>
        <v>1.0991743300110102E-2</v>
      </c>
    </row>
    <row r="244" spans="1:12" x14ac:dyDescent="0.35">
      <c r="A244" s="287" t="str">
        <f t="shared" si="32"/>
        <v/>
      </c>
      <c r="B244" s="288">
        <v>237</v>
      </c>
      <c r="C244" s="667">
        <f>IF('User Dashboard'!Z$12=5,
IF('SIR Model Patient Calcs'!B244&lt;'User Dashboard'!AJ$15,'User Dashboard'!AN$14,
IF('SIR Model Patient Calcs'!B244&lt;'User Dashboard'!AJ$16,'User Dashboard'!AN$15,
IF('SIR Model Patient Calcs'!B244&lt;'User Dashboard'!AJ$17,'User Dashboard'!AN$16,
IF('SIR Model Patient Calcs'!B244&lt;'User Dashboard'!AJ$18,'User Dashboard'!AN$17,
'User Dashboard'!AN$18)))),
IF('User Dashboard'!Z$12=4,
IF('SIR Model Patient Calcs'!B244&lt;'User Dashboard'!AJ$15,'User Dashboard'!AN$14,
IF('SIR Model Patient Calcs'!B244&lt;'User Dashboard'!AJ$16,'User Dashboard'!AN$15,
IF('SIR Model Patient Calcs'!B244&lt;'User Dashboard'!AJ$17,'User Dashboard'!AN$16,
'User Dashboard'!AN$17))),
IF('User Dashboard'!Z$12=3,
IF('SIR Model Patient Calcs'!B244&lt;'User Dashboard'!AJ$15,'User Dashboard'!AN$14,
IF('SIR Model Patient Calcs'!B244&lt;'User Dashboard'!AJ$16,'User Dashboard'!AN$15,
'User Dashboard'!AN$16)),
IF('User Dashboard'!Z$12=2,
IF('SIR Model Patient Calcs'!B244&lt;'User Dashboard'!AJ$15,'User Dashboard'!AN$14,
'User Dashboard'!AN$15),
IF('User Dashboard'!Z$12=1,
'User Dashboard'!AN$14)))))</f>
        <v>15.209356603107825</v>
      </c>
      <c r="D244" s="668">
        <f>'User Dashboard'!X$16</f>
        <v>2.2072878851804097E-2</v>
      </c>
      <c r="E244" s="660">
        <f t="shared" si="29"/>
        <v>8.9862781521070358E-8</v>
      </c>
      <c r="F244" s="660">
        <f t="shared" si="36"/>
        <v>8.9862781521070372E-8</v>
      </c>
      <c r="G244" s="670">
        <f>1/'User Dashboard'!X$12</f>
        <v>0.14285714285714285</v>
      </c>
      <c r="H244" s="359">
        <f t="shared" si="30"/>
        <v>448258.10545871954</v>
      </c>
      <c r="I244" s="672">
        <f t="shared" si="33"/>
        <v>0.21976294814165692</v>
      </c>
      <c r="J244" s="673">
        <f t="shared" si="31"/>
        <v>3287596.2747783326</v>
      </c>
      <c r="K244" s="359">
        <f t="shared" si="34"/>
        <v>3287596.4945412809</v>
      </c>
      <c r="L244" s="673">
        <f t="shared" si="35"/>
        <v>9.864260908216238E-3</v>
      </c>
    </row>
    <row r="245" spans="1:12" x14ac:dyDescent="0.35">
      <c r="A245" s="287" t="str">
        <f t="shared" si="32"/>
        <v/>
      </c>
      <c r="B245" s="288">
        <v>238</v>
      </c>
      <c r="C245" s="667">
        <f>IF('User Dashboard'!Z$12=5,
IF('SIR Model Patient Calcs'!B245&lt;'User Dashboard'!AJ$15,'User Dashboard'!AN$14,
IF('SIR Model Patient Calcs'!B245&lt;'User Dashboard'!AJ$16,'User Dashboard'!AN$15,
IF('SIR Model Patient Calcs'!B245&lt;'User Dashboard'!AJ$17,'User Dashboard'!AN$16,
IF('SIR Model Patient Calcs'!B245&lt;'User Dashboard'!AJ$18,'User Dashboard'!AN$17,
'User Dashboard'!AN$18)))),
IF('User Dashboard'!Z$12=4,
IF('SIR Model Patient Calcs'!B245&lt;'User Dashboard'!AJ$15,'User Dashboard'!AN$14,
IF('SIR Model Patient Calcs'!B245&lt;'User Dashboard'!AJ$16,'User Dashboard'!AN$15,
IF('SIR Model Patient Calcs'!B245&lt;'User Dashboard'!AJ$17,'User Dashboard'!AN$16,
'User Dashboard'!AN$17))),
IF('User Dashboard'!Z$12=3,
IF('SIR Model Patient Calcs'!B245&lt;'User Dashboard'!AJ$15,'User Dashboard'!AN$14,
IF('SIR Model Patient Calcs'!B245&lt;'User Dashboard'!AJ$16,'User Dashboard'!AN$15,
'User Dashboard'!AN$16)),
IF('User Dashboard'!Z$12=2,
IF('SIR Model Patient Calcs'!B245&lt;'User Dashboard'!AJ$15,'User Dashboard'!AN$14,
'User Dashboard'!AN$15),
IF('User Dashboard'!Z$12=1,
'User Dashboard'!AN$14)))))</f>
        <v>15.209356603107825</v>
      </c>
      <c r="D245" s="668">
        <f>'User Dashboard'!X$16</f>
        <v>2.2072878851804097E-2</v>
      </c>
      <c r="E245" s="660">
        <f t="shared" si="29"/>
        <v>8.9862781521070345E-8</v>
      </c>
      <c r="F245" s="660">
        <f t="shared" si="36"/>
        <v>8.9862781521070372E-8</v>
      </c>
      <c r="G245" s="670">
        <f>1/'User Dashboard'!X$12</f>
        <v>0.14285714285714285</v>
      </c>
      <c r="H245" s="359">
        <f t="shared" si="30"/>
        <v>448258.09660628997</v>
      </c>
      <c r="I245" s="672">
        <f t="shared" si="33"/>
        <v>0.19722067085074255</v>
      </c>
      <c r="J245" s="673">
        <f t="shared" si="31"/>
        <v>3287596.3061730396</v>
      </c>
      <c r="K245" s="359">
        <f t="shared" si="34"/>
        <v>3287596.5033937106</v>
      </c>
      <c r="L245" s="673">
        <f t="shared" si="35"/>
        <v>8.8524296879768372E-3</v>
      </c>
    </row>
    <row r="246" spans="1:12" x14ac:dyDescent="0.35">
      <c r="A246" s="287" t="str">
        <f t="shared" si="32"/>
        <v/>
      </c>
      <c r="B246" s="288">
        <v>239</v>
      </c>
      <c r="C246" s="667">
        <f>IF('User Dashboard'!Z$12=5,
IF('SIR Model Patient Calcs'!B246&lt;'User Dashboard'!AJ$15,'User Dashboard'!AN$14,
IF('SIR Model Patient Calcs'!B246&lt;'User Dashboard'!AJ$16,'User Dashboard'!AN$15,
IF('SIR Model Patient Calcs'!B246&lt;'User Dashboard'!AJ$17,'User Dashboard'!AN$16,
IF('SIR Model Patient Calcs'!B246&lt;'User Dashboard'!AJ$18,'User Dashboard'!AN$17,
'User Dashboard'!AN$18)))),
IF('User Dashboard'!Z$12=4,
IF('SIR Model Patient Calcs'!B246&lt;'User Dashboard'!AJ$15,'User Dashboard'!AN$14,
IF('SIR Model Patient Calcs'!B246&lt;'User Dashboard'!AJ$16,'User Dashboard'!AN$15,
IF('SIR Model Patient Calcs'!B246&lt;'User Dashboard'!AJ$17,'User Dashboard'!AN$16,
'User Dashboard'!AN$17))),
IF('User Dashboard'!Z$12=3,
IF('SIR Model Patient Calcs'!B246&lt;'User Dashboard'!AJ$15,'User Dashboard'!AN$14,
IF('SIR Model Patient Calcs'!B246&lt;'User Dashboard'!AJ$16,'User Dashboard'!AN$15,
'User Dashboard'!AN$16)),
IF('User Dashboard'!Z$12=2,
IF('SIR Model Patient Calcs'!B246&lt;'User Dashboard'!AJ$15,'User Dashboard'!AN$14,
'User Dashboard'!AN$15),
IF('User Dashboard'!Z$12=1,
'User Dashboard'!AN$14)))))</f>
        <v>15.209356603107825</v>
      </c>
      <c r="D246" s="668">
        <f>'User Dashboard'!X$16</f>
        <v>2.2072878851804097E-2</v>
      </c>
      <c r="E246" s="660">
        <f t="shared" si="29"/>
        <v>8.9862781521070345E-8</v>
      </c>
      <c r="F246" s="660">
        <f t="shared" si="36"/>
        <v>8.9862781521070372E-8</v>
      </c>
      <c r="G246" s="670">
        <f>1/'User Dashboard'!X$12</f>
        <v>0.14285714285714285</v>
      </c>
      <c r="H246" s="359">
        <f t="shared" si="30"/>
        <v>448258.08866190223</v>
      </c>
      <c r="I246" s="672">
        <f t="shared" si="33"/>
        <v>0.17699067702380117</v>
      </c>
      <c r="J246" s="673">
        <f t="shared" si="31"/>
        <v>3287596.3343474213</v>
      </c>
      <c r="K246" s="359">
        <f t="shared" si="34"/>
        <v>3287596.5113380984</v>
      </c>
      <c r="L246" s="673">
        <f t="shared" si="35"/>
        <v>7.9443878494203091E-3</v>
      </c>
    </row>
    <row r="247" spans="1:12" x14ac:dyDescent="0.35">
      <c r="A247" s="287" t="str">
        <f t="shared" si="32"/>
        <v/>
      </c>
      <c r="B247" s="288">
        <v>240</v>
      </c>
      <c r="C247" s="667">
        <f>IF('User Dashboard'!Z$12=5,
IF('SIR Model Patient Calcs'!B247&lt;'User Dashboard'!AJ$15,'User Dashboard'!AN$14,
IF('SIR Model Patient Calcs'!B247&lt;'User Dashboard'!AJ$16,'User Dashboard'!AN$15,
IF('SIR Model Patient Calcs'!B247&lt;'User Dashboard'!AJ$17,'User Dashboard'!AN$16,
IF('SIR Model Patient Calcs'!B247&lt;'User Dashboard'!AJ$18,'User Dashboard'!AN$17,
'User Dashboard'!AN$18)))),
IF('User Dashboard'!Z$12=4,
IF('SIR Model Patient Calcs'!B247&lt;'User Dashboard'!AJ$15,'User Dashboard'!AN$14,
IF('SIR Model Patient Calcs'!B247&lt;'User Dashboard'!AJ$16,'User Dashboard'!AN$15,
IF('SIR Model Patient Calcs'!B247&lt;'User Dashboard'!AJ$17,'User Dashboard'!AN$16,
'User Dashboard'!AN$17))),
IF('User Dashboard'!Z$12=3,
IF('SIR Model Patient Calcs'!B247&lt;'User Dashboard'!AJ$15,'User Dashboard'!AN$14,
IF('SIR Model Patient Calcs'!B247&lt;'User Dashboard'!AJ$16,'User Dashboard'!AN$15,
'User Dashboard'!AN$16)),
IF('User Dashboard'!Z$12=2,
IF('SIR Model Patient Calcs'!B247&lt;'User Dashboard'!AJ$15,'User Dashboard'!AN$14,
'User Dashboard'!AN$15),
IF('User Dashboard'!Z$12=1,
'User Dashboard'!AN$14)))))</f>
        <v>15.209356603107825</v>
      </c>
      <c r="D247" s="668">
        <f>'User Dashboard'!X$16</f>
        <v>2.2072878851804097E-2</v>
      </c>
      <c r="E247" s="660">
        <f t="shared" si="29"/>
        <v>8.9862781521070345E-8</v>
      </c>
      <c r="F247" s="660">
        <f t="shared" si="36"/>
        <v>8.9862781521070372E-8</v>
      </c>
      <c r="G247" s="670">
        <f>1/'User Dashboard'!X$12</f>
        <v>0.14285714285714285</v>
      </c>
      <c r="H247" s="359">
        <f t="shared" si="30"/>
        <v>448258.08153241355</v>
      </c>
      <c r="I247" s="672">
        <f t="shared" si="33"/>
        <v>0.15883578325383146</v>
      </c>
      <c r="J247" s="673">
        <f t="shared" si="31"/>
        <v>3287596.3596318038</v>
      </c>
      <c r="K247" s="359">
        <f t="shared" si="34"/>
        <v>3287596.518467587</v>
      </c>
      <c r="L247" s="673">
        <f t="shared" si="35"/>
        <v>7.1294885128736496E-3</v>
      </c>
    </row>
    <row r="248" spans="1:12" x14ac:dyDescent="0.35">
      <c r="A248" s="287" t="str">
        <f t="shared" si="32"/>
        <v/>
      </c>
      <c r="B248" s="288">
        <v>241</v>
      </c>
      <c r="C248" s="667">
        <f>IF('User Dashboard'!Z$12=5,
IF('SIR Model Patient Calcs'!B248&lt;'User Dashboard'!AJ$15,'User Dashboard'!AN$14,
IF('SIR Model Patient Calcs'!B248&lt;'User Dashboard'!AJ$16,'User Dashboard'!AN$15,
IF('SIR Model Patient Calcs'!B248&lt;'User Dashboard'!AJ$17,'User Dashboard'!AN$16,
IF('SIR Model Patient Calcs'!B248&lt;'User Dashboard'!AJ$18,'User Dashboard'!AN$17,
'User Dashboard'!AN$18)))),
IF('User Dashboard'!Z$12=4,
IF('SIR Model Patient Calcs'!B248&lt;'User Dashboard'!AJ$15,'User Dashboard'!AN$14,
IF('SIR Model Patient Calcs'!B248&lt;'User Dashboard'!AJ$16,'User Dashboard'!AN$15,
IF('SIR Model Patient Calcs'!B248&lt;'User Dashboard'!AJ$17,'User Dashboard'!AN$16,
'User Dashboard'!AN$17))),
IF('User Dashboard'!Z$12=3,
IF('SIR Model Patient Calcs'!B248&lt;'User Dashboard'!AJ$15,'User Dashboard'!AN$14,
IF('SIR Model Patient Calcs'!B248&lt;'User Dashboard'!AJ$16,'User Dashboard'!AN$15,
'User Dashboard'!AN$16)),
IF('User Dashboard'!Z$12=2,
IF('SIR Model Patient Calcs'!B248&lt;'User Dashboard'!AJ$15,'User Dashboard'!AN$14,
'User Dashboard'!AN$15),
IF('User Dashboard'!Z$12=1,
'User Dashboard'!AN$14)))))</f>
        <v>15.209356603107825</v>
      </c>
      <c r="D248" s="668">
        <f>'User Dashboard'!X$16</f>
        <v>2.2072878851804097E-2</v>
      </c>
      <c r="E248" s="660">
        <f t="shared" si="29"/>
        <v>8.9862781521070345E-8</v>
      </c>
      <c r="F248" s="660">
        <f t="shared" si="36"/>
        <v>8.9862781521070372E-8</v>
      </c>
      <c r="G248" s="670">
        <f>1/'User Dashboard'!X$12</f>
        <v>0.14285714285714285</v>
      </c>
      <c r="H248" s="359">
        <f t="shared" si="30"/>
        <v>448258.07513423532</v>
      </c>
      <c r="I248" s="672">
        <f t="shared" si="33"/>
        <v>0.14254313531132756</v>
      </c>
      <c r="J248" s="673">
        <f t="shared" si="31"/>
        <v>3287596.3823226299</v>
      </c>
      <c r="K248" s="359">
        <f t="shared" si="34"/>
        <v>3287596.5248657651</v>
      </c>
      <c r="L248" s="673">
        <f t="shared" si="35"/>
        <v>6.3981781713664532E-3</v>
      </c>
    </row>
    <row r="249" spans="1:12" x14ac:dyDescent="0.35">
      <c r="A249" s="287" t="str">
        <f t="shared" si="32"/>
        <v/>
      </c>
      <c r="B249" s="288">
        <v>242</v>
      </c>
      <c r="C249" s="667">
        <f>IF('User Dashboard'!Z$12=5,
IF('SIR Model Patient Calcs'!B249&lt;'User Dashboard'!AJ$15,'User Dashboard'!AN$14,
IF('SIR Model Patient Calcs'!B249&lt;'User Dashboard'!AJ$16,'User Dashboard'!AN$15,
IF('SIR Model Patient Calcs'!B249&lt;'User Dashboard'!AJ$17,'User Dashboard'!AN$16,
IF('SIR Model Patient Calcs'!B249&lt;'User Dashboard'!AJ$18,'User Dashboard'!AN$17,
'User Dashboard'!AN$18)))),
IF('User Dashboard'!Z$12=4,
IF('SIR Model Patient Calcs'!B249&lt;'User Dashboard'!AJ$15,'User Dashboard'!AN$14,
IF('SIR Model Patient Calcs'!B249&lt;'User Dashboard'!AJ$16,'User Dashboard'!AN$15,
IF('SIR Model Patient Calcs'!B249&lt;'User Dashboard'!AJ$17,'User Dashboard'!AN$16,
'User Dashboard'!AN$17))),
IF('User Dashboard'!Z$12=3,
IF('SIR Model Patient Calcs'!B249&lt;'User Dashboard'!AJ$15,'User Dashboard'!AN$14,
IF('SIR Model Patient Calcs'!B249&lt;'User Dashboard'!AJ$16,'User Dashboard'!AN$15,
'User Dashboard'!AN$16)),
IF('User Dashboard'!Z$12=2,
IF('SIR Model Patient Calcs'!B249&lt;'User Dashboard'!AJ$15,'User Dashboard'!AN$14,
'User Dashboard'!AN$15),
IF('User Dashboard'!Z$12=1,
'User Dashboard'!AN$14)))))</f>
        <v>15.209356603107825</v>
      </c>
      <c r="D249" s="668">
        <f>'User Dashboard'!X$16</f>
        <v>2.2072878851804097E-2</v>
      </c>
      <c r="E249" s="660">
        <f t="shared" si="29"/>
        <v>8.9862781521070345E-8</v>
      </c>
      <c r="F249" s="660">
        <f t="shared" si="36"/>
        <v>8.9862781521070372E-8</v>
      </c>
      <c r="G249" s="670">
        <f>1/'User Dashboard'!X$12</f>
        <v>0.14285714285714285</v>
      </c>
      <c r="H249" s="359">
        <f t="shared" si="30"/>
        <v>448258.06939235301</v>
      </c>
      <c r="I249" s="672">
        <f t="shared" si="33"/>
        <v>0.12792171257087129</v>
      </c>
      <c r="J249" s="673">
        <f t="shared" si="31"/>
        <v>3287596.4026859351</v>
      </c>
      <c r="K249" s="359">
        <f t="shared" si="34"/>
        <v>3287596.5306076477</v>
      </c>
      <c r="L249" s="673">
        <f t="shared" si="35"/>
        <v>5.7418826036155224E-3</v>
      </c>
    </row>
    <row r="250" spans="1:12" x14ac:dyDescent="0.35">
      <c r="A250" s="287" t="str">
        <f t="shared" si="32"/>
        <v/>
      </c>
      <c r="B250" s="288">
        <v>243</v>
      </c>
      <c r="C250" s="667">
        <f>IF('User Dashboard'!Z$12=5,
IF('SIR Model Patient Calcs'!B250&lt;'User Dashboard'!AJ$15,'User Dashboard'!AN$14,
IF('SIR Model Patient Calcs'!B250&lt;'User Dashboard'!AJ$16,'User Dashboard'!AN$15,
IF('SIR Model Patient Calcs'!B250&lt;'User Dashboard'!AJ$17,'User Dashboard'!AN$16,
IF('SIR Model Patient Calcs'!B250&lt;'User Dashboard'!AJ$18,'User Dashboard'!AN$17,
'User Dashboard'!AN$18)))),
IF('User Dashboard'!Z$12=4,
IF('SIR Model Patient Calcs'!B250&lt;'User Dashboard'!AJ$15,'User Dashboard'!AN$14,
IF('SIR Model Patient Calcs'!B250&lt;'User Dashboard'!AJ$16,'User Dashboard'!AN$15,
IF('SIR Model Patient Calcs'!B250&lt;'User Dashboard'!AJ$17,'User Dashboard'!AN$16,
'User Dashboard'!AN$17))),
IF('User Dashboard'!Z$12=3,
IF('SIR Model Patient Calcs'!B250&lt;'User Dashboard'!AJ$15,'User Dashboard'!AN$14,
IF('SIR Model Patient Calcs'!B250&lt;'User Dashboard'!AJ$16,'User Dashboard'!AN$15,
'User Dashboard'!AN$16)),
IF('User Dashboard'!Z$12=2,
IF('SIR Model Patient Calcs'!B250&lt;'User Dashboard'!AJ$15,'User Dashboard'!AN$14,
'User Dashboard'!AN$15),
IF('User Dashboard'!Z$12=1,
'User Dashboard'!AN$14)))))</f>
        <v>15.209356603107825</v>
      </c>
      <c r="D250" s="668">
        <f>'User Dashboard'!X$16</f>
        <v>2.2072878851804097E-2</v>
      </c>
      <c r="E250" s="660">
        <f t="shared" si="29"/>
        <v>8.9862781521070345E-8</v>
      </c>
      <c r="F250" s="660">
        <f t="shared" si="36"/>
        <v>8.9862781521070358E-8</v>
      </c>
      <c r="G250" s="670">
        <f>1/'User Dashboard'!X$12</f>
        <v>0.14285714285714285</v>
      </c>
      <c r="H250" s="359">
        <f t="shared" si="30"/>
        <v>448258.06423944677</v>
      </c>
      <c r="I250" s="672">
        <f t="shared" si="33"/>
        <v>0.11480008842176499</v>
      </c>
      <c r="J250" s="673">
        <f t="shared" si="31"/>
        <v>3287596.4209604654</v>
      </c>
      <c r="K250" s="359">
        <f t="shared" si="34"/>
        <v>3287596.535760554</v>
      </c>
      <c r="L250" s="673">
        <f t="shared" si="35"/>
        <v>5.1529062911868095E-3</v>
      </c>
    </row>
    <row r="251" spans="1:12" x14ac:dyDescent="0.35">
      <c r="A251" s="287" t="str">
        <f t="shared" si="32"/>
        <v/>
      </c>
      <c r="B251" s="288">
        <v>244</v>
      </c>
      <c r="C251" s="667">
        <f>IF('User Dashboard'!Z$12=5,
IF('SIR Model Patient Calcs'!B251&lt;'User Dashboard'!AJ$15,'User Dashboard'!AN$14,
IF('SIR Model Patient Calcs'!B251&lt;'User Dashboard'!AJ$16,'User Dashboard'!AN$15,
IF('SIR Model Patient Calcs'!B251&lt;'User Dashboard'!AJ$17,'User Dashboard'!AN$16,
IF('SIR Model Patient Calcs'!B251&lt;'User Dashboard'!AJ$18,'User Dashboard'!AN$17,
'User Dashboard'!AN$18)))),
IF('User Dashboard'!Z$12=4,
IF('SIR Model Patient Calcs'!B251&lt;'User Dashboard'!AJ$15,'User Dashboard'!AN$14,
IF('SIR Model Patient Calcs'!B251&lt;'User Dashboard'!AJ$16,'User Dashboard'!AN$15,
IF('SIR Model Patient Calcs'!B251&lt;'User Dashboard'!AJ$17,'User Dashboard'!AN$16,
'User Dashboard'!AN$17))),
IF('User Dashboard'!Z$12=3,
IF('SIR Model Patient Calcs'!B251&lt;'User Dashboard'!AJ$15,'User Dashboard'!AN$14,
IF('SIR Model Patient Calcs'!B251&lt;'User Dashboard'!AJ$16,'User Dashboard'!AN$15,
'User Dashboard'!AN$16)),
IF('User Dashboard'!Z$12=2,
IF('SIR Model Patient Calcs'!B251&lt;'User Dashboard'!AJ$15,'User Dashboard'!AN$14,
'User Dashboard'!AN$15),
IF('User Dashboard'!Z$12=1,
'User Dashboard'!AN$14)))))</f>
        <v>15.209356603107825</v>
      </c>
      <c r="D251" s="668">
        <f>'User Dashboard'!X$16</f>
        <v>2.2072878851804097E-2</v>
      </c>
      <c r="E251" s="660">
        <f t="shared" si="29"/>
        <v>8.9862781521070345E-8</v>
      </c>
      <c r="F251" s="660">
        <f t="shared" si="36"/>
        <v>8.9862781521070358E-8</v>
      </c>
      <c r="G251" s="670">
        <f>1/'User Dashboard'!X$12</f>
        <v>0.14285714285714285</v>
      </c>
      <c r="H251" s="359">
        <f t="shared" si="30"/>
        <v>448258.05961510213</v>
      </c>
      <c r="I251" s="672">
        <f t="shared" si="33"/>
        <v>0.10302442040512423</v>
      </c>
      <c r="J251" s="673">
        <f t="shared" si="31"/>
        <v>3287596.4373604781</v>
      </c>
      <c r="K251" s="359">
        <f t="shared" si="34"/>
        <v>3287596.5403848984</v>
      </c>
      <c r="L251" s="673">
        <f t="shared" si="35"/>
        <v>4.6243444085121155E-3</v>
      </c>
    </row>
    <row r="252" spans="1:12" x14ac:dyDescent="0.35">
      <c r="A252" s="287" t="str">
        <f t="shared" si="32"/>
        <v/>
      </c>
      <c r="B252" s="288">
        <v>245</v>
      </c>
      <c r="C252" s="667">
        <f>IF('User Dashboard'!Z$12=5,
IF('SIR Model Patient Calcs'!B252&lt;'User Dashboard'!AJ$15,'User Dashboard'!AN$14,
IF('SIR Model Patient Calcs'!B252&lt;'User Dashboard'!AJ$16,'User Dashboard'!AN$15,
IF('SIR Model Patient Calcs'!B252&lt;'User Dashboard'!AJ$17,'User Dashboard'!AN$16,
IF('SIR Model Patient Calcs'!B252&lt;'User Dashboard'!AJ$18,'User Dashboard'!AN$17,
'User Dashboard'!AN$18)))),
IF('User Dashboard'!Z$12=4,
IF('SIR Model Patient Calcs'!B252&lt;'User Dashboard'!AJ$15,'User Dashboard'!AN$14,
IF('SIR Model Patient Calcs'!B252&lt;'User Dashboard'!AJ$16,'User Dashboard'!AN$15,
IF('SIR Model Patient Calcs'!B252&lt;'User Dashboard'!AJ$17,'User Dashboard'!AN$16,
'User Dashboard'!AN$17))),
IF('User Dashboard'!Z$12=3,
IF('SIR Model Patient Calcs'!B252&lt;'User Dashboard'!AJ$15,'User Dashboard'!AN$14,
IF('SIR Model Patient Calcs'!B252&lt;'User Dashboard'!AJ$16,'User Dashboard'!AN$15,
'User Dashboard'!AN$16)),
IF('User Dashboard'!Z$12=2,
IF('SIR Model Patient Calcs'!B252&lt;'User Dashboard'!AJ$15,'User Dashboard'!AN$14,
'User Dashboard'!AN$15),
IF('User Dashboard'!Z$12=1,
'User Dashboard'!AN$14)))))</f>
        <v>15.209356603107825</v>
      </c>
      <c r="D252" s="668">
        <f>'User Dashboard'!X$16</f>
        <v>2.2072878851804097E-2</v>
      </c>
      <c r="E252" s="660">
        <f t="shared" si="29"/>
        <v>8.9862781521070345E-8</v>
      </c>
      <c r="F252" s="660">
        <f t="shared" si="36"/>
        <v>8.9862781521070358E-8</v>
      </c>
      <c r="G252" s="670">
        <f>1/'User Dashboard'!X$12</f>
        <v>0.14285714285714285</v>
      </c>
      <c r="H252" s="359">
        <f t="shared" si="30"/>
        <v>448258.05546510167</v>
      </c>
      <c r="I252" s="672">
        <f t="shared" si="33"/>
        <v>9.2456646513214572E-2</v>
      </c>
      <c r="J252" s="673">
        <f t="shared" si="31"/>
        <v>3287596.4520782526</v>
      </c>
      <c r="K252" s="359">
        <f t="shared" si="34"/>
        <v>3287596.5445348993</v>
      </c>
      <c r="L252" s="673">
        <f t="shared" si="35"/>
        <v>4.1500008665025234E-3</v>
      </c>
    </row>
    <row r="253" spans="1:12" x14ac:dyDescent="0.35">
      <c r="A253" s="287" t="str">
        <f t="shared" si="32"/>
        <v/>
      </c>
      <c r="B253" s="288">
        <v>246</v>
      </c>
      <c r="C253" s="667">
        <f>IF('User Dashboard'!Z$12=5,
IF('SIR Model Patient Calcs'!B253&lt;'User Dashboard'!AJ$15,'User Dashboard'!AN$14,
IF('SIR Model Patient Calcs'!B253&lt;'User Dashboard'!AJ$16,'User Dashboard'!AN$15,
IF('SIR Model Patient Calcs'!B253&lt;'User Dashboard'!AJ$17,'User Dashboard'!AN$16,
IF('SIR Model Patient Calcs'!B253&lt;'User Dashboard'!AJ$18,'User Dashboard'!AN$17,
'User Dashboard'!AN$18)))),
IF('User Dashboard'!Z$12=4,
IF('SIR Model Patient Calcs'!B253&lt;'User Dashboard'!AJ$15,'User Dashboard'!AN$14,
IF('SIR Model Patient Calcs'!B253&lt;'User Dashboard'!AJ$16,'User Dashboard'!AN$15,
IF('SIR Model Patient Calcs'!B253&lt;'User Dashboard'!AJ$17,'User Dashboard'!AN$16,
'User Dashboard'!AN$17))),
IF('User Dashboard'!Z$12=3,
IF('SIR Model Patient Calcs'!B253&lt;'User Dashboard'!AJ$15,'User Dashboard'!AN$14,
IF('SIR Model Patient Calcs'!B253&lt;'User Dashboard'!AJ$16,'User Dashboard'!AN$15,
'User Dashboard'!AN$16)),
IF('User Dashboard'!Z$12=2,
IF('SIR Model Patient Calcs'!B253&lt;'User Dashboard'!AJ$15,'User Dashboard'!AN$14,
'User Dashboard'!AN$15),
IF('User Dashboard'!Z$12=1,
'User Dashboard'!AN$14)))))</f>
        <v>15.209356603107825</v>
      </c>
      <c r="D253" s="668">
        <f>'User Dashboard'!X$16</f>
        <v>2.2072878851804097E-2</v>
      </c>
      <c r="E253" s="660">
        <f t="shared" si="29"/>
        <v>8.9862781521070345E-8</v>
      </c>
      <c r="F253" s="660">
        <f t="shared" si="36"/>
        <v>8.9862781521070358E-8</v>
      </c>
      <c r="G253" s="670">
        <f>1/'User Dashboard'!X$12</f>
        <v>0.14285714285714285</v>
      </c>
      <c r="H253" s="359">
        <f t="shared" si="30"/>
        <v>448258.05174078932</v>
      </c>
      <c r="I253" s="672">
        <f t="shared" si="33"/>
        <v>8.2972866503911613E-2</v>
      </c>
      <c r="J253" s="673">
        <f t="shared" si="31"/>
        <v>3287596.4652863448</v>
      </c>
      <c r="K253" s="359">
        <f t="shared" si="34"/>
        <v>3287596.5482592112</v>
      </c>
      <c r="L253" s="673">
        <f t="shared" si="35"/>
        <v>3.7243119440972805E-3</v>
      </c>
    </row>
    <row r="254" spans="1:12" x14ac:dyDescent="0.35">
      <c r="A254" s="287" t="str">
        <f t="shared" si="32"/>
        <v/>
      </c>
      <c r="B254" s="288">
        <v>247</v>
      </c>
      <c r="C254" s="667">
        <f>IF('User Dashboard'!Z$12=5,
IF('SIR Model Patient Calcs'!B254&lt;'User Dashboard'!AJ$15,'User Dashboard'!AN$14,
IF('SIR Model Patient Calcs'!B254&lt;'User Dashboard'!AJ$16,'User Dashboard'!AN$15,
IF('SIR Model Patient Calcs'!B254&lt;'User Dashboard'!AJ$17,'User Dashboard'!AN$16,
IF('SIR Model Patient Calcs'!B254&lt;'User Dashboard'!AJ$18,'User Dashboard'!AN$17,
'User Dashboard'!AN$18)))),
IF('User Dashboard'!Z$12=4,
IF('SIR Model Patient Calcs'!B254&lt;'User Dashboard'!AJ$15,'User Dashboard'!AN$14,
IF('SIR Model Patient Calcs'!B254&lt;'User Dashboard'!AJ$16,'User Dashboard'!AN$15,
IF('SIR Model Patient Calcs'!B254&lt;'User Dashboard'!AJ$17,'User Dashboard'!AN$16,
'User Dashboard'!AN$17))),
IF('User Dashboard'!Z$12=3,
IF('SIR Model Patient Calcs'!B254&lt;'User Dashboard'!AJ$15,'User Dashboard'!AN$14,
IF('SIR Model Patient Calcs'!B254&lt;'User Dashboard'!AJ$16,'User Dashboard'!AN$15,
'User Dashboard'!AN$16)),
IF('User Dashboard'!Z$12=2,
IF('SIR Model Patient Calcs'!B254&lt;'User Dashboard'!AJ$15,'User Dashboard'!AN$14,
'User Dashboard'!AN$15),
IF('User Dashboard'!Z$12=1,
'User Dashboard'!AN$14)))))</f>
        <v>15.209356603107825</v>
      </c>
      <c r="D254" s="668">
        <f>'User Dashboard'!X$16</f>
        <v>2.2072878851804097E-2</v>
      </c>
      <c r="E254" s="660">
        <f t="shared" si="29"/>
        <v>8.9862781521070345E-8</v>
      </c>
      <c r="F254" s="660">
        <f t="shared" si="36"/>
        <v>8.9862781521070358E-8</v>
      </c>
      <c r="G254" s="670">
        <f>1/'User Dashboard'!X$12</f>
        <v>0.14285714285714285</v>
      </c>
      <c r="H254" s="359">
        <f t="shared" si="30"/>
        <v>448258.0483984999</v>
      </c>
      <c r="I254" s="672">
        <f t="shared" si="33"/>
        <v>7.4461889252326663E-2</v>
      </c>
      <c r="J254" s="673">
        <f t="shared" si="31"/>
        <v>3287596.4771396113</v>
      </c>
      <c r="K254" s="359">
        <f t="shared" si="34"/>
        <v>3287596.5516015007</v>
      </c>
      <c r="L254" s="673">
        <f t="shared" si="35"/>
        <v>3.3422894775867462E-3</v>
      </c>
    </row>
    <row r="255" spans="1:12" x14ac:dyDescent="0.35">
      <c r="A255" s="287" t="str">
        <f t="shared" si="32"/>
        <v/>
      </c>
      <c r="B255" s="288">
        <v>248</v>
      </c>
      <c r="C255" s="667">
        <f>IF('User Dashboard'!Z$12=5,
IF('SIR Model Patient Calcs'!B255&lt;'User Dashboard'!AJ$15,'User Dashboard'!AN$14,
IF('SIR Model Patient Calcs'!B255&lt;'User Dashboard'!AJ$16,'User Dashboard'!AN$15,
IF('SIR Model Patient Calcs'!B255&lt;'User Dashboard'!AJ$17,'User Dashboard'!AN$16,
IF('SIR Model Patient Calcs'!B255&lt;'User Dashboard'!AJ$18,'User Dashboard'!AN$17,
'User Dashboard'!AN$18)))),
IF('User Dashboard'!Z$12=4,
IF('SIR Model Patient Calcs'!B255&lt;'User Dashboard'!AJ$15,'User Dashboard'!AN$14,
IF('SIR Model Patient Calcs'!B255&lt;'User Dashboard'!AJ$16,'User Dashboard'!AN$15,
IF('SIR Model Patient Calcs'!B255&lt;'User Dashboard'!AJ$17,'User Dashboard'!AN$16,
'User Dashboard'!AN$17))),
IF('User Dashboard'!Z$12=3,
IF('SIR Model Patient Calcs'!B255&lt;'User Dashboard'!AJ$15,'User Dashboard'!AN$14,
IF('SIR Model Patient Calcs'!B255&lt;'User Dashboard'!AJ$16,'User Dashboard'!AN$15,
'User Dashboard'!AN$16)),
IF('User Dashboard'!Z$12=2,
IF('SIR Model Patient Calcs'!B255&lt;'User Dashboard'!AJ$15,'User Dashboard'!AN$14,
'User Dashboard'!AN$15),
IF('User Dashboard'!Z$12=1,
'User Dashboard'!AN$14)))))</f>
        <v>15.209356603107825</v>
      </c>
      <c r="D255" s="668">
        <f>'User Dashboard'!X$16</f>
        <v>2.2072878851804097E-2</v>
      </c>
      <c r="E255" s="660">
        <f t="shared" si="29"/>
        <v>8.9862781521070345E-8</v>
      </c>
      <c r="F255" s="660">
        <f t="shared" si="36"/>
        <v>8.9862781521070358E-8</v>
      </c>
      <c r="G255" s="670">
        <f>1/'User Dashboard'!X$12</f>
        <v>0.14285714285714285</v>
      </c>
      <c r="H255" s="359">
        <f t="shared" si="30"/>
        <v>448258.04539904732</v>
      </c>
      <c r="I255" s="672">
        <f t="shared" si="33"/>
        <v>6.6823929108303495E-2</v>
      </c>
      <c r="J255" s="673">
        <f t="shared" si="31"/>
        <v>3287596.487777024</v>
      </c>
      <c r="K255" s="359">
        <f t="shared" si="34"/>
        <v>3287596.5546009531</v>
      </c>
      <c r="L255" s="673">
        <f t="shared" si="35"/>
        <v>2.9994524084031582E-3</v>
      </c>
    </row>
    <row r="256" spans="1:12" x14ac:dyDescent="0.35">
      <c r="A256" s="287" t="str">
        <f t="shared" si="32"/>
        <v/>
      </c>
      <c r="B256" s="288">
        <v>249</v>
      </c>
      <c r="C256" s="667">
        <f>IF('User Dashboard'!Z$12=5,
IF('SIR Model Patient Calcs'!B256&lt;'User Dashboard'!AJ$15,'User Dashboard'!AN$14,
IF('SIR Model Patient Calcs'!B256&lt;'User Dashboard'!AJ$16,'User Dashboard'!AN$15,
IF('SIR Model Patient Calcs'!B256&lt;'User Dashboard'!AJ$17,'User Dashboard'!AN$16,
IF('SIR Model Patient Calcs'!B256&lt;'User Dashboard'!AJ$18,'User Dashboard'!AN$17,
'User Dashboard'!AN$18)))),
IF('User Dashboard'!Z$12=4,
IF('SIR Model Patient Calcs'!B256&lt;'User Dashboard'!AJ$15,'User Dashboard'!AN$14,
IF('SIR Model Patient Calcs'!B256&lt;'User Dashboard'!AJ$16,'User Dashboard'!AN$15,
IF('SIR Model Patient Calcs'!B256&lt;'User Dashboard'!AJ$17,'User Dashboard'!AN$16,
'User Dashboard'!AN$17))),
IF('User Dashboard'!Z$12=3,
IF('SIR Model Patient Calcs'!B256&lt;'User Dashboard'!AJ$15,'User Dashboard'!AN$14,
IF('SIR Model Patient Calcs'!B256&lt;'User Dashboard'!AJ$16,'User Dashboard'!AN$15,
'User Dashboard'!AN$16)),
IF('User Dashboard'!Z$12=2,
IF('SIR Model Patient Calcs'!B256&lt;'User Dashboard'!AJ$15,'User Dashboard'!AN$14,
'User Dashboard'!AN$15),
IF('User Dashboard'!Z$12=1,
'User Dashboard'!AN$14)))))</f>
        <v>15.209356603107825</v>
      </c>
      <c r="D256" s="668">
        <f>'User Dashboard'!X$16</f>
        <v>2.2072878851804097E-2</v>
      </c>
      <c r="E256" s="660">
        <f t="shared" si="29"/>
        <v>8.9862781521070345E-8</v>
      </c>
      <c r="F256" s="660">
        <f t="shared" si="36"/>
        <v>8.9862781521070358E-8</v>
      </c>
      <c r="G256" s="670">
        <f>1/'User Dashboard'!X$12</f>
        <v>0.14285714285714285</v>
      </c>
      <c r="H256" s="359">
        <f t="shared" si="30"/>
        <v>448258.04270726489</v>
      </c>
      <c r="I256" s="672">
        <f t="shared" si="33"/>
        <v>5.9969435975476007E-2</v>
      </c>
      <c r="J256" s="673">
        <f t="shared" si="31"/>
        <v>3287596.4973232998</v>
      </c>
      <c r="K256" s="359">
        <f t="shared" si="34"/>
        <v>3287596.5572927357</v>
      </c>
      <c r="L256" s="673">
        <f t="shared" si="35"/>
        <v>2.6917825452983379E-3</v>
      </c>
    </row>
    <row r="257" spans="1:12" x14ac:dyDescent="0.35">
      <c r="A257" s="287" t="str">
        <f t="shared" si="32"/>
        <v/>
      </c>
      <c r="B257" s="288">
        <v>250</v>
      </c>
      <c r="C257" s="667">
        <f>IF('User Dashboard'!Z$12=5,
IF('SIR Model Patient Calcs'!B257&lt;'User Dashboard'!AJ$15,'User Dashboard'!AN$14,
IF('SIR Model Patient Calcs'!B257&lt;'User Dashboard'!AJ$16,'User Dashboard'!AN$15,
IF('SIR Model Patient Calcs'!B257&lt;'User Dashboard'!AJ$17,'User Dashboard'!AN$16,
IF('SIR Model Patient Calcs'!B257&lt;'User Dashboard'!AJ$18,'User Dashboard'!AN$17,
'User Dashboard'!AN$18)))),
IF('User Dashboard'!Z$12=4,
IF('SIR Model Patient Calcs'!B257&lt;'User Dashboard'!AJ$15,'User Dashboard'!AN$14,
IF('SIR Model Patient Calcs'!B257&lt;'User Dashboard'!AJ$16,'User Dashboard'!AN$15,
IF('SIR Model Patient Calcs'!B257&lt;'User Dashboard'!AJ$17,'User Dashboard'!AN$16,
'User Dashboard'!AN$17))),
IF('User Dashboard'!Z$12=3,
IF('SIR Model Patient Calcs'!B257&lt;'User Dashboard'!AJ$15,'User Dashboard'!AN$14,
IF('SIR Model Patient Calcs'!B257&lt;'User Dashboard'!AJ$16,'User Dashboard'!AN$15,
'User Dashboard'!AN$16)),
IF('User Dashboard'!Z$12=2,
IF('SIR Model Patient Calcs'!B257&lt;'User Dashboard'!AJ$15,'User Dashboard'!AN$14,
'User Dashboard'!AN$15),
IF('User Dashboard'!Z$12=1,
'User Dashboard'!AN$14)))))</f>
        <v>15.209356603107825</v>
      </c>
      <c r="D257" s="668">
        <f>'User Dashboard'!X$16</f>
        <v>2.2072878851804097E-2</v>
      </c>
      <c r="E257" s="660">
        <f t="shared" si="29"/>
        <v>8.9862781521070345E-8</v>
      </c>
      <c r="F257" s="660">
        <f t="shared" si="36"/>
        <v>8.9862781521070358E-8</v>
      </c>
      <c r="G257" s="670">
        <f>1/'User Dashboard'!X$12</f>
        <v>0.14285714285714285</v>
      </c>
      <c r="H257" s="359">
        <f t="shared" si="30"/>
        <v>448258.04029159318</v>
      </c>
      <c r="I257" s="672">
        <f t="shared" si="33"/>
        <v>5.3818045395365499E-2</v>
      </c>
      <c r="J257" s="673">
        <f t="shared" si="31"/>
        <v>3287596.505890362</v>
      </c>
      <c r="K257" s="359">
        <f t="shared" si="34"/>
        <v>3287596.5597084071</v>
      </c>
      <c r="L257" s="673">
        <f t="shared" si="35"/>
        <v>2.4156714789569378E-3</v>
      </c>
    </row>
    <row r="258" spans="1:12" x14ac:dyDescent="0.35">
      <c r="A258" s="287" t="str">
        <f t="shared" si="32"/>
        <v/>
      </c>
      <c r="B258" s="288">
        <v>251</v>
      </c>
      <c r="C258" s="667">
        <f>IF('User Dashboard'!Z$12=5,
IF('SIR Model Patient Calcs'!B258&lt;'User Dashboard'!AJ$15,'User Dashboard'!AN$14,
IF('SIR Model Patient Calcs'!B258&lt;'User Dashboard'!AJ$16,'User Dashboard'!AN$15,
IF('SIR Model Patient Calcs'!B258&lt;'User Dashboard'!AJ$17,'User Dashboard'!AN$16,
IF('SIR Model Patient Calcs'!B258&lt;'User Dashboard'!AJ$18,'User Dashboard'!AN$17,
'User Dashboard'!AN$18)))),
IF('User Dashboard'!Z$12=4,
IF('SIR Model Patient Calcs'!B258&lt;'User Dashboard'!AJ$15,'User Dashboard'!AN$14,
IF('SIR Model Patient Calcs'!B258&lt;'User Dashboard'!AJ$16,'User Dashboard'!AN$15,
IF('SIR Model Patient Calcs'!B258&lt;'User Dashboard'!AJ$17,'User Dashboard'!AN$16,
'User Dashboard'!AN$17))),
IF('User Dashboard'!Z$12=3,
IF('SIR Model Patient Calcs'!B258&lt;'User Dashboard'!AJ$15,'User Dashboard'!AN$14,
IF('SIR Model Patient Calcs'!B258&lt;'User Dashboard'!AJ$16,'User Dashboard'!AN$15,
'User Dashboard'!AN$16)),
IF('User Dashboard'!Z$12=2,
IF('SIR Model Patient Calcs'!B258&lt;'User Dashboard'!AJ$15,'User Dashboard'!AN$14,
'User Dashboard'!AN$15),
IF('User Dashboard'!Z$12=1,
'User Dashboard'!AN$14)))))</f>
        <v>15.209356603107825</v>
      </c>
      <c r="D258" s="668">
        <f>'User Dashboard'!X$16</f>
        <v>2.2072878851804097E-2</v>
      </c>
      <c r="E258" s="660">
        <f t="shared" si="29"/>
        <v>8.9862781521070345E-8</v>
      </c>
      <c r="F258" s="660">
        <f t="shared" si="36"/>
        <v>8.9862781521070358E-8</v>
      </c>
      <c r="G258" s="670">
        <f>1/'User Dashboard'!X$12</f>
        <v>0.14285714285714285</v>
      </c>
      <c r="H258" s="359">
        <f t="shared" si="30"/>
        <v>448258.03812371002</v>
      </c>
      <c r="I258" s="672">
        <f t="shared" si="33"/>
        <v>4.8297636326969352E-2</v>
      </c>
      <c r="J258" s="673">
        <f t="shared" si="31"/>
        <v>3287596.5135786543</v>
      </c>
      <c r="K258" s="359">
        <f t="shared" si="34"/>
        <v>3287596.5618762905</v>
      </c>
      <c r="L258" s="673">
        <f t="shared" si="35"/>
        <v>2.1678833290934563E-3</v>
      </c>
    </row>
    <row r="259" spans="1:12" x14ac:dyDescent="0.35">
      <c r="A259" s="287" t="str">
        <f t="shared" si="32"/>
        <v/>
      </c>
      <c r="B259" s="288">
        <v>252</v>
      </c>
      <c r="C259" s="667">
        <f>IF('User Dashboard'!Z$12=5,
IF('SIR Model Patient Calcs'!B259&lt;'User Dashboard'!AJ$15,'User Dashboard'!AN$14,
IF('SIR Model Patient Calcs'!B259&lt;'User Dashboard'!AJ$16,'User Dashboard'!AN$15,
IF('SIR Model Patient Calcs'!B259&lt;'User Dashboard'!AJ$17,'User Dashboard'!AN$16,
IF('SIR Model Patient Calcs'!B259&lt;'User Dashboard'!AJ$18,'User Dashboard'!AN$17,
'User Dashboard'!AN$18)))),
IF('User Dashboard'!Z$12=4,
IF('SIR Model Patient Calcs'!B259&lt;'User Dashboard'!AJ$15,'User Dashboard'!AN$14,
IF('SIR Model Patient Calcs'!B259&lt;'User Dashboard'!AJ$16,'User Dashboard'!AN$15,
IF('SIR Model Patient Calcs'!B259&lt;'User Dashboard'!AJ$17,'User Dashboard'!AN$16,
'User Dashboard'!AN$17))),
IF('User Dashboard'!Z$12=3,
IF('SIR Model Patient Calcs'!B259&lt;'User Dashboard'!AJ$15,'User Dashboard'!AN$14,
IF('SIR Model Patient Calcs'!B259&lt;'User Dashboard'!AJ$16,'User Dashboard'!AN$15,
'User Dashboard'!AN$16)),
IF('User Dashboard'!Z$12=2,
IF('SIR Model Patient Calcs'!B259&lt;'User Dashboard'!AJ$15,'User Dashboard'!AN$14,
'User Dashboard'!AN$15),
IF('User Dashboard'!Z$12=1,
'User Dashboard'!AN$14)))))</f>
        <v>15.209356603107825</v>
      </c>
      <c r="D259" s="668">
        <f>'User Dashboard'!X$16</f>
        <v>2.2072878851804097E-2</v>
      </c>
      <c r="E259" s="660">
        <f t="shared" si="29"/>
        <v>8.9862781521070345E-8</v>
      </c>
      <c r="F259" s="660">
        <f t="shared" si="36"/>
        <v>8.9862781521070358E-8</v>
      </c>
      <c r="G259" s="670">
        <f>1/'User Dashboard'!X$12</f>
        <v>0.14285714285714285</v>
      </c>
      <c r="H259" s="359">
        <f t="shared" si="30"/>
        <v>448258.03617819847</v>
      </c>
      <c r="I259" s="672">
        <f t="shared" si="33"/>
        <v>4.3343485574946078E-2</v>
      </c>
      <c r="J259" s="673">
        <f t="shared" si="31"/>
        <v>3287596.5204783166</v>
      </c>
      <c r="K259" s="359">
        <f t="shared" si="34"/>
        <v>3287596.5638218024</v>
      </c>
      <c r="L259" s="673">
        <f t="shared" si="35"/>
        <v>1.9455119036138058E-3</v>
      </c>
    </row>
    <row r="260" spans="1:12" x14ac:dyDescent="0.35">
      <c r="A260" s="287" t="str">
        <f t="shared" si="32"/>
        <v/>
      </c>
      <c r="B260" s="288">
        <v>253</v>
      </c>
      <c r="C260" s="667">
        <f>IF('User Dashboard'!Z$12=5,
IF('SIR Model Patient Calcs'!B260&lt;'User Dashboard'!AJ$15,'User Dashboard'!AN$14,
IF('SIR Model Patient Calcs'!B260&lt;'User Dashboard'!AJ$16,'User Dashboard'!AN$15,
IF('SIR Model Patient Calcs'!B260&lt;'User Dashboard'!AJ$17,'User Dashboard'!AN$16,
IF('SIR Model Patient Calcs'!B260&lt;'User Dashboard'!AJ$18,'User Dashboard'!AN$17,
'User Dashboard'!AN$18)))),
IF('User Dashboard'!Z$12=4,
IF('SIR Model Patient Calcs'!B260&lt;'User Dashboard'!AJ$15,'User Dashboard'!AN$14,
IF('SIR Model Patient Calcs'!B260&lt;'User Dashboard'!AJ$16,'User Dashboard'!AN$15,
IF('SIR Model Patient Calcs'!B260&lt;'User Dashboard'!AJ$17,'User Dashboard'!AN$16,
'User Dashboard'!AN$17))),
IF('User Dashboard'!Z$12=3,
IF('SIR Model Patient Calcs'!B260&lt;'User Dashboard'!AJ$15,'User Dashboard'!AN$14,
IF('SIR Model Patient Calcs'!B260&lt;'User Dashboard'!AJ$16,'User Dashboard'!AN$15,
'User Dashboard'!AN$16)),
IF('User Dashboard'!Z$12=2,
IF('SIR Model Patient Calcs'!B260&lt;'User Dashboard'!AJ$15,'User Dashboard'!AN$14,
'User Dashboard'!AN$15),
IF('User Dashboard'!Z$12=1,
'User Dashboard'!AN$14)))))</f>
        <v>15.209356603107825</v>
      </c>
      <c r="D260" s="668">
        <f>'User Dashboard'!X$16</f>
        <v>2.2072878851804097E-2</v>
      </c>
      <c r="E260" s="660">
        <f t="shared" si="29"/>
        <v>8.9862781521070345E-8</v>
      </c>
      <c r="F260" s="660">
        <f t="shared" si="36"/>
        <v>8.9862781521070358E-8</v>
      </c>
      <c r="G260" s="670">
        <f>1/'User Dashboard'!X$12</f>
        <v>0.14285714285714285</v>
      </c>
      <c r="H260" s="359">
        <f t="shared" si="30"/>
        <v>448258.03443224856</v>
      </c>
      <c r="I260" s="672">
        <f t="shared" si="33"/>
        <v>3.8897508952638604E-2</v>
      </c>
      <c r="J260" s="673">
        <f t="shared" si="31"/>
        <v>3287596.5266702431</v>
      </c>
      <c r="K260" s="359">
        <f t="shared" si="34"/>
        <v>3287596.5655677519</v>
      </c>
      <c r="L260" s="673">
        <f t="shared" si="35"/>
        <v>1.745949499309063E-3</v>
      </c>
    </row>
    <row r="261" spans="1:12" x14ac:dyDescent="0.35">
      <c r="A261" s="287" t="str">
        <f t="shared" si="32"/>
        <v/>
      </c>
      <c r="B261" s="288">
        <v>254</v>
      </c>
      <c r="C261" s="667">
        <f>IF('User Dashboard'!Z$12=5,
IF('SIR Model Patient Calcs'!B261&lt;'User Dashboard'!AJ$15,'User Dashboard'!AN$14,
IF('SIR Model Patient Calcs'!B261&lt;'User Dashboard'!AJ$16,'User Dashboard'!AN$15,
IF('SIR Model Patient Calcs'!B261&lt;'User Dashboard'!AJ$17,'User Dashboard'!AN$16,
IF('SIR Model Patient Calcs'!B261&lt;'User Dashboard'!AJ$18,'User Dashboard'!AN$17,
'User Dashboard'!AN$18)))),
IF('User Dashboard'!Z$12=4,
IF('SIR Model Patient Calcs'!B261&lt;'User Dashboard'!AJ$15,'User Dashboard'!AN$14,
IF('SIR Model Patient Calcs'!B261&lt;'User Dashboard'!AJ$16,'User Dashboard'!AN$15,
IF('SIR Model Patient Calcs'!B261&lt;'User Dashboard'!AJ$17,'User Dashboard'!AN$16,
'User Dashboard'!AN$17))),
IF('User Dashboard'!Z$12=3,
IF('SIR Model Patient Calcs'!B261&lt;'User Dashboard'!AJ$15,'User Dashboard'!AN$14,
IF('SIR Model Patient Calcs'!B261&lt;'User Dashboard'!AJ$16,'User Dashboard'!AN$15,
'User Dashboard'!AN$16)),
IF('User Dashboard'!Z$12=2,
IF('SIR Model Patient Calcs'!B261&lt;'User Dashboard'!AJ$15,'User Dashboard'!AN$14,
'User Dashboard'!AN$15),
IF('User Dashboard'!Z$12=1,
'User Dashboard'!AN$14)))))</f>
        <v>15.209356603107825</v>
      </c>
      <c r="D261" s="668">
        <f>'User Dashboard'!X$16</f>
        <v>2.2072878851804097E-2</v>
      </c>
      <c r="E261" s="660">
        <f t="shared" si="29"/>
        <v>8.9862781521070345E-8</v>
      </c>
      <c r="F261" s="660">
        <f t="shared" si="36"/>
        <v>8.9862781521070358E-8</v>
      </c>
      <c r="G261" s="670">
        <f>1/'User Dashboard'!X$12</f>
        <v>0.14285714285714285</v>
      </c>
      <c r="H261" s="359">
        <f t="shared" si="30"/>
        <v>448258.03286539024</v>
      </c>
      <c r="I261" s="672">
        <f t="shared" si="33"/>
        <v>3.4907580283083023E-2</v>
      </c>
      <c r="J261" s="673">
        <f t="shared" si="31"/>
        <v>3287596.53222703</v>
      </c>
      <c r="K261" s="359">
        <f t="shared" si="34"/>
        <v>3287596.5671346104</v>
      </c>
      <c r="L261" s="673">
        <f t="shared" si="35"/>
        <v>1.566858496516943E-3</v>
      </c>
    </row>
    <row r="262" spans="1:12" x14ac:dyDescent="0.35">
      <c r="A262" s="287" t="str">
        <f t="shared" si="32"/>
        <v/>
      </c>
      <c r="B262" s="288">
        <v>255</v>
      </c>
      <c r="C262" s="667">
        <f>IF('User Dashboard'!Z$12=5,
IF('SIR Model Patient Calcs'!B262&lt;'User Dashboard'!AJ$15,'User Dashboard'!AN$14,
IF('SIR Model Patient Calcs'!B262&lt;'User Dashboard'!AJ$16,'User Dashboard'!AN$15,
IF('SIR Model Patient Calcs'!B262&lt;'User Dashboard'!AJ$17,'User Dashboard'!AN$16,
IF('SIR Model Patient Calcs'!B262&lt;'User Dashboard'!AJ$18,'User Dashboard'!AN$17,
'User Dashboard'!AN$18)))),
IF('User Dashboard'!Z$12=4,
IF('SIR Model Patient Calcs'!B262&lt;'User Dashboard'!AJ$15,'User Dashboard'!AN$14,
IF('SIR Model Patient Calcs'!B262&lt;'User Dashboard'!AJ$16,'User Dashboard'!AN$15,
IF('SIR Model Patient Calcs'!B262&lt;'User Dashboard'!AJ$17,'User Dashboard'!AN$16,
'User Dashboard'!AN$17))),
IF('User Dashboard'!Z$12=3,
IF('SIR Model Patient Calcs'!B262&lt;'User Dashboard'!AJ$15,'User Dashboard'!AN$14,
IF('SIR Model Patient Calcs'!B262&lt;'User Dashboard'!AJ$16,'User Dashboard'!AN$15,
'User Dashboard'!AN$16)),
IF('User Dashboard'!Z$12=2,
IF('SIR Model Patient Calcs'!B262&lt;'User Dashboard'!AJ$15,'User Dashboard'!AN$14,
'User Dashboard'!AN$15),
IF('User Dashboard'!Z$12=1,
'User Dashboard'!AN$14)))))</f>
        <v>15.209356603107825</v>
      </c>
      <c r="D262" s="668">
        <f>'User Dashboard'!X$16</f>
        <v>2.2072878851804097E-2</v>
      </c>
      <c r="E262" s="660">
        <f t="shared" si="29"/>
        <v>8.9862781521070345E-8</v>
      </c>
      <c r="F262" s="660">
        <f t="shared" si="36"/>
        <v>8.9862781521070358E-8</v>
      </c>
      <c r="G262" s="670">
        <f>1/'User Dashboard'!X$12</f>
        <v>0.14285714285714285</v>
      </c>
      <c r="H262" s="359">
        <f t="shared" si="30"/>
        <v>448258.03145925311</v>
      </c>
      <c r="I262" s="672">
        <f t="shared" si="33"/>
        <v>3.1326920253746567E-2</v>
      </c>
      <c r="J262" s="673">
        <f t="shared" si="31"/>
        <v>3287596.537213827</v>
      </c>
      <c r="K262" s="359">
        <f t="shared" si="34"/>
        <v>3287596.5685407473</v>
      </c>
      <c r="L262" s="673">
        <f t="shared" si="35"/>
        <v>1.4061369001865387E-3</v>
      </c>
    </row>
    <row r="263" spans="1:12" x14ac:dyDescent="0.35">
      <c r="A263" s="287" t="str">
        <f t="shared" si="32"/>
        <v/>
      </c>
      <c r="B263" s="288">
        <v>256</v>
      </c>
      <c r="C263" s="667">
        <f>IF('User Dashboard'!Z$12=5,
IF('SIR Model Patient Calcs'!B263&lt;'User Dashboard'!AJ$15,'User Dashboard'!AN$14,
IF('SIR Model Patient Calcs'!B263&lt;'User Dashboard'!AJ$16,'User Dashboard'!AN$15,
IF('SIR Model Patient Calcs'!B263&lt;'User Dashboard'!AJ$17,'User Dashboard'!AN$16,
IF('SIR Model Patient Calcs'!B263&lt;'User Dashboard'!AJ$18,'User Dashboard'!AN$17,
'User Dashboard'!AN$18)))),
IF('User Dashboard'!Z$12=4,
IF('SIR Model Patient Calcs'!B263&lt;'User Dashboard'!AJ$15,'User Dashboard'!AN$14,
IF('SIR Model Patient Calcs'!B263&lt;'User Dashboard'!AJ$16,'User Dashboard'!AN$15,
IF('SIR Model Patient Calcs'!B263&lt;'User Dashboard'!AJ$17,'User Dashboard'!AN$16,
'User Dashboard'!AN$17))),
IF('User Dashboard'!Z$12=3,
IF('SIR Model Patient Calcs'!B263&lt;'User Dashboard'!AJ$15,'User Dashboard'!AN$14,
IF('SIR Model Patient Calcs'!B263&lt;'User Dashboard'!AJ$16,'User Dashboard'!AN$15,
'User Dashboard'!AN$16)),
IF('User Dashboard'!Z$12=2,
IF('SIR Model Patient Calcs'!B263&lt;'User Dashboard'!AJ$15,'User Dashboard'!AN$14,
'User Dashboard'!AN$15),
IF('User Dashboard'!Z$12=1,
'User Dashboard'!AN$14)))))</f>
        <v>15.209356603107825</v>
      </c>
      <c r="D263" s="668">
        <f>'User Dashboard'!X$16</f>
        <v>2.2072878851804097E-2</v>
      </c>
      <c r="E263" s="660">
        <f t="shared" ref="E263:E326" si="37">(C263*D263)/SUM(H263:J263)</f>
        <v>8.9862781521070358E-8</v>
      </c>
      <c r="F263" s="660">
        <f t="shared" si="36"/>
        <v>8.9862781521070358E-8</v>
      </c>
      <c r="G263" s="670">
        <f>1/'User Dashboard'!X$12</f>
        <v>0.14285714285714285</v>
      </c>
      <c r="H263" s="359">
        <f t="shared" si="30"/>
        <v>448258.03019735106</v>
      </c>
      <c r="I263" s="672">
        <f t="shared" si="33"/>
        <v>2.8113547959725333E-2</v>
      </c>
      <c r="J263" s="673">
        <f t="shared" si="31"/>
        <v>3287596.5416891011</v>
      </c>
      <c r="K263" s="359">
        <f t="shared" si="34"/>
        <v>3287596.5698026493</v>
      </c>
      <c r="L263" s="673">
        <f t="shared" si="35"/>
        <v>1.2619020417332649E-3</v>
      </c>
    </row>
    <row r="264" spans="1:12" x14ac:dyDescent="0.35">
      <c r="A264" s="287" t="str">
        <f t="shared" si="32"/>
        <v/>
      </c>
      <c r="B264" s="288">
        <v>257</v>
      </c>
      <c r="C264" s="667">
        <f>IF('User Dashboard'!Z$12=5,
IF('SIR Model Patient Calcs'!B264&lt;'User Dashboard'!AJ$15,'User Dashboard'!AN$14,
IF('SIR Model Patient Calcs'!B264&lt;'User Dashboard'!AJ$16,'User Dashboard'!AN$15,
IF('SIR Model Patient Calcs'!B264&lt;'User Dashboard'!AJ$17,'User Dashboard'!AN$16,
IF('SIR Model Patient Calcs'!B264&lt;'User Dashboard'!AJ$18,'User Dashboard'!AN$17,
'User Dashboard'!AN$18)))),
IF('User Dashboard'!Z$12=4,
IF('SIR Model Patient Calcs'!B264&lt;'User Dashboard'!AJ$15,'User Dashboard'!AN$14,
IF('SIR Model Patient Calcs'!B264&lt;'User Dashboard'!AJ$16,'User Dashboard'!AN$15,
IF('SIR Model Patient Calcs'!B264&lt;'User Dashboard'!AJ$17,'User Dashboard'!AN$16,
'User Dashboard'!AN$17))),
IF('User Dashboard'!Z$12=3,
IF('SIR Model Patient Calcs'!B264&lt;'User Dashboard'!AJ$15,'User Dashboard'!AN$14,
IF('SIR Model Patient Calcs'!B264&lt;'User Dashboard'!AJ$16,'User Dashboard'!AN$15,
'User Dashboard'!AN$16)),
IF('User Dashboard'!Z$12=2,
IF('SIR Model Patient Calcs'!B264&lt;'User Dashboard'!AJ$15,'User Dashboard'!AN$14,
'User Dashboard'!AN$15),
IF('User Dashboard'!Z$12=1,
'User Dashboard'!AN$14)))))</f>
        <v>15.209356603107825</v>
      </c>
      <c r="D264" s="668">
        <f>'User Dashboard'!X$16</f>
        <v>2.2072878851804097E-2</v>
      </c>
      <c r="E264" s="660">
        <f t="shared" si="37"/>
        <v>8.9862781521070358E-8</v>
      </c>
      <c r="F264" s="660">
        <f t="shared" si="36"/>
        <v>8.9862781521070358E-8</v>
      </c>
      <c r="G264" s="670">
        <f>1/'User Dashboard'!X$12</f>
        <v>0.14285714285714285</v>
      </c>
      <c r="H264" s="359">
        <f t="shared" ref="H264:H327" si="38">-MIN(F263*I263,1)*H263+H263</f>
        <v>448258.02906488918</v>
      </c>
      <c r="I264" s="672">
        <f t="shared" si="33"/>
        <v>2.5229788705111555E-2</v>
      </c>
      <c r="J264" s="673">
        <f t="shared" ref="J264:J327" si="39">G263*I263+J263</f>
        <v>3287596.5457053222</v>
      </c>
      <c r="K264" s="359">
        <f t="shared" si="34"/>
        <v>3287596.570935111</v>
      </c>
      <c r="L264" s="673">
        <f t="shared" si="35"/>
        <v>1.1324617080390453E-3</v>
      </c>
    </row>
    <row r="265" spans="1:12" x14ac:dyDescent="0.35">
      <c r="A265" s="287" t="str">
        <f t="shared" ref="A265:A328" si="40">IF(AND(IF(L265&lt;1,0,1)*ROUNDUP(B265/7,0)=0,B265&lt;&gt;0),"",IF(L265&lt;1,0,1)*ROUNDUP(B265/7,0))</f>
        <v/>
      </c>
      <c r="B265" s="288">
        <v>258</v>
      </c>
      <c r="C265" s="667">
        <f>IF('User Dashboard'!Z$12=5,
IF('SIR Model Patient Calcs'!B265&lt;'User Dashboard'!AJ$15,'User Dashboard'!AN$14,
IF('SIR Model Patient Calcs'!B265&lt;'User Dashboard'!AJ$16,'User Dashboard'!AN$15,
IF('SIR Model Patient Calcs'!B265&lt;'User Dashboard'!AJ$17,'User Dashboard'!AN$16,
IF('SIR Model Patient Calcs'!B265&lt;'User Dashboard'!AJ$18,'User Dashboard'!AN$17,
'User Dashboard'!AN$18)))),
IF('User Dashboard'!Z$12=4,
IF('SIR Model Patient Calcs'!B265&lt;'User Dashboard'!AJ$15,'User Dashboard'!AN$14,
IF('SIR Model Patient Calcs'!B265&lt;'User Dashboard'!AJ$16,'User Dashboard'!AN$15,
IF('SIR Model Patient Calcs'!B265&lt;'User Dashboard'!AJ$17,'User Dashboard'!AN$16,
'User Dashboard'!AN$17))),
IF('User Dashboard'!Z$12=3,
IF('SIR Model Patient Calcs'!B265&lt;'User Dashboard'!AJ$15,'User Dashboard'!AN$14,
IF('SIR Model Patient Calcs'!B265&lt;'User Dashboard'!AJ$16,'User Dashboard'!AN$15,
'User Dashboard'!AN$16)),
IF('User Dashboard'!Z$12=2,
IF('SIR Model Patient Calcs'!B265&lt;'User Dashboard'!AJ$15,'User Dashboard'!AN$14,
'User Dashboard'!AN$15),
IF('User Dashboard'!Z$12=1,
'User Dashboard'!AN$14)))))</f>
        <v>15.209356603107825</v>
      </c>
      <c r="D265" s="668">
        <f>'User Dashboard'!X$16</f>
        <v>2.2072878851804097E-2</v>
      </c>
      <c r="E265" s="660">
        <f t="shared" si="37"/>
        <v>8.9862781521070358E-8</v>
      </c>
      <c r="F265" s="660">
        <f t="shared" si="36"/>
        <v>8.9862781521070358E-8</v>
      </c>
      <c r="G265" s="670">
        <f>1/'User Dashboard'!X$12</f>
        <v>0.14285714285714285</v>
      </c>
      <c r="H265" s="359">
        <f t="shared" si="38"/>
        <v>448258.02804859006</v>
      </c>
      <c r="I265" s="672">
        <f t="shared" ref="I265:I328" si="41">MIN(F264*I264,1)*H264-G264*I264+I264</f>
        <v>2.2641832291828985E-2</v>
      </c>
      <c r="J265" s="673">
        <f t="shared" si="39"/>
        <v>3287596.5493095778</v>
      </c>
      <c r="K265" s="359">
        <f t="shared" ref="K265:K328" si="42">(I265+J265)</f>
        <v>3287596.5719514103</v>
      </c>
      <c r="L265" s="673">
        <f t="shared" ref="L265:L328" si="43">(K265-K264)</f>
        <v>1.0162992402911186E-3</v>
      </c>
    </row>
    <row r="266" spans="1:12" x14ac:dyDescent="0.35">
      <c r="A266" s="287" t="str">
        <f t="shared" si="40"/>
        <v/>
      </c>
      <c r="B266" s="288">
        <v>259</v>
      </c>
      <c r="C266" s="667">
        <f>IF('User Dashboard'!Z$12=5,
IF('SIR Model Patient Calcs'!B266&lt;'User Dashboard'!AJ$15,'User Dashboard'!AN$14,
IF('SIR Model Patient Calcs'!B266&lt;'User Dashboard'!AJ$16,'User Dashboard'!AN$15,
IF('SIR Model Patient Calcs'!B266&lt;'User Dashboard'!AJ$17,'User Dashboard'!AN$16,
IF('SIR Model Patient Calcs'!B266&lt;'User Dashboard'!AJ$18,'User Dashboard'!AN$17,
'User Dashboard'!AN$18)))),
IF('User Dashboard'!Z$12=4,
IF('SIR Model Patient Calcs'!B266&lt;'User Dashboard'!AJ$15,'User Dashboard'!AN$14,
IF('SIR Model Patient Calcs'!B266&lt;'User Dashboard'!AJ$16,'User Dashboard'!AN$15,
IF('SIR Model Patient Calcs'!B266&lt;'User Dashboard'!AJ$17,'User Dashboard'!AN$16,
'User Dashboard'!AN$17))),
IF('User Dashboard'!Z$12=3,
IF('SIR Model Patient Calcs'!B266&lt;'User Dashboard'!AJ$15,'User Dashboard'!AN$14,
IF('SIR Model Patient Calcs'!B266&lt;'User Dashboard'!AJ$16,'User Dashboard'!AN$15,
'User Dashboard'!AN$16)),
IF('User Dashboard'!Z$12=2,
IF('SIR Model Patient Calcs'!B266&lt;'User Dashboard'!AJ$15,'User Dashboard'!AN$14,
'User Dashboard'!AN$15),
IF('User Dashboard'!Z$12=1,
'User Dashboard'!AN$14)))))</f>
        <v>15.209356603107825</v>
      </c>
      <c r="D266" s="668">
        <f>'User Dashboard'!X$16</f>
        <v>2.2072878851804097E-2</v>
      </c>
      <c r="E266" s="660">
        <f t="shared" si="37"/>
        <v>8.9862781521070358E-8</v>
      </c>
      <c r="F266" s="660">
        <f t="shared" si="36"/>
        <v>8.9862781521070358E-8</v>
      </c>
      <c r="G266" s="670">
        <f>1/'User Dashboard'!X$12</f>
        <v>0.14285714285714285</v>
      </c>
      <c r="H266" s="359">
        <f t="shared" si="38"/>
        <v>448258.02713653824</v>
      </c>
      <c r="I266" s="672">
        <f t="shared" si="41"/>
        <v>2.0319336617166187E-2</v>
      </c>
      <c r="J266" s="673">
        <f t="shared" si="39"/>
        <v>3287596.5525441254</v>
      </c>
      <c r="K266" s="359">
        <f t="shared" si="42"/>
        <v>3287596.5728634619</v>
      </c>
      <c r="L266" s="673">
        <f t="shared" si="43"/>
        <v>9.1205164790153503E-4</v>
      </c>
    </row>
    <row r="267" spans="1:12" x14ac:dyDescent="0.35">
      <c r="A267" s="287" t="str">
        <f t="shared" si="40"/>
        <v/>
      </c>
      <c r="B267" s="288">
        <v>260</v>
      </c>
      <c r="C267" s="667">
        <f>IF('User Dashboard'!Z$12=5,
IF('SIR Model Patient Calcs'!B267&lt;'User Dashboard'!AJ$15,'User Dashboard'!AN$14,
IF('SIR Model Patient Calcs'!B267&lt;'User Dashboard'!AJ$16,'User Dashboard'!AN$15,
IF('SIR Model Patient Calcs'!B267&lt;'User Dashboard'!AJ$17,'User Dashboard'!AN$16,
IF('SIR Model Patient Calcs'!B267&lt;'User Dashboard'!AJ$18,'User Dashboard'!AN$17,
'User Dashboard'!AN$18)))),
IF('User Dashboard'!Z$12=4,
IF('SIR Model Patient Calcs'!B267&lt;'User Dashboard'!AJ$15,'User Dashboard'!AN$14,
IF('SIR Model Patient Calcs'!B267&lt;'User Dashboard'!AJ$16,'User Dashboard'!AN$15,
IF('SIR Model Patient Calcs'!B267&lt;'User Dashboard'!AJ$17,'User Dashboard'!AN$16,
'User Dashboard'!AN$17))),
IF('User Dashboard'!Z$12=3,
IF('SIR Model Patient Calcs'!B267&lt;'User Dashboard'!AJ$15,'User Dashboard'!AN$14,
IF('SIR Model Patient Calcs'!B267&lt;'User Dashboard'!AJ$16,'User Dashboard'!AN$15,
'User Dashboard'!AN$16)),
IF('User Dashboard'!Z$12=2,
IF('SIR Model Patient Calcs'!B267&lt;'User Dashboard'!AJ$15,'User Dashboard'!AN$14,
'User Dashboard'!AN$15),
IF('User Dashboard'!Z$12=1,
'User Dashboard'!AN$14)))))</f>
        <v>15.209356603107825</v>
      </c>
      <c r="D267" s="668">
        <f>'User Dashboard'!X$16</f>
        <v>2.2072878851804097E-2</v>
      </c>
      <c r="E267" s="660">
        <f t="shared" si="37"/>
        <v>8.9862781521070345E-8</v>
      </c>
      <c r="F267" s="660">
        <f t="shared" si="36"/>
        <v>8.9862781521070358E-8</v>
      </c>
      <c r="G267" s="670">
        <f>1/'User Dashboard'!X$12</f>
        <v>0.14285714285714285</v>
      </c>
      <c r="H267" s="359">
        <f t="shared" si="38"/>
        <v>448258.02631804056</v>
      </c>
      <c r="I267" s="672">
        <f t="shared" si="41"/>
        <v>1.8235071932451455E-2</v>
      </c>
      <c r="J267" s="673">
        <f t="shared" si="39"/>
        <v>3287596.5554468879</v>
      </c>
      <c r="K267" s="359">
        <f t="shared" si="42"/>
        <v>3287596.5736819599</v>
      </c>
      <c r="L267" s="673">
        <f t="shared" si="43"/>
        <v>8.1849796697497368E-4</v>
      </c>
    </row>
    <row r="268" spans="1:12" x14ac:dyDescent="0.35">
      <c r="A268" s="287" t="str">
        <f t="shared" si="40"/>
        <v/>
      </c>
      <c r="B268" s="288">
        <v>261</v>
      </c>
      <c r="C268" s="667">
        <f>IF('User Dashboard'!Z$12=5,
IF('SIR Model Patient Calcs'!B268&lt;'User Dashboard'!AJ$15,'User Dashboard'!AN$14,
IF('SIR Model Patient Calcs'!B268&lt;'User Dashboard'!AJ$16,'User Dashboard'!AN$15,
IF('SIR Model Patient Calcs'!B268&lt;'User Dashboard'!AJ$17,'User Dashboard'!AN$16,
IF('SIR Model Patient Calcs'!B268&lt;'User Dashboard'!AJ$18,'User Dashboard'!AN$17,
'User Dashboard'!AN$18)))),
IF('User Dashboard'!Z$12=4,
IF('SIR Model Patient Calcs'!B268&lt;'User Dashboard'!AJ$15,'User Dashboard'!AN$14,
IF('SIR Model Patient Calcs'!B268&lt;'User Dashboard'!AJ$16,'User Dashboard'!AN$15,
IF('SIR Model Patient Calcs'!B268&lt;'User Dashboard'!AJ$17,'User Dashboard'!AN$16,
'User Dashboard'!AN$17))),
IF('User Dashboard'!Z$12=3,
IF('SIR Model Patient Calcs'!B268&lt;'User Dashboard'!AJ$15,'User Dashboard'!AN$14,
IF('SIR Model Patient Calcs'!B268&lt;'User Dashboard'!AJ$16,'User Dashboard'!AN$15,
'User Dashboard'!AN$16)),
IF('User Dashboard'!Z$12=2,
IF('SIR Model Patient Calcs'!B268&lt;'User Dashboard'!AJ$15,'User Dashboard'!AN$14,
'User Dashboard'!AN$15),
IF('User Dashboard'!Z$12=1,
'User Dashboard'!AN$14)))))</f>
        <v>15.209356603107825</v>
      </c>
      <c r="D268" s="668">
        <f>'User Dashboard'!X$16</f>
        <v>2.2072878851804097E-2</v>
      </c>
      <c r="E268" s="660">
        <f t="shared" si="37"/>
        <v>8.9862781521070345E-8</v>
      </c>
      <c r="F268" s="660">
        <f t="shared" si="36"/>
        <v>8.9862781521070358E-8</v>
      </c>
      <c r="G268" s="670">
        <f>1/'User Dashboard'!X$12</f>
        <v>0.14285714285714285</v>
      </c>
      <c r="H268" s="359">
        <f t="shared" si="38"/>
        <v>448258.02558350062</v>
      </c>
      <c r="I268" s="672">
        <f t="shared" si="41"/>
        <v>1.6364601592037609E-2</v>
      </c>
      <c r="J268" s="673">
        <f t="shared" si="39"/>
        <v>3287596.5580518981</v>
      </c>
      <c r="K268" s="359">
        <f t="shared" si="42"/>
        <v>3287596.5744164996</v>
      </c>
      <c r="L268" s="673">
        <f t="shared" si="43"/>
        <v>7.345397025346756E-4</v>
      </c>
    </row>
    <row r="269" spans="1:12" x14ac:dyDescent="0.35">
      <c r="A269" s="287" t="str">
        <f t="shared" si="40"/>
        <v/>
      </c>
      <c r="B269" s="288">
        <v>262</v>
      </c>
      <c r="C269" s="667">
        <f>IF('User Dashboard'!Z$12=5,
IF('SIR Model Patient Calcs'!B269&lt;'User Dashboard'!AJ$15,'User Dashboard'!AN$14,
IF('SIR Model Patient Calcs'!B269&lt;'User Dashboard'!AJ$16,'User Dashboard'!AN$15,
IF('SIR Model Patient Calcs'!B269&lt;'User Dashboard'!AJ$17,'User Dashboard'!AN$16,
IF('SIR Model Patient Calcs'!B269&lt;'User Dashboard'!AJ$18,'User Dashboard'!AN$17,
'User Dashboard'!AN$18)))),
IF('User Dashboard'!Z$12=4,
IF('SIR Model Patient Calcs'!B269&lt;'User Dashboard'!AJ$15,'User Dashboard'!AN$14,
IF('SIR Model Patient Calcs'!B269&lt;'User Dashboard'!AJ$16,'User Dashboard'!AN$15,
IF('SIR Model Patient Calcs'!B269&lt;'User Dashboard'!AJ$17,'User Dashboard'!AN$16,
'User Dashboard'!AN$17))),
IF('User Dashboard'!Z$12=3,
IF('SIR Model Patient Calcs'!B269&lt;'User Dashboard'!AJ$15,'User Dashboard'!AN$14,
IF('SIR Model Patient Calcs'!B269&lt;'User Dashboard'!AJ$16,'User Dashboard'!AN$15,
'User Dashboard'!AN$16)),
IF('User Dashboard'!Z$12=2,
IF('SIR Model Patient Calcs'!B269&lt;'User Dashboard'!AJ$15,'User Dashboard'!AN$14,
'User Dashboard'!AN$15),
IF('User Dashboard'!Z$12=1,
'User Dashboard'!AN$14)))))</f>
        <v>15.209356603107825</v>
      </c>
      <c r="D269" s="668">
        <f>'User Dashboard'!X$16</f>
        <v>2.2072878851804097E-2</v>
      </c>
      <c r="E269" s="660">
        <f t="shared" si="37"/>
        <v>8.9862781521070345E-8</v>
      </c>
      <c r="F269" s="660">
        <f t="shared" si="36"/>
        <v>8.9862781521070372E-8</v>
      </c>
      <c r="G269" s="670">
        <f>1/'User Dashboard'!X$12</f>
        <v>0.14285714285714285</v>
      </c>
      <c r="H269" s="359">
        <f t="shared" si="38"/>
        <v>448258.02492430643</v>
      </c>
      <c r="I269" s="672">
        <f t="shared" si="41"/>
        <v>1.4685995549589282E-2</v>
      </c>
      <c r="J269" s="673">
        <f t="shared" si="39"/>
        <v>3287596.5603896985</v>
      </c>
      <c r="K269" s="359">
        <f t="shared" si="42"/>
        <v>3287596.5750756939</v>
      </c>
      <c r="L269" s="673">
        <f t="shared" si="43"/>
        <v>6.5919430926442146E-4</v>
      </c>
    </row>
    <row r="270" spans="1:12" x14ac:dyDescent="0.35">
      <c r="A270" s="287" t="str">
        <f t="shared" si="40"/>
        <v/>
      </c>
      <c r="B270" s="288">
        <v>263</v>
      </c>
      <c r="C270" s="667">
        <f>IF('User Dashboard'!Z$12=5,
IF('SIR Model Patient Calcs'!B270&lt;'User Dashboard'!AJ$15,'User Dashboard'!AN$14,
IF('SIR Model Patient Calcs'!B270&lt;'User Dashboard'!AJ$16,'User Dashboard'!AN$15,
IF('SIR Model Patient Calcs'!B270&lt;'User Dashboard'!AJ$17,'User Dashboard'!AN$16,
IF('SIR Model Patient Calcs'!B270&lt;'User Dashboard'!AJ$18,'User Dashboard'!AN$17,
'User Dashboard'!AN$18)))),
IF('User Dashboard'!Z$12=4,
IF('SIR Model Patient Calcs'!B270&lt;'User Dashboard'!AJ$15,'User Dashboard'!AN$14,
IF('SIR Model Patient Calcs'!B270&lt;'User Dashboard'!AJ$16,'User Dashboard'!AN$15,
IF('SIR Model Patient Calcs'!B270&lt;'User Dashboard'!AJ$17,'User Dashboard'!AN$16,
'User Dashboard'!AN$17))),
IF('User Dashboard'!Z$12=3,
IF('SIR Model Patient Calcs'!B270&lt;'User Dashboard'!AJ$15,'User Dashboard'!AN$14,
IF('SIR Model Patient Calcs'!B270&lt;'User Dashboard'!AJ$16,'User Dashboard'!AN$15,
'User Dashboard'!AN$16)),
IF('User Dashboard'!Z$12=2,
IF('SIR Model Patient Calcs'!B270&lt;'User Dashboard'!AJ$15,'User Dashboard'!AN$14,
'User Dashboard'!AN$15),
IF('User Dashboard'!Z$12=1,
'User Dashboard'!AN$14)))))</f>
        <v>15.209356603107825</v>
      </c>
      <c r="D270" s="668">
        <f>'User Dashboard'!X$16</f>
        <v>2.2072878851804097E-2</v>
      </c>
      <c r="E270" s="660">
        <f t="shared" si="37"/>
        <v>8.9862781521070345E-8</v>
      </c>
      <c r="F270" s="660">
        <f t="shared" si="36"/>
        <v>8.9862781521070372E-8</v>
      </c>
      <c r="G270" s="670">
        <f>1/'User Dashboard'!X$12</f>
        <v>0.14285714285714285</v>
      </c>
      <c r="H270" s="359">
        <f t="shared" si="38"/>
        <v>448258.0243327294</v>
      </c>
      <c r="I270" s="672">
        <f t="shared" si="41"/>
        <v>1.3179573242605592E-2</v>
      </c>
      <c r="J270" s="673">
        <f t="shared" si="39"/>
        <v>3287596.5624876977</v>
      </c>
      <c r="K270" s="359">
        <f t="shared" si="42"/>
        <v>3287596.5756672709</v>
      </c>
      <c r="L270" s="673">
        <f t="shared" si="43"/>
        <v>5.9157703071832657E-4</v>
      </c>
    </row>
    <row r="271" spans="1:12" x14ac:dyDescent="0.35">
      <c r="A271" s="287" t="str">
        <f t="shared" si="40"/>
        <v/>
      </c>
      <c r="B271" s="288">
        <v>264</v>
      </c>
      <c r="C271" s="667">
        <f>IF('User Dashboard'!Z$12=5,
IF('SIR Model Patient Calcs'!B271&lt;'User Dashboard'!AJ$15,'User Dashboard'!AN$14,
IF('SIR Model Patient Calcs'!B271&lt;'User Dashboard'!AJ$16,'User Dashboard'!AN$15,
IF('SIR Model Patient Calcs'!B271&lt;'User Dashboard'!AJ$17,'User Dashboard'!AN$16,
IF('SIR Model Patient Calcs'!B271&lt;'User Dashboard'!AJ$18,'User Dashboard'!AN$17,
'User Dashboard'!AN$18)))),
IF('User Dashboard'!Z$12=4,
IF('SIR Model Patient Calcs'!B271&lt;'User Dashboard'!AJ$15,'User Dashboard'!AN$14,
IF('SIR Model Patient Calcs'!B271&lt;'User Dashboard'!AJ$16,'User Dashboard'!AN$15,
IF('SIR Model Patient Calcs'!B271&lt;'User Dashboard'!AJ$17,'User Dashboard'!AN$16,
'User Dashboard'!AN$17))),
IF('User Dashboard'!Z$12=3,
IF('SIR Model Patient Calcs'!B271&lt;'User Dashboard'!AJ$15,'User Dashboard'!AN$14,
IF('SIR Model Patient Calcs'!B271&lt;'User Dashboard'!AJ$16,'User Dashboard'!AN$15,
'User Dashboard'!AN$16)),
IF('User Dashboard'!Z$12=2,
IF('SIR Model Patient Calcs'!B271&lt;'User Dashboard'!AJ$15,'User Dashboard'!AN$14,
'User Dashboard'!AN$15),
IF('User Dashboard'!Z$12=1,
'User Dashboard'!AN$14)))))</f>
        <v>15.209356603107825</v>
      </c>
      <c r="D271" s="668">
        <f>'User Dashboard'!X$16</f>
        <v>2.2072878851804097E-2</v>
      </c>
      <c r="E271" s="660">
        <f t="shared" si="37"/>
        <v>8.9862781521070345E-8</v>
      </c>
      <c r="F271" s="660">
        <f t="shared" si="36"/>
        <v>8.9862781521070372E-8</v>
      </c>
      <c r="G271" s="670">
        <f>1/'User Dashboard'!X$12</f>
        <v>0.14285714285714285</v>
      </c>
      <c r="H271" s="359">
        <f t="shared" si="38"/>
        <v>448258.02380183362</v>
      </c>
      <c r="I271" s="672">
        <f t="shared" si="41"/>
        <v>1.182767285066851E-2</v>
      </c>
      <c r="J271" s="673">
        <f t="shared" si="39"/>
        <v>3287596.5643704939</v>
      </c>
      <c r="K271" s="359">
        <f t="shared" si="42"/>
        <v>3287596.5761981667</v>
      </c>
      <c r="L271" s="673">
        <f t="shared" si="43"/>
        <v>5.3089577704668045E-4</v>
      </c>
    </row>
    <row r="272" spans="1:12" x14ac:dyDescent="0.35">
      <c r="A272" s="287" t="str">
        <f t="shared" si="40"/>
        <v/>
      </c>
      <c r="B272" s="288">
        <v>265</v>
      </c>
      <c r="C272" s="667">
        <f>IF('User Dashboard'!Z$12=5,
IF('SIR Model Patient Calcs'!B272&lt;'User Dashboard'!AJ$15,'User Dashboard'!AN$14,
IF('SIR Model Patient Calcs'!B272&lt;'User Dashboard'!AJ$16,'User Dashboard'!AN$15,
IF('SIR Model Patient Calcs'!B272&lt;'User Dashboard'!AJ$17,'User Dashboard'!AN$16,
IF('SIR Model Patient Calcs'!B272&lt;'User Dashboard'!AJ$18,'User Dashboard'!AN$17,
'User Dashboard'!AN$18)))),
IF('User Dashboard'!Z$12=4,
IF('SIR Model Patient Calcs'!B272&lt;'User Dashboard'!AJ$15,'User Dashboard'!AN$14,
IF('SIR Model Patient Calcs'!B272&lt;'User Dashboard'!AJ$16,'User Dashboard'!AN$15,
IF('SIR Model Patient Calcs'!B272&lt;'User Dashboard'!AJ$17,'User Dashboard'!AN$16,
'User Dashboard'!AN$17))),
IF('User Dashboard'!Z$12=3,
IF('SIR Model Patient Calcs'!B272&lt;'User Dashboard'!AJ$15,'User Dashboard'!AN$14,
IF('SIR Model Patient Calcs'!B272&lt;'User Dashboard'!AJ$16,'User Dashboard'!AN$15,
'User Dashboard'!AN$16)),
IF('User Dashboard'!Z$12=2,
IF('SIR Model Patient Calcs'!B272&lt;'User Dashboard'!AJ$15,'User Dashboard'!AN$14,
'User Dashboard'!AN$15),
IF('User Dashboard'!Z$12=1,
'User Dashboard'!AN$14)))))</f>
        <v>15.209356603107825</v>
      </c>
      <c r="D272" s="668">
        <f>'User Dashboard'!X$16</f>
        <v>2.2072878851804097E-2</v>
      </c>
      <c r="E272" s="660">
        <f t="shared" si="37"/>
        <v>8.9862781521070358E-8</v>
      </c>
      <c r="F272" s="660">
        <f t="shared" ref="F272:F335" si="44">AVERAGE(E263:E272)</f>
        <v>8.9862781521070358E-8</v>
      </c>
      <c r="G272" s="670">
        <f>1/'User Dashboard'!X$12</f>
        <v>0.14285714285714285</v>
      </c>
      <c r="H272" s="359">
        <f t="shared" si="38"/>
        <v>448258.02332539472</v>
      </c>
      <c r="I272" s="672">
        <f t="shared" si="41"/>
        <v>1.0614444222121657E-2</v>
      </c>
      <c r="J272" s="673">
        <f t="shared" si="39"/>
        <v>3287596.5660601612</v>
      </c>
      <c r="K272" s="359">
        <f t="shared" si="42"/>
        <v>3287596.5766746053</v>
      </c>
      <c r="L272" s="673">
        <f t="shared" si="43"/>
        <v>4.7643855214118958E-4</v>
      </c>
    </row>
    <row r="273" spans="1:12" x14ac:dyDescent="0.35">
      <c r="A273" s="287" t="str">
        <f t="shared" si="40"/>
        <v/>
      </c>
      <c r="B273" s="288">
        <v>266</v>
      </c>
      <c r="C273" s="667">
        <f>IF('User Dashboard'!Z$12=5,
IF('SIR Model Patient Calcs'!B273&lt;'User Dashboard'!AJ$15,'User Dashboard'!AN$14,
IF('SIR Model Patient Calcs'!B273&lt;'User Dashboard'!AJ$16,'User Dashboard'!AN$15,
IF('SIR Model Patient Calcs'!B273&lt;'User Dashboard'!AJ$17,'User Dashboard'!AN$16,
IF('SIR Model Patient Calcs'!B273&lt;'User Dashboard'!AJ$18,'User Dashboard'!AN$17,
'User Dashboard'!AN$18)))),
IF('User Dashboard'!Z$12=4,
IF('SIR Model Patient Calcs'!B273&lt;'User Dashboard'!AJ$15,'User Dashboard'!AN$14,
IF('SIR Model Patient Calcs'!B273&lt;'User Dashboard'!AJ$16,'User Dashboard'!AN$15,
IF('SIR Model Patient Calcs'!B273&lt;'User Dashboard'!AJ$17,'User Dashboard'!AN$16,
'User Dashboard'!AN$17))),
IF('User Dashboard'!Z$12=3,
IF('SIR Model Patient Calcs'!B273&lt;'User Dashboard'!AJ$15,'User Dashboard'!AN$14,
IF('SIR Model Patient Calcs'!B273&lt;'User Dashboard'!AJ$16,'User Dashboard'!AN$15,
'User Dashboard'!AN$16)),
IF('User Dashboard'!Z$12=2,
IF('SIR Model Patient Calcs'!B273&lt;'User Dashboard'!AJ$15,'User Dashboard'!AN$14,
'User Dashboard'!AN$15),
IF('User Dashboard'!Z$12=1,
'User Dashboard'!AN$14)))))</f>
        <v>15.209356603107825</v>
      </c>
      <c r="D273" s="668">
        <f>'User Dashboard'!X$16</f>
        <v>2.2072878851804097E-2</v>
      </c>
      <c r="E273" s="660">
        <f t="shared" si="37"/>
        <v>8.9862781521070358E-8</v>
      </c>
      <c r="F273" s="660">
        <f t="shared" si="44"/>
        <v>8.9862781521070358E-8</v>
      </c>
      <c r="G273" s="670">
        <f>1/'User Dashboard'!X$12</f>
        <v>0.14285714285714285</v>
      </c>
      <c r="H273" s="359">
        <f t="shared" si="38"/>
        <v>448258.02289782674</v>
      </c>
      <c r="I273" s="672">
        <f t="shared" si="41"/>
        <v>9.5256630413808538E-3</v>
      </c>
      <c r="J273" s="673">
        <f t="shared" si="39"/>
        <v>3287596.5675765104</v>
      </c>
      <c r="K273" s="359">
        <f t="shared" si="42"/>
        <v>3287596.5771021736</v>
      </c>
      <c r="L273" s="673">
        <f t="shared" si="43"/>
        <v>4.2756833136081696E-4</v>
      </c>
    </row>
    <row r="274" spans="1:12" x14ac:dyDescent="0.35">
      <c r="A274" s="287" t="str">
        <f t="shared" si="40"/>
        <v/>
      </c>
      <c r="B274" s="288">
        <v>267</v>
      </c>
      <c r="C274" s="667">
        <f>IF('User Dashboard'!Z$12=5,
IF('SIR Model Patient Calcs'!B274&lt;'User Dashboard'!AJ$15,'User Dashboard'!AN$14,
IF('SIR Model Patient Calcs'!B274&lt;'User Dashboard'!AJ$16,'User Dashboard'!AN$15,
IF('SIR Model Patient Calcs'!B274&lt;'User Dashboard'!AJ$17,'User Dashboard'!AN$16,
IF('SIR Model Patient Calcs'!B274&lt;'User Dashboard'!AJ$18,'User Dashboard'!AN$17,
'User Dashboard'!AN$18)))),
IF('User Dashboard'!Z$12=4,
IF('SIR Model Patient Calcs'!B274&lt;'User Dashboard'!AJ$15,'User Dashboard'!AN$14,
IF('SIR Model Patient Calcs'!B274&lt;'User Dashboard'!AJ$16,'User Dashboard'!AN$15,
IF('SIR Model Patient Calcs'!B274&lt;'User Dashboard'!AJ$17,'User Dashboard'!AN$16,
'User Dashboard'!AN$17))),
IF('User Dashboard'!Z$12=3,
IF('SIR Model Patient Calcs'!B274&lt;'User Dashboard'!AJ$15,'User Dashboard'!AN$14,
IF('SIR Model Patient Calcs'!B274&lt;'User Dashboard'!AJ$16,'User Dashboard'!AN$15,
'User Dashboard'!AN$16)),
IF('User Dashboard'!Z$12=2,
IF('SIR Model Patient Calcs'!B274&lt;'User Dashboard'!AJ$15,'User Dashboard'!AN$14,
'User Dashboard'!AN$15),
IF('User Dashboard'!Z$12=1,
'User Dashboard'!AN$14)))))</f>
        <v>15.209356603107825</v>
      </c>
      <c r="D274" s="668">
        <f>'User Dashboard'!X$16</f>
        <v>2.2072878851804097E-2</v>
      </c>
      <c r="E274" s="660">
        <f t="shared" si="37"/>
        <v>8.9862781521070358E-8</v>
      </c>
      <c r="F274" s="660">
        <f t="shared" si="44"/>
        <v>8.9862781521070358E-8</v>
      </c>
      <c r="G274" s="670">
        <f>1/'User Dashboard'!X$12</f>
        <v>0.14285714285714285</v>
      </c>
      <c r="H274" s="359">
        <f t="shared" si="38"/>
        <v>448258.02251411672</v>
      </c>
      <c r="I274" s="672">
        <f t="shared" si="41"/>
        <v>8.5485640581101606E-3</v>
      </c>
      <c r="J274" s="673">
        <f t="shared" si="39"/>
        <v>3287596.5689373193</v>
      </c>
      <c r="K274" s="359">
        <f t="shared" si="42"/>
        <v>3287596.5774858836</v>
      </c>
      <c r="L274" s="673">
        <f t="shared" si="43"/>
        <v>3.8371002301573753E-4</v>
      </c>
    </row>
    <row r="275" spans="1:12" x14ac:dyDescent="0.35">
      <c r="A275" s="287" t="str">
        <f t="shared" si="40"/>
        <v/>
      </c>
      <c r="B275" s="288">
        <v>268</v>
      </c>
      <c r="C275" s="667">
        <f>IF('User Dashboard'!Z$12=5,
IF('SIR Model Patient Calcs'!B275&lt;'User Dashboard'!AJ$15,'User Dashboard'!AN$14,
IF('SIR Model Patient Calcs'!B275&lt;'User Dashboard'!AJ$16,'User Dashboard'!AN$15,
IF('SIR Model Patient Calcs'!B275&lt;'User Dashboard'!AJ$17,'User Dashboard'!AN$16,
IF('SIR Model Patient Calcs'!B275&lt;'User Dashboard'!AJ$18,'User Dashboard'!AN$17,
'User Dashboard'!AN$18)))),
IF('User Dashboard'!Z$12=4,
IF('SIR Model Patient Calcs'!B275&lt;'User Dashboard'!AJ$15,'User Dashboard'!AN$14,
IF('SIR Model Patient Calcs'!B275&lt;'User Dashboard'!AJ$16,'User Dashboard'!AN$15,
IF('SIR Model Patient Calcs'!B275&lt;'User Dashboard'!AJ$17,'User Dashboard'!AN$16,
'User Dashboard'!AN$17))),
IF('User Dashboard'!Z$12=3,
IF('SIR Model Patient Calcs'!B275&lt;'User Dashboard'!AJ$15,'User Dashboard'!AN$14,
IF('SIR Model Patient Calcs'!B275&lt;'User Dashboard'!AJ$16,'User Dashboard'!AN$15,
'User Dashboard'!AN$16)),
IF('User Dashboard'!Z$12=2,
IF('SIR Model Patient Calcs'!B275&lt;'User Dashboard'!AJ$15,'User Dashboard'!AN$14,
'User Dashboard'!AN$15),
IF('User Dashboard'!Z$12=1,
'User Dashboard'!AN$14)))))</f>
        <v>15.209356603107825</v>
      </c>
      <c r="D275" s="668">
        <f>'User Dashboard'!X$16</f>
        <v>2.2072878851804097E-2</v>
      </c>
      <c r="E275" s="660">
        <f t="shared" si="37"/>
        <v>8.9862781521070358E-8</v>
      </c>
      <c r="F275" s="660">
        <f t="shared" si="44"/>
        <v>8.9862781521070358E-8</v>
      </c>
      <c r="G275" s="670">
        <f>1/'User Dashboard'!X$12</f>
        <v>0.14285714285714285</v>
      </c>
      <c r="H275" s="359">
        <f t="shared" si="38"/>
        <v>448258.0221697659</v>
      </c>
      <c r="I275" s="672">
        <f t="shared" si="41"/>
        <v>7.6716914229848238E-3</v>
      </c>
      <c r="J275" s="673">
        <f t="shared" si="39"/>
        <v>3287596.5701585426</v>
      </c>
      <c r="K275" s="359">
        <f t="shared" si="42"/>
        <v>3287596.5778302341</v>
      </c>
      <c r="L275" s="673">
        <f t="shared" si="43"/>
        <v>3.4435046836733818E-4</v>
      </c>
    </row>
    <row r="276" spans="1:12" x14ac:dyDescent="0.35">
      <c r="A276" s="287" t="str">
        <f t="shared" si="40"/>
        <v/>
      </c>
      <c r="B276" s="288">
        <v>269</v>
      </c>
      <c r="C276" s="667">
        <f>IF('User Dashboard'!Z$12=5,
IF('SIR Model Patient Calcs'!B276&lt;'User Dashboard'!AJ$15,'User Dashboard'!AN$14,
IF('SIR Model Patient Calcs'!B276&lt;'User Dashboard'!AJ$16,'User Dashboard'!AN$15,
IF('SIR Model Patient Calcs'!B276&lt;'User Dashboard'!AJ$17,'User Dashboard'!AN$16,
IF('SIR Model Patient Calcs'!B276&lt;'User Dashboard'!AJ$18,'User Dashboard'!AN$17,
'User Dashboard'!AN$18)))),
IF('User Dashboard'!Z$12=4,
IF('SIR Model Patient Calcs'!B276&lt;'User Dashboard'!AJ$15,'User Dashboard'!AN$14,
IF('SIR Model Patient Calcs'!B276&lt;'User Dashboard'!AJ$16,'User Dashboard'!AN$15,
IF('SIR Model Patient Calcs'!B276&lt;'User Dashboard'!AJ$17,'User Dashboard'!AN$16,
'User Dashboard'!AN$17))),
IF('User Dashboard'!Z$12=3,
IF('SIR Model Patient Calcs'!B276&lt;'User Dashboard'!AJ$15,'User Dashboard'!AN$14,
IF('SIR Model Patient Calcs'!B276&lt;'User Dashboard'!AJ$16,'User Dashboard'!AN$15,
'User Dashboard'!AN$16)),
IF('User Dashboard'!Z$12=2,
IF('SIR Model Patient Calcs'!B276&lt;'User Dashboard'!AJ$15,'User Dashboard'!AN$14,
'User Dashboard'!AN$15),
IF('User Dashboard'!Z$12=1,
'User Dashboard'!AN$14)))))</f>
        <v>15.209356603107825</v>
      </c>
      <c r="D276" s="668">
        <f>'User Dashboard'!X$16</f>
        <v>2.2072878851804097E-2</v>
      </c>
      <c r="E276" s="660">
        <f t="shared" si="37"/>
        <v>8.9862781521070372E-8</v>
      </c>
      <c r="F276" s="660">
        <f t="shared" si="44"/>
        <v>8.9862781521070358E-8</v>
      </c>
      <c r="G276" s="670">
        <f>1/'User Dashboard'!X$12</f>
        <v>0.14285714285714285</v>
      </c>
      <c r="H276" s="359">
        <f t="shared" si="38"/>
        <v>448258.021860737</v>
      </c>
      <c r="I276" s="672">
        <f t="shared" si="41"/>
        <v>6.8847643753260496E-3</v>
      </c>
      <c r="J276" s="673">
        <f t="shared" si="39"/>
        <v>3287596.5712544983</v>
      </c>
      <c r="K276" s="359">
        <f t="shared" si="42"/>
        <v>3287596.5781392627</v>
      </c>
      <c r="L276" s="673">
        <f t="shared" si="43"/>
        <v>3.0902866274118423E-4</v>
      </c>
    </row>
    <row r="277" spans="1:12" x14ac:dyDescent="0.35">
      <c r="A277" s="287" t="str">
        <f t="shared" si="40"/>
        <v/>
      </c>
      <c r="B277" s="288">
        <v>270</v>
      </c>
      <c r="C277" s="667">
        <f>IF('User Dashboard'!Z$12=5,
IF('SIR Model Patient Calcs'!B277&lt;'User Dashboard'!AJ$15,'User Dashboard'!AN$14,
IF('SIR Model Patient Calcs'!B277&lt;'User Dashboard'!AJ$16,'User Dashboard'!AN$15,
IF('SIR Model Patient Calcs'!B277&lt;'User Dashboard'!AJ$17,'User Dashboard'!AN$16,
IF('SIR Model Patient Calcs'!B277&lt;'User Dashboard'!AJ$18,'User Dashboard'!AN$17,
'User Dashboard'!AN$18)))),
IF('User Dashboard'!Z$12=4,
IF('SIR Model Patient Calcs'!B277&lt;'User Dashboard'!AJ$15,'User Dashboard'!AN$14,
IF('SIR Model Patient Calcs'!B277&lt;'User Dashboard'!AJ$16,'User Dashboard'!AN$15,
IF('SIR Model Patient Calcs'!B277&lt;'User Dashboard'!AJ$17,'User Dashboard'!AN$16,
'User Dashboard'!AN$17))),
IF('User Dashboard'!Z$12=3,
IF('SIR Model Patient Calcs'!B277&lt;'User Dashboard'!AJ$15,'User Dashboard'!AN$14,
IF('SIR Model Patient Calcs'!B277&lt;'User Dashboard'!AJ$16,'User Dashboard'!AN$15,
'User Dashboard'!AN$16)),
IF('User Dashboard'!Z$12=2,
IF('SIR Model Patient Calcs'!B277&lt;'User Dashboard'!AJ$15,'User Dashboard'!AN$14,
'User Dashboard'!AN$15),
IF('User Dashboard'!Z$12=1,
'User Dashboard'!AN$14)))))</f>
        <v>15.209356603107825</v>
      </c>
      <c r="D277" s="668">
        <f>'User Dashboard'!X$16</f>
        <v>2.2072878851804097E-2</v>
      </c>
      <c r="E277" s="660">
        <f t="shared" si="37"/>
        <v>8.9862781521070372E-8</v>
      </c>
      <c r="F277" s="660">
        <f t="shared" si="44"/>
        <v>8.9862781521070358E-8</v>
      </c>
      <c r="G277" s="670">
        <f>1/'User Dashboard'!X$12</f>
        <v>0.14285714285714285</v>
      </c>
      <c r="H277" s="359">
        <f t="shared" si="38"/>
        <v>448258.02158340689</v>
      </c>
      <c r="I277" s="672">
        <f t="shared" si="41"/>
        <v>6.1785567078830742E-3</v>
      </c>
      <c r="J277" s="673">
        <f t="shared" si="39"/>
        <v>3287596.572238036</v>
      </c>
      <c r="K277" s="359">
        <f t="shared" si="42"/>
        <v>3287596.5784165924</v>
      </c>
      <c r="L277" s="673">
        <f t="shared" si="43"/>
        <v>2.773297019302845E-4</v>
      </c>
    </row>
    <row r="278" spans="1:12" x14ac:dyDescent="0.35">
      <c r="A278" s="287" t="str">
        <f t="shared" si="40"/>
        <v/>
      </c>
      <c r="B278" s="288">
        <v>271</v>
      </c>
      <c r="C278" s="667">
        <f>IF('User Dashboard'!Z$12=5,
IF('SIR Model Patient Calcs'!B278&lt;'User Dashboard'!AJ$15,'User Dashboard'!AN$14,
IF('SIR Model Patient Calcs'!B278&lt;'User Dashboard'!AJ$16,'User Dashboard'!AN$15,
IF('SIR Model Patient Calcs'!B278&lt;'User Dashboard'!AJ$17,'User Dashboard'!AN$16,
IF('SIR Model Patient Calcs'!B278&lt;'User Dashboard'!AJ$18,'User Dashboard'!AN$17,
'User Dashboard'!AN$18)))),
IF('User Dashboard'!Z$12=4,
IF('SIR Model Patient Calcs'!B278&lt;'User Dashboard'!AJ$15,'User Dashboard'!AN$14,
IF('SIR Model Patient Calcs'!B278&lt;'User Dashboard'!AJ$16,'User Dashboard'!AN$15,
IF('SIR Model Patient Calcs'!B278&lt;'User Dashboard'!AJ$17,'User Dashboard'!AN$16,
'User Dashboard'!AN$17))),
IF('User Dashboard'!Z$12=3,
IF('SIR Model Patient Calcs'!B278&lt;'User Dashboard'!AJ$15,'User Dashboard'!AN$14,
IF('SIR Model Patient Calcs'!B278&lt;'User Dashboard'!AJ$16,'User Dashboard'!AN$15,
'User Dashboard'!AN$16)),
IF('User Dashboard'!Z$12=2,
IF('SIR Model Patient Calcs'!B278&lt;'User Dashboard'!AJ$15,'User Dashboard'!AN$14,
'User Dashboard'!AN$15),
IF('User Dashboard'!Z$12=1,
'User Dashboard'!AN$14)))))</f>
        <v>15.209356603107825</v>
      </c>
      <c r="D278" s="668">
        <f>'User Dashboard'!X$16</f>
        <v>2.2072878851804097E-2</v>
      </c>
      <c r="E278" s="660">
        <f t="shared" si="37"/>
        <v>8.9862781521070372E-8</v>
      </c>
      <c r="F278" s="660">
        <f t="shared" si="44"/>
        <v>8.9862781521070372E-8</v>
      </c>
      <c r="G278" s="670">
        <f>1/'User Dashboard'!X$12</f>
        <v>0.14285714285714285</v>
      </c>
      <c r="H278" s="359">
        <f t="shared" si="38"/>
        <v>448258.02133452403</v>
      </c>
      <c r="I278" s="672">
        <f t="shared" si="41"/>
        <v>5.5447885955659795E-3</v>
      </c>
      <c r="J278" s="673">
        <f t="shared" si="39"/>
        <v>3287596.5731206872</v>
      </c>
      <c r="K278" s="359">
        <f t="shared" si="42"/>
        <v>3287596.5786654758</v>
      </c>
      <c r="L278" s="673">
        <f t="shared" si="43"/>
        <v>2.4888338521122932E-4</v>
      </c>
    </row>
    <row r="279" spans="1:12" x14ac:dyDescent="0.35">
      <c r="A279" s="287" t="str">
        <f t="shared" si="40"/>
        <v/>
      </c>
      <c r="B279" s="288">
        <v>272</v>
      </c>
      <c r="C279" s="667">
        <f>IF('User Dashboard'!Z$12=5,
IF('SIR Model Patient Calcs'!B279&lt;'User Dashboard'!AJ$15,'User Dashboard'!AN$14,
IF('SIR Model Patient Calcs'!B279&lt;'User Dashboard'!AJ$16,'User Dashboard'!AN$15,
IF('SIR Model Patient Calcs'!B279&lt;'User Dashboard'!AJ$17,'User Dashboard'!AN$16,
IF('SIR Model Patient Calcs'!B279&lt;'User Dashboard'!AJ$18,'User Dashboard'!AN$17,
'User Dashboard'!AN$18)))),
IF('User Dashboard'!Z$12=4,
IF('SIR Model Patient Calcs'!B279&lt;'User Dashboard'!AJ$15,'User Dashboard'!AN$14,
IF('SIR Model Patient Calcs'!B279&lt;'User Dashboard'!AJ$16,'User Dashboard'!AN$15,
IF('SIR Model Patient Calcs'!B279&lt;'User Dashboard'!AJ$17,'User Dashboard'!AN$16,
'User Dashboard'!AN$17))),
IF('User Dashboard'!Z$12=3,
IF('SIR Model Patient Calcs'!B279&lt;'User Dashboard'!AJ$15,'User Dashboard'!AN$14,
IF('SIR Model Patient Calcs'!B279&lt;'User Dashboard'!AJ$16,'User Dashboard'!AN$15,
'User Dashboard'!AN$16)),
IF('User Dashboard'!Z$12=2,
IF('SIR Model Patient Calcs'!B279&lt;'User Dashboard'!AJ$15,'User Dashboard'!AN$14,
'User Dashboard'!AN$15),
IF('User Dashboard'!Z$12=1,
'User Dashboard'!AN$14)))))</f>
        <v>15.209356603107825</v>
      </c>
      <c r="D279" s="668">
        <f>'User Dashboard'!X$16</f>
        <v>2.2072878851804097E-2</v>
      </c>
      <c r="E279" s="660">
        <f t="shared" si="37"/>
        <v>8.9862781521070372E-8</v>
      </c>
      <c r="F279" s="660">
        <f t="shared" si="44"/>
        <v>8.9862781521070372E-8</v>
      </c>
      <c r="G279" s="670">
        <f>1/'User Dashboard'!X$12</f>
        <v>0.14285714285714285</v>
      </c>
      <c r="H279" s="359">
        <f t="shared" si="38"/>
        <v>448258.02111117047</v>
      </c>
      <c r="I279" s="672">
        <f t="shared" si="41"/>
        <v>4.976029519891908E-3</v>
      </c>
      <c r="J279" s="673">
        <f t="shared" si="39"/>
        <v>3287596.5739127998</v>
      </c>
      <c r="K279" s="359">
        <f t="shared" si="42"/>
        <v>3287596.5788888293</v>
      </c>
      <c r="L279" s="673">
        <f t="shared" si="43"/>
        <v>2.2335350513458252E-4</v>
      </c>
    </row>
    <row r="280" spans="1:12" x14ac:dyDescent="0.35">
      <c r="A280" s="287" t="str">
        <f t="shared" si="40"/>
        <v/>
      </c>
      <c r="B280" s="288">
        <v>273</v>
      </c>
      <c r="C280" s="667">
        <f>IF('User Dashboard'!Z$12=5,
IF('SIR Model Patient Calcs'!B280&lt;'User Dashboard'!AJ$15,'User Dashboard'!AN$14,
IF('SIR Model Patient Calcs'!B280&lt;'User Dashboard'!AJ$16,'User Dashboard'!AN$15,
IF('SIR Model Patient Calcs'!B280&lt;'User Dashboard'!AJ$17,'User Dashboard'!AN$16,
IF('SIR Model Patient Calcs'!B280&lt;'User Dashboard'!AJ$18,'User Dashboard'!AN$17,
'User Dashboard'!AN$18)))),
IF('User Dashboard'!Z$12=4,
IF('SIR Model Patient Calcs'!B280&lt;'User Dashboard'!AJ$15,'User Dashboard'!AN$14,
IF('SIR Model Patient Calcs'!B280&lt;'User Dashboard'!AJ$16,'User Dashboard'!AN$15,
IF('SIR Model Patient Calcs'!B280&lt;'User Dashboard'!AJ$17,'User Dashboard'!AN$16,
'User Dashboard'!AN$17))),
IF('User Dashboard'!Z$12=3,
IF('SIR Model Patient Calcs'!B280&lt;'User Dashboard'!AJ$15,'User Dashboard'!AN$14,
IF('SIR Model Patient Calcs'!B280&lt;'User Dashboard'!AJ$16,'User Dashboard'!AN$15,
'User Dashboard'!AN$16)),
IF('User Dashboard'!Z$12=2,
IF('SIR Model Patient Calcs'!B280&lt;'User Dashboard'!AJ$15,'User Dashboard'!AN$14,
'User Dashboard'!AN$15),
IF('User Dashboard'!Z$12=1,
'User Dashboard'!AN$14)))))</f>
        <v>15.209356603107825</v>
      </c>
      <c r="D280" s="668">
        <f>'User Dashboard'!X$16</f>
        <v>2.2072878851804097E-2</v>
      </c>
      <c r="E280" s="660">
        <f t="shared" si="37"/>
        <v>8.9862781521070372E-8</v>
      </c>
      <c r="F280" s="660">
        <f t="shared" si="44"/>
        <v>8.9862781521070372E-8</v>
      </c>
      <c r="G280" s="670">
        <f>1/'User Dashboard'!X$12</f>
        <v>0.14285714285714285</v>
      </c>
      <c r="H280" s="359">
        <f t="shared" si="38"/>
        <v>448258.0209107275</v>
      </c>
      <c r="I280" s="672">
        <f t="shared" si="41"/>
        <v>4.4656111509972663E-3</v>
      </c>
      <c r="J280" s="673">
        <f t="shared" si="39"/>
        <v>3287596.5746236611</v>
      </c>
      <c r="K280" s="359">
        <f t="shared" si="42"/>
        <v>3287596.5790892723</v>
      </c>
      <c r="L280" s="673">
        <f t="shared" si="43"/>
        <v>2.0044296979904175E-4</v>
      </c>
    </row>
    <row r="281" spans="1:12" x14ac:dyDescent="0.35">
      <c r="A281" s="287" t="str">
        <f t="shared" si="40"/>
        <v/>
      </c>
      <c r="B281" s="288">
        <v>274</v>
      </c>
      <c r="C281" s="667">
        <f>IF('User Dashboard'!Z$12=5,
IF('SIR Model Patient Calcs'!B281&lt;'User Dashboard'!AJ$15,'User Dashboard'!AN$14,
IF('SIR Model Patient Calcs'!B281&lt;'User Dashboard'!AJ$16,'User Dashboard'!AN$15,
IF('SIR Model Patient Calcs'!B281&lt;'User Dashboard'!AJ$17,'User Dashboard'!AN$16,
IF('SIR Model Patient Calcs'!B281&lt;'User Dashboard'!AJ$18,'User Dashboard'!AN$17,
'User Dashboard'!AN$18)))),
IF('User Dashboard'!Z$12=4,
IF('SIR Model Patient Calcs'!B281&lt;'User Dashboard'!AJ$15,'User Dashboard'!AN$14,
IF('SIR Model Patient Calcs'!B281&lt;'User Dashboard'!AJ$16,'User Dashboard'!AN$15,
IF('SIR Model Patient Calcs'!B281&lt;'User Dashboard'!AJ$17,'User Dashboard'!AN$16,
'User Dashboard'!AN$17))),
IF('User Dashboard'!Z$12=3,
IF('SIR Model Patient Calcs'!B281&lt;'User Dashboard'!AJ$15,'User Dashboard'!AN$14,
IF('SIR Model Patient Calcs'!B281&lt;'User Dashboard'!AJ$16,'User Dashboard'!AN$15,
'User Dashboard'!AN$16)),
IF('User Dashboard'!Z$12=2,
IF('SIR Model Patient Calcs'!B281&lt;'User Dashboard'!AJ$15,'User Dashboard'!AN$14,
'User Dashboard'!AN$15),
IF('User Dashboard'!Z$12=1,
'User Dashboard'!AN$14)))))</f>
        <v>15.209356603107825</v>
      </c>
      <c r="D281" s="668">
        <f>'User Dashboard'!X$16</f>
        <v>2.2072878851804097E-2</v>
      </c>
      <c r="E281" s="660">
        <f t="shared" si="37"/>
        <v>8.9862781521070372E-8</v>
      </c>
      <c r="F281" s="660">
        <f t="shared" si="44"/>
        <v>8.9862781521070372E-8</v>
      </c>
      <c r="G281" s="670">
        <f>1/'User Dashboard'!X$12</f>
        <v>0.14285714285714285</v>
      </c>
      <c r="H281" s="359">
        <f t="shared" si="38"/>
        <v>448258.02073084505</v>
      </c>
      <c r="I281" s="672">
        <f t="shared" si="41"/>
        <v>4.0075491658144464E-3</v>
      </c>
      <c r="J281" s="673">
        <f t="shared" si="39"/>
        <v>3287596.5752616054</v>
      </c>
      <c r="K281" s="359">
        <f t="shared" si="42"/>
        <v>3287596.5792691545</v>
      </c>
      <c r="L281" s="673">
        <f t="shared" si="43"/>
        <v>1.7988216131925583E-4</v>
      </c>
    </row>
    <row r="282" spans="1:12" x14ac:dyDescent="0.35">
      <c r="A282" s="287" t="str">
        <f t="shared" si="40"/>
        <v/>
      </c>
      <c r="B282" s="288">
        <v>275</v>
      </c>
      <c r="C282" s="667">
        <f>IF('User Dashboard'!Z$12=5,
IF('SIR Model Patient Calcs'!B282&lt;'User Dashboard'!AJ$15,'User Dashboard'!AN$14,
IF('SIR Model Patient Calcs'!B282&lt;'User Dashboard'!AJ$16,'User Dashboard'!AN$15,
IF('SIR Model Patient Calcs'!B282&lt;'User Dashboard'!AJ$17,'User Dashboard'!AN$16,
IF('SIR Model Patient Calcs'!B282&lt;'User Dashboard'!AJ$18,'User Dashboard'!AN$17,
'User Dashboard'!AN$18)))),
IF('User Dashboard'!Z$12=4,
IF('SIR Model Patient Calcs'!B282&lt;'User Dashboard'!AJ$15,'User Dashboard'!AN$14,
IF('SIR Model Patient Calcs'!B282&lt;'User Dashboard'!AJ$16,'User Dashboard'!AN$15,
IF('SIR Model Patient Calcs'!B282&lt;'User Dashboard'!AJ$17,'User Dashboard'!AN$16,
'User Dashboard'!AN$17))),
IF('User Dashboard'!Z$12=3,
IF('SIR Model Patient Calcs'!B282&lt;'User Dashboard'!AJ$15,'User Dashboard'!AN$14,
IF('SIR Model Patient Calcs'!B282&lt;'User Dashboard'!AJ$16,'User Dashboard'!AN$15,
'User Dashboard'!AN$16)),
IF('User Dashboard'!Z$12=2,
IF('SIR Model Patient Calcs'!B282&lt;'User Dashboard'!AJ$15,'User Dashboard'!AN$14,
'User Dashboard'!AN$15),
IF('User Dashboard'!Z$12=1,
'User Dashboard'!AN$14)))))</f>
        <v>15.209356603107825</v>
      </c>
      <c r="D282" s="668">
        <f>'User Dashboard'!X$16</f>
        <v>2.2072878851804097E-2</v>
      </c>
      <c r="E282" s="660">
        <f t="shared" si="37"/>
        <v>8.9862781521070372E-8</v>
      </c>
      <c r="F282" s="660">
        <f t="shared" si="44"/>
        <v>8.9862781521070372E-8</v>
      </c>
      <c r="G282" s="670">
        <f>1/'User Dashboard'!X$12</f>
        <v>0.14285714285714285</v>
      </c>
      <c r="H282" s="359">
        <f t="shared" si="38"/>
        <v>448258.02056941413</v>
      </c>
      <c r="I282" s="672">
        <f t="shared" si="41"/>
        <v>3.596473085782253E-3</v>
      </c>
      <c r="J282" s="673">
        <f t="shared" si="39"/>
        <v>3287596.5758341122</v>
      </c>
      <c r="K282" s="359">
        <f t="shared" si="42"/>
        <v>3287596.5794305853</v>
      </c>
      <c r="L282" s="673">
        <f t="shared" si="43"/>
        <v>1.6143079847097397E-4</v>
      </c>
    </row>
    <row r="283" spans="1:12" x14ac:dyDescent="0.35">
      <c r="A283" s="287" t="str">
        <f t="shared" si="40"/>
        <v/>
      </c>
      <c r="B283" s="288">
        <v>276</v>
      </c>
      <c r="C283" s="667">
        <f>IF('User Dashboard'!Z$12=5,
IF('SIR Model Patient Calcs'!B283&lt;'User Dashboard'!AJ$15,'User Dashboard'!AN$14,
IF('SIR Model Patient Calcs'!B283&lt;'User Dashboard'!AJ$16,'User Dashboard'!AN$15,
IF('SIR Model Patient Calcs'!B283&lt;'User Dashboard'!AJ$17,'User Dashboard'!AN$16,
IF('SIR Model Patient Calcs'!B283&lt;'User Dashboard'!AJ$18,'User Dashboard'!AN$17,
'User Dashboard'!AN$18)))),
IF('User Dashboard'!Z$12=4,
IF('SIR Model Patient Calcs'!B283&lt;'User Dashboard'!AJ$15,'User Dashboard'!AN$14,
IF('SIR Model Patient Calcs'!B283&lt;'User Dashboard'!AJ$16,'User Dashboard'!AN$15,
IF('SIR Model Patient Calcs'!B283&lt;'User Dashboard'!AJ$17,'User Dashboard'!AN$16,
'User Dashboard'!AN$17))),
IF('User Dashboard'!Z$12=3,
IF('SIR Model Patient Calcs'!B283&lt;'User Dashboard'!AJ$15,'User Dashboard'!AN$14,
IF('SIR Model Patient Calcs'!B283&lt;'User Dashboard'!AJ$16,'User Dashboard'!AN$15,
'User Dashboard'!AN$16)),
IF('User Dashboard'!Z$12=2,
IF('SIR Model Patient Calcs'!B283&lt;'User Dashboard'!AJ$15,'User Dashboard'!AN$14,
'User Dashboard'!AN$15),
IF('User Dashboard'!Z$12=1,
'User Dashboard'!AN$14)))))</f>
        <v>15.209356603107825</v>
      </c>
      <c r="D283" s="668">
        <f>'User Dashboard'!X$16</f>
        <v>2.2072878851804097E-2</v>
      </c>
      <c r="E283" s="660">
        <f t="shared" si="37"/>
        <v>8.9862781521070372E-8</v>
      </c>
      <c r="F283" s="660">
        <f t="shared" si="44"/>
        <v>8.9862781521070372E-8</v>
      </c>
      <c r="G283" s="670">
        <f>1/'User Dashboard'!X$12</f>
        <v>0.14285714285714285</v>
      </c>
      <c r="H283" s="359">
        <f t="shared" si="38"/>
        <v>448258.02042454202</v>
      </c>
      <c r="I283" s="672">
        <f t="shared" si="41"/>
        <v>3.2275633114830071E-3</v>
      </c>
      <c r="J283" s="673">
        <f t="shared" si="39"/>
        <v>3287596.576347894</v>
      </c>
      <c r="K283" s="359">
        <f t="shared" si="42"/>
        <v>3287596.5795754571</v>
      </c>
      <c r="L283" s="673">
        <f t="shared" si="43"/>
        <v>1.4487188309431076E-4</v>
      </c>
    </row>
    <row r="284" spans="1:12" x14ac:dyDescent="0.35">
      <c r="A284" s="287" t="str">
        <f t="shared" si="40"/>
        <v/>
      </c>
      <c r="B284" s="288">
        <v>277</v>
      </c>
      <c r="C284" s="667">
        <f>IF('User Dashboard'!Z$12=5,
IF('SIR Model Patient Calcs'!B284&lt;'User Dashboard'!AJ$15,'User Dashboard'!AN$14,
IF('SIR Model Patient Calcs'!B284&lt;'User Dashboard'!AJ$16,'User Dashboard'!AN$15,
IF('SIR Model Patient Calcs'!B284&lt;'User Dashboard'!AJ$17,'User Dashboard'!AN$16,
IF('SIR Model Patient Calcs'!B284&lt;'User Dashboard'!AJ$18,'User Dashboard'!AN$17,
'User Dashboard'!AN$18)))),
IF('User Dashboard'!Z$12=4,
IF('SIR Model Patient Calcs'!B284&lt;'User Dashboard'!AJ$15,'User Dashboard'!AN$14,
IF('SIR Model Patient Calcs'!B284&lt;'User Dashboard'!AJ$16,'User Dashboard'!AN$15,
IF('SIR Model Patient Calcs'!B284&lt;'User Dashboard'!AJ$17,'User Dashboard'!AN$16,
'User Dashboard'!AN$17))),
IF('User Dashboard'!Z$12=3,
IF('SIR Model Patient Calcs'!B284&lt;'User Dashboard'!AJ$15,'User Dashboard'!AN$14,
IF('SIR Model Patient Calcs'!B284&lt;'User Dashboard'!AJ$16,'User Dashboard'!AN$15,
'User Dashboard'!AN$16)),
IF('User Dashboard'!Z$12=2,
IF('SIR Model Patient Calcs'!B284&lt;'User Dashboard'!AJ$15,'User Dashboard'!AN$14,
'User Dashboard'!AN$15),
IF('User Dashboard'!Z$12=1,
'User Dashboard'!AN$14)))))</f>
        <v>15.209356603107825</v>
      </c>
      <c r="D284" s="668">
        <f>'User Dashboard'!X$16</f>
        <v>2.2072878851804097E-2</v>
      </c>
      <c r="E284" s="660">
        <f t="shared" si="37"/>
        <v>8.9862781521070372E-8</v>
      </c>
      <c r="F284" s="660">
        <f t="shared" si="44"/>
        <v>8.9862781521070372E-8</v>
      </c>
      <c r="G284" s="670">
        <f>1/'User Dashboard'!X$12</f>
        <v>0.14285714285714285</v>
      </c>
      <c r="H284" s="359">
        <f t="shared" si="38"/>
        <v>448258.02029453026</v>
      </c>
      <c r="I284" s="672">
        <f t="shared" si="41"/>
        <v>2.8964946159785441E-3</v>
      </c>
      <c r="J284" s="673">
        <f t="shared" si="39"/>
        <v>3287596.5768089746</v>
      </c>
      <c r="K284" s="359">
        <f t="shared" si="42"/>
        <v>3287596.5797054693</v>
      </c>
      <c r="L284" s="673">
        <f t="shared" si="43"/>
        <v>1.3001216575503349E-4</v>
      </c>
    </row>
    <row r="285" spans="1:12" x14ac:dyDescent="0.35">
      <c r="A285" s="287" t="str">
        <f t="shared" si="40"/>
        <v/>
      </c>
      <c r="B285" s="288">
        <v>278</v>
      </c>
      <c r="C285" s="667">
        <f>IF('User Dashboard'!Z$12=5,
IF('SIR Model Patient Calcs'!B285&lt;'User Dashboard'!AJ$15,'User Dashboard'!AN$14,
IF('SIR Model Patient Calcs'!B285&lt;'User Dashboard'!AJ$16,'User Dashboard'!AN$15,
IF('SIR Model Patient Calcs'!B285&lt;'User Dashboard'!AJ$17,'User Dashboard'!AN$16,
IF('SIR Model Patient Calcs'!B285&lt;'User Dashboard'!AJ$18,'User Dashboard'!AN$17,
'User Dashboard'!AN$18)))),
IF('User Dashboard'!Z$12=4,
IF('SIR Model Patient Calcs'!B285&lt;'User Dashboard'!AJ$15,'User Dashboard'!AN$14,
IF('SIR Model Patient Calcs'!B285&lt;'User Dashboard'!AJ$16,'User Dashboard'!AN$15,
IF('SIR Model Patient Calcs'!B285&lt;'User Dashboard'!AJ$17,'User Dashboard'!AN$16,
'User Dashboard'!AN$17))),
IF('User Dashboard'!Z$12=3,
IF('SIR Model Patient Calcs'!B285&lt;'User Dashboard'!AJ$15,'User Dashboard'!AN$14,
IF('SIR Model Patient Calcs'!B285&lt;'User Dashboard'!AJ$16,'User Dashboard'!AN$15,
'User Dashboard'!AN$16)),
IF('User Dashboard'!Z$12=2,
IF('SIR Model Patient Calcs'!B285&lt;'User Dashboard'!AJ$15,'User Dashboard'!AN$14,
'User Dashboard'!AN$15),
IF('User Dashboard'!Z$12=1,
'User Dashboard'!AN$14)))))</f>
        <v>15.209356603107825</v>
      </c>
      <c r="D285" s="668">
        <f>'User Dashboard'!X$16</f>
        <v>2.2072878851804097E-2</v>
      </c>
      <c r="E285" s="660">
        <f t="shared" si="37"/>
        <v>8.9862781521070372E-8</v>
      </c>
      <c r="F285" s="660">
        <f t="shared" si="44"/>
        <v>8.9862781521070372E-8</v>
      </c>
      <c r="G285" s="670">
        <f>1/'User Dashboard'!X$12</f>
        <v>0.14285714285714285</v>
      </c>
      <c r="H285" s="359">
        <f t="shared" si="38"/>
        <v>448258.02017785452</v>
      </c>
      <c r="I285" s="672">
        <f t="shared" si="41"/>
        <v>2.5993854343413529E-3</v>
      </c>
      <c r="J285" s="673">
        <f t="shared" si="39"/>
        <v>3287596.5772227594</v>
      </c>
      <c r="K285" s="359">
        <f t="shared" si="42"/>
        <v>3287596.5798221449</v>
      </c>
      <c r="L285" s="673">
        <f t="shared" si="43"/>
        <v>1.1667562648653984E-4</v>
      </c>
    </row>
    <row r="286" spans="1:12" x14ac:dyDescent="0.35">
      <c r="A286" s="287" t="str">
        <f t="shared" si="40"/>
        <v/>
      </c>
      <c r="B286" s="288">
        <v>279</v>
      </c>
      <c r="C286" s="667">
        <f>IF('User Dashboard'!Z$12=5,
IF('SIR Model Patient Calcs'!B286&lt;'User Dashboard'!AJ$15,'User Dashboard'!AN$14,
IF('SIR Model Patient Calcs'!B286&lt;'User Dashboard'!AJ$16,'User Dashboard'!AN$15,
IF('SIR Model Patient Calcs'!B286&lt;'User Dashboard'!AJ$17,'User Dashboard'!AN$16,
IF('SIR Model Patient Calcs'!B286&lt;'User Dashboard'!AJ$18,'User Dashboard'!AN$17,
'User Dashboard'!AN$18)))),
IF('User Dashboard'!Z$12=4,
IF('SIR Model Patient Calcs'!B286&lt;'User Dashboard'!AJ$15,'User Dashboard'!AN$14,
IF('SIR Model Patient Calcs'!B286&lt;'User Dashboard'!AJ$16,'User Dashboard'!AN$15,
IF('SIR Model Patient Calcs'!B286&lt;'User Dashboard'!AJ$17,'User Dashboard'!AN$16,
'User Dashboard'!AN$17))),
IF('User Dashboard'!Z$12=3,
IF('SIR Model Patient Calcs'!B286&lt;'User Dashboard'!AJ$15,'User Dashboard'!AN$14,
IF('SIR Model Patient Calcs'!B286&lt;'User Dashboard'!AJ$16,'User Dashboard'!AN$15,
'User Dashboard'!AN$16)),
IF('User Dashboard'!Z$12=2,
IF('SIR Model Patient Calcs'!B286&lt;'User Dashboard'!AJ$15,'User Dashboard'!AN$14,
'User Dashboard'!AN$15),
IF('User Dashboard'!Z$12=1,
'User Dashboard'!AN$14)))))</f>
        <v>15.209356603107825</v>
      </c>
      <c r="D286" s="668">
        <f>'User Dashboard'!X$16</f>
        <v>2.2072878851804097E-2</v>
      </c>
      <c r="E286" s="660">
        <f t="shared" si="37"/>
        <v>8.9862781521070372E-8</v>
      </c>
      <c r="F286" s="660">
        <f t="shared" si="44"/>
        <v>8.9862781521070372E-8</v>
      </c>
      <c r="G286" s="670">
        <f>1/'User Dashboard'!X$12</f>
        <v>0.14285714285714285</v>
      </c>
      <c r="H286" s="359">
        <f t="shared" si="38"/>
        <v>448258.02007314679</v>
      </c>
      <c r="I286" s="672">
        <f t="shared" si="41"/>
        <v>2.3327523548336863E-3</v>
      </c>
      <c r="J286" s="673">
        <f t="shared" si="39"/>
        <v>3287596.5775941</v>
      </c>
      <c r="K286" s="359">
        <f t="shared" si="42"/>
        <v>3287596.5799268526</v>
      </c>
      <c r="L286" s="673">
        <f t="shared" si="43"/>
        <v>1.0470766574144363E-4</v>
      </c>
    </row>
    <row r="287" spans="1:12" x14ac:dyDescent="0.35">
      <c r="A287" s="287" t="str">
        <f t="shared" si="40"/>
        <v/>
      </c>
      <c r="B287" s="288">
        <v>280</v>
      </c>
      <c r="C287" s="667">
        <f>IF('User Dashboard'!Z$12=5,
IF('SIR Model Patient Calcs'!B287&lt;'User Dashboard'!AJ$15,'User Dashboard'!AN$14,
IF('SIR Model Patient Calcs'!B287&lt;'User Dashboard'!AJ$16,'User Dashboard'!AN$15,
IF('SIR Model Patient Calcs'!B287&lt;'User Dashboard'!AJ$17,'User Dashboard'!AN$16,
IF('SIR Model Patient Calcs'!B287&lt;'User Dashboard'!AJ$18,'User Dashboard'!AN$17,
'User Dashboard'!AN$18)))),
IF('User Dashboard'!Z$12=4,
IF('SIR Model Patient Calcs'!B287&lt;'User Dashboard'!AJ$15,'User Dashboard'!AN$14,
IF('SIR Model Patient Calcs'!B287&lt;'User Dashboard'!AJ$16,'User Dashboard'!AN$15,
IF('SIR Model Patient Calcs'!B287&lt;'User Dashboard'!AJ$17,'User Dashboard'!AN$16,
'User Dashboard'!AN$17))),
IF('User Dashboard'!Z$12=3,
IF('SIR Model Patient Calcs'!B287&lt;'User Dashboard'!AJ$15,'User Dashboard'!AN$14,
IF('SIR Model Patient Calcs'!B287&lt;'User Dashboard'!AJ$16,'User Dashboard'!AN$15,
'User Dashboard'!AN$16)),
IF('User Dashboard'!Z$12=2,
IF('SIR Model Patient Calcs'!B287&lt;'User Dashboard'!AJ$15,'User Dashboard'!AN$14,
'User Dashboard'!AN$15),
IF('User Dashboard'!Z$12=1,
'User Dashboard'!AN$14)))))</f>
        <v>15.209356603107825</v>
      </c>
      <c r="D287" s="668">
        <f>'User Dashboard'!X$16</f>
        <v>2.2072878851804097E-2</v>
      </c>
      <c r="E287" s="660">
        <f t="shared" si="37"/>
        <v>8.9862781521070372E-8</v>
      </c>
      <c r="F287" s="660">
        <f t="shared" si="44"/>
        <v>8.9862781521070372E-8</v>
      </c>
      <c r="G287" s="670">
        <f>1/'User Dashboard'!X$12</f>
        <v>0.14285714285714285</v>
      </c>
      <c r="H287" s="359">
        <f t="shared" si="38"/>
        <v>448258.01997917955</v>
      </c>
      <c r="I287" s="672">
        <f t="shared" si="41"/>
        <v>2.0934692781734042E-3</v>
      </c>
      <c r="J287" s="673">
        <f t="shared" si="39"/>
        <v>3287596.5779273505</v>
      </c>
      <c r="K287" s="359">
        <f t="shared" si="42"/>
        <v>3287596.5800208198</v>
      </c>
      <c r="L287" s="673">
        <f t="shared" si="43"/>
        <v>9.3967188149690628E-5</v>
      </c>
    </row>
    <row r="288" spans="1:12" x14ac:dyDescent="0.35">
      <c r="A288" s="287" t="str">
        <f t="shared" si="40"/>
        <v/>
      </c>
      <c r="B288" s="288">
        <v>281</v>
      </c>
      <c r="C288" s="667">
        <f>IF('User Dashboard'!Z$12=5,
IF('SIR Model Patient Calcs'!B288&lt;'User Dashboard'!AJ$15,'User Dashboard'!AN$14,
IF('SIR Model Patient Calcs'!B288&lt;'User Dashboard'!AJ$16,'User Dashboard'!AN$15,
IF('SIR Model Patient Calcs'!B288&lt;'User Dashboard'!AJ$17,'User Dashboard'!AN$16,
IF('SIR Model Patient Calcs'!B288&lt;'User Dashboard'!AJ$18,'User Dashboard'!AN$17,
'User Dashboard'!AN$18)))),
IF('User Dashboard'!Z$12=4,
IF('SIR Model Patient Calcs'!B288&lt;'User Dashboard'!AJ$15,'User Dashboard'!AN$14,
IF('SIR Model Patient Calcs'!B288&lt;'User Dashboard'!AJ$16,'User Dashboard'!AN$15,
IF('SIR Model Patient Calcs'!B288&lt;'User Dashboard'!AJ$17,'User Dashboard'!AN$16,
'User Dashboard'!AN$17))),
IF('User Dashboard'!Z$12=3,
IF('SIR Model Patient Calcs'!B288&lt;'User Dashboard'!AJ$15,'User Dashboard'!AN$14,
IF('SIR Model Patient Calcs'!B288&lt;'User Dashboard'!AJ$16,'User Dashboard'!AN$15,
'User Dashboard'!AN$16)),
IF('User Dashboard'!Z$12=2,
IF('SIR Model Patient Calcs'!B288&lt;'User Dashboard'!AJ$15,'User Dashboard'!AN$14,
'User Dashboard'!AN$15),
IF('User Dashboard'!Z$12=1,
'User Dashboard'!AN$14)))))</f>
        <v>15.209356603107825</v>
      </c>
      <c r="D288" s="668">
        <f>'User Dashboard'!X$16</f>
        <v>2.2072878851804097E-2</v>
      </c>
      <c r="E288" s="660">
        <f t="shared" si="37"/>
        <v>8.9862781521070372E-8</v>
      </c>
      <c r="F288" s="660">
        <f t="shared" si="44"/>
        <v>8.9862781521070372E-8</v>
      </c>
      <c r="G288" s="670">
        <f>1/'User Dashboard'!X$12</f>
        <v>0.14285714285714285</v>
      </c>
      <c r="H288" s="359">
        <f t="shared" si="38"/>
        <v>448258.01989485102</v>
      </c>
      <c r="I288" s="672">
        <f t="shared" si="41"/>
        <v>1.8787307660555746E-3</v>
      </c>
      <c r="J288" s="673">
        <f t="shared" si="39"/>
        <v>3287596.5782264178</v>
      </c>
      <c r="K288" s="359">
        <f t="shared" si="42"/>
        <v>3287596.5801051487</v>
      </c>
      <c r="L288" s="673">
        <f t="shared" si="43"/>
        <v>8.4328930824995041E-5</v>
      </c>
    </row>
    <row r="289" spans="1:12" x14ac:dyDescent="0.35">
      <c r="A289" s="287" t="str">
        <f t="shared" si="40"/>
        <v/>
      </c>
      <c r="B289" s="288">
        <v>282</v>
      </c>
      <c r="C289" s="667">
        <f>IF('User Dashboard'!Z$12=5,
IF('SIR Model Patient Calcs'!B289&lt;'User Dashboard'!AJ$15,'User Dashboard'!AN$14,
IF('SIR Model Patient Calcs'!B289&lt;'User Dashboard'!AJ$16,'User Dashboard'!AN$15,
IF('SIR Model Patient Calcs'!B289&lt;'User Dashboard'!AJ$17,'User Dashboard'!AN$16,
IF('SIR Model Patient Calcs'!B289&lt;'User Dashboard'!AJ$18,'User Dashboard'!AN$17,
'User Dashboard'!AN$18)))),
IF('User Dashboard'!Z$12=4,
IF('SIR Model Patient Calcs'!B289&lt;'User Dashboard'!AJ$15,'User Dashboard'!AN$14,
IF('SIR Model Patient Calcs'!B289&lt;'User Dashboard'!AJ$16,'User Dashboard'!AN$15,
IF('SIR Model Patient Calcs'!B289&lt;'User Dashboard'!AJ$17,'User Dashboard'!AN$16,
'User Dashboard'!AN$17))),
IF('User Dashboard'!Z$12=3,
IF('SIR Model Patient Calcs'!B289&lt;'User Dashboard'!AJ$15,'User Dashboard'!AN$14,
IF('SIR Model Patient Calcs'!B289&lt;'User Dashboard'!AJ$16,'User Dashboard'!AN$15,
'User Dashboard'!AN$16)),
IF('User Dashboard'!Z$12=2,
IF('SIR Model Patient Calcs'!B289&lt;'User Dashboard'!AJ$15,'User Dashboard'!AN$14,
'User Dashboard'!AN$15),
IF('User Dashboard'!Z$12=1,
'User Dashboard'!AN$14)))))</f>
        <v>15.209356603107825</v>
      </c>
      <c r="D289" s="668">
        <f>'User Dashboard'!X$16</f>
        <v>2.2072878851804097E-2</v>
      </c>
      <c r="E289" s="660">
        <f t="shared" si="37"/>
        <v>8.9862781521070372E-8</v>
      </c>
      <c r="F289" s="660">
        <f t="shared" si="44"/>
        <v>8.9862781521070372E-8</v>
      </c>
      <c r="G289" s="670">
        <f>1/'User Dashboard'!X$12</f>
        <v>0.14285714285714285</v>
      </c>
      <c r="H289" s="359">
        <f t="shared" si="38"/>
        <v>448258.01981917251</v>
      </c>
      <c r="I289" s="672">
        <f t="shared" si="41"/>
        <v>1.6860191492151424E-3</v>
      </c>
      <c r="J289" s="673">
        <f t="shared" si="39"/>
        <v>3287596.5784948077</v>
      </c>
      <c r="K289" s="359">
        <f t="shared" si="42"/>
        <v>3287596.5801808271</v>
      </c>
      <c r="L289" s="673">
        <f t="shared" si="43"/>
        <v>7.5678341090679169E-5</v>
      </c>
    </row>
    <row r="290" spans="1:12" x14ac:dyDescent="0.35">
      <c r="A290" s="287" t="str">
        <f t="shared" si="40"/>
        <v/>
      </c>
      <c r="B290" s="288">
        <v>283</v>
      </c>
      <c r="C290" s="667">
        <f>IF('User Dashboard'!Z$12=5,
IF('SIR Model Patient Calcs'!B290&lt;'User Dashboard'!AJ$15,'User Dashboard'!AN$14,
IF('SIR Model Patient Calcs'!B290&lt;'User Dashboard'!AJ$16,'User Dashboard'!AN$15,
IF('SIR Model Patient Calcs'!B290&lt;'User Dashboard'!AJ$17,'User Dashboard'!AN$16,
IF('SIR Model Patient Calcs'!B290&lt;'User Dashboard'!AJ$18,'User Dashboard'!AN$17,
'User Dashboard'!AN$18)))),
IF('User Dashboard'!Z$12=4,
IF('SIR Model Patient Calcs'!B290&lt;'User Dashboard'!AJ$15,'User Dashboard'!AN$14,
IF('SIR Model Patient Calcs'!B290&lt;'User Dashboard'!AJ$16,'User Dashboard'!AN$15,
IF('SIR Model Patient Calcs'!B290&lt;'User Dashboard'!AJ$17,'User Dashboard'!AN$16,
'User Dashboard'!AN$17))),
IF('User Dashboard'!Z$12=3,
IF('SIR Model Patient Calcs'!B290&lt;'User Dashboard'!AJ$15,'User Dashboard'!AN$14,
IF('SIR Model Patient Calcs'!B290&lt;'User Dashboard'!AJ$16,'User Dashboard'!AN$15,
'User Dashboard'!AN$16)),
IF('User Dashboard'!Z$12=2,
IF('SIR Model Patient Calcs'!B290&lt;'User Dashboard'!AJ$15,'User Dashboard'!AN$14,
'User Dashboard'!AN$15),
IF('User Dashboard'!Z$12=1,
'User Dashboard'!AN$14)))))</f>
        <v>15.209356603107825</v>
      </c>
      <c r="D290" s="668">
        <f>'User Dashboard'!X$16</f>
        <v>2.2072878851804097E-2</v>
      </c>
      <c r="E290" s="660">
        <f t="shared" si="37"/>
        <v>8.9862781521070372E-8</v>
      </c>
      <c r="F290" s="660">
        <f t="shared" si="44"/>
        <v>8.9862781521070372E-8</v>
      </c>
      <c r="G290" s="670">
        <f>1/'User Dashboard'!X$12</f>
        <v>0.14285714285714285</v>
      </c>
      <c r="H290" s="359">
        <f t="shared" si="38"/>
        <v>448258.01975125674</v>
      </c>
      <c r="I290" s="672">
        <f t="shared" si="41"/>
        <v>1.5130750093941467E-3</v>
      </c>
      <c r="J290" s="673">
        <f t="shared" si="39"/>
        <v>3287596.5787356677</v>
      </c>
      <c r="K290" s="359">
        <f t="shared" si="42"/>
        <v>3287596.5802487428</v>
      </c>
      <c r="L290" s="673">
        <f t="shared" si="43"/>
        <v>6.7915767431259155E-5</v>
      </c>
    </row>
    <row r="291" spans="1:12" x14ac:dyDescent="0.35">
      <c r="A291" s="287" t="str">
        <f t="shared" si="40"/>
        <v/>
      </c>
      <c r="B291" s="288">
        <v>284</v>
      </c>
      <c r="C291" s="667">
        <f>IF('User Dashboard'!Z$12=5,
IF('SIR Model Patient Calcs'!B291&lt;'User Dashboard'!AJ$15,'User Dashboard'!AN$14,
IF('SIR Model Patient Calcs'!B291&lt;'User Dashboard'!AJ$16,'User Dashboard'!AN$15,
IF('SIR Model Patient Calcs'!B291&lt;'User Dashboard'!AJ$17,'User Dashboard'!AN$16,
IF('SIR Model Patient Calcs'!B291&lt;'User Dashboard'!AJ$18,'User Dashboard'!AN$17,
'User Dashboard'!AN$18)))),
IF('User Dashboard'!Z$12=4,
IF('SIR Model Patient Calcs'!B291&lt;'User Dashboard'!AJ$15,'User Dashboard'!AN$14,
IF('SIR Model Patient Calcs'!B291&lt;'User Dashboard'!AJ$16,'User Dashboard'!AN$15,
IF('SIR Model Patient Calcs'!B291&lt;'User Dashboard'!AJ$17,'User Dashboard'!AN$16,
'User Dashboard'!AN$17))),
IF('User Dashboard'!Z$12=3,
IF('SIR Model Patient Calcs'!B291&lt;'User Dashboard'!AJ$15,'User Dashboard'!AN$14,
IF('SIR Model Patient Calcs'!B291&lt;'User Dashboard'!AJ$16,'User Dashboard'!AN$15,
'User Dashboard'!AN$16)),
IF('User Dashboard'!Z$12=2,
IF('SIR Model Patient Calcs'!B291&lt;'User Dashboard'!AJ$15,'User Dashboard'!AN$14,
'User Dashboard'!AN$15),
IF('User Dashboard'!Z$12=1,
'User Dashboard'!AN$14)))))</f>
        <v>15.209356603107825</v>
      </c>
      <c r="D291" s="668">
        <f>'User Dashboard'!X$16</f>
        <v>2.2072878851804097E-2</v>
      </c>
      <c r="E291" s="660">
        <f t="shared" si="37"/>
        <v>8.9862781521070372E-8</v>
      </c>
      <c r="F291" s="660">
        <f t="shared" si="44"/>
        <v>8.9862781521070372E-8</v>
      </c>
      <c r="G291" s="670">
        <f>1/'User Dashboard'!X$12</f>
        <v>0.14285714285714285</v>
      </c>
      <c r="H291" s="359">
        <f t="shared" si="38"/>
        <v>448258.0196903075</v>
      </c>
      <c r="I291" s="672">
        <f t="shared" si="41"/>
        <v>1.3578706891337875E-3</v>
      </c>
      <c r="J291" s="673">
        <f t="shared" si="39"/>
        <v>3287596.5789518212</v>
      </c>
      <c r="K291" s="359">
        <f t="shared" si="42"/>
        <v>3287596.5803096918</v>
      </c>
      <c r="L291" s="673">
        <f t="shared" si="43"/>
        <v>6.0949008911848068E-5</v>
      </c>
    </row>
    <row r="292" spans="1:12" x14ac:dyDescent="0.35">
      <c r="A292" s="287" t="str">
        <f t="shared" si="40"/>
        <v/>
      </c>
      <c r="B292" s="288">
        <v>285</v>
      </c>
      <c r="C292" s="667">
        <f>IF('User Dashboard'!Z$12=5,
IF('SIR Model Patient Calcs'!B292&lt;'User Dashboard'!AJ$15,'User Dashboard'!AN$14,
IF('SIR Model Patient Calcs'!B292&lt;'User Dashboard'!AJ$16,'User Dashboard'!AN$15,
IF('SIR Model Patient Calcs'!B292&lt;'User Dashboard'!AJ$17,'User Dashboard'!AN$16,
IF('SIR Model Patient Calcs'!B292&lt;'User Dashboard'!AJ$18,'User Dashboard'!AN$17,
'User Dashboard'!AN$18)))),
IF('User Dashboard'!Z$12=4,
IF('SIR Model Patient Calcs'!B292&lt;'User Dashboard'!AJ$15,'User Dashboard'!AN$14,
IF('SIR Model Patient Calcs'!B292&lt;'User Dashboard'!AJ$16,'User Dashboard'!AN$15,
IF('SIR Model Patient Calcs'!B292&lt;'User Dashboard'!AJ$17,'User Dashboard'!AN$16,
'User Dashboard'!AN$17))),
IF('User Dashboard'!Z$12=3,
IF('SIR Model Patient Calcs'!B292&lt;'User Dashboard'!AJ$15,'User Dashboard'!AN$14,
IF('SIR Model Patient Calcs'!B292&lt;'User Dashboard'!AJ$16,'User Dashboard'!AN$15,
'User Dashboard'!AN$16)),
IF('User Dashboard'!Z$12=2,
IF('SIR Model Patient Calcs'!B292&lt;'User Dashboard'!AJ$15,'User Dashboard'!AN$14,
'User Dashboard'!AN$15),
IF('User Dashboard'!Z$12=1,
'User Dashboard'!AN$14)))))</f>
        <v>15.209356603107825</v>
      </c>
      <c r="D292" s="668">
        <f>'User Dashboard'!X$16</f>
        <v>2.2072878851804097E-2</v>
      </c>
      <c r="E292" s="660">
        <f t="shared" si="37"/>
        <v>8.9862781521070372E-8</v>
      </c>
      <c r="F292" s="660">
        <f t="shared" si="44"/>
        <v>8.9862781521070372E-8</v>
      </c>
      <c r="G292" s="670">
        <f>1/'User Dashboard'!X$12</f>
        <v>0.14285714285714285</v>
      </c>
      <c r="H292" s="359">
        <f t="shared" si="38"/>
        <v>448258.01963561017</v>
      </c>
      <c r="I292" s="672">
        <f t="shared" si="41"/>
        <v>1.2185865188109207E-3</v>
      </c>
      <c r="J292" s="673">
        <f t="shared" si="39"/>
        <v>3287596.5791458027</v>
      </c>
      <c r="K292" s="359">
        <f t="shared" si="42"/>
        <v>3287596.5803643893</v>
      </c>
      <c r="L292" s="673">
        <f t="shared" si="43"/>
        <v>5.4697506129741669E-5</v>
      </c>
    </row>
    <row r="293" spans="1:12" x14ac:dyDescent="0.35">
      <c r="A293" s="287" t="str">
        <f t="shared" si="40"/>
        <v/>
      </c>
      <c r="B293" s="288">
        <v>286</v>
      </c>
      <c r="C293" s="667">
        <f>IF('User Dashboard'!Z$12=5,
IF('SIR Model Patient Calcs'!B293&lt;'User Dashboard'!AJ$15,'User Dashboard'!AN$14,
IF('SIR Model Patient Calcs'!B293&lt;'User Dashboard'!AJ$16,'User Dashboard'!AN$15,
IF('SIR Model Patient Calcs'!B293&lt;'User Dashboard'!AJ$17,'User Dashboard'!AN$16,
IF('SIR Model Patient Calcs'!B293&lt;'User Dashboard'!AJ$18,'User Dashboard'!AN$17,
'User Dashboard'!AN$18)))),
IF('User Dashboard'!Z$12=4,
IF('SIR Model Patient Calcs'!B293&lt;'User Dashboard'!AJ$15,'User Dashboard'!AN$14,
IF('SIR Model Patient Calcs'!B293&lt;'User Dashboard'!AJ$16,'User Dashboard'!AN$15,
IF('SIR Model Patient Calcs'!B293&lt;'User Dashboard'!AJ$17,'User Dashboard'!AN$16,
'User Dashboard'!AN$17))),
IF('User Dashboard'!Z$12=3,
IF('SIR Model Patient Calcs'!B293&lt;'User Dashboard'!AJ$15,'User Dashboard'!AN$14,
IF('SIR Model Patient Calcs'!B293&lt;'User Dashboard'!AJ$16,'User Dashboard'!AN$15,
'User Dashboard'!AN$16)),
IF('User Dashboard'!Z$12=2,
IF('SIR Model Patient Calcs'!B293&lt;'User Dashboard'!AJ$15,'User Dashboard'!AN$14,
'User Dashboard'!AN$15),
IF('User Dashboard'!Z$12=1,
'User Dashboard'!AN$14)))))</f>
        <v>15.209356603107825</v>
      </c>
      <c r="D293" s="668">
        <f>'User Dashboard'!X$16</f>
        <v>2.2072878851804097E-2</v>
      </c>
      <c r="E293" s="660">
        <f t="shared" si="37"/>
        <v>8.9862781521070372E-8</v>
      </c>
      <c r="F293" s="660">
        <f t="shared" si="44"/>
        <v>8.9862781521070372E-8</v>
      </c>
      <c r="G293" s="670">
        <f>1/'User Dashboard'!X$12</f>
        <v>0.14285714285714285</v>
      </c>
      <c r="H293" s="359">
        <f t="shared" si="38"/>
        <v>448258.01958652341</v>
      </c>
      <c r="I293" s="672">
        <f t="shared" si="41"/>
        <v>1.0935894821964718E-3</v>
      </c>
      <c r="J293" s="673">
        <f t="shared" si="39"/>
        <v>3287596.5793198864</v>
      </c>
      <c r="K293" s="359">
        <f t="shared" si="42"/>
        <v>3287596.5804134761</v>
      </c>
      <c r="L293" s="673">
        <f t="shared" si="43"/>
        <v>4.9086753278970718E-5</v>
      </c>
    </row>
    <row r="294" spans="1:12" x14ac:dyDescent="0.35">
      <c r="A294" s="287" t="str">
        <f t="shared" si="40"/>
        <v/>
      </c>
      <c r="B294" s="288">
        <v>287</v>
      </c>
      <c r="C294" s="667">
        <f>IF('User Dashboard'!Z$12=5,
IF('SIR Model Patient Calcs'!B294&lt;'User Dashboard'!AJ$15,'User Dashboard'!AN$14,
IF('SIR Model Patient Calcs'!B294&lt;'User Dashboard'!AJ$16,'User Dashboard'!AN$15,
IF('SIR Model Patient Calcs'!B294&lt;'User Dashboard'!AJ$17,'User Dashboard'!AN$16,
IF('SIR Model Patient Calcs'!B294&lt;'User Dashboard'!AJ$18,'User Dashboard'!AN$17,
'User Dashboard'!AN$18)))),
IF('User Dashboard'!Z$12=4,
IF('SIR Model Patient Calcs'!B294&lt;'User Dashboard'!AJ$15,'User Dashboard'!AN$14,
IF('SIR Model Patient Calcs'!B294&lt;'User Dashboard'!AJ$16,'User Dashboard'!AN$15,
IF('SIR Model Patient Calcs'!B294&lt;'User Dashboard'!AJ$17,'User Dashboard'!AN$16,
'User Dashboard'!AN$17))),
IF('User Dashboard'!Z$12=3,
IF('SIR Model Patient Calcs'!B294&lt;'User Dashboard'!AJ$15,'User Dashboard'!AN$14,
IF('SIR Model Patient Calcs'!B294&lt;'User Dashboard'!AJ$16,'User Dashboard'!AN$15,
'User Dashboard'!AN$16)),
IF('User Dashboard'!Z$12=2,
IF('SIR Model Patient Calcs'!B294&lt;'User Dashboard'!AJ$15,'User Dashboard'!AN$14,
'User Dashboard'!AN$15),
IF('User Dashboard'!Z$12=1,
'User Dashboard'!AN$14)))))</f>
        <v>15.209356603107825</v>
      </c>
      <c r="D294" s="668">
        <f>'User Dashboard'!X$16</f>
        <v>2.2072878851804097E-2</v>
      </c>
      <c r="E294" s="660">
        <f t="shared" si="37"/>
        <v>8.9862781521070372E-8</v>
      </c>
      <c r="F294" s="660">
        <f t="shared" si="44"/>
        <v>8.9862781521070372E-8</v>
      </c>
      <c r="G294" s="670">
        <f>1/'User Dashboard'!X$12</f>
        <v>0.14285714285714285</v>
      </c>
      <c r="H294" s="359">
        <f t="shared" si="38"/>
        <v>448258.01954247174</v>
      </c>
      <c r="I294" s="672">
        <f t="shared" si="41"/>
        <v>9.8141407040334581E-4</v>
      </c>
      <c r="J294" s="673">
        <f t="shared" si="39"/>
        <v>3287596.5794761134</v>
      </c>
      <c r="K294" s="359">
        <f t="shared" si="42"/>
        <v>3287596.5804575277</v>
      </c>
      <c r="L294" s="673">
        <f t="shared" si="43"/>
        <v>4.4051557779312134E-5</v>
      </c>
    </row>
    <row r="295" spans="1:12" x14ac:dyDescent="0.35">
      <c r="A295" s="287" t="str">
        <f t="shared" si="40"/>
        <v/>
      </c>
      <c r="B295" s="288">
        <v>288</v>
      </c>
      <c r="C295" s="667">
        <f>IF('User Dashboard'!Z$12=5,
IF('SIR Model Patient Calcs'!B295&lt;'User Dashboard'!AJ$15,'User Dashboard'!AN$14,
IF('SIR Model Patient Calcs'!B295&lt;'User Dashboard'!AJ$16,'User Dashboard'!AN$15,
IF('SIR Model Patient Calcs'!B295&lt;'User Dashboard'!AJ$17,'User Dashboard'!AN$16,
IF('SIR Model Patient Calcs'!B295&lt;'User Dashboard'!AJ$18,'User Dashboard'!AN$17,
'User Dashboard'!AN$18)))),
IF('User Dashboard'!Z$12=4,
IF('SIR Model Patient Calcs'!B295&lt;'User Dashboard'!AJ$15,'User Dashboard'!AN$14,
IF('SIR Model Patient Calcs'!B295&lt;'User Dashboard'!AJ$16,'User Dashboard'!AN$15,
IF('SIR Model Patient Calcs'!B295&lt;'User Dashboard'!AJ$17,'User Dashboard'!AN$16,
'User Dashboard'!AN$17))),
IF('User Dashboard'!Z$12=3,
IF('SIR Model Patient Calcs'!B295&lt;'User Dashboard'!AJ$15,'User Dashboard'!AN$14,
IF('SIR Model Patient Calcs'!B295&lt;'User Dashboard'!AJ$16,'User Dashboard'!AN$15,
'User Dashboard'!AN$16)),
IF('User Dashboard'!Z$12=2,
IF('SIR Model Patient Calcs'!B295&lt;'User Dashboard'!AJ$15,'User Dashboard'!AN$14,
'User Dashboard'!AN$15),
IF('User Dashboard'!Z$12=1,
'User Dashboard'!AN$14)))))</f>
        <v>15.209356603107825</v>
      </c>
      <c r="D295" s="668">
        <f>'User Dashboard'!X$16</f>
        <v>2.2072878851804097E-2</v>
      </c>
      <c r="E295" s="660">
        <f t="shared" si="37"/>
        <v>8.9862781521070372E-8</v>
      </c>
      <c r="F295" s="660">
        <f t="shared" si="44"/>
        <v>8.9862781521070372E-8</v>
      </c>
      <c r="G295" s="670">
        <f>1/'User Dashboard'!X$12</f>
        <v>0.14285714285714285</v>
      </c>
      <c r="H295" s="359">
        <f t="shared" si="38"/>
        <v>448258.01950293873</v>
      </c>
      <c r="I295" s="672">
        <f t="shared" si="41"/>
        <v>8.8074509974884086E-4</v>
      </c>
      <c r="J295" s="673">
        <f t="shared" si="39"/>
        <v>3287596.5796163157</v>
      </c>
      <c r="K295" s="359">
        <f t="shared" si="42"/>
        <v>3287596.5804970609</v>
      </c>
      <c r="L295" s="673">
        <f t="shared" si="43"/>
        <v>3.953324630856514E-5</v>
      </c>
    </row>
    <row r="296" spans="1:12" x14ac:dyDescent="0.35">
      <c r="A296" s="287" t="str">
        <f t="shared" si="40"/>
        <v/>
      </c>
      <c r="B296" s="288">
        <v>289</v>
      </c>
      <c r="C296" s="667">
        <f>IF('User Dashboard'!Z$12=5,
IF('SIR Model Patient Calcs'!B296&lt;'User Dashboard'!AJ$15,'User Dashboard'!AN$14,
IF('SIR Model Patient Calcs'!B296&lt;'User Dashboard'!AJ$16,'User Dashboard'!AN$15,
IF('SIR Model Patient Calcs'!B296&lt;'User Dashboard'!AJ$17,'User Dashboard'!AN$16,
IF('SIR Model Patient Calcs'!B296&lt;'User Dashboard'!AJ$18,'User Dashboard'!AN$17,
'User Dashboard'!AN$18)))),
IF('User Dashboard'!Z$12=4,
IF('SIR Model Patient Calcs'!B296&lt;'User Dashboard'!AJ$15,'User Dashboard'!AN$14,
IF('SIR Model Patient Calcs'!B296&lt;'User Dashboard'!AJ$16,'User Dashboard'!AN$15,
IF('SIR Model Patient Calcs'!B296&lt;'User Dashboard'!AJ$17,'User Dashboard'!AN$16,
'User Dashboard'!AN$17))),
IF('User Dashboard'!Z$12=3,
IF('SIR Model Patient Calcs'!B296&lt;'User Dashboard'!AJ$15,'User Dashboard'!AN$14,
IF('SIR Model Patient Calcs'!B296&lt;'User Dashboard'!AJ$16,'User Dashboard'!AN$15,
'User Dashboard'!AN$16)),
IF('User Dashboard'!Z$12=2,
IF('SIR Model Patient Calcs'!B296&lt;'User Dashboard'!AJ$15,'User Dashboard'!AN$14,
'User Dashboard'!AN$15),
IF('User Dashboard'!Z$12=1,
'User Dashboard'!AN$14)))))</f>
        <v>15.209356603107825</v>
      </c>
      <c r="D296" s="668">
        <f>'User Dashboard'!X$16</f>
        <v>2.2072878851804097E-2</v>
      </c>
      <c r="E296" s="660">
        <f t="shared" si="37"/>
        <v>8.9862781521070372E-8</v>
      </c>
      <c r="F296" s="660">
        <f t="shared" si="44"/>
        <v>8.9862781521070372E-8</v>
      </c>
      <c r="G296" s="670">
        <f>1/'User Dashboard'!X$12</f>
        <v>0.14285714285714285</v>
      </c>
      <c r="H296" s="359">
        <f t="shared" si="38"/>
        <v>448258.01946746081</v>
      </c>
      <c r="I296" s="672">
        <f t="shared" si="41"/>
        <v>7.9040229208219876E-4</v>
      </c>
      <c r="J296" s="673">
        <f t="shared" si="39"/>
        <v>3287596.5797421364</v>
      </c>
      <c r="K296" s="359">
        <f t="shared" si="42"/>
        <v>3287596.5805325387</v>
      </c>
      <c r="L296" s="673">
        <f t="shared" si="43"/>
        <v>3.5477802157402039E-5</v>
      </c>
    </row>
    <row r="297" spans="1:12" x14ac:dyDescent="0.35">
      <c r="A297" s="287" t="str">
        <f t="shared" si="40"/>
        <v/>
      </c>
      <c r="B297" s="288">
        <v>290</v>
      </c>
      <c r="C297" s="667">
        <f>IF('User Dashboard'!Z$12=5,
IF('SIR Model Patient Calcs'!B297&lt;'User Dashboard'!AJ$15,'User Dashboard'!AN$14,
IF('SIR Model Patient Calcs'!B297&lt;'User Dashboard'!AJ$16,'User Dashboard'!AN$15,
IF('SIR Model Patient Calcs'!B297&lt;'User Dashboard'!AJ$17,'User Dashboard'!AN$16,
IF('SIR Model Patient Calcs'!B297&lt;'User Dashboard'!AJ$18,'User Dashboard'!AN$17,
'User Dashboard'!AN$18)))),
IF('User Dashboard'!Z$12=4,
IF('SIR Model Patient Calcs'!B297&lt;'User Dashboard'!AJ$15,'User Dashboard'!AN$14,
IF('SIR Model Patient Calcs'!B297&lt;'User Dashboard'!AJ$16,'User Dashboard'!AN$15,
IF('SIR Model Patient Calcs'!B297&lt;'User Dashboard'!AJ$17,'User Dashboard'!AN$16,
'User Dashboard'!AN$17))),
IF('User Dashboard'!Z$12=3,
IF('SIR Model Patient Calcs'!B297&lt;'User Dashboard'!AJ$15,'User Dashboard'!AN$14,
IF('SIR Model Patient Calcs'!B297&lt;'User Dashboard'!AJ$16,'User Dashboard'!AN$15,
'User Dashboard'!AN$16)),
IF('User Dashboard'!Z$12=2,
IF('SIR Model Patient Calcs'!B297&lt;'User Dashboard'!AJ$15,'User Dashboard'!AN$14,
'User Dashboard'!AN$15),
IF('User Dashboard'!Z$12=1,
'User Dashboard'!AN$14)))))</f>
        <v>15.209356603107825</v>
      </c>
      <c r="D297" s="668">
        <f>'User Dashboard'!X$16</f>
        <v>2.2072878851804097E-2</v>
      </c>
      <c r="E297" s="660">
        <f t="shared" si="37"/>
        <v>8.9862781521070372E-8</v>
      </c>
      <c r="F297" s="660">
        <f t="shared" si="44"/>
        <v>8.9862781521070372E-8</v>
      </c>
      <c r="G297" s="670">
        <f>1/'User Dashboard'!X$12</f>
        <v>0.14285714285714285</v>
      </c>
      <c r="H297" s="359">
        <f t="shared" si="38"/>
        <v>448258.01943562203</v>
      </c>
      <c r="I297" s="672">
        <f t="shared" si="41"/>
        <v>7.0932643679167545E-4</v>
      </c>
      <c r="J297" s="673">
        <f t="shared" si="39"/>
        <v>3287596.5798550509</v>
      </c>
      <c r="K297" s="359">
        <f t="shared" si="42"/>
        <v>3287596.5805643774</v>
      </c>
      <c r="L297" s="673">
        <f t="shared" si="43"/>
        <v>3.1838659197092056E-5</v>
      </c>
    </row>
    <row r="298" spans="1:12" x14ac:dyDescent="0.35">
      <c r="A298" s="287" t="str">
        <f t="shared" si="40"/>
        <v/>
      </c>
      <c r="B298" s="288">
        <v>291</v>
      </c>
      <c r="C298" s="667">
        <f>IF('User Dashboard'!Z$12=5,
IF('SIR Model Patient Calcs'!B298&lt;'User Dashboard'!AJ$15,'User Dashboard'!AN$14,
IF('SIR Model Patient Calcs'!B298&lt;'User Dashboard'!AJ$16,'User Dashboard'!AN$15,
IF('SIR Model Patient Calcs'!B298&lt;'User Dashboard'!AJ$17,'User Dashboard'!AN$16,
IF('SIR Model Patient Calcs'!B298&lt;'User Dashboard'!AJ$18,'User Dashboard'!AN$17,
'User Dashboard'!AN$18)))),
IF('User Dashboard'!Z$12=4,
IF('SIR Model Patient Calcs'!B298&lt;'User Dashboard'!AJ$15,'User Dashboard'!AN$14,
IF('SIR Model Patient Calcs'!B298&lt;'User Dashboard'!AJ$16,'User Dashboard'!AN$15,
IF('SIR Model Patient Calcs'!B298&lt;'User Dashboard'!AJ$17,'User Dashboard'!AN$16,
'User Dashboard'!AN$17))),
IF('User Dashboard'!Z$12=3,
IF('SIR Model Patient Calcs'!B298&lt;'User Dashboard'!AJ$15,'User Dashboard'!AN$14,
IF('SIR Model Patient Calcs'!B298&lt;'User Dashboard'!AJ$16,'User Dashboard'!AN$15,
'User Dashboard'!AN$16)),
IF('User Dashboard'!Z$12=2,
IF('SIR Model Patient Calcs'!B298&lt;'User Dashboard'!AJ$15,'User Dashboard'!AN$14,
'User Dashboard'!AN$15),
IF('User Dashboard'!Z$12=1,
'User Dashboard'!AN$14)))))</f>
        <v>15.209356603107825</v>
      </c>
      <c r="D298" s="668">
        <f>'User Dashboard'!X$16</f>
        <v>2.2072878851804097E-2</v>
      </c>
      <c r="E298" s="660">
        <f t="shared" si="37"/>
        <v>8.9862781521070372E-8</v>
      </c>
      <c r="F298" s="660">
        <f t="shared" si="44"/>
        <v>8.9862781521070372E-8</v>
      </c>
      <c r="G298" s="670">
        <f>1/'User Dashboard'!X$12</f>
        <v>0.14285714285714285</v>
      </c>
      <c r="H298" s="359">
        <f t="shared" si="38"/>
        <v>448258.01940704917</v>
      </c>
      <c r="I298" s="672">
        <f t="shared" si="41"/>
        <v>6.3656697224967766E-4</v>
      </c>
      <c r="J298" s="673">
        <f t="shared" si="39"/>
        <v>3287596.5799563834</v>
      </c>
      <c r="K298" s="359">
        <f t="shared" si="42"/>
        <v>3287596.5805929503</v>
      </c>
      <c r="L298" s="673">
        <f t="shared" si="43"/>
        <v>2.8572976589202881E-5</v>
      </c>
    </row>
    <row r="299" spans="1:12" x14ac:dyDescent="0.35">
      <c r="A299" s="287" t="str">
        <f t="shared" si="40"/>
        <v/>
      </c>
      <c r="B299" s="288">
        <v>292</v>
      </c>
      <c r="C299" s="667">
        <f>IF('User Dashboard'!Z$12=5,
IF('SIR Model Patient Calcs'!B299&lt;'User Dashboard'!AJ$15,'User Dashboard'!AN$14,
IF('SIR Model Patient Calcs'!B299&lt;'User Dashboard'!AJ$16,'User Dashboard'!AN$15,
IF('SIR Model Patient Calcs'!B299&lt;'User Dashboard'!AJ$17,'User Dashboard'!AN$16,
IF('SIR Model Patient Calcs'!B299&lt;'User Dashboard'!AJ$18,'User Dashboard'!AN$17,
'User Dashboard'!AN$18)))),
IF('User Dashboard'!Z$12=4,
IF('SIR Model Patient Calcs'!B299&lt;'User Dashboard'!AJ$15,'User Dashboard'!AN$14,
IF('SIR Model Patient Calcs'!B299&lt;'User Dashboard'!AJ$16,'User Dashboard'!AN$15,
IF('SIR Model Patient Calcs'!B299&lt;'User Dashboard'!AJ$17,'User Dashboard'!AN$16,
'User Dashboard'!AN$17))),
IF('User Dashboard'!Z$12=3,
IF('SIR Model Patient Calcs'!B299&lt;'User Dashboard'!AJ$15,'User Dashboard'!AN$14,
IF('SIR Model Patient Calcs'!B299&lt;'User Dashboard'!AJ$16,'User Dashboard'!AN$15,
'User Dashboard'!AN$16)),
IF('User Dashboard'!Z$12=2,
IF('SIR Model Patient Calcs'!B299&lt;'User Dashboard'!AJ$15,'User Dashboard'!AN$14,
'User Dashboard'!AN$15),
IF('User Dashboard'!Z$12=1,
'User Dashboard'!AN$14)))))</f>
        <v>15.209356603107825</v>
      </c>
      <c r="D299" s="668">
        <f>'User Dashboard'!X$16</f>
        <v>2.2072878851804097E-2</v>
      </c>
      <c r="E299" s="660">
        <f t="shared" si="37"/>
        <v>8.9862781521070372E-8</v>
      </c>
      <c r="F299" s="660">
        <f t="shared" si="44"/>
        <v>8.9862781521070372E-8</v>
      </c>
      <c r="G299" s="670">
        <f>1/'User Dashboard'!X$12</f>
        <v>0.14285714285714285</v>
      </c>
      <c r="H299" s="359">
        <f t="shared" si="38"/>
        <v>448258.01938140718</v>
      </c>
      <c r="I299" s="672">
        <f t="shared" si="41"/>
        <v>5.7127084109649825E-4</v>
      </c>
      <c r="J299" s="673">
        <f t="shared" si="39"/>
        <v>3287596.5800473215</v>
      </c>
      <c r="K299" s="359">
        <f t="shared" si="42"/>
        <v>3287596.5806185924</v>
      </c>
      <c r="L299" s="673">
        <f t="shared" si="43"/>
        <v>2.564210444688797E-5</v>
      </c>
    </row>
    <row r="300" spans="1:12" x14ac:dyDescent="0.35">
      <c r="A300" s="287" t="str">
        <f t="shared" si="40"/>
        <v/>
      </c>
      <c r="B300" s="288">
        <v>293</v>
      </c>
      <c r="C300" s="667">
        <f>IF('User Dashboard'!Z$12=5,
IF('SIR Model Patient Calcs'!B300&lt;'User Dashboard'!AJ$15,'User Dashboard'!AN$14,
IF('SIR Model Patient Calcs'!B300&lt;'User Dashboard'!AJ$16,'User Dashboard'!AN$15,
IF('SIR Model Patient Calcs'!B300&lt;'User Dashboard'!AJ$17,'User Dashboard'!AN$16,
IF('SIR Model Patient Calcs'!B300&lt;'User Dashboard'!AJ$18,'User Dashboard'!AN$17,
'User Dashboard'!AN$18)))),
IF('User Dashboard'!Z$12=4,
IF('SIR Model Patient Calcs'!B300&lt;'User Dashboard'!AJ$15,'User Dashboard'!AN$14,
IF('SIR Model Patient Calcs'!B300&lt;'User Dashboard'!AJ$16,'User Dashboard'!AN$15,
IF('SIR Model Patient Calcs'!B300&lt;'User Dashboard'!AJ$17,'User Dashboard'!AN$16,
'User Dashboard'!AN$17))),
IF('User Dashboard'!Z$12=3,
IF('SIR Model Patient Calcs'!B300&lt;'User Dashboard'!AJ$15,'User Dashboard'!AN$14,
IF('SIR Model Patient Calcs'!B300&lt;'User Dashboard'!AJ$16,'User Dashboard'!AN$15,
'User Dashboard'!AN$16)),
IF('User Dashboard'!Z$12=2,
IF('SIR Model Patient Calcs'!B300&lt;'User Dashboard'!AJ$15,'User Dashboard'!AN$14,
'User Dashboard'!AN$15),
IF('User Dashboard'!Z$12=1,
'User Dashboard'!AN$14)))))</f>
        <v>15.209356603107825</v>
      </c>
      <c r="D300" s="668">
        <f>'User Dashboard'!X$16</f>
        <v>2.2072878851804097E-2</v>
      </c>
      <c r="E300" s="660">
        <f t="shared" si="37"/>
        <v>8.9862781521070372E-8</v>
      </c>
      <c r="F300" s="660">
        <f t="shared" si="44"/>
        <v>8.9862781521070372E-8</v>
      </c>
      <c r="G300" s="670">
        <f>1/'User Dashboard'!X$12</f>
        <v>0.14285714285714285</v>
      </c>
      <c r="H300" s="359">
        <f t="shared" si="38"/>
        <v>448258.01935839542</v>
      </c>
      <c r="I300" s="672">
        <f t="shared" si="41"/>
        <v>5.1267248869810936E-4</v>
      </c>
      <c r="J300" s="673">
        <f t="shared" si="39"/>
        <v>3287596.5801289314</v>
      </c>
      <c r="K300" s="359">
        <f t="shared" si="42"/>
        <v>3287596.580641604</v>
      </c>
      <c r="L300" s="673">
        <f t="shared" si="43"/>
        <v>2.3011583834886551E-5</v>
      </c>
    </row>
    <row r="301" spans="1:12" x14ac:dyDescent="0.35">
      <c r="A301" s="287" t="str">
        <f t="shared" si="40"/>
        <v/>
      </c>
      <c r="B301" s="288">
        <v>294</v>
      </c>
      <c r="C301" s="667">
        <f>IF('User Dashboard'!Z$12=5,
IF('SIR Model Patient Calcs'!B301&lt;'User Dashboard'!AJ$15,'User Dashboard'!AN$14,
IF('SIR Model Patient Calcs'!B301&lt;'User Dashboard'!AJ$16,'User Dashboard'!AN$15,
IF('SIR Model Patient Calcs'!B301&lt;'User Dashboard'!AJ$17,'User Dashboard'!AN$16,
IF('SIR Model Patient Calcs'!B301&lt;'User Dashboard'!AJ$18,'User Dashboard'!AN$17,
'User Dashboard'!AN$18)))),
IF('User Dashboard'!Z$12=4,
IF('SIR Model Patient Calcs'!B301&lt;'User Dashboard'!AJ$15,'User Dashboard'!AN$14,
IF('SIR Model Patient Calcs'!B301&lt;'User Dashboard'!AJ$16,'User Dashboard'!AN$15,
IF('SIR Model Patient Calcs'!B301&lt;'User Dashboard'!AJ$17,'User Dashboard'!AN$16,
'User Dashboard'!AN$17))),
IF('User Dashboard'!Z$12=3,
IF('SIR Model Patient Calcs'!B301&lt;'User Dashboard'!AJ$15,'User Dashboard'!AN$14,
IF('SIR Model Patient Calcs'!B301&lt;'User Dashboard'!AJ$16,'User Dashboard'!AN$15,
'User Dashboard'!AN$16)),
IF('User Dashboard'!Z$12=2,
IF('SIR Model Patient Calcs'!B301&lt;'User Dashboard'!AJ$15,'User Dashboard'!AN$14,
'User Dashboard'!AN$15),
IF('User Dashboard'!Z$12=1,
'User Dashboard'!AN$14)))))</f>
        <v>15.209356603107825</v>
      </c>
      <c r="D301" s="668">
        <f>'User Dashboard'!X$16</f>
        <v>2.2072878851804097E-2</v>
      </c>
      <c r="E301" s="660">
        <f t="shared" si="37"/>
        <v>8.9862781521070372E-8</v>
      </c>
      <c r="F301" s="660">
        <f t="shared" si="44"/>
        <v>8.9862781521070372E-8</v>
      </c>
      <c r="G301" s="670">
        <f>1/'User Dashboard'!X$12</f>
        <v>0.14285714285714285</v>
      </c>
      <c r="H301" s="359">
        <f t="shared" si="38"/>
        <v>448258.0193377441</v>
      </c>
      <c r="I301" s="672">
        <f t="shared" si="41"/>
        <v>4.6008488751644525E-4</v>
      </c>
      <c r="J301" s="673">
        <f t="shared" si="39"/>
        <v>3287596.5802021702</v>
      </c>
      <c r="K301" s="359">
        <f t="shared" si="42"/>
        <v>3287596.5806622552</v>
      </c>
      <c r="L301" s="673">
        <f t="shared" si="43"/>
        <v>2.0651146769523621E-5</v>
      </c>
    </row>
    <row r="302" spans="1:12" x14ac:dyDescent="0.35">
      <c r="A302" s="287" t="str">
        <f t="shared" si="40"/>
        <v/>
      </c>
      <c r="B302" s="288">
        <v>295</v>
      </c>
      <c r="C302" s="667">
        <f>IF('User Dashboard'!Z$12=5,
IF('SIR Model Patient Calcs'!B302&lt;'User Dashboard'!AJ$15,'User Dashboard'!AN$14,
IF('SIR Model Patient Calcs'!B302&lt;'User Dashboard'!AJ$16,'User Dashboard'!AN$15,
IF('SIR Model Patient Calcs'!B302&lt;'User Dashboard'!AJ$17,'User Dashboard'!AN$16,
IF('SIR Model Patient Calcs'!B302&lt;'User Dashboard'!AJ$18,'User Dashboard'!AN$17,
'User Dashboard'!AN$18)))),
IF('User Dashboard'!Z$12=4,
IF('SIR Model Patient Calcs'!B302&lt;'User Dashboard'!AJ$15,'User Dashboard'!AN$14,
IF('SIR Model Patient Calcs'!B302&lt;'User Dashboard'!AJ$16,'User Dashboard'!AN$15,
IF('SIR Model Patient Calcs'!B302&lt;'User Dashboard'!AJ$17,'User Dashboard'!AN$16,
'User Dashboard'!AN$17))),
IF('User Dashboard'!Z$12=3,
IF('SIR Model Patient Calcs'!B302&lt;'User Dashboard'!AJ$15,'User Dashboard'!AN$14,
IF('SIR Model Patient Calcs'!B302&lt;'User Dashboard'!AJ$16,'User Dashboard'!AN$15,
'User Dashboard'!AN$16)),
IF('User Dashboard'!Z$12=2,
IF('SIR Model Patient Calcs'!B302&lt;'User Dashboard'!AJ$15,'User Dashboard'!AN$14,
'User Dashboard'!AN$15),
IF('User Dashboard'!Z$12=1,
'User Dashboard'!AN$14)))))</f>
        <v>15.209356603107825</v>
      </c>
      <c r="D302" s="668">
        <f>'User Dashboard'!X$16</f>
        <v>2.2072878851804097E-2</v>
      </c>
      <c r="E302" s="660">
        <f t="shared" si="37"/>
        <v>8.9862781521070372E-8</v>
      </c>
      <c r="F302" s="660">
        <f t="shared" si="44"/>
        <v>8.9862781521070372E-8</v>
      </c>
      <c r="G302" s="670">
        <f>1/'User Dashboard'!X$12</f>
        <v>0.14285714285714285</v>
      </c>
      <c r="H302" s="359">
        <f t="shared" si="38"/>
        <v>448258.01931921107</v>
      </c>
      <c r="I302" s="672">
        <f t="shared" si="41"/>
        <v>4.1289148215875962E-4</v>
      </c>
      <c r="J302" s="673">
        <f t="shared" si="39"/>
        <v>3287596.5802678964</v>
      </c>
      <c r="K302" s="359">
        <f t="shared" si="42"/>
        <v>3287596.580680788</v>
      </c>
      <c r="L302" s="673">
        <f t="shared" si="43"/>
        <v>1.8532853573560715E-5</v>
      </c>
    </row>
    <row r="303" spans="1:12" x14ac:dyDescent="0.35">
      <c r="A303" s="287" t="str">
        <f t="shared" si="40"/>
        <v/>
      </c>
      <c r="B303" s="288">
        <v>296</v>
      </c>
      <c r="C303" s="667">
        <f>IF('User Dashboard'!Z$12=5,
IF('SIR Model Patient Calcs'!B303&lt;'User Dashboard'!AJ$15,'User Dashboard'!AN$14,
IF('SIR Model Patient Calcs'!B303&lt;'User Dashboard'!AJ$16,'User Dashboard'!AN$15,
IF('SIR Model Patient Calcs'!B303&lt;'User Dashboard'!AJ$17,'User Dashboard'!AN$16,
IF('SIR Model Patient Calcs'!B303&lt;'User Dashboard'!AJ$18,'User Dashboard'!AN$17,
'User Dashboard'!AN$18)))),
IF('User Dashboard'!Z$12=4,
IF('SIR Model Patient Calcs'!B303&lt;'User Dashboard'!AJ$15,'User Dashboard'!AN$14,
IF('SIR Model Patient Calcs'!B303&lt;'User Dashboard'!AJ$16,'User Dashboard'!AN$15,
IF('SIR Model Patient Calcs'!B303&lt;'User Dashboard'!AJ$17,'User Dashboard'!AN$16,
'User Dashboard'!AN$17))),
IF('User Dashboard'!Z$12=3,
IF('SIR Model Patient Calcs'!B303&lt;'User Dashboard'!AJ$15,'User Dashboard'!AN$14,
IF('SIR Model Patient Calcs'!B303&lt;'User Dashboard'!AJ$16,'User Dashboard'!AN$15,
'User Dashboard'!AN$16)),
IF('User Dashboard'!Z$12=2,
IF('SIR Model Patient Calcs'!B303&lt;'User Dashboard'!AJ$15,'User Dashboard'!AN$14,
'User Dashboard'!AN$15),
IF('User Dashboard'!Z$12=1,
'User Dashboard'!AN$14)))))</f>
        <v>15.209356603107825</v>
      </c>
      <c r="D303" s="668">
        <f>'User Dashboard'!X$16</f>
        <v>2.2072878851804097E-2</v>
      </c>
      <c r="E303" s="660">
        <f t="shared" si="37"/>
        <v>8.9862781521070385E-8</v>
      </c>
      <c r="F303" s="660">
        <f t="shared" si="44"/>
        <v>8.9862781521070372E-8</v>
      </c>
      <c r="G303" s="670">
        <f>1/'User Dashboard'!X$12</f>
        <v>0.14285714285714285</v>
      </c>
      <c r="H303" s="359">
        <f t="shared" si="38"/>
        <v>448258.01930257911</v>
      </c>
      <c r="I303" s="672">
        <f t="shared" si="41"/>
        <v>3.7053896066700808E-4</v>
      </c>
      <c r="J303" s="673">
        <f t="shared" si="39"/>
        <v>3287596.5803268808</v>
      </c>
      <c r="K303" s="359">
        <f t="shared" si="42"/>
        <v>3287596.5806974196</v>
      </c>
      <c r="L303" s="673">
        <f t="shared" si="43"/>
        <v>1.6631558537483215E-5</v>
      </c>
    </row>
    <row r="304" spans="1:12" x14ac:dyDescent="0.35">
      <c r="A304" s="287" t="str">
        <f t="shared" si="40"/>
        <v/>
      </c>
      <c r="B304" s="288">
        <v>297</v>
      </c>
      <c r="C304" s="667">
        <f>IF('User Dashboard'!Z$12=5,
IF('SIR Model Patient Calcs'!B304&lt;'User Dashboard'!AJ$15,'User Dashboard'!AN$14,
IF('SIR Model Patient Calcs'!B304&lt;'User Dashboard'!AJ$16,'User Dashboard'!AN$15,
IF('SIR Model Patient Calcs'!B304&lt;'User Dashboard'!AJ$17,'User Dashboard'!AN$16,
IF('SIR Model Patient Calcs'!B304&lt;'User Dashboard'!AJ$18,'User Dashboard'!AN$17,
'User Dashboard'!AN$18)))),
IF('User Dashboard'!Z$12=4,
IF('SIR Model Patient Calcs'!B304&lt;'User Dashboard'!AJ$15,'User Dashboard'!AN$14,
IF('SIR Model Patient Calcs'!B304&lt;'User Dashboard'!AJ$16,'User Dashboard'!AN$15,
IF('SIR Model Patient Calcs'!B304&lt;'User Dashboard'!AJ$17,'User Dashboard'!AN$16,
'User Dashboard'!AN$17))),
IF('User Dashboard'!Z$12=3,
IF('SIR Model Patient Calcs'!B304&lt;'User Dashboard'!AJ$15,'User Dashboard'!AN$14,
IF('SIR Model Patient Calcs'!B304&lt;'User Dashboard'!AJ$16,'User Dashboard'!AN$15,
'User Dashboard'!AN$16)),
IF('User Dashboard'!Z$12=2,
IF('SIR Model Patient Calcs'!B304&lt;'User Dashboard'!AJ$15,'User Dashboard'!AN$14,
'User Dashboard'!AN$15),
IF('User Dashboard'!Z$12=1,
'User Dashboard'!AN$14)))))</f>
        <v>15.209356603107825</v>
      </c>
      <c r="D304" s="668">
        <f>'User Dashboard'!X$16</f>
        <v>2.2072878851804097E-2</v>
      </c>
      <c r="E304" s="660">
        <f t="shared" si="37"/>
        <v>8.9862781521070385E-8</v>
      </c>
      <c r="F304" s="660">
        <f t="shared" si="44"/>
        <v>8.9862781521070372E-8</v>
      </c>
      <c r="G304" s="670">
        <f>1/'User Dashboard'!X$12</f>
        <v>0.14285714285714285</v>
      </c>
      <c r="H304" s="359">
        <f t="shared" si="38"/>
        <v>448258.01928765315</v>
      </c>
      <c r="I304" s="672">
        <f t="shared" si="41"/>
        <v>3.3253076729532883E-4</v>
      </c>
      <c r="J304" s="673">
        <f t="shared" si="39"/>
        <v>3287596.5803798148</v>
      </c>
      <c r="K304" s="359">
        <f t="shared" si="42"/>
        <v>3287596.5807123454</v>
      </c>
      <c r="L304" s="673">
        <f t="shared" si="43"/>
        <v>1.4925841242074966E-5</v>
      </c>
    </row>
    <row r="305" spans="1:12" x14ac:dyDescent="0.35">
      <c r="A305" s="287" t="str">
        <f t="shared" si="40"/>
        <v/>
      </c>
      <c r="B305" s="288">
        <v>298</v>
      </c>
      <c r="C305" s="667">
        <f>IF('User Dashboard'!Z$12=5,
IF('SIR Model Patient Calcs'!B305&lt;'User Dashboard'!AJ$15,'User Dashboard'!AN$14,
IF('SIR Model Patient Calcs'!B305&lt;'User Dashboard'!AJ$16,'User Dashboard'!AN$15,
IF('SIR Model Patient Calcs'!B305&lt;'User Dashboard'!AJ$17,'User Dashboard'!AN$16,
IF('SIR Model Patient Calcs'!B305&lt;'User Dashboard'!AJ$18,'User Dashboard'!AN$17,
'User Dashboard'!AN$18)))),
IF('User Dashboard'!Z$12=4,
IF('SIR Model Patient Calcs'!B305&lt;'User Dashboard'!AJ$15,'User Dashboard'!AN$14,
IF('SIR Model Patient Calcs'!B305&lt;'User Dashboard'!AJ$16,'User Dashboard'!AN$15,
IF('SIR Model Patient Calcs'!B305&lt;'User Dashboard'!AJ$17,'User Dashboard'!AN$16,
'User Dashboard'!AN$17))),
IF('User Dashboard'!Z$12=3,
IF('SIR Model Patient Calcs'!B305&lt;'User Dashboard'!AJ$15,'User Dashboard'!AN$14,
IF('SIR Model Patient Calcs'!B305&lt;'User Dashboard'!AJ$16,'User Dashboard'!AN$15,
'User Dashboard'!AN$16)),
IF('User Dashboard'!Z$12=2,
IF('SIR Model Patient Calcs'!B305&lt;'User Dashboard'!AJ$15,'User Dashboard'!AN$14,
'User Dashboard'!AN$15),
IF('User Dashboard'!Z$12=1,
'User Dashboard'!AN$14)))))</f>
        <v>15.209356603107825</v>
      </c>
      <c r="D305" s="668">
        <f>'User Dashboard'!X$16</f>
        <v>2.2072878851804097E-2</v>
      </c>
      <c r="E305" s="660">
        <f t="shared" si="37"/>
        <v>8.9862781521070385E-8</v>
      </c>
      <c r="F305" s="660">
        <f t="shared" si="44"/>
        <v>8.9862781521070372E-8</v>
      </c>
      <c r="G305" s="670">
        <f>1/'User Dashboard'!X$12</f>
        <v>0.14285714285714285</v>
      </c>
      <c r="H305" s="359">
        <f t="shared" si="38"/>
        <v>448258.01927425823</v>
      </c>
      <c r="I305" s="672">
        <f t="shared" si="41"/>
        <v>2.9842128071716251E-4</v>
      </c>
      <c r="J305" s="673">
        <f t="shared" si="39"/>
        <v>3287596.5804273193</v>
      </c>
      <c r="K305" s="359">
        <f t="shared" si="42"/>
        <v>3287596.5807257406</v>
      </c>
      <c r="L305" s="673">
        <f t="shared" si="43"/>
        <v>1.3395212590694427E-5</v>
      </c>
    </row>
    <row r="306" spans="1:12" x14ac:dyDescent="0.35">
      <c r="A306" s="287" t="str">
        <f t="shared" si="40"/>
        <v/>
      </c>
      <c r="B306" s="288">
        <v>299</v>
      </c>
      <c r="C306" s="667">
        <f>IF('User Dashboard'!Z$12=5,
IF('SIR Model Patient Calcs'!B306&lt;'User Dashboard'!AJ$15,'User Dashboard'!AN$14,
IF('SIR Model Patient Calcs'!B306&lt;'User Dashboard'!AJ$16,'User Dashboard'!AN$15,
IF('SIR Model Patient Calcs'!B306&lt;'User Dashboard'!AJ$17,'User Dashboard'!AN$16,
IF('SIR Model Patient Calcs'!B306&lt;'User Dashboard'!AJ$18,'User Dashboard'!AN$17,
'User Dashboard'!AN$18)))),
IF('User Dashboard'!Z$12=4,
IF('SIR Model Patient Calcs'!B306&lt;'User Dashboard'!AJ$15,'User Dashboard'!AN$14,
IF('SIR Model Patient Calcs'!B306&lt;'User Dashboard'!AJ$16,'User Dashboard'!AN$15,
IF('SIR Model Patient Calcs'!B306&lt;'User Dashboard'!AJ$17,'User Dashboard'!AN$16,
'User Dashboard'!AN$17))),
IF('User Dashboard'!Z$12=3,
IF('SIR Model Patient Calcs'!B306&lt;'User Dashboard'!AJ$15,'User Dashboard'!AN$14,
IF('SIR Model Patient Calcs'!B306&lt;'User Dashboard'!AJ$16,'User Dashboard'!AN$15,
'User Dashboard'!AN$16)),
IF('User Dashboard'!Z$12=2,
IF('SIR Model Patient Calcs'!B306&lt;'User Dashboard'!AJ$15,'User Dashboard'!AN$14,
'User Dashboard'!AN$15),
IF('User Dashboard'!Z$12=1,
'User Dashboard'!AN$14)))))</f>
        <v>15.209356603107825</v>
      </c>
      <c r="D306" s="668">
        <f>'User Dashboard'!X$16</f>
        <v>2.2072878851804097E-2</v>
      </c>
      <c r="E306" s="660">
        <f t="shared" si="37"/>
        <v>8.9862781521070385E-8</v>
      </c>
      <c r="F306" s="660">
        <f t="shared" si="44"/>
        <v>8.9862781521070372E-8</v>
      </c>
      <c r="G306" s="670">
        <f>1/'User Dashboard'!X$12</f>
        <v>0.14285714285714285</v>
      </c>
      <c r="H306" s="359">
        <f t="shared" si="38"/>
        <v>448258.0192622373</v>
      </c>
      <c r="I306" s="672">
        <f t="shared" si="41"/>
        <v>2.6781058940528017E-4</v>
      </c>
      <c r="J306" s="673">
        <f t="shared" si="39"/>
        <v>3287596.580469951</v>
      </c>
      <c r="K306" s="359">
        <f t="shared" si="42"/>
        <v>3287596.5807377617</v>
      </c>
      <c r="L306" s="673">
        <f t="shared" si="43"/>
        <v>1.2021046131849289E-5</v>
      </c>
    </row>
    <row r="307" spans="1:12" x14ac:dyDescent="0.35">
      <c r="A307" s="287" t="str">
        <f t="shared" si="40"/>
        <v/>
      </c>
      <c r="B307" s="288">
        <v>300</v>
      </c>
      <c r="C307" s="667">
        <f>IF('User Dashboard'!Z$12=5,
IF('SIR Model Patient Calcs'!B307&lt;'User Dashboard'!AJ$15,'User Dashboard'!AN$14,
IF('SIR Model Patient Calcs'!B307&lt;'User Dashboard'!AJ$16,'User Dashboard'!AN$15,
IF('SIR Model Patient Calcs'!B307&lt;'User Dashboard'!AJ$17,'User Dashboard'!AN$16,
IF('SIR Model Patient Calcs'!B307&lt;'User Dashboard'!AJ$18,'User Dashboard'!AN$17,
'User Dashboard'!AN$18)))),
IF('User Dashboard'!Z$12=4,
IF('SIR Model Patient Calcs'!B307&lt;'User Dashboard'!AJ$15,'User Dashboard'!AN$14,
IF('SIR Model Patient Calcs'!B307&lt;'User Dashboard'!AJ$16,'User Dashboard'!AN$15,
IF('SIR Model Patient Calcs'!B307&lt;'User Dashboard'!AJ$17,'User Dashboard'!AN$16,
'User Dashboard'!AN$17))),
IF('User Dashboard'!Z$12=3,
IF('SIR Model Patient Calcs'!B307&lt;'User Dashboard'!AJ$15,'User Dashboard'!AN$14,
IF('SIR Model Patient Calcs'!B307&lt;'User Dashboard'!AJ$16,'User Dashboard'!AN$15,
'User Dashboard'!AN$16)),
IF('User Dashboard'!Z$12=2,
IF('SIR Model Patient Calcs'!B307&lt;'User Dashboard'!AJ$15,'User Dashboard'!AN$14,
'User Dashboard'!AN$15),
IF('User Dashboard'!Z$12=1,
'User Dashboard'!AN$14)))))</f>
        <v>15.209356603107825</v>
      </c>
      <c r="D307" s="668">
        <f>'User Dashboard'!X$16</f>
        <v>2.2072878851804097E-2</v>
      </c>
      <c r="E307" s="660">
        <f t="shared" si="37"/>
        <v>8.9862781521070372E-8</v>
      </c>
      <c r="F307" s="660">
        <f t="shared" si="44"/>
        <v>8.9862781521070385E-8</v>
      </c>
      <c r="G307" s="670">
        <f>1/'User Dashboard'!X$12</f>
        <v>0.14285714285714285</v>
      </c>
      <c r="H307" s="359">
        <f t="shared" si="38"/>
        <v>448258.01925144944</v>
      </c>
      <c r="I307" s="672">
        <f t="shared" si="41"/>
        <v>2.4033980292945101E-4</v>
      </c>
      <c r="J307" s="673">
        <f t="shared" si="39"/>
        <v>3287596.5805082098</v>
      </c>
      <c r="K307" s="359">
        <f t="shared" si="42"/>
        <v>3287596.5807485497</v>
      </c>
      <c r="L307" s="673">
        <f t="shared" si="43"/>
        <v>1.0787975043058395E-5</v>
      </c>
    </row>
    <row r="308" spans="1:12" x14ac:dyDescent="0.35">
      <c r="A308" s="287" t="str">
        <f t="shared" si="40"/>
        <v/>
      </c>
      <c r="B308" s="288">
        <v>301</v>
      </c>
      <c r="C308" s="667">
        <f>IF('User Dashboard'!Z$12=5,
IF('SIR Model Patient Calcs'!B308&lt;'User Dashboard'!AJ$15,'User Dashboard'!AN$14,
IF('SIR Model Patient Calcs'!B308&lt;'User Dashboard'!AJ$16,'User Dashboard'!AN$15,
IF('SIR Model Patient Calcs'!B308&lt;'User Dashboard'!AJ$17,'User Dashboard'!AN$16,
IF('SIR Model Patient Calcs'!B308&lt;'User Dashboard'!AJ$18,'User Dashboard'!AN$17,
'User Dashboard'!AN$18)))),
IF('User Dashboard'!Z$12=4,
IF('SIR Model Patient Calcs'!B308&lt;'User Dashboard'!AJ$15,'User Dashboard'!AN$14,
IF('SIR Model Patient Calcs'!B308&lt;'User Dashboard'!AJ$16,'User Dashboard'!AN$15,
IF('SIR Model Patient Calcs'!B308&lt;'User Dashboard'!AJ$17,'User Dashboard'!AN$16,
'User Dashboard'!AN$17))),
IF('User Dashboard'!Z$12=3,
IF('SIR Model Patient Calcs'!B308&lt;'User Dashboard'!AJ$15,'User Dashboard'!AN$14,
IF('SIR Model Patient Calcs'!B308&lt;'User Dashboard'!AJ$16,'User Dashboard'!AN$15,
'User Dashboard'!AN$16)),
IF('User Dashboard'!Z$12=2,
IF('SIR Model Patient Calcs'!B308&lt;'User Dashboard'!AJ$15,'User Dashboard'!AN$14,
'User Dashboard'!AN$15),
IF('User Dashboard'!Z$12=1,
'User Dashboard'!AN$14)))))</f>
        <v>15.209356603107825</v>
      </c>
      <c r="D308" s="668">
        <f>'User Dashboard'!X$16</f>
        <v>2.2072878851804097E-2</v>
      </c>
      <c r="E308" s="660">
        <f t="shared" si="37"/>
        <v>8.9862781521070385E-8</v>
      </c>
      <c r="F308" s="660">
        <f t="shared" si="44"/>
        <v>8.9862781521070385E-8</v>
      </c>
      <c r="G308" s="670">
        <f>1/'User Dashboard'!X$12</f>
        <v>0.14285714285714285</v>
      </c>
      <c r="H308" s="359">
        <f t="shared" si="38"/>
        <v>448258.01924176817</v>
      </c>
      <c r="I308" s="672">
        <f t="shared" si="41"/>
        <v>2.1568684419976894E-4</v>
      </c>
      <c r="J308" s="673">
        <f t="shared" si="39"/>
        <v>3287596.5805425439</v>
      </c>
      <c r="K308" s="359">
        <f t="shared" si="42"/>
        <v>3287596.5807582308</v>
      </c>
      <c r="L308" s="673">
        <f t="shared" si="43"/>
        <v>9.6810981631278992E-6</v>
      </c>
    </row>
    <row r="309" spans="1:12" x14ac:dyDescent="0.35">
      <c r="A309" s="287" t="str">
        <f t="shared" si="40"/>
        <v/>
      </c>
      <c r="B309" s="288">
        <v>302</v>
      </c>
      <c r="C309" s="667">
        <f>IF('User Dashboard'!Z$12=5,
IF('SIR Model Patient Calcs'!B309&lt;'User Dashboard'!AJ$15,'User Dashboard'!AN$14,
IF('SIR Model Patient Calcs'!B309&lt;'User Dashboard'!AJ$16,'User Dashboard'!AN$15,
IF('SIR Model Patient Calcs'!B309&lt;'User Dashboard'!AJ$17,'User Dashboard'!AN$16,
IF('SIR Model Patient Calcs'!B309&lt;'User Dashboard'!AJ$18,'User Dashboard'!AN$17,
'User Dashboard'!AN$18)))),
IF('User Dashboard'!Z$12=4,
IF('SIR Model Patient Calcs'!B309&lt;'User Dashboard'!AJ$15,'User Dashboard'!AN$14,
IF('SIR Model Patient Calcs'!B309&lt;'User Dashboard'!AJ$16,'User Dashboard'!AN$15,
IF('SIR Model Patient Calcs'!B309&lt;'User Dashboard'!AJ$17,'User Dashboard'!AN$16,
'User Dashboard'!AN$17))),
IF('User Dashboard'!Z$12=3,
IF('SIR Model Patient Calcs'!B309&lt;'User Dashboard'!AJ$15,'User Dashboard'!AN$14,
IF('SIR Model Patient Calcs'!B309&lt;'User Dashboard'!AJ$16,'User Dashboard'!AN$15,
'User Dashboard'!AN$16)),
IF('User Dashboard'!Z$12=2,
IF('SIR Model Patient Calcs'!B309&lt;'User Dashboard'!AJ$15,'User Dashboard'!AN$14,
'User Dashboard'!AN$15),
IF('User Dashboard'!Z$12=1,
'User Dashboard'!AN$14)))))</f>
        <v>15.209356603107825</v>
      </c>
      <c r="D309" s="668">
        <f>'User Dashboard'!X$16</f>
        <v>2.2072878851804097E-2</v>
      </c>
      <c r="E309" s="660">
        <f t="shared" si="37"/>
        <v>8.9862781521070385E-8</v>
      </c>
      <c r="F309" s="660">
        <f t="shared" si="44"/>
        <v>8.9862781521070385E-8</v>
      </c>
      <c r="G309" s="670">
        <f>1/'User Dashboard'!X$12</f>
        <v>0.14285714285714285</v>
      </c>
      <c r="H309" s="359">
        <f t="shared" si="38"/>
        <v>448258.01923307992</v>
      </c>
      <c r="I309" s="672">
        <f t="shared" si="41"/>
        <v>1.9356267332242905E-4</v>
      </c>
      <c r="J309" s="673">
        <f t="shared" si="39"/>
        <v>3287596.5805733562</v>
      </c>
      <c r="K309" s="359">
        <f t="shared" si="42"/>
        <v>3287596.5807669191</v>
      </c>
      <c r="L309" s="673">
        <f t="shared" si="43"/>
        <v>8.6883082985877991E-6</v>
      </c>
    </row>
    <row r="310" spans="1:12" x14ac:dyDescent="0.35">
      <c r="A310" s="287" t="str">
        <f t="shared" si="40"/>
        <v/>
      </c>
      <c r="B310" s="288">
        <v>303</v>
      </c>
      <c r="C310" s="667">
        <f>IF('User Dashboard'!Z$12=5,
IF('SIR Model Patient Calcs'!B310&lt;'User Dashboard'!AJ$15,'User Dashboard'!AN$14,
IF('SIR Model Patient Calcs'!B310&lt;'User Dashboard'!AJ$16,'User Dashboard'!AN$15,
IF('SIR Model Patient Calcs'!B310&lt;'User Dashboard'!AJ$17,'User Dashboard'!AN$16,
IF('SIR Model Patient Calcs'!B310&lt;'User Dashboard'!AJ$18,'User Dashboard'!AN$17,
'User Dashboard'!AN$18)))),
IF('User Dashboard'!Z$12=4,
IF('SIR Model Patient Calcs'!B310&lt;'User Dashboard'!AJ$15,'User Dashboard'!AN$14,
IF('SIR Model Patient Calcs'!B310&lt;'User Dashboard'!AJ$16,'User Dashboard'!AN$15,
IF('SIR Model Patient Calcs'!B310&lt;'User Dashboard'!AJ$17,'User Dashboard'!AN$16,
'User Dashboard'!AN$17))),
IF('User Dashboard'!Z$12=3,
IF('SIR Model Patient Calcs'!B310&lt;'User Dashboard'!AJ$15,'User Dashboard'!AN$14,
IF('SIR Model Patient Calcs'!B310&lt;'User Dashboard'!AJ$16,'User Dashboard'!AN$15,
'User Dashboard'!AN$16)),
IF('User Dashboard'!Z$12=2,
IF('SIR Model Patient Calcs'!B310&lt;'User Dashboard'!AJ$15,'User Dashboard'!AN$14,
'User Dashboard'!AN$15),
IF('User Dashboard'!Z$12=1,
'User Dashboard'!AN$14)))))</f>
        <v>15.209356603107825</v>
      </c>
      <c r="D310" s="668">
        <f>'User Dashboard'!X$16</f>
        <v>2.2072878851804097E-2</v>
      </c>
      <c r="E310" s="660">
        <f t="shared" si="37"/>
        <v>8.9862781521070385E-8</v>
      </c>
      <c r="F310" s="660">
        <f t="shared" si="44"/>
        <v>8.9862781521070385E-8</v>
      </c>
      <c r="G310" s="670">
        <f>1/'User Dashboard'!X$12</f>
        <v>0.14285714285714285</v>
      </c>
      <c r="H310" s="359">
        <f t="shared" si="38"/>
        <v>448258.01922528289</v>
      </c>
      <c r="I310" s="672">
        <f t="shared" si="41"/>
        <v>1.7370789879512239E-4</v>
      </c>
      <c r="J310" s="673">
        <f t="shared" si="39"/>
        <v>3287596.5806010081</v>
      </c>
      <c r="K310" s="359">
        <f t="shared" si="42"/>
        <v>3287596.5807747161</v>
      </c>
      <c r="L310" s="673">
        <f t="shared" si="43"/>
        <v>7.7970325946807861E-6</v>
      </c>
    </row>
    <row r="311" spans="1:12" x14ac:dyDescent="0.35">
      <c r="A311" s="287" t="str">
        <f t="shared" si="40"/>
        <v/>
      </c>
      <c r="B311" s="288">
        <v>304</v>
      </c>
      <c r="C311" s="667">
        <f>IF('User Dashboard'!Z$12=5,
IF('SIR Model Patient Calcs'!B311&lt;'User Dashboard'!AJ$15,'User Dashboard'!AN$14,
IF('SIR Model Patient Calcs'!B311&lt;'User Dashboard'!AJ$16,'User Dashboard'!AN$15,
IF('SIR Model Patient Calcs'!B311&lt;'User Dashboard'!AJ$17,'User Dashboard'!AN$16,
IF('SIR Model Patient Calcs'!B311&lt;'User Dashboard'!AJ$18,'User Dashboard'!AN$17,
'User Dashboard'!AN$18)))),
IF('User Dashboard'!Z$12=4,
IF('SIR Model Patient Calcs'!B311&lt;'User Dashboard'!AJ$15,'User Dashboard'!AN$14,
IF('SIR Model Patient Calcs'!B311&lt;'User Dashboard'!AJ$16,'User Dashboard'!AN$15,
IF('SIR Model Patient Calcs'!B311&lt;'User Dashboard'!AJ$17,'User Dashboard'!AN$16,
'User Dashboard'!AN$17))),
IF('User Dashboard'!Z$12=3,
IF('SIR Model Patient Calcs'!B311&lt;'User Dashboard'!AJ$15,'User Dashboard'!AN$14,
IF('SIR Model Patient Calcs'!B311&lt;'User Dashboard'!AJ$16,'User Dashboard'!AN$15,
'User Dashboard'!AN$16)),
IF('User Dashboard'!Z$12=2,
IF('SIR Model Patient Calcs'!B311&lt;'User Dashboard'!AJ$15,'User Dashboard'!AN$14,
'User Dashboard'!AN$15),
IF('User Dashboard'!Z$12=1,
'User Dashboard'!AN$14)))))</f>
        <v>15.209356603107825</v>
      </c>
      <c r="D311" s="668">
        <f>'User Dashboard'!X$16</f>
        <v>2.2072878851804097E-2</v>
      </c>
      <c r="E311" s="660">
        <f t="shared" si="37"/>
        <v>8.9862781521070372E-8</v>
      </c>
      <c r="F311" s="660">
        <f t="shared" si="44"/>
        <v>8.9862781521070385E-8</v>
      </c>
      <c r="G311" s="670">
        <f>1/'User Dashboard'!X$12</f>
        <v>0.14285714285714285</v>
      </c>
      <c r="H311" s="359">
        <f t="shared" si="38"/>
        <v>448258.01921828563</v>
      </c>
      <c r="I311" s="672">
        <f t="shared" si="41"/>
        <v>1.5588973631052068E-4</v>
      </c>
      <c r="J311" s="673">
        <f t="shared" si="39"/>
        <v>3287596.5806258237</v>
      </c>
      <c r="K311" s="359">
        <f t="shared" si="42"/>
        <v>3287596.5807817136</v>
      </c>
      <c r="L311" s="673">
        <f t="shared" si="43"/>
        <v>6.9974921643733978E-6</v>
      </c>
    </row>
    <row r="312" spans="1:12" x14ac:dyDescent="0.35">
      <c r="A312" s="287" t="str">
        <f t="shared" si="40"/>
        <v/>
      </c>
      <c r="B312" s="288">
        <v>305</v>
      </c>
      <c r="C312" s="667">
        <f>IF('User Dashboard'!Z$12=5,
IF('SIR Model Patient Calcs'!B312&lt;'User Dashboard'!AJ$15,'User Dashboard'!AN$14,
IF('SIR Model Patient Calcs'!B312&lt;'User Dashboard'!AJ$16,'User Dashboard'!AN$15,
IF('SIR Model Patient Calcs'!B312&lt;'User Dashboard'!AJ$17,'User Dashboard'!AN$16,
IF('SIR Model Patient Calcs'!B312&lt;'User Dashboard'!AJ$18,'User Dashboard'!AN$17,
'User Dashboard'!AN$18)))),
IF('User Dashboard'!Z$12=4,
IF('SIR Model Patient Calcs'!B312&lt;'User Dashboard'!AJ$15,'User Dashboard'!AN$14,
IF('SIR Model Patient Calcs'!B312&lt;'User Dashboard'!AJ$16,'User Dashboard'!AN$15,
IF('SIR Model Patient Calcs'!B312&lt;'User Dashboard'!AJ$17,'User Dashboard'!AN$16,
'User Dashboard'!AN$17))),
IF('User Dashboard'!Z$12=3,
IF('SIR Model Patient Calcs'!B312&lt;'User Dashboard'!AJ$15,'User Dashboard'!AN$14,
IF('SIR Model Patient Calcs'!B312&lt;'User Dashboard'!AJ$16,'User Dashboard'!AN$15,
'User Dashboard'!AN$16)),
IF('User Dashboard'!Z$12=2,
IF('SIR Model Patient Calcs'!B312&lt;'User Dashboard'!AJ$15,'User Dashboard'!AN$14,
'User Dashboard'!AN$15),
IF('User Dashboard'!Z$12=1,
'User Dashboard'!AN$14)))))</f>
        <v>15.209356603107825</v>
      </c>
      <c r="D312" s="668">
        <f>'User Dashboard'!X$16</f>
        <v>2.2072878851804097E-2</v>
      </c>
      <c r="E312" s="660">
        <f t="shared" si="37"/>
        <v>8.9862781521070385E-8</v>
      </c>
      <c r="F312" s="660">
        <f t="shared" si="44"/>
        <v>8.9862781521070385E-8</v>
      </c>
      <c r="G312" s="670">
        <f>1/'User Dashboard'!X$12</f>
        <v>0.14285714285714285</v>
      </c>
      <c r="H312" s="359">
        <f t="shared" si="38"/>
        <v>448258.01921200613</v>
      </c>
      <c r="I312" s="672">
        <f t="shared" si="41"/>
        <v>1.3989927951180202E-4</v>
      </c>
      <c r="J312" s="673">
        <f t="shared" si="39"/>
        <v>3287596.5806480935</v>
      </c>
      <c r="K312" s="359">
        <f t="shared" si="42"/>
        <v>3287596.5807879926</v>
      </c>
      <c r="L312" s="673">
        <f t="shared" si="43"/>
        <v>6.2789767980575562E-6</v>
      </c>
    </row>
    <row r="313" spans="1:12" x14ac:dyDescent="0.35">
      <c r="A313" s="287" t="str">
        <f t="shared" si="40"/>
        <v/>
      </c>
      <c r="B313" s="288">
        <v>306</v>
      </c>
      <c r="C313" s="667">
        <f>IF('User Dashboard'!Z$12=5,
IF('SIR Model Patient Calcs'!B313&lt;'User Dashboard'!AJ$15,'User Dashboard'!AN$14,
IF('SIR Model Patient Calcs'!B313&lt;'User Dashboard'!AJ$16,'User Dashboard'!AN$15,
IF('SIR Model Patient Calcs'!B313&lt;'User Dashboard'!AJ$17,'User Dashboard'!AN$16,
IF('SIR Model Patient Calcs'!B313&lt;'User Dashboard'!AJ$18,'User Dashboard'!AN$17,
'User Dashboard'!AN$18)))),
IF('User Dashboard'!Z$12=4,
IF('SIR Model Patient Calcs'!B313&lt;'User Dashboard'!AJ$15,'User Dashboard'!AN$14,
IF('SIR Model Patient Calcs'!B313&lt;'User Dashboard'!AJ$16,'User Dashboard'!AN$15,
IF('SIR Model Patient Calcs'!B313&lt;'User Dashboard'!AJ$17,'User Dashboard'!AN$16,
'User Dashboard'!AN$17))),
IF('User Dashboard'!Z$12=3,
IF('SIR Model Patient Calcs'!B313&lt;'User Dashboard'!AJ$15,'User Dashboard'!AN$14,
IF('SIR Model Patient Calcs'!B313&lt;'User Dashboard'!AJ$16,'User Dashboard'!AN$15,
'User Dashboard'!AN$16)),
IF('User Dashboard'!Z$12=2,
IF('SIR Model Patient Calcs'!B313&lt;'User Dashboard'!AJ$15,'User Dashboard'!AN$14,
'User Dashboard'!AN$15),
IF('User Dashboard'!Z$12=1,
'User Dashboard'!AN$14)))))</f>
        <v>15.209356603107825</v>
      </c>
      <c r="D313" s="668">
        <f>'User Dashboard'!X$16</f>
        <v>2.2072878851804097E-2</v>
      </c>
      <c r="E313" s="660">
        <f t="shared" si="37"/>
        <v>8.9862781521070372E-8</v>
      </c>
      <c r="F313" s="660">
        <f t="shared" si="44"/>
        <v>8.9862781521070385E-8</v>
      </c>
      <c r="G313" s="670">
        <f>1/'User Dashboard'!X$12</f>
        <v>0.14285714285714285</v>
      </c>
      <c r="H313" s="359">
        <f t="shared" si="38"/>
        <v>448258.01920637075</v>
      </c>
      <c r="I313" s="672">
        <f t="shared" si="41"/>
        <v>1.2554905070160248E-4</v>
      </c>
      <c r="J313" s="673">
        <f t="shared" si="39"/>
        <v>3287596.5806680792</v>
      </c>
      <c r="K313" s="359">
        <f t="shared" si="42"/>
        <v>3287596.5807936285</v>
      </c>
      <c r="L313" s="673">
        <f t="shared" si="43"/>
        <v>5.6358985602855682E-6</v>
      </c>
    </row>
    <row r="314" spans="1:12" x14ac:dyDescent="0.35">
      <c r="A314" s="287" t="str">
        <f t="shared" si="40"/>
        <v/>
      </c>
      <c r="B314" s="288">
        <v>307</v>
      </c>
      <c r="C314" s="667">
        <f>IF('User Dashboard'!Z$12=5,
IF('SIR Model Patient Calcs'!B314&lt;'User Dashboard'!AJ$15,'User Dashboard'!AN$14,
IF('SIR Model Patient Calcs'!B314&lt;'User Dashboard'!AJ$16,'User Dashboard'!AN$15,
IF('SIR Model Patient Calcs'!B314&lt;'User Dashboard'!AJ$17,'User Dashboard'!AN$16,
IF('SIR Model Patient Calcs'!B314&lt;'User Dashboard'!AJ$18,'User Dashboard'!AN$17,
'User Dashboard'!AN$18)))),
IF('User Dashboard'!Z$12=4,
IF('SIR Model Patient Calcs'!B314&lt;'User Dashboard'!AJ$15,'User Dashboard'!AN$14,
IF('SIR Model Patient Calcs'!B314&lt;'User Dashboard'!AJ$16,'User Dashboard'!AN$15,
IF('SIR Model Patient Calcs'!B314&lt;'User Dashboard'!AJ$17,'User Dashboard'!AN$16,
'User Dashboard'!AN$17))),
IF('User Dashboard'!Z$12=3,
IF('SIR Model Patient Calcs'!B314&lt;'User Dashboard'!AJ$15,'User Dashboard'!AN$14,
IF('SIR Model Patient Calcs'!B314&lt;'User Dashboard'!AJ$16,'User Dashboard'!AN$15,
'User Dashboard'!AN$16)),
IF('User Dashboard'!Z$12=2,
IF('SIR Model Patient Calcs'!B314&lt;'User Dashboard'!AJ$15,'User Dashboard'!AN$14,
'User Dashboard'!AN$15),
IF('User Dashboard'!Z$12=1,
'User Dashboard'!AN$14)))))</f>
        <v>15.209356603107825</v>
      </c>
      <c r="D314" s="668">
        <f>'User Dashboard'!X$16</f>
        <v>2.2072878851804097E-2</v>
      </c>
      <c r="E314" s="660">
        <f t="shared" si="37"/>
        <v>8.9862781521070385E-8</v>
      </c>
      <c r="F314" s="660">
        <f t="shared" si="44"/>
        <v>8.9862781521070385E-8</v>
      </c>
      <c r="G314" s="670">
        <f>1/'User Dashboard'!X$12</f>
        <v>0.14285714285714285</v>
      </c>
      <c r="H314" s="359">
        <f t="shared" si="38"/>
        <v>448258.01920131344</v>
      </c>
      <c r="I314" s="672">
        <f t="shared" si="41"/>
        <v>1.126708027880509E-4</v>
      </c>
      <c r="J314" s="673">
        <f t="shared" si="39"/>
        <v>3287596.5806860146</v>
      </c>
      <c r="K314" s="359">
        <f t="shared" si="42"/>
        <v>3287596.5807986856</v>
      </c>
      <c r="L314" s="673">
        <f t="shared" si="43"/>
        <v>5.0570815801620483E-6</v>
      </c>
    </row>
    <row r="315" spans="1:12" x14ac:dyDescent="0.35">
      <c r="A315" s="287" t="str">
        <f t="shared" si="40"/>
        <v/>
      </c>
      <c r="B315" s="288">
        <v>308</v>
      </c>
      <c r="C315" s="667">
        <f>IF('User Dashboard'!Z$12=5,
IF('SIR Model Patient Calcs'!B315&lt;'User Dashboard'!AJ$15,'User Dashboard'!AN$14,
IF('SIR Model Patient Calcs'!B315&lt;'User Dashboard'!AJ$16,'User Dashboard'!AN$15,
IF('SIR Model Patient Calcs'!B315&lt;'User Dashboard'!AJ$17,'User Dashboard'!AN$16,
IF('SIR Model Patient Calcs'!B315&lt;'User Dashboard'!AJ$18,'User Dashboard'!AN$17,
'User Dashboard'!AN$18)))),
IF('User Dashboard'!Z$12=4,
IF('SIR Model Patient Calcs'!B315&lt;'User Dashboard'!AJ$15,'User Dashboard'!AN$14,
IF('SIR Model Patient Calcs'!B315&lt;'User Dashboard'!AJ$16,'User Dashboard'!AN$15,
IF('SIR Model Patient Calcs'!B315&lt;'User Dashboard'!AJ$17,'User Dashboard'!AN$16,
'User Dashboard'!AN$17))),
IF('User Dashboard'!Z$12=3,
IF('SIR Model Patient Calcs'!B315&lt;'User Dashboard'!AJ$15,'User Dashboard'!AN$14,
IF('SIR Model Patient Calcs'!B315&lt;'User Dashboard'!AJ$16,'User Dashboard'!AN$15,
'User Dashboard'!AN$16)),
IF('User Dashboard'!Z$12=2,
IF('SIR Model Patient Calcs'!B315&lt;'User Dashboard'!AJ$15,'User Dashboard'!AN$14,
'User Dashboard'!AN$15),
IF('User Dashboard'!Z$12=1,
'User Dashboard'!AN$14)))))</f>
        <v>15.209356603107825</v>
      </c>
      <c r="D315" s="668">
        <f>'User Dashboard'!X$16</f>
        <v>2.2072878851804097E-2</v>
      </c>
      <c r="E315" s="660">
        <f t="shared" si="37"/>
        <v>8.9862781521070372E-8</v>
      </c>
      <c r="F315" s="660">
        <f t="shared" si="44"/>
        <v>8.9862781521070385E-8</v>
      </c>
      <c r="G315" s="670">
        <f>1/'User Dashboard'!X$12</f>
        <v>0.14285714285714285</v>
      </c>
      <c r="H315" s="359">
        <f t="shared" si="38"/>
        <v>448258.01919677487</v>
      </c>
      <c r="I315" s="672">
        <f t="shared" si="41"/>
        <v>1.0111354669713482E-4</v>
      </c>
      <c r="J315" s="673">
        <f t="shared" si="39"/>
        <v>3287596.5807021107</v>
      </c>
      <c r="K315" s="359">
        <f t="shared" si="42"/>
        <v>3287596.5808032244</v>
      </c>
      <c r="L315" s="673">
        <f t="shared" si="43"/>
        <v>4.5388005673885345E-6</v>
      </c>
    </row>
    <row r="316" spans="1:12" x14ac:dyDescent="0.35">
      <c r="A316" s="287" t="str">
        <f t="shared" si="40"/>
        <v/>
      </c>
      <c r="B316" s="288">
        <v>309</v>
      </c>
      <c r="C316" s="667">
        <f>IF('User Dashboard'!Z$12=5,
IF('SIR Model Patient Calcs'!B316&lt;'User Dashboard'!AJ$15,'User Dashboard'!AN$14,
IF('SIR Model Patient Calcs'!B316&lt;'User Dashboard'!AJ$16,'User Dashboard'!AN$15,
IF('SIR Model Patient Calcs'!B316&lt;'User Dashboard'!AJ$17,'User Dashboard'!AN$16,
IF('SIR Model Patient Calcs'!B316&lt;'User Dashboard'!AJ$18,'User Dashboard'!AN$17,
'User Dashboard'!AN$18)))),
IF('User Dashboard'!Z$12=4,
IF('SIR Model Patient Calcs'!B316&lt;'User Dashboard'!AJ$15,'User Dashboard'!AN$14,
IF('SIR Model Patient Calcs'!B316&lt;'User Dashboard'!AJ$16,'User Dashboard'!AN$15,
IF('SIR Model Patient Calcs'!B316&lt;'User Dashboard'!AJ$17,'User Dashboard'!AN$16,
'User Dashboard'!AN$17))),
IF('User Dashboard'!Z$12=3,
IF('SIR Model Patient Calcs'!B316&lt;'User Dashboard'!AJ$15,'User Dashboard'!AN$14,
IF('SIR Model Patient Calcs'!B316&lt;'User Dashboard'!AJ$16,'User Dashboard'!AN$15,
'User Dashboard'!AN$16)),
IF('User Dashboard'!Z$12=2,
IF('SIR Model Patient Calcs'!B316&lt;'User Dashboard'!AJ$15,'User Dashboard'!AN$14,
'User Dashboard'!AN$15),
IF('User Dashboard'!Z$12=1,
'User Dashboard'!AN$14)))))</f>
        <v>15.209356603107825</v>
      </c>
      <c r="D316" s="668">
        <f>'User Dashboard'!X$16</f>
        <v>2.2072878851804097E-2</v>
      </c>
      <c r="E316" s="660">
        <f t="shared" si="37"/>
        <v>8.9862781521070372E-8</v>
      </c>
      <c r="F316" s="660">
        <f t="shared" si="44"/>
        <v>8.9862781521070385E-8</v>
      </c>
      <c r="G316" s="670">
        <f>1/'User Dashboard'!X$12</f>
        <v>0.14285714285714285</v>
      </c>
      <c r="H316" s="359">
        <f t="shared" si="38"/>
        <v>448258.01919270185</v>
      </c>
      <c r="I316" s="672">
        <f t="shared" si="41"/>
        <v>9.074178112409171E-5</v>
      </c>
      <c r="J316" s="673">
        <f t="shared" si="39"/>
        <v>3287596.5807165555</v>
      </c>
      <c r="K316" s="359">
        <f t="shared" si="42"/>
        <v>3287596.580807297</v>
      </c>
      <c r="L316" s="673">
        <f t="shared" si="43"/>
        <v>4.0726736187934875E-6</v>
      </c>
    </row>
    <row r="317" spans="1:12" x14ac:dyDescent="0.35">
      <c r="A317" s="287" t="str">
        <f t="shared" si="40"/>
        <v/>
      </c>
      <c r="B317" s="288">
        <v>310</v>
      </c>
      <c r="C317" s="667">
        <f>IF('User Dashboard'!Z$12=5,
IF('SIR Model Patient Calcs'!B317&lt;'User Dashboard'!AJ$15,'User Dashboard'!AN$14,
IF('SIR Model Patient Calcs'!B317&lt;'User Dashboard'!AJ$16,'User Dashboard'!AN$15,
IF('SIR Model Patient Calcs'!B317&lt;'User Dashboard'!AJ$17,'User Dashboard'!AN$16,
IF('SIR Model Patient Calcs'!B317&lt;'User Dashboard'!AJ$18,'User Dashboard'!AN$17,
'User Dashboard'!AN$18)))),
IF('User Dashboard'!Z$12=4,
IF('SIR Model Patient Calcs'!B317&lt;'User Dashboard'!AJ$15,'User Dashboard'!AN$14,
IF('SIR Model Patient Calcs'!B317&lt;'User Dashboard'!AJ$16,'User Dashboard'!AN$15,
IF('SIR Model Patient Calcs'!B317&lt;'User Dashboard'!AJ$17,'User Dashboard'!AN$16,
'User Dashboard'!AN$17))),
IF('User Dashboard'!Z$12=3,
IF('SIR Model Patient Calcs'!B317&lt;'User Dashboard'!AJ$15,'User Dashboard'!AN$14,
IF('SIR Model Patient Calcs'!B317&lt;'User Dashboard'!AJ$16,'User Dashboard'!AN$15,
'User Dashboard'!AN$16)),
IF('User Dashboard'!Z$12=2,
IF('SIR Model Patient Calcs'!B317&lt;'User Dashboard'!AJ$15,'User Dashboard'!AN$14,
'User Dashboard'!AN$15),
IF('User Dashboard'!Z$12=1,
'User Dashboard'!AN$14)))))</f>
        <v>15.209356603107825</v>
      </c>
      <c r="D317" s="668">
        <f>'User Dashboard'!X$16</f>
        <v>2.2072878851804097E-2</v>
      </c>
      <c r="E317" s="660">
        <f t="shared" si="37"/>
        <v>8.9862781521070372E-8</v>
      </c>
      <c r="F317" s="660">
        <f t="shared" si="44"/>
        <v>8.9862781521070385E-8</v>
      </c>
      <c r="G317" s="670">
        <f>1/'User Dashboard'!X$12</f>
        <v>0.14285714285714285</v>
      </c>
      <c r="H317" s="359">
        <f t="shared" si="38"/>
        <v>448258.01918904664</v>
      </c>
      <c r="I317" s="672">
        <f t="shared" si="41"/>
        <v>8.1433903868812971E-5</v>
      </c>
      <c r="J317" s="673">
        <f t="shared" si="39"/>
        <v>3287596.5807295186</v>
      </c>
      <c r="K317" s="359">
        <f t="shared" si="42"/>
        <v>3287596.5808109525</v>
      </c>
      <c r="L317" s="673">
        <f t="shared" si="43"/>
        <v>3.6554411053657532E-6</v>
      </c>
    </row>
    <row r="318" spans="1:12" x14ac:dyDescent="0.35">
      <c r="A318" s="287" t="str">
        <f t="shared" si="40"/>
        <v/>
      </c>
      <c r="B318" s="288">
        <v>311</v>
      </c>
      <c r="C318" s="667">
        <f>IF('User Dashboard'!Z$12=5,
IF('SIR Model Patient Calcs'!B318&lt;'User Dashboard'!AJ$15,'User Dashboard'!AN$14,
IF('SIR Model Patient Calcs'!B318&lt;'User Dashboard'!AJ$16,'User Dashboard'!AN$15,
IF('SIR Model Patient Calcs'!B318&lt;'User Dashboard'!AJ$17,'User Dashboard'!AN$16,
IF('SIR Model Patient Calcs'!B318&lt;'User Dashboard'!AJ$18,'User Dashboard'!AN$17,
'User Dashboard'!AN$18)))),
IF('User Dashboard'!Z$12=4,
IF('SIR Model Patient Calcs'!B318&lt;'User Dashboard'!AJ$15,'User Dashboard'!AN$14,
IF('SIR Model Patient Calcs'!B318&lt;'User Dashboard'!AJ$16,'User Dashboard'!AN$15,
IF('SIR Model Patient Calcs'!B318&lt;'User Dashboard'!AJ$17,'User Dashboard'!AN$16,
'User Dashboard'!AN$17))),
IF('User Dashboard'!Z$12=3,
IF('SIR Model Patient Calcs'!B318&lt;'User Dashboard'!AJ$15,'User Dashboard'!AN$14,
IF('SIR Model Patient Calcs'!B318&lt;'User Dashboard'!AJ$16,'User Dashboard'!AN$15,
'User Dashboard'!AN$16)),
IF('User Dashboard'!Z$12=2,
IF('SIR Model Patient Calcs'!B318&lt;'User Dashboard'!AJ$15,'User Dashboard'!AN$14,
'User Dashboard'!AN$15),
IF('User Dashboard'!Z$12=1,
'User Dashboard'!AN$14)))))</f>
        <v>15.209356603107825</v>
      </c>
      <c r="D318" s="668">
        <f>'User Dashboard'!X$16</f>
        <v>2.2072878851804097E-2</v>
      </c>
      <c r="E318" s="660">
        <f t="shared" si="37"/>
        <v>8.9862781521070372E-8</v>
      </c>
      <c r="F318" s="660">
        <f t="shared" si="44"/>
        <v>8.9862781521070385E-8</v>
      </c>
      <c r="G318" s="670">
        <f>1/'User Dashboard'!X$12</f>
        <v>0.14285714285714285</v>
      </c>
      <c r="H318" s="359">
        <f t="shared" si="38"/>
        <v>448258.01918576634</v>
      </c>
      <c r="I318" s="672">
        <f t="shared" si="41"/>
        <v>7.308078612920245E-5</v>
      </c>
      <c r="J318" s="673">
        <f t="shared" si="39"/>
        <v>3287596.5807411522</v>
      </c>
      <c r="K318" s="359">
        <f t="shared" si="42"/>
        <v>3287596.580814233</v>
      </c>
      <c r="L318" s="673">
        <f t="shared" si="43"/>
        <v>3.2805837690830231E-6</v>
      </c>
    </row>
    <row r="319" spans="1:12" x14ac:dyDescent="0.35">
      <c r="A319" s="287" t="str">
        <f t="shared" si="40"/>
        <v/>
      </c>
      <c r="B319" s="288">
        <v>312</v>
      </c>
      <c r="C319" s="667">
        <f>IF('User Dashboard'!Z$12=5,
IF('SIR Model Patient Calcs'!B319&lt;'User Dashboard'!AJ$15,'User Dashboard'!AN$14,
IF('SIR Model Patient Calcs'!B319&lt;'User Dashboard'!AJ$16,'User Dashboard'!AN$15,
IF('SIR Model Patient Calcs'!B319&lt;'User Dashboard'!AJ$17,'User Dashboard'!AN$16,
IF('SIR Model Patient Calcs'!B319&lt;'User Dashboard'!AJ$18,'User Dashboard'!AN$17,
'User Dashboard'!AN$18)))),
IF('User Dashboard'!Z$12=4,
IF('SIR Model Patient Calcs'!B319&lt;'User Dashboard'!AJ$15,'User Dashboard'!AN$14,
IF('SIR Model Patient Calcs'!B319&lt;'User Dashboard'!AJ$16,'User Dashboard'!AN$15,
IF('SIR Model Patient Calcs'!B319&lt;'User Dashboard'!AJ$17,'User Dashboard'!AN$16,
'User Dashboard'!AN$17))),
IF('User Dashboard'!Z$12=3,
IF('SIR Model Patient Calcs'!B319&lt;'User Dashboard'!AJ$15,'User Dashboard'!AN$14,
IF('SIR Model Patient Calcs'!B319&lt;'User Dashboard'!AJ$16,'User Dashboard'!AN$15,
'User Dashboard'!AN$16)),
IF('User Dashboard'!Z$12=2,
IF('SIR Model Patient Calcs'!B319&lt;'User Dashboard'!AJ$15,'User Dashboard'!AN$14,
'User Dashboard'!AN$15),
IF('User Dashboard'!Z$12=1,
'User Dashboard'!AN$14)))))</f>
        <v>15.209356603107825</v>
      </c>
      <c r="D319" s="668">
        <f>'User Dashboard'!X$16</f>
        <v>2.2072878851804097E-2</v>
      </c>
      <c r="E319" s="660">
        <f t="shared" si="37"/>
        <v>8.9862781521070372E-8</v>
      </c>
      <c r="F319" s="660">
        <f t="shared" si="44"/>
        <v>8.9862781521070385E-8</v>
      </c>
      <c r="G319" s="670">
        <f>1/'User Dashboard'!X$12</f>
        <v>0.14285714285714285</v>
      </c>
      <c r="H319" s="359">
        <f t="shared" si="38"/>
        <v>448258.01918282255</v>
      </c>
      <c r="I319" s="672">
        <f t="shared" si="41"/>
        <v>6.558449303700715E-5</v>
      </c>
      <c r="J319" s="673">
        <f t="shared" si="39"/>
        <v>3287596.5807515923</v>
      </c>
      <c r="K319" s="359">
        <f t="shared" si="42"/>
        <v>3287596.580817177</v>
      </c>
      <c r="L319" s="673">
        <f t="shared" si="43"/>
        <v>2.9439106583595276E-6</v>
      </c>
    </row>
    <row r="320" spans="1:12" x14ac:dyDescent="0.35">
      <c r="A320" s="287" t="str">
        <f t="shared" si="40"/>
        <v/>
      </c>
      <c r="B320" s="288">
        <v>313</v>
      </c>
      <c r="C320" s="667">
        <f>IF('User Dashboard'!Z$12=5,
IF('SIR Model Patient Calcs'!B320&lt;'User Dashboard'!AJ$15,'User Dashboard'!AN$14,
IF('SIR Model Patient Calcs'!B320&lt;'User Dashboard'!AJ$16,'User Dashboard'!AN$15,
IF('SIR Model Patient Calcs'!B320&lt;'User Dashboard'!AJ$17,'User Dashboard'!AN$16,
IF('SIR Model Patient Calcs'!B320&lt;'User Dashboard'!AJ$18,'User Dashboard'!AN$17,
'User Dashboard'!AN$18)))),
IF('User Dashboard'!Z$12=4,
IF('SIR Model Patient Calcs'!B320&lt;'User Dashboard'!AJ$15,'User Dashboard'!AN$14,
IF('SIR Model Patient Calcs'!B320&lt;'User Dashboard'!AJ$16,'User Dashboard'!AN$15,
IF('SIR Model Patient Calcs'!B320&lt;'User Dashboard'!AJ$17,'User Dashboard'!AN$16,
'User Dashboard'!AN$17))),
IF('User Dashboard'!Z$12=3,
IF('SIR Model Patient Calcs'!B320&lt;'User Dashboard'!AJ$15,'User Dashboard'!AN$14,
IF('SIR Model Patient Calcs'!B320&lt;'User Dashboard'!AJ$16,'User Dashboard'!AN$15,
'User Dashboard'!AN$16)),
IF('User Dashboard'!Z$12=2,
IF('SIR Model Patient Calcs'!B320&lt;'User Dashboard'!AJ$15,'User Dashboard'!AN$14,
'User Dashboard'!AN$15),
IF('User Dashboard'!Z$12=1,
'User Dashboard'!AN$14)))))</f>
        <v>15.209356603107825</v>
      </c>
      <c r="D320" s="668">
        <f>'User Dashboard'!X$16</f>
        <v>2.2072878851804097E-2</v>
      </c>
      <c r="E320" s="660">
        <f t="shared" si="37"/>
        <v>8.9862781521070372E-8</v>
      </c>
      <c r="F320" s="660">
        <f t="shared" si="44"/>
        <v>8.9862781521070385E-8</v>
      </c>
      <c r="G320" s="670">
        <f>1/'User Dashboard'!X$12</f>
        <v>0.14285714285714285</v>
      </c>
      <c r="H320" s="359">
        <f t="shared" si="38"/>
        <v>448258.01918018068</v>
      </c>
      <c r="I320" s="672">
        <f t="shared" si="41"/>
        <v>5.8857135435235817E-5</v>
      </c>
      <c r="J320" s="673">
        <f t="shared" si="39"/>
        <v>3287596.5807609614</v>
      </c>
      <c r="K320" s="359">
        <f t="shared" si="42"/>
        <v>3287596.5808198187</v>
      </c>
      <c r="L320" s="673">
        <f t="shared" si="43"/>
        <v>2.6416964828968048E-6</v>
      </c>
    </row>
    <row r="321" spans="1:12" x14ac:dyDescent="0.35">
      <c r="A321" s="287" t="str">
        <f t="shared" si="40"/>
        <v/>
      </c>
      <c r="B321" s="288">
        <v>314</v>
      </c>
      <c r="C321" s="667">
        <f>IF('User Dashboard'!Z$12=5,
IF('SIR Model Patient Calcs'!B321&lt;'User Dashboard'!AJ$15,'User Dashboard'!AN$14,
IF('SIR Model Patient Calcs'!B321&lt;'User Dashboard'!AJ$16,'User Dashboard'!AN$15,
IF('SIR Model Patient Calcs'!B321&lt;'User Dashboard'!AJ$17,'User Dashboard'!AN$16,
IF('SIR Model Patient Calcs'!B321&lt;'User Dashboard'!AJ$18,'User Dashboard'!AN$17,
'User Dashboard'!AN$18)))),
IF('User Dashboard'!Z$12=4,
IF('SIR Model Patient Calcs'!B321&lt;'User Dashboard'!AJ$15,'User Dashboard'!AN$14,
IF('SIR Model Patient Calcs'!B321&lt;'User Dashboard'!AJ$16,'User Dashboard'!AN$15,
IF('SIR Model Patient Calcs'!B321&lt;'User Dashboard'!AJ$17,'User Dashboard'!AN$16,
'User Dashboard'!AN$17))),
IF('User Dashboard'!Z$12=3,
IF('SIR Model Patient Calcs'!B321&lt;'User Dashboard'!AJ$15,'User Dashboard'!AN$14,
IF('SIR Model Patient Calcs'!B321&lt;'User Dashboard'!AJ$16,'User Dashboard'!AN$15,
'User Dashboard'!AN$16)),
IF('User Dashboard'!Z$12=2,
IF('SIR Model Patient Calcs'!B321&lt;'User Dashboard'!AJ$15,'User Dashboard'!AN$14,
'User Dashboard'!AN$15),
IF('User Dashboard'!Z$12=1,
'User Dashboard'!AN$14)))))</f>
        <v>15.209356603107825</v>
      </c>
      <c r="D321" s="668">
        <f>'User Dashboard'!X$16</f>
        <v>2.2072878851804097E-2</v>
      </c>
      <c r="E321" s="660">
        <f t="shared" si="37"/>
        <v>8.9862781521070372E-8</v>
      </c>
      <c r="F321" s="660">
        <f t="shared" si="44"/>
        <v>8.9862781521070385E-8</v>
      </c>
      <c r="G321" s="670">
        <f>1/'User Dashboard'!X$12</f>
        <v>0.14285714285714285</v>
      </c>
      <c r="H321" s="359">
        <f t="shared" si="38"/>
        <v>448258.01917780982</v>
      </c>
      <c r="I321" s="672">
        <f t="shared" si="41"/>
        <v>5.2819839435002774E-5</v>
      </c>
      <c r="J321" s="673">
        <f t="shared" si="39"/>
        <v>3287596.5807693694</v>
      </c>
      <c r="K321" s="359">
        <f t="shared" si="42"/>
        <v>3287596.5808221893</v>
      </c>
      <c r="L321" s="673">
        <f t="shared" si="43"/>
        <v>2.3706816136837006E-6</v>
      </c>
    </row>
    <row r="322" spans="1:12" x14ac:dyDescent="0.35">
      <c r="A322" s="287" t="str">
        <f t="shared" si="40"/>
        <v/>
      </c>
      <c r="B322" s="288">
        <v>315</v>
      </c>
      <c r="C322" s="667">
        <f>IF('User Dashboard'!Z$12=5,
IF('SIR Model Patient Calcs'!B322&lt;'User Dashboard'!AJ$15,'User Dashboard'!AN$14,
IF('SIR Model Patient Calcs'!B322&lt;'User Dashboard'!AJ$16,'User Dashboard'!AN$15,
IF('SIR Model Patient Calcs'!B322&lt;'User Dashboard'!AJ$17,'User Dashboard'!AN$16,
IF('SIR Model Patient Calcs'!B322&lt;'User Dashboard'!AJ$18,'User Dashboard'!AN$17,
'User Dashboard'!AN$18)))),
IF('User Dashboard'!Z$12=4,
IF('SIR Model Patient Calcs'!B322&lt;'User Dashboard'!AJ$15,'User Dashboard'!AN$14,
IF('SIR Model Patient Calcs'!B322&lt;'User Dashboard'!AJ$16,'User Dashboard'!AN$15,
IF('SIR Model Patient Calcs'!B322&lt;'User Dashboard'!AJ$17,'User Dashboard'!AN$16,
'User Dashboard'!AN$17))),
IF('User Dashboard'!Z$12=3,
IF('SIR Model Patient Calcs'!B322&lt;'User Dashboard'!AJ$15,'User Dashboard'!AN$14,
IF('SIR Model Patient Calcs'!B322&lt;'User Dashboard'!AJ$16,'User Dashboard'!AN$15,
'User Dashboard'!AN$16)),
IF('User Dashboard'!Z$12=2,
IF('SIR Model Patient Calcs'!B322&lt;'User Dashboard'!AJ$15,'User Dashboard'!AN$14,
'User Dashboard'!AN$15),
IF('User Dashboard'!Z$12=1,
'User Dashboard'!AN$14)))))</f>
        <v>15.209356603107825</v>
      </c>
      <c r="D322" s="668">
        <f>'User Dashboard'!X$16</f>
        <v>2.2072878851804097E-2</v>
      </c>
      <c r="E322" s="660">
        <f t="shared" si="37"/>
        <v>8.9862781521070385E-8</v>
      </c>
      <c r="F322" s="660">
        <f t="shared" si="44"/>
        <v>8.9862781521070385E-8</v>
      </c>
      <c r="G322" s="670">
        <f>1/'User Dashboard'!X$12</f>
        <v>0.14285714285714285</v>
      </c>
      <c r="H322" s="359">
        <f t="shared" si="38"/>
        <v>448258.01917568216</v>
      </c>
      <c r="I322" s="672">
        <f t="shared" si="41"/>
        <v>4.7401821670522043E-5</v>
      </c>
      <c r="J322" s="673">
        <f t="shared" si="39"/>
        <v>3287596.580776915</v>
      </c>
      <c r="K322" s="359">
        <f t="shared" si="42"/>
        <v>3287596.5808243169</v>
      </c>
      <c r="L322" s="673">
        <f t="shared" si="43"/>
        <v>2.1276064217090607E-6</v>
      </c>
    </row>
    <row r="323" spans="1:12" x14ac:dyDescent="0.35">
      <c r="A323" s="287" t="str">
        <f t="shared" si="40"/>
        <v/>
      </c>
      <c r="B323" s="288">
        <v>316</v>
      </c>
      <c r="C323" s="667">
        <f>IF('User Dashboard'!Z$12=5,
IF('SIR Model Patient Calcs'!B323&lt;'User Dashboard'!AJ$15,'User Dashboard'!AN$14,
IF('SIR Model Patient Calcs'!B323&lt;'User Dashboard'!AJ$16,'User Dashboard'!AN$15,
IF('SIR Model Patient Calcs'!B323&lt;'User Dashboard'!AJ$17,'User Dashboard'!AN$16,
IF('SIR Model Patient Calcs'!B323&lt;'User Dashboard'!AJ$18,'User Dashboard'!AN$17,
'User Dashboard'!AN$18)))),
IF('User Dashboard'!Z$12=4,
IF('SIR Model Patient Calcs'!B323&lt;'User Dashboard'!AJ$15,'User Dashboard'!AN$14,
IF('SIR Model Patient Calcs'!B323&lt;'User Dashboard'!AJ$16,'User Dashboard'!AN$15,
IF('SIR Model Patient Calcs'!B323&lt;'User Dashboard'!AJ$17,'User Dashboard'!AN$16,
'User Dashboard'!AN$17))),
IF('User Dashboard'!Z$12=3,
IF('SIR Model Patient Calcs'!B323&lt;'User Dashboard'!AJ$15,'User Dashboard'!AN$14,
IF('SIR Model Patient Calcs'!B323&lt;'User Dashboard'!AJ$16,'User Dashboard'!AN$15,
'User Dashboard'!AN$16)),
IF('User Dashboard'!Z$12=2,
IF('SIR Model Patient Calcs'!B323&lt;'User Dashboard'!AJ$15,'User Dashboard'!AN$14,
'User Dashboard'!AN$15),
IF('User Dashboard'!Z$12=1,
'User Dashboard'!AN$14)))))</f>
        <v>15.209356603107825</v>
      </c>
      <c r="D323" s="668">
        <f>'User Dashboard'!X$16</f>
        <v>2.2072878851804097E-2</v>
      </c>
      <c r="E323" s="660">
        <f t="shared" si="37"/>
        <v>8.9862781521070385E-8</v>
      </c>
      <c r="F323" s="660">
        <f t="shared" si="44"/>
        <v>8.9862781521070385E-8</v>
      </c>
      <c r="G323" s="670">
        <f>1/'User Dashboard'!X$12</f>
        <v>0.14285714285714285</v>
      </c>
      <c r="H323" s="359">
        <f t="shared" si="38"/>
        <v>448258.01917377271</v>
      </c>
      <c r="I323" s="672">
        <f t="shared" si="41"/>
        <v>4.2539559410218351E-5</v>
      </c>
      <c r="J323" s="673">
        <f t="shared" si="39"/>
        <v>3287596.5807836866</v>
      </c>
      <c r="K323" s="359">
        <f t="shared" si="42"/>
        <v>3287596.5808262262</v>
      </c>
      <c r="L323" s="673">
        <f t="shared" si="43"/>
        <v>1.909211277961731E-6</v>
      </c>
    </row>
    <row r="324" spans="1:12" x14ac:dyDescent="0.35">
      <c r="A324" s="287" t="str">
        <f t="shared" si="40"/>
        <v/>
      </c>
      <c r="B324" s="288">
        <v>317</v>
      </c>
      <c r="C324" s="667">
        <f>IF('User Dashboard'!Z$12=5,
IF('SIR Model Patient Calcs'!B324&lt;'User Dashboard'!AJ$15,'User Dashboard'!AN$14,
IF('SIR Model Patient Calcs'!B324&lt;'User Dashboard'!AJ$16,'User Dashboard'!AN$15,
IF('SIR Model Patient Calcs'!B324&lt;'User Dashboard'!AJ$17,'User Dashboard'!AN$16,
IF('SIR Model Patient Calcs'!B324&lt;'User Dashboard'!AJ$18,'User Dashboard'!AN$17,
'User Dashboard'!AN$18)))),
IF('User Dashboard'!Z$12=4,
IF('SIR Model Patient Calcs'!B324&lt;'User Dashboard'!AJ$15,'User Dashboard'!AN$14,
IF('SIR Model Patient Calcs'!B324&lt;'User Dashboard'!AJ$16,'User Dashboard'!AN$15,
IF('SIR Model Patient Calcs'!B324&lt;'User Dashboard'!AJ$17,'User Dashboard'!AN$16,
'User Dashboard'!AN$17))),
IF('User Dashboard'!Z$12=3,
IF('SIR Model Patient Calcs'!B324&lt;'User Dashboard'!AJ$15,'User Dashboard'!AN$14,
IF('SIR Model Patient Calcs'!B324&lt;'User Dashboard'!AJ$16,'User Dashboard'!AN$15,
'User Dashboard'!AN$16)),
IF('User Dashboard'!Z$12=2,
IF('SIR Model Patient Calcs'!B324&lt;'User Dashboard'!AJ$15,'User Dashboard'!AN$14,
'User Dashboard'!AN$15),
IF('User Dashboard'!Z$12=1,
'User Dashboard'!AN$14)))))</f>
        <v>15.209356603107825</v>
      </c>
      <c r="D324" s="668">
        <f>'User Dashboard'!X$16</f>
        <v>2.2072878851804097E-2</v>
      </c>
      <c r="E324" s="660">
        <f t="shared" si="37"/>
        <v>8.9862781521070385E-8</v>
      </c>
      <c r="F324" s="660">
        <f t="shared" si="44"/>
        <v>8.9862781521070372E-8</v>
      </c>
      <c r="G324" s="670">
        <f>1/'User Dashboard'!X$12</f>
        <v>0.14285714285714285</v>
      </c>
      <c r="H324" s="359">
        <f t="shared" si="38"/>
        <v>448258.01917205914</v>
      </c>
      <c r="I324" s="672">
        <f t="shared" si="41"/>
        <v>3.8176045794048087E-5</v>
      </c>
      <c r="J324" s="673">
        <f t="shared" si="39"/>
        <v>3287596.5807897635</v>
      </c>
      <c r="K324" s="359">
        <f t="shared" si="42"/>
        <v>3287596.5808279393</v>
      </c>
      <c r="L324" s="673">
        <f t="shared" si="43"/>
        <v>1.7131678760051727E-6</v>
      </c>
    </row>
    <row r="325" spans="1:12" x14ac:dyDescent="0.35">
      <c r="A325" s="287" t="str">
        <f t="shared" si="40"/>
        <v/>
      </c>
      <c r="B325" s="288">
        <v>318</v>
      </c>
      <c r="C325" s="667">
        <f>IF('User Dashboard'!Z$12=5,
IF('SIR Model Patient Calcs'!B325&lt;'User Dashboard'!AJ$15,'User Dashboard'!AN$14,
IF('SIR Model Patient Calcs'!B325&lt;'User Dashboard'!AJ$16,'User Dashboard'!AN$15,
IF('SIR Model Patient Calcs'!B325&lt;'User Dashboard'!AJ$17,'User Dashboard'!AN$16,
IF('SIR Model Patient Calcs'!B325&lt;'User Dashboard'!AJ$18,'User Dashboard'!AN$17,
'User Dashboard'!AN$18)))),
IF('User Dashboard'!Z$12=4,
IF('SIR Model Patient Calcs'!B325&lt;'User Dashboard'!AJ$15,'User Dashboard'!AN$14,
IF('SIR Model Patient Calcs'!B325&lt;'User Dashboard'!AJ$16,'User Dashboard'!AN$15,
IF('SIR Model Patient Calcs'!B325&lt;'User Dashboard'!AJ$17,'User Dashboard'!AN$16,
'User Dashboard'!AN$17))),
IF('User Dashboard'!Z$12=3,
IF('SIR Model Patient Calcs'!B325&lt;'User Dashboard'!AJ$15,'User Dashboard'!AN$14,
IF('SIR Model Patient Calcs'!B325&lt;'User Dashboard'!AJ$16,'User Dashboard'!AN$15,
'User Dashboard'!AN$16)),
IF('User Dashboard'!Z$12=2,
IF('SIR Model Patient Calcs'!B325&lt;'User Dashboard'!AJ$15,'User Dashboard'!AN$14,
'User Dashboard'!AN$15),
IF('User Dashboard'!Z$12=1,
'User Dashboard'!AN$14)))))</f>
        <v>15.209356603107825</v>
      </c>
      <c r="D325" s="668">
        <f>'User Dashboard'!X$16</f>
        <v>2.2072878851804097E-2</v>
      </c>
      <c r="E325" s="660">
        <f t="shared" si="37"/>
        <v>8.9862781521070385E-8</v>
      </c>
      <c r="F325" s="660">
        <f t="shared" si="44"/>
        <v>8.9862781521070372E-8</v>
      </c>
      <c r="G325" s="670">
        <f>1/'User Dashboard'!X$12</f>
        <v>0.14285714285714285</v>
      </c>
      <c r="H325" s="359">
        <f t="shared" si="38"/>
        <v>448258.01917052135</v>
      </c>
      <c r="I325" s="672">
        <f t="shared" si="41"/>
        <v>3.4260121465172597E-5</v>
      </c>
      <c r="J325" s="673">
        <f t="shared" si="39"/>
        <v>3287596.5807952173</v>
      </c>
      <c r="K325" s="359">
        <f t="shared" si="42"/>
        <v>3287596.5808294774</v>
      </c>
      <c r="L325" s="673">
        <f t="shared" si="43"/>
        <v>1.5380792319774628E-6</v>
      </c>
    </row>
    <row r="326" spans="1:12" x14ac:dyDescent="0.35">
      <c r="A326" s="287" t="str">
        <f t="shared" si="40"/>
        <v/>
      </c>
      <c r="B326" s="288">
        <v>319</v>
      </c>
      <c r="C326" s="667">
        <f>IF('User Dashboard'!Z$12=5,
IF('SIR Model Patient Calcs'!B326&lt;'User Dashboard'!AJ$15,'User Dashboard'!AN$14,
IF('SIR Model Patient Calcs'!B326&lt;'User Dashboard'!AJ$16,'User Dashboard'!AN$15,
IF('SIR Model Patient Calcs'!B326&lt;'User Dashboard'!AJ$17,'User Dashboard'!AN$16,
IF('SIR Model Patient Calcs'!B326&lt;'User Dashboard'!AJ$18,'User Dashboard'!AN$17,
'User Dashboard'!AN$18)))),
IF('User Dashboard'!Z$12=4,
IF('SIR Model Patient Calcs'!B326&lt;'User Dashboard'!AJ$15,'User Dashboard'!AN$14,
IF('SIR Model Patient Calcs'!B326&lt;'User Dashboard'!AJ$16,'User Dashboard'!AN$15,
IF('SIR Model Patient Calcs'!B326&lt;'User Dashboard'!AJ$17,'User Dashboard'!AN$16,
'User Dashboard'!AN$17))),
IF('User Dashboard'!Z$12=3,
IF('SIR Model Patient Calcs'!B326&lt;'User Dashboard'!AJ$15,'User Dashboard'!AN$14,
IF('SIR Model Patient Calcs'!B326&lt;'User Dashboard'!AJ$16,'User Dashboard'!AN$15,
'User Dashboard'!AN$16)),
IF('User Dashboard'!Z$12=2,
IF('SIR Model Patient Calcs'!B326&lt;'User Dashboard'!AJ$15,'User Dashboard'!AN$14,
'User Dashboard'!AN$15),
IF('User Dashboard'!Z$12=1,
'User Dashboard'!AN$14)))))</f>
        <v>15.209356603107825</v>
      </c>
      <c r="D326" s="668">
        <f>'User Dashboard'!X$16</f>
        <v>2.2072878851804097E-2</v>
      </c>
      <c r="E326" s="660">
        <f t="shared" si="37"/>
        <v>8.9862781521070385E-8</v>
      </c>
      <c r="F326" s="660">
        <f t="shared" si="44"/>
        <v>8.9862781521070385E-8</v>
      </c>
      <c r="G326" s="670">
        <f>1/'User Dashboard'!X$12</f>
        <v>0.14285714285714285</v>
      </c>
      <c r="H326" s="359">
        <f t="shared" si="38"/>
        <v>448258.01916914131</v>
      </c>
      <c r="I326" s="672">
        <f t="shared" si="41"/>
        <v>3.0745874759800191E-5</v>
      </c>
      <c r="J326" s="673">
        <f t="shared" si="39"/>
        <v>3287596.5808001114</v>
      </c>
      <c r="K326" s="359">
        <f t="shared" si="42"/>
        <v>3287596.5808308572</v>
      </c>
      <c r="L326" s="673">
        <f t="shared" si="43"/>
        <v>1.3797543942928314E-6</v>
      </c>
    </row>
    <row r="327" spans="1:12" x14ac:dyDescent="0.35">
      <c r="A327" s="287" t="str">
        <f t="shared" si="40"/>
        <v/>
      </c>
      <c r="B327" s="288">
        <v>320</v>
      </c>
      <c r="C327" s="667">
        <f>IF('User Dashboard'!Z$12=5,
IF('SIR Model Patient Calcs'!B327&lt;'User Dashboard'!AJ$15,'User Dashboard'!AN$14,
IF('SIR Model Patient Calcs'!B327&lt;'User Dashboard'!AJ$16,'User Dashboard'!AN$15,
IF('SIR Model Patient Calcs'!B327&lt;'User Dashboard'!AJ$17,'User Dashboard'!AN$16,
IF('SIR Model Patient Calcs'!B327&lt;'User Dashboard'!AJ$18,'User Dashboard'!AN$17,
'User Dashboard'!AN$18)))),
IF('User Dashboard'!Z$12=4,
IF('SIR Model Patient Calcs'!B327&lt;'User Dashboard'!AJ$15,'User Dashboard'!AN$14,
IF('SIR Model Patient Calcs'!B327&lt;'User Dashboard'!AJ$16,'User Dashboard'!AN$15,
IF('SIR Model Patient Calcs'!B327&lt;'User Dashboard'!AJ$17,'User Dashboard'!AN$16,
'User Dashboard'!AN$17))),
IF('User Dashboard'!Z$12=3,
IF('SIR Model Patient Calcs'!B327&lt;'User Dashboard'!AJ$15,'User Dashboard'!AN$14,
IF('SIR Model Patient Calcs'!B327&lt;'User Dashboard'!AJ$16,'User Dashboard'!AN$15,
'User Dashboard'!AN$16)),
IF('User Dashboard'!Z$12=2,
IF('SIR Model Patient Calcs'!B327&lt;'User Dashboard'!AJ$15,'User Dashboard'!AN$14,
'User Dashboard'!AN$15),
IF('User Dashboard'!Z$12=1,
'User Dashboard'!AN$14)))))</f>
        <v>15.209356603107825</v>
      </c>
      <c r="D327" s="668">
        <f>'User Dashboard'!X$16</f>
        <v>2.2072878851804097E-2</v>
      </c>
      <c r="E327" s="660">
        <f t="shared" ref="E327:E372" si="45">(C327*D327)/SUM(H327:J327)</f>
        <v>8.9862781521070385E-8</v>
      </c>
      <c r="F327" s="660">
        <f t="shared" si="44"/>
        <v>8.9862781521070385E-8</v>
      </c>
      <c r="G327" s="670">
        <f>1/'User Dashboard'!X$12</f>
        <v>0.14285714285714285</v>
      </c>
      <c r="H327" s="359">
        <f t="shared" si="38"/>
        <v>448258.01916790282</v>
      </c>
      <c r="I327" s="672">
        <f t="shared" si="41"/>
        <v>2.7592103422813288E-5</v>
      </c>
      <c r="J327" s="673">
        <f t="shared" si="39"/>
        <v>3287596.5808045035</v>
      </c>
      <c r="K327" s="359">
        <f t="shared" si="42"/>
        <v>3287596.5808320958</v>
      </c>
      <c r="L327" s="673">
        <f t="shared" si="43"/>
        <v>1.2386590242385864E-6</v>
      </c>
    </row>
    <row r="328" spans="1:12" x14ac:dyDescent="0.35">
      <c r="A328" s="287" t="str">
        <f t="shared" si="40"/>
        <v/>
      </c>
      <c r="B328" s="288">
        <v>321</v>
      </c>
      <c r="C328" s="667">
        <f>IF('User Dashboard'!Z$12=5,
IF('SIR Model Patient Calcs'!B328&lt;'User Dashboard'!AJ$15,'User Dashboard'!AN$14,
IF('SIR Model Patient Calcs'!B328&lt;'User Dashboard'!AJ$16,'User Dashboard'!AN$15,
IF('SIR Model Patient Calcs'!B328&lt;'User Dashboard'!AJ$17,'User Dashboard'!AN$16,
IF('SIR Model Patient Calcs'!B328&lt;'User Dashboard'!AJ$18,'User Dashboard'!AN$17,
'User Dashboard'!AN$18)))),
IF('User Dashboard'!Z$12=4,
IF('SIR Model Patient Calcs'!B328&lt;'User Dashboard'!AJ$15,'User Dashboard'!AN$14,
IF('SIR Model Patient Calcs'!B328&lt;'User Dashboard'!AJ$16,'User Dashboard'!AN$15,
IF('SIR Model Patient Calcs'!B328&lt;'User Dashboard'!AJ$17,'User Dashboard'!AN$16,
'User Dashboard'!AN$17))),
IF('User Dashboard'!Z$12=3,
IF('SIR Model Patient Calcs'!B328&lt;'User Dashboard'!AJ$15,'User Dashboard'!AN$14,
IF('SIR Model Patient Calcs'!B328&lt;'User Dashboard'!AJ$16,'User Dashboard'!AN$15,
'User Dashboard'!AN$16)),
IF('User Dashboard'!Z$12=2,
IF('SIR Model Patient Calcs'!B328&lt;'User Dashboard'!AJ$15,'User Dashboard'!AN$14,
'User Dashboard'!AN$15),
IF('User Dashboard'!Z$12=1,
'User Dashboard'!AN$14)))))</f>
        <v>15.209356603107825</v>
      </c>
      <c r="D328" s="668">
        <f>'User Dashboard'!X$16</f>
        <v>2.2072878851804097E-2</v>
      </c>
      <c r="E328" s="660">
        <f t="shared" si="45"/>
        <v>8.9862781521070385E-8</v>
      </c>
      <c r="F328" s="660">
        <f t="shared" si="44"/>
        <v>8.9862781521070385E-8</v>
      </c>
      <c r="G328" s="670">
        <f>1/'User Dashboard'!X$12</f>
        <v>0.14285714285714285</v>
      </c>
      <c r="H328" s="359">
        <f t="shared" ref="H328:H372" si="46">-MIN(F327*I327,1)*H327+H327</f>
        <v>448258.01916679135</v>
      </c>
      <c r="I328" s="672">
        <f t="shared" si="41"/>
        <v>2.4761831538146746E-5</v>
      </c>
      <c r="J328" s="673">
        <f t="shared" ref="J328:J372" si="47">G327*I327+J327</f>
        <v>3287596.5808084453</v>
      </c>
      <c r="K328" s="359">
        <f t="shared" si="42"/>
        <v>3287596.5808332074</v>
      </c>
      <c r="L328" s="673">
        <f t="shared" si="43"/>
        <v>1.1115334928035736E-6</v>
      </c>
    </row>
    <row r="329" spans="1:12" x14ac:dyDescent="0.35">
      <c r="A329" s="287" t="str">
        <f t="shared" ref="A329:A372" si="48">IF(AND(IF(L329&lt;1,0,1)*ROUNDUP(B329/7,0)=0,B329&lt;&gt;0),"",IF(L329&lt;1,0,1)*ROUNDUP(B329/7,0))</f>
        <v/>
      </c>
      <c r="B329" s="288">
        <v>322</v>
      </c>
      <c r="C329" s="667">
        <f>IF('User Dashboard'!Z$12=5,
IF('SIR Model Patient Calcs'!B329&lt;'User Dashboard'!AJ$15,'User Dashboard'!AN$14,
IF('SIR Model Patient Calcs'!B329&lt;'User Dashboard'!AJ$16,'User Dashboard'!AN$15,
IF('SIR Model Patient Calcs'!B329&lt;'User Dashboard'!AJ$17,'User Dashboard'!AN$16,
IF('SIR Model Patient Calcs'!B329&lt;'User Dashboard'!AJ$18,'User Dashboard'!AN$17,
'User Dashboard'!AN$18)))),
IF('User Dashboard'!Z$12=4,
IF('SIR Model Patient Calcs'!B329&lt;'User Dashboard'!AJ$15,'User Dashboard'!AN$14,
IF('SIR Model Patient Calcs'!B329&lt;'User Dashboard'!AJ$16,'User Dashboard'!AN$15,
IF('SIR Model Patient Calcs'!B329&lt;'User Dashboard'!AJ$17,'User Dashboard'!AN$16,
'User Dashboard'!AN$17))),
IF('User Dashboard'!Z$12=3,
IF('SIR Model Patient Calcs'!B329&lt;'User Dashboard'!AJ$15,'User Dashboard'!AN$14,
IF('SIR Model Patient Calcs'!B329&lt;'User Dashboard'!AJ$16,'User Dashboard'!AN$15,
'User Dashboard'!AN$16)),
IF('User Dashboard'!Z$12=2,
IF('SIR Model Patient Calcs'!B329&lt;'User Dashboard'!AJ$15,'User Dashboard'!AN$14,
'User Dashboard'!AN$15),
IF('User Dashboard'!Z$12=1,
'User Dashboard'!AN$14)))))</f>
        <v>15.209356603107825</v>
      </c>
      <c r="D329" s="668">
        <f>'User Dashboard'!X$16</f>
        <v>2.2072878851804097E-2</v>
      </c>
      <c r="E329" s="660">
        <f t="shared" si="45"/>
        <v>8.9862781521070385E-8</v>
      </c>
      <c r="F329" s="660">
        <f t="shared" si="44"/>
        <v>8.9862781521070385E-8</v>
      </c>
      <c r="G329" s="670">
        <f>1/'User Dashboard'!X$12</f>
        <v>0.14285714285714285</v>
      </c>
      <c r="H329" s="359">
        <f t="shared" si="46"/>
        <v>448258.0191657939</v>
      </c>
      <c r="I329" s="672">
        <f t="shared" ref="I329:I372" si="49">MIN(F328*I328,1)*H328-G328*I328+I328</f>
        <v>2.2221876010240543E-5</v>
      </c>
      <c r="J329" s="673">
        <f t="shared" si="47"/>
        <v>3287596.580811983</v>
      </c>
      <c r="K329" s="359">
        <f t="shared" ref="K329:K372" si="50">(I329+J329)</f>
        <v>3287596.5808342048</v>
      </c>
      <c r="L329" s="673">
        <f t="shared" ref="L329:L372" si="51">(K329-K328)</f>
        <v>9.9744647741317749E-7</v>
      </c>
    </row>
    <row r="330" spans="1:12" x14ac:dyDescent="0.35">
      <c r="A330" s="287" t="str">
        <f t="shared" si="48"/>
        <v/>
      </c>
      <c r="B330" s="288">
        <v>323</v>
      </c>
      <c r="C330" s="667">
        <f>IF('User Dashboard'!Z$12=5,
IF('SIR Model Patient Calcs'!B330&lt;'User Dashboard'!AJ$15,'User Dashboard'!AN$14,
IF('SIR Model Patient Calcs'!B330&lt;'User Dashboard'!AJ$16,'User Dashboard'!AN$15,
IF('SIR Model Patient Calcs'!B330&lt;'User Dashboard'!AJ$17,'User Dashboard'!AN$16,
IF('SIR Model Patient Calcs'!B330&lt;'User Dashboard'!AJ$18,'User Dashboard'!AN$17,
'User Dashboard'!AN$18)))),
IF('User Dashboard'!Z$12=4,
IF('SIR Model Patient Calcs'!B330&lt;'User Dashboard'!AJ$15,'User Dashboard'!AN$14,
IF('SIR Model Patient Calcs'!B330&lt;'User Dashboard'!AJ$16,'User Dashboard'!AN$15,
IF('SIR Model Patient Calcs'!B330&lt;'User Dashboard'!AJ$17,'User Dashboard'!AN$16,
'User Dashboard'!AN$17))),
IF('User Dashboard'!Z$12=3,
IF('SIR Model Patient Calcs'!B330&lt;'User Dashboard'!AJ$15,'User Dashboard'!AN$14,
IF('SIR Model Patient Calcs'!B330&lt;'User Dashboard'!AJ$16,'User Dashboard'!AN$15,
'User Dashboard'!AN$16)),
IF('User Dashboard'!Z$12=2,
IF('SIR Model Patient Calcs'!B330&lt;'User Dashboard'!AJ$15,'User Dashboard'!AN$14,
'User Dashboard'!AN$15),
IF('User Dashboard'!Z$12=1,
'User Dashboard'!AN$14)))))</f>
        <v>15.209356603107825</v>
      </c>
      <c r="D330" s="668">
        <f>'User Dashboard'!X$16</f>
        <v>2.2072878851804097E-2</v>
      </c>
      <c r="E330" s="660">
        <f t="shared" si="45"/>
        <v>8.9862781521070385E-8</v>
      </c>
      <c r="F330" s="660">
        <f t="shared" si="44"/>
        <v>8.9862781521070385E-8</v>
      </c>
      <c r="G330" s="670">
        <f>1/'User Dashboard'!X$12</f>
        <v>0.14285714285714285</v>
      </c>
      <c r="H330" s="359">
        <f t="shared" si="46"/>
        <v>448258.01916489878</v>
      </c>
      <c r="I330" s="672">
        <f t="shared" si="49"/>
        <v>1.9942457513844037E-5</v>
      </c>
      <c r="J330" s="673">
        <f t="shared" si="47"/>
        <v>3287596.5808151574</v>
      </c>
      <c r="K330" s="359">
        <f t="shared" si="50"/>
        <v>3287596.5808350998</v>
      </c>
      <c r="L330" s="673">
        <f t="shared" si="51"/>
        <v>8.9500099420547485E-7</v>
      </c>
    </row>
    <row r="331" spans="1:12" x14ac:dyDescent="0.35">
      <c r="A331" s="287" t="str">
        <f t="shared" si="48"/>
        <v/>
      </c>
      <c r="B331" s="288">
        <v>324</v>
      </c>
      <c r="C331" s="667">
        <f>IF('User Dashboard'!Z$12=5,
IF('SIR Model Patient Calcs'!B331&lt;'User Dashboard'!AJ$15,'User Dashboard'!AN$14,
IF('SIR Model Patient Calcs'!B331&lt;'User Dashboard'!AJ$16,'User Dashboard'!AN$15,
IF('SIR Model Patient Calcs'!B331&lt;'User Dashboard'!AJ$17,'User Dashboard'!AN$16,
IF('SIR Model Patient Calcs'!B331&lt;'User Dashboard'!AJ$18,'User Dashboard'!AN$17,
'User Dashboard'!AN$18)))),
IF('User Dashboard'!Z$12=4,
IF('SIR Model Patient Calcs'!B331&lt;'User Dashboard'!AJ$15,'User Dashboard'!AN$14,
IF('SIR Model Patient Calcs'!B331&lt;'User Dashboard'!AJ$16,'User Dashboard'!AN$15,
IF('SIR Model Patient Calcs'!B331&lt;'User Dashboard'!AJ$17,'User Dashboard'!AN$16,
'User Dashboard'!AN$17))),
IF('User Dashboard'!Z$12=3,
IF('SIR Model Patient Calcs'!B331&lt;'User Dashboard'!AJ$15,'User Dashboard'!AN$14,
IF('SIR Model Patient Calcs'!B331&lt;'User Dashboard'!AJ$16,'User Dashboard'!AN$15,
'User Dashboard'!AN$16)),
IF('User Dashboard'!Z$12=2,
IF('SIR Model Patient Calcs'!B331&lt;'User Dashboard'!AJ$15,'User Dashboard'!AN$14,
'User Dashboard'!AN$15),
IF('User Dashboard'!Z$12=1,
'User Dashboard'!AN$14)))))</f>
        <v>15.209356603107825</v>
      </c>
      <c r="D331" s="668">
        <f>'User Dashboard'!X$16</f>
        <v>2.2072878851804097E-2</v>
      </c>
      <c r="E331" s="660">
        <f t="shared" si="45"/>
        <v>8.9862781521070385E-8</v>
      </c>
      <c r="F331" s="660">
        <f t="shared" si="44"/>
        <v>8.9862781521070385E-8</v>
      </c>
      <c r="G331" s="670">
        <f>1/'User Dashboard'!X$12</f>
        <v>0.14285714285714285</v>
      </c>
      <c r="H331" s="359">
        <f t="shared" si="46"/>
        <v>448258.01916409546</v>
      </c>
      <c r="I331" s="672">
        <f t="shared" si="49"/>
        <v>1.7896851350811489E-5</v>
      </c>
      <c r="J331" s="673">
        <f t="shared" si="47"/>
        <v>3287596.5808180063</v>
      </c>
      <c r="K331" s="359">
        <f t="shared" si="50"/>
        <v>3287596.5808359031</v>
      </c>
      <c r="L331" s="673">
        <f t="shared" si="51"/>
        <v>8.0326572060585022E-7</v>
      </c>
    </row>
    <row r="332" spans="1:12" x14ac:dyDescent="0.35">
      <c r="A332" s="287" t="str">
        <f t="shared" si="48"/>
        <v/>
      </c>
      <c r="B332" s="288">
        <v>325</v>
      </c>
      <c r="C332" s="667">
        <f>IF('User Dashboard'!Z$12=5,
IF('SIR Model Patient Calcs'!B332&lt;'User Dashboard'!AJ$15,'User Dashboard'!AN$14,
IF('SIR Model Patient Calcs'!B332&lt;'User Dashboard'!AJ$16,'User Dashboard'!AN$15,
IF('SIR Model Patient Calcs'!B332&lt;'User Dashboard'!AJ$17,'User Dashboard'!AN$16,
IF('SIR Model Patient Calcs'!B332&lt;'User Dashboard'!AJ$18,'User Dashboard'!AN$17,
'User Dashboard'!AN$18)))),
IF('User Dashboard'!Z$12=4,
IF('SIR Model Patient Calcs'!B332&lt;'User Dashboard'!AJ$15,'User Dashboard'!AN$14,
IF('SIR Model Patient Calcs'!B332&lt;'User Dashboard'!AJ$16,'User Dashboard'!AN$15,
IF('SIR Model Patient Calcs'!B332&lt;'User Dashboard'!AJ$17,'User Dashboard'!AN$16,
'User Dashboard'!AN$17))),
IF('User Dashboard'!Z$12=3,
IF('SIR Model Patient Calcs'!B332&lt;'User Dashboard'!AJ$15,'User Dashboard'!AN$14,
IF('SIR Model Patient Calcs'!B332&lt;'User Dashboard'!AJ$16,'User Dashboard'!AN$15,
'User Dashboard'!AN$16)),
IF('User Dashboard'!Z$12=2,
IF('SIR Model Patient Calcs'!B332&lt;'User Dashboard'!AJ$15,'User Dashboard'!AN$14,
'User Dashboard'!AN$15),
IF('User Dashboard'!Z$12=1,
'User Dashboard'!AN$14)))))</f>
        <v>15.209356603107825</v>
      </c>
      <c r="D332" s="668">
        <f>'User Dashboard'!X$16</f>
        <v>2.2072878851804097E-2</v>
      </c>
      <c r="E332" s="660">
        <f t="shared" si="45"/>
        <v>8.9862781521070398E-8</v>
      </c>
      <c r="F332" s="660">
        <f t="shared" si="44"/>
        <v>8.9862781521070385E-8</v>
      </c>
      <c r="G332" s="670">
        <f>1/'User Dashboard'!X$12</f>
        <v>0.14285714285714285</v>
      </c>
      <c r="H332" s="359">
        <f t="shared" si="46"/>
        <v>448258.01916337456</v>
      </c>
      <c r="I332" s="672">
        <f t="shared" si="49"/>
        <v>1.6061074120412049E-5</v>
      </c>
      <c r="J332" s="673">
        <f t="shared" si="47"/>
        <v>3287596.5808205628</v>
      </c>
      <c r="K332" s="359">
        <f t="shared" si="50"/>
        <v>3287596.5808366239</v>
      </c>
      <c r="L332" s="673">
        <f t="shared" si="51"/>
        <v>7.2084367275238037E-7</v>
      </c>
    </row>
    <row r="333" spans="1:12" x14ac:dyDescent="0.35">
      <c r="A333" s="287" t="str">
        <f t="shared" si="48"/>
        <v/>
      </c>
      <c r="B333" s="288">
        <v>326</v>
      </c>
      <c r="C333" s="667">
        <f>IF('User Dashboard'!Z$12=5,
IF('SIR Model Patient Calcs'!B333&lt;'User Dashboard'!AJ$15,'User Dashboard'!AN$14,
IF('SIR Model Patient Calcs'!B333&lt;'User Dashboard'!AJ$16,'User Dashboard'!AN$15,
IF('SIR Model Patient Calcs'!B333&lt;'User Dashboard'!AJ$17,'User Dashboard'!AN$16,
IF('SIR Model Patient Calcs'!B333&lt;'User Dashboard'!AJ$18,'User Dashboard'!AN$17,
'User Dashboard'!AN$18)))),
IF('User Dashboard'!Z$12=4,
IF('SIR Model Patient Calcs'!B333&lt;'User Dashboard'!AJ$15,'User Dashboard'!AN$14,
IF('SIR Model Patient Calcs'!B333&lt;'User Dashboard'!AJ$16,'User Dashboard'!AN$15,
IF('SIR Model Patient Calcs'!B333&lt;'User Dashboard'!AJ$17,'User Dashboard'!AN$16,
'User Dashboard'!AN$17))),
IF('User Dashboard'!Z$12=3,
IF('SIR Model Patient Calcs'!B333&lt;'User Dashboard'!AJ$15,'User Dashboard'!AN$14,
IF('SIR Model Patient Calcs'!B333&lt;'User Dashboard'!AJ$16,'User Dashboard'!AN$15,
'User Dashboard'!AN$16)),
IF('User Dashboard'!Z$12=2,
IF('SIR Model Patient Calcs'!B333&lt;'User Dashboard'!AJ$15,'User Dashboard'!AN$14,
'User Dashboard'!AN$15),
IF('User Dashboard'!Z$12=1,
'User Dashboard'!AN$14)))))</f>
        <v>15.209356603107825</v>
      </c>
      <c r="D333" s="668">
        <f>'User Dashboard'!X$16</f>
        <v>2.2072878851804097E-2</v>
      </c>
      <c r="E333" s="660">
        <f t="shared" si="45"/>
        <v>8.9862781521070398E-8</v>
      </c>
      <c r="F333" s="660">
        <f t="shared" si="44"/>
        <v>8.9862781521070385E-8</v>
      </c>
      <c r="G333" s="670">
        <f>1/'User Dashboard'!X$12</f>
        <v>0.14285714285714285</v>
      </c>
      <c r="H333" s="359">
        <f t="shared" si="46"/>
        <v>448258.01916272758</v>
      </c>
      <c r="I333" s="672">
        <f t="shared" si="49"/>
        <v>1.4413602529567556E-5</v>
      </c>
      <c r="J333" s="673">
        <f t="shared" si="47"/>
        <v>3287596.5808228571</v>
      </c>
      <c r="K333" s="359">
        <f t="shared" si="50"/>
        <v>3287596.5808372707</v>
      </c>
      <c r="L333" s="673">
        <f t="shared" si="51"/>
        <v>6.4680352807044983E-7</v>
      </c>
    </row>
    <row r="334" spans="1:12" x14ac:dyDescent="0.35">
      <c r="A334" s="287" t="str">
        <f t="shared" si="48"/>
        <v/>
      </c>
      <c r="B334" s="288">
        <v>327</v>
      </c>
      <c r="C334" s="667">
        <f>IF('User Dashboard'!Z$12=5,
IF('SIR Model Patient Calcs'!B334&lt;'User Dashboard'!AJ$15,'User Dashboard'!AN$14,
IF('SIR Model Patient Calcs'!B334&lt;'User Dashboard'!AJ$16,'User Dashboard'!AN$15,
IF('SIR Model Patient Calcs'!B334&lt;'User Dashboard'!AJ$17,'User Dashboard'!AN$16,
IF('SIR Model Patient Calcs'!B334&lt;'User Dashboard'!AJ$18,'User Dashboard'!AN$17,
'User Dashboard'!AN$18)))),
IF('User Dashboard'!Z$12=4,
IF('SIR Model Patient Calcs'!B334&lt;'User Dashboard'!AJ$15,'User Dashboard'!AN$14,
IF('SIR Model Patient Calcs'!B334&lt;'User Dashboard'!AJ$16,'User Dashboard'!AN$15,
IF('SIR Model Patient Calcs'!B334&lt;'User Dashboard'!AJ$17,'User Dashboard'!AN$16,
'User Dashboard'!AN$17))),
IF('User Dashboard'!Z$12=3,
IF('SIR Model Patient Calcs'!B334&lt;'User Dashboard'!AJ$15,'User Dashboard'!AN$14,
IF('SIR Model Patient Calcs'!B334&lt;'User Dashboard'!AJ$16,'User Dashboard'!AN$15,
'User Dashboard'!AN$16)),
IF('User Dashboard'!Z$12=2,
IF('SIR Model Patient Calcs'!B334&lt;'User Dashboard'!AJ$15,'User Dashboard'!AN$14,
'User Dashboard'!AN$15),
IF('User Dashboard'!Z$12=1,
'User Dashboard'!AN$14)))))</f>
        <v>15.209356603107825</v>
      </c>
      <c r="D334" s="668">
        <f>'User Dashboard'!X$16</f>
        <v>2.2072878851804097E-2</v>
      </c>
      <c r="E334" s="660">
        <f t="shared" si="45"/>
        <v>8.9862781521070398E-8</v>
      </c>
      <c r="F334" s="660">
        <f t="shared" si="44"/>
        <v>8.9862781521070385E-8</v>
      </c>
      <c r="G334" s="670">
        <f>1/'User Dashboard'!X$12</f>
        <v>0.14285714285714285</v>
      </c>
      <c r="H334" s="359">
        <f t="shared" si="46"/>
        <v>448258.01916214696</v>
      </c>
      <c r="I334" s="672">
        <f t="shared" si="49"/>
        <v>1.2935121046251226E-5</v>
      </c>
      <c r="J334" s="673">
        <f t="shared" si="47"/>
        <v>3287596.5808249163</v>
      </c>
      <c r="K334" s="359">
        <f t="shared" si="50"/>
        <v>3287596.5808378514</v>
      </c>
      <c r="L334" s="673">
        <f t="shared" si="51"/>
        <v>5.8067962527275085E-7</v>
      </c>
    </row>
    <row r="335" spans="1:12" x14ac:dyDescent="0.35">
      <c r="A335" s="287" t="str">
        <f t="shared" si="48"/>
        <v/>
      </c>
      <c r="B335" s="288">
        <v>328</v>
      </c>
      <c r="C335" s="667">
        <f>IF('User Dashboard'!Z$12=5,
IF('SIR Model Patient Calcs'!B335&lt;'User Dashboard'!AJ$15,'User Dashboard'!AN$14,
IF('SIR Model Patient Calcs'!B335&lt;'User Dashboard'!AJ$16,'User Dashboard'!AN$15,
IF('SIR Model Patient Calcs'!B335&lt;'User Dashboard'!AJ$17,'User Dashboard'!AN$16,
IF('SIR Model Patient Calcs'!B335&lt;'User Dashboard'!AJ$18,'User Dashboard'!AN$17,
'User Dashboard'!AN$18)))),
IF('User Dashboard'!Z$12=4,
IF('SIR Model Patient Calcs'!B335&lt;'User Dashboard'!AJ$15,'User Dashboard'!AN$14,
IF('SIR Model Patient Calcs'!B335&lt;'User Dashboard'!AJ$16,'User Dashboard'!AN$15,
IF('SIR Model Patient Calcs'!B335&lt;'User Dashboard'!AJ$17,'User Dashboard'!AN$16,
'User Dashboard'!AN$17))),
IF('User Dashboard'!Z$12=3,
IF('SIR Model Patient Calcs'!B335&lt;'User Dashboard'!AJ$15,'User Dashboard'!AN$14,
IF('SIR Model Patient Calcs'!B335&lt;'User Dashboard'!AJ$16,'User Dashboard'!AN$15,
'User Dashboard'!AN$16)),
IF('User Dashboard'!Z$12=2,
IF('SIR Model Patient Calcs'!B335&lt;'User Dashboard'!AJ$15,'User Dashboard'!AN$14,
'User Dashboard'!AN$15),
IF('User Dashboard'!Z$12=1,
'User Dashboard'!AN$14)))))</f>
        <v>15.209356603107825</v>
      </c>
      <c r="D335" s="668">
        <f>'User Dashboard'!X$16</f>
        <v>2.2072878851804097E-2</v>
      </c>
      <c r="E335" s="660">
        <f t="shared" si="45"/>
        <v>8.9862781521070398E-8</v>
      </c>
      <c r="F335" s="660">
        <f t="shared" si="44"/>
        <v>8.9862781521070385E-8</v>
      </c>
      <c r="G335" s="670">
        <f>1/'User Dashboard'!X$12</f>
        <v>0.14285714285714285</v>
      </c>
      <c r="H335" s="359">
        <f t="shared" si="46"/>
        <v>448258.01916162588</v>
      </c>
      <c r="I335" s="672">
        <f t="shared" si="49"/>
        <v>1.1608295437447562E-5</v>
      </c>
      <c r="J335" s="673">
        <f t="shared" si="47"/>
        <v>3287596.580826764</v>
      </c>
      <c r="K335" s="359">
        <f t="shared" si="50"/>
        <v>3287596.5808383725</v>
      </c>
      <c r="L335" s="673">
        <f t="shared" si="51"/>
        <v>5.2107498049736023E-7</v>
      </c>
    </row>
    <row r="336" spans="1:12" x14ac:dyDescent="0.35">
      <c r="A336" s="287" t="str">
        <f t="shared" si="48"/>
        <v/>
      </c>
      <c r="B336" s="288">
        <v>329</v>
      </c>
      <c r="C336" s="667">
        <f>IF('User Dashboard'!Z$12=5,
IF('SIR Model Patient Calcs'!B336&lt;'User Dashboard'!AJ$15,'User Dashboard'!AN$14,
IF('SIR Model Patient Calcs'!B336&lt;'User Dashboard'!AJ$16,'User Dashboard'!AN$15,
IF('SIR Model Patient Calcs'!B336&lt;'User Dashboard'!AJ$17,'User Dashboard'!AN$16,
IF('SIR Model Patient Calcs'!B336&lt;'User Dashboard'!AJ$18,'User Dashboard'!AN$17,
'User Dashboard'!AN$18)))),
IF('User Dashboard'!Z$12=4,
IF('SIR Model Patient Calcs'!B336&lt;'User Dashboard'!AJ$15,'User Dashboard'!AN$14,
IF('SIR Model Patient Calcs'!B336&lt;'User Dashboard'!AJ$16,'User Dashboard'!AN$15,
IF('SIR Model Patient Calcs'!B336&lt;'User Dashboard'!AJ$17,'User Dashboard'!AN$16,
'User Dashboard'!AN$17))),
IF('User Dashboard'!Z$12=3,
IF('SIR Model Patient Calcs'!B336&lt;'User Dashboard'!AJ$15,'User Dashboard'!AN$14,
IF('SIR Model Patient Calcs'!B336&lt;'User Dashboard'!AJ$16,'User Dashboard'!AN$15,
'User Dashboard'!AN$16)),
IF('User Dashboard'!Z$12=2,
IF('SIR Model Patient Calcs'!B336&lt;'User Dashboard'!AJ$15,'User Dashboard'!AN$14,
'User Dashboard'!AN$15),
IF('User Dashboard'!Z$12=1,
'User Dashboard'!AN$14)))))</f>
        <v>15.209356603107825</v>
      </c>
      <c r="D336" s="668">
        <f>'User Dashboard'!X$16</f>
        <v>2.2072878851804097E-2</v>
      </c>
      <c r="E336" s="660">
        <f t="shared" si="45"/>
        <v>8.9862781521070398E-8</v>
      </c>
      <c r="F336" s="660">
        <f t="shared" ref="F336:F372" si="52">AVERAGE(E327:E336)</f>
        <v>8.9862781521070385E-8</v>
      </c>
      <c r="G336" s="670">
        <f>1/'User Dashboard'!X$12</f>
        <v>0.14285714285714285</v>
      </c>
      <c r="H336" s="359">
        <f t="shared" si="46"/>
        <v>448258.0191611583</v>
      </c>
      <c r="I336" s="672">
        <f t="shared" si="49"/>
        <v>1.0417569536553503E-5</v>
      </c>
      <c r="J336" s="673">
        <f t="shared" si="47"/>
        <v>3287596.5808284222</v>
      </c>
      <c r="K336" s="359">
        <f t="shared" si="50"/>
        <v>3287596.58083884</v>
      </c>
      <c r="L336" s="673">
        <f t="shared" si="51"/>
        <v>4.6752393245697021E-7</v>
      </c>
    </row>
    <row r="337" spans="1:12" x14ac:dyDescent="0.35">
      <c r="A337" s="287" t="str">
        <f t="shared" si="48"/>
        <v/>
      </c>
      <c r="B337" s="288">
        <v>330</v>
      </c>
      <c r="C337" s="667">
        <f>IF('User Dashboard'!Z$12=5,
IF('SIR Model Patient Calcs'!B337&lt;'User Dashboard'!AJ$15,'User Dashboard'!AN$14,
IF('SIR Model Patient Calcs'!B337&lt;'User Dashboard'!AJ$16,'User Dashboard'!AN$15,
IF('SIR Model Patient Calcs'!B337&lt;'User Dashboard'!AJ$17,'User Dashboard'!AN$16,
IF('SIR Model Patient Calcs'!B337&lt;'User Dashboard'!AJ$18,'User Dashboard'!AN$17,
'User Dashboard'!AN$18)))),
IF('User Dashboard'!Z$12=4,
IF('SIR Model Patient Calcs'!B337&lt;'User Dashboard'!AJ$15,'User Dashboard'!AN$14,
IF('SIR Model Patient Calcs'!B337&lt;'User Dashboard'!AJ$16,'User Dashboard'!AN$15,
IF('SIR Model Patient Calcs'!B337&lt;'User Dashboard'!AJ$17,'User Dashboard'!AN$16,
'User Dashboard'!AN$17))),
IF('User Dashboard'!Z$12=3,
IF('SIR Model Patient Calcs'!B337&lt;'User Dashboard'!AJ$15,'User Dashboard'!AN$14,
IF('SIR Model Patient Calcs'!B337&lt;'User Dashboard'!AJ$16,'User Dashboard'!AN$15,
'User Dashboard'!AN$16)),
IF('User Dashboard'!Z$12=2,
IF('SIR Model Patient Calcs'!B337&lt;'User Dashboard'!AJ$15,'User Dashboard'!AN$14,
'User Dashboard'!AN$15),
IF('User Dashboard'!Z$12=1,
'User Dashboard'!AN$14)))))</f>
        <v>15.209356603107825</v>
      </c>
      <c r="D337" s="668">
        <f>'User Dashboard'!X$16</f>
        <v>2.2072878851804097E-2</v>
      </c>
      <c r="E337" s="660">
        <f t="shared" si="45"/>
        <v>8.9862781521070398E-8</v>
      </c>
      <c r="F337" s="660">
        <f t="shared" si="52"/>
        <v>8.9862781521070385E-8</v>
      </c>
      <c r="G337" s="670">
        <f>1/'User Dashboard'!X$12</f>
        <v>0.14285714285714285</v>
      </c>
      <c r="H337" s="359">
        <f t="shared" si="46"/>
        <v>448258.01916073868</v>
      </c>
      <c r="I337" s="672">
        <f t="shared" si="49"/>
        <v>9.3489828574508771E-6</v>
      </c>
      <c r="J337" s="673">
        <f t="shared" si="47"/>
        <v>3287596.5808299105</v>
      </c>
      <c r="K337" s="359">
        <f t="shared" si="50"/>
        <v>3287596.5808392595</v>
      </c>
      <c r="L337" s="673">
        <f t="shared" si="51"/>
        <v>4.1956081986427307E-7</v>
      </c>
    </row>
    <row r="338" spans="1:12" x14ac:dyDescent="0.35">
      <c r="A338" s="287" t="str">
        <f t="shared" si="48"/>
        <v/>
      </c>
      <c r="B338" s="288">
        <v>331</v>
      </c>
      <c r="C338" s="667">
        <f>IF('User Dashboard'!Z$12=5,
IF('SIR Model Patient Calcs'!B338&lt;'User Dashboard'!AJ$15,'User Dashboard'!AN$14,
IF('SIR Model Patient Calcs'!B338&lt;'User Dashboard'!AJ$16,'User Dashboard'!AN$15,
IF('SIR Model Patient Calcs'!B338&lt;'User Dashboard'!AJ$17,'User Dashboard'!AN$16,
IF('SIR Model Patient Calcs'!B338&lt;'User Dashboard'!AJ$18,'User Dashboard'!AN$17,
'User Dashboard'!AN$18)))),
IF('User Dashboard'!Z$12=4,
IF('SIR Model Patient Calcs'!B338&lt;'User Dashboard'!AJ$15,'User Dashboard'!AN$14,
IF('SIR Model Patient Calcs'!B338&lt;'User Dashboard'!AJ$16,'User Dashboard'!AN$15,
IF('SIR Model Patient Calcs'!B338&lt;'User Dashboard'!AJ$17,'User Dashboard'!AN$16,
'User Dashboard'!AN$17))),
IF('User Dashboard'!Z$12=3,
IF('SIR Model Patient Calcs'!B338&lt;'User Dashboard'!AJ$15,'User Dashboard'!AN$14,
IF('SIR Model Patient Calcs'!B338&lt;'User Dashboard'!AJ$16,'User Dashboard'!AN$15,
'User Dashboard'!AN$16)),
IF('User Dashboard'!Z$12=2,
IF('SIR Model Patient Calcs'!B338&lt;'User Dashboard'!AJ$15,'User Dashboard'!AN$14,
'User Dashboard'!AN$15),
IF('User Dashboard'!Z$12=1,
'User Dashboard'!AN$14)))))</f>
        <v>15.209356603107825</v>
      </c>
      <c r="D338" s="668">
        <f>'User Dashboard'!X$16</f>
        <v>2.2072878851804097E-2</v>
      </c>
      <c r="E338" s="660">
        <f t="shared" si="45"/>
        <v>8.9862781521070398E-8</v>
      </c>
      <c r="F338" s="660">
        <f t="shared" si="52"/>
        <v>8.9862781521070385E-8</v>
      </c>
      <c r="G338" s="670">
        <f>1/'User Dashboard'!X$12</f>
        <v>0.14285714285714285</v>
      </c>
      <c r="H338" s="359">
        <f t="shared" si="46"/>
        <v>448258.01916036208</v>
      </c>
      <c r="I338" s="672">
        <f t="shared" si="49"/>
        <v>8.3900069168938639E-6</v>
      </c>
      <c r="J338" s="673">
        <f t="shared" si="47"/>
        <v>3287596.580831246</v>
      </c>
      <c r="K338" s="359">
        <f t="shared" si="50"/>
        <v>3287596.5808396358</v>
      </c>
      <c r="L338" s="673">
        <f t="shared" si="51"/>
        <v>3.7625432014465332E-7</v>
      </c>
    </row>
    <row r="339" spans="1:12" x14ac:dyDescent="0.35">
      <c r="A339" s="287" t="str">
        <f t="shared" si="48"/>
        <v/>
      </c>
      <c r="B339" s="288">
        <v>332</v>
      </c>
      <c r="C339" s="667">
        <f>IF('User Dashboard'!Z$12=5,
IF('SIR Model Patient Calcs'!B339&lt;'User Dashboard'!AJ$15,'User Dashboard'!AN$14,
IF('SIR Model Patient Calcs'!B339&lt;'User Dashboard'!AJ$16,'User Dashboard'!AN$15,
IF('SIR Model Patient Calcs'!B339&lt;'User Dashboard'!AJ$17,'User Dashboard'!AN$16,
IF('SIR Model Patient Calcs'!B339&lt;'User Dashboard'!AJ$18,'User Dashboard'!AN$17,
'User Dashboard'!AN$18)))),
IF('User Dashboard'!Z$12=4,
IF('SIR Model Patient Calcs'!B339&lt;'User Dashboard'!AJ$15,'User Dashboard'!AN$14,
IF('SIR Model Patient Calcs'!B339&lt;'User Dashboard'!AJ$16,'User Dashboard'!AN$15,
IF('SIR Model Patient Calcs'!B339&lt;'User Dashboard'!AJ$17,'User Dashboard'!AN$16,
'User Dashboard'!AN$17))),
IF('User Dashboard'!Z$12=3,
IF('SIR Model Patient Calcs'!B339&lt;'User Dashboard'!AJ$15,'User Dashboard'!AN$14,
IF('SIR Model Patient Calcs'!B339&lt;'User Dashboard'!AJ$16,'User Dashboard'!AN$15,
'User Dashboard'!AN$16)),
IF('User Dashboard'!Z$12=2,
IF('SIR Model Patient Calcs'!B339&lt;'User Dashboard'!AJ$15,'User Dashboard'!AN$14,
'User Dashboard'!AN$15),
IF('User Dashboard'!Z$12=1,
'User Dashboard'!AN$14)))))</f>
        <v>15.209356603107825</v>
      </c>
      <c r="D339" s="668">
        <f>'User Dashboard'!X$16</f>
        <v>2.2072878851804097E-2</v>
      </c>
      <c r="E339" s="660">
        <f t="shared" si="45"/>
        <v>8.9862781521070398E-8</v>
      </c>
      <c r="F339" s="660">
        <f t="shared" si="52"/>
        <v>8.9862781521070385E-8</v>
      </c>
      <c r="G339" s="670">
        <f>1/'User Dashboard'!X$12</f>
        <v>0.14285714285714285</v>
      </c>
      <c r="H339" s="359">
        <f t="shared" si="46"/>
        <v>448258.01916002412</v>
      </c>
      <c r="I339" s="672">
        <f t="shared" si="49"/>
        <v>7.5293983461980151E-6</v>
      </c>
      <c r="J339" s="673">
        <f t="shared" si="47"/>
        <v>3287596.5808324446</v>
      </c>
      <c r="K339" s="359">
        <f t="shared" si="50"/>
        <v>3287596.5808399739</v>
      </c>
      <c r="L339" s="673">
        <f t="shared" si="51"/>
        <v>3.380700945854187E-7</v>
      </c>
    </row>
    <row r="340" spans="1:12" x14ac:dyDescent="0.35">
      <c r="A340" s="287" t="str">
        <f t="shared" si="48"/>
        <v/>
      </c>
      <c r="B340" s="288">
        <v>333</v>
      </c>
      <c r="C340" s="667">
        <f>IF('User Dashboard'!Z$12=5,
IF('SIR Model Patient Calcs'!B340&lt;'User Dashboard'!AJ$15,'User Dashboard'!AN$14,
IF('SIR Model Patient Calcs'!B340&lt;'User Dashboard'!AJ$16,'User Dashboard'!AN$15,
IF('SIR Model Patient Calcs'!B340&lt;'User Dashboard'!AJ$17,'User Dashboard'!AN$16,
IF('SIR Model Patient Calcs'!B340&lt;'User Dashboard'!AJ$18,'User Dashboard'!AN$17,
'User Dashboard'!AN$18)))),
IF('User Dashboard'!Z$12=4,
IF('SIR Model Patient Calcs'!B340&lt;'User Dashboard'!AJ$15,'User Dashboard'!AN$14,
IF('SIR Model Patient Calcs'!B340&lt;'User Dashboard'!AJ$16,'User Dashboard'!AN$15,
IF('SIR Model Patient Calcs'!B340&lt;'User Dashboard'!AJ$17,'User Dashboard'!AN$16,
'User Dashboard'!AN$17))),
IF('User Dashboard'!Z$12=3,
IF('SIR Model Patient Calcs'!B340&lt;'User Dashboard'!AJ$15,'User Dashboard'!AN$14,
IF('SIR Model Patient Calcs'!B340&lt;'User Dashboard'!AJ$16,'User Dashboard'!AN$15,
'User Dashboard'!AN$16)),
IF('User Dashboard'!Z$12=2,
IF('SIR Model Patient Calcs'!B340&lt;'User Dashboard'!AJ$15,'User Dashboard'!AN$14,
'User Dashboard'!AN$15),
IF('User Dashboard'!Z$12=1,
'User Dashboard'!AN$14)))))</f>
        <v>15.209356603107825</v>
      </c>
      <c r="D340" s="668">
        <f>'User Dashboard'!X$16</f>
        <v>2.2072878851804097E-2</v>
      </c>
      <c r="E340" s="660">
        <f t="shared" si="45"/>
        <v>8.9862781521070398E-8</v>
      </c>
      <c r="F340" s="660">
        <f t="shared" si="52"/>
        <v>8.9862781521070385E-8</v>
      </c>
      <c r="G340" s="670">
        <f>1/'User Dashboard'!X$12</f>
        <v>0.14285714285714285</v>
      </c>
      <c r="H340" s="359">
        <f t="shared" si="46"/>
        <v>448258.0191597208</v>
      </c>
      <c r="I340" s="672">
        <f t="shared" si="49"/>
        <v>6.7570670700609926E-6</v>
      </c>
      <c r="J340" s="673">
        <f t="shared" si="47"/>
        <v>3287596.5808335203</v>
      </c>
      <c r="K340" s="359">
        <f t="shared" si="50"/>
        <v>3287596.5808402775</v>
      </c>
      <c r="L340" s="673">
        <f t="shared" si="51"/>
        <v>3.03611159324646E-7</v>
      </c>
    </row>
    <row r="341" spans="1:12" x14ac:dyDescent="0.35">
      <c r="A341" s="287" t="str">
        <f t="shared" si="48"/>
        <v/>
      </c>
      <c r="B341" s="288">
        <v>334</v>
      </c>
      <c r="C341" s="667">
        <f>IF('User Dashboard'!Z$12=5,
IF('SIR Model Patient Calcs'!B341&lt;'User Dashboard'!AJ$15,'User Dashboard'!AN$14,
IF('SIR Model Patient Calcs'!B341&lt;'User Dashboard'!AJ$16,'User Dashboard'!AN$15,
IF('SIR Model Patient Calcs'!B341&lt;'User Dashboard'!AJ$17,'User Dashboard'!AN$16,
IF('SIR Model Patient Calcs'!B341&lt;'User Dashboard'!AJ$18,'User Dashboard'!AN$17,
'User Dashboard'!AN$18)))),
IF('User Dashboard'!Z$12=4,
IF('SIR Model Patient Calcs'!B341&lt;'User Dashboard'!AJ$15,'User Dashboard'!AN$14,
IF('SIR Model Patient Calcs'!B341&lt;'User Dashboard'!AJ$16,'User Dashboard'!AN$15,
IF('SIR Model Patient Calcs'!B341&lt;'User Dashboard'!AJ$17,'User Dashboard'!AN$16,
'User Dashboard'!AN$17))),
IF('User Dashboard'!Z$12=3,
IF('SIR Model Patient Calcs'!B341&lt;'User Dashboard'!AJ$15,'User Dashboard'!AN$14,
IF('SIR Model Patient Calcs'!B341&lt;'User Dashboard'!AJ$16,'User Dashboard'!AN$15,
'User Dashboard'!AN$16)),
IF('User Dashboard'!Z$12=2,
IF('SIR Model Patient Calcs'!B341&lt;'User Dashboard'!AJ$15,'User Dashboard'!AN$14,
'User Dashboard'!AN$15),
IF('User Dashboard'!Z$12=1,
'User Dashboard'!AN$14)))))</f>
        <v>15.209356603107825</v>
      </c>
      <c r="D341" s="668">
        <f>'User Dashboard'!X$16</f>
        <v>2.2072878851804097E-2</v>
      </c>
      <c r="E341" s="660">
        <f t="shared" si="45"/>
        <v>8.9862781521070398E-8</v>
      </c>
      <c r="F341" s="660">
        <f t="shared" si="52"/>
        <v>8.9862781521070398E-8</v>
      </c>
      <c r="G341" s="670">
        <f>1/'User Dashboard'!X$12</f>
        <v>0.14285714285714285</v>
      </c>
      <c r="H341" s="359">
        <f t="shared" si="46"/>
        <v>448258.01915944862</v>
      </c>
      <c r="I341" s="672">
        <f t="shared" si="49"/>
        <v>6.0639580069975094E-6</v>
      </c>
      <c r="J341" s="673">
        <f t="shared" si="47"/>
        <v>3287596.5808344856</v>
      </c>
      <c r="K341" s="359">
        <f t="shared" si="50"/>
        <v>3287596.5808405494</v>
      </c>
      <c r="L341" s="673">
        <f t="shared" si="51"/>
        <v>2.7194619178771973E-7</v>
      </c>
    </row>
    <row r="342" spans="1:12" x14ac:dyDescent="0.35">
      <c r="A342" s="287" t="str">
        <f t="shared" si="48"/>
        <v/>
      </c>
      <c r="B342" s="288">
        <v>335</v>
      </c>
      <c r="C342" s="667">
        <f>IF('User Dashboard'!Z$12=5,
IF('SIR Model Patient Calcs'!B342&lt;'User Dashboard'!AJ$15,'User Dashboard'!AN$14,
IF('SIR Model Patient Calcs'!B342&lt;'User Dashboard'!AJ$16,'User Dashboard'!AN$15,
IF('SIR Model Patient Calcs'!B342&lt;'User Dashboard'!AJ$17,'User Dashboard'!AN$16,
IF('SIR Model Patient Calcs'!B342&lt;'User Dashboard'!AJ$18,'User Dashboard'!AN$17,
'User Dashboard'!AN$18)))),
IF('User Dashboard'!Z$12=4,
IF('SIR Model Patient Calcs'!B342&lt;'User Dashboard'!AJ$15,'User Dashboard'!AN$14,
IF('SIR Model Patient Calcs'!B342&lt;'User Dashboard'!AJ$16,'User Dashboard'!AN$15,
IF('SIR Model Patient Calcs'!B342&lt;'User Dashboard'!AJ$17,'User Dashboard'!AN$16,
'User Dashboard'!AN$17))),
IF('User Dashboard'!Z$12=3,
IF('SIR Model Patient Calcs'!B342&lt;'User Dashboard'!AJ$15,'User Dashboard'!AN$14,
IF('SIR Model Patient Calcs'!B342&lt;'User Dashboard'!AJ$16,'User Dashboard'!AN$15,
'User Dashboard'!AN$16)),
IF('User Dashboard'!Z$12=2,
IF('SIR Model Patient Calcs'!B342&lt;'User Dashboard'!AJ$15,'User Dashboard'!AN$14,
'User Dashboard'!AN$15),
IF('User Dashboard'!Z$12=1,
'User Dashboard'!AN$14)))))</f>
        <v>15.209356603107825</v>
      </c>
      <c r="D342" s="668">
        <f>'User Dashboard'!X$16</f>
        <v>2.2072878851804097E-2</v>
      </c>
      <c r="E342" s="660">
        <f t="shared" si="45"/>
        <v>8.9862781521070398E-8</v>
      </c>
      <c r="F342" s="660">
        <f t="shared" si="52"/>
        <v>8.9862781521070398E-8</v>
      </c>
      <c r="G342" s="670">
        <f>1/'User Dashboard'!X$12</f>
        <v>0.14285714285714285</v>
      </c>
      <c r="H342" s="359">
        <f t="shared" si="46"/>
        <v>448258.01915920438</v>
      </c>
      <c r="I342" s="672">
        <f t="shared" si="49"/>
        <v>5.4419449044030706E-6</v>
      </c>
      <c r="J342" s="673">
        <f t="shared" si="47"/>
        <v>3287596.5808353517</v>
      </c>
      <c r="K342" s="359">
        <f t="shared" si="50"/>
        <v>3287596.5808407934</v>
      </c>
      <c r="L342" s="673">
        <f t="shared" si="51"/>
        <v>2.4400651454925537E-7</v>
      </c>
    </row>
    <row r="343" spans="1:12" x14ac:dyDescent="0.35">
      <c r="A343" s="287" t="str">
        <f t="shared" si="48"/>
        <v/>
      </c>
      <c r="B343" s="288">
        <v>336</v>
      </c>
      <c r="C343" s="667">
        <f>IF('User Dashboard'!Z$12=5,
IF('SIR Model Patient Calcs'!B343&lt;'User Dashboard'!AJ$15,'User Dashboard'!AN$14,
IF('SIR Model Patient Calcs'!B343&lt;'User Dashboard'!AJ$16,'User Dashboard'!AN$15,
IF('SIR Model Patient Calcs'!B343&lt;'User Dashboard'!AJ$17,'User Dashboard'!AN$16,
IF('SIR Model Patient Calcs'!B343&lt;'User Dashboard'!AJ$18,'User Dashboard'!AN$17,
'User Dashboard'!AN$18)))),
IF('User Dashboard'!Z$12=4,
IF('SIR Model Patient Calcs'!B343&lt;'User Dashboard'!AJ$15,'User Dashboard'!AN$14,
IF('SIR Model Patient Calcs'!B343&lt;'User Dashboard'!AJ$16,'User Dashboard'!AN$15,
IF('SIR Model Patient Calcs'!B343&lt;'User Dashboard'!AJ$17,'User Dashboard'!AN$16,
'User Dashboard'!AN$17))),
IF('User Dashboard'!Z$12=3,
IF('SIR Model Patient Calcs'!B343&lt;'User Dashboard'!AJ$15,'User Dashboard'!AN$14,
IF('SIR Model Patient Calcs'!B343&lt;'User Dashboard'!AJ$16,'User Dashboard'!AN$15,
'User Dashboard'!AN$16)),
IF('User Dashboard'!Z$12=2,
IF('SIR Model Patient Calcs'!B343&lt;'User Dashboard'!AJ$15,'User Dashboard'!AN$14,
'User Dashboard'!AN$15),
IF('User Dashboard'!Z$12=1,
'User Dashboard'!AN$14)))))</f>
        <v>15.209356603107825</v>
      </c>
      <c r="D343" s="668">
        <f>'User Dashboard'!X$16</f>
        <v>2.2072878851804097E-2</v>
      </c>
      <c r="E343" s="660">
        <f t="shared" si="45"/>
        <v>8.9862781521070411E-8</v>
      </c>
      <c r="F343" s="660">
        <f t="shared" si="52"/>
        <v>8.9862781521070398E-8</v>
      </c>
      <c r="G343" s="670">
        <f>1/'User Dashboard'!X$12</f>
        <v>0.14285714285714285</v>
      </c>
      <c r="H343" s="359">
        <f t="shared" si="46"/>
        <v>448258.01915898517</v>
      </c>
      <c r="I343" s="672">
        <f t="shared" si="49"/>
        <v>4.8837350635317463E-6</v>
      </c>
      <c r="J343" s="673">
        <f t="shared" si="47"/>
        <v>3287596.5808361289</v>
      </c>
      <c r="K343" s="359">
        <f t="shared" si="50"/>
        <v>3287596.5808410128</v>
      </c>
      <c r="L343" s="673">
        <f t="shared" si="51"/>
        <v>2.1932646632194519E-7</v>
      </c>
    </row>
    <row r="344" spans="1:12" x14ac:dyDescent="0.35">
      <c r="A344" s="287" t="str">
        <f t="shared" si="48"/>
        <v/>
      </c>
      <c r="B344" s="288">
        <v>337</v>
      </c>
      <c r="C344" s="667">
        <f>IF('User Dashboard'!Z$12=5,
IF('SIR Model Patient Calcs'!B344&lt;'User Dashboard'!AJ$15,'User Dashboard'!AN$14,
IF('SIR Model Patient Calcs'!B344&lt;'User Dashboard'!AJ$16,'User Dashboard'!AN$15,
IF('SIR Model Patient Calcs'!B344&lt;'User Dashboard'!AJ$17,'User Dashboard'!AN$16,
IF('SIR Model Patient Calcs'!B344&lt;'User Dashboard'!AJ$18,'User Dashboard'!AN$17,
'User Dashboard'!AN$18)))),
IF('User Dashboard'!Z$12=4,
IF('SIR Model Patient Calcs'!B344&lt;'User Dashboard'!AJ$15,'User Dashboard'!AN$14,
IF('SIR Model Patient Calcs'!B344&lt;'User Dashboard'!AJ$16,'User Dashboard'!AN$15,
IF('SIR Model Patient Calcs'!B344&lt;'User Dashboard'!AJ$17,'User Dashboard'!AN$16,
'User Dashboard'!AN$17))),
IF('User Dashboard'!Z$12=3,
IF('SIR Model Patient Calcs'!B344&lt;'User Dashboard'!AJ$15,'User Dashboard'!AN$14,
IF('SIR Model Patient Calcs'!B344&lt;'User Dashboard'!AJ$16,'User Dashboard'!AN$15,
'User Dashboard'!AN$16)),
IF('User Dashboard'!Z$12=2,
IF('SIR Model Patient Calcs'!B344&lt;'User Dashboard'!AJ$15,'User Dashboard'!AN$14,
'User Dashboard'!AN$15),
IF('User Dashboard'!Z$12=1,
'User Dashboard'!AN$14)))))</f>
        <v>15.209356603107825</v>
      </c>
      <c r="D344" s="668">
        <f>'User Dashboard'!X$16</f>
        <v>2.2072878851804097E-2</v>
      </c>
      <c r="E344" s="660">
        <f t="shared" si="45"/>
        <v>8.9862781521070411E-8</v>
      </c>
      <c r="F344" s="660">
        <f t="shared" si="52"/>
        <v>8.9862781521070398E-8</v>
      </c>
      <c r="G344" s="670">
        <f>1/'User Dashboard'!X$12</f>
        <v>0.14285714285714285</v>
      </c>
      <c r="H344" s="359">
        <f t="shared" si="46"/>
        <v>448258.01915878843</v>
      </c>
      <c r="I344" s="672">
        <f t="shared" si="49"/>
        <v>4.382783837350356E-6</v>
      </c>
      <c r="J344" s="673">
        <f t="shared" si="47"/>
        <v>3287596.5808368265</v>
      </c>
      <c r="K344" s="359">
        <f t="shared" si="50"/>
        <v>3287596.5808412093</v>
      </c>
      <c r="L344" s="673">
        <f t="shared" si="51"/>
        <v>1.9650906324386597E-7</v>
      </c>
    </row>
    <row r="345" spans="1:12" x14ac:dyDescent="0.35">
      <c r="A345" s="287" t="str">
        <f t="shared" si="48"/>
        <v/>
      </c>
      <c r="B345" s="288">
        <v>338</v>
      </c>
      <c r="C345" s="667">
        <f>IF('User Dashboard'!Z$12=5,
IF('SIR Model Patient Calcs'!B345&lt;'User Dashboard'!AJ$15,'User Dashboard'!AN$14,
IF('SIR Model Patient Calcs'!B345&lt;'User Dashboard'!AJ$16,'User Dashboard'!AN$15,
IF('SIR Model Patient Calcs'!B345&lt;'User Dashboard'!AJ$17,'User Dashboard'!AN$16,
IF('SIR Model Patient Calcs'!B345&lt;'User Dashboard'!AJ$18,'User Dashboard'!AN$17,
'User Dashboard'!AN$18)))),
IF('User Dashboard'!Z$12=4,
IF('SIR Model Patient Calcs'!B345&lt;'User Dashboard'!AJ$15,'User Dashboard'!AN$14,
IF('SIR Model Patient Calcs'!B345&lt;'User Dashboard'!AJ$16,'User Dashboard'!AN$15,
IF('SIR Model Patient Calcs'!B345&lt;'User Dashboard'!AJ$17,'User Dashboard'!AN$16,
'User Dashboard'!AN$17))),
IF('User Dashboard'!Z$12=3,
IF('SIR Model Patient Calcs'!B345&lt;'User Dashboard'!AJ$15,'User Dashboard'!AN$14,
IF('SIR Model Patient Calcs'!B345&lt;'User Dashboard'!AJ$16,'User Dashboard'!AN$15,
'User Dashboard'!AN$16)),
IF('User Dashboard'!Z$12=2,
IF('SIR Model Patient Calcs'!B345&lt;'User Dashboard'!AJ$15,'User Dashboard'!AN$14,
'User Dashboard'!AN$15),
IF('User Dashboard'!Z$12=1,
'User Dashboard'!AN$14)))))</f>
        <v>15.209356603107825</v>
      </c>
      <c r="D345" s="668">
        <f>'User Dashboard'!X$16</f>
        <v>2.2072878851804097E-2</v>
      </c>
      <c r="E345" s="660">
        <f t="shared" si="45"/>
        <v>8.9862781521070411E-8</v>
      </c>
      <c r="F345" s="660">
        <f t="shared" si="52"/>
        <v>8.9862781521070398E-8</v>
      </c>
      <c r="G345" s="670">
        <f>1/'User Dashboard'!X$12</f>
        <v>0.14285714285714285</v>
      </c>
      <c r="H345" s="359">
        <f t="shared" si="46"/>
        <v>448258.01915861189</v>
      </c>
      <c r="I345" s="672">
        <f t="shared" si="49"/>
        <v>3.9332178988120634E-6</v>
      </c>
      <c r="J345" s="673">
        <f t="shared" si="47"/>
        <v>3287596.5808374528</v>
      </c>
      <c r="K345" s="359">
        <f t="shared" si="50"/>
        <v>3287596.5808413862</v>
      </c>
      <c r="L345" s="673">
        <f t="shared" si="51"/>
        <v>1.7695128917694092E-7</v>
      </c>
    </row>
    <row r="346" spans="1:12" x14ac:dyDescent="0.35">
      <c r="A346" s="287" t="str">
        <f t="shared" si="48"/>
        <v/>
      </c>
      <c r="B346" s="288">
        <v>339</v>
      </c>
      <c r="C346" s="667">
        <f>IF('User Dashboard'!Z$12=5,
IF('SIR Model Patient Calcs'!B346&lt;'User Dashboard'!AJ$15,'User Dashboard'!AN$14,
IF('SIR Model Patient Calcs'!B346&lt;'User Dashboard'!AJ$16,'User Dashboard'!AN$15,
IF('SIR Model Patient Calcs'!B346&lt;'User Dashboard'!AJ$17,'User Dashboard'!AN$16,
IF('SIR Model Patient Calcs'!B346&lt;'User Dashboard'!AJ$18,'User Dashboard'!AN$17,
'User Dashboard'!AN$18)))),
IF('User Dashboard'!Z$12=4,
IF('SIR Model Patient Calcs'!B346&lt;'User Dashboard'!AJ$15,'User Dashboard'!AN$14,
IF('SIR Model Patient Calcs'!B346&lt;'User Dashboard'!AJ$16,'User Dashboard'!AN$15,
IF('SIR Model Patient Calcs'!B346&lt;'User Dashboard'!AJ$17,'User Dashboard'!AN$16,
'User Dashboard'!AN$17))),
IF('User Dashboard'!Z$12=3,
IF('SIR Model Patient Calcs'!B346&lt;'User Dashboard'!AJ$15,'User Dashboard'!AN$14,
IF('SIR Model Patient Calcs'!B346&lt;'User Dashboard'!AJ$16,'User Dashboard'!AN$15,
'User Dashboard'!AN$16)),
IF('User Dashboard'!Z$12=2,
IF('SIR Model Patient Calcs'!B346&lt;'User Dashboard'!AJ$15,'User Dashboard'!AN$14,
'User Dashboard'!AN$15),
IF('User Dashboard'!Z$12=1,
'User Dashboard'!AN$14)))))</f>
        <v>15.209356603107825</v>
      </c>
      <c r="D346" s="668">
        <f>'User Dashboard'!X$16</f>
        <v>2.2072878851804097E-2</v>
      </c>
      <c r="E346" s="660">
        <f t="shared" si="45"/>
        <v>8.9862781521070398E-8</v>
      </c>
      <c r="F346" s="660">
        <f t="shared" si="52"/>
        <v>8.9862781521070398E-8</v>
      </c>
      <c r="G346" s="670">
        <f>1/'User Dashboard'!X$12</f>
        <v>0.14285714285714285</v>
      </c>
      <c r="H346" s="359">
        <f t="shared" si="46"/>
        <v>448258.01915845345</v>
      </c>
      <c r="I346" s="672">
        <f t="shared" si="49"/>
        <v>3.5297663799198301E-6</v>
      </c>
      <c r="J346" s="673">
        <f t="shared" si="47"/>
        <v>3287596.5808380148</v>
      </c>
      <c r="K346" s="359">
        <f t="shared" si="50"/>
        <v>3287596.5808415445</v>
      </c>
      <c r="L346" s="673">
        <f t="shared" si="51"/>
        <v>1.5832483768463135E-7</v>
      </c>
    </row>
    <row r="347" spans="1:12" x14ac:dyDescent="0.35">
      <c r="A347" s="287" t="str">
        <f t="shared" si="48"/>
        <v/>
      </c>
      <c r="B347" s="288">
        <v>340</v>
      </c>
      <c r="C347" s="667">
        <f>IF('User Dashboard'!Z$12=5,
IF('SIR Model Patient Calcs'!B347&lt;'User Dashboard'!AJ$15,'User Dashboard'!AN$14,
IF('SIR Model Patient Calcs'!B347&lt;'User Dashboard'!AJ$16,'User Dashboard'!AN$15,
IF('SIR Model Patient Calcs'!B347&lt;'User Dashboard'!AJ$17,'User Dashboard'!AN$16,
IF('SIR Model Patient Calcs'!B347&lt;'User Dashboard'!AJ$18,'User Dashboard'!AN$17,
'User Dashboard'!AN$18)))),
IF('User Dashboard'!Z$12=4,
IF('SIR Model Patient Calcs'!B347&lt;'User Dashboard'!AJ$15,'User Dashboard'!AN$14,
IF('SIR Model Patient Calcs'!B347&lt;'User Dashboard'!AJ$16,'User Dashboard'!AN$15,
IF('SIR Model Patient Calcs'!B347&lt;'User Dashboard'!AJ$17,'User Dashboard'!AN$16,
'User Dashboard'!AN$17))),
IF('User Dashboard'!Z$12=3,
IF('SIR Model Patient Calcs'!B347&lt;'User Dashboard'!AJ$15,'User Dashboard'!AN$14,
IF('SIR Model Patient Calcs'!B347&lt;'User Dashboard'!AJ$16,'User Dashboard'!AN$15,
'User Dashboard'!AN$16)),
IF('User Dashboard'!Z$12=2,
IF('SIR Model Patient Calcs'!B347&lt;'User Dashboard'!AJ$15,'User Dashboard'!AN$14,
'User Dashboard'!AN$15),
IF('User Dashboard'!Z$12=1,
'User Dashboard'!AN$14)))))</f>
        <v>15.209356603107825</v>
      </c>
      <c r="D347" s="668">
        <f>'User Dashboard'!X$16</f>
        <v>2.2072878851804097E-2</v>
      </c>
      <c r="E347" s="660">
        <f t="shared" si="45"/>
        <v>8.9862781521070398E-8</v>
      </c>
      <c r="F347" s="660">
        <f t="shared" si="52"/>
        <v>8.9862781521070398E-8</v>
      </c>
      <c r="G347" s="670">
        <f>1/'User Dashboard'!X$12</f>
        <v>0.14285714285714285</v>
      </c>
      <c r="H347" s="359">
        <f t="shared" si="46"/>
        <v>448258.01915831125</v>
      </c>
      <c r="I347" s="672">
        <f t="shared" si="49"/>
        <v>3.1676990742300779E-6</v>
      </c>
      <c r="J347" s="673">
        <f t="shared" si="47"/>
        <v>3287596.5808385191</v>
      </c>
      <c r="K347" s="359">
        <f t="shared" si="50"/>
        <v>3287596.580841687</v>
      </c>
      <c r="L347" s="673">
        <f t="shared" si="51"/>
        <v>1.4249235391616821E-7</v>
      </c>
    </row>
    <row r="348" spans="1:12" x14ac:dyDescent="0.35">
      <c r="A348" s="287" t="str">
        <f t="shared" si="48"/>
        <v/>
      </c>
      <c r="B348" s="288">
        <v>341</v>
      </c>
      <c r="C348" s="667">
        <f>IF('User Dashboard'!Z$12=5,
IF('SIR Model Patient Calcs'!B348&lt;'User Dashboard'!AJ$15,'User Dashboard'!AN$14,
IF('SIR Model Patient Calcs'!B348&lt;'User Dashboard'!AJ$16,'User Dashboard'!AN$15,
IF('SIR Model Patient Calcs'!B348&lt;'User Dashboard'!AJ$17,'User Dashboard'!AN$16,
IF('SIR Model Patient Calcs'!B348&lt;'User Dashboard'!AJ$18,'User Dashboard'!AN$17,
'User Dashboard'!AN$18)))),
IF('User Dashboard'!Z$12=4,
IF('SIR Model Patient Calcs'!B348&lt;'User Dashboard'!AJ$15,'User Dashboard'!AN$14,
IF('SIR Model Patient Calcs'!B348&lt;'User Dashboard'!AJ$16,'User Dashboard'!AN$15,
IF('SIR Model Patient Calcs'!B348&lt;'User Dashboard'!AJ$17,'User Dashboard'!AN$16,
'User Dashboard'!AN$17))),
IF('User Dashboard'!Z$12=3,
IF('SIR Model Patient Calcs'!B348&lt;'User Dashboard'!AJ$15,'User Dashboard'!AN$14,
IF('SIR Model Patient Calcs'!B348&lt;'User Dashboard'!AJ$16,'User Dashboard'!AN$15,
'User Dashboard'!AN$16)),
IF('User Dashboard'!Z$12=2,
IF('SIR Model Patient Calcs'!B348&lt;'User Dashboard'!AJ$15,'User Dashboard'!AN$14,
'User Dashboard'!AN$15),
IF('User Dashboard'!Z$12=1,
'User Dashboard'!AN$14)))))</f>
        <v>15.209356603107825</v>
      </c>
      <c r="D348" s="668">
        <f>'User Dashboard'!X$16</f>
        <v>2.2072878851804097E-2</v>
      </c>
      <c r="E348" s="660">
        <f t="shared" si="45"/>
        <v>8.9862781521070398E-8</v>
      </c>
      <c r="F348" s="660">
        <f t="shared" si="52"/>
        <v>8.9862781521070398E-8</v>
      </c>
      <c r="G348" s="670">
        <f>1/'User Dashboard'!X$12</f>
        <v>0.14285714285714285</v>
      </c>
      <c r="H348" s="359">
        <f t="shared" si="46"/>
        <v>448258.01915818366</v>
      </c>
      <c r="I348" s="672">
        <f t="shared" si="49"/>
        <v>2.8427709782611319E-6</v>
      </c>
      <c r="J348" s="673">
        <f t="shared" si="47"/>
        <v>3287596.5808389718</v>
      </c>
      <c r="K348" s="359">
        <f t="shared" si="50"/>
        <v>3287596.5808418146</v>
      </c>
      <c r="L348" s="673">
        <f t="shared" si="51"/>
        <v>1.2759119272232056E-7</v>
      </c>
    </row>
    <row r="349" spans="1:12" x14ac:dyDescent="0.35">
      <c r="A349" s="287" t="str">
        <f t="shared" si="48"/>
        <v/>
      </c>
      <c r="B349" s="288">
        <v>342</v>
      </c>
      <c r="C349" s="667">
        <f>IF('User Dashboard'!Z$12=5,
IF('SIR Model Patient Calcs'!B349&lt;'User Dashboard'!AJ$15,'User Dashboard'!AN$14,
IF('SIR Model Patient Calcs'!B349&lt;'User Dashboard'!AJ$16,'User Dashboard'!AN$15,
IF('SIR Model Patient Calcs'!B349&lt;'User Dashboard'!AJ$17,'User Dashboard'!AN$16,
IF('SIR Model Patient Calcs'!B349&lt;'User Dashboard'!AJ$18,'User Dashboard'!AN$17,
'User Dashboard'!AN$18)))),
IF('User Dashboard'!Z$12=4,
IF('SIR Model Patient Calcs'!B349&lt;'User Dashboard'!AJ$15,'User Dashboard'!AN$14,
IF('SIR Model Patient Calcs'!B349&lt;'User Dashboard'!AJ$16,'User Dashboard'!AN$15,
IF('SIR Model Patient Calcs'!B349&lt;'User Dashboard'!AJ$17,'User Dashboard'!AN$16,
'User Dashboard'!AN$17))),
IF('User Dashboard'!Z$12=3,
IF('SIR Model Patient Calcs'!B349&lt;'User Dashboard'!AJ$15,'User Dashboard'!AN$14,
IF('SIR Model Patient Calcs'!B349&lt;'User Dashboard'!AJ$16,'User Dashboard'!AN$15,
'User Dashboard'!AN$16)),
IF('User Dashboard'!Z$12=2,
IF('SIR Model Patient Calcs'!B349&lt;'User Dashboard'!AJ$15,'User Dashboard'!AN$14,
'User Dashboard'!AN$15),
IF('User Dashboard'!Z$12=1,
'User Dashboard'!AN$14)))))</f>
        <v>15.209356603107825</v>
      </c>
      <c r="D349" s="668">
        <f>'User Dashboard'!X$16</f>
        <v>2.2072878851804097E-2</v>
      </c>
      <c r="E349" s="660">
        <f t="shared" si="45"/>
        <v>8.9862781521070398E-8</v>
      </c>
      <c r="F349" s="660">
        <f t="shared" si="52"/>
        <v>8.9862781521070398E-8</v>
      </c>
      <c r="G349" s="670">
        <f>1/'User Dashboard'!X$12</f>
        <v>0.14285714285714285</v>
      </c>
      <c r="H349" s="359">
        <f t="shared" si="46"/>
        <v>448258.01915806916</v>
      </c>
      <c r="I349" s="672">
        <f t="shared" si="49"/>
        <v>2.5511725215905662E-6</v>
      </c>
      <c r="J349" s="673">
        <f t="shared" si="47"/>
        <v>3287596.5808393778</v>
      </c>
      <c r="K349" s="359">
        <f t="shared" si="50"/>
        <v>3287596.5808419292</v>
      </c>
      <c r="L349" s="673">
        <f t="shared" si="51"/>
        <v>1.1455267667770386E-7</v>
      </c>
    </row>
    <row r="350" spans="1:12" x14ac:dyDescent="0.35">
      <c r="A350" s="287" t="str">
        <f t="shared" si="48"/>
        <v/>
      </c>
      <c r="B350" s="288">
        <v>343</v>
      </c>
      <c r="C350" s="667">
        <f>IF('User Dashboard'!Z$12=5,
IF('SIR Model Patient Calcs'!B350&lt;'User Dashboard'!AJ$15,'User Dashboard'!AN$14,
IF('SIR Model Patient Calcs'!B350&lt;'User Dashboard'!AJ$16,'User Dashboard'!AN$15,
IF('SIR Model Patient Calcs'!B350&lt;'User Dashboard'!AJ$17,'User Dashboard'!AN$16,
IF('SIR Model Patient Calcs'!B350&lt;'User Dashboard'!AJ$18,'User Dashboard'!AN$17,
'User Dashboard'!AN$18)))),
IF('User Dashboard'!Z$12=4,
IF('SIR Model Patient Calcs'!B350&lt;'User Dashboard'!AJ$15,'User Dashboard'!AN$14,
IF('SIR Model Patient Calcs'!B350&lt;'User Dashboard'!AJ$16,'User Dashboard'!AN$15,
IF('SIR Model Patient Calcs'!B350&lt;'User Dashboard'!AJ$17,'User Dashboard'!AN$16,
'User Dashboard'!AN$17))),
IF('User Dashboard'!Z$12=3,
IF('SIR Model Patient Calcs'!B350&lt;'User Dashboard'!AJ$15,'User Dashboard'!AN$14,
IF('SIR Model Patient Calcs'!B350&lt;'User Dashboard'!AJ$16,'User Dashboard'!AN$15,
'User Dashboard'!AN$16)),
IF('User Dashboard'!Z$12=2,
IF('SIR Model Patient Calcs'!B350&lt;'User Dashboard'!AJ$15,'User Dashboard'!AN$14,
'User Dashboard'!AN$15),
IF('User Dashboard'!Z$12=1,
'User Dashboard'!AN$14)))))</f>
        <v>15.209356603107825</v>
      </c>
      <c r="D350" s="668">
        <f>'User Dashboard'!X$16</f>
        <v>2.2072878851804097E-2</v>
      </c>
      <c r="E350" s="660">
        <f t="shared" si="45"/>
        <v>8.9862781521070398E-8</v>
      </c>
      <c r="F350" s="660">
        <f t="shared" si="52"/>
        <v>8.9862781521070398E-8</v>
      </c>
      <c r="G350" s="670">
        <f>1/'User Dashboard'!X$12</f>
        <v>0.14285714285714285</v>
      </c>
      <c r="H350" s="359">
        <f t="shared" si="46"/>
        <v>448258.01915796642</v>
      </c>
      <c r="I350" s="672">
        <f t="shared" si="49"/>
        <v>2.2894849021217338E-6</v>
      </c>
      <c r="J350" s="673">
        <f t="shared" si="47"/>
        <v>3287596.5808397424</v>
      </c>
      <c r="K350" s="359">
        <f t="shared" si="50"/>
        <v>3287596.5808420321</v>
      </c>
      <c r="L350" s="673">
        <f t="shared" si="51"/>
        <v>1.0291114449501038E-7</v>
      </c>
    </row>
    <row r="351" spans="1:12" x14ac:dyDescent="0.35">
      <c r="A351" s="287" t="str">
        <f t="shared" si="48"/>
        <v/>
      </c>
      <c r="B351" s="288">
        <v>344</v>
      </c>
      <c r="C351" s="667">
        <f>IF('User Dashboard'!Z$12=5,
IF('SIR Model Patient Calcs'!B351&lt;'User Dashboard'!AJ$15,'User Dashboard'!AN$14,
IF('SIR Model Patient Calcs'!B351&lt;'User Dashboard'!AJ$16,'User Dashboard'!AN$15,
IF('SIR Model Patient Calcs'!B351&lt;'User Dashboard'!AJ$17,'User Dashboard'!AN$16,
IF('SIR Model Patient Calcs'!B351&lt;'User Dashboard'!AJ$18,'User Dashboard'!AN$17,
'User Dashboard'!AN$18)))),
IF('User Dashboard'!Z$12=4,
IF('SIR Model Patient Calcs'!B351&lt;'User Dashboard'!AJ$15,'User Dashboard'!AN$14,
IF('SIR Model Patient Calcs'!B351&lt;'User Dashboard'!AJ$16,'User Dashboard'!AN$15,
IF('SIR Model Patient Calcs'!B351&lt;'User Dashboard'!AJ$17,'User Dashboard'!AN$16,
'User Dashboard'!AN$17))),
IF('User Dashboard'!Z$12=3,
IF('SIR Model Patient Calcs'!B351&lt;'User Dashboard'!AJ$15,'User Dashboard'!AN$14,
IF('SIR Model Patient Calcs'!B351&lt;'User Dashboard'!AJ$16,'User Dashboard'!AN$15,
'User Dashboard'!AN$16)),
IF('User Dashboard'!Z$12=2,
IF('SIR Model Patient Calcs'!B351&lt;'User Dashboard'!AJ$15,'User Dashboard'!AN$14,
'User Dashboard'!AN$15),
IF('User Dashboard'!Z$12=1,
'User Dashboard'!AN$14)))))</f>
        <v>15.209356603107825</v>
      </c>
      <c r="D351" s="668">
        <f>'User Dashboard'!X$16</f>
        <v>2.2072878851804097E-2</v>
      </c>
      <c r="E351" s="660">
        <f t="shared" si="45"/>
        <v>8.9862781521070398E-8</v>
      </c>
      <c r="F351" s="660">
        <f t="shared" si="52"/>
        <v>8.9862781521070398E-8</v>
      </c>
      <c r="G351" s="670">
        <f>1/'User Dashboard'!X$12</f>
        <v>0.14285714285714285</v>
      </c>
      <c r="H351" s="359">
        <f t="shared" si="46"/>
        <v>448258.01915787422</v>
      </c>
      <c r="I351" s="672">
        <f t="shared" si="49"/>
        <v>2.0546400028545582E-6</v>
      </c>
      <c r="J351" s="673">
        <f t="shared" si="47"/>
        <v>3287596.5808400693</v>
      </c>
      <c r="K351" s="359">
        <f t="shared" si="50"/>
        <v>3287596.5808421238</v>
      </c>
      <c r="L351" s="673">
        <f t="shared" si="51"/>
        <v>9.1735273599624634E-8</v>
      </c>
    </row>
    <row r="352" spans="1:12" x14ac:dyDescent="0.35">
      <c r="A352" s="287" t="str">
        <f t="shared" si="48"/>
        <v/>
      </c>
      <c r="B352" s="288">
        <v>345</v>
      </c>
      <c r="C352" s="667">
        <f>IF('User Dashboard'!Z$12=5,
IF('SIR Model Patient Calcs'!B352&lt;'User Dashboard'!AJ$15,'User Dashboard'!AN$14,
IF('SIR Model Patient Calcs'!B352&lt;'User Dashboard'!AJ$16,'User Dashboard'!AN$15,
IF('SIR Model Patient Calcs'!B352&lt;'User Dashboard'!AJ$17,'User Dashboard'!AN$16,
IF('SIR Model Patient Calcs'!B352&lt;'User Dashboard'!AJ$18,'User Dashboard'!AN$17,
'User Dashboard'!AN$18)))),
IF('User Dashboard'!Z$12=4,
IF('SIR Model Patient Calcs'!B352&lt;'User Dashboard'!AJ$15,'User Dashboard'!AN$14,
IF('SIR Model Patient Calcs'!B352&lt;'User Dashboard'!AJ$16,'User Dashboard'!AN$15,
IF('SIR Model Patient Calcs'!B352&lt;'User Dashboard'!AJ$17,'User Dashboard'!AN$16,
'User Dashboard'!AN$17))),
IF('User Dashboard'!Z$12=3,
IF('SIR Model Patient Calcs'!B352&lt;'User Dashboard'!AJ$15,'User Dashboard'!AN$14,
IF('SIR Model Patient Calcs'!B352&lt;'User Dashboard'!AJ$16,'User Dashboard'!AN$15,
'User Dashboard'!AN$16)),
IF('User Dashboard'!Z$12=2,
IF('SIR Model Patient Calcs'!B352&lt;'User Dashboard'!AJ$15,'User Dashboard'!AN$14,
'User Dashboard'!AN$15),
IF('User Dashboard'!Z$12=1,
'User Dashboard'!AN$14)))))</f>
        <v>15.209356603107825</v>
      </c>
      <c r="D352" s="668">
        <f>'User Dashboard'!X$16</f>
        <v>2.2072878851804097E-2</v>
      </c>
      <c r="E352" s="660">
        <f t="shared" si="45"/>
        <v>8.9862781521070398E-8</v>
      </c>
      <c r="F352" s="660">
        <f t="shared" si="52"/>
        <v>8.9862781521070398E-8</v>
      </c>
      <c r="G352" s="670">
        <f>1/'User Dashboard'!X$12</f>
        <v>0.14285714285714285</v>
      </c>
      <c r="H352" s="359">
        <f t="shared" si="46"/>
        <v>448258.01915779145</v>
      </c>
      <c r="I352" s="672">
        <f t="shared" si="49"/>
        <v>1.8438844202108117E-6</v>
      </c>
      <c r="J352" s="673">
        <f t="shared" si="47"/>
        <v>3287596.5808403627</v>
      </c>
      <c r="K352" s="359">
        <f t="shared" si="50"/>
        <v>3287596.5808422067</v>
      </c>
      <c r="L352" s="673">
        <f t="shared" si="51"/>
        <v>8.2887709140777588E-8</v>
      </c>
    </row>
    <row r="353" spans="1:12" x14ac:dyDescent="0.35">
      <c r="A353" s="287" t="str">
        <f t="shared" si="48"/>
        <v/>
      </c>
      <c r="B353" s="288">
        <v>346</v>
      </c>
      <c r="C353" s="667">
        <f>IF('User Dashboard'!Z$12=5,
IF('SIR Model Patient Calcs'!B353&lt;'User Dashboard'!AJ$15,'User Dashboard'!AN$14,
IF('SIR Model Patient Calcs'!B353&lt;'User Dashboard'!AJ$16,'User Dashboard'!AN$15,
IF('SIR Model Patient Calcs'!B353&lt;'User Dashboard'!AJ$17,'User Dashboard'!AN$16,
IF('SIR Model Patient Calcs'!B353&lt;'User Dashboard'!AJ$18,'User Dashboard'!AN$17,
'User Dashboard'!AN$18)))),
IF('User Dashboard'!Z$12=4,
IF('SIR Model Patient Calcs'!B353&lt;'User Dashboard'!AJ$15,'User Dashboard'!AN$14,
IF('SIR Model Patient Calcs'!B353&lt;'User Dashboard'!AJ$16,'User Dashboard'!AN$15,
IF('SIR Model Patient Calcs'!B353&lt;'User Dashboard'!AJ$17,'User Dashboard'!AN$16,
'User Dashboard'!AN$17))),
IF('User Dashboard'!Z$12=3,
IF('SIR Model Patient Calcs'!B353&lt;'User Dashboard'!AJ$15,'User Dashboard'!AN$14,
IF('SIR Model Patient Calcs'!B353&lt;'User Dashboard'!AJ$16,'User Dashboard'!AN$15,
'User Dashboard'!AN$16)),
IF('User Dashboard'!Z$12=2,
IF('SIR Model Patient Calcs'!B353&lt;'User Dashboard'!AJ$15,'User Dashboard'!AN$14,
'User Dashboard'!AN$15),
IF('User Dashboard'!Z$12=1,
'User Dashboard'!AN$14)))))</f>
        <v>15.209356603107825</v>
      </c>
      <c r="D353" s="668">
        <f>'User Dashboard'!X$16</f>
        <v>2.2072878851804097E-2</v>
      </c>
      <c r="E353" s="660">
        <f t="shared" si="45"/>
        <v>8.9862781521070398E-8</v>
      </c>
      <c r="F353" s="660">
        <f t="shared" si="52"/>
        <v>8.9862781521070398E-8</v>
      </c>
      <c r="G353" s="670">
        <f>1/'User Dashboard'!X$12</f>
        <v>0.14285714285714285</v>
      </c>
      <c r="H353" s="359">
        <f t="shared" si="46"/>
        <v>448258.01915771718</v>
      </c>
      <c r="I353" s="672">
        <f t="shared" si="49"/>
        <v>1.6547471821694119E-6</v>
      </c>
      <c r="J353" s="673">
        <f t="shared" si="47"/>
        <v>3287596.5808406263</v>
      </c>
      <c r="K353" s="359">
        <f t="shared" si="50"/>
        <v>3287596.5808422812</v>
      </c>
      <c r="L353" s="673">
        <f t="shared" si="51"/>
        <v>7.4505805969238281E-8</v>
      </c>
    </row>
    <row r="354" spans="1:12" x14ac:dyDescent="0.35">
      <c r="A354" s="287" t="str">
        <f t="shared" si="48"/>
        <v/>
      </c>
      <c r="B354" s="288">
        <v>347</v>
      </c>
      <c r="C354" s="667">
        <f>IF('User Dashboard'!Z$12=5,
IF('SIR Model Patient Calcs'!B354&lt;'User Dashboard'!AJ$15,'User Dashboard'!AN$14,
IF('SIR Model Patient Calcs'!B354&lt;'User Dashboard'!AJ$16,'User Dashboard'!AN$15,
IF('SIR Model Patient Calcs'!B354&lt;'User Dashboard'!AJ$17,'User Dashboard'!AN$16,
IF('SIR Model Patient Calcs'!B354&lt;'User Dashboard'!AJ$18,'User Dashboard'!AN$17,
'User Dashboard'!AN$18)))),
IF('User Dashboard'!Z$12=4,
IF('SIR Model Patient Calcs'!B354&lt;'User Dashboard'!AJ$15,'User Dashboard'!AN$14,
IF('SIR Model Patient Calcs'!B354&lt;'User Dashboard'!AJ$16,'User Dashboard'!AN$15,
IF('SIR Model Patient Calcs'!B354&lt;'User Dashboard'!AJ$17,'User Dashboard'!AN$16,
'User Dashboard'!AN$17))),
IF('User Dashboard'!Z$12=3,
IF('SIR Model Patient Calcs'!B354&lt;'User Dashboard'!AJ$15,'User Dashboard'!AN$14,
IF('SIR Model Patient Calcs'!B354&lt;'User Dashboard'!AJ$16,'User Dashboard'!AN$15,
'User Dashboard'!AN$16)),
IF('User Dashboard'!Z$12=2,
IF('SIR Model Patient Calcs'!B354&lt;'User Dashboard'!AJ$15,'User Dashboard'!AN$14,
'User Dashboard'!AN$15),
IF('User Dashboard'!Z$12=1,
'User Dashboard'!AN$14)))))</f>
        <v>15.209356603107825</v>
      </c>
      <c r="D354" s="668">
        <f>'User Dashboard'!X$16</f>
        <v>2.2072878851804097E-2</v>
      </c>
      <c r="E354" s="660">
        <f t="shared" si="45"/>
        <v>8.9862781521070398E-8</v>
      </c>
      <c r="F354" s="660">
        <f t="shared" si="52"/>
        <v>8.9862781521070398E-8</v>
      </c>
      <c r="G354" s="670">
        <f>1/'User Dashboard'!X$12</f>
        <v>0.14285714285714285</v>
      </c>
      <c r="H354" s="359">
        <f t="shared" si="46"/>
        <v>448258.01915765053</v>
      </c>
      <c r="I354" s="672">
        <f t="shared" si="49"/>
        <v>1.4850107777278855E-6</v>
      </c>
      <c r="J354" s="673">
        <f t="shared" si="47"/>
        <v>3287596.5808408628</v>
      </c>
      <c r="K354" s="359">
        <f t="shared" si="50"/>
        <v>3287596.5808423478</v>
      </c>
      <c r="L354" s="673">
        <f t="shared" si="51"/>
        <v>6.6589564085006714E-8</v>
      </c>
    </row>
    <row r="355" spans="1:12" x14ac:dyDescent="0.35">
      <c r="A355" s="287" t="str">
        <f t="shared" si="48"/>
        <v/>
      </c>
      <c r="B355" s="288">
        <v>348</v>
      </c>
      <c r="C355" s="667">
        <f>IF('User Dashboard'!Z$12=5,
IF('SIR Model Patient Calcs'!B355&lt;'User Dashboard'!AJ$15,'User Dashboard'!AN$14,
IF('SIR Model Patient Calcs'!B355&lt;'User Dashboard'!AJ$16,'User Dashboard'!AN$15,
IF('SIR Model Patient Calcs'!B355&lt;'User Dashboard'!AJ$17,'User Dashboard'!AN$16,
IF('SIR Model Patient Calcs'!B355&lt;'User Dashboard'!AJ$18,'User Dashboard'!AN$17,
'User Dashboard'!AN$18)))),
IF('User Dashboard'!Z$12=4,
IF('SIR Model Patient Calcs'!B355&lt;'User Dashboard'!AJ$15,'User Dashboard'!AN$14,
IF('SIR Model Patient Calcs'!B355&lt;'User Dashboard'!AJ$16,'User Dashboard'!AN$15,
IF('SIR Model Patient Calcs'!B355&lt;'User Dashboard'!AJ$17,'User Dashboard'!AN$16,
'User Dashboard'!AN$17))),
IF('User Dashboard'!Z$12=3,
IF('SIR Model Patient Calcs'!B355&lt;'User Dashboard'!AJ$15,'User Dashboard'!AN$14,
IF('SIR Model Patient Calcs'!B355&lt;'User Dashboard'!AJ$16,'User Dashboard'!AN$15,
'User Dashboard'!AN$16)),
IF('User Dashboard'!Z$12=2,
IF('SIR Model Patient Calcs'!B355&lt;'User Dashboard'!AJ$15,'User Dashboard'!AN$14,
'User Dashboard'!AN$15),
IF('User Dashboard'!Z$12=1,
'User Dashboard'!AN$14)))))</f>
        <v>15.209356603107825</v>
      </c>
      <c r="D355" s="668">
        <f>'User Dashboard'!X$16</f>
        <v>2.2072878851804097E-2</v>
      </c>
      <c r="E355" s="660">
        <f t="shared" si="45"/>
        <v>8.9862781521070385E-8</v>
      </c>
      <c r="F355" s="660">
        <f t="shared" si="52"/>
        <v>8.9862781521070398E-8</v>
      </c>
      <c r="G355" s="670">
        <f>1/'User Dashboard'!X$12</f>
        <v>0.14285714285714285</v>
      </c>
      <c r="H355" s="359">
        <f t="shared" si="46"/>
        <v>448258.01915759069</v>
      </c>
      <c r="I355" s="672">
        <f t="shared" si="49"/>
        <v>1.3326851580292897E-6</v>
      </c>
      <c r="J355" s="673">
        <f t="shared" si="47"/>
        <v>3287596.5808410752</v>
      </c>
      <c r="K355" s="359">
        <f t="shared" si="50"/>
        <v>3287596.5808424079</v>
      </c>
      <c r="L355" s="673">
        <f t="shared" si="51"/>
        <v>6.0070306062698364E-8</v>
      </c>
    </row>
    <row r="356" spans="1:12" x14ac:dyDescent="0.35">
      <c r="A356" s="287" t="str">
        <f t="shared" si="48"/>
        <v/>
      </c>
      <c r="B356" s="288">
        <v>349</v>
      </c>
      <c r="C356" s="667">
        <f>IF('User Dashboard'!Z$12=5,
IF('SIR Model Patient Calcs'!B356&lt;'User Dashboard'!AJ$15,'User Dashboard'!AN$14,
IF('SIR Model Patient Calcs'!B356&lt;'User Dashboard'!AJ$16,'User Dashboard'!AN$15,
IF('SIR Model Patient Calcs'!B356&lt;'User Dashboard'!AJ$17,'User Dashboard'!AN$16,
IF('SIR Model Patient Calcs'!B356&lt;'User Dashboard'!AJ$18,'User Dashboard'!AN$17,
'User Dashboard'!AN$18)))),
IF('User Dashboard'!Z$12=4,
IF('SIR Model Patient Calcs'!B356&lt;'User Dashboard'!AJ$15,'User Dashboard'!AN$14,
IF('SIR Model Patient Calcs'!B356&lt;'User Dashboard'!AJ$16,'User Dashboard'!AN$15,
IF('SIR Model Patient Calcs'!B356&lt;'User Dashboard'!AJ$17,'User Dashboard'!AN$16,
'User Dashboard'!AN$17))),
IF('User Dashboard'!Z$12=3,
IF('SIR Model Patient Calcs'!B356&lt;'User Dashboard'!AJ$15,'User Dashboard'!AN$14,
IF('SIR Model Patient Calcs'!B356&lt;'User Dashboard'!AJ$16,'User Dashboard'!AN$15,
'User Dashboard'!AN$16)),
IF('User Dashboard'!Z$12=2,
IF('SIR Model Patient Calcs'!B356&lt;'User Dashboard'!AJ$15,'User Dashboard'!AN$14,
'User Dashboard'!AN$15),
IF('User Dashboard'!Z$12=1,
'User Dashboard'!AN$14)))))</f>
        <v>15.209356603107825</v>
      </c>
      <c r="D356" s="668">
        <f>'User Dashboard'!X$16</f>
        <v>2.2072878851804097E-2</v>
      </c>
      <c r="E356" s="660">
        <f t="shared" si="45"/>
        <v>8.9862781521070385E-8</v>
      </c>
      <c r="F356" s="660">
        <f t="shared" si="52"/>
        <v>8.9862781521070398E-8</v>
      </c>
      <c r="G356" s="670">
        <f>1/'User Dashboard'!X$12</f>
        <v>0.14285714285714285</v>
      </c>
      <c r="H356" s="359">
        <f t="shared" si="46"/>
        <v>448258.01915753703</v>
      </c>
      <c r="I356" s="672">
        <f t="shared" si="49"/>
        <v>1.195984404334732E-6</v>
      </c>
      <c r="J356" s="673">
        <f t="shared" si="47"/>
        <v>3287596.5808412656</v>
      </c>
      <c r="K356" s="359">
        <f t="shared" si="50"/>
        <v>3287596.5808424614</v>
      </c>
      <c r="L356" s="673">
        <f t="shared" si="51"/>
        <v>5.3551048040390015E-8</v>
      </c>
    </row>
    <row r="357" spans="1:12" x14ac:dyDescent="0.35">
      <c r="A357" s="287" t="str">
        <f t="shared" si="48"/>
        <v/>
      </c>
      <c r="B357" s="288">
        <v>350</v>
      </c>
      <c r="C357" s="667">
        <f>IF('User Dashboard'!Z$12=5,
IF('SIR Model Patient Calcs'!B357&lt;'User Dashboard'!AJ$15,'User Dashboard'!AN$14,
IF('SIR Model Patient Calcs'!B357&lt;'User Dashboard'!AJ$16,'User Dashboard'!AN$15,
IF('SIR Model Patient Calcs'!B357&lt;'User Dashboard'!AJ$17,'User Dashboard'!AN$16,
IF('SIR Model Patient Calcs'!B357&lt;'User Dashboard'!AJ$18,'User Dashboard'!AN$17,
'User Dashboard'!AN$18)))),
IF('User Dashboard'!Z$12=4,
IF('SIR Model Patient Calcs'!B357&lt;'User Dashboard'!AJ$15,'User Dashboard'!AN$14,
IF('SIR Model Patient Calcs'!B357&lt;'User Dashboard'!AJ$16,'User Dashboard'!AN$15,
IF('SIR Model Patient Calcs'!B357&lt;'User Dashboard'!AJ$17,'User Dashboard'!AN$16,
'User Dashboard'!AN$17))),
IF('User Dashboard'!Z$12=3,
IF('SIR Model Patient Calcs'!B357&lt;'User Dashboard'!AJ$15,'User Dashboard'!AN$14,
IF('SIR Model Patient Calcs'!B357&lt;'User Dashboard'!AJ$16,'User Dashboard'!AN$15,
'User Dashboard'!AN$16)),
IF('User Dashboard'!Z$12=2,
IF('SIR Model Patient Calcs'!B357&lt;'User Dashboard'!AJ$15,'User Dashboard'!AN$14,
'User Dashboard'!AN$15),
IF('User Dashboard'!Z$12=1,
'User Dashboard'!AN$14)))))</f>
        <v>15.209356603107825</v>
      </c>
      <c r="D357" s="668">
        <f>'User Dashboard'!X$16</f>
        <v>2.2072878851804097E-2</v>
      </c>
      <c r="E357" s="660">
        <f t="shared" si="45"/>
        <v>8.9862781521070385E-8</v>
      </c>
      <c r="F357" s="660">
        <f t="shared" si="52"/>
        <v>8.9862781521070398E-8</v>
      </c>
      <c r="G357" s="670">
        <f>1/'User Dashboard'!X$12</f>
        <v>0.14285714285714285</v>
      </c>
      <c r="H357" s="359">
        <f t="shared" si="46"/>
        <v>448258.01915748883</v>
      </c>
      <c r="I357" s="672">
        <f t="shared" si="49"/>
        <v>1.0733057892886501E-6</v>
      </c>
      <c r="J357" s="673">
        <f t="shared" si="47"/>
        <v>3287596.5808414365</v>
      </c>
      <c r="K357" s="359">
        <f t="shared" si="50"/>
        <v>3287596.5808425099</v>
      </c>
      <c r="L357" s="673">
        <f t="shared" si="51"/>
        <v>4.8428773880004883E-8</v>
      </c>
    </row>
    <row r="358" spans="1:12" x14ac:dyDescent="0.35">
      <c r="A358" s="287" t="str">
        <f t="shared" si="48"/>
        <v/>
      </c>
      <c r="B358" s="288">
        <v>351</v>
      </c>
      <c r="C358" s="667">
        <f>IF('User Dashboard'!Z$12=5,
IF('SIR Model Patient Calcs'!B358&lt;'User Dashboard'!AJ$15,'User Dashboard'!AN$14,
IF('SIR Model Patient Calcs'!B358&lt;'User Dashboard'!AJ$16,'User Dashboard'!AN$15,
IF('SIR Model Patient Calcs'!B358&lt;'User Dashboard'!AJ$17,'User Dashboard'!AN$16,
IF('SIR Model Patient Calcs'!B358&lt;'User Dashboard'!AJ$18,'User Dashboard'!AN$17,
'User Dashboard'!AN$18)))),
IF('User Dashboard'!Z$12=4,
IF('SIR Model Patient Calcs'!B358&lt;'User Dashboard'!AJ$15,'User Dashboard'!AN$14,
IF('SIR Model Patient Calcs'!B358&lt;'User Dashboard'!AJ$16,'User Dashboard'!AN$15,
IF('SIR Model Patient Calcs'!B358&lt;'User Dashboard'!AJ$17,'User Dashboard'!AN$16,
'User Dashboard'!AN$17))),
IF('User Dashboard'!Z$12=3,
IF('SIR Model Patient Calcs'!B358&lt;'User Dashboard'!AJ$15,'User Dashboard'!AN$14,
IF('SIR Model Patient Calcs'!B358&lt;'User Dashboard'!AJ$16,'User Dashboard'!AN$15,
'User Dashboard'!AN$16)),
IF('User Dashboard'!Z$12=2,
IF('SIR Model Patient Calcs'!B358&lt;'User Dashboard'!AJ$15,'User Dashboard'!AN$14,
'User Dashboard'!AN$15),
IF('User Dashboard'!Z$12=1,
'User Dashboard'!AN$14)))))</f>
        <v>15.209356603107825</v>
      </c>
      <c r="D358" s="668">
        <f>'User Dashboard'!X$16</f>
        <v>2.2072878851804097E-2</v>
      </c>
      <c r="E358" s="660">
        <f t="shared" si="45"/>
        <v>8.9862781521070385E-8</v>
      </c>
      <c r="F358" s="660">
        <f t="shared" si="52"/>
        <v>8.9862781521070398E-8</v>
      </c>
      <c r="G358" s="670">
        <f>1/'User Dashboard'!X$12</f>
        <v>0.14285714285714285</v>
      </c>
      <c r="H358" s="359">
        <f t="shared" si="46"/>
        <v>448258.01915744558</v>
      </c>
      <c r="I358" s="672">
        <f t="shared" si="49"/>
        <v>9.6321098598381805E-7</v>
      </c>
      <c r="J358" s="673">
        <f t="shared" si="47"/>
        <v>3287596.5808415897</v>
      </c>
      <c r="K358" s="359">
        <f t="shared" si="50"/>
        <v>3287596.5808425527</v>
      </c>
      <c r="L358" s="673">
        <f t="shared" si="51"/>
        <v>4.2840838432312012E-8</v>
      </c>
    </row>
    <row r="359" spans="1:12" x14ac:dyDescent="0.35">
      <c r="A359" s="287" t="str">
        <f t="shared" si="48"/>
        <v/>
      </c>
      <c r="B359" s="288">
        <v>352</v>
      </c>
      <c r="C359" s="667">
        <f>IF('User Dashboard'!Z$12=5,
IF('SIR Model Patient Calcs'!B359&lt;'User Dashboard'!AJ$15,'User Dashboard'!AN$14,
IF('SIR Model Patient Calcs'!B359&lt;'User Dashboard'!AJ$16,'User Dashboard'!AN$15,
IF('SIR Model Patient Calcs'!B359&lt;'User Dashboard'!AJ$17,'User Dashboard'!AN$16,
IF('SIR Model Patient Calcs'!B359&lt;'User Dashboard'!AJ$18,'User Dashboard'!AN$17,
'User Dashboard'!AN$18)))),
IF('User Dashboard'!Z$12=4,
IF('SIR Model Patient Calcs'!B359&lt;'User Dashboard'!AJ$15,'User Dashboard'!AN$14,
IF('SIR Model Patient Calcs'!B359&lt;'User Dashboard'!AJ$16,'User Dashboard'!AN$15,
IF('SIR Model Patient Calcs'!B359&lt;'User Dashboard'!AJ$17,'User Dashboard'!AN$16,
'User Dashboard'!AN$17))),
IF('User Dashboard'!Z$12=3,
IF('SIR Model Patient Calcs'!B359&lt;'User Dashboard'!AJ$15,'User Dashboard'!AN$14,
IF('SIR Model Patient Calcs'!B359&lt;'User Dashboard'!AJ$16,'User Dashboard'!AN$15,
'User Dashboard'!AN$16)),
IF('User Dashboard'!Z$12=2,
IF('SIR Model Patient Calcs'!B359&lt;'User Dashboard'!AJ$15,'User Dashboard'!AN$14,
'User Dashboard'!AN$15),
IF('User Dashboard'!Z$12=1,
'User Dashboard'!AN$14)))))</f>
        <v>15.209356603107825</v>
      </c>
      <c r="D359" s="668">
        <f>'User Dashboard'!X$16</f>
        <v>2.2072878851804097E-2</v>
      </c>
      <c r="E359" s="660">
        <f t="shared" si="45"/>
        <v>8.9862781521070398E-8</v>
      </c>
      <c r="F359" s="660">
        <f t="shared" si="52"/>
        <v>8.9862781521070385E-8</v>
      </c>
      <c r="G359" s="670">
        <f>1/'User Dashboard'!X$12</f>
        <v>0.14285714285714285</v>
      </c>
      <c r="H359" s="359">
        <f t="shared" si="46"/>
        <v>448258.01915740676</v>
      </c>
      <c r="I359" s="672">
        <f t="shared" si="49"/>
        <v>8.6440920451459811E-7</v>
      </c>
      <c r="J359" s="673">
        <f t="shared" si="47"/>
        <v>3287596.5808417271</v>
      </c>
      <c r="K359" s="359">
        <f t="shared" si="50"/>
        <v>3287596.5808425914</v>
      </c>
      <c r="L359" s="673">
        <f t="shared" si="51"/>
        <v>3.8649886846542358E-8</v>
      </c>
    </row>
    <row r="360" spans="1:12" x14ac:dyDescent="0.35">
      <c r="A360" s="287" t="str">
        <f t="shared" si="48"/>
        <v/>
      </c>
      <c r="B360" s="288">
        <v>353</v>
      </c>
      <c r="C360" s="667">
        <f>IF('User Dashboard'!Z$12=5,
IF('SIR Model Patient Calcs'!B360&lt;'User Dashboard'!AJ$15,'User Dashboard'!AN$14,
IF('SIR Model Patient Calcs'!B360&lt;'User Dashboard'!AJ$16,'User Dashboard'!AN$15,
IF('SIR Model Patient Calcs'!B360&lt;'User Dashboard'!AJ$17,'User Dashboard'!AN$16,
IF('SIR Model Patient Calcs'!B360&lt;'User Dashboard'!AJ$18,'User Dashboard'!AN$17,
'User Dashboard'!AN$18)))),
IF('User Dashboard'!Z$12=4,
IF('SIR Model Patient Calcs'!B360&lt;'User Dashboard'!AJ$15,'User Dashboard'!AN$14,
IF('SIR Model Patient Calcs'!B360&lt;'User Dashboard'!AJ$16,'User Dashboard'!AN$15,
IF('SIR Model Patient Calcs'!B360&lt;'User Dashboard'!AJ$17,'User Dashboard'!AN$16,
'User Dashboard'!AN$17))),
IF('User Dashboard'!Z$12=3,
IF('SIR Model Patient Calcs'!B360&lt;'User Dashboard'!AJ$15,'User Dashboard'!AN$14,
IF('SIR Model Patient Calcs'!B360&lt;'User Dashboard'!AJ$16,'User Dashboard'!AN$15,
'User Dashboard'!AN$16)),
IF('User Dashboard'!Z$12=2,
IF('SIR Model Patient Calcs'!B360&lt;'User Dashboard'!AJ$15,'User Dashboard'!AN$14,
'User Dashboard'!AN$15),
IF('User Dashboard'!Z$12=1,
'User Dashboard'!AN$14)))))</f>
        <v>15.209356603107825</v>
      </c>
      <c r="D360" s="668">
        <f>'User Dashboard'!X$16</f>
        <v>2.2072878851804097E-2</v>
      </c>
      <c r="E360" s="660">
        <f t="shared" si="45"/>
        <v>8.9862781521070398E-8</v>
      </c>
      <c r="F360" s="660">
        <f t="shared" si="52"/>
        <v>8.9862781521070385E-8</v>
      </c>
      <c r="G360" s="670">
        <f>1/'User Dashboard'!X$12</f>
        <v>0.14285714285714285</v>
      </c>
      <c r="H360" s="359">
        <f t="shared" si="46"/>
        <v>448258.01915737195</v>
      </c>
      <c r="I360" s="672">
        <f t="shared" si="49"/>
        <v>7.7574205830550026E-7</v>
      </c>
      <c r="J360" s="673">
        <f t="shared" si="47"/>
        <v>3287596.5808418505</v>
      </c>
      <c r="K360" s="359">
        <f t="shared" si="50"/>
        <v>3287596.5808426263</v>
      </c>
      <c r="L360" s="673">
        <f t="shared" si="51"/>
        <v>3.4924596548080444E-8</v>
      </c>
    </row>
    <row r="361" spans="1:12" x14ac:dyDescent="0.35">
      <c r="A361" s="287" t="str">
        <f t="shared" si="48"/>
        <v/>
      </c>
      <c r="B361" s="288">
        <v>354</v>
      </c>
      <c r="C361" s="667">
        <f>IF('User Dashboard'!Z$12=5,
IF('SIR Model Patient Calcs'!B361&lt;'User Dashboard'!AJ$15,'User Dashboard'!AN$14,
IF('SIR Model Patient Calcs'!B361&lt;'User Dashboard'!AJ$16,'User Dashboard'!AN$15,
IF('SIR Model Patient Calcs'!B361&lt;'User Dashboard'!AJ$17,'User Dashboard'!AN$16,
IF('SIR Model Patient Calcs'!B361&lt;'User Dashboard'!AJ$18,'User Dashboard'!AN$17,
'User Dashboard'!AN$18)))),
IF('User Dashboard'!Z$12=4,
IF('SIR Model Patient Calcs'!B361&lt;'User Dashboard'!AJ$15,'User Dashboard'!AN$14,
IF('SIR Model Patient Calcs'!B361&lt;'User Dashboard'!AJ$16,'User Dashboard'!AN$15,
IF('SIR Model Patient Calcs'!B361&lt;'User Dashboard'!AJ$17,'User Dashboard'!AN$16,
'User Dashboard'!AN$17))),
IF('User Dashboard'!Z$12=3,
IF('SIR Model Patient Calcs'!B361&lt;'User Dashboard'!AJ$15,'User Dashboard'!AN$14,
IF('SIR Model Patient Calcs'!B361&lt;'User Dashboard'!AJ$16,'User Dashboard'!AN$15,
'User Dashboard'!AN$16)),
IF('User Dashboard'!Z$12=2,
IF('SIR Model Patient Calcs'!B361&lt;'User Dashboard'!AJ$15,'User Dashboard'!AN$14,
'User Dashboard'!AN$15),
IF('User Dashboard'!Z$12=1,
'User Dashboard'!AN$14)))))</f>
        <v>15.209356603107825</v>
      </c>
      <c r="D361" s="668">
        <f>'User Dashboard'!X$16</f>
        <v>2.2072878851804097E-2</v>
      </c>
      <c r="E361" s="660">
        <f t="shared" si="45"/>
        <v>8.9862781521070398E-8</v>
      </c>
      <c r="F361" s="660">
        <f t="shared" si="52"/>
        <v>8.9862781521070385E-8</v>
      </c>
      <c r="G361" s="670">
        <f>1/'User Dashboard'!X$12</f>
        <v>0.14285714285714285</v>
      </c>
      <c r="H361" s="359">
        <f t="shared" si="46"/>
        <v>448258.01915734069</v>
      </c>
      <c r="I361" s="672">
        <f t="shared" si="49"/>
        <v>6.9616998278260387E-7</v>
      </c>
      <c r="J361" s="673">
        <f t="shared" si="47"/>
        <v>3287596.5808419613</v>
      </c>
      <c r="K361" s="359">
        <f t="shared" si="50"/>
        <v>3287596.5808426575</v>
      </c>
      <c r="L361" s="673">
        <f t="shared" si="51"/>
        <v>3.119930624961853E-8</v>
      </c>
    </row>
    <row r="362" spans="1:12" x14ac:dyDescent="0.35">
      <c r="A362" s="287" t="str">
        <f t="shared" si="48"/>
        <v/>
      </c>
      <c r="B362" s="288">
        <v>355</v>
      </c>
      <c r="C362" s="667">
        <f>IF('User Dashboard'!Z$12=5,
IF('SIR Model Patient Calcs'!B362&lt;'User Dashboard'!AJ$15,'User Dashboard'!AN$14,
IF('SIR Model Patient Calcs'!B362&lt;'User Dashboard'!AJ$16,'User Dashboard'!AN$15,
IF('SIR Model Patient Calcs'!B362&lt;'User Dashboard'!AJ$17,'User Dashboard'!AN$16,
IF('SIR Model Patient Calcs'!B362&lt;'User Dashboard'!AJ$18,'User Dashboard'!AN$17,
'User Dashboard'!AN$18)))),
IF('User Dashboard'!Z$12=4,
IF('SIR Model Patient Calcs'!B362&lt;'User Dashboard'!AJ$15,'User Dashboard'!AN$14,
IF('SIR Model Patient Calcs'!B362&lt;'User Dashboard'!AJ$16,'User Dashboard'!AN$15,
IF('SIR Model Patient Calcs'!B362&lt;'User Dashboard'!AJ$17,'User Dashboard'!AN$16,
'User Dashboard'!AN$17))),
IF('User Dashboard'!Z$12=3,
IF('SIR Model Patient Calcs'!B362&lt;'User Dashboard'!AJ$15,'User Dashboard'!AN$14,
IF('SIR Model Patient Calcs'!B362&lt;'User Dashboard'!AJ$16,'User Dashboard'!AN$15,
'User Dashboard'!AN$16)),
IF('User Dashboard'!Z$12=2,
IF('SIR Model Patient Calcs'!B362&lt;'User Dashboard'!AJ$15,'User Dashboard'!AN$14,
'User Dashboard'!AN$15),
IF('User Dashboard'!Z$12=1,
'User Dashboard'!AN$14)))))</f>
        <v>15.209356603107825</v>
      </c>
      <c r="D362" s="668">
        <f>'User Dashboard'!X$16</f>
        <v>2.2072878851804097E-2</v>
      </c>
      <c r="E362" s="660">
        <f t="shared" si="45"/>
        <v>8.9862781521070398E-8</v>
      </c>
      <c r="F362" s="660">
        <f t="shared" si="52"/>
        <v>8.9862781521070385E-8</v>
      </c>
      <c r="G362" s="670">
        <f>1/'User Dashboard'!X$12</f>
        <v>0.14285714285714285</v>
      </c>
      <c r="H362" s="359">
        <f t="shared" si="46"/>
        <v>448258.01915731264</v>
      </c>
      <c r="I362" s="672">
        <f t="shared" si="49"/>
        <v>6.2476004715560371E-7</v>
      </c>
      <c r="J362" s="673">
        <f t="shared" si="47"/>
        <v>3287596.580842061</v>
      </c>
      <c r="K362" s="359">
        <f t="shared" si="50"/>
        <v>3287596.5808426859</v>
      </c>
      <c r="L362" s="673">
        <f t="shared" si="51"/>
        <v>2.8405338525772095E-8</v>
      </c>
    </row>
    <row r="363" spans="1:12" x14ac:dyDescent="0.35">
      <c r="A363" s="287" t="str">
        <f t="shared" si="48"/>
        <v/>
      </c>
      <c r="B363" s="288">
        <v>356</v>
      </c>
      <c r="C363" s="667">
        <f>IF('User Dashboard'!Z$12=5,
IF('SIR Model Patient Calcs'!B363&lt;'User Dashboard'!AJ$15,'User Dashboard'!AN$14,
IF('SIR Model Patient Calcs'!B363&lt;'User Dashboard'!AJ$16,'User Dashboard'!AN$15,
IF('SIR Model Patient Calcs'!B363&lt;'User Dashboard'!AJ$17,'User Dashboard'!AN$16,
IF('SIR Model Patient Calcs'!B363&lt;'User Dashboard'!AJ$18,'User Dashboard'!AN$17,
'User Dashboard'!AN$18)))),
IF('User Dashboard'!Z$12=4,
IF('SIR Model Patient Calcs'!B363&lt;'User Dashboard'!AJ$15,'User Dashboard'!AN$14,
IF('SIR Model Patient Calcs'!B363&lt;'User Dashboard'!AJ$16,'User Dashboard'!AN$15,
IF('SIR Model Patient Calcs'!B363&lt;'User Dashboard'!AJ$17,'User Dashboard'!AN$16,
'User Dashboard'!AN$17))),
IF('User Dashboard'!Z$12=3,
IF('SIR Model Patient Calcs'!B363&lt;'User Dashboard'!AJ$15,'User Dashboard'!AN$14,
IF('SIR Model Patient Calcs'!B363&lt;'User Dashboard'!AJ$16,'User Dashboard'!AN$15,
'User Dashboard'!AN$16)),
IF('User Dashboard'!Z$12=2,
IF('SIR Model Patient Calcs'!B363&lt;'User Dashboard'!AJ$15,'User Dashboard'!AN$14,
'User Dashboard'!AN$15),
IF('User Dashboard'!Z$12=1,
'User Dashboard'!AN$14)))))</f>
        <v>15.209356603107825</v>
      </c>
      <c r="D363" s="668">
        <f>'User Dashboard'!X$16</f>
        <v>2.2072878851804097E-2</v>
      </c>
      <c r="E363" s="660">
        <f t="shared" si="45"/>
        <v>8.9862781521070385E-8</v>
      </c>
      <c r="F363" s="660">
        <f t="shared" si="52"/>
        <v>8.9862781521070385E-8</v>
      </c>
      <c r="G363" s="670">
        <f>1/'User Dashboard'!X$12</f>
        <v>0.14285714285714285</v>
      </c>
      <c r="H363" s="359">
        <f t="shared" si="46"/>
        <v>448258.01915728749</v>
      </c>
      <c r="I363" s="672">
        <f t="shared" si="49"/>
        <v>5.606750164115589E-7</v>
      </c>
      <c r="J363" s="673">
        <f t="shared" si="47"/>
        <v>3287596.5808421504</v>
      </c>
      <c r="K363" s="359">
        <f t="shared" si="50"/>
        <v>3287596.580842711</v>
      </c>
      <c r="L363" s="673">
        <f t="shared" si="51"/>
        <v>2.514570951461792E-8</v>
      </c>
    </row>
    <row r="364" spans="1:12" x14ac:dyDescent="0.35">
      <c r="A364" s="287" t="str">
        <f t="shared" si="48"/>
        <v/>
      </c>
      <c r="B364" s="288">
        <v>357</v>
      </c>
      <c r="C364" s="667">
        <f>IF('User Dashboard'!Z$12=5,
IF('SIR Model Patient Calcs'!B364&lt;'User Dashboard'!AJ$15,'User Dashboard'!AN$14,
IF('SIR Model Patient Calcs'!B364&lt;'User Dashboard'!AJ$16,'User Dashboard'!AN$15,
IF('SIR Model Patient Calcs'!B364&lt;'User Dashboard'!AJ$17,'User Dashboard'!AN$16,
IF('SIR Model Patient Calcs'!B364&lt;'User Dashboard'!AJ$18,'User Dashboard'!AN$17,
'User Dashboard'!AN$18)))),
IF('User Dashboard'!Z$12=4,
IF('SIR Model Patient Calcs'!B364&lt;'User Dashboard'!AJ$15,'User Dashboard'!AN$14,
IF('SIR Model Patient Calcs'!B364&lt;'User Dashboard'!AJ$16,'User Dashboard'!AN$15,
IF('SIR Model Patient Calcs'!B364&lt;'User Dashboard'!AJ$17,'User Dashboard'!AN$16,
'User Dashboard'!AN$17))),
IF('User Dashboard'!Z$12=3,
IF('SIR Model Patient Calcs'!B364&lt;'User Dashboard'!AJ$15,'User Dashboard'!AN$14,
IF('SIR Model Patient Calcs'!B364&lt;'User Dashboard'!AJ$16,'User Dashboard'!AN$15,
'User Dashboard'!AN$16)),
IF('User Dashboard'!Z$12=2,
IF('SIR Model Patient Calcs'!B364&lt;'User Dashboard'!AJ$15,'User Dashboard'!AN$14,
'User Dashboard'!AN$15),
IF('User Dashboard'!Z$12=1,
'User Dashboard'!AN$14)))))</f>
        <v>15.209356603107825</v>
      </c>
      <c r="D364" s="668">
        <f>'User Dashboard'!X$16</f>
        <v>2.2072878851804097E-2</v>
      </c>
      <c r="E364" s="660">
        <f t="shared" si="45"/>
        <v>8.9862781521070385E-8</v>
      </c>
      <c r="F364" s="660">
        <f t="shared" si="52"/>
        <v>8.9862781521070385E-8</v>
      </c>
      <c r="G364" s="670">
        <f>1/'User Dashboard'!X$12</f>
        <v>0.14285714285714285</v>
      </c>
      <c r="H364" s="359">
        <f t="shared" si="46"/>
        <v>448258.01915726491</v>
      </c>
      <c r="I364" s="672">
        <f t="shared" si="49"/>
        <v>5.0316353527934053E-7</v>
      </c>
      <c r="J364" s="673">
        <f t="shared" si="47"/>
        <v>3287596.5808422305</v>
      </c>
      <c r="K364" s="359">
        <f t="shared" si="50"/>
        <v>3287596.5808427338</v>
      </c>
      <c r="L364" s="673">
        <f t="shared" si="51"/>
        <v>2.2817403078079224E-8</v>
      </c>
    </row>
    <row r="365" spans="1:12" x14ac:dyDescent="0.35">
      <c r="A365" s="287" t="str">
        <f t="shared" si="48"/>
        <v/>
      </c>
      <c r="B365" s="288">
        <v>358</v>
      </c>
      <c r="C365" s="667">
        <f>IF('User Dashboard'!Z$12=5,
IF('SIR Model Patient Calcs'!B365&lt;'User Dashboard'!AJ$15,'User Dashboard'!AN$14,
IF('SIR Model Patient Calcs'!B365&lt;'User Dashboard'!AJ$16,'User Dashboard'!AN$15,
IF('SIR Model Patient Calcs'!B365&lt;'User Dashboard'!AJ$17,'User Dashboard'!AN$16,
IF('SIR Model Patient Calcs'!B365&lt;'User Dashboard'!AJ$18,'User Dashboard'!AN$17,
'User Dashboard'!AN$18)))),
IF('User Dashboard'!Z$12=4,
IF('SIR Model Patient Calcs'!B365&lt;'User Dashboard'!AJ$15,'User Dashboard'!AN$14,
IF('SIR Model Patient Calcs'!B365&lt;'User Dashboard'!AJ$16,'User Dashboard'!AN$15,
IF('SIR Model Patient Calcs'!B365&lt;'User Dashboard'!AJ$17,'User Dashboard'!AN$16,
'User Dashboard'!AN$17))),
IF('User Dashboard'!Z$12=3,
IF('SIR Model Patient Calcs'!B365&lt;'User Dashboard'!AJ$15,'User Dashboard'!AN$14,
IF('SIR Model Patient Calcs'!B365&lt;'User Dashboard'!AJ$16,'User Dashboard'!AN$15,
'User Dashboard'!AN$16)),
IF('User Dashboard'!Z$12=2,
IF('SIR Model Patient Calcs'!B365&lt;'User Dashboard'!AJ$15,'User Dashboard'!AN$14,
'User Dashboard'!AN$15),
IF('User Dashboard'!Z$12=1,
'User Dashboard'!AN$14)))))</f>
        <v>15.209356603107825</v>
      </c>
      <c r="D365" s="668">
        <f>'User Dashboard'!X$16</f>
        <v>2.2072878851804097E-2</v>
      </c>
      <c r="E365" s="660">
        <f t="shared" si="45"/>
        <v>8.9862781521070398E-8</v>
      </c>
      <c r="F365" s="660">
        <f t="shared" si="52"/>
        <v>8.9862781521070385E-8</v>
      </c>
      <c r="G365" s="670">
        <f>1/'User Dashboard'!X$12</f>
        <v>0.14285714285714285</v>
      </c>
      <c r="H365" s="359">
        <f t="shared" si="46"/>
        <v>448258.01915724465</v>
      </c>
      <c r="I365" s="672">
        <f t="shared" si="49"/>
        <v>4.5155131907815135E-7</v>
      </c>
      <c r="J365" s="673">
        <f t="shared" si="47"/>
        <v>3287596.5808423022</v>
      </c>
      <c r="K365" s="359">
        <f t="shared" si="50"/>
        <v>3287596.5808427539</v>
      </c>
      <c r="L365" s="673">
        <f t="shared" si="51"/>
        <v>2.0023435354232788E-8</v>
      </c>
    </row>
    <row r="366" spans="1:12" x14ac:dyDescent="0.35">
      <c r="A366" s="287" t="str">
        <f t="shared" si="48"/>
        <v/>
      </c>
      <c r="B366" s="288">
        <v>359</v>
      </c>
      <c r="C366" s="667">
        <f>IF('User Dashboard'!Z$12=5,
IF('SIR Model Patient Calcs'!B366&lt;'User Dashboard'!AJ$15,'User Dashboard'!AN$14,
IF('SIR Model Patient Calcs'!B366&lt;'User Dashboard'!AJ$16,'User Dashboard'!AN$15,
IF('SIR Model Patient Calcs'!B366&lt;'User Dashboard'!AJ$17,'User Dashboard'!AN$16,
IF('SIR Model Patient Calcs'!B366&lt;'User Dashboard'!AJ$18,'User Dashboard'!AN$17,
'User Dashboard'!AN$18)))),
IF('User Dashboard'!Z$12=4,
IF('SIR Model Patient Calcs'!B366&lt;'User Dashboard'!AJ$15,'User Dashboard'!AN$14,
IF('SIR Model Patient Calcs'!B366&lt;'User Dashboard'!AJ$16,'User Dashboard'!AN$15,
IF('SIR Model Patient Calcs'!B366&lt;'User Dashboard'!AJ$17,'User Dashboard'!AN$16,
'User Dashboard'!AN$17))),
IF('User Dashboard'!Z$12=3,
IF('SIR Model Patient Calcs'!B366&lt;'User Dashboard'!AJ$15,'User Dashboard'!AN$14,
IF('SIR Model Patient Calcs'!B366&lt;'User Dashboard'!AJ$16,'User Dashboard'!AN$15,
'User Dashboard'!AN$16)),
IF('User Dashboard'!Z$12=2,
IF('SIR Model Patient Calcs'!B366&lt;'User Dashboard'!AJ$15,'User Dashboard'!AN$14,
'User Dashboard'!AN$15),
IF('User Dashboard'!Z$12=1,
'User Dashboard'!AN$14)))))</f>
        <v>15.209356603107825</v>
      </c>
      <c r="D366" s="668">
        <f>'User Dashboard'!X$16</f>
        <v>2.2072878851804097E-2</v>
      </c>
      <c r="E366" s="660">
        <f t="shared" si="45"/>
        <v>8.9862781521070385E-8</v>
      </c>
      <c r="F366" s="660">
        <f t="shared" si="52"/>
        <v>8.9862781521070385E-8</v>
      </c>
      <c r="G366" s="670">
        <f>1/'User Dashboard'!X$12</f>
        <v>0.14285714285714285</v>
      </c>
      <c r="H366" s="359">
        <f t="shared" si="46"/>
        <v>448258.01915722649</v>
      </c>
      <c r="I366" s="672">
        <f t="shared" si="49"/>
        <v>4.0523324816855015E-7</v>
      </c>
      <c r="J366" s="673">
        <f t="shared" si="47"/>
        <v>3287596.5808423669</v>
      </c>
      <c r="K366" s="359">
        <f t="shared" si="50"/>
        <v>3287596.580842772</v>
      </c>
      <c r="L366" s="673">
        <f t="shared" si="51"/>
        <v>1.8160790205001831E-8</v>
      </c>
    </row>
    <row r="367" spans="1:12" x14ac:dyDescent="0.35">
      <c r="A367" s="287" t="str">
        <f t="shared" si="48"/>
        <v/>
      </c>
      <c r="B367" s="288">
        <v>360</v>
      </c>
      <c r="C367" s="667">
        <f>IF('User Dashboard'!Z$12=5,
IF('SIR Model Patient Calcs'!B367&lt;'User Dashboard'!AJ$15,'User Dashboard'!AN$14,
IF('SIR Model Patient Calcs'!B367&lt;'User Dashboard'!AJ$16,'User Dashboard'!AN$15,
IF('SIR Model Patient Calcs'!B367&lt;'User Dashboard'!AJ$17,'User Dashboard'!AN$16,
IF('SIR Model Patient Calcs'!B367&lt;'User Dashboard'!AJ$18,'User Dashboard'!AN$17,
'User Dashboard'!AN$18)))),
IF('User Dashboard'!Z$12=4,
IF('SIR Model Patient Calcs'!B367&lt;'User Dashboard'!AJ$15,'User Dashboard'!AN$14,
IF('SIR Model Patient Calcs'!B367&lt;'User Dashboard'!AJ$16,'User Dashboard'!AN$15,
IF('SIR Model Patient Calcs'!B367&lt;'User Dashboard'!AJ$17,'User Dashboard'!AN$16,
'User Dashboard'!AN$17))),
IF('User Dashboard'!Z$12=3,
IF('SIR Model Patient Calcs'!B367&lt;'User Dashboard'!AJ$15,'User Dashboard'!AN$14,
IF('SIR Model Patient Calcs'!B367&lt;'User Dashboard'!AJ$16,'User Dashboard'!AN$15,
'User Dashboard'!AN$16)),
IF('User Dashboard'!Z$12=2,
IF('SIR Model Patient Calcs'!B367&lt;'User Dashboard'!AJ$15,'User Dashboard'!AN$14,
'User Dashboard'!AN$15),
IF('User Dashboard'!Z$12=1,
'User Dashboard'!AN$14)))))</f>
        <v>15.209356603107825</v>
      </c>
      <c r="D367" s="668">
        <f>'User Dashboard'!X$16</f>
        <v>2.2072878851804097E-2</v>
      </c>
      <c r="E367" s="660">
        <f t="shared" si="45"/>
        <v>8.9862781521070385E-8</v>
      </c>
      <c r="F367" s="660">
        <f t="shared" si="52"/>
        <v>8.9862781521070385E-8</v>
      </c>
      <c r="G367" s="670">
        <f>1/'User Dashboard'!X$12</f>
        <v>0.14285714285714285</v>
      </c>
      <c r="H367" s="359">
        <f t="shared" si="46"/>
        <v>448258.01915721019</v>
      </c>
      <c r="I367" s="672">
        <f t="shared" si="49"/>
        <v>3.6366627331856481E-7</v>
      </c>
      <c r="J367" s="673">
        <f t="shared" si="47"/>
        <v>3287596.5808424246</v>
      </c>
      <c r="K367" s="359">
        <f t="shared" si="50"/>
        <v>3287596.5808427883</v>
      </c>
      <c r="L367" s="673">
        <f t="shared" si="51"/>
        <v>1.6298145055770874E-8</v>
      </c>
    </row>
    <row r="368" spans="1:12" x14ac:dyDescent="0.35">
      <c r="A368" s="287" t="str">
        <f t="shared" si="48"/>
        <v/>
      </c>
      <c r="B368" s="288">
        <v>361</v>
      </c>
      <c r="C368" s="667">
        <f>IF('User Dashboard'!Z$12=5,
IF('SIR Model Patient Calcs'!B368&lt;'User Dashboard'!AJ$15,'User Dashboard'!AN$14,
IF('SIR Model Patient Calcs'!B368&lt;'User Dashboard'!AJ$16,'User Dashboard'!AN$15,
IF('SIR Model Patient Calcs'!B368&lt;'User Dashboard'!AJ$17,'User Dashboard'!AN$16,
IF('SIR Model Patient Calcs'!B368&lt;'User Dashboard'!AJ$18,'User Dashboard'!AN$17,
'User Dashboard'!AN$18)))),
IF('User Dashboard'!Z$12=4,
IF('SIR Model Patient Calcs'!B368&lt;'User Dashboard'!AJ$15,'User Dashboard'!AN$14,
IF('SIR Model Patient Calcs'!B368&lt;'User Dashboard'!AJ$16,'User Dashboard'!AN$15,
IF('SIR Model Patient Calcs'!B368&lt;'User Dashboard'!AJ$17,'User Dashboard'!AN$16,
'User Dashboard'!AN$17))),
IF('User Dashboard'!Z$12=3,
IF('SIR Model Patient Calcs'!B368&lt;'User Dashboard'!AJ$15,'User Dashboard'!AN$14,
IF('SIR Model Patient Calcs'!B368&lt;'User Dashboard'!AJ$16,'User Dashboard'!AN$15,
'User Dashboard'!AN$16)),
IF('User Dashboard'!Z$12=2,
IF('SIR Model Patient Calcs'!B368&lt;'User Dashboard'!AJ$15,'User Dashboard'!AN$14,
'User Dashboard'!AN$15),
IF('User Dashboard'!Z$12=1,
'User Dashboard'!AN$14)))))</f>
        <v>15.209356603107825</v>
      </c>
      <c r="D368" s="668">
        <f>'User Dashboard'!X$16</f>
        <v>2.2072878851804097E-2</v>
      </c>
      <c r="E368" s="660">
        <f t="shared" si="45"/>
        <v>8.9862781521070385E-8</v>
      </c>
      <c r="F368" s="660">
        <f t="shared" si="52"/>
        <v>8.9862781521070385E-8</v>
      </c>
      <c r="G368" s="670">
        <f>1/'User Dashboard'!X$12</f>
        <v>0.14285714285714285</v>
      </c>
      <c r="H368" s="359">
        <f t="shared" si="46"/>
        <v>448258.01915719552</v>
      </c>
      <c r="I368" s="672">
        <f t="shared" si="49"/>
        <v>3.2636304880493007E-7</v>
      </c>
      <c r="J368" s="673">
        <f t="shared" si="47"/>
        <v>3287596.5808424768</v>
      </c>
      <c r="K368" s="359">
        <f t="shared" si="50"/>
        <v>3287596.5808428032</v>
      </c>
      <c r="L368" s="673">
        <f t="shared" si="51"/>
        <v>1.4901161193847656E-8</v>
      </c>
    </row>
    <row r="369" spans="1:12" x14ac:dyDescent="0.35">
      <c r="A369" s="287" t="str">
        <f t="shared" si="48"/>
        <v/>
      </c>
      <c r="B369" s="288">
        <v>362</v>
      </c>
      <c r="C369" s="667">
        <f>IF('User Dashboard'!Z$12=5,
IF('SIR Model Patient Calcs'!B369&lt;'User Dashboard'!AJ$15,'User Dashboard'!AN$14,
IF('SIR Model Patient Calcs'!B369&lt;'User Dashboard'!AJ$16,'User Dashboard'!AN$15,
IF('SIR Model Patient Calcs'!B369&lt;'User Dashboard'!AJ$17,'User Dashboard'!AN$16,
IF('SIR Model Patient Calcs'!B369&lt;'User Dashboard'!AJ$18,'User Dashboard'!AN$17,
'User Dashboard'!AN$18)))),
IF('User Dashboard'!Z$12=4,
IF('SIR Model Patient Calcs'!B369&lt;'User Dashboard'!AJ$15,'User Dashboard'!AN$14,
IF('SIR Model Patient Calcs'!B369&lt;'User Dashboard'!AJ$16,'User Dashboard'!AN$15,
IF('SIR Model Patient Calcs'!B369&lt;'User Dashboard'!AJ$17,'User Dashboard'!AN$16,
'User Dashboard'!AN$17))),
IF('User Dashboard'!Z$12=3,
IF('SIR Model Patient Calcs'!B369&lt;'User Dashboard'!AJ$15,'User Dashboard'!AN$14,
IF('SIR Model Patient Calcs'!B369&lt;'User Dashboard'!AJ$16,'User Dashboard'!AN$15,
'User Dashboard'!AN$16)),
IF('User Dashboard'!Z$12=2,
IF('SIR Model Patient Calcs'!B369&lt;'User Dashboard'!AJ$15,'User Dashboard'!AN$14,
'User Dashboard'!AN$15),
IF('User Dashboard'!Z$12=1,
'User Dashboard'!AN$14)))))</f>
        <v>15.209356603107825</v>
      </c>
      <c r="D369" s="668">
        <f>'User Dashboard'!X$16</f>
        <v>2.2072878851804097E-2</v>
      </c>
      <c r="E369" s="660">
        <f t="shared" si="45"/>
        <v>8.9862781521070385E-8</v>
      </c>
      <c r="F369" s="660">
        <f t="shared" si="52"/>
        <v>8.9862781521070398E-8</v>
      </c>
      <c r="G369" s="670">
        <f>1/'User Dashboard'!X$12</f>
        <v>0.14285714285714285</v>
      </c>
      <c r="H369" s="359">
        <f t="shared" si="46"/>
        <v>448258.01915718237</v>
      </c>
      <c r="I369" s="672">
        <f t="shared" si="49"/>
        <v>2.9288621860170623E-7</v>
      </c>
      <c r="J369" s="673">
        <f t="shared" si="47"/>
        <v>3287596.5808425234</v>
      </c>
      <c r="K369" s="359">
        <f t="shared" si="50"/>
        <v>3287596.5808428163</v>
      </c>
      <c r="L369" s="673">
        <f t="shared" si="51"/>
        <v>1.3038516044616699E-8</v>
      </c>
    </row>
    <row r="370" spans="1:12" x14ac:dyDescent="0.35">
      <c r="A370" s="287" t="str">
        <f t="shared" si="48"/>
        <v/>
      </c>
      <c r="B370" s="288">
        <v>363</v>
      </c>
      <c r="C370" s="667">
        <f>IF('User Dashboard'!Z$12=5,
IF('SIR Model Patient Calcs'!B370&lt;'User Dashboard'!AJ$15,'User Dashboard'!AN$14,
IF('SIR Model Patient Calcs'!B370&lt;'User Dashboard'!AJ$16,'User Dashboard'!AN$15,
IF('SIR Model Patient Calcs'!B370&lt;'User Dashboard'!AJ$17,'User Dashboard'!AN$16,
IF('SIR Model Patient Calcs'!B370&lt;'User Dashboard'!AJ$18,'User Dashboard'!AN$17,
'User Dashboard'!AN$18)))),
IF('User Dashboard'!Z$12=4,
IF('SIR Model Patient Calcs'!B370&lt;'User Dashboard'!AJ$15,'User Dashboard'!AN$14,
IF('SIR Model Patient Calcs'!B370&lt;'User Dashboard'!AJ$16,'User Dashboard'!AN$15,
IF('SIR Model Patient Calcs'!B370&lt;'User Dashboard'!AJ$17,'User Dashboard'!AN$16,
'User Dashboard'!AN$17))),
IF('User Dashboard'!Z$12=3,
IF('SIR Model Patient Calcs'!B370&lt;'User Dashboard'!AJ$15,'User Dashboard'!AN$14,
IF('SIR Model Patient Calcs'!B370&lt;'User Dashboard'!AJ$16,'User Dashboard'!AN$15,
'User Dashboard'!AN$16)),
IF('User Dashboard'!Z$12=2,
IF('SIR Model Patient Calcs'!B370&lt;'User Dashboard'!AJ$15,'User Dashboard'!AN$14,
'User Dashboard'!AN$15),
IF('User Dashboard'!Z$12=1,
'User Dashboard'!AN$14)))))</f>
        <v>15.209356603107825</v>
      </c>
      <c r="D370" s="668">
        <f>'User Dashboard'!X$16</f>
        <v>2.2072878851804097E-2</v>
      </c>
      <c r="E370" s="660">
        <f t="shared" si="45"/>
        <v>8.9862781521070385E-8</v>
      </c>
      <c r="F370" s="660">
        <f t="shared" si="52"/>
        <v>8.9862781521070385E-8</v>
      </c>
      <c r="G370" s="670">
        <f>1/'User Dashboard'!X$12</f>
        <v>0.14285714285714285</v>
      </c>
      <c r="H370" s="359">
        <f t="shared" si="46"/>
        <v>448258.01915717055</v>
      </c>
      <c r="I370" s="672">
        <f t="shared" si="49"/>
        <v>2.6284328866555953E-7</v>
      </c>
      <c r="J370" s="673">
        <f t="shared" si="47"/>
        <v>3287596.5808425653</v>
      </c>
      <c r="K370" s="359">
        <f t="shared" si="50"/>
        <v>3287596.5808428279</v>
      </c>
      <c r="L370" s="673">
        <f t="shared" si="51"/>
        <v>1.1641532182693481E-8</v>
      </c>
    </row>
    <row r="371" spans="1:12" x14ac:dyDescent="0.35">
      <c r="A371" s="287" t="str">
        <f t="shared" si="48"/>
        <v/>
      </c>
      <c r="B371" s="288">
        <v>364</v>
      </c>
      <c r="C371" s="667">
        <f>IF('User Dashboard'!Z$12=5,
IF('SIR Model Patient Calcs'!B371&lt;'User Dashboard'!AJ$15,'User Dashboard'!AN$14,
IF('SIR Model Patient Calcs'!B371&lt;'User Dashboard'!AJ$16,'User Dashboard'!AN$15,
IF('SIR Model Patient Calcs'!B371&lt;'User Dashboard'!AJ$17,'User Dashboard'!AN$16,
IF('SIR Model Patient Calcs'!B371&lt;'User Dashboard'!AJ$18,'User Dashboard'!AN$17,
'User Dashboard'!AN$18)))),
IF('User Dashboard'!Z$12=4,
IF('SIR Model Patient Calcs'!B371&lt;'User Dashboard'!AJ$15,'User Dashboard'!AN$14,
IF('SIR Model Patient Calcs'!B371&lt;'User Dashboard'!AJ$16,'User Dashboard'!AN$15,
IF('SIR Model Patient Calcs'!B371&lt;'User Dashboard'!AJ$17,'User Dashboard'!AN$16,
'User Dashboard'!AN$17))),
IF('User Dashboard'!Z$12=3,
IF('SIR Model Patient Calcs'!B371&lt;'User Dashboard'!AJ$15,'User Dashboard'!AN$14,
IF('SIR Model Patient Calcs'!B371&lt;'User Dashboard'!AJ$16,'User Dashboard'!AN$15,
'User Dashboard'!AN$16)),
IF('User Dashboard'!Z$12=2,
IF('SIR Model Patient Calcs'!B371&lt;'User Dashboard'!AJ$15,'User Dashboard'!AN$14,
'User Dashboard'!AN$15),
IF('User Dashboard'!Z$12=1,
'User Dashboard'!AN$14)))))</f>
        <v>15.209356603107825</v>
      </c>
      <c r="D371" s="668">
        <f>'User Dashboard'!X$16</f>
        <v>2.2072878851804097E-2</v>
      </c>
      <c r="E371" s="660">
        <f t="shared" si="45"/>
        <v>8.9862781521070385E-8</v>
      </c>
      <c r="F371" s="660">
        <f t="shared" si="52"/>
        <v>8.9862781521070385E-8</v>
      </c>
      <c r="G371" s="670">
        <f>1/'User Dashboard'!X$12</f>
        <v>0.14285714285714285</v>
      </c>
      <c r="H371" s="359">
        <f t="shared" si="46"/>
        <v>448258.01915715996</v>
      </c>
      <c r="I371" s="672">
        <f t="shared" si="49"/>
        <v>2.3588202519858714E-7</v>
      </c>
      <c r="J371" s="673">
        <f t="shared" si="47"/>
        <v>3287596.580842603</v>
      </c>
      <c r="K371" s="359">
        <f t="shared" si="50"/>
        <v>3287596.5808428391</v>
      </c>
      <c r="L371" s="673">
        <f t="shared" si="51"/>
        <v>1.1175870895385742E-8</v>
      </c>
    </row>
    <row r="372" spans="1:12" x14ac:dyDescent="0.35">
      <c r="A372" s="287" t="str">
        <f t="shared" si="48"/>
        <v/>
      </c>
      <c r="B372" s="288">
        <v>365</v>
      </c>
      <c r="C372" s="667">
        <f>IF('User Dashboard'!Z$12=5,
IF('SIR Model Patient Calcs'!B372&lt;'User Dashboard'!AJ$15,'User Dashboard'!AN$14,
IF('SIR Model Patient Calcs'!B372&lt;'User Dashboard'!AJ$16,'User Dashboard'!AN$15,
IF('SIR Model Patient Calcs'!B372&lt;'User Dashboard'!AJ$17,'User Dashboard'!AN$16,
IF('SIR Model Patient Calcs'!B372&lt;'User Dashboard'!AJ$18,'User Dashboard'!AN$17,
'User Dashboard'!AN$18)))),
IF('User Dashboard'!Z$12=4,
IF('SIR Model Patient Calcs'!B372&lt;'User Dashboard'!AJ$15,'User Dashboard'!AN$14,
IF('SIR Model Patient Calcs'!B372&lt;'User Dashboard'!AJ$16,'User Dashboard'!AN$15,
IF('SIR Model Patient Calcs'!B372&lt;'User Dashboard'!AJ$17,'User Dashboard'!AN$16,
'User Dashboard'!AN$17))),
IF('User Dashboard'!Z$12=3,
IF('SIR Model Patient Calcs'!B372&lt;'User Dashboard'!AJ$15,'User Dashboard'!AN$14,
IF('SIR Model Patient Calcs'!B372&lt;'User Dashboard'!AJ$16,'User Dashboard'!AN$15,
'User Dashboard'!AN$16)),
IF('User Dashboard'!Z$12=2,
IF('SIR Model Patient Calcs'!B372&lt;'User Dashboard'!AJ$15,'User Dashboard'!AN$14,
'User Dashboard'!AN$15),
IF('User Dashboard'!Z$12=1,
'User Dashboard'!AN$14)))))</f>
        <v>15.209356603107825</v>
      </c>
      <c r="D372" s="668">
        <f>'User Dashboard'!X$16</f>
        <v>2.2072878851804097E-2</v>
      </c>
      <c r="E372" s="660">
        <f t="shared" si="45"/>
        <v>8.9862781521070385E-8</v>
      </c>
      <c r="F372" s="660">
        <f t="shared" si="52"/>
        <v>8.9862781521070385E-8</v>
      </c>
      <c r="G372" s="670">
        <f>1/'User Dashboard'!X$12</f>
        <v>0.14285714285714285</v>
      </c>
      <c r="H372" s="359">
        <f t="shared" si="46"/>
        <v>448258.01915715047</v>
      </c>
      <c r="I372" s="672">
        <f t="shared" si="49"/>
        <v>2.1168632493631336E-7</v>
      </c>
      <c r="J372" s="673">
        <f t="shared" si="47"/>
        <v>3287596.5808426365</v>
      </c>
      <c r="K372" s="359">
        <f t="shared" si="50"/>
        <v>3287596.5808428484</v>
      </c>
      <c r="L372" s="673">
        <f t="shared" si="51"/>
        <v>9.3132257461547852E-9</v>
      </c>
    </row>
    <row r="390" spans="2:7" x14ac:dyDescent="0.35">
      <c r="B390" s="1389" t="s">
        <v>1898</v>
      </c>
      <c r="C390" s="1389"/>
      <c r="D390" s="1389"/>
      <c r="E390" s="1389"/>
      <c r="F390" s="1389"/>
      <c r="G390" s="1389"/>
    </row>
    <row r="391" spans="2:7" x14ac:dyDescent="0.35">
      <c r="B391" s="909" t="s">
        <v>1897</v>
      </c>
      <c r="C391" s="909"/>
      <c r="D391" s="909"/>
      <c r="E391" s="909"/>
      <c r="F391" s="909"/>
      <c r="G391" s="909"/>
    </row>
  </sheetData>
  <sheetProtection algorithmName="SHA-512" hashValue="T04qNs/gcUhdTetnqbYPItLnqnGm2bdDuEio0r71P4hm49BSUVZTklnmbZcb8oFLcVneMY7easzhtlVUUkKmsQ==" saltValue="9Dq7qLwdPGFB+rjpQ/EiYQ==" spinCount="100000" sheet="1" objects="1" scenarios="1"/>
  <mergeCells count="1">
    <mergeCell ref="B390:G390"/>
  </mergeCells>
  <hyperlinks>
    <hyperlink ref="G4" location="'User Dashboard'!A1" display="Back to User Dashboard" xr:uid="{00000000-0004-0000-0D00-000000000000}"/>
    <hyperlink ref="B390" r:id="rId1" display="https://creativecommons.org/licenses/by-nc-sa/3.0/igo" xr:uid="{0E62DB04-0B21-48D5-BE85-42D7837B48A3}"/>
  </hyperlinks>
  <pageMargins left="0.7" right="0.7" top="0.75" bottom="0.75" header="0.3" footer="0.3"/>
  <pageSetup paperSize="9" orientation="portrait" horizontalDpi="300" verticalDpi="3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tabColor theme="2" tint="-0.499984740745262"/>
  </sheetPr>
  <dimension ref="B2"/>
  <sheetViews>
    <sheetView showGridLines="0" zoomScaleNormal="100" workbookViewId="0"/>
  </sheetViews>
  <sheetFormatPr defaultColWidth="8.453125" defaultRowHeight="14.5" x14ac:dyDescent="0.35"/>
  <sheetData>
    <row r="2" spans="2:2" x14ac:dyDescent="0.35">
      <c r="B2" s="20" t="s">
        <v>587</v>
      </c>
    </row>
  </sheetData>
  <sheetProtection algorithmName="SHA-512" hashValue="dV6Zkz7URZm7HWxynK8XlihvJY8jzYQnt8eWXY+TbFb7heDxSYxJaj5Yzt4o1tZ4sAjpu3Btp/3o8Z53NZPk2g==" saltValue="XcHnWzIlCLPZH6Q89aG/5Q==" spinCount="100000" sheet="1" objects="1" scenarios="1"/>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theme="2" tint="-0.499984740745262"/>
  </sheetPr>
  <dimension ref="B1:P284"/>
  <sheetViews>
    <sheetView showGridLines="0" zoomScale="80" zoomScaleNormal="80" workbookViewId="0">
      <selection activeCell="B3" sqref="B3"/>
    </sheetView>
  </sheetViews>
  <sheetFormatPr defaultColWidth="9.453125" defaultRowHeight="14.5" x14ac:dyDescent="0.35"/>
  <cols>
    <col min="1" max="1" width="3.453125" style="41" customWidth="1"/>
    <col min="2" max="2" width="25.453125" style="41" customWidth="1"/>
    <col min="3" max="3" width="15.453125" style="41" bestFit="1" customWidth="1"/>
    <col min="4" max="4" width="15.453125" style="129" customWidth="1"/>
    <col min="5" max="5" width="22.7265625" style="41" bestFit="1" customWidth="1"/>
    <col min="6" max="6" width="15.453125" style="129" bestFit="1" customWidth="1"/>
    <col min="7" max="7" width="16" style="41" customWidth="1"/>
    <col min="8" max="8" width="11.453125" style="41" bestFit="1" customWidth="1"/>
    <col min="9" max="9" width="12.453125" style="41" bestFit="1" customWidth="1"/>
    <col min="10" max="10" width="12.453125" style="41" customWidth="1"/>
    <col min="11" max="11" width="10.7265625" style="41" bestFit="1" customWidth="1"/>
    <col min="12" max="13" width="9.453125" style="41"/>
    <col min="14" max="14" width="19.81640625" style="41" bestFit="1" customWidth="1"/>
    <col min="15" max="15" width="25.453125" style="41" bestFit="1" customWidth="1"/>
    <col min="16" max="16" width="24.81640625" style="41" bestFit="1" customWidth="1"/>
    <col min="17" max="16384" width="9.453125" style="41"/>
  </cols>
  <sheetData>
    <row r="1" spans="2:16" ht="38.15" customHeight="1" x14ac:dyDescent="0.35"/>
    <row r="2" spans="2:16" s="23" customFormat="1" ht="18.5" x14ac:dyDescent="0.45">
      <c r="B2" s="23" t="s">
        <v>1847</v>
      </c>
    </row>
    <row r="3" spans="2:16" s="25" customFormat="1" x14ac:dyDescent="0.35">
      <c r="B3" s="25" t="s">
        <v>1848</v>
      </c>
    </row>
    <row r="4" spans="2:16" x14ac:dyDescent="0.35">
      <c r="E4" s="20" t="s">
        <v>1460</v>
      </c>
    </row>
    <row r="5" spans="2:16" x14ac:dyDescent="0.35">
      <c r="B5" s="1593" t="s">
        <v>1845</v>
      </c>
      <c r="C5" s="1593"/>
      <c r="D5" s="1593"/>
      <c r="E5" s="1593"/>
      <c r="F5" s="1593"/>
      <c r="G5" s="1594" t="s">
        <v>1305</v>
      </c>
      <c r="H5" s="1595"/>
      <c r="I5" s="1595"/>
      <c r="J5" s="1595"/>
      <c r="K5" s="1595"/>
      <c r="L5" s="1596"/>
    </row>
    <row r="6" spans="2:16" ht="29" x14ac:dyDescent="0.35">
      <c r="B6" s="1312" t="s">
        <v>572</v>
      </c>
      <c r="C6" s="1312" t="s">
        <v>573</v>
      </c>
      <c r="D6" s="1312" t="s">
        <v>1001</v>
      </c>
      <c r="E6" s="1312" t="s">
        <v>744</v>
      </c>
      <c r="F6" s="1312" t="s">
        <v>1036</v>
      </c>
      <c r="G6" s="1312" t="s">
        <v>310</v>
      </c>
      <c r="H6" s="1313" t="s">
        <v>743</v>
      </c>
      <c r="I6" s="1313" t="s">
        <v>1148</v>
      </c>
      <c r="J6" s="1313" t="s">
        <v>277</v>
      </c>
      <c r="K6" s="1313" t="s">
        <v>1844</v>
      </c>
      <c r="L6" s="1313" t="s">
        <v>1843</v>
      </c>
      <c r="N6" s="1313" t="s">
        <v>1849</v>
      </c>
    </row>
    <row r="7" spans="2:16" x14ac:dyDescent="0.35">
      <c r="B7" s="41" t="s">
        <v>322</v>
      </c>
      <c r="C7" s="41" t="s">
        <v>323</v>
      </c>
      <c r="D7" s="129" t="s">
        <v>1089</v>
      </c>
      <c r="E7" s="41" t="s">
        <v>410</v>
      </c>
      <c r="F7" s="129" t="str">
        <f>IF(OR(E7="High income",E7="Out"),"Not LMIC","LMIC")</f>
        <v>Not LMIC</v>
      </c>
      <c r="G7" s="28">
        <f>INDEX('UNDP Population Data'!$E$6:$E$269,MATCH($B7,'UNDP Population Data'!$B$6:$B$269,0))</f>
        <v>106438</v>
      </c>
      <c r="H7" s="28">
        <f>IFERROR(IFERROR(INDEX('WHO GHO Data'!$V$8:$V$201,MATCH('HCW, Staff, Beds Summary'!$C7,'WHO GHO Data'!$C$8:$C$201,0)),INDEX('WHO GHO Data'!$AF$8:$AF$12,MATCH('HCW, Staff, Beds Summary'!$E7,'WHO GHO Data'!$AD$8:$AD$12,0))*$G7/1000),"")</f>
        <v>355.44463646020779</v>
      </c>
      <c r="I7" s="28">
        <f>IFERROR(IFERROR(INDEX('WHO GHO Data'!$U$8:$U$201,MATCH('HCW, Staff, Beds Summary'!$C7,'WHO GHO Data'!$C$8:$C$201,0)),INDEX('WHO GHO Data'!$AE$8:$AE$12,MATCH('HCW, Staff, Beds Summary'!$E7,'WHO GHO Data'!$AD$8:$AD$12,0))*$G7/1000),"")</f>
        <v>899.60680312940872</v>
      </c>
      <c r="J7" s="28">
        <f>IFERROR(IFERROR(INDEX('WHO GHO Data'!$X$8:$X$201,MATCH('HCW, Staff, Beds Summary'!$C7,'WHO GHO Data'!$C$8:$C$201,0)),INDEX('WHO GHO Data'!$AF$8:$AF$12,MATCH('HCW, Staff, Beds Summary'!$E7,'WHO GHO Data'!$AD$8:$AD$12,0))*$G7/1000),"")</f>
        <v>355.44463646020779</v>
      </c>
      <c r="K7" s="1310">
        <f>IF(INDEX('WB Beds'!$BN$827:$BN$1090,MATCH($C7,'WB Beds'!$C$827:$C$1090,0))="No reported value",INDEX('WB Beds'!$BR$829:$BR$833,MATCH($E7,'WB Beds'!$BP$829:$BP$833,0)),INDEX('WB Beds'!$BN$827:$BN$1090,MATCH($C7,'WB Beds'!$C$827:$C$1090)))</f>
        <v>4.82</v>
      </c>
      <c r="L7" s="1311">
        <f>INDEX('WB Beds'!$BR$836:$BR$840,MATCH($E7,'WB Beds'!$BP$836:$BP$840,0))*100</f>
        <v>3.5700000000000003</v>
      </c>
      <c r="N7" s="1264">
        <f>K7*G7/1000</f>
        <v>513.03116</v>
      </c>
    </row>
    <row r="8" spans="2:16" x14ac:dyDescent="0.35">
      <c r="B8" s="41" t="s">
        <v>230</v>
      </c>
      <c r="C8" s="41" t="s">
        <v>0</v>
      </c>
      <c r="D8" s="129" t="s">
        <v>1041</v>
      </c>
      <c r="E8" s="129" t="s">
        <v>452</v>
      </c>
      <c r="F8" s="129" t="str">
        <f t="shared" ref="F8:F71" si="0">IF(OR(E8="High income",E8="Out"),"Not LMIC","LMIC")</f>
        <v>LMIC</v>
      </c>
      <c r="G8" s="28">
        <f>INDEX('UNDP Population Data'!$E$6:$E$269,MATCH($B8,'UNDP Population Data'!$B$6:$B$269,0))</f>
        <v>38054941</v>
      </c>
      <c r="H8" s="28">
        <f>IFERROR(IFERROR(INDEX('WHO GHO Data'!$V$8:$V$201,MATCH('HCW, Staff, Beds Summary'!$C8,'WHO GHO Data'!$C$8:$C$201,0)),INDEX('WHO GHO Data'!$AF$8:$AF$12,MATCH('HCW, Staff, Beds Summary'!$E8,'WHO GHO Data'!$AD$8:$AD$12,0))*$G8/1000),"")</f>
        <v>10837.57822365536</v>
      </c>
      <c r="I8" s="28">
        <f>IFERROR(IFERROR(INDEX('WHO GHO Data'!$U$8:$U$201,MATCH('HCW, Staff, Beds Summary'!$C8,'WHO GHO Data'!$C$8:$C$201,0)),INDEX('WHO GHO Data'!$AE$8:$AE$12,MATCH('HCW, Staff, Beds Summary'!$E8,'WHO GHO Data'!$AD$8:$AD$12,0))*$G8/1000),"")</f>
        <v>6847.4062621899102</v>
      </c>
      <c r="J8" s="28">
        <f>IFERROR(IFERROR(INDEX('WHO GHO Data'!$X$8:$X$201,MATCH('HCW, Staff, Beds Summary'!$C8,'WHO GHO Data'!$C$8:$C$201,0)),INDEX('WHO GHO Data'!$AF$8:$AF$12,MATCH('HCW, Staff, Beds Summary'!$E8,'WHO GHO Data'!$AD$8:$AD$12,0))*$G8/1000),"")</f>
        <v>3611.2689898292288</v>
      </c>
      <c r="K8" s="1310">
        <f>IF(INDEX('WB Beds'!$BN$827:$BN$1090,MATCH($C8,'WB Beds'!$C$827:$C$1090,0))="No reported value",INDEX('WB Beds'!$BR$829:$BR$833,MATCH($E8,'WB Beds'!$BP$829:$BP$833,0)),INDEX('WB Beds'!$BN$827:$BN$1090,MATCH($C8,'WB Beds'!$C$827:$C$1090)))</f>
        <v>0.5</v>
      </c>
      <c r="L8" s="1311">
        <f>INDEX('WB Beds'!$BR$836:$BR$840,MATCH($E8,'WB Beds'!$BP$836:$BP$840,0))*100</f>
        <v>1.63</v>
      </c>
      <c r="N8" s="1264">
        <f t="shared" ref="N8:N71" si="1">K8*G8/1000</f>
        <v>19027.470499999999</v>
      </c>
      <c r="O8" s="806"/>
      <c r="P8" s="806"/>
    </row>
    <row r="9" spans="2:16" x14ac:dyDescent="0.35">
      <c r="B9" s="41" t="s">
        <v>182</v>
      </c>
      <c r="C9" s="41" t="s">
        <v>165</v>
      </c>
      <c r="D9" s="129" t="s">
        <v>1042</v>
      </c>
      <c r="E9" s="129" t="s">
        <v>454</v>
      </c>
      <c r="F9" s="129" t="str">
        <f t="shared" si="0"/>
        <v>LMIC</v>
      </c>
      <c r="G9" s="28">
        <f>INDEX('UNDP Population Data'!$E$6:$E$269,MATCH($B9,'UNDP Population Data'!$B$6:$B$269,0))</f>
        <v>32827400.999999996</v>
      </c>
      <c r="H9" s="28">
        <f>IFERROR(IFERROR(INDEX('WHO GHO Data'!$V$8:$V$201,MATCH('HCW, Staff, Beds Summary'!$C9,'WHO GHO Data'!$C$8:$C$201,0)),INDEX('WHO GHO Data'!$AF$8:$AF$12,MATCH('HCW, Staff, Beds Summary'!$E9,'WHO GHO Data'!$AD$8:$AD$12,0))*$G9/1000),"")</f>
        <v>7062.1950376201976</v>
      </c>
      <c r="I9" s="28">
        <f>IFERROR(IFERROR(INDEX('WHO GHO Data'!$U$8:$U$201,MATCH('HCW, Staff, Beds Summary'!$C9,'WHO GHO Data'!$C$8:$C$201,0)),INDEX('WHO GHO Data'!$AE$8:$AE$12,MATCH('HCW, Staff, Beds Summary'!$E9,'WHO GHO Data'!$AD$8:$AD$12,0))*$G9/1000),"")</f>
        <v>13405.672742085171</v>
      </c>
      <c r="J9" s="28">
        <f>IFERROR(IFERROR(INDEX('WHO GHO Data'!$X$8:$X$201,MATCH('HCW, Staff, Beds Summary'!$C9,'WHO GHO Data'!$C$8:$C$201,0)),INDEX('WHO GHO Data'!$AF$8:$AF$12,MATCH('HCW, Staff, Beds Summary'!$E9,'WHO GHO Data'!$AD$8:$AD$12,0))*$G9/1000),"")</f>
        <v>2326.3247716697069</v>
      </c>
      <c r="K9" s="1310">
        <f>IF(INDEX('WB Beds'!$BN$827:$BN$1090,MATCH($C9,'WB Beds'!$C$827:$C$1090,0))="No reported value",INDEX('WB Beds'!$BR$829:$BR$833,MATCH($E9,'WB Beds'!$BP$829:$BP$833,0)),INDEX('WB Beds'!$BN$827:$BN$1090,MATCH($C9,'WB Beds'!$C$827:$C$1090)))</f>
        <v>0.8</v>
      </c>
      <c r="L9" s="1311">
        <f>INDEX('WB Beds'!$BR$836:$BR$840,MATCH($E9,'WB Beds'!$BP$836:$BP$840,0))*100</f>
        <v>2.3800000000000003</v>
      </c>
      <c r="N9" s="1264">
        <f t="shared" si="1"/>
        <v>26261.920799999996</v>
      </c>
      <c r="O9" s="806"/>
      <c r="P9" s="806"/>
    </row>
    <row r="10" spans="2:16" x14ac:dyDescent="0.35">
      <c r="B10" s="41" t="s">
        <v>311</v>
      </c>
      <c r="C10" s="41" t="s">
        <v>312</v>
      </c>
      <c r="D10" s="129" t="s">
        <v>1043</v>
      </c>
      <c r="E10" s="129" t="s">
        <v>557</v>
      </c>
      <c r="F10" s="129" t="str">
        <f t="shared" si="0"/>
        <v>LMIC</v>
      </c>
      <c r="G10" s="28">
        <f>INDEX('UNDP Population Data'!$E$6:$E$269,MATCH($B10,'UNDP Population Data'!$B$6:$B$269,0))</f>
        <v>2942034</v>
      </c>
      <c r="H10" s="28">
        <f>IFERROR(IFERROR(INDEX('WHO GHO Data'!$V$8:$V$201,MATCH('HCW, Staff, Beds Summary'!$C10,'WHO GHO Data'!$C$8:$C$201,0)),INDEX('WHO GHO Data'!$AF$8:$AF$12,MATCH('HCW, Staff, Beds Summary'!$E10,'WHO GHO Data'!$AD$8:$AD$12,0))*$G10/1000),"")</f>
        <v>3528.9385010555743</v>
      </c>
      <c r="I10" s="28">
        <f>IFERROR(IFERROR(INDEX('WHO GHO Data'!$U$8:$U$201,MATCH('HCW, Staff, Beds Summary'!$C10,'WHO GHO Data'!$C$8:$C$201,0)),INDEX('WHO GHO Data'!$AE$8:$AE$12,MATCH('HCW, Staff, Beds Summary'!$E10,'WHO GHO Data'!$AD$8:$AD$12,0))*$G10/1000),"")</f>
        <v>10587.820612395164</v>
      </c>
      <c r="J10" s="28">
        <f>IFERROR(IFERROR(INDEX('WHO GHO Data'!$X$8:$X$201,MATCH('HCW, Staff, Beds Summary'!$C10,'WHO GHO Data'!$C$8:$C$201,0)),INDEX('WHO GHO Data'!$AF$8:$AF$12,MATCH('HCW, Staff, Beds Summary'!$E10,'WHO GHO Data'!$AD$8:$AD$12,0))*$G10/1000),"")</f>
        <v>626.52446704142289</v>
      </c>
      <c r="K10" s="1310">
        <f>IF(INDEX('WB Beds'!$BN$827:$BN$1090,MATCH($C10,'WB Beds'!$C$827:$C$1090,0))="No reported value",INDEX('WB Beds'!$BR$829:$BR$833,MATCH($E10,'WB Beds'!$BP$829:$BP$833,0)),INDEX('WB Beds'!$BN$827:$BN$1090,MATCH($C10,'WB Beds'!$C$827:$C$1090)))</f>
        <v>2.9</v>
      </c>
      <c r="L10" s="1311">
        <f>INDEX('WB Beds'!$BR$836:$BR$840,MATCH($E10,'WB Beds'!$BP$836:$BP$840,0))*100</f>
        <v>3.32</v>
      </c>
      <c r="N10" s="1264">
        <f t="shared" si="1"/>
        <v>8531.8986000000004</v>
      </c>
      <c r="O10" s="806"/>
      <c r="P10" s="806"/>
    </row>
    <row r="11" spans="2:16" x14ac:dyDescent="0.35">
      <c r="B11" s="41" t="s">
        <v>315</v>
      </c>
      <c r="C11" s="41" t="s">
        <v>1</v>
      </c>
      <c r="D11" s="129" t="s">
        <v>1043</v>
      </c>
      <c r="E11" s="129" t="s">
        <v>410</v>
      </c>
      <c r="F11" s="129" t="str">
        <f t="shared" si="0"/>
        <v>Not LMIC</v>
      </c>
      <c r="G11" s="28">
        <f>INDEX('UNDP Population Data'!$E$6:$E$269,MATCH($B11,'UNDP Population Data'!$B$6:$B$269,0))</f>
        <v>77184</v>
      </c>
      <c r="H11" s="28">
        <f>IFERROR(IFERROR(INDEX('WHO GHO Data'!$V$8:$V$201,MATCH('HCW, Staff, Beds Summary'!$C11,'WHO GHO Data'!$C$8:$C$201,0)),INDEX('WHO GHO Data'!$AF$8:$AF$12,MATCH('HCW, Staff, Beds Summary'!$E11,'WHO GHO Data'!$AD$8:$AD$12,0))*$G11/1000),"")</f>
        <v>257.23382982541597</v>
      </c>
      <c r="I11" s="28">
        <f>IFERROR(IFERROR(INDEX('WHO GHO Data'!$U$8:$U$201,MATCH('HCW, Staff, Beds Summary'!$C11,'WHO GHO Data'!$C$8:$C$201,0)),INDEX('WHO GHO Data'!$AE$8:$AE$12,MATCH('HCW, Staff, Beds Summary'!$E11,'WHO GHO Data'!$AD$8:$AD$12,0))*$G11/1000),"")</f>
        <v>292.85082164739669</v>
      </c>
      <c r="J11" s="28">
        <f>IFERROR(IFERROR(INDEX('WHO GHO Data'!$X$8:$X$201,MATCH('HCW, Staff, Beds Summary'!$C11,'WHO GHO Data'!$C$8:$C$201,0)),INDEX('WHO GHO Data'!$AF$8:$AF$12,MATCH('HCW, Staff, Beds Summary'!$E11,'WHO GHO Data'!$AD$8:$AD$12,0))*$G11/1000),"")</f>
        <v>41.172226737727165</v>
      </c>
      <c r="K11" s="1310">
        <f>IF(INDEX('WB Beds'!$BN$827:$BN$1090,MATCH($C11,'WB Beds'!$C$827:$C$1090,0))="No reported value",INDEX('WB Beds'!$BR$829:$BR$833,MATCH($E11,'WB Beds'!$BP$829:$BP$833,0)),INDEX('WB Beds'!$BN$827:$BN$1090,MATCH($C11,'WB Beds'!$C$827:$C$1090)))</f>
        <v>2.5</v>
      </c>
      <c r="L11" s="1311">
        <f>INDEX('WB Beds'!$BR$836:$BR$840,MATCH($E11,'WB Beds'!$BP$836:$BP$840,0))*100</f>
        <v>3.5700000000000003</v>
      </c>
      <c r="N11" s="1264">
        <f t="shared" si="1"/>
        <v>192.96</v>
      </c>
      <c r="O11" s="806"/>
      <c r="P11" s="806"/>
    </row>
    <row r="12" spans="2:16" x14ac:dyDescent="0.35">
      <c r="B12" s="41" t="s">
        <v>318</v>
      </c>
      <c r="C12" s="41" t="s">
        <v>319</v>
      </c>
      <c r="D12" s="129" t="s">
        <v>1089</v>
      </c>
      <c r="E12" s="129" t="s">
        <v>742</v>
      </c>
      <c r="F12" s="129" t="str">
        <f t="shared" si="0"/>
        <v>Not LMIC</v>
      </c>
      <c r="G12" s="28">
        <f>INDEX('UNDP Population Data'!$E$6:$E$269,MATCH($B12,'UNDP Population Data'!$B$6:$B$269,0))</f>
        <v>436091000</v>
      </c>
      <c r="H12" s="28" t="str">
        <f>IFERROR(IFERROR(INDEX('WHO GHO Data'!$V$8:$V$201,MATCH('HCW, Staff, Beds Summary'!$C12,'WHO GHO Data'!$C$8:$C$201,0)),INDEX('WHO GHO Data'!$AF$8:$AF$12,MATCH('HCW, Staff, Beds Summary'!$E12,'WHO GHO Data'!$AD$8:$AD$12,0))*$G12/1000),"")</f>
        <v/>
      </c>
      <c r="I12" s="28" t="str">
        <f>IFERROR(IFERROR(INDEX('WHO GHO Data'!$U$8:$U$201,MATCH('HCW, Staff, Beds Summary'!$C12,'WHO GHO Data'!$C$8:$C$201,0)),INDEX('WHO GHO Data'!$AE$8:$AE$12,MATCH('HCW, Staff, Beds Summary'!$E12,'WHO GHO Data'!$AD$8:$AD$12,0))*$G12/1000),"")</f>
        <v/>
      </c>
      <c r="J12" s="28" t="str">
        <f>IFERROR(IFERROR(INDEX('WHO GHO Data'!$X$8:$X$201,MATCH('HCW, Staff, Beds Summary'!$C12,'WHO GHO Data'!$C$8:$C$201,0)),INDEX('WHO GHO Data'!$AF$8:$AF$12,MATCH('HCW, Staff, Beds Summary'!$E12,'WHO GHO Data'!$AD$8:$AD$12,0))*$G12/1000),"")</f>
        <v/>
      </c>
      <c r="K12" s="1310">
        <f>IF(INDEX('WB Beds'!$BN$827:$BN$1090,MATCH($C12,'WB Beds'!$C$827:$C$1090,0))="No reported value",INDEX('WB Beds'!$BR$829:$BR$833,MATCH($E12,'WB Beds'!$BP$829:$BP$833,0)),INDEX('WB Beds'!$BN$827:$BN$1090,MATCH($C12,'WB Beds'!$C$827:$C$1090)))</f>
        <v>1.6245235818549295</v>
      </c>
      <c r="L12" s="1311">
        <f>INDEX('WB Beds'!$BR$836:$BR$840,MATCH($E12,'WB Beds'!$BP$836:$BP$840,0))*100</f>
        <v>2.7250000000000001</v>
      </c>
      <c r="N12" s="1264">
        <f t="shared" si="1"/>
        <v>708440.11333469814</v>
      </c>
      <c r="O12" s="806"/>
      <c r="P12" s="806"/>
    </row>
    <row r="13" spans="2:16" x14ac:dyDescent="0.35">
      <c r="B13" s="41" t="s">
        <v>554</v>
      </c>
      <c r="C13" s="41" t="s">
        <v>2</v>
      </c>
      <c r="D13" s="129" t="s">
        <v>1041</v>
      </c>
      <c r="E13" s="129" t="s">
        <v>410</v>
      </c>
      <c r="F13" s="129" t="str">
        <f t="shared" si="0"/>
        <v>Not LMIC</v>
      </c>
      <c r="G13" s="28">
        <f>INDEX('UNDP Population Data'!$E$6:$E$269,MATCH($B13,'UNDP Population Data'!$B$6:$B$269,0))</f>
        <v>9813170</v>
      </c>
      <c r="H13" s="28">
        <f>IFERROR(IFERROR(INDEX('WHO GHO Data'!$V$8:$V$201,MATCH('HCW, Staff, Beds Summary'!$C13,'WHO GHO Data'!$C$8:$C$201,0)),INDEX('WHO GHO Data'!$AF$8:$AF$12,MATCH('HCW, Staff, Beds Summary'!$E13,'WHO GHO Data'!$AD$8:$AD$12,0))*$G13/1000),"")</f>
        <v>25031.300480252048</v>
      </c>
      <c r="I13" s="28">
        <f>IFERROR(IFERROR(INDEX('WHO GHO Data'!$U$8:$U$201,MATCH('HCW, Staff, Beds Summary'!$C13,'WHO GHO Data'!$C$8:$C$201,0)),INDEX('WHO GHO Data'!$AE$8:$AE$12,MATCH('HCW, Staff, Beds Summary'!$E13,'WHO GHO Data'!$AD$8:$AD$12,0))*$G13/1000),"")</f>
        <v>56712.937847185967</v>
      </c>
      <c r="J13" s="28">
        <f>IFERROR(IFERROR(INDEX('WHO GHO Data'!$X$8:$X$201,MATCH('HCW, Staff, Beds Summary'!$C13,'WHO GHO Data'!$C$8:$C$201,0)),INDEX('WHO GHO Data'!$AF$8:$AF$12,MATCH('HCW, Staff, Beds Summary'!$E13,'WHO GHO Data'!$AD$8:$AD$12,0))*$G13/1000),"")</f>
        <v>5234.6349017395069</v>
      </c>
      <c r="K13" s="1310">
        <f>IF(INDEX('WB Beds'!$BN$827:$BN$1090,MATCH($C13,'WB Beds'!$C$827:$C$1090,0))="No reported value",INDEX('WB Beds'!$BR$829:$BR$833,MATCH($E13,'WB Beds'!$BP$829:$BP$833,0)),INDEX('WB Beds'!$BN$827:$BN$1090,MATCH($C13,'WB Beds'!$C$827:$C$1090)))</f>
        <v>1.2</v>
      </c>
      <c r="L13" s="1311">
        <f>INDEX('WB Beds'!$BR$836:$BR$840,MATCH($E13,'WB Beds'!$BP$836:$BP$840,0))*100</f>
        <v>3.5700000000000003</v>
      </c>
      <c r="N13" s="1264">
        <f t="shared" si="1"/>
        <v>11775.804</v>
      </c>
      <c r="O13" s="806"/>
    </row>
    <row r="14" spans="2:16" x14ac:dyDescent="0.35">
      <c r="B14" s="41" t="s">
        <v>320</v>
      </c>
      <c r="C14" s="41" t="s">
        <v>321</v>
      </c>
      <c r="D14" s="129" t="s">
        <v>1044</v>
      </c>
      <c r="E14" s="129" t="s">
        <v>557</v>
      </c>
      <c r="F14" s="129" t="str">
        <f t="shared" si="0"/>
        <v>LMIC</v>
      </c>
      <c r="G14" s="28">
        <f>INDEX('UNDP Population Data'!$E$6:$E$269,MATCH($B14,'UNDP Population Data'!$B$6:$B$269,0))</f>
        <v>45510399</v>
      </c>
      <c r="H14" s="28">
        <f>IFERROR(IFERROR(INDEX('WHO GHO Data'!$V$8:$V$201,MATCH('HCW, Staff, Beds Summary'!$C14,'WHO GHO Data'!$C$8:$C$201,0)),INDEX('WHO GHO Data'!$AF$8:$AF$12,MATCH('HCW, Staff, Beds Summary'!$E14,'WHO GHO Data'!$AD$8:$AD$12,0))*$G14/1000),"")</f>
        <v>180335.00208635142</v>
      </c>
      <c r="I14" s="28">
        <f>IFERROR(IFERROR(INDEX('WHO GHO Data'!$U$8:$U$201,MATCH('HCW, Staff, Beds Summary'!$C14,'WHO GHO Data'!$C$8:$C$201,0)),INDEX('WHO GHO Data'!$AE$8:$AE$12,MATCH('HCW, Staff, Beds Summary'!$E14,'WHO GHO Data'!$AD$8:$AD$12,0))*$G14/1000),"")</f>
        <v>117490.90828005323</v>
      </c>
      <c r="J14" s="28">
        <f>IFERROR(IFERROR(INDEX('WHO GHO Data'!$X$8:$X$201,MATCH('HCW, Staff, Beds Summary'!$C14,'WHO GHO Data'!$C$8:$C$201,0)),INDEX('WHO GHO Data'!$AF$8:$AF$12,MATCH('HCW, Staff, Beds Summary'!$E14,'WHO GHO Data'!$AD$8:$AD$12,0))*$G14/1000),"")</f>
        <v>22820.03725555167</v>
      </c>
      <c r="K14" s="1310">
        <f>IF(INDEX('WB Beds'!$BN$827:$BN$1090,MATCH($C14,'WB Beds'!$C$827:$C$1090,0))="No reported value",INDEX('WB Beds'!$BR$829:$BR$833,MATCH($E14,'WB Beds'!$BP$829:$BP$833,0)),INDEX('WB Beds'!$BN$827:$BN$1090,MATCH($C14,'WB Beds'!$C$827:$C$1090)))</f>
        <v>5</v>
      </c>
      <c r="L14" s="1311">
        <f>INDEX('WB Beds'!$BR$836:$BR$840,MATCH($E14,'WB Beds'!$BP$836:$BP$840,0))*100</f>
        <v>3.32</v>
      </c>
      <c r="N14" s="1264">
        <f t="shared" si="1"/>
        <v>227551.995</v>
      </c>
    </row>
    <row r="15" spans="2:16" x14ac:dyDescent="0.35">
      <c r="B15" s="41" t="s">
        <v>234</v>
      </c>
      <c r="C15" s="41" t="s">
        <v>3</v>
      </c>
      <c r="D15" s="129" t="s">
        <v>1043</v>
      </c>
      <c r="E15" s="129" t="s">
        <v>557</v>
      </c>
      <c r="F15" s="129" t="str">
        <f t="shared" si="0"/>
        <v>LMIC</v>
      </c>
      <c r="G15" s="28">
        <f>INDEX('UNDP Population Data'!$E$6:$E$269,MATCH($B15,'UNDP Population Data'!$B$6:$B$269,0))</f>
        <v>2938679</v>
      </c>
      <c r="H15" s="28">
        <f>IFERROR(IFERROR(INDEX('WHO GHO Data'!$V$8:$V$201,MATCH('HCW, Staff, Beds Summary'!$C15,'WHO GHO Data'!$C$8:$C$201,0)),INDEX('WHO GHO Data'!$AF$8:$AF$12,MATCH('HCW, Staff, Beds Summary'!$E15,'WHO GHO Data'!$AD$8:$AD$12,0))*$G15/1000),"")</f>
        <v>13021.856979499706</v>
      </c>
      <c r="I15" s="28">
        <f>IFERROR(IFERROR(INDEX('WHO GHO Data'!$U$8:$U$201,MATCH('HCW, Staff, Beds Summary'!$C15,'WHO GHO Data'!$C$8:$C$201,0)),INDEX('WHO GHO Data'!$AE$8:$AE$12,MATCH('HCW, Staff, Beds Summary'!$E15,'WHO GHO Data'!$AD$8:$AD$12,0))*$G15/1000),"")</f>
        <v>16870.958795717142</v>
      </c>
      <c r="J15" s="28">
        <f>IFERROR(IFERROR(INDEX('WHO GHO Data'!$X$8:$X$201,MATCH('HCW, Staff, Beds Summary'!$C15,'WHO GHO Data'!$C$8:$C$201,0)),INDEX('WHO GHO Data'!$AF$8:$AF$12,MATCH('HCW, Staff, Beds Summary'!$E15,'WHO GHO Data'!$AD$8:$AD$12,0))*$G15/1000),"")</f>
        <v>625.80999889220232</v>
      </c>
      <c r="K15" s="1310">
        <f>IF(INDEX('WB Beds'!$BN$827:$BN$1090,MATCH($C15,'WB Beds'!$C$827:$C$1090,0))="No reported value",INDEX('WB Beds'!$BR$829:$BR$833,MATCH($E15,'WB Beds'!$BP$829:$BP$833,0)),INDEX('WB Beds'!$BN$827:$BN$1090,MATCH($C15,'WB Beds'!$C$827:$C$1090)))</f>
        <v>4.2</v>
      </c>
      <c r="L15" s="1311">
        <f>INDEX('WB Beds'!$BR$836:$BR$840,MATCH($E15,'WB Beds'!$BP$836:$BP$840,0))*100</f>
        <v>3.32</v>
      </c>
      <c r="N15" s="1264">
        <f t="shared" si="1"/>
        <v>12342.451800000001</v>
      </c>
    </row>
    <row r="16" spans="2:16" x14ac:dyDescent="0.35">
      <c r="B16" s="41" t="s">
        <v>314</v>
      </c>
      <c r="C16" s="41" t="s">
        <v>193</v>
      </c>
      <c r="D16" s="129" t="s">
        <v>1089</v>
      </c>
      <c r="E16" s="129" t="s">
        <v>557</v>
      </c>
      <c r="F16" s="129" t="str">
        <f t="shared" si="0"/>
        <v>LMIC</v>
      </c>
      <c r="G16" s="28">
        <f>INDEX('UNDP Population Data'!$E$6:$E$269,MATCH($B16,'UNDP Population Data'!$B$6:$B$269,0))</f>
        <v>55799</v>
      </c>
      <c r="H16" s="28">
        <f>IFERROR(IFERROR(INDEX('WHO GHO Data'!$V$8:$V$201,MATCH('HCW, Staff, Beds Summary'!$C16,'WHO GHO Data'!$C$8:$C$201,0)),INDEX('WHO GHO Data'!$AF$8:$AF$12,MATCH('HCW, Staff, Beds Summary'!$E16,'WHO GHO Data'!$AD$8:$AD$12,0))*$G16/1000),"")</f>
        <v>117.64632170908088</v>
      </c>
      <c r="I16" s="28">
        <f>IFERROR(IFERROR(INDEX('WHO GHO Data'!$U$8:$U$201,MATCH('HCW, Staff, Beds Summary'!$C16,'WHO GHO Data'!$C$8:$C$201,0)),INDEX('WHO GHO Data'!$AE$8:$AE$12,MATCH('HCW, Staff, Beds Summary'!$E16,'WHO GHO Data'!$AD$8:$AD$12,0))*$G16/1000),"")</f>
        <v>215.31099158006316</v>
      </c>
      <c r="J16" s="28">
        <f>IFERROR(IFERROR(INDEX('WHO GHO Data'!$X$8:$X$201,MATCH('HCW, Staff, Beds Summary'!$C16,'WHO GHO Data'!$C$8:$C$201,0)),INDEX('WHO GHO Data'!$AF$8:$AF$12,MATCH('HCW, Staff, Beds Summary'!$E16,'WHO GHO Data'!$AD$8:$AD$12,0))*$G16/1000),"")</f>
        <v>117.64632170908088</v>
      </c>
      <c r="K16" s="1310">
        <f>IF(INDEX('WB Beds'!$BN$827:$BN$1090,MATCH($C16,'WB Beds'!$C$827:$C$1090,0))="No reported value",INDEX('WB Beds'!$BR$829:$BR$833,MATCH($E16,'WB Beds'!$BP$829:$BP$833,0)),INDEX('WB Beds'!$BN$827:$BN$1090,MATCH($C16,'WB Beds'!$C$827:$C$1090)))</f>
        <v>3.41</v>
      </c>
      <c r="L16" s="1311">
        <f>INDEX('WB Beds'!$BR$836:$BR$840,MATCH($E16,'WB Beds'!$BP$836:$BP$840,0))*100</f>
        <v>3.32</v>
      </c>
      <c r="N16" s="1264">
        <f t="shared" si="1"/>
        <v>190.27458999999999</v>
      </c>
    </row>
    <row r="17" spans="2:14" x14ac:dyDescent="0.35">
      <c r="B17" s="41" t="s">
        <v>316</v>
      </c>
      <c r="C17" s="41" t="s">
        <v>317</v>
      </c>
      <c r="D17" s="129" t="s">
        <v>1044</v>
      </c>
      <c r="E17" s="129" t="s">
        <v>410</v>
      </c>
      <c r="F17" s="129" t="str">
        <f t="shared" si="0"/>
        <v>Not LMIC</v>
      </c>
      <c r="G17" s="28">
        <f>INDEX('UNDP Population Data'!$E$6:$E$269,MATCH($B17,'UNDP Population Data'!$B$6:$B$269,0))</f>
        <v>105110</v>
      </c>
      <c r="H17" s="28">
        <f>IFERROR(IFERROR(INDEX('WHO GHO Data'!$V$8:$V$201,MATCH('HCW, Staff, Beds Summary'!$C17,'WHO GHO Data'!$C$8:$C$201,0)),INDEX('WHO GHO Data'!$AF$8:$AF$12,MATCH('HCW, Staff, Beds Summary'!$E17,'WHO GHO Data'!$AD$8:$AD$12,0))*$G17/1000),"")</f>
        <v>290.69412275743696</v>
      </c>
      <c r="I17" s="28">
        <f>IFERROR(IFERROR(INDEX('WHO GHO Data'!$U$8:$U$201,MATCH('HCW, Staff, Beds Summary'!$C17,'WHO GHO Data'!$C$8:$C$201,0)),INDEX('WHO GHO Data'!$AE$8:$AE$12,MATCH('HCW, Staff, Beds Summary'!$E17,'WHO GHO Data'!$AD$8:$AD$12,0))*$G17/1000),"")</f>
        <v>443.89544198205897</v>
      </c>
      <c r="J17" s="28">
        <f>IFERROR(IFERROR(INDEX('WHO GHO Data'!$X$8:$X$201,MATCH('HCW, Staff, Beds Summary'!$C17,'WHO GHO Data'!$C$8:$C$201,0)),INDEX('WHO GHO Data'!$AF$8:$AF$12,MATCH('HCW, Staff, Beds Summary'!$E17,'WHO GHO Data'!$AD$8:$AD$12,0))*$G17/1000),"")</f>
        <v>9.1250294188632726</v>
      </c>
      <c r="K17" s="1310">
        <f>IF(INDEX('WB Beds'!$BN$827:$BN$1090,MATCH($C17,'WB Beds'!$C$827:$C$1090,0))="No reported value",INDEX('WB Beds'!$BR$829:$BR$833,MATCH($E17,'WB Beds'!$BP$829:$BP$833,0)),INDEX('WB Beds'!$BN$827:$BN$1090,MATCH($C17,'WB Beds'!$C$827:$C$1090)))</f>
        <v>3.8</v>
      </c>
      <c r="L17" s="1311">
        <f>INDEX('WB Beds'!$BR$836:$BR$840,MATCH($E17,'WB Beds'!$BP$836:$BP$840,0))*100</f>
        <v>3.5700000000000003</v>
      </c>
      <c r="N17" s="1264">
        <f t="shared" si="1"/>
        <v>399.41800000000001</v>
      </c>
    </row>
    <row r="18" spans="2:14" x14ac:dyDescent="0.35">
      <c r="B18" s="41" t="s">
        <v>324</v>
      </c>
      <c r="C18" s="41" t="s">
        <v>4</v>
      </c>
      <c r="D18" s="129" t="s">
        <v>1100</v>
      </c>
      <c r="E18" s="129" t="s">
        <v>410</v>
      </c>
      <c r="F18" s="129" t="str">
        <f t="shared" si="0"/>
        <v>Not LMIC</v>
      </c>
      <c r="G18" s="28">
        <f>INDEX('UNDP Population Data'!$E$6:$E$269,MATCH($B18,'UNDP Population Data'!$B$6:$B$269,0))</f>
        <v>25398177</v>
      </c>
      <c r="H18" s="28">
        <f>IFERROR(IFERROR(INDEX('WHO GHO Data'!$V$8:$V$201,MATCH('HCW, Staff, Beds Summary'!$C18,'WHO GHO Data'!$C$8:$C$201,0)),INDEX('WHO GHO Data'!$AF$8:$AF$12,MATCH('HCW, Staff, Beds Summary'!$E18,'WHO GHO Data'!$AD$8:$AD$12,0))*$G18/1000),"")</f>
        <v>94013.518679428671</v>
      </c>
      <c r="I18" s="28">
        <f>IFERROR(IFERROR(INDEX('WHO GHO Data'!$U$8:$U$201,MATCH('HCW, Staff, Beds Summary'!$C18,'WHO GHO Data'!$C$8:$C$201,0)),INDEX('WHO GHO Data'!$AE$8:$AE$12,MATCH('HCW, Staff, Beds Summary'!$E18,'WHO GHO Data'!$AD$8:$AD$12,0))*$G18/1000),"")</f>
        <v>298837.11399472662</v>
      </c>
      <c r="J18" s="28">
        <f>IFERROR(IFERROR(INDEX('WHO GHO Data'!$X$8:$X$201,MATCH('HCW, Staff, Beds Summary'!$C18,'WHO GHO Data'!$C$8:$C$201,0)),INDEX('WHO GHO Data'!$AF$8:$AF$12,MATCH('HCW, Staff, Beds Summary'!$E18,'WHO GHO Data'!$AD$8:$AD$12,0))*$G18/1000),"")</f>
        <v>13548.138243274865</v>
      </c>
      <c r="K18" s="1310">
        <f>IF(INDEX('WB Beds'!$BN$827:$BN$1090,MATCH($C18,'WB Beds'!$C$827:$C$1090,0))="No reported value",INDEX('WB Beds'!$BR$829:$BR$833,MATCH($E18,'WB Beds'!$BP$829:$BP$833,0)),INDEX('WB Beds'!$BN$827:$BN$1090,MATCH($C18,'WB Beds'!$C$827:$C$1090)))</f>
        <v>3.8</v>
      </c>
      <c r="L18" s="1311">
        <f>INDEX('WB Beds'!$BR$836:$BR$840,MATCH($E18,'WB Beds'!$BP$836:$BP$840,0))*100</f>
        <v>3.5700000000000003</v>
      </c>
      <c r="N18" s="1264">
        <f t="shared" si="1"/>
        <v>96513.0726</v>
      </c>
    </row>
    <row r="19" spans="2:14" x14ac:dyDescent="0.35">
      <c r="B19" s="41" t="s">
        <v>325</v>
      </c>
      <c r="C19" s="41" t="s">
        <v>5</v>
      </c>
      <c r="D19" s="129" t="s">
        <v>1043</v>
      </c>
      <c r="E19" s="129" t="s">
        <v>410</v>
      </c>
      <c r="F19" s="129" t="str">
        <f t="shared" si="0"/>
        <v>Not LMIC</v>
      </c>
      <c r="G19" s="28">
        <f>INDEX('UNDP Population Data'!$E$6:$E$269,MATCH($B19,'UNDP Population Data'!$B$6:$B$269,0))</f>
        <v>8782210</v>
      </c>
      <c r="H19" s="28">
        <f>IFERROR(IFERROR(INDEX('WHO GHO Data'!$V$8:$V$201,MATCH('HCW, Staff, Beds Summary'!$C19,'WHO GHO Data'!$C$8:$C$201,0)),INDEX('WHO GHO Data'!$AF$8:$AF$12,MATCH('HCW, Staff, Beds Summary'!$E19,'WHO GHO Data'!$AD$8:$AD$12,0))*$G19/1000),"")</f>
        <v>45921.653888406756</v>
      </c>
      <c r="I19" s="28">
        <f>IFERROR(IFERROR(INDEX('WHO GHO Data'!$U$8:$U$201,MATCH('HCW, Staff, Beds Summary'!$C19,'WHO GHO Data'!$C$8:$C$201,0)),INDEX('WHO GHO Data'!$AE$8:$AE$12,MATCH('HCW, Staff, Beds Summary'!$E19,'WHO GHO Data'!$AD$8:$AD$12,0))*$G19/1000),"")</f>
        <v>60693.407936596552</v>
      </c>
      <c r="J19" s="28">
        <f>IFERROR(IFERROR(INDEX('WHO GHO Data'!$X$8:$X$201,MATCH('HCW, Staff, Beds Summary'!$C19,'WHO GHO Data'!$C$8:$C$201,0)),INDEX('WHO GHO Data'!$AF$8:$AF$12,MATCH('HCW, Staff, Beds Summary'!$E19,'WHO GHO Data'!$AD$8:$AD$12,0))*$G19/1000),"")</f>
        <v>4684.6903681894546</v>
      </c>
      <c r="K19" s="1310">
        <f>IF(INDEX('WB Beds'!$BN$827:$BN$1090,MATCH($C19,'WB Beds'!$C$827:$C$1090,0))="No reported value",INDEX('WB Beds'!$BR$829:$BR$833,MATCH($E19,'WB Beds'!$BP$829:$BP$833,0)),INDEX('WB Beds'!$BN$827:$BN$1090,MATCH($C19,'WB Beds'!$C$827:$C$1090)))</f>
        <v>7.6</v>
      </c>
      <c r="L19" s="1311">
        <f>INDEX('WB Beds'!$BR$836:$BR$840,MATCH($E19,'WB Beds'!$BP$836:$BP$840,0))*100</f>
        <v>3.5700000000000003</v>
      </c>
      <c r="N19" s="1264">
        <f t="shared" si="1"/>
        <v>66744.796000000002</v>
      </c>
    </row>
    <row r="20" spans="2:14" x14ac:dyDescent="0.35">
      <c r="B20" s="41" t="s">
        <v>235</v>
      </c>
      <c r="C20" s="41" t="s">
        <v>6</v>
      </c>
      <c r="D20" s="129" t="s">
        <v>1043</v>
      </c>
      <c r="E20" s="129" t="s">
        <v>557</v>
      </c>
      <c r="F20" s="129" t="str">
        <f t="shared" si="0"/>
        <v>LMIC</v>
      </c>
      <c r="G20" s="28">
        <f>INDEX('UNDP Population Data'!$E$6:$E$269,MATCH($B20,'UNDP Population Data'!$B$6:$B$269,0))</f>
        <v>10099743</v>
      </c>
      <c r="H20" s="28">
        <f>IFERROR(IFERROR(INDEX('WHO GHO Data'!$V$8:$V$201,MATCH('HCW, Staff, Beds Summary'!$C20,'WHO GHO Data'!$C$8:$C$201,0)),INDEX('WHO GHO Data'!$AF$8:$AF$12,MATCH('HCW, Staff, Beds Summary'!$E20,'WHO GHO Data'!$AD$8:$AD$12,0))*$G20/1000),"")</f>
        <v>34736.773976583172</v>
      </c>
      <c r="I20" s="28">
        <f>IFERROR(IFERROR(INDEX('WHO GHO Data'!$U$8:$U$201,MATCH('HCW, Staff, Beds Summary'!$C20,'WHO GHO Data'!$C$8:$C$201,0)),INDEX('WHO GHO Data'!$AE$8:$AE$12,MATCH('HCW, Staff, Beds Summary'!$E20,'WHO GHO Data'!$AD$8:$AD$12,0))*$G20/1000),"")</f>
        <v>59543.301539784828</v>
      </c>
      <c r="J20" s="28">
        <f>IFERROR(IFERROR(INDEX('WHO GHO Data'!$X$8:$X$201,MATCH('HCW, Staff, Beds Summary'!$C20,'WHO GHO Data'!$C$8:$C$201,0)),INDEX('WHO GHO Data'!$AF$8:$AF$12,MATCH('HCW, Staff, Beds Summary'!$E20,'WHO GHO Data'!$AD$8:$AD$12,0))*$G20/1000),"")</f>
        <v>2150.8031859354246</v>
      </c>
      <c r="K20" s="1310">
        <f>IF(INDEX('WB Beds'!$BN$827:$BN$1090,MATCH($C20,'WB Beds'!$C$827:$C$1090,0))="No reported value",INDEX('WB Beds'!$BR$829:$BR$833,MATCH($E20,'WB Beds'!$BP$829:$BP$833,0)),INDEX('WB Beds'!$BN$827:$BN$1090,MATCH($C20,'WB Beds'!$C$827:$C$1090)))</f>
        <v>4.7</v>
      </c>
      <c r="L20" s="1311">
        <f>INDEX('WB Beds'!$BR$836:$BR$840,MATCH($E20,'WB Beds'!$BP$836:$BP$840,0))*100</f>
        <v>3.32</v>
      </c>
      <c r="N20" s="1264">
        <f t="shared" si="1"/>
        <v>47468.792099999999</v>
      </c>
    </row>
    <row r="21" spans="2:14" x14ac:dyDescent="0.35">
      <c r="B21" s="41" t="s">
        <v>186</v>
      </c>
      <c r="C21" s="41" t="s">
        <v>7</v>
      </c>
      <c r="D21" s="129" t="s">
        <v>1042</v>
      </c>
      <c r="E21" s="129" t="s">
        <v>452</v>
      </c>
      <c r="F21" s="129" t="str">
        <f t="shared" si="0"/>
        <v>LMIC</v>
      </c>
      <c r="G21" s="28">
        <f>INDEX('UNDP Population Data'!$E$6:$E$269,MATCH($B21,'UNDP Population Data'!$B$6:$B$269,0))</f>
        <v>11939227</v>
      </c>
      <c r="H21" s="28">
        <f>IFERROR(IFERROR(INDEX('WHO GHO Data'!$V$8:$V$201,MATCH('HCW, Staff, Beds Summary'!$C21,'WHO GHO Data'!$C$8:$C$201,0)),INDEX('WHO GHO Data'!$AF$8:$AF$12,MATCH('HCW, Staff, Beds Summary'!$E21,'WHO GHO Data'!$AD$8:$AD$12,0))*$G21/1000),"")</f>
        <v>1191.4437807562372</v>
      </c>
      <c r="I21" s="28">
        <f>IFERROR(IFERROR(INDEX('WHO GHO Data'!$U$8:$U$201,MATCH('HCW, Staff, Beds Summary'!$C21,'WHO GHO Data'!$C$8:$C$201,0)),INDEX('WHO GHO Data'!$AE$8:$AE$12,MATCH('HCW, Staff, Beds Summary'!$E21,'WHO GHO Data'!$AD$8:$AD$12,0))*$G21/1000),"")</f>
        <v>9970.0982797415381</v>
      </c>
      <c r="J21" s="28">
        <f>IFERROR(IFERROR(INDEX('WHO GHO Data'!$X$8:$X$201,MATCH('HCW, Staff, Beds Summary'!$C21,'WHO GHO Data'!$C$8:$C$201,0)),INDEX('WHO GHO Data'!$AF$8:$AF$12,MATCH('HCW, Staff, Beds Summary'!$E21,'WHO GHO Data'!$AD$8:$AD$12,0))*$G21/1000),"")</f>
        <v>1179.3534840880466</v>
      </c>
      <c r="K21" s="1310">
        <f>IF(INDEX('WB Beds'!$BN$827:$BN$1090,MATCH($C21,'WB Beds'!$C$827:$C$1090,0))="No reported value",INDEX('WB Beds'!$BR$829:$BR$833,MATCH($E21,'WB Beds'!$BP$829:$BP$833,0)),INDEX('WB Beds'!$BN$827:$BN$1090,MATCH($C21,'WB Beds'!$C$827:$C$1090)))</f>
        <v>0.8</v>
      </c>
      <c r="L21" s="1311">
        <f>INDEX('WB Beds'!$BR$836:$BR$840,MATCH($E21,'WB Beds'!$BP$836:$BP$840,0))*100</f>
        <v>1.63</v>
      </c>
      <c r="N21" s="1264">
        <f t="shared" si="1"/>
        <v>9551.3815999999988</v>
      </c>
    </row>
    <row r="22" spans="2:14" x14ac:dyDescent="0.35">
      <c r="B22" s="41" t="s">
        <v>331</v>
      </c>
      <c r="C22" s="41" t="s">
        <v>8</v>
      </c>
      <c r="D22" s="129" t="s">
        <v>1043</v>
      </c>
      <c r="E22" s="129" t="s">
        <v>410</v>
      </c>
      <c r="F22" s="129" t="str">
        <f t="shared" si="0"/>
        <v>Not LMIC</v>
      </c>
      <c r="G22" s="28">
        <f>INDEX('UNDP Population Data'!$E$6:$E$269,MATCH($B22,'UNDP Population Data'!$B$6:$B$269,0))</f>
        <v>11619972</v>
      </c>
      <c r="H22" s="28">
        <f>IFERROR(IFERROR(INDEX('WHO GHO Data'!$V$8:$V$201,MATCH('HCW, Staff, Beds Summary'!$C22,'WHO GHO Data'!$C$8:$C$201,0)),INDEX('WHO GHO Data'!$AF$8:$AF$12,MATCH('HCW, Staff, Beds Summary'!$E22,'WHO GHO Data'!$AD$8:$AD$12,0))*$G22/1000),"")</f>
        <v>35684.335640618083</v>
      </c>
      <c r="I22" s="28">
        <f>IFERROR(IFERROR(INDEX('WHO GHO Data'!$U$8:$U$201,MATCH('HCW, Staff, Beds Summary'!$C22,'WHO GHO Data'!$C$8:$C$201,0)),INDEX('WHO GHO Data'!$AE$8:$AE$12,MATCH('HCW, Staff, Beds Summary'!$E22,'WHO GHO Data'!$AD$8:$AD$12,0))*$G22/1000),"")</f>
        <v>212962.28488768236</v>
      </c>
      <c r="J22" s="28">
        <f>IFERROR(IFERROR(INDEX('WHO GHO Data'!$X$8:$X$201,MATCH('HCW, Staff, Beds Summary'!$C22,'WHO GHO Data'!$C$8:$C$201,0)),INDEX('WHO GHO Data'!$AF$8:$AF$12,MATCH('HCW, Staff, Beds Summary'!$E22,'WHO GHO Data'!$AD$8:$AD$12,0))*$G22/1000),"")</f>
        <v>6198.4364877441049</v>
      </c>
      <c r="K22" s="1310">
        <f>IF(INDEX('WB Beds'!$BN$827:$BN$1090,MATCH($C22,'WB Beds'!$C$827:$C$1090,0))="No reported value",INDEX('WB Beds'!$BR$829:$BR$833,MATCH($E22,'WB Beds'!$BP$829:$BP$833,0)),INDEX('WB Beds'!$BN$827:$BN$1090,MATCH($C22,'WB Beds'!$C$827:$C$1090)))</f>
        <v>6.2</v>
      </c>
      <c r="L22" s="1311">
        <f>INDEX('WB Beds'!$BR$836:$BR$840,MATCH($E22,'WB Beds'!$BP$836:$BP$840,0))*100</f>
        <v>3.5700000000000003</v>
      </c>
      <c r="N22" s="1264">
        <f t="shared" si="1"/>
        <v>72043.826400000005</v>
      </c>
    </row>
    <row r="23" spans="2:14" x14ac:dyDescent="0.35">
      <c r="B23" s="41" t="s">
        <v>183</v>
      </c>
      <c r="C23" s="41" t="s">
        <v>9</v>
      </c>
      <c r="D23" s="129" t="s">
        <v>1042</v>
      </c>
      <c r="E23" s="129" t="s">
        <v>452</v>
      </c>
      <c r="F23" s="129" t="str">
        <f t="shared" si="0"/>
        <v>LMIC</v>
      </c>
      <c r="G23" s="28">
        <f>INDEX('UNDP Population Data'!$E$6:$E$269,MATCH($B23,'UNDP Population Data'!$B$6:$B$269,0))</f>
        <v>12122985</v>
      </c>
      <c r="H23" s="28">
        <f>IFERROR(IFERROR(INDEX('WHO GHO Data'!$V$8:$V$201,MATCH('HCW, Staff, Beds Summary'!$C23,'WHO GHO Data'!$C$8:$C$201,0)),INDEX('WHO GHO Data'!$AF$8:$AF$12,MATCH('HCW, Staff, Beds Summary'!$E23,'WHO GHO Data'!$AD$8:$AD$12,0))*$G23/1000),"")</f>
        <v>958.96308006217532</v>
      </c>
      <c r="I23" s="28">
        <f>IFERROR(IFERROR(INDEX('WHO GHO Data'!$U$8:$U$201,MATCH('HCW, Staff, Beds Summary'!$C23,'WHO GHO Data'!$C$8:$C$201,0)),INDEX('WHO GHO Data'!$AE$8:$AE$12,MATCH('HCW, Staff, Beds Summary'!$E23,'WHO GHO Data'!$AD$8:$AD$12,0))*$G23/1000),"")</f>
        <v>3601.3921839339405</v>
      </c>
      <c r="J23" s="28">
        <f>IFERROR(IFERROR(INDEX('WHO GHO Data'!$X$8:$X$201,MATCH('HCW, Staff, Beds Summary'!$C23,'WHO GHO Data'!$C$8:$C$201,0)),INDEX('WHO GHO Data'!$AF$8:$AF$12,MATCH('HCW, Staff, Beds Summary'!$E23,'WHO GHO Data'!$AD$8:$AD$12,0))*$G23/1000),"")</f>
        <v>705.49266242459601</v>
      </c>
      <c r="K23" s="1310">
        <f>IF(INDEX('WB Beds'!$BN$827:$BN$1090,MATCH($C23,'WB Beds'!$C$827:$C$1090,0))="No reported value",INDEX('WB Beds'!$BR$829:$BR$833,MATCH($E23,'WB Beds'!$BP$829:$BP$833,0)),INDEX('WB Beds'!$BN$827:$BN$1090,MATCH($C23,'WB Beds'!$C$827:$C$1090)))</f>
        <v>0.5</v>
      </c>
      <c r="L23" s="1311">
        <f>INDEX('WB Beds'!$BR$836:$BR$840,MATCH($E23,'WB Beds'!$BP$836:$BP$840,0))*100</f>
        <v>1.63</v>
      </c>
      <c r="N23" s="1264">
        <f t="shared" si="1"/>
        <v>6061.4925000000003</v>
      </c>
    </row>
    <row r="24" spans="2:14" x14ac:dyDescent="0.35">
      <c r="B24" s="41" t="s">
        <v>185</v>
      </c>
      <c r="C24" s="41" t="s">
        <v>10</v>
      </c>
      <c r="D24" s="129" t="s">
        <v>1042</v>
      </c>
      <c r="E24" s="129" t="s">
        <v>452</v>
      </c>
      <c r="F24" s="129" t="str">
        <f t="shared" si="0"/>
        <v>LMIC</v>
      </c>
      <c r="G24" s="28">
        <f>INDEX('UNDP Population Data'!$E$6:$E$269,MATCH($B24,'UNDP Population Data'!$B$6:$B$269,0))</f>
        <v>20903345</v>
      </c>
      <c r="H24" s="28">
        <f>IFERROR(IFERROR(INDEX('WHO GHO Data'!$V$8:$V$201,MATCH('HCW, Staff, Beds Summary'!$C24,'WHO GHO Data'!$C$8:$C$201,0)),INDEX('WHO GHO Data'!$AF$8:$AF$12,MATCH('HCW, Staff, Beds Summary'!$E24,'WHO GHO Data'!$AD$8:$AD$12,0))*$G24/1000),"")</f>
        <v>1772.1071009806844</v>
      </c>
      <c r="I24" s="28">
        <f>IFERROR(IFERROR(INDEX('WHO GHO Data'!$U$8:$U$201,MATCH('HCW, Staff, Beds Summary'!$C24,'WHO GHO Data'!$C$8:$C$201,0)),INDEX('WHO GHO Data'!$AE$8:$AE$12,MATCH('HCW, Staff, Beds Summary'!$E24,'WHO GHO Data'!$AD$8:$AD$12,0))*$G24/1000),"")</f>
        <v>11308.353800599989</v>
      </c>
      <c r="J24" s="28">
        <f>IFERROR(IFERROR(INDEX('WHO GHO Data'!$X$8:$X$201,MATCH('HCW, Staff, Beds Summary'!$C24,'WHO GHO Data'!$C$8:$C$201,0)),INDEX('WHO GHO Data'!$AF$8:$AF$12,MATCH('HCW, Staff, Beds Summary'!$E24,'WHO GHO Data'!$AD$8:$AD$12,0))*$G24/1000),"")</f>
        <v>761.80987920387349</v>
      </c>
      <c r="K24" s="1310">
        <f>IF(INDEX('WB Beds'!$BN$827:$BN$1090,MATCH($C24,'WB Beds'!$C$827:$C$1090,0))="No reported value",INDEX('WB Beds'!$BR$829:$BR$833,MATCH($E24,'WB Beds'!$BP$829:$BP$833,0)),INDEX('WB Beds'!$BN$827:$BN$1090,MATCH($C24,'WB Beds'!$C$827:$C$1090)))</f>
        <v>0.4</v>
      </c>
      <c r="L24" s="1311">
        <f>INDEX('WB Beds'!$BR$836:$BR$840,MATCH($E24,'WB Beds'!$BP$836:$BP$840,0))*100</f>
        <v>1.63</v>
      </c>
      <c r="N24" s="1264">
        <f t="shared" si="1"/>
        <v>8361.3379999999997</v>
      </c>
    </row>
    <row r="25" spans="2:14" x14ac:dyDescent="0.35">
      <c r="B25" s="41" t="s">
        <v>240</v>
      </c>
      <c r="C25" s="41" t="s">
        <v>11</v>
      </c>
      <c r="D25" s="129" t="s">
        <v>1045</v>
      </c>
      <c r="E25" s="129" t="s">
        <v>454</v>
      </c>
      <c r="F25" s="129" t="str">
        <f t="shared" si="0"/>
        <v>LMIC</v>
      </c>
      <c r="G25" s="28">
        <f>INDEX('UNDP Population Data'!$E$6:$E$269,MATCH($B25,'UNDP Population Data'!$B$6:$B$269,0))</f>
        <v>169775309</v>
      </c>
      <c r="H25" s="28">
        <f>IFERROR(IFERROR(INDEX('WHO GHO Data'!$V$8:$V$201,MATCH('HCW, Staff, Beds Summary'!$C25,'WHO GHO Data'!$C$8:$C$201,0)),INDEX('WHO GHO Data'!$AF$8:$AF$12,MATCH('HCW, Staff, Beds Summary'!$E25,'WHO GHO Data'!$AD$8:$AD$12,0))*$G25/1000),"")</f>
        <v>95704.51443537559</v>
      </c>
      <c r="I25" s="28">
        <f>IFERROR(IFERROR(INDEX('WHO GHO Data'!$U$8:$U$201,MATCH('HCW, Staff, Beds Summary'!$C25,'WHO GHO Data'!$C$8:$C$201,0)),INDEX('WHO GHO Data'!$AE$8:$AE$12,MATCH('HCW, Staff, Beds Summary'!$E25,'WHO GHO Data'!$AD$8:$AD$12,0))*$G25/1000),"")</f>
        <v>58409.351034896928</v>
      </c>
      <c r="J25" s="28">
        <f>IFERROR(IFERROR(INDEX('WHO GHO Data'!$X$8:$X$201,MATCH('HCW, Staff, Beds Summary'!$C25,'WHO GHO Data'!$C$8:$C$201,0)),INDEX('WHO GHO Data'!$AF$8:$AF$12,MATCH('HCW, Staff, Beds Summary'!$E25,'WHO GHO Data'!$AD$8:$AD$12,0))*$G25/1000),"")</f>
        <v>26668.134770980105</v>
      </c>
      <c r="K25" s="1310">
        <f>IF(INDEX('WB Beds'!$BN$827:$BN$1090,MATCH($C25,'WB Beds'!$C$827:$C$1090,0))="No reported value",INDEX('WB Beds'!$BR$829:$BR$833,MATCH($E25,'WB Beds'!$BP$829:$BP$833,0)),INDEX('WB Beds'!$BN$827:$BN$1090,MATCH($C25,'WB Beds'!$C$827:$C$1090)))</f>
        <v>0.8</v>
      </c>
      <c r="L25" s="1311">
        <f>INDEX('WB Beds'!$BR$836:$BR$840,MATCH($E25,'WB Beds'!$BP$836:$BP$840,0))*100</f>
        <v>2.3800000000000003</v>
      </c>
      <c r="N25" s="1264">
        <f t="shared" si="1"/>
        <v>135820.24720000001</v>
      </c>
    </row>
    <row r="26" spans="2:14" x14ac:dyDescent="0.35">
      <c r="B26" s="41" t="s">
        <v>340</v>
      </c>
      <c r="C26" s="41" t="s">
        <v>12</v>
      </c>
      <c r="D26" s="129" t="s">
        <v>1043</v>
      </c>
      <c r="E26" s="129" t="s">
        <v>557</v>
      </c>
      <c r="F26" s="129" t="str">
        <f t="shared" si="0"/>
        <v>LMIC</v>
      </c>
      <c r="G26" s="28">
        <f>INDEX('UNDP Population Data'!$E$6:$E$269,MATCH($B26,'UNDP Population Data'!$B$6:$B$269,0))</f>
        <v>6940527</v>
      </c>
      <c r="H26" s="28">
        <f>IFERROR(IFERROR(INDEX('WHO GHO Data'!$V$8:$V$201,MATCH('HCW, Staff, Beds Summary'!$C26,'WHO GHO Data'!$C$8:$C$201,0)),INDEX('WHO GHO Data'!$AF$8:$AF$12,MATCH('HCW, Staff, Beds Summary'!$E26,'WHO GHO Data'!$AD$8:$AD$12,0))*$G26/1000),"")</f>
        <v>28079.685588756693</v>
      </c>
      <c r="I26" s="28">
        <f>IFERROR(IFERROR(INDEX('WHO GHO Data'!$U$8:$U$201,MATCH('HCW, Staff, Beds Summary'!$C26,'WHO GHO Data'!$C$8:$C$201,0)),INDEX('WHO GHO Data'!$AE$8:$AE$12,MATCH('HCW, Staff, Beds Summary'!$E26,'WHO GHO Data'!$AD$8:$AD$12,0))*$G26/1000),"")</f>
        <v>30360.833681045318</v>
      </c>
      <c r="J26" s="28">
        <f>IFERROR(IFERROR(INDEX('WHO GHO Data'!$X$8:$X$201,MATCH('HCW, Staff, Beds Summary'!$C26,'WHO GHO Data'!$C$8:$C$201,0)),INDEX('WHO GHO Data'!$AF$8:$AF$12,MATCH('HCW, Staff, Beds Summary'!$E26,'WHO GHO Data'!$AD$8:$AD$12,0))*$G26/1000),"")</f>
        <v>1478.0284591074085</v>
      </c>
      <c r="K26" s="1310">
        <f>IF(INDEX('WB Beds'!$BN$827:$BN$1090,MATCH($C26,'WB Beds'!$C$827:$C$1090,0))="No reported value",INDEX('WB Beds'!$BR$829:$BR$833,MATCH($E26,'WB Beds'!$BP$829:$BP$833,0)),INDEX('WB Beds'!$BN$827:$BN$1090,MATCH($C26,'WB Beds'!$C$827:$C$1090)))</f>
        <v>6.8</v>
      </c>
      <c r="L26" s="1311">
        <f>INDEX('WB Beds'!$BR$836:$BR$840,MATCH($E26,'WB Beds'!$BP$836:$BP$840,0))*100</f>
        <v>3.32</v>
      </c>
      <c r="N26" s="1264">
        <f t="shared" si="1"/>
        <v>47195.583599999998</v>
      </c>
    </row>
    <row r="27" spans="2:14" x14ac:dyDescent="0.35">
      <c r="B27" s="41" t="s">
        <v>327</v>
      </c>
      <c r="C27" s="41" t="s">
        <v>13</v>
      </c>
      <c r="D27" s="129" t="s">
        <v>1041</v>
      </c>
      <c r="E27" s="129" t="s">
        <v>410</v>
      </c>
      <c r="F27" s="129" t="str">
        <f t="shared" si="0"/>
        <v>Not LMIC</v>
      </c>
      <c r="G27" s="28">
        <f>INDEX('UNDP Population Data'!$E$6:$E$269,MATCH($B27,'UNDP Population Data'!$B$6:$B$269,0))</f>
        <v>1697765</v>
      </c>
      <c r="H27" s="28">
        <f>IFERROR(IFERROR(INDEX('WHO GHO Data'!$V$8:$V$201,MATCH('HCW, Staff, Beds Summary'!$C27,'WHO GHO Data'!$C$8:$C$201,0)),INDEX('WHO GHO Data'!$AF$8:$AF$12,MATCH('HCW, Staff, Beds Summary'!$E27,'WHO GHO Data'!$AD$8:$AD$12,0))*$G27/1000),"")</f>
        <v>1571.7124258759131</v>
      </c>
      <c r="I27" s="28">
        <f>IFERROR(IFERROR(INDEX('WHO GHO Data'!$U$8:$U$201,MATCH('HCW, Staff, Beds Summary'!$C27,'WHO GHO Data'!$C$8:$C$201,0)),INDEX('WHO GHO Data'!$AE$8:$AE$12,MATCH('HCW, Staff, Beds Summary'!$E27,'WHO GHO Data'!$AD$8:$AD$12,0))*$G27/1000),"")</f>
        <v>4234.9605679900587</v>
      </c>
      <c r="J27" s="28">
        <f>IFERROR(IFERROR(INDEX('WHO GHO Data'!$X$8:$X$201,MATCH('HCW, Staff, Beds Summary'!$C27,'WHO GHO Data'!$C$8:$C$201,0)),INDEX('WHO GHO Data'!$AF$8:$AF$12,MATCH('HCW, Staff, Beds Summary'!$E27,'WHO GHO Data'!$AD$8:$AD$12,0))*$G27/1000),"")</f>
        <v>365.08280758534988</v>
      </c>
      <c r="K27" s="1310">
        <f>IF(INDEX('WB Beds'!$BN$827:$BN$1090,MATCH($C27,'WB Beds'!$C$827:$C$1090,0))="No reported value",INDEX('WB Beds'!$BR$829:$BR$833,MATCH($E27,'WB Beds'!$BP$829:$BP$833,0)),INDEX('WB Beds'!$BN$827:$BN$1090,MATCH($C27,'WB Beds'!$C$827:$C$1090)))</f>
        <v>2</v>
      </c>
      <c r="L27" s="1311">
        <f>INDEX('WB Beds'!$BR$836:$BR$840,MATCH($E27,'WB Beds'!$BP$836:$BP$840,0))*100</f>
        <v>3.5700000000000003</v>
      </c>
      <c r="N27" s="1264">
        <f t="shared" si="1"/>
        <v>3395.53</v>
      </c>
    </row>
    <row r="28" spans="2:14" x14ac:dyDescent="0.35">
      <c r="B28" s="41" t="s">
        <v>326</v>
      </c>
      <c r="C28" s="41" t="s">
        <v>14</v>
      </c>
      <c r="D28" s="129" t="s">
        <v>1044</v>
      </c>
      <c r="E28" s="129" t="s">
        <v>410</v>
      </c>
      <c r="F28" s="129" t="str">
        <f t="shared" si="0"/>
        <v>Not LMIC</v>
      </c>
      <c r="G28" s="28">
        <f>INDEX('UNDP Population Data'!$E$6:$E$269,MATCH($B28,'UNDP Population Data'!$B$6:$B$269,0))</f>
        <v>406839</v>
      </c>
      <c r="H28" s="28">
        <f>IFERROR(IFERROR(INDEX('WHO GHO Data'!$V$8:$V$201,MATCH('HCW, Staff, Beds Summary'!$C28,'WHO GHO Data'!$C$8:$C$201,0)),INDEX('WHO GHO Data'!$AF$8:$AF$12,MATCH('HCW, Staff, Beds Summary'!$E28,'WHO GHO Data'!$AD$8:$AD$12,0))*$G28/1000),"")</f>
        <v>789.52309595454369</v>
      </c>
      <c r="I28" s="28">
        <f>IFERROR(IFERROR(INDEX('WHO GHO Data'!$U$8:$U$201,MATCH('HCW, Staff, Beds Summary'!$C28,'WHO GHO Data'!$C$8:$C$201,0)),INDEX('WHO GHO Data'!$AE$8:$AE$12,MATCH('HCW, Staff, Beds Summary'!$E28,'WHO GHO Data'!$AD$8:$AD$12,0))*$G28/1000),"")</f>
        <v>1796.8703211754846</v>
      </c>
      <c r="J28" s="28">
        <f>IFERROR(IFERROR(INDEX('WHO GHO Data'!$X$8:$X$201,MATCH('HCW, Staff, Beds Summary'!$C28,'WHO GHO Data'!$C$8:$C$201,0)),INDEX('WHO GHO Data'!$AF$8:$AF$12,MATCH('HCW, Staff, Beds Summary'!$E28,'WHO GHO Data'!$AD$8:$AD$12,0))*$G28/1000),"")</f>
        <v>113.87844999158446</v>
      </c>
      <c r="K28" s="1310">
        <f>IF(INDEX('WB Beds'!$BN$827:$BN$1090,MATCH($C28,'WB Beds'!$C$827:$C$1090,0))="No reported value",INDEX('WB Beds'!$BR$829:$BR$833,MATCH($E28,'WB Beds'!$BP$829:$BP$833,0)),INDEX('WB Beds'!$BN$827:$BN$1090,MATCH($C28,'WB Beds'!$C$827:$C$1090)))</f>
        <v>2.9</v>
      </c>
      <c r="L28" s="1311">
        <f>INDEX('WB Beds'!$BR$836:$BR$840,MATCH($E28,'WB Beds'!$BP$836:$BP$840,0))*100</f>
        <v>3.5700000000000003</v>
      </c>
      <c r="N28" s="1264">
        <f t="shared" si="1"/>
        <v>1179.8330999999998</v>
      </c>
    </row>
    <row r="29" spans="2:14" x14ac:dyDescent="0.35">
      <c r="B29" s="41" t="s">
        <v>335</v>
      </c>
      <c r="C29" s="41" t="s">
        <v>15</v>
      </c>
      <c r="D29" s="129" t="s">
        <v>1043</v>
      </c>
      <c r="E29" s="129" t="s">
        <v>557</v>
      </c>
      <c r="F29" s="129" t="str">
        <f t="shared" si="0"/>
        <v>LMIC</v>
      </c>
      <c r="G29" s="28">
        <f>INDEX('UNDP Population Data'!$E$6:$E$269,MATCH($B29,'UNDP Population Data'!$B$6:$B$269,0))</f>
        <v>3498210</v>
      </c>
      <c r="H29" s="28">
        <f>IFERROR(IFERROR(INDEX('WHO GHO Data'!$V$8:$V$201,MATCH('HCW, Staff, Beds Summary'!$C29,'WHO GHO Data'!$C$8:$C$201,0)),INDEX('WHO GHO Data'!$AF$8:$AF$12,MATCH('HCW, Staff, Beds Summary'!$E29,'WHO GHO Data'!$AD$8:$AD$12,0))*$G29/1000),"")</f>
        <v>7333.8565470603326</v>
      </c>
      <c r="I29" s="28">
        <f>IFERROR(IFERROR(INDEX('WHO GHO Data'!$U$8:$U$201,MATCH('HCW, Staff, Beds Summary'!$C29,'WHO GHO Data'!$C$8:$C$201,0)),INDEX('WHO GHO Data'!$AE$8:$AE$12,MATCH('HCW, Staff, Beds Summary'!$E29,'WHO GHO Data'!$AD$8:$AD$12,0))*$G29/1000),"")</f>
        <v>18975.354501534926</v>
      </c>
      <c r="J29" s="28">
        <f>IFERROR(IFERROR(INDEX('WHO GHO Data'!$X$8:$X$201,MATCH('HCW, Staff, Beds Summary'!$C29,'WHO GHO Data'!$C$8:$C$201,0)),INDEX('WHO GHO Data'!$AF$8:$AF$12,MATCH('HCW, Staff, Beds Summary'!$E29,'WHO GHO Data'!$AD$8:$AD$12,0))*$G29/1000),"")</f>
        <v>744.96561081516256</v>
      </c>
      <c r="K29" s="1310">
        <f>IF(INDEX('WB Beds'!$BN$827:$BN$1090,MATCH($C29,'WB Beds'!$C$827:$C$1090,0))="No reported value",INDEX('WB Beds'!$BR$829:$BR$833,MATCH($E29,'WB Beds'!$BP$829:$BP$833,0)),INDEX('WB Beds'!$BN$827:$BN$1090,MATCH($C29,'WB Beds'!$C$827:$C$1090)))</f>
        <v>3.5</v>
      </c>
      <c r="L29" s="1311">
        <f>INDEX('WB Beds'!$BR$836:$BR$840,MATCH($E29,'WB Beds'!$BP$836:$BP$840,0))*100</f>
        <v>3.32</v>
      </c>
      <c r="N29" s="1264">
        <f t="shared" si="1"/>
        <v>12243.735000000001</v>
      </c>
    </row>
    <row r="30" spans="2:14" x14ac:dyDescent="0.35">
      <c r="B30" s="41" t="s">
        <v>330</v>
      </c>
      <c r="C30" s="41" t="s">
        <v>16</v>
      </c>
      <c r="D30" s="129" t="s">
        <v>1043</v>
      </c>
      <c r="E30" s="129" t="s">
        <v>557</v>
      </c>
      <c r="F30" s="129" t="str">
        <f t="shared" si="0"/>
        <v>LMIC</v>
      </c>
      <c r="G30" s="28">
        <f>INDEX('UNDP Population Data'!$E$6:$E$269,MATCH($B30,'UNDP Population Data'!$B$6:$B$269,0))</f>
        <v>9415431</v>
      </c>
      <c r="H30" s="28">
        <f>IFERROR(IFERROR(INDEX('WHO GHO Data'!$V$8:$V$201,MATCH('HCW, Staff, Beds Summary'!$C30,'WHO GHO Data'!$C$8:$C$201,0)),INDEX('WHO GHO Data'!$AF$8:$AF$12,MATCH('HCW, Staff, Beds Summary'!$E30,'WHO GHO Data'!$AD$8:$AD$12,0))*$G30/1000),"")</f>
        <v>48631.681411381171</v>
      </c>
      <c r="I30" s="28">
        <f>IFERROR(IFERROR(INDEX('WHO GHO Data'!$U$8:$U$201,MATCH('HCW, Staff, Beds Summary'!$C30,'WHO GHO Data'!$C$8:$C$201,0)),INDEX('WHO GHO Data'!$AE$8:$AE$12,MATCH('HCW, Staff, Beds Summary'!$E30,'WHO GHO Data'!$AD$8:$AD$12,0))*$G30/1000),"")</f>
        <v>98141.800174514006</v>
      </c>
      <c r="J30" s="28">
        <f>IFERROR(IFERROR(INDEX('WHO GHO Data'!$X$8:$X$201,MATCH('HCW, Staff, Beds Summary'!$C30,'WHO GHO Data'!$C$8:$C$201,0)),INDEX('WHO GHO Data'!$AF$8:$AF$12,MATCH('HCW, Staff, Beds Summary'!$E30,'WHO GHO Data'!$AD$8:$AD$12,0))*$G30/1000),"")</f>
        <v>2005.0746827671915</v>
      </c>
      <c r="K30" s="1310">
        <f>IF(INDEX('WB Beds'!$BN$827:$BN$1090,MATCH($C30,'WB Beds'!$C$827:$C$1090,0))="No reported value",INDEX('WB Beds'!$BR$829:$BR$833,MATCH($E30,'WB Beds'!$BP$829:$BP$833,0)),INDEX('WB Beds'!$BN$827:$BN$1090,MATCH($C30,'WB Beds'!$C$827:$C$1090)))</f>
        <v>11</v>
      </c>
      <c r="L30" s="1311">
        <f>INDEX('WB Beds'!$BR$836:$BR$840,MATCH($E30,'WB Beds'!$BP$836:$BP$840,0))*100</f>
        <v>3.32</v>
      </c>
      <c r="N30" s="1264">
        <f t="shared" si="1"/>
        <v>103569.74099999999</v>
      </c>
    </row>
    <row r="31" spans="2:14" x14ac:dyDescent="0.35">
      <c r="B31" s="41" t="s">
        <v>332</v>
      </c>
      <c r="C31" s="41" t="s">
        <v>17</v>
      </c>
      <c r="D31" s="129" t="s">
        <v>1044</v>
      </c>
      <c r="E31" s="129" t="s">
        <v>557</v>
      </c>
      <c r="F31" s="129" t="str">
        <f t="shared" si="0"/>
        <v>LMIC</v>
      </c>
      <c r="G31" s="28">
        <f>INDEX('UNDP Population Data'!$E$6:$E$269,MATCH($B31,'UNDP Population Data'!$B$6:$B$269,0))</f>
        <v>398007</v>
      </c>
      <c r="H31" s="28">
        <f>IFERROR(IFERROR(INDEX('WHO GHO Data'!$V$8:$V$201,MATCH('HCW, Staff, Beds Summary'!$C31,'WHO GHO Data'!$C$8:$C$201,0)),INDEX('WHO GHO Data'!$AF$8:$AF$12,MATCH('HCW, Staff, Beds Summary'!$E31,'WHO GHO Data'!$AD$8:$AD$12,0))*$G31/1000),"")</f>
        <v>448.72601625607496</v>
      </c>
      <c r="I31" s="28">
        <f>IFERROR(IFERROR(INDEX('WHO GHO Data'!$U$8:$U$201,MATCH('HCW, Staff, Beds Summary'!$C31,'WHO GHO Data'!$C$8:$C$201,0)),INDEX('WHO GHO Data'!$AE$8:$AE$12,MATCH('HCW, Staff, Beds Summary'!$E31,'WHO GHO Data'!$AD$8:$AD$12,0))*$G31/1000),"")</f>
        <v>934.48351021644703</v>
      </c>
      <c r="J31" s="28">
        <f>IFERROR(IFERROR(INDEX('WHO GHO Data'!$X$8:$X$201,MATCH('HCW, Staff, Beds Summary'!$C31,'WHO GHO Data'!$C$8:$C$201,0)),INDEX('WHO GHO Data'!$AF$8:$AF$12,MATCH('HCW, Staff, Beds Summary'!$E31,'WHO GHO Data'!$AD$8:$AD$12,0))*$G31/1000),"")</f>
        <v>84.758069945403619</v>
      </c>
      <c r="K31" s="1310">
        <f>IF(INDEX('WB Beds'!$BN$827:$BN$1090,MATCH($C31,'WB Beds'!$C$827:$C$1090,0))="No reported value",INDEX('WB Beds'!$BR$829:$BR$833,MATCH($E31,'WB Beds'!$BP$829:$BP$833,0)),INDEX('WB Beds'!$BN$827:$BN$1090,MATCH($C31,'WB Beds'!$C$827:$C$1090)))</f>
        <v>1.3</v>
      </c>
      <c r="L31" s="1311">
        <f>INDEX('WB Beds'!$BR$836:$BR$840,MATCH($E31,'WB Beds'!$BP$836:$BP$840,0))*100</f>
        <v>3.32</v>
      </c>
      <c r="N31" s="1264">
        <f t="shared" si="1"/>
        <v>517.40910000000008</v>
      </c>
    </row>
    <row r="32" spans="2:14" x14ac:dyDescent="0.35">
      <c r="B32" s="41" t="s">
        <v>333</v>
      </c>
      <c r="C32" s="41" t="s">
        <v>334</v>
      </c>
      <c r="D32" s="129" t="s">
        <v>1089</v>
      </c>
      <c r="E32" s="129" t="s">
        <v>410</v>
      </c>
      <c r="F32" s="129" t="str">
        <f t="shared" si="0"/>
        <v>Not LMIC</v>
      </c>
      <c r="G32" s="28">
        <f>INDEX('UNDP Population Data'!$E$6:$E$269,MATCH($B32,'UNDP Population Data'!$B$6:$B$269,0))</f>
        <v>60639</v>
      </c>
      <c r="H32" s="28">
        <f>IFERROR(IFERROR(INDEX('WHO GHO Data'!$V$8:$V$201,MATCH('HCW, Staff, Beds Summary'!$C32,'WHO GHO Data'!$C$8:$C$201,0)),INDEX('WHO GHO Data'!$AF$8:$AF$12,MATCH('HCW, Staff, Beds Summary'!$E32,'WHO GHO Data'!$AD$8:$AD$12,0))*$G32/1000),"")</f>
        <v>202.50105517118456</v>
      </c>
      <c r="I32" s="28">
        <f>IFERROR(IFERROR(INDEX('WHO GHO Data'!$U$8:$U$201,MATCH('HCW, Staff, Beds Summary'!$C32,'WHO GHO Data'!$C$8:$C$201,0)),INDEX('WHO GHO Data'!$AE$8:$AE$12,MATCH('HCW, Staff, Beds Summary'!$E32,'WHO GHO Data'!$AD$8:$AD$12,0))*$G32/1000),"")</f>
        <v>512.5167415299444</v>
      </c>
      <c r="J32" s="28">
        <f>IFERROR(IFERROR(INDEX('WHO GHO Data'!$X$8:$X$201,MATCH('HCW, Staff, Beds Summary'!$C32,'WHO GHO Data'!$C$8:$C$201,0)),INDEX('WHO GHO Data'!$AF$8:$AF$12,MATCH('HCW, Staff, Beds Summary'!$E32,'WHO GHO Data'!$AD$8:$AD$12,0))*$G32/1000),"")</f>
        <v>202.50105517118456</v>
      </c>
      <c r="K32" s="1310">
        <f>IF(INDEX('WB Beds'!$BN$827:$BN$1090,MATCH($C32,'WB Beds'!$C$827:$C$1090,0))="No reported value",INDEX('WB Beds'!$BR$829:$BR$833,MATCH($E32,'WB Beds'!$BP$829:$BP$833,0)),INDEX('WB Beds'!$BN$827:$BN$1090,MATCH($C32,'WB Beds'!$C$827:$C$1090)))</f>
        <v>6.3000001906999996</v>
      </c>
      <c r="L32" s="1311">
        <f>INDEX('WB Beds'!$BR$836:$BR$840,MATCH($E32,'WB Beds'!$BP$836:$BP$840,0))*100</f>
        <v>3.5700000000000003</v>
      </c>
      <c r="N32" s="1264">
        <f t="shared" si="1"/>
        <v>382.02571156385727</v>
      </c>
    </row>
    <row r="33" spans="2:14" x14ac:dyDescent="0.35">
      <c r="B33" s="41" t="s">
        <v>219</v>
      </c>
      <c r="C33" s="41" t="s">
        <v>18</v>
      </c>
      <c r="D33" s="129" t="s">
        <v>1044</v>
      </c>
      <c r="E33" s="129" t="s">
        <v>454</v>
      </c>
      <c r="F33" s="129" t="str">
        <f t="shared" si="0"/>
        <v>LMIC</v>
      </c>
      <c r="G33" s="28">
        <f>INDEX('UNDP Population Data'!$E$6:$E$269,MATCH($B33,'UNDP Population Data'!$B$6:$B$269,0))</f>
        <v>11543982</v>
      </c>
      <c r="H33" s="28">
        <f>IFERROR(IFERROR(INDEX('WHO GHO Data'!$V$8:$V$201,MATCH('HCW, Staff, Beds Summary'!$C33,'WHO GHO Data'!$C$8:$C$201,0)),INDEX('WHO GHO Data'!$AF$8:$AF$12,MATCH('HCW, Staff, Beds Summary'!$E33,'WHO GHO Data'!$AD$8:$AD$12,0))*$G33/1000),"")</f>
        <v>18606.099339024546</v>
      </c>
      <c r="I33" s="28">
        <f>IFERROR(IFERROR(INDEX('WHO GHO Data'!$U$8:$U$201,MATCH('HCW, Staff, Beds Summary'!$C33,'WHO GHO Data'!$C$8:$C$201,0)),INDEX('WHO GHO Data'!$AE$8:$AE$12,MATCH('HCW, Staff, Beds Summary'!$E33,'WHO GHO Data'!$AD$8:$AD$12,0))*$G33/1000),"")</f>
        <v>18236.971279441314</v>
      </c>
      <c r="J33" s="28">
        <f>IFERROR(IFERROR(INDEX('WHO GHO Data'!$X$8:$X$201,MATCH('HCW, Staff, Beds Summary'!$C33,'WHO GHO Data'!$C$8:$C$201,0)),INDEX('WHO GHO Data'!$AF$8:$AF$12,MATCH('HCW, Staff, Beds Summary'!$E33,'WHO GHO Data'!$AD$8:$AD$12,0))*$G33/1000),"")</f>
        <v>641.62729414208184</v>
      </c>
      <c r="K33" s="1310">
        <f>IF(INDEX('WB Beds'!$BN$827:$BN$1090,MATCH($C33,'WB Beds'!$C$827:$C$1090,0))="No reported value",INDEX('WB Beds'!$BR$829:$BR$833,MATCH($E33,'WB Beds'!$BP$829:$BP$833,0)),INDEX('WB Beds'!$BN$827:$BN$1090,MATCH($C33,'WB Beds'!$C$827:$C$1090)))</f>
        <v>1.1000000000000001</v>
      </c>
      <c r="L33" s="1311">
        <f>INDEX('WB Beds'!$BR$836:$BR$840,MATCH($E33,'WB Beds'!$BP$836:$BP$840,0))*100</f>
        <v>2.3800000000000003</v>
      </c>
      <c r="N33" s="1264">
        <f t="shared" si="1"/>
        <v>12698.380200000001</v>
      </c>
    </row>
    <row r="34" spans="2:14" x14ac:dyDescent="0.35">
      <c r="B34" s="41" t="s">
        <v>336</v>
      </c>
      <c r="C34" s="41" t="s">
        <v>19</v>
      </c>
      <c r="D34" s="129" t="s">
        <v>1044</v>
      </c>
      <c r="E34" s="129" t="s">
        <v>557</v>
      </c>
      <c r="F34" s="129" t="str">
        <f t="shared" si="0"/>
        <v>LMIC</v>
      </c>
      <c r="G34" s="28">
        <f>INDEX('UNDP Population Data'!$E$6:$E$269,MATCH($B34,'UNDP Population Data'!$B$6:$B$269,0))</f>
        <v>213863046</v>
      </c>
      <c r="H34" s="28">
        <f>IFERROR(IFERROR(INDEX('WHO GHO Data'!$V$8:$V$201,MATCH('HCW, Staff, Beds Summary'!$C34,'WHO GHO Data'!$C$8:$C$201,0)),INDEX('WHO GHO Data'!$AF$8:$AF$12,MATCH('HCW, Staff, Beds Summary'!$E34,'WHO GHO Data'!$AD$8:$AD$12,0))*$G34/1000),"")</f>
        <v>460228.96291563933</v>
      </c>
      <c r="I34" s="28">
        <f>IFERROR(IFERROR(INDEX('WHO GHO Data'!$U$8:$U$201,MATCH('HCW, Staff, Beds Summary'!$C34,'WHO GHO Data'!$C$8:$C$201,0)),INDEX('WHO GHO Data'!$AE$8:$AE$12,MATCH('HCW, Staff, Beds Summary'!$E34,'WHO GHO Data'!$AD$8:$AD$12,0))*$G34/1000),"")</f>
        <v>2151777.5727311675</v>
      </c>
      <c r="J34" s="28">
        <f>IFERROR(IFERROR(INDEX('WHO GHO Data'!$X$8:$X$201,MATCH('HCW, Staff, Beds Summary'!$C34,'WHO GHO Data'!$C$8:$C$201,0)),INDEX('WHO GHO Data'!$AF$8:$AF$12,MATCH('HCW, Staff, Beds Summary'!$E34,'WHO GHO Data'!$AD$8:$AD$12,0))*$G34/1000),"")</f>
        <v>44743.251880423042</v>
      </c>
      <c r="K34" s="1310">
        <f>IF(INDEX('WB Beds'!$BN$827:$BN$1090,MATCH($C34,'WB Beds'!$C$827:$C$1090,0))="No reported value",INDEX('WB Beds'!$BR$829:$BR$833,MATCH($E34,'WB Beds'!$BP$829:$BP$833,0)),INDEX('WB Beds'!$BN$827:$BN$1090,MATCH($C34,'WB Beds'!$C$827:$C$1090)))</f>
        <v>2.2000000000000002</v>
      </c>
      <c r="L34" s="1311">
        <f>INDEX('WB Beds'!$BR$836:$BR$840,MATCH($E34,'WB Beds'!$BP$836:$BP$840,0))*100</f>
        <v>3.32</v>
      </c>
      <c r="N34" s="1264">
        <f t="shared" si="1"/>
        <v>470498.70120000007</v>
      </c>
    </row>
    <row r="35" spans="2:14" x14ac:dyDescent="0.35">
      <c r="B35" s="41" t="s">
        <v>328</v>
      </c>
      <c r="C35" s="41" t="s">
        <v>329</v>
      </c>
      <c r="D35" s="129" t="s">
        <v>1044</v>
      </c>
      <c r="E35" s="129" t="s">
        <v>410</v>
      </c>
      <c r="F35" s="129" t="str">
        <f t="shared" si="0"/>
        <v>Not LMIC</v>
      </c>
      <c r="G35" s="28">
        <f>INDEX('UNDP Population Data'!$E$6:$E$269,MATCH($B35,'UNDP Population Data'!$B$6:$B$269,0))</f>
        <v>287568</v>
      </c>
      <c r="H35" s="28">
        <f>IFERROR(IFERROR(INDEX('WHO GHO Data'!$V$8:$V$201,MATCH('HCW, Staff, Beds Summary'!$C35,'WHO GHO Data'!$C$8:$C$201,0)),INDEX('WHO GHO Data'!$AF$8:$AF$12,MATCH('HCW, Staff, Beds Summary'!$E35,'WHO GHO Data'!$AD$8:$AD$12,0))*$G35/1000),"")</f>
        <v>716.01794082614003</v>
      </c>
      <c r="I35" s="28">
        <f>IFERROR(IFERROR(INDEX('WHO GHO Data'!$U$8:$U$201,MATCH('HCW, Staff, Beds Summary'!$C35,'WHO GHO Data'!$C$8:$C$201,0)),INDEX('WHO GHO Data'!$AE$8:$AE$12,MATCH('HCW, Staff, Beds Summary'!$E35,'WHO GHO Data'!$AD$8:$AD$12,0))*$G35/1000),"")</f>
        <v>881.12149446904573</v>
      </c>
      <c r="J35" s="28">
        <f>IFERROR(IFERROR(INDEX('WHO GHO Data'!$X$8:$X$201,MATCH('HCW, Staff, Beds Summary'!$C35,'WHO GHO Data'!$C$8:$C$201,0)),INDEX('WHO GHO Data'!$AF$8:$AF$12,MATCH('HCW, Staff, Beds Summary'!$E35,'WHO GHO Data'!$AD$8:$AD$12,0))*$G35/1000),"")</f>
        <v>2.0715790651552779</v>
      </c>
      <c r="K35" s="1310">
        <f>IF(INDEX('WB Beds'!$BN$827:$BN$1090,MATCH($C35,'WB Beds'!$C$827:$C$1090,0))="No reported value",INDEX('WB Beds'!$BR$829:$BR$833,MATCH($E35,'WB Beds'!$BP$829:$BP$833,0)),INDEX('WB Beds'!$BN$827:$BN$1090,MATCH($C35,'WB Beds'!$C$827:$C$1090)))</f>
        <v>5.8</v>
      </c>
      <c r="L35" s="1311">
        <f>INDEX('WB Beds'!$BR$836:$BR$840,MATCH($E35,'WB Beds'!$BP$836:$BP$840,0))*100</f>
        <v>3.5700000000000003</v>
      </c>
      <c r="N35" s="1264">
        <f t="shared" si="1"/>
        <v>1667.8943999999999</v>
      </c>
    </row>
    <row r="36" spans="2:14" x14ac:dyDescent="0.35">
      <c r="B36" s="41" t="s">
        <v>339</v>
      </c>
      <c r="C36" s="41" t="s">
        <v>20</v>
      </c>
      <c r="D36" s="129" t="s">
        <v>1100</v>
      </c>
      <c r="E36" s="129" t="s">
        <v>410</v>
      </c>
      <c r="F36" s="129" t="str">
        <f t="shared" si="0"/>
        <v>Not LMIC</v>
      </c>
      <c r="G36" s="28">
        <f>INDEX('UNDP Population Data'!$E$6:$E$269,MATCH($B36,'UNDP Population Data'!$B$6:$B$269,0))</f>
        <v>444519</v>
      </c>
      <c r="H36" s="28">
        <f>IFERROR(IFERROR(INDEX('WHO GHO Data'!$V$8:$V$201,MATCH('HCW, Staff, Beds Summary'!$C36,'WHO GHO Data'!$C$8:$C$201,0)),INDEX('WHO GHO Data'!$AF$8:$AF$12,MATCH('HCW, Staff, Beds Summary'!$E36,'WHO GHO Data'!$AD$8:$AD$12,0))*$G36/1000),"")</f>
        <v>709.14460071444773</v>
      </c>
      <c r="I36" s="28">
        <f>IFERROR(IFERROR(INDEX('WHO GHO Data'!$U$8:$U$201,MATCH('HCW, Staff, Beds Summary'!$C36,'WHO GHO Data'!$C$8:$C$201,0)),INDEX('WHO GHO Data'!$AE$8:$AE$12,MATCH('HCW, Staff, Beds Summary'!$E36,'WHO GHO Data'!$AD$8:$AD$12,0))*$G36/1000),"")</f>
        <v>2594.1589680719321</v>
      </c>
      <c r="J36" s="28">
        <f>IFERROR(IFERROR(INDEX('WHO GHO Data'!$X$8:$X$201,MATCH('HCW, Staff, Beds Summary'!$C36,'WHO GHO Data'!$C$8:$C$201,0)),INDEX('WHO GHO Data'!$AF$8:$AF$12,MATCH('HCW, Staff, Beds Summary'!$E36,'WHO GHO Data'!$AD$8:$AD$12,0))*$G36/1000),"")</f>
        <v>149.04526969741974</v>
      </c>
      <c r="K36" s="1310">
        <f>IF(INDEX('WB Beds'!$BN$827:$BN$1090,MATCH($C36,'WB Beds'!$C$827:$C$1090,0))="No reported value",INDEX('WB Beds'!$BR$829:$BR$833,MATCH($E36,'WB Beds'!$BP$829:$BP$833,0)),INDEX('WB Beds'!$BN$827:$BN$1090,MATCH($C36,'WB Beds'!$C$827:$C$1090)))</f>
        <v>2.7</v>
      </c>
      <c r="L36" s="1311">
        <f>INDEX('WB Beds'!$BR$836:$BR$840,MATCH($E36,'WB Beds'!$BP$836:$BP$840,0))*100</f>
        <v>3.5700000000000003</v>
      </c>
      <c r="N36" s="1264">
        <f t="shared" si="1"/>
        <v>1200.2012999999999</v>
      </c>
    </row>
    <row r="37" spans="2:14" x14ac:dyDescent="0.35">
      <c r="B37" s="41" t="s">
        <v>241</v>
      </c>
      <c r="C37" s="41" t="s">
        <v>21</v>
      </c>
      <c r="D37" s="129" t="s">
        <v>1045</v>
      </c>
      <c r="E37" s="129" t="s">
        <v>454</v>
      </c>
      <c r="F37" s="129" t="str">
        <f t="shared" si="0"/>
        <v>LMIC</v>
      </c>
      <c r="G37" s="28">
        <f>INDEX('UNDP Population Data'!$E$6:$E$269,MATCH($B37,'UNDP Population Data'!$B$6:$B$269,0))</f>
        <v>835245</v>
      </c>
      <c r="H37" s="28">
        <f>IFERROR(IFERROR(INDEX('WHO GHO Data'!$V$8:$V$201,MATCH('HCW, Staff, Beds Summary'!$C37,'WHO GHO Data'!$C$8:$C$201,0)),INDEX('WHO GHO Data'!$AF$8:$AF$12,MATCH('HCW, Staff, Beds Summary'!$E37,'WHO GHO Data'!$AD$8:$AD$12,0))*$G37/1000),"")</f>
        <v>327.64267021622788</v>
      </c>
      <c r="I37" s="28">
        <f>IFERROR(IFERROR(INDEX('WHO GHO Data'!$U$8:$U$201,MATCH('HCW, Staff, Beds Summary'!$C37,'WHO GHO Data'!$C$8:$C$201,0)),INDEX('WHO GHO Data'!$AE$8:$AE$12,MATCH('HCW, Staff, Beds Summary'!$E37,'WHO GHO Data'!$AD$8:$AD$12,0))*$G37/1000),"")</f>
        <v>1430.3650321627197</v>
      </c>
      <c r="J37" s="28">
        <f>IFERROR(IFERROR(INDEX('WHO GHO Data'!$X$8:$X$201,MATCH('HCW, Staff, Beds Summary'!$C37,'WHO GHO Data'!$C$8:$C$201,0)),INDEX('WHO GHO Data'!$AF$8:$AF$12,MATCH('HCW, Staff, Beds Summary'!$E37,'WHO GHO Data'!$AD$8:$AD$12,0))*$G37/1000),"")</f>
        <v>389.07567088177058</v>
      </c>
      <c r="K37" s="1310">
        <f>IF(INDEX('WB Beds'!$BN$827:$BN$1090,MATCH($C37,'WB Beds'!$C$827:$C$1090,0))="No reported value",INDEX('WB Beds'!$BR$829:$BR$833,MATCH($E37,'WB Beds'!$BP$829:$BP$833,0)),INDEX('WB Beds'!$BN$827:$BN$1090,MATCH($C37,'WB Beds'!$C$827:$C$1090)))</f>
        <v>1.7</v>
      </c>
      <c r="L37" s="1311">
        <f>INDEX('WB Beds'!$BR$836:$BR$840,MATCH($E37,'WB Beds'!$BP$836:$BP$840,0))*100</f>
        <v>2.3800000000000003</v>
      </c>
      <c r="N37" s="1264">
        <f t="shared" si="1"/>
        <v>1419.9165</v>
      </c>
    </row>
    <row r="38" spans="2:14" x14ac:dyDescent="0.35">
      <c r="B38" s="41" t="s">
        <v>184</v>
      </c>
      <c r="C38" s="41" t="s">
        <v>22</v>
      </c>
      <c r="D38" s="129" t="s">
        <v>1042</v>
      </c>
      <c r="E38" s="129" t="s">
        <v>557</v>
      </c>
      <c r="F38" s="129" t="str">
        <f t="shared" si="0"/>
        <v>LMIC</v>
      </c>
      <c r="G38" s="28">
        <f>INDEX('UNDP Population Data'!$E$6:$E$269,MATCH($B38,'UNDP Population Data'!$B$6:$B$269,0))</f>
        <v>2415766</v>
      </c>
      <c r="H38" s="28">
        <f>IFERROR(IFERROR(INDEX('WHO GHO Data'!$V$8:$V$201,MATCH('HCW, Staff, Beds Summary'!$C38,'WHO GHO Data'!$C$8:$C$201,0)),INDEX('WHO GHO Data'!$AF$8:$AF$12,MATCH('HCW, Staff, Beds Summary'!$E38,'WHO GHO Data'!$AD$8:$AD$12,0))*$G38/1000),"")</f>
        <v>1222.3585029952412</v>
      </c>
      <c r="I38" s="28">
        <f>IFERROR(IFERROR(INDEX('WHO GHO Data'!$U$8:$U$201,MATCH('HCW, Staff, Beds Summary'!$C38,'WHO GHO Data'!$C$8:$C$201,0)),INDEX('WHO GHO Data'!$AE$8:$AE$12,MATCH('HCW, Staff, Beds Summary'!$E38,'WHO GHO Data'!$AD$8:$AD$12,0))*$G38/1000),"")</f>
        <v>12622.337793717699</v>
      </c>
      <c r="J38" s="28">
        <f>IFERROR(IFERROR(INDEX('WHO GHO Data'!$X$8:$X$201,MATCH('HCW, Staff, Beds Summary'!$C38,'WHO GHO Data'!$C$8:$C$201,0)),INDEX('WHO GHO Data'!$AF$8:$AF$12,MATCH('HCW, Staff, Beds Summary'!$E38,'WHO GHO Data'!$AD$8:$AD$12,0))*$G38/1000),"")</f>
        <v>385.89058774894636</v>
      </c>
      <c r="K38" s="1310">
        <f>IF(INDEX('WB Beds'!$BN$827:$BN$1090,MATCH($C38,'WB Beds'!$C$827:$C$1090,0))="No reported value",INDEX('WB Beds'!$BR$829:$BR$833,MATCH($E38,'WB Beds'!$BP$829:$BP$833,0)),INDEX('WB Beds'!$BN$827:$BN$1090,MATCH($C38,'WB Beds'!$C$827:$C$1090)))</f>
        <v>1.8</v>
      </c>
      <c r="L38" s="1311">
        <f>INDEX('WB Beds'!$BR$836:$BR$840,MATCH($E38,'WB Beds'!$BP$836:$BP$840,0))*100</f>
        <v>3.32</v>
      </c>
      <c r="N38" s="1264">
        <f t="shared" si="1"/>
        <v>4348.3787999999995</v>
      </c>
    </row>
    <row r="39" spans="2:14" x14ac:dyDescent="0.35">
      <c r="B39" s="41" t="s">
        <v>188</v>
      </c>
      <c r="C39" s="41" t="s">
        <v>173</v>
      </c>
      <c r="D39" s="129" t="s">
        <v>1042</v>
      </c>
      <c r="E39" s="129" t="s">
        <v>452</v>
      </c>
      <c r="F39" s="129" t="str">
        <f t="shared" si="0"/>
        <v>LMIC</v>
      </c>
      <c r="G39" s="28">
        <f>INDEX('UNDP Population Data'!$E$6:$E$269,MATCH($B39,'UNDP Population Data'!$B$6:$B$269,0))</f>
        <v>4920889</v>
      </c>
      <c r="H39" s="28">
        <f>IFERROR(IFERROR(INDEX('WHO GHO Data'!$V$8:$V$201,MATCH('HCW, Staff, Beds Summary'!$C39,'WHO GHO Data'!$C$8:$C$201,0)),INDEX('WHO GHO Data'!$AF$8:$AF$12,MATCH('HCW, Staff, Beds Summary'!$E39,'WHO GHO Data'!$AD$8:$AD$12,0))*$G39/1000),"")</f>
        <v>350.71116693429519</v>
      </c>
      <c r="I39" s="28">
        <f>IFERROR(IFERROR(INDEX('WHO GHO Data'!$U$8:$U$201,MATCH('HCW, Staff, Beds Summary'!$C39,'WHO GHO Data'!$C$8:$C$201,0)),INDEX('WHO GHO Data'!$AE$8:$AE$12,MATCH('HCW, Staff, Beds Summary'!$E39,'WHO GHO Data'!$AD$8:$AD$12,0))*$G39/1000),"")</f>
        <v>348.5462831877872</v>
      </c>
      <c r="J39" s="28">
        <f>IFERROR(IFERROR(INDEX('WHO GHO Data'!$X$8:$X$201,MATCH('HCW, Staff, Beds Summary'!$C39,'WHO GHO Data'!$C$8:$C$201,0)),INDEX('WHO GHO Data'!$AF$8:$AF$12,MATCH('HCW, Staff, Beds Summary'!$E39,'WHO GHO Data'!$AD$8:$AD$12,0))*$G39/1000),"")</f>
        <v>47.615689393308728</v>
      </c>
      <c r="K39" s="1310">
        <f>IF(INDEX('WB Beds'!$BN$827:$BN$1090,MATCH($C39,'WB Beds'!$C$827:$C$1090,0))="No reported value",INDEX('WB Beds'!$BR$829:$BR$833,MATCH($E39,'WB Beds'!$BP$829:$BP$833,0)),INDEX('WB Beds'!$BN$827:$BN$1090,MATCH($C39,'WB Beds'!$C$827:$C$1090)))</f>
        <v>1</v>
      </c>
      <c r="L39" s="1311">
        <f>INDEX('WB Beds'!$BR$836:$BR$840,MATCH($E39,'WB Beds'!$BP$836:$BP$840,0))*100</f>
        <v>1.63</v>
      </c>
      <c r="N39" s="1264">
        <f t="shared" si="1"/>
        <v>4920.8890000000001</v>
      </c>
    </row>
    <row r="40" spans="2:14" x14ac:dyDescent="0.35">
      <c r="B40" s="41" t="s">
        <v>342</v>
      </c>
      <c r="C40" s="41" t="s">
        <v>159</v>
      </c>
      <c r="D40" s="129" t="s">
        <v>1044</v>
      </c>
      <c r="E40" s="129" t="s">
        <v>410</v>
      </c>
      <c r="F40" s="129" t="str">
        <f t="shared" si="0"/>
        <v>Not LMIC</v>
      </c>
      <c r="G40" s="28">
        <f>INDEX('UNDP Population Data'!$E$6:$E$269,MATCH($B40,'UNDP Population Data'!$B$6:$B$269,0))</f>
        <v>37603205</v>
      </c>
      <c r="H40" s="28">
        <f>IFERROR(IFERROR(INDEX('WHO GHO Data'!$V$8:$V$201,MATCH('HCW, Staff, Beds Summary'!$C40,'WHO GHO Data'!$C$8:$C$201,0)),INDEX('WHO GHO Data'!$AF$8:$AF$12,MATCH('HCW, Staff, Beds Summary'!$E40,'WHO GHO Data'!$AD$8:$AD$12,0))*$G40/1000),"")</f>
        <v>87142.19023022418</v>
      </c>
      <c r="I40" s="28">
        <f>IFERROR(IFERROR(INDEX('WHO GHO Data'!$U$8:$U$201,MATCH('HCW, Staff, Beds Summary'!$C40,'WHO GHO Data'!$C$8:$C$201,0)),INDEX('WHO GHO Data'!$AE$8:$AE$12,MATCH('HCW, Staff, Beds Summary'!$E40,'WHO GHO Data'!$AD$8:$AD$12,0))*$G40/1000),"")</f>
        <v>375355.27547716227</v>
      </c>
      <c r="J40" s="28">
        <f>IFERROR(IFERROR(INDEX('WHO GHO Data'!$X$8:$X$201,MATCH('HCW, Staff, Beds Summary'!$C40,'WHO GHO Data'!$C$8:$C$201,0)),INDEX('WHO GHO Data'!$AF$8:$AF$12,MATCH('HCW, Staff, Beds Summary'!$E40,'WHO GHO Data'!$AD$8:$AD$12,0))*$G40/1000),"")</f>
        <v>20058.660892480773</v>
      </c>
      <c r="K40" s="1310">
        <f>IF(INDEX('WB Beds'!$BN$827:$BN$1090,MATCH($C40,'WB Beds'!$C$827:$C$1090,0))="No reported value",INDEX('WB Beds'!$BR$829:$BR$833,MATCH($E40,'WB Beds'!$BP$829:$BP$833,0)),INDEX('WB Beds'!$BN$827:$BN$1090,MATCH($C40,'WB Beds'!$C$827:$C$1090)))</f>
        <v>2.7</v>
      </c>
      <c r="L40" s="1311">
        <f>INDEX('WB Beds'!$BR$836:$BR$840,MATCH($E40,'WB Beds'!$BP$836:$BP$840,0))*100</f>
        <v>3.5700000000000003</v>
      </c>
      <c r="N40" s="1264">
        <f t="shared" si="1"/>
        <v>101528.6535</v>
      </c>
    </row>
    <row r="41" spans="2:14" x14ac:dyDescent="0.35">
      <c r="B41" s="41" t="s">
        <v>347</v>
      </c>
      <c r="C41" s="41" t="s">
        <v>348</v>
      </c>
      <c r="D41" s="129" t="s">
        <v>1089</v>
      </c>
      <c r="E41" s="129" t="s">
        <v>742</v>
      </c>
      <c r="F41" s="129" t="str">
        <f t="shared" si="0"/>
        <v>Not LMIC</v>
      </c>
      <c r="G41" s="28">
        <f>INDEX('UNDP Population Data'!$E$6:$E$269,MATCH($B41,'UNDP Population Data'!$B$6:$B$269,0))</f>
        <v>101847000</v>
      </c>
      <c r="H41" s="28" t="str">
        <f>IFERROR(IFERROR(INDEX('WHO GHO Data'!$V$8:$V$201,MATCH('HCW, Staff, Beds Summary'!$C41,'WHO GHO Data'!$C$8:$C$201,0)),INDEX('WHO GHO Data'!$AF$8:$AF$12,MATCH('HCW, Staff, Beds Summary'!$E41,'WHO GHO Data'!$AD$8:$AD$12,0))*$G41/1000),"")</f>
        <v/>
      </c>
      <c r="I41" s="28" t="str">
        <f>IFERROR(IFERROR(INDEX('WHO GHO Data'!$U$8:$U$201,MATCH('HCW, Staff, Beds Summary'!$C41,'WHO GHO Data'!$C$8:$C$201,0)),INDEX('WHO GHO Data'!$AE$8:$AE$12,MATCH('HCW, Staff, Beds Summary'!$E41,'WHO GHO Data'!$AD$8:$AD$12,0))*$G41/1000),"")</f>
        <v/>
      </c>
      <c r="J41" s="28" t="str">
        <f>IFERROR(IFERROR(INDEX('WHO GHO Data'!$X$8:$X$201,MATCH('HCW, Staff, Beds Summary'!$C41,'WHO GHO Data'!$C$8:$C$201,0)),INDEX('WHO GHO Data'!$AF$8:$AF$12,MATCH('HCW, Staff, Beds Summary'!$E41,'WHO GHO Data'!$AD$8:$AD$12,0))*$G41/1000),"")</f>
        <v/>
      </c>
      <c r="K41" s="1310">
        <f>IF(INDEX('WB Beds'!$BN$827:$BN$1090,MATCH($C41,'WB Beds'!$C$827:$C$1090,0))="No reported value",INDEX('WB Beds'!$BR$829:$BR$833,MATCH($E41,'WB Beds'!$BP$829:$BP$833,0)),INDEX('WB Beds'!$BN$827:$BN$1090,MATCH($C41,'WB Beds'!$C$827:$C$1090)))</f>
        <v>6.4214466607823937</v>
      </c>
      <c r="L41" s="1311">
        <f>INDEX('WB Beds'!$BR$836:$BR$840,MATCH($E41,'WB Beds'!$BP$836:$BP$840,0))*100</f>
        <v>2.7250000000000001</v>
      </c>
      <c r="N41" s="1264">
        <f t="shared" si="1"/>
        <v>654005.07806070452</v>
      </c>
    </row>
    <row r="42" spans="2:14" x14ac:dyDescent="0.35">
      <c r="B42" s="41" t="s">
        <v>544</v>
      </c>
      <c r="C42" s="41" t="s">
        <v>23</v>
      </c>
      <c r="D42" s="129" t="s">
        <v>1043</v>
      </c>
      <c r="E42" s="129" t="s">
        <v>410</v>
      </c>
      <c r="F42" s="129" t="str">
        <f t="shared" si="0"/>
        <v>Not LMIC</v>
      </c>
      <c r="G42" s="28">
        <f>INDEX('UNDP Population Data'!$E$6:$E$269,MATCH($B42,'UNDP Population Data'!$B$6:$B$269,0))</f>
        <v>8670535</v>
      </c>
      <c r="H42" s="28">
        <f>IFERROR(IFERROR(INDEX('WHO GHO Data'!$V$8:$V$201,MATCH('HCW, Staff, Beds Summary'!$C42,'WHO GHO Data'!$C$8:$C$201,0)),INDEX('WHO GHO Data'!$AF$8:$AF$12,MATCH('HCW, Staff, Beds Summary'!$E42,'WHO GHO Data'!$AD$8:$AD$12,0))*$G42/1000),"")</f>
        <v>37235.264526007399</v>
      </c>
      <c r="I42" s="28">
        <f>IFERROR(IFERROR(INDEX('WHO GHO Data'!$U$8:$U$201,MATCH('HCW, Staff, Beds Summary'!$C42,'WHO GHO Data'!$C$8:$C$201,0)),INDEX('WHO GHO Data'!$AE$8:$AE$12,MATCH('HCW, Staff, Beds Summary'!$E42,'WHO GHO Data'!$AD$8:$AD$12,0))*$G42/1000),"")</f>
        <v>149254.73476257376</v>
      </c>
      <c r="J42" s="28">
        <f>IFERROR(IFERROR(INDEX('WHO GHO Data'!$X$8:$X$201,MATCH('HCW, Staff, Beds Summary'!$C42,'WHO GHO Data'!$C$8:$C$201,0)),INDEX('WHO GHO Data'!$AF$8:$AF$12,MATCH('HCW, Staff, Beds Summary'!$E42,'WHO GHO Data'!$AD$8:$AD$12,0))*$G42/1000),"")</f>
        <v>4625.1196226860384</v>
      </c>
      <c r="K42" s="1310">
        <f>IF(INDEX('WB Beds'!$BN$827:$BN$1090,MATCH($C42,'WB Beds'!$C$827:$C$1090,0))="No reported value",INDEX('WB Beds'!$BR$829:$BR$833,MATCH($E42,'WB Beds'!$BP$829:$BP$833,0)),INDEX('WB Beds'!$BN$827:$BN$1090,MATCH($C42,'WB Beds'!$C$827:$C$1090)))</f>
        <v>4.7</v>
      </c>
      <c r="L42" s="1311">
        <f>INDEX('WB Beds'!$BR$836:$BR$840,MATCH($E42,'WB Beds'!$BP$836:$BP$840,0))*100</f>
        <v>3.5700000000000003</v>
      </c>
      <c r="N42" s="1264">
        <f t="shared" si="1"/>
        <v>40751.514499999997</v>
      </c>
    </row>
    <row r="43" spans="2:14" x14ac:dyDescent="0.35">
      <c r="B43" s="41" t="s">
        <v>349</v>
      </c>
      <c r="C43" s="41" t="s">
        <v>350</v>
      </c>
      <c r="D43" s="129" t="s">
        <v>1089</v>
      </c>
      <c r="E43" s="129" t="s">
        <v>410</v>
      </c>
      <c r="F43" s="129" t="str">
        <f t="shared" si="0"/>
        <v>Not LMIC</v>
      </c>
      <c r="G43" s="28">
        <f>INDEX('UNDP Population Data'!$E$6:$E$269,MATCH($B43,'UNDP Population Data'!$B$6:$B$269,0))</f>
        <v>167578</v>
      </c>
      <c r="H43" s="28">
        <f>IFERROR(IFERROR(INDEX('WHO GHO Data'!$V$8:$V$201,MATCH('HCW, Staff, Beds Summary'!$C43,'WHO GHO Data'!$C$8:$C$201,0)),INDEX('WHO GHO Data'!$AF$8:$AF$12,MATCH('HCW, Staff, Beds Summary'!$E43,'WHO GHO Data'!$AD$8:$AD$12,0))*$G43/1000),"")</f>
        <v>559.61875729277801</v>
      </c>
      <c r="I43" s="28">
        <f>IFERROR(IFERROR(INDEX('WHO GHO Data'!$U$8:$U$201,MATCH('HCW, Staff, Beds Summary'!$C43,'WHO GHO Data'!$C$8:$C$201,0)),INDEX('WHO GHO Data'!$AE$8:$AE$12,MATCH('HCW, Staff, Beds Summary'!$E43,'WHO GHO Data'!$AD$8:$AD$12,0))*$G43/1000),"")</f>
        <v>1416.3579628968985</v>
      </c>
      <c r="J43" s="28">
        <f>IFERROR(IFERROR(INDEX('WHO GHO Data'!$X$8:$X$201,MATCH('HCW, Staff, Beds Summary'!$C43,'WHO GHO Data'!$C$8:$C$201,0)),INDEX('WHO GHO Data'!$AF$8:$AF$12,MATCH('HCW, Staff, Beds Summary'!$E43,'WHO GHO Data'!$AD$8:$AD$12,0))*$G43/1000),"")</f>
        <v>559.61875729277801</v>
      </c>
      <c r="K43" s="1310">
        <f>IF(INDEX('WB Beds'!$BN$827:$BN$1090,MATCH($C43,'WB Beds'!$C$827:$C$1090,0))="No reported value",INDEX('WB Beds'!$BR$829:$BR$833,MATCH($E43,'WB Beds'!$BP$829:$BP$833,0)),INDEX('WB Beds'!$BN$827:$BN$1090,MATCH($C43,'WB Beds'!$C$827:$C$1090)))</f>
        <v>10.595100402831999</v>
      </c>
      <c r="L43" s="1311">
        <f>INDEX('WB Beds'!$BR$836:$BR$840,MATCH($E43,'WB Beds'!$BP$836:$BP$840,0))*100</f>
        <v>3.5700000000000003</v>
      </c>
      <c r="N43" s="1264">
        <f t="shared" si="1"/>
        <v>1775.5057353057807</v>
      </c>
    </row>
    <row r="44" spans="2:14" x14ac:dyDescent="0.35">
      <c r="B44" s="41" t="s">
        <v>220</v>
      </c>
      <c r="C44" s="41" t="s">
        <v>24</v>
      </c>
      <c r="D44" s="129" t="s">
        <v>1044</v>
      </c>
      <c r="E44" s="129" t="s">
        <v>410</v>
      </c>
      <c r="F44" s="129" t="str">
        <f t="shared" si="0"/>
        <v>Not LMIC</v>
      </c>
      <c r="G44" s="28">
        <f>INDEX('UNDP Population Data'!$E$6:$E$269,MATCH($B44,'UNDP Population Data'!$B$6:$B$269,0))</f>
        <v>18472639</v>
      </c>
      <c r="H44" s="28">
        <f>IFERROR(IFERROR(INDEX('WHO GHO Data'!$V$8:$V$201,MATCH('HCW, Staff, Beds Summary'!$C44,'WHO GHO Data'!$C$8:$C$201,0)),INDEX('WHO GHO Data'!$AF$8:$AF$12,MATCH('HCW, Staff, Beds Summary'!$E44,'WHO GHO Data'!$AD$8:$AD$12,0))*$G44/1000),"")</f>
        <v>49297.78551129705</v>
      </c>
      <c r="I44" s="28">
        <f>IFERROR(IFERROR(INDEX('WHO GHO Data'!$U$8:$U$201,MATCH('HCW, Staff, Beds Summary'!$C44,'WHO GHO Data'!$C$8:$C$201,0)),INDEX('WHO GHO Data'!$AE$8:$AE$12,MATCH('HCW, Staff, Beds Summary'!$E44,'WHO GHO Data'!$AD$8:$AD$12,0))*$G44/1000),"")</f>
        <v>240162.52570685599</v>
      </c>
      <c r="J44" s="28">
        <f>IFERROR(IFERROR(INDEX('WHO GHO Data'!$X$8:$X$201,MATCH('HCW, Staff, Beds Summary'!$C44,'WHO GHO Data'!$C$8:$C$201,0)),INDEX('WHO GHO Data'!$AF$8:$AF$12,MATCH('HCW, Staff, Beds Summary'!$E44,'WHO GHO Data'!$AD$8:$AD$12,0))*$G44/1000),"")</f>
        <v>31.611342249134324</v>
      </c>
      <c r="K44" s="1310">
        <f>IF(INDEX('WB Beds'!$BN$827:$BN$1090,MATCH($C44,'WB Beds'!$C$827:$C$1090,0))="No reported value",INDEX('WB Beds'!$BR$829:$BR$833,MATCH($E44,'WB Beds'!$BP$829:$BP$833,0)),INDEX('WB Beds'!$BN$827:$BN$1090,MATCH($C44,'WB Beds'!$C$827:$C$1090)))</f>
        <v>2.2000000000000002</v>
      </c>
      <c r="L44" s="1311">
        <f>INDEX('WB Beds'!$BR$836:$BR$840,MATCH($E44,'WB Beds'!$BP$836:$BP$840,0))*100</f>
        <v>3.5700000000000003</v>
      </c>
      <c r="N44" s="1264">
        <f t="shared" si="1"/>
        <v>40639.805800000002</v>
      </c>
    </row>
    <row r="45" spans="2:14" x14ac:dyDescent="0.35">
      <c r="B45" s="41" t="s">
        <v>351</v>
      </c>
      <c r="C45" s="41" t="s">
        <v>25</v>
      </c>
      <c r="D45" s="129" t="s">
        <v>1100</v>
      </c>
      <c r="E45" s="129" t="s">
        <v>557</v>
      </c>
      <c r="F45" s="129" t="str">
        <f t="shared" si="0"/>
        <v>LMIC</v>
      </c>
      <c r="G45" s="28">
        <f>INDEX('UNDP Population Data'!$E$6:$E$269,MATCH($B45,'UNDP Population Data'!$B$6:$B$269,0))</f>
        <v>1424548266</v>
      </c>
      <c r="H45" s="28">
        <f>IFERROR(IFERROR(INDEX('WHO GHO Data'!$V$8:$V$201,MATCH('HCW, Staff, Beds Summary'!$C45,'WHO GHO Data'!$C$8:$C$201,0)),INDEX('WHO GHO Data'!$AF$8:$AF$12,MATCH('HCW, Staff, Beds Summary'!$E45,'WHO GHO Data'!$AD$8:$AD$12,0))*$G45/1000),"")</f>
        <v>2862305.1073907581</v>
      </c>
      <c r="I45" s="28">
        <f>IFERROR(IFERROR(INDEX('WHO GHO Data'!$U$8:$U$201,MATCH('HCW, Staff, Beds Summary'!$C45,'WHO GHO Data'!$C$8:$C$201,0)),INDEX('WHO GHO Data'!$AE$8:$AE$12,MATCH('HCW, Staff, Beds Summary'!$E45,'WHO GHO Data'!$AD$8:$AD$12,0))*$G45/1000),"")</f>
        <v>3848806.1455382979</v>
      </c>
      <c r="J45" s="28">
        <f>IFERROR(IFERROR(INDEX('WHO GHO Data'!$X$8:$X$201,MATCH('HCW, Staff, Beds Summary'!$C45,'WHO GHO Data'!$C$8:$C$201,0)),INDEX('WHO GHO Data'!$AF$8:$AF$12,MATCH('HCW, Staff, Beds Summary'!$E45,'WHO GHO Data'!$AD$8:$AD$12,0))*$G45/1000),"")</f>
        <v>239745.43062224632</v>
      </c>
      <c r="K45" s="1310">
        <f>IF(INDEX('WB Beds'!$BN$827:$BN$1090,MATCH($C45,'WB Beds'!$C$827:$C$1090,0))="No reported value",INDEX('WB Beds'!$BR$829:$BR$833,MATCH($E45,'WB Beds'!$BP$829:$BP$833,0)),INDEX('WB Beds'!$BN$827:$BN$1090,MATCH($C45,'WB Beds'!$C$827:$C$1090)))</f>
        <v>4.2</v>
      </c>
      <c r="L45" s="1311">
        <f>INDEX('WB Beds'!$BR$836:$BR$840,MATCH($E45,'WB Beds'!$BP$836:$BP$840,0))*100</f>
        <v>3.32</v>
      </c>
      <c r="N45" s="1264">
        <f t="shared" si="1"/>
        <v>5983102.7171999998</v>
      </c>
    </row>
    <row r="46" spans="2:14" x14ac:dyDescent="0.35">
      <c r="B46" s="41" t="s">
        <v>357</v>
      </c>
      <c r="C46" s="41" t="s">
        <v>26</v>
      </c>
      <c r="D46" s="129" t="s">
        <v>1042</v>
      </c>
      <c r="E46" s="129" t="s">
        <v>454</v>
      </c>
      <c r="F46" s="129" t="str">
        <f t="shared" si="0"/>
        <v>LMIC</v>
      </c>
      <c r="G46" s="28">
        <f>INDEX('UNDP Population Data'!$E$6:$E$269,MATCH($B46,'UNDP Population Data'!$B$6:$B$269,0))</f>
        <v>26171750</v>
      </c>
      <c r="H46" s="28">
        <f>IFERROR(IFERROR(INDEX('WHO GHO Data'!$V$8:$V$201,MATCH('HCW, Staff, Beds Summary'!$C46,'WHO GHO Data'!$C$8:$C$201,0)),INDEX('WHO GHO Data'!$AF$8:$AF$12,MATCH('HCW, Staff, Beds Summary'!$E46,'WHO GHO Data'!$AD$8:$AD$12,0))*$G46/1000),"")</f>
        <v>6084.2230521312458</v>
      </c>
      <c r="I46" s="28">
        <f>IFERROR(IFERROR(INDEX('WHO GHO Data'!$U$8:$U$201,MATCH('HCW, Staff, Beds Summary'!$C46,'WHO GHO Data'!$C$8:$C$201,0)),INDEX('WHO GHO Data'!$AE$8:$AE$12,MATCH('HCW, Staff, Beds Summary'!$E46,'WHO GHO Data'!$AD$8:$AD$12,0))*$G46/1000),"")</f>
        <v>15937.116538686632</v>
      </c>
      <c r="J46" s="28">
        <f>IFERROR(IFERROR(INDEX('WHO GHO Data'!$X$8:$X$201,MATCH('HCW, Staff, Beds Summary'!$C46,'WHO GHO Data'!$C$8:$C$201,0)),INDEX('WHO GHO Data'!$AF$8:$AF$12,MATCH('HCW, Staff, Beds Summary'!$E46,'WHO GHO Data'!$AD$8:$AD$12,0))*$G46/1000),"")</f>
        <v>4621.2228525729688</v>
      </c>
      <c r="K46" s="1310">
        <f>IF(INDEX('WB Beds'!$BN$827:$BN$1090,MATCH($C46,'WB Beds'!$C$827:$C$1090,0))="No reported value",INDEX('WB Beds'!$BR$829:$BR$833,MATCH($E46,'WB Beds'!$BP$829:$BP$833,0)),INDEX('WB Beds'!$BN$827:$BN$1090,MATCH($C46,'WB Beds'!$C$827:$C$1090)))</f>
        <v>0.4</v>
      </c>
      <c r="L46" s="1311">
        <f>INDEX('WB Beds'!$BR$836:$BR$840,MATCH($E46,'WB Beds'!$BP$836:$BP$840,0))*100</f>
        <v>2.3800000000000003</v>
      </c>
      <c r="N46" s="1264">
        <f t="shared" si="1"/>
        <v>10468.700000000001</v>
      </c>
    </row>
    <row r="47" spans="2:14" x14ac:dyDescent="0.35">
      <c r="B47" s="41" t="s">
        <v>187</v>
      </c>
      <c r="C47" s="41" t="s">
        <v>27</v>
      </c>
      <c r="D47" s="129" t="s">
        <v>1042</v>
      </c>
      <c r="E47" s="129" t="s">
        <v>454</v>
      </c>
      <c r="F47" s="129" t="str">
        <f t="shared" si="0"/>
        <v>LMIC</v>
      </c>
      <c r="G47" s="28">
        <f>INDEX('UNDP Population Data'!$E$6:$E$269,MATCH($B47,'UNDP Population Data'!$B$6:$B$269,0))</f>
        <v>25958184</v>
      </c>
      <c r="H47" s="28">
        <f>IFERROR(IFERROR(INDEX('WHO GHO Data'!$V$8:$V$201,MATCH('HCW, Staff, Beds Summary'!$C47,'WHO GHO Data'!$C$8:$C$201,0)),INDEX('WHO GHO Data'!$AF$8:$AF$12,MATCH('HCW, Staff, Beds Summary'!$E47,'WHO GHO Data'!$AD$8:$AD$12,0))*$G47/1000),"")</f>
        <v>2320.1598806746056</v>
      </c>
      <c r="I47" s="28">
        <f>IFERROR(IFERROR(INDEX('WHO GHO Data'!$U$8:$U$201,MATCH('HCW, Staff, Beds Summary'!$C47,'WHO GHO Data'!$C$8:$C$201,0)),INDEX('WHO GHO Data'!$AE$8:$AE$12,MATCH('HCW, Staff, Beds Summary'!$E47,'WHO GHO Data'!$AD$8:$AD$12,0))*$G47/1000),"")</f>
        <v>23874.218446420451</v>
      </c>
      <c r="J47" s="28">
        <f>IFERROR(IFERROR(INDEX('WHO GHO Data'!$X$8:$X$201,MATCH('HCW, Staff, Beds Summary'!$C47,'WHO GHO Data'!$C$8:$C$201,0)),INDEX('WHO GHO Data'!$AF$8:$AF$12,MATCH('HCW, Staff, Beds Summary'!$E47,'WHO GHO Data'!$AD$8:$AD$12,0))*$G47/1000),"")</f>
        <v>2702.4888506184939</v>
      </c>
      <c r="K47" s="1310">
        <f>IF(INDEX('WB Beds'!$BN$827:$BN$1090,MATCH($C47,'WB Beds'!$C$827:$C$1090,0))="No reported value",INDEX('WB Beds'!$BR$829:$BR$833,MATCH($E47,'WB Beds'!$BP$829:$BP$833,0)),INDEX('WB Beds'!$BN$827:$BN$1090,MATCH($C47,'WB Beds'!$C$827:$C$1090)))</f>
        <v>1.3</v>
      </c>
      <c r="L47" s="1311">
        <f>INDEX('WB Beds'!$BR$836:$BR$840,MATCH($E47,'WB Beds'!$BP$836:$BP$840,0))*100</f>
        <v>2.3800000000000003</v>
      </c>
      <c r="N47" s="1264">
        <f t="shared" si="1"/>
        <v>33745.639200000005</v>
      </c>
    </row>
    <row r="48" spans="2:14" x14ac:dyDescent="0.35">
      <c r="B48" s="41" t="s">
        <v>354</v>
      </c>
      <c r="C48" s="41" t="s">
        <v>28</v>
      </c>
      <c r="D48" s="129" t="s">
        <v>1042</v>
      </c>
      <c r="E48" s="129" t="s">
        <v>452</v>
      </c>
      <c r="F48" s="129" t="str">
        <f t="shared" si="0"/>
        <v>LMIC</v>
      </c>
      <c r="G48" s="28">
        <f>INDEX('UNDP Population Data'!$E$6:$E$269,MATCH($B48,'UNDP Population Data'!$B$6:$B$269,0))</f>
        <v>89505201</v>
      </c>
      <c r="H48" s="28">
        <f>IFERROR(IFERROR(INDEX('WHO GHO Data'!$V$8:$V$201,MATCH('HCW, Staff, Beds Summary'!$C48,'WHO GHO Data'!$C$8:$C$201,0)),INDEX('WHO GHO Data'!$AF$8:$AF$12,MATCH('HCW, Staff, Beds Summary'!$E48,'WHO GHO Data'!$AD$8:$AD$12,0))*$G48/1000),"")</f>
        <v>31365.924080835717</v>
      </c>
      <c r="I48" s="28">
        <f>IFERROR(IFERROR(INDEX('WHO GHO Data'!$U$8:$U$201,MATCH('HCW, Staff, Beds Summary'!$C48,'WHO GHO Data'!$C$8:$C$201,0)),INDEX('WHO GHO Data'!$AE$8:$AE$12,MATCH('HCW, Staff, Beds Summary'!$E48,'WHO GHO Data'!$AD$8:$AD$12,0))*$G48/1000),"")</f>
        <v>78199.487574317885</v>
      </c>
      <c r="J48" s="28">
        <f>IFERROR(IFERROR(INDEX('WHO GHO Data'!$X$8:$X$201,MATCH('HCW, Staff, Beds Summary'!$C48,'WHO GHO Data'!$C$8:$C$201,0)),INDEX('WHO GHO Data'!$AF$8:$AF$12,MATCH('HCW, Staff, Beds Summary'!$E48,'WHO GHO Data'!$AD$8:$AD$12,0))*$G48/1000),"")</f>
        <v>31365.924080835717</v>
      </c>
      <c r="K48" s="1310">
        <f>IF(INDEX('WB Beds'!$BN$827:$BN$1090,MATCH($C48,'WB Beds'!$C$827:$C$1090,0))="No reported value",INDEX('WB Beds'!$BR$829:$BR$833,MATCH($E48,'WB Beds'!$BP$829:$BP$833,0)),INDEX('WB Beds'!$BN$827:$BN$1090,MATCH($C48,'WB Beds'!$C$827:$C$1090)))</f>
        <v>0.8</v>
      </c>
      <c r="L48" s="1311">
        <f>INDEX('WB Beds'!$BR$836:$BR$840,MATCH($E48,'WB Beds'!$BP$836:$BP$840,0))*100</f>
        <v>1.63</v>
      </c>
      <c r="N48" s="1264">
        <f t="shared" si="1"/>
        <v>71604.160799999998</v>
      </c>
    </row>
    <row r="49" spans="2:14" x14ac:dyDescent="0.35">
      <c r="B49" s="41" t="s">
        <v>355</v>
      </c>
      <c r="C49" s="41" t="s">
        <v>29</v>
      </c>
      <c r="D49" s="129" t="s">
        <v>1042</v>
      </c>
      <c r="E49" s="129" t="s">
        <v>454</v>
      </c>
      <c r="F49" s="129" t="str">
        <f t="shared" si="0"/>
        <v>LMIC</v>
      </c>
      <c r="G49" s="28">
        <f>INDEX('UNDP Population Data'!$E$6:$E$269,MATCH($B49,'UNDP Population Data'!$B$6:$B$269,0))</f>
        <v>5686917</v>
      </c>
      <c r="H49" s="28">
        <f>IFERROR(IFERROR(INDEX('WHO GHO Data'!$V$8:$V$201,MATCH('HCW, Staff, Beds Summary'!$C49,'WHO GHO Data'!$C$8:$C$201,0)),INDEX('WHO GHO Data'!$AF$8:$AF$12,MATCH('HCW, Staff, Beds Summary'!$E49,'WHO GHO Data'!$AD$8:$AD$12,0))*$G49/1000),"")</f>
        <v>912.95927541682738</v>
      </c>
      <c r="I49" s="28">
        <f>IFERROR(IFERROR(INDEX('WHO GHO Data'!$U$8:$U$201,MATCH('HCW, Staff, Beds Summary'!$C49,'WHO GHO Data'!$C$8:$C$201,0)),INDEX('WHO GHO Data'!$AE$8:$AE$12,MATCH('HCW, Staff, Beds Summary'!$E49,'WHO GHO Data'!$AD$8:$AD$12,0))*$G49/1000),"")</f>
        <v>3464.0001127591204</v>
      </c>
      <c r="J49" s="28">
        <f>IFERROR(IFERROR(INDEX('WHO GHO Data'!$X$8:$X$201,MATCH('HCW, Staff, Beds Summary'!$C49,'WHO GHO Data'!$C$8:$C$201,0)),INDEX('WHO GHO Data'!$AF$8:$AF$12,MATCH('HCW, Staff, Beds Summary'!$E49,'WHO GHO Data'!$AD$8:$AD$12,0))*$G49/1000),"")</f>
        <v>467.82952057046674</v>
      </c>
      <c r="K49" s="1310">
        <f>IF(INDEX('WB Beds'!$BN$827:$BN$1090,MATCH($C49,'WB Beds'!$C$827:$C$1090,0))="No reported value",INDEX('WB Beds'!$BR$829:$BR$833,MATCH($E49,'WB Beds'!$BP$829:$BP$833,0)),INDEX('WB Beds'!$BN$827:$BN$1090,MATCH($C49,'WB Beds'!$C$827:$C$1090)))</f>
        <v>1.6</v>
      </c>
      <c r="L49" s="1311">
        <f>INDEX('WB Beds'!$BR$836:$BR$840,MATCH($E49,'WB Beds'!$BP$836:$BP$840,0))*100</f>
        <v>2.3800000000000003</v>
      </c>
      <c r="N49" s="1264">
        <f t="shared" si="1"/>
        <v>9099.0672000000013</v>
      </c>
    </row>
    <row r="50" spans="2:14" x14ac:dyDescent="0.35">
      <c r="B50" s="41" t="s">
        <v>352</v>
      </c>
      <c r="C50" s="41" t="s">
        <v>353</v>
      </c>
      <c r="D50" s="129" t="s">
        <v>1044</v>
      </c>
      <c r="E50" s="129" t="s">
        <v>557</v>
      </c>
      <c r="F50" s="129" t="str">
        <f t="shared" si="0"/>
        <v>LMIC</v>
      </c>
      <c r="G50" s="28">
        <f>INDEX('UNDP Population Data'!$E$6:$E$269,MATCH($B50,'UNDP Population Data'!$B$6:$B$269,0))</f>
        <v>50220412</v>
      </c>
      <c r="H50" s="28">
        <f>IFERROR(IFERROR(INDEX('WHO GHO Data'!$V$8:$V$201,MATCH('HCW, Staff, Beds Summary'!$C50,'WHO GHO Data'!$C$8:$C$201,0)),INDEX('WHO GHO Data'!$AF$8:$AF$12,MATCH('HCW, Staff, Beds Summary'!$E50,'WHO GHO Data'!$AD$8:$AD$12,0))*$G50/1000),"")</f>
        <v>110269.55767291794</v>
      </c>
      <c r="I50" s="28">
        <f>IFERROR(IFERROR(INDEX('WHO GHO Data'!$U$8:$U$201,MATCH('HCW, Staff, Beds Summary'!$C50,'WHO GHO Data'!$C$8:$C$201,0)),INDEX('WHO GHO Data'!$AE$8:$AE$12,MATCH('HCW, Staff, Beds Summary'!$E50,'WHO GHO Data'!$AD$8:$AD$12,0))*$G50/1000),"")</f>
        <v>67173.581455972046</v>
      </c>
      <c r="J50" s="28">
        <f>IFERROR(IFERROR(INDEX('WHO GHO Data'!$X$8:$X$201,MATCH('HCW, Staff, Beds Summary'!$C50,'WHO GHO Data'!$C$8:$C$201,0)),INDEX('WHO GHO Data'!$AF$8:$AF$12,MATCH('HCW, Staff, Beds Summary'!$E50,'WHO GHO Data'!$AD$8:$AD$12,0))*$G50/1000),"")</f>
        <v>10694.749572200959</v>
      </c>
      <c r="K50" s="1310">
        <f>IF(INDEX('WB Beds'!$BN$827:$BN$1090,MATCH($C50,'WB Beds'!$C$827:$C$1090,0))="No reported value",INDEX('WB Beds'!$BR$829:$BR$833,MATCH($E50,'WB Beds'!$BP$829:$BP$833,0)),INDEX('WB Beds'!$BN$827:$BN$1090,MATCH($C50,'WB Beds'!$C$827:$C$1090)))</f>
        <v>1.5</v>
      </c>
      <c r="L50" s="1311">
        <f>INDEX('WB Beds'!$BR$836:$BR$840,MATCH($E50,'WB Beds'!$BP$836:$BP$840,0))*100</f>
        <v>3.32</v>
      </c>
      <c r="N50" s="1264">
        <f t="shared" si="1"/>
        <v>75330.618000000002</v>
      </c>
    </row>
    <row r="51" spans="2:14" x14ac:dyDescent="0.35">
      <c r="B51" s="41" t="s">
        <v>190</v>
      </c>
      <c r="C51" s="41" t="s">
        <v>157</v>
      </c>
      <c r="D51" s="129" t="s">
        <v>1042</v>
      </c>
      <c r="E51" s="129" t="s">
        <v>454</v>
      </c>
      <c r="F51" s="129" t="str">
        <f t="shared" si="0"/>
        <v>LMIC</v>
      </c>
      <c r="G51" s="28">
        <f>INDEX('UNDP Population Data'!$E$6:$E$269,MATCH($B51,'UNDP Population Data'!$B$6:$B$269,0))</f>
        <v>869601</v>
      </c>
      <c r="H51" s="28">
        <f>IFERROR(IFERROR(INDEX('WHO GHO Data'!$V$8:$V$201,MATCH('HCW, Staff, Beds Summary'!$C51,'WHO GHO Data'!$C$8:$C$201,0)),INDEX('WHO GHO Data'!$AF$8:$AF$12,MATCH('HCW, Staff, Beds Summary'!$E51,'WHO GHO Data'!$AD$8:$AD$12,0))*$G51/1000),"")</f>
        <v>236.25631217756688</v>
      </c>
      <c r="I51" s="28">
        <f>IFERROR(IFERROR(INDEX('WHO GHO Data'!$U$8:$U$201,MATCH('HCW, Staff, Beds Summary'!$C51,'WHO GHO Data'!$C$8:$C$201,0)),INDEX('WHO GHO Data'!$AE$8:$AE$12,MATCH('HCW, Staff, Beds Summary'!$E51,'WHO GHO Data'!$AD$8:$AD$12,0))*$G51/1000),"")</f>
        <v>350.5961589872669</v>
      </c>
      <c r="J51" s="28">
        <f>IFERROR(IFERROR(INDEX('WHO GHO Data'!$X$8:$X$201,MATCH('HCW, Staff, Beds Summary'!$C51,'WHO GHO Data'!$C$8:$C$201,0)),INDEX('WHO GHO Data'!$AF$8:$AF$12,MATCH('HCW, Staff, Beds Summary'!$E51,'WHO GHO Data'!$AD$8:$AD$12,0))*$G51/1000),"")</f>
        <v>102.88635703365009</v>
      </c>
      <c r="K51" s="1310">
        <f>IF(INDEX('WB Beds'!$BN$827:$BN$1090,MATCH($C51,'WB Beds'!$C$827:$C$1090,0))="No reported value",INDEX('WB Beds'!$BR$829:$BR$833,MATCH($E51,'WB Beds'!$BP$829:$BP$833,0)),INDEX('WB Beds'!$BN$827:$BN$1090,MATCH($C51,'WB Beds'!$C$827:$C$1090)))</f>
        <v>2.2000000000000002</v>
      </c>
      <c r="L51" s="1311">
        <f>INDEX('WB Beds'!$BR$836:$BR$840,MATCH($E51,'WB Beds'!$BP$836:$BP$840,0))*100</f>
        <v>2.3800000000000003</v>
      </c>
      <c r="N51" s="1264">
        <f t="shared" si="1"/>
        <v>1913.1222000000002</v>
      </c>
    </row>
    <row r="52" spans="2:14" x14ac:dyDescent="0.35">
      <c r="B52" s="41" t="s">
        <v>341</v>
      </c>
      <c r="C52" s="41" t="s">
        <v>30</v>
      </c>
      <c r="D52" s="129" t="s">
        <v>1042</v>
      </c>
      <c r="E52" s="129" t="s">
        <v>454</v>
      </c>
      <c r="F52" s="129" t="str">
        <f t="shared" si="0"/>
        <v>LMIC</v>
      </c>
      <c r="G52" s="28">
        <f>INDEX('UNDP Population Data'!$E$6:$E$269,MATCH($B52,'UNDP Population Data'!$B$6:$B$269,0))</f>
        <v>567348</v>
      </c>
      <c r="H52" s="28">
        <f>IFERROR(IFERROR(INDEX('WHO GHO Data'!$V$8:$V$201,MATCH('HCW, Staff, Beds Summary'!$C52,'WHO GHO Data'!$C$8:$C$201,0)),INDEX('WHO GHO Data'!$AF$8:$AF$12,MATCH('HCW, Staff, Beds Summary'!$E52,'WHO GHO Data'!$AD$8:$AD$12,0))*$G52/1000),"")</f>
        <v>436.49278587686911</v>
      </c>
      <c r="I52" s="28">
        <f>IFERROR(IFERROR(INDEX('WHO GHO Data'!$U$8:$U$201,MATCH('HCW, Staff, Beds Summary'!$C52,'WHO GHO Data'!$C$8:$C$201,0)),INDEX('WHO GHO Data'!$AE$8:$AE$12,MATCH('HCW, Staff, Beds Summary'!$E52,'WHO GHO Data'!$AD$8:$AD$12,0))*$G52/1000),"")</f>
        <v>723.90568371717927</v>
      </c>
      <c r="J52" s="28">
        <f>IFERROR(IFERROR(INDEX('WHO GHO Data'!$X$8:$X$201,MATCH('HCW, Staff, Beds Summary'!$C52,'WHO GHO Data'!$C$8:$C$201,0)),INDEX('WHO GHO Data'!$AF$8:$AF$12,MATCH('HCW, Staff, Beds Summary'!$E52,'WHO GHO Data'!$AD$8:$AD$12,0))*$G52/1000),"")</f>
        <v>146.11417851052124</v>
      </c>
      <c r="K52" s="1310">
        <f>IF(INDEX('WB Beds'!$BN$827:$BN$1090,MATCH($C52,'WB Beds'!$C$827:$C$1090,0))="No reported value",INDEX('WB Beds'!$BR$829:$BR$833,MATCH($E52,'WB Beds'!$BP$829:$BP$833,0)),INDEX('WB Beds'!$BN$827:$BN$1090,MATCH($C52,'WB Beds'!$C$827:$C$1090)))</f>
        <v>2.1</v>
      </c>
      <c r="L52" s="1311">
        <f>INDEX('WB Beds'!$BR$836:$BR$840,MATCH($E52,'WB Beds'!$BP$836:$BP$840,0))*100</f>
        <v>2.3800000000000003</v>
      </c>
      <c r="N52" s="1264">
        <f t="shared" si="1"/>
        <v>1191.4308000000001</v>
      </c>
    </row>
    <row r="53" spans="2:14" x14ac:dyDescent="0.35">
      <c r="B53" s="41" t="s">
        <v>356</v>
      </c>
      <c r="C53" s="41" t="s">
        <v>31</v>
      </c>
      <c r="D53" s="129" t="s">
        <v>1044</v>
      </c>
      <c r="E53" s="129" t="s">
        <v>557</v>
      </c>
      <c r="F53" s="129" t="str">
        <f t="shared" si="0"/>
        <v>LMIC</v>
      </c>
      <c r="G53" s="28">
        <f>INDEX('UNDP Population Data'!$E$6:$E$269,MATCH($B53,'UNDP Population Data'!$B$6:$B$269,0))</f>
        <v>5044179</v>
      </c>
      <c r="H53" s="28">
        <f>IFERROR(IFERROR(INDEX('WHO GHO Data'!$V$8:$V$201,MATCH('HCW, Staff, Beds Summary'!$C53,'WHO GHO Data'!$C$8:$C$201,0)),INDEX('WHO GHO Data'!$AF$8:$AF$12,MATCH('HCW, Staff, Beds Summary'!$E53,'WHO GHO Data'!$AD$8:$AD$12,0))*$G53/1000),"")</f>
        <v>14748.377994590704</v>
      </c>
      <c r="I53" s="28">
        <f>IFERROR(IFERROR(INDEX('WHO GHO Data'!$U$8:$U$201,MATCH('HCW, Staff, Beds Summary'!$C53,'WHO GHO Data'!$C$8:$C$201,0)),INDEX('WHO GHO Data'!$AE$8:$AE$12,MATCH('HCW, Staff, Beds Summary'!$E53,'WHO GHO Data'!$AD$8:$AD$12,0))*$G53/1000),"")</f>
        <v>17400.802624250991</v>
      </c>
      <c r="J53" s="28">
        <f>IFERROR(IFERROR(INDEX('WHO GHO Data'!$X$8:$X$201,MATCH('HCW, Staff, Beds Summary'!$C53,'WHO GHO Data'!$C$8:$C$201,0)),INDEX('WHO GHO Data'!$AF$8:$AF$12,MATCH('HCW, Staff, Beds Summary'!$E53,'WHO GHO Data'!$AD$8:$AD$12,0))*$G53/1000),"")</f>
        <v>9.3522052368302599</v>
      </c>
      <c r="K53" s="1310">
        <f>IF(INDEX('WB Beds'!$BN$827:$BN$1090,MATCH($C53,'WB Beds'!$C$827:$C$1090,0))="No reported value",INDEX('WB Beds'!$BR$829:$BR$833,MATCH($E53,'WB Beds'!$BP$829:$BP$833,0)),INDEX('WB Beds'!$BN$827:$BN$1090,MATCH($C53,'WB Beds'!$C$827:$C$1090)))</f>
        <v>1.2</v>
      </c>
      <c r="L53" s="1311">
        <f>INDEX('WB Beds'!$BR$836:$BR$840,MATCH($E53,'WB Beds'!$BP$836:$BP$840,0))*100</f>
        <v>3.32</v>
      </c>
      <c r="N53" s="1264">
        <f t="shared" si="1"/>
        <v>6053.0147999999999</v>
      </c>
    </row>
    <row r="54" spans="2:14" x14ac:dyDescent="0.35">
      <c r="B54" s="41" t="s">
        <v>343</v>
      </c>
      <c r="C54" s="41" t="s">
        <v>344</v>
      </c>
      <c r="D54" s="129" t="s">
        <v>1089</v>
      </c>
      <c r="E54" s="129" t="s">
        <v>742</v>
      </c>
      <c r="F54" s="129" t="str">
        <f t="shared" si="0"/>
        <v>Not LMIC</v>
      </c>
      <c r="G54" s="28">
        <f>INDEX('UNDP Population Data'!$E$6:$E$269,MATCH($B54,'UNDP Population Data'!$B$6:$B$269,0))</f>
        <v>7443000</v>
      </c>
      <c r="H54" s="28" t="str">
        <f>IFERROR(IFERROR(INDEX('WHO GHO Data'!$V$8:$V$201,MATCH('HCW, Staff, Beds Summary'!$C54,'WHO GHO Data'!$C$8:$C$201,0)),INDEX('WHO GHO Data'!$AF$8:$AF$12,MATCH('HCW, Staff, Beds Summary'!$E54,'WHO GHO Data'!$AD$8:$AD$12,0))*$G54/1000),"")</f>
        <v/>
      </c>
      <c r="I54" s="28" t="str">
        <f>IFERROR(IFERROR(INDEX('WHO GHO Data'!$U$8:$U$201,MATCH('HCW, Staff, Beds Summary'!$C54,'WHO GHO Data'!$C$8:$C$201,0)),INDEX('WHO GHO Data'!$AE$8:$AE$12,MATCH('HCW, Staff, Beds Summary'!$E54,'WHO GHO Data'!$AD$8:$AD$12,0))*$G54/1000),"")</f>
        <v/>
      </c>
      <c r="J54" s="28" t="str">
        <f>IFERROR(IFERROR(INDEX('WHO GHO Data'!$X$8:$X$201,MATCH('HCW, Staff, Beds Summary'!$C54,'WHO GHO Data'!$C$8:$C$201,0)),INDEX('WHO GHO Data'!$AF$8:$AF$12,MATCH('HCW, Staff, Beds Summary'!$E54,'WHO GHO Data'!$AD$8:$AD$12,0))*$G54/1000),"")</f>
        <v/>
      </c>
      <c r="K54" s="1310">
        <f>IF(INDEX('WB Beds'!$BN$827:$BN$1090,MATCH($C54,'WB Beds'!$C$827:$C$1090,0))="No reported value",INDEX('WB Beds'!$BR$829:$BR$833,MATCH($E54,'WB Beds'!$BP$829:$BP$833,0)),INDEX('WB Beds'!$BN$827:$BN$1090,MATCH($C54,'WB Beds'!$C$827:$C$1090)))</f>
        <v>2.2672339247277939</v>
      </c>
      <c r="L54" s="1311">
        <f>INDEX('WB Beds'!$BR$836:$BR$840,MATCH($E54,'WB Beds'!$BP$836:$BP$840,0))*100</f>
        <v>2.7250000000000001</v>
      </c>
      <c r="N54" s="1264">
        <f t="shared" si="1"/>
        <v>16875.022101748971</v>
      </c>
    </row>
    <row r="55" spans="2:14" x14ac:dyDescent="0.35">
      <c r="B55" s="41" t="s">
        <v>221</v>
      </c>
      <c r="C55" s="41" t="s">
        <v>161</v>
      </c>
      <c r="D55" s="129" t="s">
        <v>1044</v>
      </c>
      <c r="E55" s="129" t="s">
        <v>557</v>
      </c>
      <c r="F55" s="129" t="str">
        <f t="shared" si="0"/>
        <v>LMIC</v>
      </c>
      <c r="G55" s="28">
        <f>INDEX('UNDP Population Data'!$E$6:$E$269,MATCH($B55,'UNDP Population Data'!$B$6:$B$269,0))</f>
        <v>11495492</v>
      </c>
      <c r="H55" s="28">
        <f>IFERROR(IFERROR(INDEX('WHO GHO Data'!$V$8:$V$201,MATCH('HCW, Staff, Beds Summary'!$C55,'WHO GHO Data'!$C$8:$C$201,0)),INDEX('WHO GHO Data'!$AF$8:$AF$12,MATCH('HCW, Staff, Beds Summary'!$E55,'WHO GHO Data'!$AD$8:$AD$12,0))*$G55/1000),"")</f>
        <v>95600.402665726564</v>
      </c>
      <c r="I55" s="28">
        <f>IFERROR(IFERROR(INDEX('WHO GHO Data'!$U$8:$U$201,MATCH('HCW, Staff, Beds Summary'!$C55,'WHO GHO Data'!$C$8:$C$201,0)),INDEX('WHO GHO Data'!$AE$8:$AE$12,MATCH('HCW, Staff, Beds Summary'!$E55,'WHO GHO Data'!$AD$8:$AD$12,0))*$G55/1000),"")</f>
        <v>85833.817392294965</v>
      </c>
      <c r="J55" s="28">
        <f>IFERROR(IFERROR(INDEX('WHO GHO Data'!$X$8:$X$201,MATCH('HCW, Staff, Beds Summary'!$C55,'WHO GHO Data'!$C$8:$C$201,0)),INDEX('WHO GHO Data'!$AF$8:$AF$12,MATCH('HCW, Staff, Beds Summary'!$E55,'WHO GHO Data'!$AD$8:$AD$12,0))*$G55/1000),"")</f>
        <v>6036.4561391716788</v>
      </c>
      <c r="K55" s="1310">
        <f>IF(INDEX('WB Beds'!$BN$827:$BN$1090,MATCH($C55,'WB Beds'!$C$827:$C$1090,0))="No reported value",INDEX('WB Beds'!$BR$829:$BR$833,MATCH($E55,'WB Beds'!$BP$829:$BP$833,0)),INDEX('WB Beds'!$BN$827:$BN$1090,MATCH($C55,'WB Beds'!$C$827:$C$1090)))</f>
        <v>5.2</v>
      </c>
      <c r="L55" s="1311">
        <f>INDEX('WB Beds'!$BR$836:$BR$840,MATCH($E55,'WB Beds'!$BP$836:$BP$840,0))*100</f>
        <v>3.32</v>
      </c>
      <c r="N55" s="1264">
        <f t="shared" si="1"/>
        <v>59776.558400000002</v>
      </c>
    </row>
    <row r="56" spans="2:14" x14ac:dyDescent="0.35">
      <c r="B56" s="41" t="s">
        <v>359</v>
      </c>
      <c r="C56" s="41" t="s">
        <v>360</v>
      </c>
      <c r="D56" s="129" t="s">
        <v>1089</v>
      </c>
      <c r="E56" s="129" t="s">
        <v>410</v>
      </c>
      <c r="F56" s="129" t="str">
        <f t="shared" si="0"/>
        <v>Not LMIC</v>
      </c>
      <c r="G56" s="28">
        <f>INDEX('UNDP Population Data'!$E$6:$E$269,MATCH($B56,'UNDP Population Data'!$B$6:$B$269,0))</f>
        <v>163495</v>
      </c>
      <c r="H56" s="28">
        <f>IFERROR(IFERROR(INDEX('WHO GHO Data'!$V$8:$V$201,MATCH('HCW, Staff, Beds Summary'!$C56,'WHO GHO Data'!$C$8:$C$201,0)),INDEX('WHO GHO Data'!$AF$8:$AF$12,MATCH('HCW, Staff, Beds Summary'!$E56,'WHO GHO Data'!$AD$8:$AD$12,0))*$G56/1000),"")</f>
        <v>545.98377307034787</v>
      </c>
      <c r="I56" s="28">
        <f>IFERROR(IFERROR(INDEX('WHO GHO Data'!$U$8:$U$201,MATCH('HCW, Staff, Beds Summary'!$C56,'WHO GHO Data'!$C$8:$C$201,0)),INDEX('WHO GHO Data'!$AE$8:$AE$12,MATCH('HCW, Staff, Beds Summary'!$E56,'WHO GHO Data'!$AD$8:$AD$12,0))*$G56/1000),"")</f>
        <v>1381.8487220507966</v>
      </c>
      <c r="J56" s="28">
        <f>IFERROR(IFERROR(INDEX('WHO GHO Data'!$X$8:$X$201,MATCH('HCW, Staff, Beds Summary'!$C56,'WHO GHO Data'!$C$8:$C$201,0)),INDEX('WHO GHO Data'!$AF$8:$AF$12,MATCH('HCW, Staff, Beds Summary'!$E56,'WHO GHO Data'!$AD$8:$AD$12,0))*$G56/1000),"")</f>
        <v>545.98377307034787</v>
      </c>
      <c r="K56" s="1310">
        <f>IF(INDEX('WB Beds'!$BN$827:$BN$1090,MATCH($C56,'WB Beds'!$C$827:$C$1090,0))="No reported value",INDEX('WB Beds'!$BR$829:$BR$833,MATCH($E56,'WB Beds'!$BP$829:$BP$833,0)),INDEX('WB Beds'!$BN$827:$BN$1090,MATCH($C56,'WB Beds'!$C$827:$C$1090)))</f>
        <v>4.82</v>
      </c>
      <c r="L56" s="1311">
        <f>INDEX('WB Beds'!$BR$836:$BR$840,MATCH($E56,'WB Beds'!$BP$836:$BP$840,0))*100</f>
        <v>3.5700000000000003</v>
      </c>
      <c r="N56" s="1264">
        <f t="shared" si="1"/>
        <v>788.04590000000007</v>
      </c>
    </row>
    <row r="57" spans="2:14" x14ac:dyDescent="0.35">
      <c r="B57" s="41" t="s">
        <v>345</v>
      </c>
      <c r="C57" s="41" t="s">
        <v>346</v>
      </c>
      <c r="D57" s="129" t="s">
        <v>1089</v>
      </c>
      <c r="E57" s="129" t="s">
        <v>410</v>
      </c>
      <c r="F57" s="129" t="str">
        <f t="shared" si="0"/>
        <v>Not LMIC</v>
      </c>
      <c r="G57" s="28">
        <f>INDEX('UNDP Population Data'!$E$6:$E$269,MATCH($B57,'UNDP Population Data'!$B$6:$B$269,0))</f>
        <v>63890</v>
      </c>
      <c r="H57" s="28">
        <f>IFERROR(IFERROR(INDEX('WHO GHO Data'!$V$8:$V$201,MATCH('HCW, Staff, Beds Summary'!$C57,'WHO GHO Data'!$C$8:$C$201,0)),INDEX('WHO GHO Data'!$AF$8:$AF$12,MATCH('HCW, Staff, Beds Summary'!$E57,'WHO GHO Data'!$AD$8:$AD$12,0))*$G57/1000),"")</f>
        <v>213.35761498189254</v>
      </c>
      <c r="I57" s="28">
        <f>IFERROR(IFERROR(INDEX('WHO GHO Data'!$U$8:$U$201,MATCH('HCW, Staff, Beds Summary'!$C57,'WHO GHO Data'!$C$8:$C$201,0)),INDEX('WHO GHO Data'!$AE$8:$AE$12,MATCH('HCW, Staff, Beds Summary'!$E57,'WHO GHO Data'!$AD$8:$AD$12,0))*$G57/1000),"")</f>
        <v>539.99397444463375</v>
      </c>
      <c r="J57" s="28">
        <f>IFERROR(IFERROR(INDEX('WHO GHO Data'!$X$8:$X$201,MATCH('HCW, Staff, Beds Summary'!$C57,'WHO GHO Data'!$C$8:$C$201,0)),INDEX('WHO GHO Data'!$AF$8:$AF$12,MATCH('HCW, Staff, Beds Summary'!$E57,'WHO GHO Data'!$AD$8:$AD$12,0))*$G57/1000),"")</f>
        <v>213.35761498189254</v>
      </c>
      <c r="K57" s="1310">
        <f>IF(INDEX('WB Beds'!$BN$827:$BN$1090,MATCH($C57,'WB Beds'!$C$827:$C$1090,0))="No reported value",INDEX('WB Beds'!$BR$829:$BR$833,MATCH($E57,'WB Beds'!$BP$829:$BP$833,0)),INDEX('WB Beds'!$BN$827:$BN$1090,MATCH($C57,'WB Beds'!$C$827:$C$1090)))</f>
        <v>3</v>
      </c>
      <c r="L57" s="1311">
        <f>INDEX('WB Beds'!$BR$836:$BR$840,MATCH($E57,'WB Beds'!$BP$836:$BP$840,0))*100</f>
        <v>3.5700000000000003</v>
      </c>
      <c r="N57" s="1264">
        <f t="shared" si="1"/>
        <v>191.67</v>
      </c>
    </row>
    <row r="58" spans="2:14" x14ac:dyDescent="0.35">
      <c r="B58" s="41" t="s">
        <v>361</v>
      </c>
      <c r="C58" s="41" t="s">
        <v>32</v>
      </c>
      <c r="D58" s="129" t="s">
        <v>1043</v>
      </c>
      <c r="E58" s="129" t="s">
        <v>410</v>
      </c>
      <c r="F58" s="129" t="str">
        <f t="shared" si="0"/>
        <v>Not LMIC</v>
      </c>
      <c r="G58" s="28">
        <f>INDEX('UNDP Population Data'!$E$6:$E$269,MATCH($B58,'UNDP Population Data'!$B$6:$B$269,0))</f>
        <v>1207343</v>
      </c>
      <c r="H58" s="28">
        <f>IFERROR(IFERROR(INDEX('WHO GHO Data'!$V$8:$V$201,MATCH('HCW, Staff, Beds Summary'!$C58,'WHO GHO Data'!$C$8:$C$201,0)),INDEX('WHO GHO Data'!$AF$8:$AF$12,MATCH('HCW, Staff, Beds Summary'!$E58,'WHO GHO Data'!$AD$8:$AD$12,0))*$G58/1000),"")</f>
        <v>2355.6412968111172</v>
      </c>
      <c r="I58" s="28">
        <f>IFERROR(IFERROR(INDEX('WHO GHO Data'!$U$8:$U$201,MATCH('HCW, Staff, Beds Summary'!$C58,'WHO GHO Data'!$C$8:$C$201,0)),INDEX('WHO GHO Data'!$AE$8:$AE$12,MATCH('HCW, Staff, Beds Summary'!$E58,'WHO GHO Data'!$AD$8:$AD$12,0))*$G58/1000),"")</f>
        <v>6340.5237708735503</v>
      </c>
      <c r="J58" s="28">
        <f>IFERROR(IFERROR(INDEX('WHO GHO Data'!$X$8:$X$201,MATCH('HCW, Staff, Beds Summary'!$C58,'WHO GHO Data'!$C$8:$C$201,0)),INDEX('WHO GHO Data'!$AF$8:$AF$12,MATCH('HCW, Staff, Beds Summary'!$E58,'WHO GHO Data'!$AD$8:$AD$12,0))*$G58/1000),"")</f>
        <v>366.90717985536054</v>
      </c>
      <c r="K58" s="1310">
        <f>IF(INDEX('WB Beds'!$BN$827:$BN$1090,MATCH($C58,'WB Beds'!$C$827:$C$1090,0))="No reported value",INDEX('WB Beds'!$BR$829:$BR$833,MATCH($E58,'WB Beds'!$BP$829:$BP$833,0)),INDEX('WB Beds'!$BN$827:$BN$1090,MATCH($C58,'WB Beds'!$C$827:$C$1090)))</f>
        <v>3.4</v>
      </c>
      <c r="L58" s="1311">
        <f>INDEX('WB Beds'!$BR$836:$BR$840,MATCH($E58,'WB Beds'!$BP$836:$BP$840,0))*100</f>
        <v>3.5700000000000003</v>
      </c>
      <c r="N58" s="1264">
        <f t="shared" si="1"/>
        <v>4104.9661999999998</v>
      </c>
    </row>
    <row r="59" spans="2:14" x14ac:dyDescent="0.35">
      <c r="B59" s="41" t="s">
        <v>362</v>
      </c>
      <c r="C59" s="41" t="s">
        <v>33</v>
      </c>
      <c r="D59" s="129" t="s">
        <v>1043</v>
      </c>
      <c r="E59" s="129" t="s">
        <v>410</v>
      </c>
      <c r="F59" s="129" t="str">
        <f t="shared" si="0"/>
        <v>Not LMIC</v>
      </c>
      <c r="G59" s="28">
        <f>INDEX('UNDP Population Data'!$E$6:$E$269,MATCH($B59,'UNDP Population Data'!$B$6:$B$269,0))</f>
        <v>10633424</v>
      </c>
      <c r="H59" s="28">
        <f>IFERROR(IFERROR(INDEX('WHO GHO Data'!$V$8:$V$201,MATCH('HCW, Staff, Beds Summary'!$C59,'WHO GHO Data'!$C$8:$C$201,0)),INDEX('WHO GHO Data'!$AF$8:$AF$12,MATCH('HCW, Staff, Beds Summary'!$E59,'WHO GHO Data'!$AD$8:$AD$12,0))*$G59/1000),"")</f>
        <v>44000.136604801533</v>
      </c>
      <c r="I59" s="28">
        <f>IFERROR(IFERROR(INDEX('WHO GHO Data'!$U$8:$U$201,MATCH('HCW, Staff, Beds Summary'!$C59,'WHO GHO Data'!$C$8:$C$201,0)),INDEX('WHO GHO Data'!$AE$8:$AE$12,MATCH('HCW, Staff, Beds Summary'!$E59,'WHO GHO Data'!$AD$8:$AD$12,0))*$G59/1000),"")</f>
        <v>85515.207064592236</v>
      </c>
      <c r="J59" s="28">
        <f>IFERROR(IFERROR(INDEX('WHO GHO Data'!$X$8:$X$201,MATCH('HCW, Staff, Beds Summary'!$C59,'WHO GHO Data'!$C$8:$C$201,0)),INDEX('WHO GHO Data'!$AF$8:$AF$12,MATCH('HCW, Staff, Beds Summary'!$E59,'WHO GHO Data'!$AD$8:$AD$12,0))*$G59/1000),"")</f>
        <v>5672.1826275703488</v>
      </c>
      <c r="K59" s="1310">
        <f>IF(INDEX('WB Beds'!$BN$827:$BN$1090,MATCH($C59,'WB Beds'!$C$827:$C$1090,0))="No reported value",INDEX('WB Beds'!$BR$829:$BR$833,MATCH($E59,'WB Beds'!$BP$829:$BP$833,0)),INDEX('WB Beds'!$BN$827:$BN$1090,MATCH($C59,'WB Beds'!$C$827:$C$1090)))</f>
        <v>6.5</v>
      </c>
      <c r="L59" s="1311">
        <f>INDEX('WB Beds'!$BR$836:$BR$840,MATCH($E59,'WB Beds'!$BP$836:$BP$840,0))*100</f>
        <v>3.5700000000000003</v>
      </c>
      <c r="N59" s="1264">
        <f t="shared" si="1"/>
        <v>69117.255999999994</v>
      </c>
    </row>
    <row r="60" spans="2:14" x14ac:dyDescent="0.35">
      <c r="B60" s="41" t="s">
        <v>399</v>
      </c>
      <c r="C60" s="41" t="s">
        <v>34</v>
      </c>
      <c r="D60" s="129" t="s">
        <v>1043</v>
      </c>
      <c r="E60" s="129" t="s">
        <v>410</v>
      </c>
      <c r="F60" s="129" t="str">
        <f t="shared" si="0"/>
        <v>Not LMIC</v>
      </c>
      <c r="G60" s="28">
        <f>INDEX('UNDP Population Data'!$E$6:$E$269,MATCH($B60,'UNDP Population Data'!$B$6:$B$269,0))</f>
        <v>82540450</v>
      </c>
      <c r="H60" s="28">
        <f>IFERROR(IFERROR(INDEX('WHO GHO Data'!$V$8:$V$201,MATCH('HCW, Staff, Beds Summary'!$C60,'WHO GHO Data'!$C$8:$C$201,0)),INDEX('WHO GHO Data'!$AF$8:$AF$12,MATCH('HCW, Staff, Beds Summary'!$E60,'WHO GHO Data'!$AD$8:$AD$12,0))*$G60/1000),"")</f>
        <v>353338.00149646041</v>
      </c>
      <c r="I60" s="28">
        <f>IFERROR(IFERROR(INDEX('WHO GHO Data'!$U$8:$U$201,MATCH('HCW, Staff, Beds Summary'!$C60,'WHO GHO Data'!$C$8:$C$201,0)),INDEX('WHO GHO Data'!$AE$8:$AE$12,MATCH('HCW, Staff, Beds Summary'!$E60,'WHO GHO Data'!$AD$8:$AD$12,0))*$G60/1000),"")</f>
        <v>1076529.1692683911</v>
      </c>
      <c r="J60" s="28">
        <f>IFERROR(IFERROR(INDEX('WHO GHO Data'!$X$8:$X$201,MATCH('HCW, Staff, Beds Summary'!$C60,'WHO GHO Data'!$C$8:$C$201,0)),INDEX('WHO GHO Data'!$AF$8:$AF$12,MATCH('HCW, Staff, Beds Summary'!$E60,'WHO GHO Data'!$AD$8:$AD$12,0))*$G60/1000),"")</f>
        <v>44029.515475150714</v>
      </c>
      <c r="K60" s="1310">
        <f>IF(INDEX('WB Beds'!$BN$827:$BN$1090,MATCH($C60,'WB Beds'!$C$827:$C$1090,0))="No reported value",INDEX('WB Beds'!$BR$829:$BR$833,MATCH($E60,'WB Beds'!$BP$829:$BP$833,0)),INDEX('WB Beds'!$BN$827:$BN$1090,MATCH($C60,'WB Beds'!$C$827:$C$1090)))</f>
        <v>8.3000000000000007</v>
      </c>
      <c r="L60" s="1311">
        <f>INDEX('WB Beds'!$BR$836:$BR$840,MATCH($E60,'WB Beds'!$BP$836:$BP$840,0))*100</f>
        <v>3.5700000000000003</v>
      </c>
      <c r="N60" s="1264">
        <f t="shared" si="1"/>
        <v>685085.73499999999</v>
      </c>
    </row>
    <row r="61" spans="2:14" x14ac:dyDescent="0.35">
      <c r="B61" s="41" t="s">
        <v>231</v>
      </c>
      <c r="C61" s="41" t="s">
        <v>35</v>
      </c>
      <c r="D61" s="129" t="s">
        <v>1041</v>
      </c>
      <c r="E61" s="129" t="s">
        <v>454</v>
      </c>
      <c r="F61" s="129" t="str">
        <f t="shared" si="0"/>
        <v>LMIC</v>
      </c>
      <c r="G61" s="28">
        <f>INDEX('UNDP Population Data'!$E$6:$E$269,MATCH($B61,'UNDP Population Data'!$B$6:$B$269,0))</f>
        <v>999899</v>
      </c>
      <c r="H61" s="28">
        <f>IFERROR(IFERROR(INDEX('WHO GHO Data'!$V$8:$V$201,MATCH('HCW, Staff, Beds Summary'!$C61,'WHO GHO Data'!$C$8:$C$201,0)),INDEX('WHO GHO Data'!$AF$8:$AF$12,MATCH('HCW, Staff, Beds Summary'!$E61,'WHO GHO Data'!$AD$8:$AD$12,0))*$G61/1000),"")</f>
        <v>219.99613001216892</v>
      </c>
      <c r="I61" s="28">
        <f>IFERROR(IFERROR(INDEX('WHO GHO Data'!$U$8:$U$201,MATCH('HCW, Staff, Beds Summary'!$C61,'WHO GHO Data'!$C$8:$C$201,0)),INDEX('WHO GHO Data'!$AE$8:$AE$12,MATCH('HCW, Staff, Beds Summary'!$E61,'WHO GHO Data'!$AD$8:$AD$12,0))*$G61/1000),"")</f>
        <v>534.11995744247974</v>
      </c>
      <c r="J61" s="28">
        <f>IFERROR(IFERROR(INDEX('WHO GHO Data'!$X$8:$X$201,MATCH('HCW, Staff, Beds Summary'!$C61,'WHO GHO Data'!$C$8:$C$201,0)),INDEX('WHO GHO Data'!$AF$8:$AF$12,MATCH('HCW, Staff, Beds Summary'!$E61,'WHO GHO Data'!$AD$8:$AD$12,0))*$G61/1000),"")</f>
        <v>73.943409349163929</v>
      </c>
      <c r="K61" s="1310">
        <f>IF(INDEX('WB Beds'!$BN$827:$BN$1090,MATCH($C61,'WB Beds'!$C$827:$C$1090,0))="No reported value",INDEX('WB Beds'!$BR$829:$BR$833,MATCH($E61,'WB Beds'!$BP$829:$BP$833,0)),INDEX('WB Beds'!$BN$827:$BN$1090,MATCH($C61,'WB Beds'!$C$827:$C$1090)))</f>
        <v>1.4</v>
      </c>
      <c r="L61" s="1311">
        <f>INDEX('WB Beds'!$BR$836:$BR$840,MATCH($E61,'WB Beds'!$BP$836:$BP$840,0))*100</f>
        <v>2.3800000000000003</v>
      </c>
      <c r="N61" s="1264">
        <f t="shared" si="1"/>
        <v>1399.8585999999998</v>
      </c>
    </row>
    <row r="62" spans="2:14" x14ac:dyDescent="0.35">
      <c r="B62" s="41" t="s">
        <v>364</v>
      </c>
      <c r="C62" s="41" t="s">
        <v>365</v>
      </c>
      <c r="D62" s="129" t="s">
        <v>1044</v>
      </c>
      <c r="E62" s="129" t="s">
        <v>557</v>
      </c>
      <c r="F62" s="129" t="str">
        <f t="shared" si="0"/>
        <v>LMIC</v>
      </c>
      <c r="G62" s="28">
        <f>INDEX('UNDP Population Data'!$E$6:$E$269,MATCH($B62,'UNDP Population Data'!$B$6:$B$269,0))</f>
        <v>75052</v>
      </c>
      <c r="H62" s="28">
        <f>IFERROR(IFERROR(INDEX('WHO GHO Data'!$V$8:$V$201,MATCH('HCW, Staff, Beds Summary'!$C62,'WHO GHO Data'!$C$8:$C$201,0)),INDEX('WHO GHO Data'!$AF$8:$AF$12,MATCH('HCW, Staff, Beds Summary'!$E62,'WHO GHO Data'!$AD$8:$AD$12,0))*$G62/1000),"")</f>
        <v>81.233657486727466</v>
      </c>
      <c r="I62" s="28">
        <f>IFERROR(IFERROR(INDEX('WHO GHO Data'!$U$8:$U$201,MATCH('HCW, Staff, Beds Summary'!$C62,'WHO GHO Data'!$C$8:$C$201,0)),INDEX('WHO GHO Data'!$AE$8:$AE$12,MATCH('HCW, Staff, Beds Summary'!$E62,'WHO GHO Data'!$AD$8:$AD$12,0))*$G62/1000),"")</f>
        <v>465.72720301216248</v>
      </c>
      <c r="J62" s="28">
        <f>IFERROR(IFERROR(INDEX('WHO GHO Data'!$X$8:$X$201,MATCH('HCW, Staff, Beds Summary'!$C62,'WHO GHO Data'!$C$8:$C$201,0)),INDEX('WHO GHO Data'!$AF$8:$AF$12,MATCH('HCW, Staff, Beds Summary'!$E62,'WHO GHO Data'!$AD$8:$AD$12,0))*$G62/1000),"")</f>
        <v>15.982790919613054</v>
      </c>
      <c r="K62" s="1310">
        <f>IF(INDEX('WB Beds'!$BN$827:$BN$1090,MATCH($C62,'WB Beds'!$C$827:$C$1090,0))="No reported value",INDEX('WB Beds'!$BR$829:$BR$833,MATCH($E62,'WB Beds'!$BP$829:$BP$833,0)),INDEX('WB Beds'!$BN$827:$BN$1090,MATCH($C62,'WB Beds'!$C$827:$C$1090)))</f>
        <v>3.8</v>
      </c>
      <c r="L62" s="1311">
        <f>INDEX('WB Beds'!$BR$836:$BR$840,MATCH($E62,'WB Beds'!$BP$836:$BP$840,0))*100</f>
        <v>3.32</v>
      </c>
      <c r="N62" s="1264">
        <f t="shared" si="1"/>
        <v>285.19759999999997</v>
      </c>
    </row>
    <row r="63" spans="2:14" x14ac:dyDescent="0.35">
      <c r="B63" s="41" t="s">
        <v>363</v>
      </c>
      <c r="C63" s="41" t="s">
        <v>36</v>
      </c>
      <c r="D63" s="129" t="s">
        <v>1043</v>
      </c>
      <c r="E63" s="129" t="s">
        <v>410</v>
      </c>
      <c r="F63" s="129" t="str">
        <f t="shared" si="0"/>
        <v>Not LMIC</v>
      </c>
      <c r="G63" s="28">
        <f>INDEX('UNDP Population Data'!$E$6:$E$269,MATCH($B63,'UNDP Population Data'!$B$6:$B$269,0))</f>
        <v>5796800</v>
      </c>
      <c r="H63" s="28">
        <f>IFERROR(IFERROR(INDEX('WHO GHO Data'!$V$8:$V$201,MATCH('HCW, Staff, Beds Summary'!$C63,'WHO GHO Data'!$C$8:$C$201,0)),INDEX('WHO GHO Data'!$AF$8:$AF$12,MATCH('HCW, Staff, Beds Summary'!$E63,'WHO GHO Data'!$AD$8:$AD$12,0))*$G63/1000),"")</f>
        <v>23249.517479319216</v>
      </c>
      <c r="I63" s="28">
        <f>IFERROR(IFERROR(INDEX('WHO GHO Data'!$U$8:$U$201,MATCH('HCW, Staff, Beds Summary'!$C63,'WHO GHO Data'!$C$8:$C$201,0)),INDEX('WHO GHO Data'!$AE$8:$AE$12,MATCH('HCW, Staff, Beds Summary'!$E63,'WHO GHO Data'!$AD$8:$AD$12,0))*$G63/1000),"")</f>
        <v>57855.787733118566</v>
      </c>
      <c r="J63" s="28">
        <f>IFERROR(IFERROR(INDEX('WHO GHO Data'!$X$8:$X$201,MATCH('HCW, Staff, Beds Summary'!$C63,'WHO GHO Data'!$C$8:$C$201,0)),INDEX('WHO GHO Data'!$AF$8:$AF$12,MATCH('HCW, Staff, Beds Summary'!$E63,'WHO GHO Data'!$AD$8:$AD$12,0))*$G63/1000),"")</f>
        <v>3092.184441765869</v>
      </c>
      <c r="K63" s="1310">
        <f>IF(INDEX('WB Beds'!$BN$827:$BN$1090,MATCH($C63,'WB Beds'!$C$827:$C$1090,0))="No reported value",INDEX('WB Beds'!$BR$829:$BR$833,MATCH($E63,'WB Beds'!$BP$829:$BP$833,0)),INDEX('WB Beds'!$BN$827:$BN$1090,MATCH($C63,'WB Beds'!$C$827:$C$1090)))</f>
        <v>2.5</v>
      </c>
      <c r="L63" s="1311">
        <f>INDEX('WB Beds'!$BR$836:$BR$840,MATCH($E63,'WB Beds'!$BP$836:$BP$840,0))*100</f>
        <v>3.5700000000000003</v>
      </c>
      <c r="N63" s="1264">
        <f t="shared" si="1"/>
        <v>14492</v>
      </c>
    </row>
    <row r="64" spans="2:14" x14ac:dyDescent="0.35">
      <c r="B64" s="41" t="s">
        <v>366</v>
      </c>
      <c r="C64" s="41" t="s">
        <v>367</v>
      </c>
      <c r="D64" s="129" t="s">
        <v>1044</v>
      </c>
      <c r="E64" s="129" t="s">
        <v>557</v>
      </c>
      <c r="F64" s="129" t="str">
        <f t="shared" si="0"/>
        <v>LMIC</v>
      </c>
      <c r="G64" s="28">
        <f>INDEX('UNDP Population Data'!$E$6:$E$269,MATCH($B64,'UNDP Population Data'!$B$6:$B$269,0))</f>
        <v>11108358</v>
      </c>
      <c r="H64" s="28">
        <f>IFERROR(IFERROR(INDEX('WHO GHO Data'!$V$8:$V$201,MATCH('HCW, Staff, Beds Summary'!$C64,'WHO GHO Data'!$C$8:$C$201,0)),INDEX('WHO GHO Data'!$AF$8:$AF$12,MATCH('HCW, Staff, Beds Summary'!$E64,'WHO GHO Data'!$AD$8:$AD$12,0))*$G64/1000),"")</f>
        <v>16501.244877125595</v>
      </c>
      <c r="I64" s="28">
        <f>IFERROR(IFERROR(INDEX('WHO GHO Data'!$U$8:$U$201,MATCH('HCW, Staff, Beds Summary'!$C64,'WHO GHO Data'!$C$8:$C$201,0)),INDEX('WHO GHO Data'!$AE$8:$AE$12,MATCH('HCW, Staff, Beds Summary'!$E64,'WHO GHO Data'!$AD$8:$AD$12,0))*$G64/1000),"")</f>
        <v>14986.009265678096</v>
      </c>
      <c r="J64" s="28">
        <f>IFERROR(IFERROR(INDEX('WHO GHO Data'!$X$8:$X$201,MATCH('HCW, Staff, Beds Summary'!$C64,'WHO GHO Data'!$C$8:$C$201,0)),INDEX('WHO GHO Data'!$AF$8:$AF$12,MATCH('HCW, Staff, Beds Summary'!$E64,'WHO GHO Data'!$AD$8:$AD$12,0))*$G64/1000),"")</f>
        <v>2365.5940331265124</v>
      </c>
      <c r="K64" s="1310">
        <f>IF(INDEX('WB Beds'!$BN$827:$BN$1090,MATCH($C64,'WB Beds'!$C$827:$C$1090,0))="No reported value",INDEX('WB Beds'!$BR$829:$BR$833,MATCH($E64,'WB Beds'!$BP$829:$BP$833,0)),INDEX('WB Beds'!$BN$827:$BN$1090,MATCH($C64,'WB Beds'!$C$827:$C$1090)))</f>
        <v>1.6</v>
      </c>
      <c r="L64" s="1311">
        <f>INDEX('WB Beds'!$BR$836:$BR$840,MATCH($E64,'WB Beds'!$BP$836:$BP$840,0))*100</f>
        <v>3.32</v>
      </c>
      <c r="N64" s="1264">
        <f t="shared" si="1"/>
        <v>17773.372800000001</v>
      </c>
    </row>
    <row r="65" spans="2:14" x14ac:dyDescent="0.35">
      <c r="B65" s="41" t="s">
        <v>313</v>
      </c>
      <c r="C65" s="41" t="s">
        <v>37</v>
      </c>
      <c r="D65" s="129" t="s">
        <v>1042</v>
      </c>
      <c r="E65" s="129" t="s">
        <v>557</v>
      </c>
      <c r="F65" s="129" t="str">
        <f t="shared" si="0"/>
        <v>LMIC</v>
      </c>
      <c r="G65" s="28">
        <f>INDEX('UNDP Population Data'!$E$6:$E$269,MATCH($B65,'UNDP Population Data'!$B$6:$B$269,0))</f>
        <v>43333255</v>
      </c>
      <c r="H65" s="28">
        <f>IFERROR(IFERROR(INDEX('WHO GHO Data'!$V$8:$V$201,MATCH('HCW, Staff, Beds Summary'!$C65,'WHO GHO Data'!$C$8:$C$201,0)),INDEX('WHO GHO Data'!$AF$8:$AF$12,MATCH('HCW, Staff, Beds Summary'!$E65,'WHO GHO Data'!$AD$8:$AD$12,0))*$G65/1000),"")</f>
        <v>75062.654962447283</v>
      </c>
      <c r="I65" s="28">
        <f>IFERROR(IFERROR(INDEX('WHO GHO Data'!$U$8:$U$201,MATCH('HCW, Staff, Beds Summary'!$C65,'WHO GHO Data'!$C$8:$C$201,0)),INDEX('WHO GHO Data'!$AE$8:$AE$12,MATCH('HCW, Staff, Beds Summary'!$E65,'WHO GHO Data'!$AD$8:$AD$12,0))*$G65/1000),"")</f>
        <v>58321.296747928682</v>
      </c>
      <c r="J65" s="28">
        <f>IFERROR(IFERROR(INDEX('WHO GHO Data'!$X$8:$X$201,MATCH('HCW, Staff, Beds Summary'!$C65,'WHO GHO Data'!$C$8:$C$201,0)),INDEX('WHO GHO Data'!$AF$8:$AF$12,MATCH('HCW, Staff, Beds Summary'!$E65,'WHO GHO Data'!$AD$8:$AD$12,0))*$G65/1000),"")</f>
        <v>15894.623676280433</v>
      </c>
      <c r="K65" s="1310">
        <f>IF(INDEX('WB Beds'!$BN$827:$BN$1090,MATCH($C65,'WB Beds'!$C$827:$C$1090,0))="No reported value",INDEX('WB Beds'!$BR$829:$BR$833,MATCH($E65,'WB Beds'!$BP$829:$BP$833,0)),INDEX('WB Beds'!$BN$827:$BN$1090,MATCH($C65,'WB Beds'!$C$827:$C$1090)))</f>
        <v>1.9</v>
      </c>
      <c r="L65" s="1311">
        <f>INDEX('WB Beds'!$BR$836:$BR$840,MATCH($E65,'WB Beds'!$BP$836:$BP$840,0))*100</f>
        <v>3.32</v>
      </c>
      <c r="N65" s="1264">
        <f t="shared" si="1"/>
        <v>82333.184500000003</v>
      </c>
    </row>
    <row r="66" spans="2:14" x14ac:dyDescent="0.35">
      <c r="B66" s="41" t="s">
        <v>372</v>
      </c>
      <c r="C66" s="41" t="s">
        <v>373</v>
      </c>
      <c r="D66" s="129" t="s">
        <v>1089</v>
      </c>
      <c r="E66" s="129" t="s">
        <v>742</v>
      </c>
      <c r="F66" s="129" t="str">
        <f t="shared" si="0"/>
        <v>Not LMIC</v>
      </c>
      <c r="G66" s="28">
        <f>INDEX('UNDP Population Data'!$E$6:$E$269,MATCH($B66,'UNDP Population Data'!$B$6:$B$269,0))</f>
        <v>2104283000</v>
      </c>
      <c r="H66" s="28" t="str">
        <f>IFERROR(IFERROR(INDEX('WHO GHO Data'!$V$8:$V$201,MATCH('HCW, Staff, Beds Summary'!$C66,'WHO GHO Data'!$C$8:$C$201,0)),INDEX('WHO GHO Data'!$AF$8:$AF$12,MATCH('HCW, Staff, Beds Summary'!$E66,'WHO GHO Data'!$AD$8:$AD$12,0))*$G66/1000),"")</f>
        <v/>
      </c>
      <c r="I66" s="28" t="str">
        <f>IFERROR(IFERROR(INDEX('WHO GHO Data'!$U$8:$U$201,MATCH('HCW, Staff, Beds Summary'!$C66,'WHO GHO Data'!$C$8:$C$201,0)),INDEX('WHO GHO Data'!$AE$8:$AE$12,MATCH('HCW, Staff, Beds Summary'!$E66,'WHO GHO Data'!$AD$8:$AD$12,0))*$G66/1000),"")</f>
        <v/>
      </c>
      <c r="J66" s="28" t="str">
        <f>IFERROR(IFERROR(INDEX('WHO GHO Data'!$X$8:$X$201,MATCH('HCW, Staff, Beds Summary'!$C66,'WHO GHO Data'!$C$8:$C$201,0)),INDEX('WHO GHO Data'!$AF$8:$AF$12,MATCH('HCW, Staff, Beds Summary'!$E66,'WHO GHO Data'!$AD$8:$AD$12,0))*$G66/1000),"")</f>
        <v/>
      </c>
      <c r="K66" s="1310">
        <f>IF(INDEX('WB Beds'!$BN$827:$BN$1090,MATCH($C66,'WB Beds'!$C$827:$C$1090,0))="No reported value",INDEX('WB Beds'!$BR$829:$BR$833,MATCH($E66,'WB Beds'!$BP$829:$BP$833,0)),INDEX('WB Beds'!$BN$827:$BN$1090,MATCH($C66,'WB Beds'!$C$827:$C$1090)))</f>
        <v>3.6474003099242402</v>
      </c>
      <c r="L66" s="1311">
        <f>INDEX('WB Beds'!$BR$836:$BR$840,MATCH($E66,'WB Beds'!$BP$836:$BP$840,0))*100</f>
        <v>2.7250000000000001</v>
      </c>
      <c r="N66" s="1264">
        <f t="shared" si="1"/>
        <v>7675162.4663683102</v>
      </c>
    </row>
    <row r="67" spans="2:14" x14ac:dyDescent="0.35">
      <c r="B67" s="41" t="s">
        <v>368</v>
      </c>
      <c r="C67" s="41" t="s">
        <v>369</v>
      </c>
      <c r="D67" s="129" t="s">
        <v>1089</v>
      </c>
      <c r="E67" s="129" t="s">
        <v>742</v>
      </c>
      <c r="F67" s="129" t="str">
        <f t="shared" si="0"/>
        <v>Not LMIC</v>
      </c>
      <c r="G67" s="28">
        <f>INDEX('UNDP Population Data'!$E$6:$E$269,MATCH($B67,'UNDP Population Data'!$B$6:$B$269,0))</f>
        <v>3332556000</v>
      </c>
      <c r="H67" s="28" t="str">
        <f>IFERROR(IFERROR(INDEX('WHO GHO Data'!$V$8:$V$201,MATCH('HCW, Staff, Beds Summary'!$C67,'WHO GHO Data'!$C$8:$C$201,0)),INDEX('WHO GHO Data'!$AF$8:$AF$12,MATCH('HCW, Staff, Beds Summary'!$E67,'WHO GHO Data'!$AD$8:$AD$12,0))*$G67/1000),"")</f>
        <v/>
      </c>
      <c r="I67" s="28" t="str">
        <f>IFERROR(IFERROR(INDEX('WHO GHO Data'!$U$8:$U$201,MATCH('HCW, Staff, Beds Summary'!$C67,'WHO GHO Data'!$C$8:$C$201,0)),INDEX('WHO GHO Data'!$AE$8:$AE$12,MATCH('HCW, Staff, Beds Summary'!$E67,'WHO GHO Data'!$AD$8:$AD$12,0))*$G67/1000),"")</f>
        <v/>
      </c>
      <c r="J67" s="28" t="str">
        <f>IFERROR(IFERROR(INDEX('WHO GHO Data'!$X$8:$X$201,MATCH('HCW, Staff, Beds Summary'!$C67,'WHO GHO Data'!$C$8:$C$201,0)),INDEX('WHO GHO Data'!$AF$8:$AF$12,MATCH('HCW, Staff, Beds Summary'!$E67,'WHO GHO Data'!$AD$8:$AD$12,0))*$G67/1000),"")</f>
        <v/>
      </c>
      <c r="K67" s="1310">
        <f>IF(INDEX('WB Beds'!$BN$827:$BN$1090,MATCH($C67,'WB Beds'!$C$827:$C$1090,0))="No reported value",INDEX('WB Beds'!$BR$829:$BR$833,MATCH($E67,'WB Beds'!$BP$829:$BP$833,0)),INDEX('WB Beds'!$BN$827:$BN$1090,MATCH($C67,'WB Beds'!$C$827:$C$1090)))</f>
        <v>1.225174071977523</v>
      </c>
      <c r="L67" s="1311">
        <f>INDEX('WB Beds'!$BR$836:$BR$840,MATCH($E67,'WB Beds'!$BP$836:$BP$840,0))*100</f>
        <v>2.7250000000000001</v>
      </c>
      <c r="N67" s="1264">
        <f t="shared" si="1"/>
        <v>4082961.2046131263</v>
      </c>
    </row>
    <row r="68" spans="2:14" x14ac:dyDescent="0.35">
      <c r="B68" s="41" t="s">
        <v>370</v>
      </c>
      <c r="C68" s="41" t="s">
        <v>371</v>
      </c>
      <c r="D68" s="129" t="s">
        <v>1089</v>
      </c>
      <c r="E68" s="129" t="s">
        <v>742</v>
      </c>
      <c r="F68" s="129" t="str">
        <f t="shared" si="0"/>
        <v>Not LMIC</v>
      </c>
      <c r="G68" s="28">
        <f>INDEX('UNDP Population Data'!$E$6:$E$269,MATCH($B68,'UNDP Population Data'!$B$6:$B$269,0))</f>
        <v>2351307000</v>
      </c>
      <c r="H68" s="28" t="str">
        <f>IFERROR(IFERROR(INDEX('WHO GHO Data'!$V$8:$V$201,MATCH('HCW, Staff, Beds Summary'!$C68,'WHO GHO Data'!$C$8:$C$201,0)),INDEX('WHO GHO Data'!$AF$8:$AF$12,MATCH('HCW, Staff, Beds Summary'!$E68,'WHO GHO Data'!$AD$8:$AD$12,0))*$G68/1000),"")</f>
        <v/>
      </c>
      <c r="I68" s="28" t="str">
        <f>IFERROR(IFERROR(INDEX('WHO GHO Data'!$U$8:$U$201,MATCH('HCW, Staff, Beds Summary'!$C68,'WHO GHO Data'!$C$8:$C$201,0)),INDEX('WHO GHO Data'!$AE$8:$AE$12,MATCH('HCW, Staff, Beds Summary'!$E68,'WHO GHO Data'!$AD$8:$AD$12,0))*$G68/1000),"")</f>
        <v/>
      </c>
      <c r="J68" s="28" t="str">
        <f>IFERROR(IFERROR(INDEX('WHO GHO Data'!$X$8:$X$201,MATCH('HCW, Staff, Beds Summary'!$C68,'WHO GHO Data'!$C$8:$C$201,0)),INDEX('WHO GHO Data'!$AF$8:$AF$12,MATCH('HCW, Staff, Beds Summary'!$E68,'WHO GHO Data'!$AD$8:$AD$12,0))*$G68/1000),"")</f>
        <v/>
      </c>
      <c r="K68" s="1310">
        <f>IF(INDEX('WB Beds'!$BN$827:$BN$1090,MATCH($C68,'WB Beds'!$C$827:$C$1090,0))="No reported value",INDEX('WB Beds'!$BR$829:$BR$833,MATCH($E68,'WB Beds'!$BP$829:$BP$833,0)),INDEX('WB Beds'!$BN$827:$BN$1090,MATCH($C68,'WB Beds'!$C$827:$C$1090)))</f>
        <v>4.4436004873796424</v>
      </c>
      <c r="L68" s="1311">
        <f>INDEX('WB Beds'!$BR$836:$BR$840,MATCH($E68,'WB Beds'!$BP$836:$BP$840,0))*100</f>
        <v>2.7250000000000001</v>
      </c>
      <c r="N68" s="1264">
        <f t="shared" si="1"/>
        <v>10448268.931179164</v>
      </c>
    </row>
    <row r="69" spans="2:14" x14ac:dyDescent="0.35">
      <c r="B69" s="41" t="s">
        <v>384</v>
      </c>
      <c r="C69" s="41" t="s">
        <v>385</v>
      </c>
      <c r="D69" s="129" t="s">
        <v>1089</v>
      </c>
      <c r="E69" s="129" t="s">
        <v>742</v>
      </c>
      <c r="F69" s="129" t="str">
        <f t="shared" si="0"/>
        <v>Not LMIC</v>
      </c>
      <c r="G69" s="28">
        <f>INDEX('UNDP Population Data'!$E$6:$E$269,MATCH($B69,'UNDP Population Data'!$B$6:$B$269,0))</f>
        <v>420757000</v>
      </c>
      <c r="H69" s="28" t="str">
        <f>IFERROR(IFERROR(INDEX('WHO GHO Data'!$V$8:$V$201,MATCH('HCW, Staff, Beds Summary'!$C69,'WHO GHO Data'!$C$8:$C$201,0)),INDEX('WHO GHO Data'!$AF$8:$AF$12,MATCH('HCW, Staff, Beds Summary'!$E69,'WHO GHO Data'!$AD$8:$AD$12,0))*$G69/1000),"")</f>
        <v/>
      </c>
      <c r="I69" s="28" t="str">
        <f>IFERROR(IFERROR(INDEX('WHO GHO Data'!$U$8:$U$201,MATCH('HCW, Staff, Beds Summary'!$C69,'WHO GHO Data'!$C$8:$C$201,0)),INDEX('WHO GHO Data'!$AE$8:$AE$12,MATCH('HCW, Staff, Beds Summary'!$E69,'WHO GHO Data'!$AD$8:$AD$12,0))*$G69/1000),"")</f>
        <v/>
      </c>
      <c r="J69" s="28" t="str">
        <f>IFERROR(IFERROR(INDEX('WHO GHO Data'!$X$8:$X$201,MATCH('HCW, Staff, Beds Summary'!$C69,'WHO GHO Data'!$C$8:$C$201,0)),INDEX('WHO GHO Data'!$AF$8:$AF$12,MATCH('HCW, Staff, Beds Summary'!$E69,'WHO GHO Data'!$AD$8:$AD$12,0))*$G69/1000),"")</f>
        <v/>
      </c>
      <c r="K69" s="1310">
        <f>IF(INDEX('WB Beds'!$BN$827:$BN$1090,MATCH($C69,'WB Beds'!$C$827:$C$1090,0))="No reported value",INDEX('WB Beds'!$BR$829:$BR$833,MATCH($E69,'WB Beds'!$BP$829:$BP$833,0)),INDEX('WB Beds'!$BN$827:$BN$1090,MATCH($C69,'WB Beds'!$C$827:$C$1090)))</f>
        <v>6.3536554875275035</v>
      </c>
      <c r="L69" s="1311">
        <f>INDEX('WB Beds'!$BR$836:$BR$840,MATCH($E69,'WB Beds'!$BP$836:$BP$840,0))*100</f>
        <v>2.7250000000000001</v>
      </c>
      <c r="N69" s="1264">
        <f t="shared" si="1"/>
        <v>2673345.0219656099</v>
      </c>
    </row>
    <row r="70" spans="2:14" x14ac:dyDescent="0.35">
      <c r="B70" s="41" t="s">
        <v>382</v>
      </c>
      <c r="C70" s="41" t="s">
        <v>383</v>
      </c>
      <c r="D70" s="129" t="s">
        <v>1089</v>
      </c>
      <c r="E70" s="129" t="s">
        <v>742</v>
      </c>
      <c r="F70" s="129" t="str">
        <f t="shared" si="0"/>
        <v>Not LMIC</v>
      </c>
      <c r="G70" s="28">
        <f>INDEX('UNDP Population Data'!$E$6:$E$269,MATCH($B70,'UNDP Population Data'!$B$6:$B$269,0))</f>
        <v>922779000</v>
      </c>
      <c r="H70" s="28" t="str">
        <f>IFERROR(IFERROR(INDEX('WHO GHO Data'!$V$8:$V$201,MATCH('HCW, Staff, Beds Summary'!$C70,'WHO GHO Data'!$C$8:$C$201,0)),INDEX('WHO GHO Data'!$AF$8:$AF$12,MATCH('HCW, Staff, Beds Summary'!$E70,'WHO GHO Data'!$AD$8:$AD$12,0))*$G70/1000),"")</f>
        <v/>
      </c>
      <c r="I70" s="28" t="str">
        <f>IFERROR(IFERROR(INDEX('WHO GHO Data'!$U$8:$U$201,MATCH('HCW, Staff, Beds Summary'!$C70,'WHO GHO Data'!$C$8:$C$201,0)),INDEX('WHO GHO Data'!$AE$8:$AE$12,MATCH('HCW, Staff, Beds Summary'!$E70,'WHO GHO Data'!$AD$8:$AD$12,0))*$G70/1000),"")</f>
        <v/>
      </c>
      <c r="J70" s="28" t="str">
        <f>IFERROR(IFERROR(INDEX('WHO GHO Data'!$X$8:$X$201,MATCH('HCW, Staff, Beds Summary'!$C70,'WHO GHO Data'!$C$8:$C$201,0)),INDEX('WHO GHO Data'!$AF$8:$AF$12,MATCH('HCW, Staff, Beds Summary'!$E70,'WHO GHO Data'!$AD$8:$AD$12,0))*$G70/1000),"")</f>
        <v/>
      </c>
      <c r="K70" s="1310">
        <f>IF(INDEX('WB Beds'!$BN$827:$BN$1090,MATCH($C70,'WB Beds'!$C$827:$C$1090,0))="No reported value",INDEX('WB Beds'!$BR$829:$BR$833,MATCH($E70,'WB Beds'!$BP$829:$BP$833,0)),INDEX('WB Beds'!$BN$827:$BN$1090,MATCH($C70,'WB Beds'!$C$827:$C$1090)))</f>
        <v>5.9249214621143169</v>
      </c>
      <c r="L70" s="1311">
        <f>INDEX('WB Beds'!$BR$836:$BR$840,MATCH($E70,'WB Beds'!$BP$836:$BP$840,0))*100</f>
        <v>2.7250000000000001</v>
      </c>
      <c r="N70" s="1264">
        <f t="shared" si="1"/>
        <v>5467393.1018883875</v>
      </c>
    </row>
    <row r="71" spans="2:14" x14ac:dyDescent="0.35">
      <c r="B71" s="41" t="s">
        <v>376</v>
      </c>
      <c r="C71" s="41" t="s">
        <v>38</v>
      </c>
      <c r="D71" s="129" t="s">
        <v>1044</v>
      </c>
      <c r="E71" s="129" t="s">
        <v>557</v>
      </c>
      <c r="F71" s="129" t="str">
        <f t="shared" si="0"/>
        <v>LMIC</v>
      </c>
      <c r="G71" s="28">
        <f>INDEX('UNDP Population Data'!$E$6:$E$269,MATCH($B71,'UNDP Population Data'!$B$6:$B$269,0))</f>
        <v>17335642</v>
      </c>
      <c r="H71" s="28">
        <f>IFERROR(IFERROR(INDEX('WHO GHO Data'!$V$8:$V$201,MATCH('HCW, Staff, Beds Summary'!$C71,'WHO GHO Data'!$C$8:$C$201,0)),INDEX('WHO GHO Data'!$AF$8:$AF$12,MATCH('HCW, Staff, Beds Summary'!$E71,'WHO GHO Data'!$AD$8:$AD$12,0))*$G71/1000),"")</f>
        <v>35557.578656007128</v>
      </c>
      <c r="I71" s="28">
        <f>IFERROR(IFERROR(INDEX('WHO GHO Data'!$U$8:$U$201,MATCH('HCW, Staff, Beds Summary'!$C71,'WHO GHO Data'!$C$8:$C$201,0)),INDEX('WHO GHO Data'!$AE$8:$AE$12,MATCH('HCW, Staff, Beds Summary'!$E71,'WHO GHO Data'!$AD$8:$AD$12,0))*$G71/1000),"")</f>
        <v>44047.668433169674</v>
      </c>
      <c r="J71" s="28">
        <f>IFERROR(IFERROR(INDEX('WHO GHO Data'!$X$8:$X$201,MATCH('HCW, Staff, Beds Summary'!$C71,'WHO GHO Data'!$C$8:$C$201,0)),INDEX('WHO GHO Data'!$AF$8:$AF$12,MATCH('HCW, Staff, Beds Summary'!$E71,'WHO GHO Data'!$AD$8:$AD$12,0))*$G71/1000),"")</f>
        <v>4445.4857495815259</v>
      </c>
      <c r="K71" s="1310">
        <f>IF(INDEX('WB Beds'!$BN$827:$BN$1090,MATCH($C71,'WB Beds'!$C$827:$C$1090,0))="No reported value",INDEX('WB Beds'!$BR$829:$BR$833,MATCH($E71,'WB Beds'!$BP$829:$BP$833,0)),INDEX('WB Beds'!$BN$827:$BN$1090,MATCH($C71,'WB Beds'!$C$827:$C$1090)))</f>
        <v>1.5</v>
      </c>
      <c r="L71" s="1311">
        <f>INDEX('WB Beds'!$BR$836:$BR$840,MATCH($E71,'WB Beds'!$BP$836:$BP$840,0))*100</f>
        <v>3.32</v>
      </c>
      <c r="N71" s="1264">
        <f t="shared" si="1"/>
        <v>26003.463</v>
      </c>
    </row>
    <row r="72" spans="2:14" x14ac:dyDescent="0.35">
      <c r="B72" s="41" t="s">
        <v>377</v>
      </c>
      <c r="C72" s="41" t="s">
        <v>39</v>
      </c>
      <c r="D72" s="129" t="s">
        <v>1041</v>
      </c>
      <c r="E72" s="129" t="s">
        <v>454</v>
      </c>
      <c r="F72" s="129" t="str">
        <f t="shared" ref="F72:F135" si="2">IF(OR(E72="High income",E72="Out"),"Not LMIC","LMIC")</f>
        <v>LMIC</v>
      </c>
      <c r="G72" s="28">
        <f>INDEX('UNDP Population Data'!$E$6:$E$269,MATCH($B72,'UNDP Population Data'!$B$6:$B$269,0))</f>
        <v>102941484</v>
      </c>
      <c r="H72" s="28">
        <f>IFERROR(IFERROR(INDEX('WHO GHO Data'!$V$8:$V$201,MATCH('HCW, Staff, Beds Summary'!$C72,'WHO GHO Data'!$C$8:$C$201,0)),INDEX('WHO GHO Data'!$AF$8:$AF$12,MATCH('HCW, Staff, Beds Summary'!$E72,'WHO GHO Data'!$AD$8:$AD$12,0))*$G72/1000),"")</f>
        <v>46192.875104603008</v>
      </c>
      <c r="I72" s="28">
        <f>IFERROR(IFERROR(INDEX('WHO GHO Data'!$U$8:$U$201,MATCH('HCW, Staff, Beds Summary'!$C72,'WHO GHO Data'!$C$8:$C$201,0)),INDEX('WHO GHO Data'!$AE$8:$AE$12,MATCH('HCW, Staff, Beds Summary'!$E72,'WHO GHO Data'!$AD$8:$AD$12,0))*$G72/1000),"")</f>
        <v>196782.14618344198</v>
      </c>
      <c r="J72" s="28">
        <f>IFERROR(IFERROR(INDEX('WHO GHO Data'!$X$8:$X$201,MATCH('HCW, Staff, Beds Summary'!$C72,'WHO GHO Data'!$C$8:$C$201,0)),INDEX('WHO GHO Data'!$AF$8:$AF$12,MATCH('HCW, Staff, Beds Summary'!$E72,'WHO GHO Data'!$AD$8:$AD$12,0))*$G72/1000),"")</f>
        <v>18251.074625055833</v>
      </c>
      <c r="K72" s="1310">
        <f>IF(INDEX('WB Beds'!$BN$827:$BN$1090,MATCH($C72,'WB Beds'!$C$827:$C$1090,0))="No reported value",INDEX('WB Beds'!$BR$829:$BR$833,MATCH($E72,'WB Beds'!$BP$829:$BP$833,0)),INDEX('WB Beds'!$BN$827:$BN$1090,MATCH($C72,'WB Beds'!$C$827:$C$1090)))</f>
        <v>1.6</v>
      </c>
      <c r="L72" s="1311">
        <f>INDEX('WB Beds'!$BR$836:$BR$840,MATCH($E72,'WB Beds'!$BP$836:$BP$840,0))*100</f>
        <v>2.3800000000000003</v>
      </c>
      <c r="N72" s="1264">
        <f t="shared" ref="N72:N135" si="3">K72*G72/1000</f>
        <v>164706.3744</v>
      </c>
    </row>
    <row r="73" spans="2:14" x14ac:dyDescent="0.35">
      <c r="B73" s="41" t="s">
        <v>380</v>
      </c>
      <c r="C73" s="41" t="s">
        <v>381</v>
      </c>
      <c r="D73" s="129" t="s">
        <v>1089</v>
      </c>
      <c r="E73" s="129" t="s">
        <v>742</v>
      </c>
      <c r="F73" s="129" t="str">
        <f t="shared" si="2"/>
        <v>Not LMIC</v>
      </c>
      <c r="G73" s="28">
        <f>INDEX('UNDP Population Data'!$E$6:$E$269,MATCH($B73,'UNDP Population Data'!$B$6:$B$269,0))</f>
        <v>341989000</v>
      </c>
      <c r="H73" s="28" t="str">
        <f>IFERROR(IFERROR(INDEX('WHO GHO Data'!$V$8:$V$201,MATCH('HCW, Staff, Beds Summary'!$C73,'WHO GHO Data'!$C$8:$C$201,0)),INDEX('WHO GHO Data'!$AF$8:$AF$12,MATCH('HCW, Staff, Beds Summary'!$E73,'WHO GHO Data'!$AD$8:$AD$12,0))*$G73/1000),"")</f>
        <v/>
      </c>
      <c r="I73" s="28" t="str">
        <f>IFERROR(IFERROR(INDEX('WHO GHO Data'!$U$8:$U$201,MATCH('HCW, Staff, Beds Summary'!$C73,'WHO GHO Data'!$C$8:$C$201,0)),INDEX('WHO GHO Data'!$AE$8:$AE$12,MATCH('HCW, Staff, Beds Summary'!$E73,'WHO GHO Data'!$AD$8:$AD$12,0))*$G73/1000),"")</f>
        <v/>
      </c>
      <c r="J73" s="28" t="str">
        <f>IFERROR(IFERROR(INDEX('WHO GHO Data'!$X$8:$X$201,MATCH('HCW, Staff, Beds Summary'!$C73,'WHO GHO Data'!$C$8:$C$201,0)),INDEX('WHO GHO Data'!$AF$8:$AF$12,MATCH('HCW, Staff, Beds Summary'!$E73,'WHO GHO Data'!$AD$8:$AD$12,0))*$G73/1000),"")</f>
        <v/>
      </c>
      <c r="K73" s="1310">
        <f>IF(INDEX('WB Beds'!$BN$827:$BN$1090,MATCH($C73,'WB Beds'!$C$827:$C$1090,0))="No reported value",INDEX('WB Beds'!$BR$829:$BR$833,MATCH($E73,'WB Beds'!$BP$829:$BP$833,0)),INDEX('WB Beds'!$BN$827:$BN$1090,MATCH($C73,'WB Beds'!$C$827:$C$1090)))</f>
        <v>6.1674908124806294</v>
      </c>
      <c r="L73" s="1311">
        <f>INDEX('WB Beds'!$BR$836:$BR$840,MATCH($E73,'WB Beds'!$BP$836:$BP$840,0))*100</f>
        <v>2.7250000000000001</v>
      </c>
      <c r="N73" s="1264">
        <f t="shared" si="3"/>
        <v>2109214.0154694379</v>
      </c>
    </row>
    <row r="74" spans="2:14" x14ac:dyDescent="0.35">
      <c r="B74" s="41" t="s">
        <v>192</v>
      </c>
      <c r="C74" s="41" t="s">
        <v>168</v>
      </c>
      <c r="D74" s="129" t="s">
        <v>1042</v>
      </c>
      <c r="E74" s="129" t="s">
        <v>452</v>
      </c>
      <c r="F74" s="129" t="str">
        <f t="shared" si="2"/>
        <v>LMIC</v>
      </c>
      <c r="G74" s="28">
        <f>INDEX('UNDP Population Data'!$E$6:$E$269,MATCH($B74,'UNDP Population Data'!$B$6:$B$269,0))</f>
        <v>5432216</v>
      </c>
      <c r="H74" s="28">
        <f>IFERROR(IFERROR(INDEX('WHO GHO Data'!$V$8:$V$201,MATCH('HCW, Staff, Beds Summary'!$C74,'WHO GHO Data'!$C$8:$C$201,0)),INDEX('WHO GHO Data'!$AF$8:$AF$12,MATCH('HCW, Staff, Beds Summary'!$E74,'WHO GHO Data'!$AD$8:$AD$12,0))*$G74/1000),"")</f>
        <v>232.24201439999686</v>
      </c>
      <c r="I74" s="28">
        <f>IFERROR(IFERROR(INDEX('WHO GHO Data'!$U$8:$U$201,MATCH('HCW, Staff, Beds Summary'!$C74,'WHO GHO Data'!$C$8:$C$201,0)),INDEX('WHO GHO Data'!$AE$8:$AE$12,MATCH('HCW, Staff, Beds Summary'!$E74,'WHO GHO Data'!$AD$8:$AD$12,0))*$G74/1000),"")</f>
        <v>5202.9089701520661</v>
      </c>
      <c r="J74" s="28">
        <f>IFERROR(IFERROR(INDEX('WHO GHO Data'!$X$8:$X$201,MATCH('HCW, Staff, Beds Summary'!$C74,'WHO GHO Data'!$C$8:$C$201,0)),INDEX('WHO GHO Data'!$AF$8:$AF$12,MATCH('HCW, Staff, Beds Summary'!$E74,'WHO GHO Data'!$AD$8:$AD$12,0))*$G74/1000),"")</f>
        <v>288.03794983571817</v>
      </c>
      <c r="K74" s="1310">
        <f>IF(INDEX('WB Beds'!$BN$827:$BN$1090,MATCH($C74,'WB Beds'!$C$827:$C$1090,0))="No reported value",INDEX('WB Beds'!$BR$829:$BR$833,MATCH($E74,'WB Beds'!$BP$829:$BP$833,0)),INDEX('WB Beds'!$BN$827:$BN$1090,MATCH($C74,'WB Beds'!$C$827:$C$1090)))</f>
        <v>0.7</v>
      </c>
      <c r="L74" s="1311">
        <f>INDEX('WB Beds'!$BR$836:$BR$840,MATCH($E74,'WB Beds'!$BP$836:$BP$840,0))*100</f>
        <v>1.63</v>
      </c>
      <c r="N74" s="1264">
        <f t="shared" si="3"/>
        <v>3802.5511999999999</v>
      </c>
    </row>
    <row r="75" spans="2:14" x14ac:dyDescent="0.35">
      <c r="B75" s="41" t="s">
        <v>529</v>
      </c>
      <c r="C75" s="41" t="s">
        <v>40</v>
      </c>
      <c r="D75" s="129" t="s">
        <v>1043</v>
      </c>
      <c r="E75" s="129" t="s">
        <v>410</v>
      </c>
      <c r="F75" s="129" t="str">
        <f t="shared" si="2"/>
        <v>Not LMIC</v>
      </c>
      <c r="G75" s="28">
        <f>INDEX('UNDP Population Data'!$E$6:$E$269,MATCH($B75,'UNDP Population Data'!$B$6:$B$269,0))</f>
        <v>46459219</v>
      </c>
      <c r="H75" s="28">
        <f>IFERROR(IFERROR(INDEX('WHO GHO Data'!$V$8:$V$201,MATCH('HCW, Staff, Beds Summary'!$C75,'WHO GHO Data'!$C$8:$C$201,0)),INDEX('WHO GHO Data'!$AF$8:$AF$12,MATCH('HCW, Staff, Beds Summary'!$E75,'WHO GHO Data'!$AD$8:$AD$12,0))*$G75/1000),"")</f>
        <v>180776.74752872979</v>
      </c>
      <c r="I75" s="28">
        <f>IFERROR(IFERROR(INDEX('WHO GHO Data'!$U$8:$U$201,MATCH('HCW, Staff, Beds Summary'!$C75,'WHO GHO Data'!$C$8:$C$201,0)),INDEX('WHO GHO Data'!$AE$8:$AE$12,MATCH('HCW, Staff, Beds Summary'!$E75,'WHO GHO Data'!$AD$8:$AD$12,0))*$G75/1000),"")</f>
        <v>267478.68996813148</v>
      </c>
      <c r="J75" s="28">
        <f>IFERROR(IFERROR(INDEX('WHO GHO Data'!$X$8:$X$201,MATCH('HCW, Staff, Beds Summary'!$C75,'WHO GHO Data'!$C$8:$C$201,0)),INDEX('WHO GHO Data'!$AF$8:$AF$12,MATCH('HCW, Staff, Beds Summary'!$E75,'WHO GHO Data'!$AD$8:$AD$12,0))*$G75/1000),"")</f>
        <v>24782.720495513604</v>
      </c>
      <c r="K75" s="1310">
        <f>IF(INDEX('WB Beds'!$BN$827:$BN$1090,MATCH($C75,'WB Beds'!$C$827:$C$1090,0))="No reported value",INDEX('WB Beds'!$BR$829:$BR$833,MATCH($E75,'WB Beds'!$BP$829:$BP$833,0)),INDEX('WB Beds'!$BN$827:$BN$1090,MATCH($C75,'WB Beds'!$C$827:$C$1090)))</f>
        <v>3</v>
      </c>
      <c r="L75" s="1311">
        <f>INDEX('WB Beds'!$BR$836:$BR$840,MATCH($E75,'WB Beds'!$BP$836:$BP$840,0))*100</f>
        <v>3.5700000000000003</v>
      </c>
      <c r="N75" s="1264">
        <f t="shared" si="3"/>
        <v>139377.65700000001</v>
      </c>
    </row>
    <row r="76" spans="2:14" x14ac:dyDescent="0.35">
      <c r="B76" s="41" t="s">
        <v>378</v>
      </c>
      <c r="C76" s="41" t="s">
        <v>41</v>
      </c>
      <c r="D76" s="129" t="s">
        <v>1043</v>
      </c>
      <c r="E76" s="129" t="s">
        <v>410</v>
      </c>
      <c r="F76" s="129" t="str">
        <f t="shared" si="2"/>
        <v>Not LMIC</v>
      </c>
      <c r="G76" s="28">
        <f>INDEX('UNDP Population Data'!$E$6:$E$269,MATCH($B76,'UNDP Population Data'!$B$6:$B$269,0))</f>
        <v>1300559</v>
      </c>
      <c r="H76" s="28">
        <f>IFERROR(IFERROR(INDEX('WHO GHO Data'!$V$8:$V$201,MATCH('HCW, Staff, Beds Summary'!$C76,'WHO GHO Data'!$C$8:$C$201,0)),INDEX('WHO GHO Data'!$AF$8:$AF$12,MATCH('HCW, Staff, Beds Summary'!$E76,'WHO GHO Data'!$AD$8:$AD$12,0))*$G76/1000),"")</f>
        <v>5904.2840922845808</v>
      </c>
      <c r="I76" s="28">
        <f>IFERROR(IFERROR(INDEX('WHO GHO Data'!$U$8:$U$201,MATCH('HCW, Staff, Beds Summary'!$C76,'WHO GHO Data'!$C$8:$C$201,0)),INDEX('WHO GHO Data'!$AE$8:$AE$12,MATCH('HCW, Staff, Beds Summary'!$E76,'WHO GHO Data'!$AD$8:$AD$12,0))*$G76/1000),"")</f>
        <v>13723.901617979302</v>
      </c>
      <c r="J76" s="28">
        <f>IFERROR(IFERROR(INDEX('WHO GHO Data'!$X$8:$X$201,MATCH('HCW, Staff, Beds Summary'!$C76,'WHO GHO Data'!$C$8:$C$201,0)),INDEX('WHO GHO Data'!$AF$8:$AF$12,MATCH('HCW, Staff, Beds Summary'!$E76,'WHO GHO Data'!$AD$8:$AD$12,0))*$G76/1000),"")</f>
        <v>693.75660802487175</v>
      </c>
      <c r="K76" s="1310">
        <f>IF(INDEX('WB Beds'!$BN$827:$BN$1090,MATCH($C76,'WB Beds'!$C$827:$C$1090,0))="No reported value",INDEX('WB Beds'!$BR$829:$BR$833,MATCH($E76,'WB Beds'!$BP$829:$BP$833,0)),INDEX('WB Beds'!$BN$827:$BN$1090,MATCH($C76,'WB Beds'!$C$827:$C$1090)))</f>
        <v>5</v>
      </c>
      <c r="L76" s="1311">
        <f>INDEX('WB Beds'!$BR$836:$BR$840,MATCH($E76,'WB Beds'!$BP$836:$BP$840,0))*100</f>
        <v>3.5700000000000003</v>
      </c>
      <c r="N76" s="1264">
        <f t="shared" si="3"/>
        <v>6502.7950000000001</v>
      </c>
    </row>
    <row r="77" spans="2:14" x14ac:dyDescent="0.35">
      <c r="B77" s="41" t="s">
        <v>194</v>
      </c>
      <c r="C77" s="41" t="s">
        <v>42</v>
      </c>
      <c r="D77" s="129" t="s">
        <v>1042</v>
      </c>
      <c r="E77" s="129" t="s">
        <v>452</v>
      </c>
      <c r="F77" s="129" t="str">
        <f t="shared" si="2"/>
        <v>LMIC</v>
      </c>
      <c r="G77" s="28">
        <f>INDEX('UNDP Population Data'!$E$6:$E$269,MATCH($B77,'UNDP Population Data'!$B$6:$B$269,0))</f>
        <v>112759070</v>
      </c>
      <c r="H77" s="28">
        <f>IFERROR(IFERROR(INDEX('WHO GHO Data'!$V$8:$V$201,MATCH('HCW, Staff, Beds Summary'!$C77,'WHO GHO Data'!$C$8:$C$201,0)),INDEX('WHO GHO Data'!$AF$8:$AF$12,MATCH('HCW, Staff, Beds Summary'!$E77,'WHO GHO Data'!$AD$8:$AD$12,0))*$G77/1000),"")</f>
        <v>8812.5582166598124</v>
      </c>
      <c r="I77" s="28">
        <f>IFERROR(IFERROR(INDEX('WHO GHO Data'!$U$8:$U$201,MATCH('HCW, Staff, Beds Summary'!$C77,'WHO GHO Data'!$C$8:$C$201,0)),INDEX('WHO GHO Data'!$AE$8:$AE$12,MATCH('HCW, Staff, Beds Summary'!$E77,'WHO GHO Data'!$AD$8:$AD$12,0))*$G77/1000),"")</f>
        <v>64844.472443062528</v>
      </c>
      <c r="J77" s="28">
        <f>IFERROR(IFERROR(INDEX('WHO GHO Data'!$X$8:$X$201,MATCH('HCW, Staff, Beds Summary'!$C77,'WHO GHO Data'!$C$8:$C$201,0)),INDEX('WHO GHO Data'!$AF$8:$AF$12,MATCH('HCW, Staff, Beds Summary'!$E77,'WHO GHO Data'!$AD$8:$AD$12,0))*$G77/1000),"")</f>
        <v>3686.8716597917983</v>
      </c>
      <c r="K77" s="1310">
        <f>IF(INDEX('WB Beds'!$BN$827:$BN$1090,MATCH($C77,'WB Beds'!$C$827:$C$1090,0))="No reported value",INDEX('WB Beds'!$BR$829:$BR$833,MATCH($E77,'WB Beds'!$BP$829:$BP$833,0)),INDEX('WB Beds'!$BN$827:$BN$1090,MATCH($C77,'WB Beds'!$C$827:$C$1090)))</f>
        <v>0.3</v>
      </c>
      <c r="L77" s="1311">
        <f>INDEX('WB Beds'!$BR$836:$BR$840,MATCH($E77,'WB Beds'!$BP$836:$BP$840,0))*100</f>
        <v>1.63</v>
      </c>
      <c r="N77" s="1264">
        <f t="shared" si="3"/>
        <v>33827.720999999998</v>
      </c>
    </row>
    <row r="78" spans="2:14" x14ac:dyDescent="0.35">
      <c r="B78" s="41" t="s">
        <v>388</v>
      </c>
      <c r="C78" s="41" t="s">
        <v>389</v>
      </c>
      <c r="D78" s="129" t="s">
        <v>1089</v>
      </c>
      <c r="E78" s="129" t="s">
        <v>742</v>
      </c>
      <c r="F78" s="129" t="str">
        <f t="shared" si="2"/>
        <v>Not LMIC</v>
      </c>
      <c r="G78" s="28">
        <f>INDEX('UNDP Population Data'!$E$6:$E$269,MATCH($B78,'UNDP Population Data'!$B$6:$B$269,0))</f>
        <v>513719000</v>
      </c>
      <c r="H78" s="28" t="str">
        <f>IFERROR(IFERROR(INDEX('WHO GHO Data'!$V$8:$V$201,MATCH('HCW, Staff, Beds Summary'!$C78,'WHO GHO Data'!$C$8:$C$201,0)),INDEX('WHO GHO Data'!$AF$8:$AF$12,MATCH('HCW, Staff, Beds Summary'!$E78,'WHO GHO Data'!$AD$8:$AD$12,0))*$G78/1000),"")</f>
        <v/>
      </c>
      <c r="I78" s="28" t="str">
        <f>IFERROR(IFERROR(INDEX('WHO GHO Data'!$U$8:$U$201,MATCH('HCW, Staff, Beds Summary'!$C78,'WHO GHO Data'!$C$8:$C$201,0)),INDEX('WHO GHO Data'!$AE$8:$AE$12,MATCH('HCW, Staff, Beds Summary'!$E78,'WHO GHO Data'!$AD$8:$AD$12,0))*$G78/1000),"")</f>
        <v/>
      </c>
      <c r="J78" s="28" t="str">
        <f>IFERROR(IFERROR(INDEX('WHO GHO Data'!$X$8:$X$201,MATCH('HCW, Staff, Beds Summary'!$C78,'WHO GHO Data'!$C$8:$C$201,0)),INDEX('WHO GHO Data'!$AF$8:$AF$12,MATCH('HCW, Staff, Beds Summary'!$E78,'WHO GHO Data'!$AD$8:$AD$12,0))*$G78/1000),"")</f>
        <v/>
      </c>
      <c r="K78" s="1310">
        <f>IF(INDEX('WB Beds'!$BN$827:$BN$1090,MATCH($C78,'WB Beds'!$C$827:$C$1090,0))="No reported value",INDEX('WB Beds'!$BR$829:$BR$833,MATCH($E78,'WB Beds'!$BP$829:$BP$833,0)),INDEX('WB Beds'!$BN$827:$BN$1090,MATCH($C78,'WB Beds'!$C$827:$C$1090)))</f>
        <v>5.6014569885033216</v>
      </c>
      <c r="L78" s="1311">
        <f>INDEX('WB Beds'!$BR$836:$BR$840,MATCH($E78,'WB Beds'!$BP$836:$BP$840,0))*100</f>
        <v>2.7250000000000001</v>
      </c>
      <c r="N78" s="1264">
        <f t="shared" si="3"/>
        <v>2877574.8826769381</v>
      </c>
    </row>
    <row r="79" spans="2:14" x14ac:dyDescent="0.35">
      <c r="B79" s="41" t="s">
        <v>393</v>
      </c>
      <c r="C79" s="41" t="s">
        <v>394</v>
      </c>
      <c r="D79" s="129" t="s">
        <v>1089</v>
      </c>
      <c r="E79" s="129" t="s">
        <v>742</v>
      </c>
      <c r="F79" s="129" t="str">
        <f t="shared" si="2"/>
        <v>Not LMIC</v>
      </c>
      <c r="G79" s="28">
        <f>INDEX('UNDP Population Data'!$E$6:$E$269,MATCH($B79,'UNDP Population Data'!$B$6:$B$269,0))</f>
        <v>538961000</v>
      </c>
      <c r="H79" s="28" t="str">
        <f>IFERROR(IFERROR(INDEX('WHO GHO Data'!$V$8:$V$201,MATCH('HCW, Staff, Beds Summary'!$C79,'WHO GHO Data'!$C$8:$C$201,0)),INDEX('WHO GHO Data'!$AF$8:$AF$12,MATCH('HCW, Staff, Beds Summary'!$E79,'WHO GHO Data'!$AD$8:$AD$12,0))*$G79/1000),"")</f>
        <v/>
      </c>
      <c r="I79" s="28" t="str">
        <f>IFERROR(IFERROR(INDEX('WHO GHO Data'!$U$8:$U$201,MATCH('HCW, Staff, Beds Summary'!$C79,'WHO GHO Data'!$C$8:$C$201,0)),INDEX('WHO GHO Data'!$AE$8:$AE$12,MATCH('HCW, Staff, Beds Summary'!$E79,'WHO GHO Data'!$AD$8:$AD$12,0))*$G79/1000),"")</f>
        <v/>
      </c>
      <c r="J79" s="28" t="str">
        <f>IFERROR(IFERROR(INDEX('WHO GHO Data'!$X$8:$X$201,MATCH('HCW, Staff, Beds Summary'!$C79,'WHO GHO Data'!$C$8:$C$201,0)),INDEX('WHO GHO Data'!$AF$8:$AF$12,MATCH('HCW, Staff, Beds Summary'!$E79,'WHO GHO Data'!$AD$8:$AD$12,0))*$G79/1000),"")</f>
        <v/>
      </c>
      <c r="K79" s="1310">
        <f>IF(INDEX('WB Beds'!$BN$827:$BN$1090,MATCH($C79,'WB Beds'!$C$827:$C$1090,0))="No reported value",INDEX('WB Beds'!$BR$829:$BR$833,MATCH($E79,'WB Beds'!$BP$829:$BP$833,0)),INDEX('WB Beds'!$BN$827:$BN$1090,MATCH($C79,'WB Beds'!$C$827:$C$1090)))</f>
        <v>0.9770048657316277</v>
      </c>
      <c r="L79" s="1311">
        <f>INDEX('WB Beds'!$BR$836:$BR$840,MATCH($E79,'WB Beds'!$BP$836:$BP$840,0))*100</f>
        <v>2.7250000000000001</v>
      </c>
      <c r="N79" s="1264">
        <f t="shared" si="3"/>
        <v>526567.51943958376</v>
      </c>
    </row>
    <row r="80" spans="2:14" x14ac:dyDescent="0.35">
      <c r="B80" s="41" t="s">
        <v>392</v>
      </c>
      <c r="C80" s="41" t="s">
        <v>43</v>
      </c>
      <c r="D80" s="129" t="s">
        <v>1043</v>
      </c>
      <c r="E80" s="129" t="s">
        <v>410</v>
      </c>
      <c r="F80" s="129" t="str">
        <f t="shared" si="2"/>
        <v>Not LMIC</v>
      </c>
      <c r="G80" s="28">
        <f>INDEX('UNDP Population Data'!$E$6:$E$269,MATCH($B80,'UNDP Population Data'!$B$6:$B$269,0))</f>
        <v>5580127</v>
      </c>
      <c r="H80" s="28">
        <f>IFERROR(IFERROR(INDEX('WHO GHO Data'!$V$8:$V$201,MATCH('HCW, Staff, Beds Summary'!$C80,'WHO GHO Data'!$C$8:$C$201,0)),INDEX('WHO GHO Data'!$AF$8:$AF$12,MATCH('HCW, Staff, Beds Summary'!$E80,'WHO GHO Data'!$AD$8:$AD$12,0))*$G80/1000),"")</f>
        <v>21255.659593940836</v>
      </c>
      <c r="I80" s="28">
        <f>IFERROR(IFERROR(INDEX('WHO GHO Data'!$U$8:$U$201,MATCH('HCW, Staff, Beds Summary'!$C80,'WHO GHO Data'!$C$8:$C$201,0)),INDEX('WHO GHO Data'!$AE$8:$AE$12,MATCH('HCW, Staff, Beds Summary'!$E80,'WHO GHO Data'!$AD$8:$AD$12,0))*$G80/1000),"")</f>
        <v>82180.571274111207</v>
      </c>
      <c r="J80" s="28">
        <f>IFERROR(IFERROR(INDEX('WHO GHO Data'!$X$8:$X$201,MATCH('HCW, Staff, Beds Summary'!$C80,'WHO GHO Data'!$C$8:$C$201,0)),INDEX('WHO GHO Data'!$AF$8:$AF$12,MATCH('HCW, Staff, Beds Summary'!$E80,'WHO GHO Data'!$AD$8:$AD$12,0))*$G80/1000),"")</f>
        <v>7272.0959328937961</v>
      </c>
      <c r="K80" s="1310">
        <f>IF(INDEX('WB Beds'!$BN$827:$BN$1090,MATCH($C80,'WB Beds'!$C$827:$C$1090,0))="No reported value",INDEX('WB Beds'!$BR$829:$BR$833,MATCH($E80,'WB Beds'!$BP$829:$BP$833,0)),INDEX('WB Beds'!$BN$827:$BN$1090,MATCH($C80,'WB Beds'!$C$827:$C$1090)))</f>
        <v>4.4000000000000004</v>
      </c>
      <c r="L80" s="1311">
        <f>INDEX('WB Beds'!$BR$836:$BR$840,MATCH($E80,'WB Beds'!$BP$836:$BP$840,0))*100</f>
        <v>3.5700000000000003</v>
      </c>
      <c r="N80" s="1264">
        <f t="shared" si="3"/>
        <v>24552.558800000003</v>
      </c>
    </row>
    <row r="81" spans="2:14" x14ac:dyDescent="0.35">
      <c r="B81" s="41" t="s">
        <v>248</v>
      </c>
      <c r="C81" s="41" t="s">
        <v>44</v>
      </c>
      <c r="D81" s="129" t="s">
        <v>1100</v>
      </c>
      <c r="E81" s="129" t="s">
        <v>557</v>
      </c>
      <c r="F81" s="129" t="str">
        <f t="shared" si="2"/>
        <v>LMIC</v>
      </c>
      <c r="G81" s="28">
        <f>INDEX('UNDP Population Data'!$E$6:$E$269,MATCH($B81,'UNDP Population Data'!$B$6:$B$269,0))</f>
        <v>924915</v>
      </c>
      <c r="H81" s="28">
        <f>IFERROR(IFERROR(INDEX('WHO GHO Data'!$V$8:$V$201,MATCH('HCW, Staff, Beds Summary'!$C81,'WHO GHO Data'!$C$8:$C$201,0)),INDEX('WHO GHO Data'!$AF$8:$AF$12,MATCH('HCW, Staff, Beds Summary'!$E81,'WHO GHO Data'!$AD$8:$AD$12,0))*$G81/1000),"")</f>
        <v>774.43510557093055</v>
      </c>
      <c r="I81" s="28">
        <f>IFERROR(IFERROR(INDEX('WHO GHO Data'!$U$8:$U$201,MATCH('HCW, Staff, Beds Summary'!$C81,'WHO GHO Data'!$C$8:$C$201,0)),INDEX('WHO GHO Data'!$AE$8:$AE$12,MATCH('HCW, Staff, Beds Summary'!$E81,'WHO GHO Data'!$AD$8:$AD$12,0))*$G81/1000),"")</f>
        <v>3025.334576917187</v>
      </c>
      <c r="J81" s="28">
        <f>IFERROR(IFERROR(INDEX('WHO GHO Data'!$X$8:$X$201,MATCH('HCW, Staff, Beds Summary'!$C81,'WHO GHO Data'!$C$8:$C$201,0)),INDEX('WHO GHO Data'!$AF$8:$AF$12,MATCH('HCW, Staff, Beds Summary'!$E81,'WHO GHO Data'!$AD$8:$AD$12,0))*$G81/1000),"")</f>
        <v>183.50068766540122</v>
      </c>
      <c r="K81" s="1310">
        <f>IF(INDEX('WB Beds'!$BN$827:$BN$1090,MATCH($C81,'WB Beds'!$C$827:$C$1090,0))="No reported value",INDEX('WB Beds'!$BR$829:$BR$833,MATCH($E81,'WB Beds'!$BP$829:$BP$833,0)),INDEX('WB Beds'!$BN$827:$BN$1090,MATCH($C81,'WB Beds'!$C$827:$C$1090)))</f>
        <v>2.2999999999999998</v>
      </c>
      <c r="L81" s="1311">
        <f>INDEX('WB Beds'!$BR$836:$BR$840,MATCH($E81,'WB Beds'!$BP$836:$BP$840,0))*100</f>
        <v>3.32</v>
      </c>
      <c r="N81" s="1264">
        <f t="shared" si="3"/>
        <v>2127.3045000000002</v>
      </c>
    </row>
    <row r="82" spans="2:14" x14ac:dyDescent="0.35">
      <c r="B82" s="41" t="s">
        <v>395</v>
      </c>
      <c r="C82" s="41" t="s">
        <v>45</v>
      </c>
      <c r="D82" s="129" t="s">
        <v>1043</v>
      </c>
      <c r="E82" s="129" t="s">
        <v>410</v>
      </c>
      <c r="F82" s="129" t="str">
        <f t="shared" si="2"/>
        <v>Not LMIC</v>
      </c>
      <c r="G82" s="28">
        <f>INDEX('UNDP Population Data'!$E$6:$E$269,MATCH($B82,'UNDP Population Data'!$B$6:$B$269,0))</f>
        <v>65721164.999999993</v>
      </c>
      <c r="H82" s="28">
        <f>IFERROR(IFERROR(INDEX('WHO GHO Data'!$V$8:$V$201,MATCH('HCW, Staff, Beds Summary'!$C82,'WHO GHO Data'!$C$8:$C$201,0)),INDEX('WHO GHO Data'!$AF$8:$AF$12,MATCH('HCW, Staff, Beds Summary'!$E82,'WHO GHO Data'!$AD$8:$AD$12,0))*$G82/1000),"")</f>
        <v>213992.81973665321</v>
      </c>
      <c r="I82" s="28">
        <f>IFERROR(IFERROR(INDEX('WHO GHO Data'!$U$8:$U$201,MATCH('HCW, Staff, Beds Summary'!$C82,'WHO GHO Data'!$C$8:$C$201,0)),INDEX('WHO GHO Data'!$AE$8:$AE$12,MATCH('HCW, Staff, Beds Summary'!$E82,'WHO GHO Data'!$AD$8:$AD$12,0))*$G82/1000),"")</f>
        <v>728206.67025884788</v>
      </c>
      <c r="J82" s="28">
        <f>IFERROR(IFERROR(INDEX('WHO GHO Data'!$X$8:$X$201,MATCH('HCW, Staff, Beds Summary'!$C82,'WHO GHO Data'!$C$8:$C$201,0)),INDEX('WHO GHO Data'!$AF$8:$AF$12,MATCH('HCW, Staff, Beds Summary'!$E82,'WHO GHO Data'!$AD$8:$AD$12,0))*$G82/1000),"")</f>
        <v>35057.61176989504</v>
      </c>
      <c r="K82" s="1310">
        <f>IF(INDEX('WB Beds'!$BN$827:$BN$1090,MATCH($C82,'WB Beds'!$C$827:$C$1090,0))="No reported value",INDEX('WB Beds'!$BR$829:$BR$833,MATCH($E82,'WB Beds'!$BP$829:$BP$833,0)),INDEX('WB Beds'!$BN$827:$BN$1090,MATCH($C82,'WB Beds'!$C$827:$C$1090)))</f>
        <v>6.5</v>
      </c>
      <c r="L82" s="1311">
        <f>INDEX('WB Beds'!$BR$836:$BR$840,MATCH($E82,'WB Beds'!$BP$836:$BP$840,0))*100</f>
        <v>3.5700000000000003</v>
      </c>
      <c r="N82" s="1264">
        <f t="shared" si="3"/>
        <v>427187.57249999995</v>
      </c>
    </row>
    <row r="83" spans="2:14" x14ac:dyDescent="0.35">
      <c r="B83" s="41" t="s">
        <v>390</v>
      </c>
      <c r="C83" s="41" t="s">
        <v>391</v>
      </c>
      <c r="D83" s="129" t="s">
        <v>1089</v>
      </c>
      <c r="E83" s="129" t="s">
        <v>410</v>
      </c>
      <c r="F83" s="129" t="str">
        <f t="shared" si="2"/>
        <v>Not LMIC</v>
      </c>
      <c r="G83" s="28">
        <f>INDEX('UNDP Population Data'!$E$6:$E$269,MATCH($B83,'UNDP Population Data'!$B$6:$B$269,0))</f>
        <v>49896</v>
      </c>
      <c r="H83" s="28">
        <f>IFERROR(IFERROR(INDEX('WHO GHO Data'!$V$8:$V$201,MATCH('HCW, Staff, Beds Summary'!$C83,'WHO GHO Data'!$C$8:$C$201,0)),INDEX('WHO GHO Data'!$AF$8:$AF$12,MATCH('HCW, Staff, Beds Summary'!$E83,'WHO GHO Data'!$AD$8:$AD$12,0))*$G83/1000),"")</f>
        <v>166.62531784530458</v>
      </c>
      <c r="I83" s="28">
        <f>IFERROR(IFERROR(INDEX('WHO GHO Data'!$U$8:$U$201,MATCH('HCW, Staff, Beds Summary'!$C83,'WHO GHO Data'!$C$8:$C$201,0)),INDEX('WHO GHO Data'!$AE$8:$AE$12,MATCH('HCW, Staff, Beds Summary'!$E83,'WHO GHO Data'!$AD$8:$AD$12,0))*$G83/1000),"")</f>
        <v>421.71762950210433</v>
      </c>
      <c r="J83" s="28">
        <f>IFERROR(IFERROR(INDEX('WHO GHO Data'!$X$8:$X$201,MATCH('HCW, Staff, Beds Summary'!$C83,'WHO GHO Data'!$C$8:$C$201,0)),INDEX('WHO GHO Data'!$AF$8:$AF$12,MATCH('HCW, Staff, Beds Summary'!$E83,'WHO GHO Data'!$AD$8:$AD$12,0))*$G83/1000),"")</f>
        <v>166.62531784530458</v>
      </c>
      <c r="K83" s="1310">
        <f>IF(INDEX('WB Beds'!$BN$827:$BN$1090,MATCH($C83,'WB Beds'!$C$827:$C$1090,0))="No reported value",INDEX('WB Beds'!$BR$829:$BR$833,MATCH($E83,'WB Beds'!$BP$829:$BP$833,0)),INDEX('WB Beds'!$BN$827:$BN$1090,MATCH($C83,'WB Beds'!$C$827:$C$1090)))</f>
        <v>4.82</v>
      </c>
      <c r="L83" s="1311">
        <f>INDEX('WB Beds'!$BR$836:$BR$840,MATCH($E83,'WB Beds'!$BP$836:$BP$840,0))*100</f>
        <v>3.5700000000000003</v>
      </c>
      <c r="N83" s="1264">
        <f t="shared" si="3"/>
        <v>240.49871999999999</v>
      </c>
    </row>
    <row r="84" spans="2:14" x14ac:dyDescent="0.35">
      <c r="B84" s="41" t="s">
        <v>463</v>
      </c>
      <c r="C84" s="41" t="s">
        <v>464</v>
      </c>
      <c r="D84" s="129" t="s">
        <v>1100</v>
      </c>
      <c r="E84" s="129" t="s">
        <v>454</v>
      </c>
      <c r="F84" s="129" t="str">
        <f t="shared" si="2"/>
        <v>LMIC</v>
      </c>
      <c r="G84" s="28">
        <f>INDEX('UNDP Population Data'!$E$6:$E$269,MATCH($B84,'UNDP Population Data'!$B$6:$B$269,0))</f>
        <v>107774</v>
      </c>
      <c r="H84" s="28">
        <f>IFERROR(IFERROR(INDEX('WHO GHO Data'!$V$8:$V$201,MATCH('HCW, Staff, Beds Summary'!$C84,'WHO GHO Data'!$C$8:$C$201,0)),INDEX('WHO GHO Data'!$AF$8:$AF$12,MATCH('HCW, Staff, Beds Summary'!$E84,'WHO GHO Data'!$AD$8:$AD$12,0))*$G84/1000),"")</f>
        <v>21.434716363279666</v>
      </c>
      <c r="I84" s="28">
        <f>IFERROR(IFERROR(INDEX('WHO GHO Data'!$U$8:$U$201,MATCH('HCW, Staff, Beds Summary'!$C84,'WHO GHO Data'!$C$8:$C$201,0)),INDEX('WHO GHO Data'!$AE$8:$AE$12,MATCH('HCW, Staff, Beds Summary'!$E84,'WHO GHO Data'!$AD$8:$AD$12,0))*$G84/1000),"")</f>
        <v>232.9154701627983</v>
      </c>
      <c r="J84" s="28">
        <f>IFERROR(IFERROR(INDEX('WHO GHO Data'!$X$8:$X$201,MATCH('HCW, Staff, Beds Summary'!$C84,'WHO GHO Data'!$C$8:$C$201,0)),INDEX('WHO GHO Data'!$AF$8:$AF$12,MATCH('HCW, Staff, Beds Summary'!$E84,'WHO GHO Data'!$AD$8:$AD$12,0))*$G84/1000),"")</f>
        <v>35.590733191843341</v>
      </c>
      <c r="K84" s="1310">
        <f>IF(INDEX('WB Beds'!$BN$827:$BN$1090,MATCH($C84,'WB Beds'!$C$827:$C$1090,0))="No reported value",INDEX('WB Beds'!$BR$829:$BR$833,MATCH($E84,'WB Beds'!$BP$829:$BP$833,0)),INDEX('WB Beds'!$BN$827:$BN$1090,MATCH($C84,'WB Beds'!$C$827:$C$1090)))</f>
        <v>3.2</v>
      </c>
      <c r="L84" s="1311">
        <f>INDEX('WB Beds'!$BR$836:$BR$840,MATCH($E84,'WB Beds'!$BP$836:$BP$840,0))*100</f>
        <v>2.3800000000000003</v>
      </c>
      <c r="N84" s="1264">
        <f t="shared" si="3"/>
        <v>344.87680000000006</v>
      </c>
    </row>
    <row r="85" spans="2:14" x14ac:dyDescent="0.35">
      <c r="B85" s="41" t="s">
        <v>195</v>
      </c>
      <c r="C85" s="41" t="s">
        <v>46</v>
      </c>
      <c r="D85" s="129" t="s">
        <v>1042</v>
      </c>
      <c r="E85" s="129" t="s">
        <v>557</v>
      </c>
      <c r="F85" s="129" t="str">
        <f t="shared" si="2"/>
        <v>LMIC</v>
      </c>
      <c r="G85" s="28">
        <f>INDEX('UNDP Population Data'!$E$6:$E$269,MATCH($B85,'UNDP Population Data'!$B$6:$B$269,0))</f>
        <v>2151289</v>
      </c>
      <c r="H85" s="28">
        <f>IFERROR(IFERROR(INDEX('WHO GHO Data'!$V$8:$V$201,MATCH('HCW, Staff, Beds Summary'!$C85,'WHO GHO Data'!$C$8:$C$201,0)),INDEX('WHO GHO Data'!$AF$8:$AF$12,MATCH('HCW, Staff, Beds Summary'!$E85,'WHO GHO Data'!$AD$8:$AD$12,0))*$G85/1000),"")</f>
        <v>1502.6709721465302</v>
      </c>
      <c r="I85" s="28">
        <f>IFERROR(IFERROR(INDEX('WHO GHO Data'!$U$8:$U$201,MATCH('HCW, Staff, Beds Summary'!$C85,'WHO GHO Data'!$C$8:$C$201,0)),INDEX('WHO GHO Data'!$AE$8:$AE$12,MATCH('HCW, Staff, Beds Summary'!$E85,'WHO GHO Data'!$AD$8:$AD$12,0))*$G85/1000),"")</f>
        <v>5709.722798994273</v>
      </c>
      <c r="J85" s="28">
        <f>IFERROR(IFERROR(INDEX('WHO GHO Data'!$X$8:$X$201,MATCH('HCW, Staff, Beds Summary'!$C85,'WHO GHO Data'!$C$8:$C$201,0)),INDEX('WHO GHO Data'!$AF$8:$AF$12,MATCH('HCW, Staff, Beds Summary'!$E85,'WHO GHO Data'!$AD$8:$AD$12,0))*$G85/1000),"")</f>
        <v>471.71915460849885</v>
      </c>
      <c r="K85" s="1310">
        <f>IF(INDEX('WB Beds'!$BN$827:$BN$1090,MATCH($C85,'WB Beds'!$C$827:$C$1090,0))="No reported value",INDEX('WB Beds'!$BR$829:$BR$833,MATCH($E85,'WB Beds'!$BP$829:$BP$833,0)),INDEX('WB Beds'!$BN$827:$BN$1090,MATCH($C85,'WB Beds'!$C$827:$C$1090)))</f>
        <v>6.3</v>
      </c>
      <c r="L85" s="1311">
        <f>INDEX('WB Beds'!$BR$836:$BR$840,MATCH($E85,'WB Beds'!$BP$836:$BP$840,0))*100</f>
        <v>3.32</v>
      </c>
      <c r="N85" s="1264">
        <f t="shared" si="3"/>
        <v>13553.120699999999</v>
      </c>
    </row>
    <row r="86" spans="2:14" x14ac:dyDescent="0.35">
      <c r="B86" s="41" t="s">
        <v>555</v>
      </c>
      <c r="C86" s="41" t="s">
        <v>47</v>
      </c>
      <c r="D86" s="129" t="s">
        <v>1043</v>
      </c>
      <c r="E86" s="129" t="s">
        <v>410</v>
      </c>
      <c r="F86" s="129" t="str">
        <f t="shared" si="2"/>
        <v>Not LMIC</v>
      </c>
      <c r="G86" s="28">
        <f>INDEX('UNDP Population Data'!$E$6:$E$269,MATCH($B86,'UNDP Population Data'!$B$6:$B$269,0))</f>
        <v>67334208</v>
      </c>
      <c r="H86" s="28">
        <f>IFERROR(IFERROR(INDEX('WHO GHO Data'!$V$8:$V$201,MATCH('HCW, Staff, Beds Summary'!$C86,'WHO GHO Data'!$C$8:$C$201,0)),INDEX('WHO GHO Data'!$AF$8:$AF$12,MATCH('HCW, Staff, Beds Summary'!$E86,'WHO GHO Data'!$AD$8:$AD$12,0))*$G86/1000),"")</f>
        <v>191000.20915993373</v>
      </c>
      <c r="I86" s="28">
        <f>IFERROR(IFERROR(INDEX('WHO GHO Data'!$U$8:$U$201,MATCH('HCW, Staff, Beds Summary'!$C86,'WHO GHO Data'!$C$8:$C$201,0)),INDEX('WHO GHO Data'!$AE$8:$AE$12,MATCH('HCW, Staff, Beds Summary'!$E86,'WHO GHO Data'!$AD$8:$AD$12,0))*$G86/1000),"")</f>
        <v>523274.38475666626</v>
      </c>
      <c r="J86" s="28">
        <f>IFERROR(IFERROR(INDEX('WHO GHO Data'!$X$8:$X$201,MATCH('HCW, Staff, Beds Summary'!$C86,'WHO GHO Data'!$C$8:$C$201,0)),INDEX('WHO GHO Data'!$AF$8:$AF$12,MATCH('HCW, Staff, Beds Summary'!$E86,'WHO GHO Data'!$AD$8:$AD$12,0))*$G86/1000),"")</f>
        <v>35918.05657884125</v>
      </c>
      <c r="K86" s="1310">
        <f>IF(INDEX('WB Beds'!$BN$827:$BN$1090,MATCH($C86,'WB Beds'!$C$827:$C$1090,0))="No reported value",INDEX('WB Beds'!$BR$829:$BR$833,MATCH($E86,'WB Beds'!$BP$829:$BP$833,0)),INDEX('WB Beds'!$BN$827:$BN$1090,MATCH($C86,'WB Beds'!$C$827:$C$1090)))</f>
        <v>2.8</v>
      </c>
      <c r="L86" s="1311">
        <f>INDEX('WB Beds'!$BR$836:$BR$840,MATCH($E86,'WB Beds'!$BP$836:$BP$840,0))*100</f>
        <v>3.5700000000000003</v>
      </c>
      <c r="N86" s="1264">
        <f t="shared" si="3"/>
        <v>188535.78239999997</v>
      </c>
    </row>
    <row r="87" spans="2:14" x14ac:dyDescent="0.35">
      <c r="B87" s="41" t="s">
        <v>236</v>
      </c>
      <c r="C87" s="41" t="s">
        <v>48</v>
      </c>
      <c r="D87" s="129" t="s">
        <v>1043</v>
      </c>
      <c r="E87" s="129" t="s">
        <v>557</v>
      </c>
      <c r="F87" s="129" t="str">
        <f t="shared" si="2"/>
        <v>LMIC</v>
      </c>
      <c r="G87" s="28">
        <f>INDEX('UNDP Population Data'!$E$6:$E$269,MATCH($B87,'UNDP Population Data'!$B$6:$B$269,0))</f>
        <v>3898529</v>
      </c>
      <c r="H87" s="28">
        <f>IFERROR(IFERROR(INDEX('WHO GHO Data'!$V$8:$V$201,MATCH('HCW, Staff, Beds Summary'!$C87,'WHO GHO Data'!$C$8:$C$201,0)),INDEX('WHO GHO Data'!$AF$8:$AF$12,MATCH('HCW, Staff, Beds Summary'!$E87,'WHO GHO Data'!$AD$8:$AD$12,0))*$G87/1000),"")</f>
        <v>28347.486438527409</v>
      </c>
      <c r="I87" s="28">
        <f>IFERROR(IFERROR(INDEX('WHO GHO Data'!$U$8:$U$201,MATCH('HCW, Staff, Beds Summary'!$C87,'WHO GHO Data'!$C$8:$C$201,0)),INDEX('WHO GHO Data'!$AE$8:$AE$12,MATCH('HCW, Staff, Beds Summary'!$E87,'WHO GHO Data'!$AD$8:$AD$12,0))*$G87/1000),"")</f>
        <v>18340.677517506243</v>
      </c>
      <c r="J87" s="28">
        <f>IFERROR(IFERROR(INDEX('WHO GHO Data'!$X$8:$X$201,MATCH('HCW, Staff, Beds Summary'!$C87,'WHO GHO Data'!$C$8:$C$201,0)),INDEX('WHO GHO Data'!$AF$8:$AF$12,MATCH('HCW, Staff, Beds Summary'!$E87,'WHO GHO Data'!$AD$8:$AD$12,0))*$G87/1000),"")</f>
        <v>830.21603556265188</v>
      </c>
      <c r="K87" s="1310">
        <f>IF(INDEX('WB Beds'!$BN$827:$BN$1090,MATCH($C87,'WB Beds'!$C$827:$C$1090,0))="No reported value",INDEX('WB Beds'!$BR$829:$BR$833,MATCH($E87,'WB Beds'!$BP$829:$BP$833,0)),INDEX('WB Beds'!$BN$827:$BN$1090,MATCH($C87,'WB Beds'!$C$827:$C$1090)))</f>
        <v>2.6</v>
      </c>
      <c r="L87" s="1311">
        <f>INDEX('WB Beds'!$BR$836:$BR$840,MATCH($E87,'WB Beds'!$BP$836:$BP$840,0))*100</f>
        <v>3.32</v>
      </c>
      <c r="N87" s="1264">
        <f t="shared" si="3"/>
        <v>10136.1754</v>
      </c>
    </row>
    <row r="88" spans="2:14" x14ac:dyDescent="0.35">
      <c r="B88" s="41" t="s">
        <v>196</v>
      </c>
      <c r="C88" s="41" t="s">
        <v>162</v>
      </c>
      <c r="D88" s="129" t="s">
        <v>1042</v>
      </c>
      <c r="E88" s="129" t="s">
        <v>454</v>
      </c>
      <c r="F88" s="129" t="str">
        <f t="shared" si="2"/>
        <v>LMIC</v>
      </c>
      <c r="G88" s="28">
        <f>INDEX('UNDP Population Data'!$E$6:$E$269,MATCH($B88,'UNDP Population Data'!$B$6:$B$269,0))</f>
        <v>30733755</v>
      </c>
      <c r="H88" s="28">
        <f>IFERROR(IFERROR(INDEX('WHO GHO Data'!$V$8:$V$201,MATCH('HCW, Staff, Beds Summary'!$C88,'WHO GHO Data'!$C$8:$C$201,0)),INDEX('WHO GHO Data'!$AF$8:$AF$12,MATCH('HCW, Staff, Beds Summary'!$E88,'WHO GHO Data'!$AD$8:$AD$12,0))*$G88/1000),"")</f>
        <v>4222.3304237884104</v>
      </c>
      <c r="I88" s="28">
        <f>IFERROR(IFERROR(INDEX('WHO GHO Data'!$U$8:$U$201,MATCH('HCW, Staff, Beds Summary'!$C88,'WHO GHO Data'!$C$8:$C$201,0)),INDEX('WHO GHO Data'!$AE$8:$AE$12,MATCH('HCW, Staff, Beds Summary'!$E88,'WHO GHO Data'!$AD$8:$AD$12,0))*$G88/1000),"")</f>
        <v>130552.19168627322</v>
      </c>
      <c r="J88" s="28">
        <f>IFERROR(IFERROR(INDEX('WHO GHO Data'!$X$8:$X$201,MATCH('HCW, Staff, Beds Summary'!$C88,'WHO GHO Data'!$C$8:$C$201,0)),INDEX('WHO GHO Data'!$AF$8:$AF$12,MATCH('HCW, Staff, Beds Summary'!$E88,'WHO GHO Data'!$AD$8:$AD$12,0))*$G88/1000),"")</f>
        <v>4638.8887462159501</v>
      </c>
      <c r="K88" s="1310">
        <f>IF(INDEX('WB Beds'!$BN$827:$BN$1090,MATCH($C88,'WB Beds'!$C$827:$C$1090,0))="No reported value",INDEX('WB Beds'!$BR$829:$BR$833,MATCH($E88,'WB Beds'!$BP$829:$BP$833,0)),INDEX('WB Beds'!$BN$827:$BN$1090,MATCH($C88,'WB Beds'!$C$827:$C$1090)))</f>
        <v>0.9</v>
      </c>
      <c r="L88" s="1311">
        <f>INDEX('WB Beds'!$BR$836:$BR$840,MATCH($E88,'WB Beds'!$BP$836:$BP$840,0))*100</f>
        <v>2.3800000000000003</v>
      </c>
      <c r="N88" s="1264">
        <f t="shared" si="3"/>
        <v>27660.379499999999</v>
      </c>
    </row>
    <row r="89" spans="2:14" x14ac:dyDescent="0.35">
      <c r="B89" s="41" t="s">
        <v>400</v>
      </c>
      <c r="C89" s="41" t="s">
        <v>401</v>
      </c>
      <c r="D89" s="129" t="s">
        <v>1089</v>
      </c>
      <c r="E89" s="129" t="s">
        <v>410</v>
      </c>
      <c r="F89" s="129" t="str">
        <f t="shared" si="2"/>
        <v>Not LMIC</v>
      </c>
      <c r="G89" s="28">
        <f>INDEX('UNDP Population Data'!$E$6:$E$269,MATCH($B89,'UNDP Population Data'!$B$6:$B$269,0))</f>
        <v>35000</v>
      </c>
      <c r="H89" s="28">
        <f>IFERROR(IFERROR(INDEX('WHO GHO Data'!$V$8:$V$201,MATCH('HCW, Staff, Beds Summary'!$C89,'WHO GHO Data'!$C$8:$C$201,0)),INDEX('WHO GHO Data'!$AF$8:$AF$12,MATCH('HCW, Staff, Beds Summary'!$E89,'WHO GHO Data'!$AD$8:$AD$12,0))*$G89/1000),"")</f>
        <v>116.88083462773891</v>
      </c>
      <c r="I89" s="28">
        <f>IFERROR(IFERROR(INDEX('WHO GHO Data'!$U$8:$U$201,MATCH('HCW, Staff, Beds Summary'!$C89,'WHO GHO Data'!$C$8:$C$201,0)),INDEX('WHO GHO Data'!$AE$8:$AE$12,MATCH('HCW, Staff, Beds Summary'!$E89,'WHO GHO Data'!$AD$8:$AD$12,0))*$G89/1000),"")</f>
        <v>295.8176413454716</v>
      </c>
      <c r="J89" s="28">
        <f>IFERROR(IFERROR(INDEX('WHO GHO Data'!$X$8:$X$201,MATCH('HCW, Staff, Beds Summary'!$C89,'WHO GHO Data'!$C$8:$C$201,0)),INDEX('WHO GHO Data'!$AF$8:$AF$12,MATCH('HCW, Staff, Beds Summary'!$E89,'WHO GHO Data'!$AD$8:$AD$12,0))*$G89/1000),"")</f>
        <v>116.88083462773891</v>
      </c>
      <c r="K89" s="1310">
        <f>IF(INDEX('WB Beds'!$BN$827:$BN$1090,MATCH($C89,'WB Beds'!$C$827:$C$1090,0))="No reported value",INDEX('WB Beds'!$BR$829:$BR$833,MATCH($E89,'WB Beds'!$BP$829:$BP$833,0)),INDEX('WB Beds'!$BN$827:$BN$1090,MATCH($C89,'WB Beds'!$C$827:$C$1090)))</f>
        <v>4.82</v>
      </c>
      <c r="L89" s="1311">
        <f>INDEX('WB Beds'!$BR$836:$BR$840,MATCH($E89,'WB Beds'!$BP$836:$BP$840,0))*100</f>
        <v>3.5700000000000003</v>
      </c>
      <c r="N89" s="1264">
        <f t="shared" si="3"/>
        <v>168.7</v>
      </c>
    </row>
    <row r="90" spans="2:14" x14ac:dyDescent="0.35">
      <c r="B90" s="41" t="s">
        <v>197</v>
      </c>
      <c r="C90" s="41" t="s">
        <v>49</v>
      </c>
      <c r="D90" s="129" t="s">
        <v>1042</v>
      </c>
      <c r="E90" s="129" t="s">
        <v>452</v>
      </c>
      <c r="F90" s="129" t="str">
        <f t="shared" si="2"/>
        <v>LMIC</v>
      </c>
      <c r="G90" s="28">
        <f>INDEX('UNDP Population Data'!$E$6:$E$269,MATCH($B90,'UNDP Population Data'!$B$6:$B$269,0))</f>
        <v>13750826</v>
      </c>
      <c r="H90" s="28">
        <f>IFERROR(IFERROR(INDEX('WHO GHO Data'!$V$8:$V$201,MATCH('HCW, Staff, Beds Summary'!$C90,'WHO GHO Data'!$C$8:$C$201,0)),INDEX('WHO GHO Data'!$AF$8:$AF$12,MATCH('HCW, Staff, Beds Summary'!$E90,'WHO GHO Data'!$AD$8:$AD$12,0))*$G90/1000),"")</f>
        <v>1082.8604715796923</v>
      </c>
      <c r="I90" s="28">
        <f>IFERROR(IFERROR(INDEX('WHO GHO Data'!$U$8:$U$201,MATCH('HCW, Staff, Beds Summary'!$C90,'WHO GHO Data'!$C$8:$C$201,0)),INDEX('WHO GHO Data'!$AE$8:$AE$12,MATCH('HCW, Staff, Beds Summary'!$E90,'WHO GHO Data'!$AD$8:$AD$12,0))*$G90/1000),"")</f>
        <v>1119.4361067507566</v>
      </c>
      <c r="J90" s="28">
        <f>IFERROR(IFERROR(INDEX('WHO GHO Data'!$X$8:$X$201,MATCH('HCW, Staff, Beds Summary'!$C90,'WHO GHO Data'!$C$8:$C$201,0)),INDEX('WHO GHO Data'!$AF$8:$AF$12,MATCH('HCW, Staff, Beds Summary'!$E90,'WHO GHO Data'!$AD$8:$AD$12,0))*$G90/1000),"")</f>
        <v>231.64568941674074</v>
      </c>
      <c r="K90" s="1310">
        <f>IF(INDEX('WB Beds'!$BN$827:$BN$1090,MATCH($C90,'WB Beds'!$C$827:$C$1090,0))="No reported value",INDEX('WB Beds'!$BR$829:$BR$833,MATCH($E90,'WB Beds'!$BP$829:$BP$833,0)),INDEX('WB Beds'!$BN$827:$BN$1090,MATCH($C90,'WB Beds'!$C$827:$C$1090)))</f>
        <v>0.3</v>
      </c>
      <c r="L90" s="1311">
        <f>INDEX('WB Beds'!$BR$836:$BR$840,MATCH($E90,'WB Beds'!$BP$836:$BP$840,0))*100</f>
        <v>1.63</v>
      </c>
      <c r="N90" s="1264">
        <f t="shared" si="3"/>
        <v>4125.2478000000001</v>
      </c>
    </row>
    <row r="91" spans="2:14" x14ac:dyDescent="0.35">
      <c r="B91" s="41" t="s">
        <v>398</v>
      </c>
      <c r="C91" s="41" t="s">
        <v>50</v>
      </c>
      <c r="D91" s="129" t="s">
        <v>1042</v>
      </c>
      <c r="E91" s="129" t="s">
        <v>452</v>
      </c>
      <c r="F91" s="129" t="str">
        <f t="shared" si="2"/>
        <v>LMIC</v>
      </c>
      <c r="G91" s="28">
        <f>INDEX('UNDP Population Data'!$E$6:$E$269,MATCH($B91,'UNDP Population Data'!$B$6:$B$269,0))</f>
        <v>2293493</v>
      </c>
      <c r="H91" s="28">
        <f>IFERROR(IFERROR(INDEX('WHO GHO Data'!$V$8:$V$201,MATCH('HCW, Staff, Beds Summary'!$C91,'WHO GHO Data'!$C$8:$C$201,0)),INDEX('WHO GHO Data'!$AF$8:$AF$12,MATCH('HCW, Staff, Beds Summary'!$E91,'WHO GHO Data'!$AD$8:$AD$12,0))*$G91/1000),"")</f>
        <v>247.02491871419261</v>
      </c>
      <c r="I91" s="28">
        <f>IFERROR(IFERROR(INDEX('WHO GHO Data'!$U$8:$U$201,MATCH('HCW, Staff, Beds Summary'!$C91,'WHO GHO Data'!$C$8:$C$201,0)),INDEX('WHO GHO Data'!$AE$8:$AE$12,MATCH('HCW, Staff, Beds Summary'!$E91,'WHO GHO Data'!$AD$8:$AD$12,0))*$G91/1000),"")</f>
        <v>2750.9066065261259</v>
      </c>
      <c r="J91" s="28">
        <f>IFERROR(IFERROR(INDEX('WHO GHO Data'!$X$8:$X$201,MATCH('HCW, Staff, Beds Summary'!$C91,'WHO GHO Data'!$C$8:$C$201,0)),INDEX('WHO GHO Data'!$AF$8:$AF$12,MATCH('HCW, Staff, Beds Summary'!$E91,'WHO GHO Data'!$AD$8:$AD$12,0))*$G91/1000),"")</f>
        <v>176.28069316693558</v>
      </c>
      <c r="K91" s="1310">
        <f>IF(INDEX('WB Beds'!$BN$827:$BN$1090,MATCH($C91,'WB Beds'!$C$827:$C$1090,0))="No reported value",INDEX('WB Beds'!$BR$829:$BR$833,MATCH($E91,'WB Beds'!$BP$829:$BP$833,0)),INDEX('WB Beds'!$BN$827:$BN$1090,MATCH($C91,'WB Beds'!$C$827:$C$1090)))</f>
        <v>1.1000000000000001</v>
      </c>
      <c r="L91" s="1311">
        <f>INDEX('WB Beds'!$BR$836:$BR$840,MATCH($E91,'WB Beds'!$BP$836:$BP$840,0))*100</f>
        <v>1.63</v>
      </c>
      <c r="N91" s="1264">
        <f t="shared" si="3"/>
        <v>2522.8423000000003</v>
      </c>
    </row>
    <row r="92" spans="2:14" x14ac:dyDescent="0.35">
      <c r="B92" s="41" t="s">
        <v>198</v>
      </c>
      <c r="C92" s="41" t="s">
        <v>172</v>
      </c>
      <c r="D92" s="129" t="s">
        <v>1042</v>
      </c>
      <c r="E92" s="129" t="s">
        <v>452</v>
      </c>
      <c r="F92" s="129" t="str">
        <f t="shared" si="2"/>
        <v>LMIC</v>
      </c>
      <c r="G92" s="28">
        <f>INDEX('UNDP Population Data'!$E$6:$E$269,MATCH($B92,'UNDP Population Data'!$B$6:$B$269,0))</f>
        <v>2000694</v>
      </c>
      <c r="H92" s="28">
        <f>IFERROR(IFERROR(INDEX('WHO GHO Data'!$V$8:$V$201,MATCH('HCW, Staff, Beds Summary'!$C92,'WHO GHO Data'!$C$8:$C$201,0)),INDEX('WHO GHO Data'!$AF$8:$AF$12,MATCH('HCW, Staff, Beds Summary'!$E92,'WHO GHO Data'!$AD$8:$AD$12,0))*$G92/1000),"")</f>
        <v>250.31596295993586</v>
      </c>
      <c r="I92" s="28">
        <f>IFERROR(IFERROR(INDEX('WHO GHO Data'!$U$8:$U$201,MATCH('HCW, Staff, Beds Summary'!$C92,'WHO GHO Data'!$C$8:$C$201,0)),INDEX('WHO GHO Data'!$AE$8:$AE$12,MATCH('HCW, Staff, Beds Summary'!$E92,'WHO GHO Data'!$AD$8:$AD$12,0))*$G92/1000),"")</f>
        <v>1348.3305295330294</v>
      </c>
      <c r="J92" s="28">
        <f>IFERROR(IFERROR(INDEX('WHO GHO Data'!$X$8:$X$201,MATCH('HCW, Staff, Beds Summary'!$C92,'WHO GHO Data'!$C$8:$C$201,0)),INDEX('WHO GHO Data'!$AF$8:$AF$12,MATCH('HCW, Staff, Beds Summary'!$E92,'WHO GHO Data'!$AD$8:$AD$12,0))*$G92/1000),"")</f>
        <v>191.8721478195103</v>
      </c>
      <c r="K92" s="1310">
        <f>IF(INDEX('WB Beds'!$BN$827:$BN$1090,MATCH($C92,'WB Beds'!$C$827:$C$1090,0))="No reported value",INDEX('WB Beds'!$BR$829:$BR$833,MATCH($E92,'WB Beds'!$BP$829:$BP$833,0)),INDEX('WB Beds'!$BN$827:$BN$1090,MATCH($C92,'WB Beds'!$C$827:$C$1090)))</f>
        <v>1</v>
      </c>
      <c r="L92" s="1311">
        <f>INDEX('WB Beds'!$BR$836:$BR$840,MATCH($E92,'WB Beds'!$BP$836:$BP$840,0))*100</f>
        <v>1.63</v>
      </c>
      <c r="N92" s="1264">
        <f t="shared" si="3"/>
        <v>2000.694</v>
      </c>
    </row>
    <row r="93" spans="2:14" x14ac:dyDescent="0.35">
      <c r="B93" s="41" t="s">
        <v>191</v>
      </c>
      <c r="C93" s="41" t="s">
        <v>174</v>
      </c>
      <c r="D93" s="129" t="s">
        <v>1042</v>
      </c>
      <c r="E93" s="129" t="s">
        <v>557</v>
      </c>
      <c r="F93" s="129" t="str">
        <f t="shared" si="2"/>
        <v>LMIC</v>
      </c>
      <c r="G93" s="28">
        <f>INDEX('UNDP Population Data'!$E$6:$E$269,MATCH($B93,'UNDP Population Data'!$B$6:$B$269,0))</f>
        <v>1406280</v>
      </c>
      <c r="H93" s="28">
        <f>IFERROR(IFERROR(INDEX('WHO GHO Data'!$V$8:$V$201,MATCH('HCW, Staff, Beds Summary'!$C93,'WHO GHO Data'!$C$8:$C$201,0)),INDEX('WHO GHO Data'!$AF$8:$AF$12,MATCH('HCW, Staff, Beds Summary'!$E93,'WHO GHO Data'!$AD$8:$AD$12,0))*$G93/1000),"")</f>
        <v>564.60155030101873</v>
      </c>
      <c r="I93" s="28">
        <f>IFERROR(IFERROR(INDEX('WHO GHO Data'!$U$8:$U$201,MATCH('HCW, Staff, Beds Summary'!$C93,'WHO GHO Data'!$C$8:$C$201,0)),INDEX('WHO GHO Data'!$AE$8:$AE$12,MATCH('HCW, Staff, Beds Summary'!$E93,'WHO GHO Data'!$AD$8:$AD$12,0))*$G93/1000),"")</f>
        <v>706.03034100758555</v>
      </c>
      <c r="J93" s="28">
        <f>IFERROR(IFERROR(INDEX('WHO GHO Data'!$X$8:$X$201,MATCH('HCW, Staff, Beds Summary'!$C93,'WHO GHO Data'!$C$8:$C$201,0)),INDEX('WHO GHO Data'!$AF$8:$AF$12,MATCH('HCW, Staff, Beds Summary'!$E93,'WHO GHO Data'!$AD$8:$AD$12,0))*$G93/1000),"")</f>
        <v>147.3420347131372</v>
      </c>
      <c r="K93" s="1310">
        <f>IF(INDEX('WB Beds'!$BN$827:$BN$1090,MATCH($C93,'WB Beds'!$C$827:$C$1090,0))="No reported value",INDEX('WB Beds'!$BR$829:$BR$833,MATCH($E93,'WB Beds'!$BP$829:$BP$833,0)),INDEX('WB Beds'!$BN$827:$BN$1090,MATCH($C93,'WB Beds'!$C$827:$C$1090)))</f>
        <v>2.1</v>
      </c>
      <c r="L93" s="1311">
        <f>INDEX('WB Beds'!$BR$836:$BR$840,MATCH($E93,'WB Beds'!$BP$836:$BP$840,0))*100</f>
        <v>3.32</v>
      </c>
      <c r="N93" s="1264">
        <f t="shared" si="3"/>
        <v>2953.1880000000001</v>
      </c>
    </row>
    <row r="94" spans="2:14" x14ac:dyDescent="0.35">
      <c r="B94" s="41" t="s">
        <v>402</v>
      </c>
      <c r="C94" s="41" t="s">
        <v>51</v>
      </c>
      <c r="D94" s="129" t="s">
        <v>1043</v>
      </c>
      <c r="E94" s="129" t="s">
        <v>410</v>
      </c>
      <c r="F94" s="129" t="str">
        <f t="shared" si="2"/>
        <v>Not LMIC</v>
      </c>
      <c r="G94" s="28">
        <f>INDEX('UNDP Population Data'!$E$6:$E$269,MATCH($B94,'UNDP Population Data'!$B$6:$B$269,0))</f>
        <v>11102572</v>
      </c>
      <c r="H94" s="28">
        <f>IFERROR(IFERROR(INDEX('WHO GHO Data'!$V$8:$V$201,MATCH('HCW, Staff, Beds Summary'!$C94,'WHO GHO Data'!$C$8:$C$201,0)),INDEX('WHO GHO Data'!$AF$8:$AF$12,MATCH('HCW, Staff, Beds Summary'!$E94,'WHO GHO Data'!$AD$8:$AD$12,0))*$G94/1000),"")</f>
        <v>57551.362351060787</v>
      </c>
      <c r="I94" s="28">
        <f>IFERROR(IFERROR(INDEX('WHO GHO Data'!$U$8:$U$201,MATCH('HCW, Staff, Beds Summary'!$C94,'WHO GHO Data'!$C$8:$C$201,0)),INDEX('WHO GHO Data'!$AE$8:$AE$12,MATCH('HCW, Staff, Beds Summary'!$E94,'WHO GHO Data'!$AD$8:$AD$12,0))*$G94/1000),"")</f>
        <v>35372.188930890807</v>
      </c>
      <c r="J94" s="28">
        <f>IFERROR(IFERROR(INDEX('WHO GHO Data'!$X$8:$X$201,MATCH('HCW, Staff, Beds Summary'!$C94,'WHO GHO Data'!$C$8:$C$201,0)),INDEX('WHO GHO Data'!$AF$8:$AF$12,MATCH('HCW, Staff, Beds Summary'!$E94,'WHO GHO Data'!$AD$8:$AD$12,0))*$G94/1000),"")</f>
        <v>6076.0211768171357</v>
      </c>
      <c r="K94" s="1310">
        <f>IF(INDEX('WB Beds'!$BN$827:$BN$1090,MATCH($C94,'WB Beds'!$C$827:$C$1090,0))="No reported value",INDEX('WB Beds'!$BR$829:$BR$833,MATCH($E94,'WB Beds'!$BP$829:$BP$833,0)),INDEX('WB Beds'!$BN$827:$BN$1090,MATCH($C94,'WB Beds'!$C$827:$C$1090)))</f>
        <v>4.3</v>
      </c>
      <c r="L94" s="1311">
        <f>INDEX('WB Beds'!$BR$836:$BR$840,MATCH($E94,'WB Beds'!$BP$836:$BP$840,0))*100</f>
        <v>3.5700000000000003</v>
      </c>
      <c r="N94" s="1264">
        <f t="shared" si="3"/>
        <v>47741.059600000001</v>
      </c>
    </row>
    <row r="95" spans="2:14" x14ac:dyDescent="0.35">
      <c r="B95" s="41" t="s">
        <v>405</v>
      </c>
      <c r="C95" s="41" t="s">
        <v>52</v>
      </c>
      <c r="D95" s="129" t="s">
        <v>1044</v>
      </c>
      <c r="E95" s="129" t="s">
        <v>557</v>
      </c>
      <c r="F95" s="129" t="str">
        <f t="shared" si="2"/>
        <v>LMIC</v>
      </c>
      <c r="G95" s="28">
        <f>INDEX('UNDP Population Data'!$E$6:$E$269,MATCH($B95,'UNDP Population Data'!$B$6:$B$269,0))</f>
        <v>109308</v>
      </c>
      <c r="H95" s="28">
        <f>IFERROR(IFERROR(INDEX('WHO GHO Data'!$V$8:$V$201,MATCH('HCW, Staff, Beds Summary'!$C95,'WHO GHO Data'!$C$8:$C$201,0)),INDEX('WHO GHO Data'!$AF$8:$AF$12,MATCH('HCW, Staff, Beds Summary'!$E95,'WHO GHO Data'!$AD$8:$AD$12,0))*$G95/1000),"")</f>
        <v>158.16737426015925</v>
      </c>
      <c r="I95" s="28">
        <f>IFERROR(IFERROR(INDEX('WHO GHO Data'!$U$8:$U$201,MATCH('HCW, Staff, Beds Summary'!$C95,'WHO GHO Data'!$C$8:$C$201,0)),INDEX('WHO GHO Data'!$AE$8:$AE$12,MATCH('HCW, Staff, Beds Summary'!$E95,'WHO GHO Data'!$AD$8:$AD$12,0))*$G95/1000),"")</f>
        <v>706.46867694360299</v>
      </c>
      <c r="J95" s="28">
        <f>IFERROR(IFERROR(INDEX('WHO GHO Data'!$X$8:$X$201,MATCH('HCW, Staff, Beds Summary'!$C95,'WHO GHO Data'!$C$8:$C$201,0)),INDEX('WHO GHO Data'!$AF$8:$AF$12,MATCH('HCW, Staff, Beds Summary'!$E95,'WHO GHO Data'!$AD$8:$AD$12,0))*$G95/1000),"")</f>
        <v>14.057230183701217</v>
      </c>
      <c r="K95" s="1310">
        <f>IF(INDEX('WB Beds'!$BN$827:$BN$1090,MATCH($C95,'WB Beds'!$C$827:$C$1090,0))="No reported value",INDEX('WB Beds'!$BR$829:$BR$833,MATCH($E95,'WB Beds'!$BP$829:$BP$833,0)),INDEX('WB Beds'!$BN$827:$BN$1090,MATCH($C95,'WB Beds'!$C$827:$C$1090)))</f>
        <v>3.7</v>
      </c>
      <c r="L95" s="1311">
        <f>INDEX('WB Beds'!$BR$836:$BR$840,MATCH($E95,'WB Beds'!$BP$836:$BP$840,0))*100</f>
        <v>3.32</v>
      </c>
      <c r="N95" s="1264">
        <f t="shared" si="3"/>
        <v>404.43960000000004</v>
      </c>
    </row>
    <row r="96" spans="2:14" x14ac:dyDescent="0.35">
      <c r="B96" s="41" t="s">
        <v>403</v>
      </c>
      <c r="C96" s="41" t="s">
        <v>404</v>
      </c>
      <c r="D96" s="129" t="s">
        <v>1089</v>
      </c>
      <c r="E96" s="129" t="s">
        <v>410</v>
      </c>
      <c r="F96" s="129" t="str">
        <f t="shared" si="2"/>
        <v>Not LMIC</v>
      </c>
      <c r="G96" s="28">
        <f>INDEX('UNDP Population Data'!$E$6:$E$269,MATCH($B96,'UNDP Population Data'!$B$6:$B$269,0))</f>
        <v>56772</v>
      </c>
      <c r="H96" s="28">
        <f>IFERROR(IFERROR(INDEX('WHO GHO Data'!$V$8:$V$201,MATCH('HCW, Staff, Beds Summary'!$C96,'WHO GHO Data'!$C$8:$C$201,0)),INDEX('WHO GHO Data'!$AF$8:$AF$12,MATCH('HCW, Staff, Beds Summary'!$E96,'WHO GHO Data'!$AD$8:$AD$12,0))*$G96/1000),"")</f>
        <v>189.5873926710284</v>
      </c>
      <c r="I96" s="28">
        <f>IFERROR(IFERROR(INDEX('WHO GHO Data'!$U$8:$U$201,MATCH('HCW, Staff, Beds Summary'!$C96,'WHO GHO Data'!$C$8:$C$201,0)),INDEX('WHO GHO Data'!$AE$8:$AE$12,MATCH('HCW, Staff, Beds Summary'!$E96,'WHO GHO Data'!$AD$8:$AD$12,0))*$G96/1000),"")</f>
        <v>479.83311812757466</v>
      </c>
      <c r="J96" s="28">
        <f>IFERROR(IFERROR(INDEX('WHO GHO Data'!$X$8:$X$201,MATCH('HCW, Staff, Beds Summary'!$C96,'WHO GHO Data'!$C$8:$C$201,0)),INDEX('WHO GHO Data'!$AF$8:$AF$12,MATCH('HCW, Staff, Beds Summary'!$E96,'WHO GHO Data'!$AD$8:$AD$12,0))*$G96/1000),"")</f>
        <v>189.5873926710284</v>
      </c>
      <c r="K96" s="1310">
        <f>IF(INDEX('WB Beds'!$BN$827:$BN$1090,MATCH($C96,'WB Beds'!$C$827:$C$1090,0))="No reported value",INDEX('WB Beds'!$BR$829:$BR$833,MATCH($E96,'WB Beds'!$BP$829:$BP$833,0)),INDEX('WB Beds'!$BN$827:$BN$1090,MATCH($C96,'WB Beds'!$C$827:$C$1090)))</f>
        <v>14.353400230407701</v>
      </c>
      <c r="L96" s="1311">
        <f>INDEX('WB Beds'!$BR$836:$BR$840,MATCH($E96,'WB Beds'!$BP$836:$BP$840,0))*100</f>
        <v>3.5700000000000003</v>
      </c>
      <c r="N96" s="1264">
        <f t="shared" si="3"/>
        <v>814.87123788070596</v>
      </c>
    </row>
    <row r="97" spans="2:14" x14ac:dyDescent="0.35">
      <c r="B97" s="41" t="s">
        <v>223</v>
      </c>
      <c r="C97" s="41" t="s">
        <v>53</v>
      </c>
      <c r="D97" s="129" t="s">
        <v>1044</v>
      </c>
      <c r="E97" s="129" t="s">
        <v>557</v>
      </c>
      <c r="F97" s="129" t="str">
        <f t="shared" si="2"/>
        <v>LMIC</v>
      </c>
      <c r="G97" s="28">
        <f>INDEX('UNDP Population Data'!$E$6:$E$269,MATCH($B97,'UNDP Population Data'!$B$6:$B$269,0))</f>
        <v>17910812</v>
      </c>
      <c r="H97" s="28">
        <f>IFERROR(IFERROR(INDEX('WHO GHO Data'!$V$8:$V$201,MATCH('HCW, Staff, Beds Summary'!$C97,'WHO GHO Data'!$C$8:$C$201,0)),INDEX('WHO GHO Data'!$AF$8:$AF$12,MATCH('HCW, Staff, Beds Summary'!$E97,'WHO GHO Data'!$AD$8:$AD$12,0))*$G97/1000),"")</f>
        <v>6364.6148008413647</v>
      </c>
      <c r="I97" s="28">
        <f>IFERROR(IFERROR(INDEX('WHO GHO Data'!$U$8:$U$201,MATCH('HCW, Staff, Beds Summary'!$C97,'WHO GHO Data'!$C$8:$C$201,0)),INDEX('WHO GHO Data'!$AE$8:$AE$12,MATCH('HCW, Staff, Beds Summary'!$E97,'WHO GHO Data'!$AD$8:$AD$12,0))*$G97/1000),"")</f>
        <v>1321.369717717964</v>
      </c>
      <c r="J97" s="28">
        <f>IFERROR(IFERROR(INDEX('WHO GHO Data'!$X$8:$X$201,MATCH('HCW, Staff, Beds Summary'!$C97,'WHO GHO Data'!$C$8:$C$201,0)),INDEX('WHO GHO Data'!$AF$8:$AF$12,MATCH('HCW, Staff, Beds Summary'!$E97,'WHO GHO Data'!$AD$8:$AD$12,0))*$G97/1000),"")</f>
        <v>546.84537491711171</v>
      </c>
      <c r="K97" s="1310">
        <f>IF(INDEX('WB Beds'!$BN$827:$BN$1090,MATCH($C97,'WB Beds'!$C$827:$C$1090,0))="No reported value",INDEX('WB Beds'!$BR$829:$BR$833,MATCH($E97,'WB Beds'!$BP$829:$BP$833,0)),INDEX('WB Beds'!$BN$827:$BN$1090,MATCH($C97,'WB Beds'!$C$827:$C$1090)))</f>
        <v>0.6</v>
      </c>
      <c r="L97" s="1311">
        <f>INDEX('WB Beds'!$BR$836:$BR$840,MATCH($E97,'WB Beds'!$BP$836:$BP$840,0))*100</f>
        <v>3.32</v>
      </c>
      <c r="N97" s="1264">
        <f t="shared" si="3"/>
        <v>10746.4872</v>
      </c>
    </row>
    <row r="98" spans="2:14" x14ac:dyDescent="0.35">
      <c r="B98" s="41" t="s">
        <v>406</v>
      </c>
      <c r="C98" s="41" t="s">
        <v>407</v>
      </c>
      <c r="D98" s="129" t="s">
        <v>1089</v>
      </c>
      <c r="E98" s="129" t="s">
        <v>410</v>
      </c>
      <c r="F98" s="129" t="str">
        <f t="shared" si="2"/>
        <v>Not LMIC</v>
      </c>
      <c r="G98" s="28">
        <f>INDEX('UNDP Population Data'!$E$6:$E$269,MATCH($B98,'UNDP Population Data'!$B$6:$B$269,0))</f>
        <v>168727</v>
      </c>
      <c r="H98" s="28">
        <f>IFERROR(IFERROR(INDEX('WHO GHO Data'!$V$8:$V$201,MATCH('HCW, Staff, Beds Summary'!$C98,'WHO GHO Data'!$C$8:$C$201,0)),INDEX('WHO GHO Data'!$AF$8:$AF$12,MATCH('HCW, Staff, Beds Summary'!$E98,'WHO GHO Data'!$AD$8:$AD$12,0))*$G98/1000),"")</f>
        <v>563.45578812098586</v>
      </c>
      <c r="I98" s="28">
        <f>IFERROR(IFERROR(INDEX('WHO GHO Data'!$U$8:$U$201,MATCH('HCW, Staff, Beds Summary'!$C98,'WHO GHO Data'!$C$8:$C$201,0)),INDEX('WHO GHO Data'!$AE$8:$AE$12,MATCH('HCW, Staff, Beds Summary'!$E98,'WHO GHO Data'!$AD$8:$AD$12,0))*$G98/1000),"")</f>
        <v>1426.0692334656396</v>
      </c>
      <c r="J98" s="28">
        <f>IFERROR(IFERROR(INDEX('WHO GHO Data'!$X$8:$X$201,MATCH('HCW, Staff, Beds Summary'!$C98,'WHO GHO Data'!$C$8:$C$201,0)),INDEX('WHO GHO Data'!$AF$8:$AF$12,MATCH('HCW, Staff, Beds Summary'!$E98,'WHO GHO Data'!$AD$8:$AD$12,0))*$G98/1000),"")</f>
        <v>563.45578812098586</v>
      </c>
      <c r="K98" s="1310">
        <f>IF(INDEX('WB Beds'!$BN$827:$BN$1090,MATCH($C98,'WB Beds'!$C$827:$C$1090,0))="No reported value",INDEX('WB Beds'!$BR$829:$BR$833,MATCH($E98,'WB Beds'!$BP$829:$BP$833,0)),INDEX('WB Beds'!$BN$827:$BN$1090,MATCH($C98,'WB Beds'!$C$827:$C$1090)))</f>
        <v>4.82</v>
      </c>
      <c r="L98" s="1311">
        <f>INDEX('WB Beds'!$BR$836:$BR$840,MATCH($E98,'WB Beds'!$BP$836:$BP$840,0))*100</f>
        <v>3.5700000000000003</v>
      </c>
      <c r="N98" s="1264">
        <f t="shared" si="3"/>
        <v>813.26414</v>
      </c>
    </row>
    <row r="99" spans="2:14" x14ac:dyDescent="0.35">
      <c r="B99" s="41" t="s">
        <v>224</v>
      </c>
      <c r="C99" s="41" t="s">
        <v>54</v>
      </c>
      <c r="D99" s="129" t="s">
        <v>1044</v>
      </c>
      <c r="E99" s="129" t="s">
        <v>557</v>
      </c>
      <c r="F99" s="129" t="str">
        <f t="shared" si="2"/>
        <v>LMIC</v>
      </c>
      <c r="G99" s="28">
        <f>INDEX('UNDP Population Data'!$E$6:$E$269,MATCH($B99,'UNDP Population Data'!$B$6:$B$269,0))</f>
        <v>790782</v>
      </c>
      <c r="H99" s="28">
        <f>IFERROR(IFERROR(INDEX('WHO GHO Data'!$V$8:$V$201,MATCH('HCW, Staff, Beds Summary'!$C99,'WHO GHO Data'!$C$8:$C$201,0)),INDEX('WHO GHO Data'!$AF$8:$AF$12,MATCH('HCW, Staff, Beds Summary'!$E99,'WHO GHO Data'!$AD$8:$AD$12,0))*$G99/1000),"")</f>
        <v>632.18183691347213</v>
      </c>
      <c r="I99" s="28">
        <f>IFERROR(IFERROR(INDEX('WHO GHO Data'!$U$8:$U$201,MATCH('HCW, Staff, Beds Summary'!$C99,'WHO GHO Data'!$C$8:$C$201,0)),INDEX('WHO GHO Data'!$AE$8:$AE$12,MATCH('HCW, Staff, Beds Summary'!$E99,'WHO GHO Data'!$AD$8:$AD$12,0))*$G99/1000),"")</f>
        <v>739.39987645399697</v>
      </c>
      <c r="J99" s="28">
        <f>IFERROR(IFERROR(INDEX('WHO GHO Data'!$X$8:$X$201,MATCH('HCW, Staff, Beds Summary'!$C99,'WHO GHO Data'!$C$8:$C$201,0)),INDEX('WHO GHO Data'!$AF$8:$AF$12,MATCH('HCW, Staff, Beds Summary'!$E99,'WHO GHO Data'!$AD$8:$AD$12,0))*$G99/1000),"")</f>
        <v>21.241309720292662</v>
      </c>
      <c r="K99" s="1310">
        <f>IF(INDEX('WB Beds'!$BN$827:$BN$1090,MATCH($C99,'WB Beds'!$C$827:$C$1090,0))="No reported value",INDEX('WB Beds'!$BR$829:$BR$833,MATCH($E99,'WB Beds'!$BP$829:$BP$833,0)),INDEX('WB Beds'!$BN$827:$BN$1090,MATCH($C99,'WB Beds'!$C$827:$C$1090)))</f>
        <v>1.6</v>
      </c>
      <c r="L99" s="1311">
        <f>INDEX('WB Beds'!$BR$836:$BR$840,MATCH($E99,'WB Beds'!$BP$836:$BP$840,0))*100</f>
        <v>3.32</v>
      </c>
      <c r="N99" s="1264">
        <f t="shared" si="3"/>
        <v>1265.2512000000002</v>
      </c>
    </row>
    <row r="100" spans="2:14" x14ac:dyDescent="0.35">
      <c r="B100" s="41" t="s">
        <v>410</v>
      </c>
      <c r="C100" s="41" t="s">
        <v>411</v>
      </c>
      <c r="D100" s="129" t="s">
        <v>1089</v>
      </c>
      <c r="E100" s="129" t="s">
        <v>742</v>
      </c>
      <c r="F100" s="129" t="str">
        <f t="shared" si="2"/>
        <v>Not LMIC</v>
      </c>
      <c r="G100" s="28">
        <f>INDEX('UNDP Population Data'!$E$6:$E$269,MATCH($B100,'UNDP Population Data'!$B$6:$B$269,0))</f>
        <v>1219876000</v>
      </c>
      <c r="H100" s="28" t="str">
        <f>IFERROR(IFERROR(INDEX('WHO GHO Data'!$V$8:$V$201,MATCH('HCW, Staff, Beds Summary'!$C100,'WHO GHO Data'!$C$8:$C$201,0)),INDEX('WHO GHO Data'!$AF$8:$AF$12,MATCH('HCW, Staff, Beds Summary'!$E100,'WHO GHO Data'!$AD$8:$AD$12,0))*$G100/1000),"")</f>
        <v/>
      </c>
      <c r="I100" s="28" t="str">
        <f>IFERROR(IFERROR(INDEX('WHO GHO Data'!$U$8:$U$201,MATCH('HCW, Staff, Beds Summary'!$C100,'WHO GHO Data'!$C$8:$C$201,0)),INDEX('WHO GHO Data'!$AE$8:$AE$12,MATCH('HCW, Staff, Beds Summary'!$E100,'WHO GHO Data'!$AD$8:$AD$12,0))*$G100/1000),"")</f>
        <v/>
      </c>
      <c r="J100" s="28" t="str">
        <f>IFERROR(IFERROR(INDEX('WHO GHO Data'!$X$8:$X$201,MATCH('HCW, Staff, Beds Summary'!$C100,'WHO GHO Data'!$C$8:$C$201,0)),INDEX('WHO GHO Data'!$AF$8:$AF$12,MATCH('HCW, Staff, Beds Summary'!$E100,'WHO GHO Data'!$AD$8:$AD$12,0))*$G100/1000),"")</f>
        <v/>
      </c>
      <c r="K100" s="1310">
        <f>IF(INDEX('WB Beds'!$BN$827:$BN$1090,MATCH($C100,'WB Beds'!$C$827:$C$1090,0))="No reported value",INDEX('WB Beds'!$BR$829:$BR$833,MATCH($E100,'WB Beds'!$BP$829:$BP$833,0)),INDEX('WB Beds'!$BN$827:$BN$1090,MATCH($C100,'WB Beds'!$C$827:$C$1090)))</f>
        <v>4.1105990505398529</v>
      </c>
      <c r="L100" s="1311">
        <f>INDEX('WB Beds'!$BR$836:$BR$840,MATCH($E100,'WB Beds'!$BP$836:$BP$840,0))*100</f>
        <v>2.7250000000000001</v>
      </c>
      <c r="N100" s="1264">
        <f t="shared" si="3"/>
        <v>5014421.1273763534</v>
      </c>
    </row>
    <row r="101" spans="2:14" x14ac:dyDescent="0.35">
      <c r="B101" s="41" t="s">
        <v>412</v>
      </c>
      <c r="C101" s="41" t="s">
        <v>413</v>
      </c>
      <c r="D101" s="129" t="s">
        <v>1089</v>
      </c>
      <c r="E101" s="129" t="s">
        <v>410</v>
      </c>
      <c r="F101" s="129" t="str">
        <f t="shared" si="2"/>
        <v>Not LMIC</v>
      </c>
      <c r="G101" s="28">
        <f>INDEX('UNDP Population Data'!$E$6:$E$269,MATCH($B101,'UNDP Population Data'!$B$6:$B$269,0))</f>
        <v>7547652</v>
      </c>
      <c r="H101" s="28">
        <f>IFERROR(IFERROR(INDEX('WHO GHO Data'!$V$8:$V$201,MATCH('HCW, Staff, Beds Summary'!$C101,'WHO GHO Data'!$C$8:$C$201,0)),INDEX('WHO GHO Data'!$AF$8:$AF$12,MATCH('HCW, Staff, Beds Summary'!$E101,'WHO GHO Data'!$AD$8:$AD$12,0))*$G101/1000),"")</f>
        <v>25205.024721134938</v>
      </c>
      <c r="I101" s="28">
        <f>IFERROR(IFERROR(INDEX('WHO GHO Data'!$U$8:$U$201,MATCH('HCW, Staff, Beds Summary'!$C101,'WHO GHO Data'!$C$8:$C$201,0)),INDEX('WHO GHO Data'!$AE$8:$AE$12,MATCH('HCW, Staff, Beds Summary'!$E101,'WHO GHO Data'!$AD$8:$AD$12,0))*$G101/1000),"")</f>
        <v>63792.246066755186</v>
      </c>
      <c r="J101" s="28">
        <f>IFERROR(IFERROR(INDEX('WHO GHO Data'!$X$8:$X$201,MATCH('HCW, Staff, Beds Summary'!$C101,'WHO GHO Data'!$C$8:$C$201,0)),INDEX('WHO GHO Data'!$AF$8:$AF$12,MATCH('HCW, Staff, Beds Summary'!$E101,'WHO GHO Data'!$AD$8:$AD$12,0))*$G101/1000),"")</f>
        <v>25205.024721134938</v>
      </c>
      <c r="K101" s="1310">
        <f>IF(INDEX('WB Beds'!$BN$827:$BN$1090,MATCH($C101,'WB Beds'!$C$827:$C$1090,0))="No reported value",INDEX('WB Beds'!$BR$829:$BR$833,MATCH($E101,'WB Beds'!$BP$829:$BP$833,0)),INDEX('WB Beds'!$BN$827:$BN$1090,MATCH($C101,'WB Beds'!$C$827:$C$1090)))</f>
        <v>4.8909001350402797</v>
      </c>
      <c r="L101" s="1311">
        <f>INDEX('WB Beds'!$BR$836:$BR$840,MATCH($E101,'WB Beds'!$BP$836:$BP$840,0))*100</f>
        <v>3.5700000000000003</v>
      </c>
      <c r="N101" s="1264">
        <f t="shared" si="3"/>
        <v>36914.81218603703</v>
      </c>
    </row>
    <row r="102" spans="2:14" x14ac:dyDescent="0.35">
      <c r="B102" s="41" t="s">
        <v>226</v>
      </c>
      <c r="C102" s="41" t="s">
        <v>166</v>
      </c>
      <c r="D102" s="129" t="s">
        <v>1044</v>
      </c>
      <c r="E102" s="129" t="s">
        <v>454</v>
      </c>
      <c r="F102" s="129" t="str">
        <f t="shared" si="2"/>
        <v>LMIC</v>
      </c>
      <c r="G102" s="28">
        <f>INDEX('UNDP Population Data'!$E$6:$E$269,MATCH($B102,'UNDP Population Data'!$B$6:$B$269,0))</f>
        <v>9719265</v>
      </c>
      <c r="H102" s="28">
        <f>IFERROR(IFERROR(INDEX('WHO GHO Data'!$V$8:$V$201,MATCH('HCW, Staff, Beds Summary'!$C102,'WHO GHO Data'!$C$8:$C$201,0)),INDEX('WHO GHO Data'!$AF$8:$AF$12,MATCH('HCW, Staff, Beds Summary'!$E102,'WHO GHO Data'!$AD$8:$AD$12,0))*$G102/1000),"")</f>
        <v>3058.5221138221104</v>
      </c>
      <c r="I102" s="28">
        <f>IFERROR(IFERROR(INDEX('WHO GHO Data'!$U$8:$U$201,MATCH('HCW, Staff, Beds Summary'!$C102,'WHO GHO Data'!$C$8:$C$201,0)),INDEX('WHO GHO Data'!$AE$8:$AE$12,MATCH('HCW, Staff, Beds Summary'!$E102,'WHO GHO Data'!$AD$8:$AD$12,0))*$G102/1000),"")</f>
        <v>7287.0130761403543</v>
      </c>
      <c r="J102" s="28">
        <f>IFERROR(IFERROR(INDEX('WHO GHO Data'!$X$8:$X$201,MATCH('HCW, Staff, Beds Summary'!$C102,'WHO GHO Data'!$C$8:$C$201,0)),INDEX('WHO GHO Data'!$AF$8:$AF$12,MATCH('HCW, Staff, Beds Summary'!$E102,'WHO GHO Data'!$AD$8:$AD$12,0))*$G102/1000),"")</f>
        <v>2503.0887941811043</v>
      </c>
      <c r="K102" s="1310">
        <f>IF(INDEX('WB Beds'!$BN$827:$BN$1090,MATCH($C102,'WB Beds'!$C$827:$C$1090,0))="No reported value",INDEX('WB Beds'!$BR$829:$BR$833,MATCH($E102,'WB Beds'!$BP$829:$BP$833,0)),INDEX('WB Beds'!$BN$827:$BN$1090,MATCH($C102,'WB Beds'!$C$827:$C$1090)))</f>
        <v>0.7</v>
      </c>
      <c r="L102" s="1311">
        <f>INDEX('WB Beds'!$BR$836:$BR$840,MATCH($E102,'WB Beds'!$BP$836:$BP$840,0))*100</f>
        <v>2.3800000000000003</v>
      </c>
      <c r="N102" s="1264">
        <f t="shared" si="3"/>
        <v>6803.4854999999998</v>
      </c>
    </row>
    <row r="103" spans="2:14" x14ac:dyDescent="0.35">
      <c r="B103" s="41" t="s">
        <v>408</v>
      </c>
      <c r="C103" s="41" t="s">
        <v>409</v>
      </c>
      <c r="D103" s="129" t="s">
        <v>1089</v>
      </c>
      <c r="E103" s="129" t="s">
        <v>742</v>
      </c>
      <c r="F103" s="129" t="str">
        <f t="shared" si="2"/>
        <v>Not LMIC</v>
      </c>
      <c r="G103" s="28">
        <f>INDEX('UNDP Population Data'!$E$6:$E$269,MATCH($B103,'UNDP Population Data'!$B$6:$B$269,0))</f>
        <v>823482000</v>
      </c>
      <c r="H103" s="28" t="str">
        <f>IFERROR(IFERROR(INDEX('WHO GHO Data'!$V$8:$V$201,MATCH('HCW, Staff, Beds Summary'!$C103,'WHO GHO Data'!$C$8:$C$201,0)),INDEX('WHO GHO Data'!$AF$8:$AF$12,MATCH('HCW, Staff, Beds Summary'!$E103,'WHO GHO Data'!$AD$8:$AD$12,0))*$G103/1000),"")</f>
        <v/>
      </c>
      <c r="I103" s="28" t="str">
        <f>IFERROR(IFERROR(INDEX('WHO GHO Data'!$U$8:$U$201,MATCH('HCW, Staff, Beds Summary'!$C103,'WHO GHO Data'!$C$8:$C$201,0)),INDEX('WHO GHO Data'!$AE$8:$AE$12,MATCH('HCW, Staff, Beds Summary'!$E103,'WHO GHO Data'!$AD$8:$AD$12,0))*$G103/1000),"")</f>
        <v/>
      </c>
      <c r="J103" s="28" t="str">
        <f>IFERROR(IFERROR(INDEX('WHO GHO Data'!$X$8:$X$201,MATCH('HCW, Staff, Beds Summary'!$C103,'WHO GHO Data'!$C$8:$C$201,0)),INDEX('WHO GHO Data'!$AF$8:$AF$12,MATCH('HCW, Staff, Beds Summary'!$E103,'WHO GHO Data'!$AD$8:$AD$12,0))*$G103/1000),"")</f>
        <v/>
      </c>
      <c r="K103" s="1310">
        <f>IF(INDEX('WB Beds'!$BN$827:$BN$1090,MATCH($C103,'WB Beds'!$C$827:$C$1090,0))="No reported value",INDEX('WB Beds'!$BR$829:$BR$833,MATCH($E103,'WB Beds'!$BP$829:$BP$833,0)),INDEX('WB Beds'!$BN$827:$BN$1090,MATCH($C103,'WB Beds'!$C$827:$C$1090)))</f>
        <v>0.74351169398035633</v>
      </c>
      <c r="L103" s="1311">
        <f>INDEX('WB Beds'!$BR$836:$BR$840,MATCH($E103,'WB Beds'!$BP$836:$BP$840,0))*100</f>
        <v>2.7250000000000001</v>
      </c>
      <c r="N103" s="1264">
        <f t="shared" si="3"/>
        <v>612268.49678233184</v>
      </c>
    </row>
    <row r="104" spans="2:14" x14ac:dyDescent="0.35">
      <c r="B104" s="41" t="s">
        <v>358</v>
      </c>
      <c r="C104" s="41" t="s">
        <v>55</v>
      </c>
      <c r="D104" s="129" t="s">
        <v>1043</v>
      </c>
      <c r="E104" s="129" t="s">
        <v>410</v>
      </c>
      <c r="F104" s="129" t="str">
        <f t="shared" si="2"/>
        <v>Not LMIC</v>
      </c>
      <c r="G104" s="28">
        <f>INDEX('UNDP Population Data'!$E$6:$E$269,MATCH($B104,'UNDP Population Data'!$B$6:$B$269,0))</f>
        <v>4115947</v>
      </c>
      <c r="H104" s="28">
        <f>IFERROR(IFERROR(INDEX('WHO GHO Data'!$V$8:$V$201,MATCH('HCW, Staff, Beds Summary'!$C104,'WHO GHO Data'!$C$8:$C$201,0)),INDEX('WHO GHO Data'!$AF$8:$AF$12,MATCH('HCW, Staff, Beds Summary'!$E104,'WHO GHO Data'!$AD$8:$AD$12,0))*$G104/1000),"")</f>
        <v>12336.919515620375</v>
      </c>
      <c r="I104" s="28">
        <f>IFERROR(IFERROR(INDEX('WHO GHO Data'!$U$8:$U$201,MATCH('HCW, Staff, Beds Summary'!$C104,'WHO GHO Data'!$C$8:$C$201,0)),INDEX('WHO GHO Data'!$AE$8:$AE$12,MATCH('HCW, Staff, Beds Summary'!$E104,'WHO GHO Data'!$AD$8:$AD$12,0))*$G104/1000),"")</f>
        <v>33406.626799902318</v>
      </c>
      <c r="J104" s="28">
        <f>IFERROR(IFERROR(INDEX('WHO GHO Data'!$X$8:$X$201,MATCH('HCW, Staff, Beds Summary'!$C104,'WHO GHO Data'!$C$8:$C$201,0)),INDEX('WHO GHO Data'!$AF$8:$AF$12,MATCH('HCW, Staff, Beds Summary'!$E104,'WHO GHO Data'!$AD$8:$AD$12,0))*$G104/1000),"")</f>
        <v>2195.5677747262116</v>
      </c>
      <c r="K104" s="1310">
        <f>IF(INDEX('WB Beds'!$BN$827:$BN$1090,MATCH($C104,'WB Beds'!$C$827:$C$1090,0))="No reported value",INDEX('WB Beds'!$BR$829:$BR$833,MATCH($E104,'WB Beds'!$BP$829:$BP$833,0)),INDEX('WB Beds'!$BN$827:$BN$1090,MATCH($C104,'WB Beds'!$C$827:$C$1090)))</f>
        <v>5.6</v>
      </c>
      <c r="L104" s="1311">
        <f>INDEX('WB Beds'!$BR$836:$BR$840,MATCH($E104,'WB Beds'!$BP$836:$BP$840,0))*100</f>
        <v>3.5700000000000003</v>
      </c>
      <c r="N104" s="1264">
        <f t="shared" si="3"/>
        <v>23049.303199999998</v>
      </c>
    </row>
    <row r="105" spans="2:14" x14ac:dyDescent="0.35">
      <c r="B105" s="41" t="s">
        <v>225</v>
      </c>
      <c r="C105" s="41" t="s">
        <v>56</v>
      </c>
      <c r="D105" s="129" t="s">
        <v>1044</v>
      </c>
      <c r="E105" s="129" t="s">
        <v>452</v>
      </c>
      <c r="F105" s="129" t="str">
        <f t="shared" si="2"/>
        <v>LMIC</v>
      </c>
      <c r="G105" s="28">
        <f>INDEX('UNDP Population Data'!$E$6:$E$269,MATCH($B105,'UNDP Population Data'!$B$6:$B$269,0))</f>
        <v>11371185</v>
      </c>
      <c r="H105" s="28">
        <f>IFERROR(IFERROR(INDEX('WHO GHO Data'!$V$8:$V$201,MATCH('HCW, Staff, Beds Summary'!$C105,'WHO GHO Data'!$C$8:$C$201,0)),INDEX('WHO GHO Data'!$AF$8:$AF$12,MATCH('HCW, Staff, Beds Summary'!$E105,'WHO GHO Data'!$AD$8:$AD$12,0))*$G105/1000),"")</f>
        <v>2669.092988322403</v>
      </c>
      <c r="I105" s="28">
        <f>IFERROR(IFERROR(INDEX('WHO GHO Data'!$U$8:$U$201,MATCH('HCW, Staff, Beds Summary'!$C105,'WHO GHO Data'!$C$8:$C$201,0)),INDEX('WHO GHO Data'!$AE$8:$AE$12,MATCH('HCW, Staff, Beds Summary'!$E105,'WHO GHO Data'!$AD$8:$AD$12,0))*$G105/1000),"")</f>
        <v>7542.287323870366</v>
      </c>
      <c r="J105" s="28">
        <f>IFERROR(IFERROR(INDEX('WHO GHO Data'!$X$8:$X$201,MATCH('HCW, Staff, Beds Summary'!$C105,'WHO GHO Data'!$C$8:$C$201,0)),INDEX('WHO GHO Data'!$AF$8:$AF$12,MATCH('HCW, Staff, Beds Summary'!$E105,'WHO GHO Data'!$AD$8:$AD$12,0))*$G105/1000),"")</f>
        <v>1772.9086580146122</v>
      </c>
      <c r="K105" s="1310">
        <f>IF(INDEX('WB Beds'!$BN$827:$BN$1090,MATCH($C105,'WB Beds'!$C$827:$C$1090,0))="No reported value",INDEX('WB Beds'!$BR$829:$BR$833,MATCH($E105,'WB Beds'!$BP$829:$BP$833,0)),INDEX('WB Beds'!$BN$827:$BN$1090,MATCH($C105,'WB Beds'!$C$827:$C$1090)))</f>
        <v>0.7</v>
      </c>
      <c r="L105" s="1311">
        <f>INDEX('WB Beds'!$BR$836:$BR$840,MATCH($E105,'WB Beds'!$BP$836:$BP$840,0))*100</f>
        <v>1.63</v>
      </c>
      <c r="N105" s="1264">
        <f t="shared" si="3"/>
        <v>7959.8294999999989</v>
      </c>
    </row>
    <row r="106" spans="2:14" x14ac:dyDescent="0.35">
      <c r="B106" s="41" t="s">
        <v>414</v>
      </c>
      <c r="C106" s="41" t="s">
        <v>57</v>
      </c>
      <c r="D106" s="129" t="s">
        <v>1043</v>
      </c>
      <c r="E106" s="129" t="s">
        <v>410</v>
      </c>
      <c r="F106" s="129" t="str">
        <f t="shared" si="2"/>
        <v>Not LMIC</v>
      </c>
      <c r="G106" s="28">
        <f>INDEX('UNDP Population Data'!$E$6:$E$269,MATCH($B106,'UNDP Population Data'!$B$6:$B$269,0))</f>
        <v>9621254</v>
      </c>
      <c r="H106" s="28">
        <f>IFERROR(IFERROR(INDEX('WHO GHO Data'!$V$8:$V$201,MATCH('HCW, Staff, Beds Summary'!$C106,'WHO GHO Data'!$C$8:$C$201,0)),INDEX('WHO GHO Data'!$AF$8:$AF$12,MATCH('HCW, Staff, Beds Summary'!$E106,'WHO GHO Data'!$AD$8:$AD$12,0))*$G106/1000),"")</f>
        <v>32856.906276747744</v>
      </c>
      <c r="I106" s="28">
        <f>IFERROR(IFERROR(INDEX('WHO GHO Data'!$U$8:$U$201,MATCH('HCW, Staff, Beds Summary'!$C106,'WHO GHO Data'!$C$8:$C$201,0)),INDEX('WHO GHO Data'!$AE$8:$AE$12,MATCH('HCW, Staff, Beds Summary'!$E106,'WHO GHO Data'!$AD$8:$AD$12,0))*$G106/1000),"")</f>
        <v>64262.577893893082</v>
      </c>
      <c r="J106" s="28">
        <f>IFERROR(IFERROR(INDEX('WHO GHO Data'!$X$8:$X$201,MATCH('HCW, Staff, Beds Summary'!$C106,'WHO GHO Data'!$C$8:$C$201,0)),INDEX('WHO GHO Data'!$AF$8:$AF$12,MATCH('HCW, Staff, Beds Summary'!$E106,'WHO GHO Data'!$AD$8:$AD$12,0))*$G106/1000),"")</f>
        <v>5132.2612353501299</v>
      </c>
      <c r="K106" s="1310">
        <f>IF(INDEX('WB Beds'!$BN$827:$BN$1090,MATCH($C106,'WB Beds'!$C$827:$C$1090,0))="No reported value",INDEX('WB Beds'!$BR$829:$BR$833,MATCH($E106,'WB Beds'!$BP$829:$BP$833,0)),INDEX('WB Beds'!$BN$827:$BN$1090,MATCH($C106,'WB Beds'!$C$827:$C$1090)))</f>
        <v>7</v>
      </c>
      <c r="L106" s="1311">
        <f>INDEX('WB Beds'!$BR$836:$BR$840,MATCH($E106,'WB Beds'!$BP$836:$BP$840,0))*100</f>
        <v>3.5700000000000003</v>
      </c>
      <c r="N106" s="1264">
        <f t="shared" si="3"/>
        <v>67348.778000000006</v>
      </c>
    </row>
    <row r="107" spans="2:14" x14ac:dyDescent="0.35">
      <c r="B107" s="41" t="s">
        <v>630</v>
      </c>
      <c r="C107" s="41" t="s">
        <v>631</v>
      </c>
      <c r="D107" s="129" t="s">
        <v>1089</v>
      </c>
      <c r="E107" s="129" t="s">
        <v>742</v>
      </c>
      <c r="F107" s="129" t="str">
        <f t="shared" si="2"/>
        <v>Not LMIC</v>
      </c>
      <c r="G107" s="28" t="e">
        <f>INDEX('UNDP Population Data'!$E$6:$E$269,MATCH($B107,'UNDP Population Data'!$B$6:$B$269,0))</f>
        <v>#N/A</v>
      </c>
      <c r="H107" s="28" t="str">
        <f>IFERROR(IFERROR(INDEX('WHO GHO Data'!$V$8:$V$201,MATCH('HCW, Staff, Beds Summary'!$C107,'WHO GHO Data'!$C$8:$C$201,0)),INDEX('WHO GHO Data'!$AF$8:$AF$12,MATCH('HCW, Staff, Beds Summary'!$E107,'WHO GHO Data'!$AD$8:$AD$12,0))*$G107/1000),"")</f>
        <v/>
      </c>
      <c r="I107" s="28" t="str">
        <f>IFERROR(IFERROR(INDEX('WHO GHO Data'!$U$8:$U$201,MATCH('HCW, Staff, Beds Summary'!$C107,'WHO GHO Data'!$C$8:$C$201,0)),INDEX('WHO GHO Data'!$AE$8:$AE$12,MATCH('HCW, Staff, Beds Summary'!$E107,'WHO GHO Data'!$AD$8:$AD$12,0))*$G107/1000),"")</f>
        <v/>
      </c>
      <c r="J107" s="28" t="str">
        <f>IFERROR(IFERROR(INDEX('WHO GHO Data'!$X$8:$X$201,MATCH('HCW, Staff, Beds Summary'!$C107,'WHO GHO Data'!$C$8:$C$201,0)),INDEX('WHO GHO Data'!$AF$8:$AF$12,MATCH('HCW, Staff, Beds Summary'!$E107,'WHO GHO Data'!$AD$8:$AD$12,0))*$G107/1000),"")</f>
        <v/>
      </c>
      <c r="K107" s="1310">
        <f>IF(INDEX('WB Beds'!$BN$827:$BN$1090,MATCH($C107,'WB Beds'!$C$827:$C$1090,0))="No reported value",INDEX('WB Beds'!$BR$829:$BR$833,MATCH($E107,'WB Beds'!$BP$829:$BP$833,0)),INDEX('WB Beds'!$BN$827:$BN$1090,MATCH($C107,'WB Beds'!$C$827:$C$1090)))</f>
        <v>2.6029659986802662</v>
      </c>
      <c r="L107" s="1311">
        <f>INDEX('WB Beds'!$BR$836:$BR$840,MATCH($E107,'WB Beds'!$BP$836:$BP$840,0))*100</f>
        <v>2.7250000000000001</v>
      </c>
      <c r="N107" s="1264" t="e">
        <f t="shared" si="3"/>
        <v>#N/A</v>
      </c>
    </row>
    <row r="108" spans="2:14" x14ac:dyDescent="0.35">
      <c r="B108" s="41" t="s">
        <v>632</v>
      </c>
      <c r="C108" s="41" t="s">
        <v>633</v>
      </c>
      <c r="D108" s="129" t="s">
        <v>1089</v>
      </c>
      <c r="E108" s="129" t="s">
        <v>742</v>
      </c>
      <c r="F108" s="129" t="str">
        <f t="shared" si="2"/>
        <v>Not LMIC</v>
      </c>
      <c r="G108" s="28" t="e">
        <f>INDEX('UNDP Population Data'!$E$6:$E$269,MATCH($B108,'UNDP Population Data'!$B$6:$B$269,0))</f>
        <v>#N/A</v>
      </c>
      <c r="H108" s="28" t="str">
        <f>IFERROR(IFERROR(INDEX('WHO GHO Data'!$V$8:$V$201,MATCH('HCW, Staff, Beds Summary'!$C108,'WHO GHO Data'!$C$8:$C$201,0)),INDEX('WHO GHO Data'!$AF$8:$AF$12,MATCH('HCW, Staff, Beds Summary'!$E108,'WHO GHO Data'!$AD$8:$AD$12,0))*$G108/1000),"")</f>
        <v/>
      </c>
      <c r="I108" s="28" t="str">
        <f>IFERROR(IFERROR(INDEX('WHO GHO Data'!$U$8:$U$201,MATCH('HCW, Staff, Beds Summary'!$C108,'WHO GHO Data'!$C$8:$C$201,0)),INDEX('WHO GHO Data'!$AE$8:$AE$12,MATCH('HCW, Staff, Beds Summary'!$E108,'WHO GHO Data'!$AD$8:$AD$12,0))*$G108/1000),"")</f>
        <v/>
      </c>
      <c r="J108" s="28" t="str">
        <f>IFERROR(IFERROR(INDEX('WHO GHO Data'!$X$8:$X$201,MATCH('HCW, Staff, Beds Summary'!$C108,'WHO GHO Data'!$C$8:$C$201,0)),INDEX('WHO GHO Data'!$AF$8:$AF$12,MATCH('HCW, Staff, Beds Summary'!$E108,'WHO GHO Data'!$AD$8:$AD$12,0))*$G108/1000),"")</f>
        <v/>
      </c>
      <c r="K108" s="1310">
        <f>IF(INDEX('WB Beds'!$BN$827:$BN$1090,MATCH($C108,'WB Beds'!$C$827:$C$1090,0))="No reported value",INDEX('WB Beds'!$BR$829:$BR$833,MATCH($E108,'WB Beds'!$BP$829:$BP$833,0)),INDEX('WB Beds'!$BN$827:$BN$1090,MATCH($C108,'WB Beds'!$C$827:$C$1090)))</f>
        <v>2.4609253863224496</v>
      </c>
      <c r="L108" s="1311">
        <f>INDEX('WB Beds'!$BR$836:$BR$840,MATCH($E108,'WB Beds'!$BP$836:$BP$840,0))*100</f>
        <v>2.7250000000000001</v>
      </c>
      <c r="N108" s="1264" t="e">
        <f t="shared" si="3"/>
        <v>#N/A</v>
      </c>
    </row>
    <row r="109" spans="2:14" x14ac:dyDescent="0.35">
      <c r="B109" s="41" t="s">
        <v>634</v>
      </c>
      <c r="C109" s="41" t="s">
        <v>635</v>
      </c>
      <c r="D109" s="129" t="s">
        <v>1089</v>
      </c>
      <c r="E109" s="129" t="s">
        <v>742</v>
      </c>
      <c r="F109" s="129" t="str">
        <f t="shared" si="2"/>
        <v>Not LMIC</v>
      </c>
      <c r="G109" s="28" t="e">
        <f>INDEX('UNDP Population Data'!$E$6:$E$269,MATCH($B109,'UNDP Population Data'!$B$6:$B$269,0))</f>
        <v>#N/A</v>
      </c>
      <c r="H109" s="28" t="str">
        <f>IFERROR(IFERROR(INDEX('WHO GHO Data'!$V$8:$V$201,MATCH('HCW, Staff, Beds Summary'!$C109,'WHO GHO Data'!$C$8:$C$201,0)),INDEX('WHO GHO Data'!$AF$8:$AF$12,MATCH('HCW, Staff, Beds Summary'!$E109,'WHO GHO Data'!$AD$8:$AD$12,0))*$G109/1000),"")</f>
        <v/>
      </c>
      <c r="I109" s="28" t="str">
        <f>IFERROR(IFERROR(INDEX('WHO GHO Data'!$U$8:$U$201,MATCH('HCW, Staff, Beds Summary'!$C109,'WHO GHO Data'!$C$8:$C$201,0)),INDEX('WHO GHO Data'!$AE$8:$AE$12,MATCH('HCW, Staff, Beds Summary'!$E109,'WHO GHO Data'!$AD$8:$AD$12,0))*$G109/1000),"")</f>
        <v/>
      </c>
      <c r="J109" s="28" t="str">
        <f>IFERROR(IFERROR(INDEX('WHO GHO Data'!$X$8:$X$201,MATCH('HCW, Staff, Beds Summary'!$C109,'WHO GHO Data'!$C$8:$C$201,0)),INDEX('WHO GHO Data'!$AF$8:$AF$12,MATCH('HCW, Staff, Beds Summary'!$E109,'WHO GHO Data'!$AD$8:$AD$12,0))*$G109/1000),"")</f>
        <v/>
      </c>
      <c r="K109" s="1310">
        <f>IF(INDEX('WB Beds'!$BN$827:$BN$1090,MATCH($C109,'WB Beds'!$C$827:$C$1090,0))="No reported value",INDEX('WB Beds'!$BR$829:$BR$833,MATCH($E109,'WB Beds'!$BP$829:$BP$833,0)),INDEX('WB Beds'!$BN$827:$BN$1090,MATCH($C109,'WB Beds'!$C$827:$C$1090)))</f>
        <v>1.4494300762004075</v>
      </c>
      <c r="L109" s="1311">
        <f>INDEX('WB Beds'!$BR$836:$BR$840,MATCH($E109,'WB Beds'!$BP$836:$BP$840,0))*100</f>
        <v>2.7250000000000001</v>
      </c>
      <c r="N109" s="1264" t="e">
        <f t="shared" si="3"/>
        <v>#N/A</v>
      </c>
    </row>
    <row r="110" spans="2:14" x14ac:dyDescent="0.35">
      <c r="B110" s="41" t="s">
        <v>636</v>
      </c>
      <c r="C110" s="41" t="s">
        <v>637</v>
      </c>
      <c r="D110" s="129" t="s">
        <v>1089</v>
      </c>
      <c r="E110" s="129" t="s">
        <v>742</v>
      </c>
      <c r="F110" s="129" t="str">
        <f t="shared" si="2"/>
        <v>Not LMIC</v>
      </c>
      <c r="G110" s="28" t="e">
        <f>INDEX('UNDP Population Data'!$E$6:$E$269,MATCH($B110,'UNDP Population Data'!$B$6:$B$269,0))</f>
        <v>#N/A</v>
      </c>
      <c r="H110" s="28" t="str">
        <f>IFERROR(IFERROR(INDEX('WHO GHO Data'!$V$8:$V$201,MATCH('HCW, Staff, Beds Summary'!$C110,'WHO GHO Data'!$C$8:$C$201,0)),INDEX('WHO GHO Data'!$AF$8:$AF$12,MATCH('HCW, Staff, Beds Summary'!$E110,'WHO GHO Data'!$AD$8:$AD$12,0))*$G110/1000),"")</f>
        <v/>
      </c>
      <c r="I110" s="28" t="str">
        <f>IFERROR(IFERROR(INDEX('WHO GHO Data'!$U$8:$U$201,MATCH('HCW, Staff, Beds Summary'!$C110,'WHO GHO Data'!$C$8:$C$201,0)),INDEX('WHO GHO Data'!$AE$8:$AE$12,MATCH('HCW, Staff, Beds Summary'!$E110,'WHO GHO Data'!$AD$8:$AD$12,0))*$G110/1000),"")</f>
        <v/>
      </c>
      <c r="J110" s="28" t="str">
        <f>IFERROR(IFERROR(INDEX('WHO GHO Data'!$X$8:$X$201,MATCH('HCW, Staff, Beds Summary'!$C110,'WHO GHO Data'!$C$8:$C$201,0)),INDEX('WHO GHO Data'!$AF$8:$AF$12,MATCH('HCW, Staff, Beds Summary'!$E110,'WHO GHO Data'!$AD$8:$AD$12,0))*$G110/1000),"")</f>
        <v/>
      </c>
      <c r="K110" s="1310">
        <f>IF(INDEX('WB Beds'!$BN$827:$BN$1090,MATCH($C110,'WB Beds'!$C$827:$C$1090,0))="No reported value",INDEX('WB Beds'!$BR$829:$BR$833,MATCH($E110,'WB Beds'!$BP$829:$BP$833,0)),INDEX('WB Beds'!$BN$827:$BN$1090,MATCH($C110,'WB Beds'!$C$827:$C$1090)))</f>
        <v>1.1226850423938446</v>
      </c>
      <c r="L110" s="1311">
        <f>INDEX('WB Beds'!$BR$836:$BR$840,MATCH($E110,'WB Beds'!$BP$836:$BP$840,0))*100</f>
        <v>2.7250000000000001</v>
      </c>
      <c r="N110" s="1264" t="e">
        <f t="shared" si="3"/>
        <v>#N/A</v>
      </c>
    </row>
    <row r="111" spans="2:14" x14ac:dyDescent="0.35">
      <c r="B111" s="41" t="s">
        <v>242</v>
      </c>
      <c r="C111" s="41" t="s">
        <v>58</v>
      </c>
      <c r="D111" s="129" t="s">
        <v>1045</v>
      </c>
      <c r="E111" s="129" t="s">
        <v>454</v>
      </c>
      <c r="F111" s="129" t="str">
        <f t="shared" si="2"/>
        <v>LMIC</v>
      </c>
      <c r="G111" s="28">
        <f>INDEX('UNDP Population Data'!$E$6:$E$269,MATCH($B111,'UNDP Population Data'!$B$6:$B$269,0))</f>
        <v>272222987</v>
      </c>
      <c r="H111" s="28">
        <f>IFERROR(IFERROR(INDEX('WHO GHO Data'!$V$8:$V$201,MATCH('HCW, Staff, Beds Summary'!$C111,'WHO GHO Data'!$C$8:$C$201,0)),INDEX('WHO GHO Data'!$AF$8:$AF$12,MATCH('HCW, Staff, Beds Summary'!$E111,'WHO GHO Data'!$AD$8:$AD$12,0))*$G111/1000),"")</f>
        <v>116720.98480825106</v>
      </c>
      <c r="I111" s="28">
        <f>IFERROR(IFERROR(INDEX('WHO GHO Data'!$U$8:$U$201,MATCH('HCW, Staff, Beds Summary'!$C111,'WHO GHO Data'!$C$8:$C$201,0)),INDEX('WHO GHO Data'!$AE$8:$AE$12,MATCH('HCW, Staff, Beds Summary'!$E111,'WHO GHO Data'!$AD$8:$AD$12,0))*$G111/1000),"")</f>
        <v>418739.38026395603</v>
      </c>
      <c r="J111" s="28">
        <f>IFERROR(IFERROR(INDEX('WHO GHO Data'!$X$8:$X$201,MATCH('HCW, Staff, Beds Summary'!$C111,'WHO GHO Data'!$C$8:$C$201,0)),INDEX('WHO GHO Data'!$AF$8:$AF$12,MATCH('HCW, Staff, Beds Summary'!$E111,'WHO GHO Data'!$AD$8:$AD$12,0))*$G111/1000),"")</f>
        <v>25923.128995533458</v>
      </c>
      <c r="K111" s="1310">
        <f>IF(INDEX('WB Beds'!$BN$827:$BN$1090,MATCH($C111,'WB Beds'!$C$827:$C$1090,0))="No reported value",INDEX('WB Beds'!$BR$829:$BR$833,MATCH($E111,'WB Beds'!$BP$829:$BP$833,0)),INDEX('WB Beds'!$BN$827:$BN$1090,MATCH($C111,'WB Beds'!$C$827:$C$1090)))</f>
        <v>1.2</v>
      </c>
      <c r="L111" s="1311">
        <f>INDEX('WB Beds'!$BR$836:$BR$840,MATCH($E111,'WB Beds'!$BP$836:$BP$840,0))*100</f>
        <v>2.3800000000000003</v>
      </c>
      <c r="N111" s="1264">
        <f t="shared" si="3"/>
        <v>326667.58439999999</v>
      </c>
    </row>
    <row r="112" spans="2:14" x14ac:dyDescent="0.35">
      <c r="B112" s="41" t="s">
        <v>638</v>
      </c>
      <c r="C112" s="41" t="s">
        <v>639</v>
      </c>
      <c r="D112" s="129" t="s">
        <v>1089</v>
      </c>
      <c r="E112" s="129" t="s">
        <v>742</v>
      </c>
      <c r="F112" s="129" t="str">
        <f t="shared" si="2"/>
        <v>Not LMIC</v>
      </c>
      <c r="G112" s="28" t="e">
        <f>INDEX('UNDP Population Data'!$E$6:$E$269,MATCH($B112,'UNDP Population Data'!$B$6:$B$269,0))</f>
        <v>#N/A</v>
      </c>
      <c r="H112" s="28" t="str">
        <f>IFERROR(IFERROR(INDEX('WHO GHO Data'!$V$8:$V$201,MATCH('HCW, Staff, Beds Summary'!$C112,'WHO GHO Data'!$C$8:$C$201,0)),INDEX('WHO GHO Data'!$AF$8:$AF$12,MATCH('HCW, Staff, Beds Summary'!$E112,'WHO GHO Data'!$AD$8:$AD$12,0))*$G112/1000),"")</f>
        <v/>
      </c>
      <c r="I112" s="28" t="str">
        <f>IFERROR(IFERROR(INDEX('WHO GHO Data'!$U$8:$U$201,MATCH('HCW, Staff, Beds Summary'!$C112,'WHO GHO Data'!$C$8:$C$201,0)),INDEX('WHO GHO Data'!$AE$8:$AE$12,MATCH('HCW, Staff, Beds Summary'!$E112,'WHO GHO Data'!$AD$8:$AD$12,0))*$G112/1000),"")</f>
        <v/>
      </c>
      <c r="J112" s="28" t="str">
        <f>IFERROR(IFERROR(INDEX('WHO GHO Data'!$X$8:$X$201,MATCH('HCW, Staff, Beds Summary'!$C112,'WHO GHO Data'!$C$8:$C$201,0)),INDEX('WHO GHO Data'!$AF$8:$AF$12,MATCH('HCW, Staff, Beds Summary'!$E112,'WHO GHO Data'!$AD$8:$AD$12,0))*$G112/1000),"")</f>
        <v/>
      </c>
      <c r="K112" s="1310">
        <f>IF(INDEX('WB Beds'!$BN$827:$BN$1090,MATCH($C112,'WB Beds'!$C$827:$C$1090,0))="No reported value",INDEX('WB Beds'!$BR$829:$BR$833,MATCH($E112,'WB Beds'!$BP$829:$BP$833,0)),INDEX('WB Beds'!$BN$827:$BN$1090,MATCH($C112,'WB Beds'!$C$827:$C$1090)))</f>
        <v>0.97496863705028103</v>
      </c>
      <c r="L112" s="1311">
        <f>INDEX('WB Beds'!$BR$836:$BR$840,MATCH($E112,'WB Beds'!$BP$836:$BP$840,0))*100</f>
        <v>2.7250000000000001</v>
      </c>
      <c r="N112" s="1264" t="e">
        <f t="shared" si="3"/>
        <v>#N/A</v>
      </c>
    </row>
    <row r="113" spans="2:14" x14ac:dyDescent="0.35">
      <c r="B113" s="41" t="s">
        <v>420</v>
      </c>
      <c r="C113" s="41" t="s">
        <v>421</v>
      </c>
      <c r="D113" s="129" t="s">
        <v>1089</v>
      </c>
      <c r="E113" s="129" t="s">
        <v>410</v>
      </c>
      <c r="F113" s="129" t="str">
        <f t="shared" si="2"/>
        <v>Not LMIC</v>
      </c>
      <c r="G113" s="28">
        <f>INDEX('UNDP Population Data'!$E$6:$E$269,MATCH($B113,'UNDP Population Data'!$B$6:$B$269,0))</f>
        <v>85895</v>
      </c>
      <c r="H113" s="28">
        <f>IFERROR(IFERROR(INDEX('WHO GHO Data'!$V$8:$V$201,MATCH('HCW, Staff, Beds Summary'!$C113,'WHO GHO Data'!$C$8:$C$201,0)),INDEX('WHO GHO Data'!$AF$8:$AF$12,MATCH('HCW, Staff, Beds Summary'!$E113,'WHO GHO Data'!$AD$8:$AD$12,0))*$G113/1000),"")</f>
        <v>286.84226543856096</v>
      </c>
      <c r="I113" s="28">
        <f>IFERROR(IFERROR(INDEX('WHO GHO Data'!$U$8:$U$201,MATCH('HCW, Staff, Beds Summary'!$C113,'WHO GHO Data'!$C$8:$C$201,0)),INDEX('WHO GHO Data'!$AE$8:$AE$12,MATCH('HCW, Staff, Beds Summary'!$E113,'WHO GHO Data'!$AD$8:$AD$12,0))*$G113/1000),"")</f>
        <v>725.97875152483664</v>
      </c>
      <c r="J113" s="28">
        <f>IFERROR(IFERROR(INDEX('WHO GHO Data'!$X$8:$X$201,MATCH('HCW, Staff, Beds Summary'!$C113,'WHO GHO Data'!$C$8:$C$201,0)),INDEX('WHO GHO Data'!$AF$8:$AF$12,MATCH('HCW, Staff, Beds Summary'!$E113,'WHO GHO Data'!$AD$8:$AD$12,0))*$G113/1000),"")</f>
        <v>286.84226543856096</v>
      </c>
      <c r="K113" s="1310">
        <f>IF(INDEX('WB Beds'!$BN$827:$BN$1090,MATCH($C113,'WB Beds'!$C$827:$C$1090,0))="No reported value",INDEX('WB Beds'!$BR$829:$BR$833,MATCH($E113,'WB Beds'!$BP$829:$BP$833,0)),INDEX('WB Beds'!$BN$827:$BN$1090,MATCH($C113,'WB Beds'!$C$827:$C$1090)))</f>
        <v>1.5842793837592861</v>
      </c>
      <c r="L113" s="1311">
        <f>INDEX('WB Beds'!$BR$836:$BR$840,MATCH($E113,'WB Beds'!$BP$836:$BP$840,0))*100</f>
        <v>3.5700000000000003</v>
      </c>
      <c r="N113" s="1264">
        <f t="shared" si="3"/>
        <v>136.08167766800389</v>
      </c>
    </row>
    <row r="114" spans="2:14" x14ac:dyDescent="0.35">
      <c r="B114" s="41" t="s">
        <v>416</v>
      </c>
      <c r="C114" s="41" t="s">
        <v>59</v>
      </c>
      <c r="D114" s="129" t="s">
        <v>1045</v>
      </c>
      <c r="E114" s="129" t="s">
        <v>454</v>
      </c>
      <c r="F114" s="129" t="str">
        <f t="shared" si="2"/>
        <v>LMIC</v>
      </c>
      <c r="G114" s="28">
        <f>INDEX('UNDP Population Data'!$E$6:$E$269,MATCH($B114,'UNDP Population Data'!$B$6:$B$269,0))</f>
        <v>1383197753</v>
      </c>
      <c r="H114" s="28">
        <f>IFERROR(IFERROR(INDEX('WHO GHO Data'!$V$8:$V$201,MATCH('HCW, Staff, Beds Summary'!$C114,'WHO GHO Data'!$C$8:$C$201,0)),INDEX('WHO GHO Data'!$AF$8:$AF$12,MATCH('HCW, Staff, Beds Summary'!$E114,'WHO GHO Data'!$AD$8:$AD$12,0))*$G114/1000),"")</f>
        <v>1185140.6515809081</v>
      </c>
      <c r="I114" s="28">
        <f>IFERROR(IFERROR(INDEX('WHO GHO Data'!$U$8:$U$201,MATCH('HCW, Staff, Beds Summary'!$C114,'WHO GHO Data'!$C$8:$C$201,0)),INDEX('WHO GHO Data'!$AE$8:$AE$12,MATCH('HCW, Staff, Beds Summary'!$E114,'WHO GHO Data'!$AD$8:$AD$12,0))*$G114/1000),"")</f>
        <v>2388259.1533283396</v>
      </c>
      <c r="J114" s="28">
        <f>IFERROR(IFERROR(INDEX('WHO GHO Data'!$X$8:$X$201,MATCH('HCW, Staff, Beds Summary'!$C114,'WHO GHO Data'!$C$8:$C$201,0)),INDEX('WHO GHO Data'!$AF$8:$AF$12,MATCH('HCW, Staff, Beds Summary'!$E114,'WHO GHO Data'!$AD$8:$AD$12,0))*$G114/1000),"")</f>
        <v>511140.96913804172</v>
      </c>
      <c r="K114" s="1310">
        <f>IF(INDEX('WB Beds'!$BN$827:$BN$1090,MATCH($C114,'WB Beds'!$C$827:$C$1090,0))="No reported value",INDEX('WB Beds'!$BR$829:$BR$833,MATCH($E114,'WB Beds'!$BP$829:$BP$833,0)),INDEX('WB Beds'!$BN$827:$BN$1090,MATCH($C114,'WB Beds'!$C$827:$C$1090)))</f>
        <v>0.7</v>
      </c>
      <c r="L114" s="1311">
        <f>INDEX('WB Beds'!$BR$836:$BR$840,MATCH($E114,'WB Beds'!$BP$836:$BP$840,0))*100</f>
        <v>2.3800000000000003</v>
      </c>
      <c r="N114" s="1264">
        <f t="shared" si="3"/>
        <v>968238.42709999986</v>
      </c>
    </row>
    <row r="115" spans="2:14" x14ac:dyDescent="0.35">
      <c r="B115" s="41" t="s">
        <v>488</v>
      </c>
      <c r="C115" s="41" t="s">
        <v>489</v>
      </c>
      <c r="D115" s="129" t="s">
        <v>1089</v>
      </c>
      <c r="E115" s="129" t="s">
        <v>742</v>
      </c>
      <c r="F115" s="129" t="str">
        <f t="shared" si="2"/>
        <v>Not LMIC</v>
      </c>
      <c r="G115" s="28">
        <f>INDEX('UNDP Population Data'!$E$6:$E$269,MATCH($B115,'UNDP Population Data'!$B$6:$B$269,0))</f>
        <v>0</v>
      </c>
      <c r="H115" s="28" t="str">
        <f>IFERROR(IFERROR(INDEX('WHO GHO Data'!$V$8:$V$201,MATCH('HCW, Staff, Beds Summary'!$C115,'WHO GHO Data'!$C$8:$C$201,0)),INDEX('WHO GHO Data'!$AF$8:$AF$12,MATCH('HCW, Staff, Beds Summary'!$E115,'WHO GHO Data'!$AD$8:$AD$12,0))*$G115/1000),"")</f>
        <v/>
      </c>
      <c r="I115" s="28" t="str">
        <f>IFERROR(IFERROR(INDEX('WHO GHO Data'!$U$8:$U$201,MATCH('HCW, Staff, Beds Summary'!$C115,'WHO GHO Data'!$C$8:$C$201,0)),INDEX('WHO GHO Data'!$AE$8:$AE$12,MATCH('HCW, Staff, Beds Summary'!$E115,'WHO GHO Data'!$AD$8:$AD$12,0))*$G115/1000),"")</f>
        <v/>
      </c>
      <c r="J115" s="28" t="str">
        <f>IFERROR(IFERROR(INDEX('WHO GHO Data'!$X$8:$X$201,MATCH('HCW, Staff, Beds Summary'!$C115,'WHO GHO Data'!$C$8:$C$201,0)),INDEX('WHO GHO Data'!$AF$8:$AF$12,MATCH('HCW, Staff, Beds Summary'!$E115,'WHO GHO Data'!$AD$8:$AD$12,0))*$G115/1000),"")</f>
        <v/>
      </c>
      <c r="K115" s="1310">
        <f>IF(INDEX('WB Beds'!$BN$827:$BN$1090,MATCH($C115,'WB Beds'!$C$827:$C$1090,0))="No reported value",INDEX('WB Beds'!$BR$829:$BR$833,MATCH($E115,'WB Beds'!$BP$829:$BP$833,0)),INDEX('WB Beds'!$BN$827:$BN$1090,MATCH($C115,'WB Beds'!$C$827:$C$1090)))</f>
        <v>2.7</v>
      </c>
      <c r="L115" s="1311">
        <f>INDEX('WB Beds'!$BR$836:$BR$840,MATCH($E115,'WB Beds'!$BP$836:$BP$840,0))*100</f>
        <v>2.7250000000000001</v>
      </c>
      <c r="N115" s="1264">
        <f t="shared" si="3"/>
        <v>0</v>
      </c>
    </row>
    <row r="116" spans="2:14" x14ac:dyDescent="0.35">
      <c r="B116" s="41" t="s">
        <v>419</v>
      </c>
      <c r="C116" s="41" t="s">
        <v>60</v>
      </c>
      <c r="D116" s="129" t="s">
        <v>1043</v>
      </c>
      <c r="E116" s="129" t="s">
        <v>410</v>
      </c>
      <c r="F116" s="129" t="str">
        <f t="shared" si="2"/>
        <v>Not LMIC</v>
      </c>
      <c r="G116" s="28">
        <f>INDEX('UNDP Population Data'!$E$6:$E$269,MATCH($B116,'UNDP Population Data'!$B$6:$B$269,0))</f>
        <v>4887992</v>
      </c>
      <c r="H116" s="28">
        <f>IFERROR(IFERROR(INDEX('WHO GHO Data'!$V$8:$V$201,MATCH('HCW, Staff, Beds Summary'!$C116,'WHO GHO Data'!$C$8:$C$201,0)),INDEX('WHO GHO Data'!$AF$8:$AF$12,MATCH('HCW, Staff, Beds Summary'!$E116,'WHO GHO Data'!$AD$8:$AD$12,0))*$G116/1000),"")</f>
        <v>16214.232756968901</v>
      </c>
      <c r="I116" s="28">
        <f>IFERROR(IFERROR(INDEX('WHO GHO Data'!$U$8:$U$201,MATCH('HCW, Staff, Beds Summary'!$C116,'WHO GHO Data'!$C$8:$C$201,0)),INDEX('WHO GHO Data'!$AE$8:$AE$12,MATCH('HCW, Staff, Beds Summary'!$E116,'WHO GHO Data'!$AD$8:$AD$12,0))*$G116/1000),"")</f>
        <v>59866.500940739075</v>
      </c>
      <c r="J116" s="28">
        <f>IFERROR(IFERROR(INDEX('WHO GHO Data'!$X$8:$X$201,MATCH('HCW, Staff, Beds Summary'!$C116,'WHO GHO Data'!$C$8:$C$201,0)),INDEX('WHO GHO Data'!$AF$8:$AF$12,MATCH('HCW, Staff, Beds Summary'!$E116,'WHO GHO Data'!$AD$8:$AD$12,0))*$G116/1000),"")</f>
        <v>2607.3993951621642</v>
      </c>
      <c r="K116" s="1310">
        <f>IF(INDEX('WB Beds'!$BN$827:$BN$1090,MATCH($C116,'WB Beds'!$C$827:$C$1090,0))="No reported value",INDEX('WB Beds'!$BR$829:$BR$833,MATCH($E116,'WB Beds'!$BP$829:$BP$833,0)),INDEX('WB Beds'!$BN$827:$BN$1090,MATCH($C116,'WB Beds'!$C$827:$C$1090)))</f>
        <v>2.8</v>
      </c>
      <c r="L116" s="1311">
        <f>INDEX('WB Beds'!$BR$836:$BR$840,MATCH($E116,'WB Beds'!$BP$836:$BP$840,0))*100</f>
        <v>3.5700000000000003</v>
      </c>
      <c r="N116" s="1264">
        <f t="shared" si="3"/>
        <v>13686.3776</v>
      </c>
    </row>
    <row r="117" spans="2:14" x14ac:dyDescent="0.35">
      <c r="B117" s="41" t="s">
        <v>417</v>
      </c>
      <c r="C117" s="41" t="s">
        <v>61</v>
      </c>
      <c r="D117" s="129" t="s">
        <v>1041</v>
      </c>
      <c r="E117" s="129" t="s">
        <v>557</v>
      </c>
      <c r="F117" s="129" t="str">
        <f t="shared" si="2"/>
        <v>LMIC</v>
      </c>
      <c r="G117" s="28">
        <f>INDEX('UNDP Population Data'!$E$6:$E$269,MATCH($B117,'UNDP Population Data'!$B$6:$B$269,0))</f>
        <v>83587129</v>
      </c>
      <c r="H117" s="28">
        <f>IFERROR(IFERROR(INDEX('WHO GHO Data'!$V$8:$V$201,MATCH('HCW, Staff, Beds Summary'!$C117,'WHO GHO Data'!$C$8:$C$201,0)),INDEX('WHO GHO Data'!$AF$8:$AF$12,MATCH('HCW, Staff, Beds Summary'!$E117,'WHO GHO Data'!$AD$8:$AD$12,0))*$G117/1000),"")</f>
        <v>132322.11662178658</v>
      </c>
      <c r="I117" s="28">
        <f>IFERROR(IFERROR(INDEX('WHO GHO Data'!$U$8:$U$201,MATCH('HCW, Staff, Beds Summary'!$C117,'WHO GHO Data'!$C$8:$C$201,0)),INDEX('WHO GHO Data'!$AE$8:$AE$12,MATCH('HCW, Staff, Beds Summary'!$E117,'WHO GHO Data'!$AD$8:$AD$12,0))*$G117/1000),"")</f>
        <v>185542.56939231951</v>
      </c>
      <c r="J117" s="28">
        <f>IFERROR(IFERROR(INDEX('WHO GHO Data'!$X$8:$X$201,MATCH('HCW, Staff, Beds Summary'!$C117,'WHO GHO Data'!$C$8:$C$201,0)),INDEX('WHO GHO Data'!$AF$8:$AF$12,MATCH('HCW, Staff, Beds Summary'!$E117,'WHO GHO Data'!$AD$8:$AD$12,0))*$G117/1000),"")</f>
        <v>9170.0440855967736</v>
      </c>
      <c r="K117" s="1310">
        <f>IF(INDEX('WB Beds'!$BN$827:$BN$1090,MATCH($C117,'WB Beds'!$C$827:$C$1090,0))="No reported value",INDEX('WB Beds'!$BR$829:$BR$833,MATCH($E117,'WB Beds'!$BP$829:$BP$833,0)),INDEX('WB Beds'!$BN$827:$BN$1090,MATCH($C117,'WB Beds'!$C$827:$C$1090)))</f>
        <v>1.5</v>
      </c>
      <c r="L117" s="1311">
        <f>INDEX('WB Beds'!$BR$836:$BR$840,MATCH($E117,'WB Beds'!$BP$836:$BP$840,0))*100</f>
        <v>3.32</v>
      </c>
      <c r="N117" s="1264">
        <f t="shared" si="3"/>
        <v>125380.69349999999</v>
      </c>
    </row>
    <row r="118" spans="2:14" x14ac:dyDescent="0.35">
      <c r="B118" s="41" t="s">
        <v>418</v>
      </c>
      <c r="C118" s="41" t="s">
        <v>62</v>
      </c>
      <c r="D118" s="129" t="s">
        <v>1041</v>
      </c>
      <c r="E118" s="129" t="s">
        <v>557</v>
      </c>
      <c r="F118" s="129" t="str">
        <f t="shared" si="2"/>
        <v>LMIC</v>
      </c>
      <c r="G118" s="28">
        <f>INDEX('UNDP Population Data'!$E$6:$E$269,MATCH($B118,'UNDP Population Data'!$B$6:$B$269,0))</f>
        <v>41502885</v>
      </c>
      <c r="H118" s="28">
        <f>IFERROR(IFERROR(INDEX('WHO GHO Data'!$V$8:$V$201,MATCH('HCW, Staff, Beds Summary'!$C118,'WHO GHO Data'!$C$8:$C$201,0)),INDEX('WHO GHO Data'!$AF$8:$AF$12,MATCH('HCW, Staff, Beds Summary'!$E118,'WHO GHO Data'!$AD$8:$AD$12,0))*$G118/1000),"")</f>
        <v>28764.032070042998</v>
      </c>
      <c r="I118" s="28">
        <f>IFERROR(IFERROR(INDEX('WHO GHO Data'!$U$8:$U$201,MATCH('HCW, Staff, Beds Summary'!$C118,'WHO GHO Data'!$C$8:$C$201,0)),INDEX('WHO GHO Data'!$AE$8:$AE$12,MATCH('HCW, Staff, Beds Summary'!$E118,'WHO GHO Data'!$AD$8:$AD$12,0))*$G118/1000),"")</f>
        <v>83082.466639243576</v>
      </c>
      <c r="J118" s="28">
        <f>IFERROR(IFERROR(INDEX('WHO GHO Data'!$X$8:$X$201,MATCH('HCW, Staff, Beds Summary'!$C118,'WHO GHO Data'!$C$8:$C$201,0)),INDEX('WHO GHO Data'!$AF$8:$AF$12,MATCH('HCW, Staff, Beds Summary'!$E118,'WHO GHO Data'!$AD$8:$AD$12,0))*$G118/1000),"")</f>
        <v>89.861170462865871</v>
      </c>
      <c r="K118" s="1310">
        <f>IF(INDEX('WB Beds'!$BN$827:$BN$1090,MATCH($C118,'WB Beds'!$C$827:$C$1090,0))="No reported value",INDEX('WB Beds'!$BR$829:$BR$833,MATCH($E118,'WB Beds'!$BP$829:$BP$833,0)),INDEX('WB Beds'!$BN$827:$BN$1090,MATCH($C118,'WB Beds'!$C$827:$C$1090)))</f>
        <v>1.4</v>
      </c>
      <c r="L118" s="1311">
        <f>INDEX('WB Beds'!$BR$836:$BR$840,MATCH($E118,'WB Beds'!$BP$836:$BP$840,0))*100</f>
        <v>3.32</v>
      </c>
      <c r="N118" s="1264">
        <f t="shared" si="3"/>
        <v>58104.038999999997</v>
      </c>
    </row>
    <row r="119" spans="2:14" x14ac:dyDescent="0.35">
      <c r="B119" s="41" t="s">
        <v>415</v>
      </c>
      <c r="C119" s="41" t="s">
        <v>63</v>
      </c>
      <c r="D119" s="129" t="s">
        <v>1043</v>
      </c>
      <c r="E119" s="129" t="s">
        <v>410</v>
      </c>
      <c r="F119" s="129" t="str">
        <f t="shared" si="2"/>
        <v>Not LMIC</v>
      </c>
      <c r="G119" s="28">
        <f>INDEX('UNDP Population Data'!$E$6:$E$269,MATCH($B119,'UNDP Population Data'!$B$6:$B$269,0))</f>
        <v>343228</v>
      </c>
      <c r="H119" s="28">
        <f>IFERROR(IFERROR(INDEX('WHO GHO Data'!$V$8:$V$201,MATCH('HCW, Staff, Beds Summary'!$C119,'WHO GHO Data'!$C$8:$C$201,0)),INDEX('WHO GHO Data'!$AF$8:$AF$12,MATCH('HCW, Staff, Beds Summary'!$E119,'WHO GHO Data'!$AD$8:$AD$12,0))*$G119/1000),"")</f>
        <v>1394.344772344801</v>
      </c>
      <c r="I119" s="28">
        <f>IFERROR(IFERROR(INDEX('WHO GHO Data'!$U$8:$U$201,MATCH('HCW, Staff, Beds Summary'!$C119,'WHO GHO Data'!$C$8:$C$201,0)),INDEX('WHO GHO Data'!$AE$8:$AE$12,MATCH('HCW, Staff, Beds Summary'!$E119,'WHO GHO Data'!$AD$8:$AD$12,0))*$G119/1000),"")</f>
        <v>5254.4354348958486</v>
      </c>
      <c r="J119" s="28">
        <f>IFERROR(IFERROR(INDEX('WHO GHO Data'!$X$8:$X$201,MATCH('HCW, Staff, Beds Summary'!$C119,'WHO GHO Data'!$C$8:$C$201,0)),INDEX('WHO GHO Data'!$AF$8:$AF$12,MATCH('HCW, Staff, Beds Summary'!$E119,'WHO GHO Data'!$AD$8:$AD$12,0))*$G119/1000),"")</f>
        <v>325.47616017869609</v>
      </c>
      <c r="K119" s="1310">
        <f>IF(INDEX('WB Beds'!$BN$827:$BN$1090,MATCH($C119,'WB Beds'!$C$827:$C$1090,0))="No reported value",INDEX('WB Beds'!$BR$829:$BR$833,MATCH($E119,'WB Beds'!$BP$829:$BP$833,0)),INDEX('WB Beds'!$BN$827:$BN$1090,MATCH($C119,'WB Beds'!$C$827:$C$1090)))</f>
        <v>3.2</v>
      </c>
      <c r="L119" s="1311">
        <f>INDEX('WB Beds'!$BR$836:$BR$840,MATCH($E119,'WB Beds'!$BP$836:$BP$840,0))*100</f>
        <v>3.5700000000000003</v>
      </c>
      <c r="N119" s="1264">
        <f t="shared" si="3"/>
        <v>1098.3296</v>
      </c>
    </row>
    <row r="120" spans="2:14" x14ac:dyDescent="0.35">
      <c r="B120" s="41" t="s">
        <v>422</v>
      </c>
      <c r="C120" s="41" t="s">
        <v>64</v>
      </c>
      <c r="D120" s="129" t="s">
        <v>1043</v>
      </c>
      <c r="E120" s="129" t="s">
        <v>410</v>
      </c>
      <c r="F120" s="129" t="str">
        <f t="shared" si="2"/>
        <v>Not LMIC</v>
      </c>
      <c r="G120" s="28">
        <f>INDEX('UNDP Population Data'!$E$6:$E$269,MATCH($B120,'UNDP Population Data'!$B$6:$B$269,0))</f>
        <v>8713559</v>
      </c>
      <c r="H120" s="28">
        <f>IFERROR(IFERROR(INDEX('WHO GHO Data'!$V$8:$V$201,MATCH('HCW, Staff, Beds Summary'!$C120,'WHO GHO Data'!$C$8:$C$201,0)),INDEX('WHO GHO Data'!$AF$8:$AF$12,MATCH('HCW, Staff, Beds Summary'!$E120,'WHO GHO Data'!$AD$8:$AD$12,0))*$G120/1000),"")</f>
        <v>39982.949134768642</v>
      </c>
      <c r="I120" s="28">
        <f>IFERROR(IFERROR(INDEX('WHO GHO Data'!$U$8:$U$201,MATCH('HCW, Staff, Beds Summary'!$C120,'WHO GHO Data'!$C$8:$C$201,0)),INDEX('WHO GHO Data'!$AE$8:$AE$12,MATCH('HCW, Staff, Beds Summary'!$E120,'WHO GHO Data'!$AD$8:$AD$12,0))*$G120/1000),"")</f>
        <v>46405.887787217282</v>
      </c>
      <c r="J120" s="28">
        <f>IFERROR(IFERROR(INDEX('WHO GHO Data'!$X$8:$X$201,MATCH('HCW, Staff, Beds Summary'!$C120,'WHO GHO Data'!$C$8:$C$201,0)),INDEX('WHO GHO Data'!$AF$8:$AF$12,MATCH('HCW, Staff, Beds Summary'!$E120,'WHO GHO Data'!$AD$8:$AD$12,0))*$G120/1000),"")</f>
        <v>4648.0698958406301</v>
      </c>
      <c r="K120" s="1310">
        <f>IF(INDEX('WB Beds'!$BN$827:$BN$1090,MATCH($C120,'WB Beds'!$C$827:$C$1090,0))="No reported value",INDEX('WB Beds'!$BR$829:$BR$833,MATCH($E120,'WB Beds'!$BP$829:$BP$833,0)),INDEX('WB Beds'!$BN$827:$BN$1090,MATCH($C120,'WB Beds'!$C$827:$C$1090)))</f>
        <v>3.1</v>
      </c>
      <c r="L120" s="1311">
        <f>INDEX('WB Beds'!$BR$836:$BR$840,MATCH($E120,'WB Beds'!$BP$836:$BP$840,0))*100</f>
        <v>3.5700000000000003</v>
      </c>
      <c r="N120" s="1264">
        <f t="shared" si="3"/>
        <v>27012.032900000002</v>
      </c>
    </row>
    <row r="121" spans="2:14" x14ac:dyDescent="0.35">
      <c r="B121" s="41" t="s">
        <v>423</v>
      </c>
      <c r="C121" s="41" t="s">
        <v>65</v>
      </c>
      <c r="D121" s="129" t="s">
        <v>1043</v>
      </c>
      <c r="E121" s="129" t="s">
        <v>410</v>
      </c>
      <c r="F121" s="129" t="str">
        <f t="shared" si="2"/>
        <v>Not LMIC</v>
      </c>
      <c r="G121" s="28">
        <f>INDEX('UNDP Population Data'!$E$6:$E$269,MATCH($B121,'UNDP Population Data'!$B$6:$B$269,0))</f>
        <v>59132073</v>
      </c>
      <c r="H121" s="28">
        <f>IFERROR(IFERROR(INDEX('WHO GHO Data'!$V$8:$V$201,MATCH('HCW, Staff, Beds Summary'!$C121,'WHO GHO Data'!$C$8:$C$201,0)),INDEX('WHO GHO Data'!$AF$8:$AF$12,MATCH('HCW, Staff, Beds Summary'!$E121,'WHO GHO Data'!$AD$8:$AD$12,0))*$G121/1000),"")</f>
        <v>240531.63917593146</v>
      </c>
      <c r="I121" s="28">
        <f>IFERROR(IFERROR(INDEX('WHO GHO Data'!$U$8:$U$201,MATCH('HCW, Staff, Beds Summary'!$C121,'WHO GHO Data'!$C$8:$C$201,0)),INDEX('WHO GHO Data'!$AE$8:$AE$12,MATCH('HCW, Staff, Beds Summary'!$E121,'WHO GHO Data'!$AD$8:$AD$12,0))*$G121/1000),"")</f>
        <v>331349.44995661895</v>
      </c>
      <c r="J121" s="28">
        <f>IFERROR(IFERROR(INDEX('WHO GHO Data'!$X$8:$X$201,MATCH('HCW, Staff, Beds Summary'!$C121,'WHO GHO Data'!$C$8:$C$201,0)),INDEX('WHO GHO Data'!$AF$8:$AF$12,MATCH('HCW, Staff, Beds Summary'!$E121,'WHO GHO Data'!$AD$8:$AD$12,0))*$G121/1000),"")</f>
        <v>31542.795359502419</v>
      </c>
      <c r="K121" s="1310">
        <f>IF(INDEX('WB Beds'!$BN$827:$BN$1090,MATCH($C121,'WB Beds'!$C$827:$C$1090,0))="No reported value",INDEX('WB Beds'!$BR$829:$BR$833,MATCH($E121,'WB Beds'!$BP$829:$BP$833,0)),INDEX('WB Beds'!$BN$827:$BN$1090,MATCH($C121,'WB Beds'!$C$827:$C$1090)))</f>
        <v>3.4</v>
      </c>
      <c r="L121" s="1311">
        <f>INDEX('WB Beds'!$BR$836:$BR$840,MATCH($E121,'WB Beds'!$BP$836:$BP$840,0))*100</f>
        <v>3.5700000000000003</v>
      </c>
      <c r="N121" s="1264">
        <f t="shared" si="3"/>
        <v>201049.04819999999</v>
      </c>
    </row>
    <row r="122" spans="2:14" x14ac:dyDescent="0.35">
      <c r="B122" s="41" t="s">
        <v>424</v>
      </c>
      <c r="C122" s="41" t="s">
        <v>66</v>
      </c>
      <c r="D122" s="129" t="s">
        <v>1044</v>
      </c>
      <c r="E122" s="129" t="s">
        <v>557</v>
      </c>
      <c r="F122" s="129" t="str">
        <f t="shared" si="2"/>
        <v>LMIC</v>
      </c>
      <c r="G122" s="28">
        <f>INDEX('UNDP Population Data'!$E$6:$E$269,MATCH($B122,'UNDP Population Data'!$B$6:$B$269,0))</f>
        <v>2913160</v>
      </c>
      <c r="H122" s="28">
        <f>IFERROR(IFERROR(INDEX('WHO GHO Data'!$V$8:$V$201,MATCH('HCW, Staff, Beds Summary'!$C122,'WHO GHO Data'!$C$8:$C$201,0)),INDEX('WHO GHO Data'!$AF$8:$AF$12,MATCH('HCW, Staff, Beds Summary'!$E122,'WHO GHO Data'!$AD$8:$AD$12,0))*$G122/1000),"")</f>
        <v>3847.7643990896099</v>
      </c>
      <c r="I122" s="28">
        <f>IFERROR(IFERROR(INDEX('WHO GHO Data'!$U$8:$U$201,MATCH('HCW, Staff, Beds Summary'!$C122,'WHO GHO Data'!$C$8:$C$201,0)),INDEX('WHO GHO Data'!$AE$8:$AE$12,MATCH('HCW, Staff, Beds Summary'!$E122,'WHO GHO Data'!$AD$8:$AD$12,0))*$G122/1000),"")</f>
        <v>2381.5387441277671</v>
      </c>
      <c r="J122" s="28">
        <f>IFERROR(IFERROR(INDEX('WHO GHO Data'!$X$8:$X$201,MATCH('HCW, Staff, Beds Summary'!$C122,'WHO GHO Data'!$C$8:$C$201,0)),INDEX('WHO GHO Data'!$AF$8:$AF$12,MATCH('HCW, Staff, Beds Summary'!$E122,'WHO GHO Data'!$AD$8:$AD$12,0))*$G122/1000),"")</f>
        <v>131.49076700310448</v>
      </c>
      <c r="K122" s="1310">
        <f>IF(INDEX('WB Beds'!$BN$827:$BN$1090,MATCH($C122,'WB Beds'!$C$827:$C$1090,0))="No reported value",INDEX('WB Beds'!$BR$829:$BR$833,MATCH($E122,'WB Beds'!$BP$829:$BP$833,0)),INDEX('WB Beds'!$BN$827:$BN$1090,MATCH($C122,'WB Beds'!$C$827:$C$1090)))</f>
        <v>1.7</v>
      </c>
      <c r="L122" s="1311">
        <f>INDEX('WB Beds'!$BR$836:$BR$840,MATCH($E122,'WB Beds'!$BP$836:$BP$840,0))*100</f>
        <v>3.32</v>
      </c>
      <c r="N122" s="1264">
        <f t="shared" si="3"/>
        <v>4952.3720000000003</v>
      </c>
    </row>
    <row r="123" spans="2:14" x14ac:dyDescent="0.35">
      <c r="B123" s="41" t="s">
        <v>426</v>
      </c>
      <c r="C123" s="41" t="s">
        <v>67</v>
      </c>
      <c r="D123" s="129" t="s">
        <v>1041</v>
      </c>
      <c r="E123" s="129" t="s">
        <v>557</v>
      </c>
      <c r="F123" s="129" t="str">
        <f t="shared" si="2"/>
        <v>LMIC</v>
      </c>
      <c r="G123" s="28">
        <f>INDEX('UNDP Population Data'!$E$6:$E$269,MATCH($B123,'UNDP Population Data'!$B$6:$B$269,0))</f>
        <v>10208662</v>
      </c>
      <c r="H123" s="28">
        <f>IFERROR(IFERROR(INDEX('WHO GHO Data'!$V$8:$V$201,MATCH('HCW, Staff, Beds Summary'!$C123,'WHO GHO Data'!$C$8:$C$201,0)),INDEX('WHO GHO Data'!$AF$8:$AF$12,MATCH('HCW, Staff, Beds Summary'!$E123,'WHO GHO Data'!$AD$8:$AD$12,0))*$G123/1000),"")</f>
        <v>24268.069462739939</v>
      </c>
      <c r="I123" s="28">
        <f>IFERROR(IFERROR(INDEX('WHO GHO Data'!$U$8:$U$201,MATCH('HCW, Staff, Beds Summary'!$C123,'WHO GHO Data'!$C$8:$C$201,0)),INDEX('WHO GHO Data'!$AE$8:$AE$12,MATCH('HCW, Staff, Beds Summary'!$E123,'WHO GHO Data'!$AD$8:$AD$12,0))*$G123/1000),"")</f>
        <v>29360.619779650387</v>
      </c>
      <c r="J123" s="28">
        <f>IFERROR(IFERROR(INDEX('WHO GHO Data'!$X$8:$X$201,MATCH('HCW, Staff, Beds Summary'!$C123,'WHO GHO Data'!$C$8:$C$201,0)),INDEX('WHO GHO Data'!$AF$8:$AF$12,MATCH('HCW, Staff, Beds Summary'!$E123,'WHO GHO Data'!$AD$8:$AD$12,0))*$G123/1000),"")</f>
        <v>6155.0258982300311</v>
      </c>
      <c r="K123" s="1310">
        <f>IF(INDEX('WB Beds'!$BN$827:$BN$1090,MATCH($C123,'WB Beds'!$C$827:$C$1090,0))="No reported value",INDEX('WB Beds'!$BR$829:$BR$833,MATCH($E123,'WB Beds'!$BP$829:$BP$833,0)),INDEX('WB Beds'!$BN$827:$BN$1090,MATCH($C123,'WB Beds'!$C$827:$C$1090)))</f>
        <v>1.4</v>
      </c>
      <c r="L123" s="1311">
        <f>INDEX('WB Beds'!$BR$836:$BR$840,MATCH($E123,'WB Beds'!$BP$836:$BP$840,0))*100</f>
        <v>3.32</v>
      </c>
      <c r="N123" s="1264">
        <f t="shared" si="3"/>
        <v>14292.126799999998</v>
      </c>
    </row>
    <row r="124" spans="2:14" x14ac:dyDescent="0.35">
      <c r="B124" s="41" t="s">
        <v>425</v>
      </c>
      <c r="C124" s="41" t="s">
        <v>68</v>
      </c>
      <c r="D124" s="129" t="s">
        <v>1100</v>
      </c>
      <c r="E124" s="129" t="s">
        <v>410</v>
      </c>
      <c r="F124" s="129" t="str">
        <f t="shared" si="2"/>
        <v>Not LMIC</v>
      </c>
      <c r="G124" s="28">
        <f>INDEX('UNDP Population Data'!$E$6:$E$269,MATCH($B124,'UNDP Population Data'!$B$6:$B$269,0))</f>
        <v>126495647</v>
      </c>
      <c r="H124" s="28">
        <f>IFERROR(IFERROR(INDEX('WHO GHO Data'!$V$8:$V$201,MATCH('HCW, Staff, Beds Summary'!$C124,'WHO GHO Data'!$C$8:$C$201,0)),INDEX('WHO GHO Data'!$AF$8:$AF$12,MATCH('HCW, Staff, Beds Summary'!$E124,'WHO GHO Data'!$AD$8:$AD$12,0))*$G124/1000),"")</f>
        <v>305252.48928129283</v>
      </c>
      <c r="I124" s="28">
        <f>IFERROR(IFERROR(INDEX('WHO GHO Data'!$U$8:$U$201,MATCH('HCW, Staff, Beds Summary'!$C124,'WHO GHO Data'!$C$8:$C$201,0)),INDEX('WHO GHO Data'!$AE$8:$AE$12,MATCH('HCW, Staff, Beds Summary'!$E124,'WHO GHO Data'!$AD$8:$AD$12,0))*$G124/1000),"")</f>
        <v>1538734.1687159277</v>
      </c>
      <c r="J124" s="28">
        <f>IFERROR(IFERROR(INDEX('WHO GHO Data'!$X$8:$X$201,MATCH('HCW, Staff, Beds Summary'!$C124,'WHO GHO Data'!$C$8:$C$201,0)),INDEX('WHO GHO Data'!$AF$8:$AF$12,MATCH('HCW, Staff, Beds Summary'!$E124,'WHO GHO Data'!$AD$8:$AD$12,0))*$G124/1000),"")</f>
        <v>67476.51663064232</v>
      </c>
      <c r="K124" s="1310">
        <f>IF(INDEX('WB Beds'!$BN$827:$BN$1090,MATCH($C124,'WB Beds'!$C$827:$C$1090,0))="No reported value",INDEX('WB Beds'!$BR$829:$BR$833,MATCH($E124,'WB Beds'!$BP$829:$BP$833,0)),INDEX('WB Beds'!$BN$827:$BN$1090,MATCH($C124,'WB Beds'!$C$827:$C$1090)))</f>
        <v>13.4</v>
      </c>
      <c r="L124" s="1311">
        <f>INDEX('WB Beds'!$BR$836:$BR$840,MATCH($E124,'WB Beds'!$BP$836:$BP$840,0))*100</f>
        <v>3.5700000000000003</v>
      </c>
      <c r="N124" s="1264">
        <f t="shared" si="3"/>
        <v>1695041.6698</v>
      </c>
    </row>
    <row r="125" spans="2:14" x14ac:dyDescent="0.35">
      <c r="B125" s="41" t="s">
        <v>427</v>
      </c>
      <c r="C125" s="41" t="s">
        <v>69</v>
      </c>
      <c r="D125" s="129" t="s">
        <v>1043</v>
      </c>
      <c r="E125" s="129" t="s">
        <v>557</v>
      </c>
      <c r="F125" s="129" t="str">
        <f t="shared" si="2"/>
        <v>LMIC</v>
      </c>
      <c r="G125" s="28">
        <f>INDEX('UNDP Population Data'!$E$6:$E$269,MATCH($B125,'UNDP Population Data'!$B$6:$B$269,0))</f>
        <v>18777139</v>
      </c>
      <c r="H125" s="28">
        <f>IFERROR(IFERROR(INDEX('WHO GHO Data'!$V$8:$V$201,MATCH('HCW, Staff, Beds Summary'!$C125,'WHO GHO Data'!$C$8:$C$201,0)),INDEX('WHO GHO Data'!$AF$8:$AF$12,MATCH('HCW, Staff, Beds Summary'!$E125,'WHO GHO Data'!$AD$8:$AD$12,0))*$G125/1000),"")</f>
        <v>73674.951219575276</v>
      </c>
      <c r="I125" s="28">
        <f>IFERROR(IFERROR(INDEX('WHO GHO Data'!$U$8:$U$201,MATCH('HCW, Staff, Beds Summary'!$C125,'WHO GHO Data'!$C$8:$C$201,0)),INDEX('WHO GHO Data'!$AE$8:$AE$12,MATCH('HCW, Staff, Beds Summary'!$E125,'WHO GHO Data'!$AD$8:$AD$12,0))*$G125/1000),"")</f>
        <v>125563.8962151249</v>
      </c>
      <c r="J125" s="28">
        <f>IFERROR(IFERROR(INDEX('WHO GHO Data'!$X$8:$X$201,MATCH('HCW, Staff, Beds Summary'!$C125,'WHO GHO Data'!$C$8:$C$201,0)),INDEX('WHO GHO Data'!$AF$8:$AF$12,MATCH('HCW, Staff, Beds Summary'!$E125,'WHO GHO Data'!$AD$8:$AD$12,0))*$G125/1000),"")</f>
        <v>3998.7087180289946</v>
      </c>
      <c r="K125" s="1310">
        <f>IF(INDEX('WB Beds'!$BN$827:$BN$1090,MATCH($C125,'WB Beds'!$C$827:$C$1090,0))="No reported value",INDEX('WB Beds'!$BR$829:$BR$833,MATCH($E125,'WB Beds'!$BP$829:$BP$833,0)),INDEX('WB Beds'!$BN$827:$BN$1090,MATCH($C125,'WB Beds'!$C$827:$C$1090)))</f>
        <v>6.7</v>
      </c>
      <c r="L125" s="1311">
        <f>INDEX('WB Beds'!$BR$836:$BR$840,MATCH($E125,'WB Beds'!$BP$836:$BP$840,0))*100</f>
        <v>3.32</v>
      </c>
      <c r="N125" s="1264">
        <f t="shared" si="3"/>
        <v>125806.83129999999</v>
      </c>
    </row>
    <row r="126" spans="2:14" x14ac:dyDescent="0.35">
      <c r="B126" s="41" t="s">
        <v>199</v>
      </c>
      <c r="C126" s="41" t="s">
        <v>70</v>
      </c>
      <c r="D126" s="129" t="s">
        <v>1042</v>
      </c>
      <c r="E126" s="129" t="s">
        <v>454</v>
      </c>
      <c r="F126" s="129" t="str">
        <f t="shared" si="2"/>
        <v>LMIC</v>
      </c>
      <c r="G126" s="28">
        <f>INDEX('UNDP Population Data'!$E$6:$E$269,MATCH($B126,'UNDP Population Data'!$B$6:$B$269,0))</f>
        <v>53491697</v>
      </c>
      <c r="H126" s="28">
        <f>IFERROR(IFERROR(INDEX('WHO GHO Data'!$V$8:$V$201,MATCH('HCW, Staff, Beds Summary'!$C126,'WHO GHO Data'!$C$8:$C$201,0)),INDEX('WHO GHO Data'!$AF$8:$AF$12,MATCH('HCW, Staff, Beds Summary'!$E126,'WHO GHO Data'!$AD$8:$AD$12,0))*$G126/1000),"")</f>
        <v>8452.1738444480598</v>
      </c>
      <c r="I126" s="28">
        <f>IFERROR(IFERROR(INDEX('WHO GHO Data'!$U$8:$U$201,MATCH('HCW, Staff, Beds Summary'!$C126,'WHO GHO Data'!$C$8:$C$201,0)),INDEX('WHO GHO Data'!$AE$8:$AE$12,MATCH('HCW, Staff, Beds Summary'!$E126,'WHO GHO Data'!$AD$8:$AD$12,0))*$G126/1000),"")</f>
        <v>62956.188194016817</v>
      </c>
      <c r="J126" s="28">
        <f>IFERROR(IFERROR(INDEX('WHO GHO Data'!$X$8:$X$201,MATCH('HCW, Staff, Beds Summary'!$C126,'WHO GHO Data'!$C$8:$C$201,0)),INDEX('WHO GHO Data'!$AF$8:$AF$12,MATCH('HCW, Staff, Beds Summary'!$E126,'WHO GHO Data'!$AD$8:$AD$12,0))*$G126/1000),"")</f>
        <v>8932.7682859833112</v>
      </c>
      <c r="K126" s="1310">
        <f>IF(INDEX('WB Beds'!$BN$827:$BN$1090,MATCH($C126,'WB Beds'!$C$827:$C$1090,0))="No reported value",INDEX('WB Beds'!$BR$829:$BR$833,MATCH($E126,'WB Beds'!$BP$829:$BP$833,0)),INDEX('WB Beds'!$BN$827:$BN$1090,MATCH($C126,'WB Beds'!$C$827:$C$1090)))</f>
        <v>1.4</v>
      </c>
      <c r="L126" s="1311">
        <f>INDEX('WB Beds'!$BR$836:$BR$840,MATCH($E126,'WB Beds'!$BP$836:$BP$840,0))*100</f>
        <v>2.3800000000000003</v>
      </c>
      <c r="N126" s="1264">
        <f t="shared" si="3"/>
        <v>74888.375799999994</v>
      </c>
    </row>
    <row r="127" spans="2:14" x14ac:dyDescent="0.35">
      <c r="B127" s="41" t="s">
        <v>432</v>
      </c>
      <c r="C127" s="41" t="s">
        <v>71</v>
      </c>
      <c r="D127" s="129" t="s">
        <v>1043</v>
      </c>
      <c r="E127" s="129" t="s">
        <v>454</v>
      </c>
      <c r="F127" s="129" t="str">
        <f t="shared" si="2"/>
        <v>LMIC</v>
      </c>
      <c r="G127" s="28">
        <f>INDEX('UNDP Population Data'!$E$6:$E$269,MATCH($B127,'UNDP Population Data'!$B$6:$B$269,0))</f>
        <v>6301718</v>
      </c>
      <c r="H127" s="28">
        <f>IFERROR(IFERROR(INDEX('WHO GHO Data'!$V$8:$V$201,MATCH('HCW, Staff, Beds Summary'!$C127,'WHO GHO Data'!$C$8:$C$201,0)),INDEX('WHO GHO Data'!$AF$8:$AF$12,MATCH('HCW, Staff, Beds Summary'!$E127,'WHO GHO Data'!$AD$8:$AD$12,0))*$G127/1000),"")</f>
        <v>14096.989089485078</v>
      </c>
      <c r="I127" s="28">
        <f>IFERROR(IFERROR(INDEX('WHO GHO Data'!$U$8:$U$201,MATCH('HCW, Staff, Beds Summary'!$C127,'WHO GHO Data'!$C$8:$C$201,0)),INDEX('WHO GHO Data'!$AE$8:$AE$12,MATCH('HCW, Staff, Beds Summary'!$E127,'WHO GHO Data'!$AD$8:$AD$12,0))*$G127/1000),"")</f>
        <v>35356.914029913096</v>
      </c>
      <c r="J127" s="28">
        <f>IFERROR(IFERROR(INDEX('WHO GHO Data'!$X$8:$X$201,MATCH('HCW, Staff, Beds Summary'!$C127,'WHO GHO Data'!$C$8:$C$201,0)),INDEX('WHO GHO Data'!$AF$8:$AF$12,MATCH('HCW, Staff, Beds Summary'!$E127,'WHO GHO Data'!$AD$8:$AD$12,0))*$G127/1000),"")</f>
        <v>1622.9375070943493</v>
      </c>
      <c r="K127" s="1310">
        <f>IF(INDEX('WB Beds'!$BN$827:$BN$1090,MATCH($C127,'WB Beds'!$C$827:$C$1090,0))="No reported value",INDEX('WB Beds'!$BR$829:$BR$833,MATCH($E127,'WB Beds'!$BP$829:$BP$833,0)),INDEX('WB Beds'!$BN$827:$BN$1090,MATCH($C127,'WB Beds'!$C$827:$C$1090)))</f>
        <v>4.5</v>
      </c>
      <c r="L127" s="1311">
        <f>INDEX('WB Beds'!$BR$836:$BR$840,MATCH($E127,'WB Beds'!$BP$836:$BP$840,0))*100</f>
        <v>2.3800000000000003</v>
      </c>
      <c r="N127" s="1264">
        <f t="shared" si="3"/>
        <v>28357.731</v>
      </c>
    </row>
    <row r="128" spans="2:14" x14ac:dyDescent="0.35">
      <c r="B128" s="41" t="s">
        <v>247</v>
      </c>
      <c r="C128" s="41" t="s">
        <v>72</v>
      </c>
      <c r="D128" s="129" t="s">
        <v>1100</v>
      </c>
      <c r="E128" s="129" t="s">
        <v>454</v>
      </c>
      <c r="F128" s="129" t="str">
        <f t="shared" si="2"/>
        <v>LMIC</v>
      </c>
      <c r="G128" s="28">
        <f>INDEX('UNDP Population Data'!$E$6:$E$269,MATCH($B128,'UNDP Population Data'!$B$6:$B$269,0))</f>
        <v>16715508.000000002</v>
      </c>
      <c r="H128" s="28">
        <f>IFERROR(IFERROR(INDEX('WHO GHO Data'!$V$8:$V$201,MATCH('HCW, Staff, Beds Summary'!$C128,'WHO GHO Data'!$C$8:$C$201,0)),INDEX('WHO GHO Data'!$AF$8:$AF$12,MATCH('HCW, Staff, Beds Summary'!$E128,'WHO GHO Data'!$AD$8:$AD$12,0))*$G128/1000),"")</f>
        <v>3218.7753188447796</v>
      </c>
      <c r="I128" s="28">
        <f>IFERROR(IFERROR(INDEX('WHO GHO Data'!$U$8:$U$201,MATCH('HCW, Staff, Beds Summary'!$C128,'WHO GHO Data'!$C$8:$C$201,0)),INDEX('WHO GHO Data'!$AE$8:$AE$12,MATCH('HCW, Staff, Beds Summary'!$E128,'WHO GHO Data'!$AD$8:$AD$12,0))*$G128/1000),"")</f>
        <v>11476.324238767455</v>
      </c>
      <c r="J128" s="28">
        <f>IFERROR(IFERROR(INDEX('WHO GHO Data'!$X$8:$X$201,MATCH('HCW, Staff, Beds Summary'!$C128,'WHO GHO Data'!$C$8:$C$201,0)),INDEX('WHO GHO Data'!$AF$8:$AF$12,MATCH('HCW, Staff, Beds Summary'!$E128,'WHO GHO Data'!$AD$8:$AD$12,0))*$G128/1000),"")</f>
        <v>605.70704029891579</v>
      </c>
      <c r="K128" s="1310">
        <f>IF(INDEX('WB Beds'!$BN$827:$BN$1090,MATCH($C128,'WB Beds'!$C$827:$C$1090,0))="No reported value",INDEX('WB Beds'!$BR$829:$BR$833,MATCH($E128,'WB Beds'!$BP$829:$BP$833,0)),INDEX('WB Beds'!$BN$827:$BN$1090,MATCH($C128,'WB Beds'!$C$827:$C$1090)))</f>
        <v>0.8</v>
      </c>
      <c r="L128" s="1311">
        <f>INDEX('WB Beds'!$BR$836:$BR$840,MATCH($E128,'WB Beds'!$BP$836:$BP$840,0))*100</f>
        <v>2.3800000000000003</v>
      </c>
      <c r="N128" s="1264">
        <f t="shared" si="3"/>
        <v>13372.406400000002</v>
      </c>
    </row>
    <row r="129" spans="2:14" x14ac:dyDescent="0.35">
      <c r="B129" s="41" t="s">
        <v>249</v>
      </c>
      <c r="C129" s="41" t="s">
        <v>73</v>
      </c>
      <c r="D129" s="129" t="s">
        <v>1100</v>
      </c>
      <c r="E129" s="129" t="s">
        <v>454</v>
      </c>
      <c r="F129" s="129" t="str">
        <f t="shared" si="2"/>
        <v>LMIC</v>
      </c>
      <c r="G129" s="28">
        <f>INDEX('UNDP Population Data'!$E$6:$E$269,MATCH($B129,'UNDP Population Data'!$B$6:$B$269,0))</f>
        <v>122439</v>
      </c>
      <c r="H129" s="28">
        <f>IFERROR(IFERROR(INDEX('WHO GHO Data'!$V$8:$V$201,MATCH('HCW, Staff, Beds Summary'!$C129,'WHO GHO Data'!$C$8:$C$201,0)),INDEX('WHO GHO Data'!$AF$8:$AF$12,MATCH('HCW, Staff, Beds Summary'!$E129,'WHO GHO Data'!$AD$8:$AD$12,0))*$G129/1000),"")</f>
        <v>24.797029815816046</v>
      </c>
      <c r="I129" s="28">
        <f>IFERROR(IFERROR(INDEX('WHO GHO Data'!$U$8:$U$201,MATCH('HCW, Staff, Beds Summary'!$C129,'WHO GHO Data'!$C$8:$C$201,0)),INDEX('WHO GHO Data'!$AE$8:$AE$12,MATCH('HCW, Staff, Beds Summary'!$E129,'WHO GHO Data'!$AD$8:$AD$12,0))*$G129/1000),"")</f>
        <v>459.44500762340891</v>
      </c>
      <c r="J129" s="28">
        <f>IFERROR(IFERROR(INDEX('WHO GHO Data'!$X$8:$X$201,MATCH('HCW, Staff, Beds Summary'!$C129,'WHO GHO Data'!$C$8:$C$201,0)),INDEX('WHO GHO Data'!$AF$8:$AF$12,MATCH('HCW, Staff, Beds Summary'!$E129,'WHO GHO Data'!$AD$8:$AD$12,0))*$G129/1000),"")</f>
        <v>22.542754378014589</v>
      </c>
      <c r="K129" s="1310">
        <f>IF(INDEX('WB Beds'!$BN$827:$BN$1090,MATCH($C129,'WB Beds'!$C$827:$C$1090,0))="No reported value",INDEX('WB Beds'!$BR$829:$BR$833,MATCH($E129,'WB Beds'!$BP$829:$BP$833,0)),INDEX('WB Beds'!$BN$827:$BN$1090,MATCH($C129,'WB Beds'!$C$827:$C$1090)))</f>
        <v>1.9</v>
      </c>
      <c r="L129" s="1311">
        <f>INDEX('WB Beds'!$BR$836:$BR$840,MATCH($E129,'WB Beds'!$BP$836:$BP$840,0))*100</f>
        <v>2.3800000000000003</v>
      </c>
      <c r="N129" s="1264">
        <f t="shared" si="3"/>
        <v>232.63409999999999</v>
      </c>
    </row>
    <row r="130" spans="2:14" x14ac:dyDescent="0.35">
      <c r="B130" s="41" t="s">
        <v>530</v>
      </c>
      <c r="C130" s="41" t="s">
        <v>531</v>
      </c>
      <c r="D130" s="129" t="s">
        <v>1044</v>
      </c>
      <c r="E130" s="129" t="s">
        <v>410</v>
      </c>
      <c r="F130" s="129" t="str">
        <f t="shared" si="2"/>
        <v>Not LMIC</v>
      </c>
      <c r="G130" s="28">
        <f>INDEX('UNDP Population Data'!$E$6:$E$269,MATCH($B130,'UNDP Population Data'!$B$6:$B$269,0))</f>
        <v>56813</v>
      </c>
      <c r="H130" s="28">
        <f>IFERROR(IFERROR(INDEX('WHO GHO Data'!$V$8:$V$201,MATCH('HCW, Staff, Beds Summary'!$C130,'WHO GHO Data'!$C$8:$C$201,0)),INDEX('WHO GHO Data'!$AF$8:$AF$12,MATCH('HCW, Staff, Beds Summary'!$E130,'WHO GHO Data'!$AD$8:$AD$12,0))*$G130/1000),"")</f>
        <v>143.37203433539636</v>
      </c>
      <c r="I130" s="28">
        <f>IFERROR(IFERROR(INDEX('WHO GHO Data'!$U$8:$U$201,MATCH('HCW, Staff, Beds Summary'!$C130,'WHO GHO Data'!$C$8:$C$201,0)),INDEX('WHO GHO Data'!$AE$8:$AE$12,MATCH('HCW, Staff, Beds Summary'!$E130,'WHO GHO Data'!$AD$8:$AD$12,0))*$G130/1000),"")</f>
        <v>226.04641909814319</v>
      </c>
      <c r="J130" s="28">
        <f>IFERROR(IFERROR(INDEX('WHO GHO Data'!$X$8:$X$201,MATCH('HCW, Staff, Beds Summary'!$C130,'WHO GHO Data'!$C$8:$C$201,0)),INDEX('WHO GHO Data'!$AF$8:$AF$12,MATCH('HCW, Staff, Beds Summary'!$E130,'WHO GHO Data'!$AD$8:$AD$12,0))*$G130/1000),"")</f>
        <v>30.305733282163317</v>
      </c>
      <c r="K130" s="1310">
        <f>IF(INDEX('WB Beds'!$BN$827:$BN$1090,MATCH($C130,'WB Beds'!$C$827:$C$1090,0))="No reported value",INDEX('WB Beds'!$BR$829:$BR$833,MATCH($E130,'WB Beds'!$BP$829:$BP$833,0)),INDEX('WB Beds'!$BN$827:$BN$1090,MATCH($C130,'WB Beds'!$C$827:$C$1090)))</f>
        <v>2.2999999999999998</v>
      </c>
      <c r="L130" s="1311">
        <f>INDEX('WB Beds'!$BR$836:$BR$840,MATCH($E130,'WB Beds'!$BP$836:$BP$840,0))*100</f>
        <v>3.5700000000000003</v>
      </c>
      <c r="N130" s="1264">
        <f t="shared" si="3"/>
        <v>130.66989999999998</v>
      </c>
    </row>
    <row r="131" spans="2:14" x14ac:dyDescent="0.35">
      <c r="B131" s="41" t="s">
        <v>429</v>
      </c>
      <c r="C131" s="41" t="s">
        <v>74</v>
      </c>
      <c r="D131" s="129" t="s">
        <v>1100</v>
      </c>
      <c r="E131" s="129" t="s">
        <v>410</v>
      </c>
      <c r="F131" s="129" t="str">
        <f t="shared" si="2"/>
        <v>Not LMIC</v>
      </c>
      <c r="G131" s="28">
        <f>INDEX('UNDP Population Data'!$E$6:$E$269,MATCH($B131,'UNDP Population Data'!$B$6:$B$269,0))</f>
        <v>51506975</v>
      </c>
      <c r="H131" s="28">
        <f>IFERROR(IFERROR(INDEX('WHO GHO Data'!$V$8:$V$201,MATCH('HCW, Staff, Beds Summary'!$C131,'WHO GHO Data'!$C$8:$C$201,0)),INDEX('WHO GHO Data'!$AF$8:$AF$12,MATCH('HCW, Staff, Beds Summary'!$E131,'WHO GHO Data'!$AD$8:$AD$12,0))*$G131/1000),"")</f>
        <v>121931.88436000975</v>
      </c>
      <c r="I131" s="28">
        <f>IFERROR(IFERROR(INDEX('WHO GHO Data'!$U$8:$U$201,MATCH('HCW, Staff, Beds Summary'!$C131,'WHO GHO Data'!$C$8:$C$201,0)),INDEX('WHO GHO Data'!$AE$8:$AE$12,MATCH('HCW, Staff, Beds Summary'!$E131,'WHO GHO Data'!$AD$8:$AD$12,0))*$G131/1000),"")</f>
        <v>376284.21641083609</v>
      </c>
      <c r="J131" s="28">
        <f>IFERROR(IFERROR(INDEX('WHO GHO Data'!$X$8:$X$201,MATCH('HCW, Staff, Beds Summary'!$C131,'WHO GHO Data'!$C$8:$C$201,0)),INDEX('WHO GHO Data'!$AF$8:$AF$12,MATCH('HCW, Staff, Beds Summary'!$E131,'WHO GHO Data'!$AD$8:$AD$12,0))*$G131/1000),"")</f>
        <v>37295.215939279849</v>
      </c>
      <c r="K131" s="1310">
        <f>IF(INDEX('WB Beds'!$BN$827:$BN$1090,MATCH($C131,'WB Beds'!$C$827:$C$1090,0))="No reported value",INDEX('WB Beds'!$BR$829:$BR$833,MATCH($E131,'WB Beds'!$BP$829:$BP$833,0)),INDEX('WB Beds'!$BN$827:$BN$1090,MATCH($C131,'WB Beds'!$C$827:$C$1090)))</f>
        <v>11.5</v>
      </c>
      <c r="L131" s="1311">
        <f>INDEX('WB Beds'!$BR$836:$BR$840,MATCH($E131,'WB Beds'!$BP$836:$BP$840,0))*100</f>
        <v>3.5700000000000003</v>
      </c>
      <c r="N131" s="1264">
        <f t="shared" si="3"/>
        <v>592330.21250000002</v>
      </c>
    </row>
    <row r="132" spans="2:14" x14ac:dyDescent="0.35">
      <c r="B132" s="41" t="s">
        <v>431</v>
      </c>
      <c r="C132" s="41" t="s">
        <v>75</v>
      </c>
      <c r="D132" s="129" t="s">
        <v>1041</v>
      </c>
      <c r="E132" s="129" t="s">
        <v>410</v>
      </c>
      <c r="F132" s="129" t="str">
        <f t="shared" si="2"/>
        <v>Not LMIC</v>
      </c>
      <c r="G132" s="28">
        <f>INDEX('UNDP Population Data'!$E$6:$E$269,MATCH($B132,'UNDP Population Data'!$B$6:$B$269,0))</f>
        <v>4302875</v>
      </c>
      <c r="H132" s="28">
        <f>IFERROR(IFERROR(INDEX('WHO GHO Data'!$V$8:$V$201,MATCH('HCW, Staff, Beds Summary'!$C132,'WHO GHO Data'!$C$8:$C$201,0)),INDEX('WHO GHO Data'!$AF$8:$AF$12,MATCH('HCW, Staff, Beds Summary'!$E132,'WHO GHO Data'!$AD$8:$AD$12,0))*$G132/1000),"")</f>
        <v>11096.663405147721</v>
      </c>
      <c r="I132" s="28">
        <f>IFERROR(IFERROR(INDEX('WHO GHO Data'!$U$8:$U$201,MATCH('HCW, Staff, Beds Summary'!$C132,'WHO GHO Data'!$C$8:$C$201,0)),INDEX('WHO GHO Data'!$AE$8:$AE$12,MATCH('HCW, Staff, Beds Summary'!$E132,'WHO GHO Data'!$AD$8:$AD$12,0))*$G132/1000),"")</f>
        <v>31789.908457163812</v>
      </c>
      <c r="J132" s="28">
        <f>IFERROR(IFERROR(INDEX('WHO GHO Data'!$X$8:$X$201,MATCH('HCW, Staff, Beds Summary'!$C132,'WHO GHO Data'!$C$8:$C$201,0)),INDEX('WHO GHO Data'!$AF$8:$AF$12,MATCH('HCW, Staff, Beds Summary'!$E132,'WHO GHO Data'!$AD$8:$AD$12,0))*$G132/1000),"")</f>
        <v>2295.2806944975355</v>
      </c>
      <c r="K132" s="1310">
        <f>IF(INDEX('WB Beds'!$BN$827:$BN$1090,MATCH($C132,'WB Beds'!$C$827:$C$1090,0))="No reported value",INDEX('WB Beds'!$BR$829:$BR$833,MATCH($E132,'WB Beds'!$BP$829:$BP$833,0)),INDEX('WB Beds'!$BN$827:$BN$1090,MATCH($C132,'WB Beds'!$C$827:$C$1090)))</f>
        <v>2</v>
      </c>
      <c r="L132" s="1311">
        <f>INDEX('WB Beds'!$BR$836:$BR$840,MATCH($E132,'WB Beds'!$BP$836:$BP$840,0))*100</f>
        <v>3.5700000000000003</v>
      </c>
      <c r="N132" s="1264">
        <f t="shared" si="3"/>
        <v>8605.75</v>
      </c>
    </row>
    <row r="133" spans="2:14" x14ac:dyDescent="0.35">
      <c r="B133" s="41" t="s">
        <v>438</v>
      </c>
      <c r="C133" s="41" t="s">
        <v>439</v>
      </c>
      <c r="D133" s="129" t="s">
        <v>1089</v>
      </c>
      <c r="E133" s="129" t="s">
        <v>742</v>
      </c>
      <c r="F133" s="129" t="str">
        <f t="shared" si="2"/>
        <v>Not LMIC</v>
      </c>
      <c r="G133" s="28">
        <f>INDEX('UNDP Population Data'!$E$6:$E$269,MATCH($B133,'UNDP Population Data'!$B$6:$B$269,0))</f>
        <v>620352000</v>
      </c>
      <c r="H133" s="28" t="str">
        <f>IFERROR(IFERROR(INDEX('WHO GHO Data'!$V$8:$V$201,MATCH('HCW, Staff, Beds Summary'!$C133,'WHO GHO Data'!$C$8:$C$201,0)),INDEX('WHO GHO Data'!$AF$8:$AF$12,MATCH('HCW, Staff, Beds Summary'!$E133,'WHO GHO Data'!$AD$8:$AD$12,0))*$G133/1000),"")</f>
        <v/>
      </c>
      <c r="I133" s="28" t="str">
        <f>IFERROR(IFERROR(INDEX('WHO GHO Data'!$U$8:$U$201,MATCH('HCW, Staff, Beds Summary'!$C133,'WHO GHO Data'!$C$8:$C$201,0)),INDEX('WHO GHO Data'!$AE$8:$AE$12,MATCH('HCW, Staff, Beds Summary'!$E133,'WHO GHO Data'!$AD$8:$AD$12,0))*$G133/1000),"")</f>
        <v/>
      </c>
      <c r="J133" s="28" t="str">
        <f>IFERROR(IFERROR(INDEX('WHO GHO Data'!$X$8:$X$201,MATCH('HCW, Staff, Beds Summary'!$C133,'WHO GHO Data'!$C$8:$C$201,0)),INDEX('WHO GHO Data'!$AF$8:$AF$12,MATCH('HCW, Staff, Beds Summary'!$E133,'WHO GHO Data'!$AD$8:$AD$12,0))*$G133/1000),"")</f>
        <v/>
      </c>
      <c r="K133" s="1310">
        <f>IF(INDEX('WB Beds'!$BN$827:$BN$1090,MATCH($C133,'WB Beds'!$C$827:$C$1090,0))="No reported value",INDEX('WB Beds'!$BR$829:$BR$833,MATCH($E133,'WB Beds'!$BP$829:$BP$833,0)),INDEX('WB Beds'!$BN$827:$BN$1090,MATCH($C133,'WB Beds'!$C$827:$C$1090)))</f>
        <v>2.1629051321494908</v>
      </c>
      <c r="L133" s="1311">
        <f>INDEX('WB Beds'!$BR$836:$BR$840,MATCH($E133,'WB Beds'!$BP$836:$BP$840,0))*100</f>
        <v>2.7250000000000001</v>
      </c>
      <c r="N133" s="1264">
        <f t="shared" si="3"/>
        <v>1341762.5245392008</v>
      </c>
    </row>
    <row r="134" spans="2:14" x14ac:dyDescent="0.35">
      <c r="B134" s="41" t="s">
        <v>433</v>
      </c>
      <c r="C134" s="41" t="s">
        <v>76</v>
      </c>
      <c r="D134" s="129" t="s">
        <v>1100</v>
      </c>
      <c r="E134" s="129" t="s">
        <v>454</v>
      </c>
      <c r="F134" s="129" t="str">
        <f t="shared" si="2"/>
        <v>LMIC</v>
      </c>
      <c r="G134" s="28">
        <f>INDEX('UNDP Population Data'!$E$6:$E$269,MATCH($B134,'UNDP Population Data'!$B$6:$B$269,0))</f>
        <v>7164822</v>
      </c>
      <c r="H134" s="28">
        <f>IFERROR(IFERROR(INDEX('WHO GHO Data'!$V$8:$V$201,MATCH('HCW, Staff, Beds Summary'!$C134,'WHO GHO Data'!$C$8:$C$201,0)),INDEX('WHO GHO Data'!$AF$8:$AF$12,MATCH('HCW, Staff, Beds Summary'!$E134,'WHO GHO Data'!$AD$8:$AD$12,0))*$G134/1000),"")</f>
        <v>2706.1443172619306</v>
      </c>
      <c r="I134" s="28">
        <f>IFERROR(IFERROR(INDEX('WHO GHO Data'!$U$8:$U$201,MATCH('HCW, Staff, Beds Summary'!$C134,'WHO GHO Data'!$C$8:$C$201,0)),INDEX('WHO GHO Data'!$AE$8:$AE$12,MATCH('HCW, Staff, Beds Summary'!$E134,'WHO GHO Data'!$AD$8:$AD$12,0))*$G134/1000),"")</f>
        <v>6921.7631081459394</v>
      </c>
      <c r="J134" s="28">
        <f>IFERROR(IFERROR(INDEX('WHO GHO Data'!$X$8:$X$201,MATCH('HCW, Staff, Beds Summary'!$C134,'WHO GHO Data'!$C$8:$C$201,0)),INDEX('WHO GHO Data'!$AF$8:$AF$12,MATCH('HCW, Staff, Beds Summary'!$E134,'WHO GHO Data'!$AD$8:$AD$12,0))*$G134/1000),"")</f>
        <v>693.78386721485242</v>
      </c>
      <c r="K134" s="1310">
        <f>IF(INDEX('WB Beds'!$BN$827:$BN$1090,MATCH($C134,'WB Beds'!$C$827:$C$1090,0))="No reported value",INDEX('WB Beds'!$BR$829:$BR$833,MATCH($E134,'WB Beds'!$BP$829:$BP$833,0)),INDEX('WB Beds'!$BN$827:$BN$1090,MATCH($C134,'WB Beds'!$C$827:$C$1090)))</f>
        <v>1.5</v>
      </c>
      <c r="L134" s="1311">
        <f>INDEX('WB Beds'!$BR$836:$BR$840,MATCH($E134,'WB Beds'!$BP$836:$BP$840,0))*100</f>
        <v>2.3800000000000003</v>
      </c>
      <c r="N134" s="1264">
        <f t="shared" si="3"/>
        <v>10747.233</v>
      </c>
    </row>
    <row r="135" spans="2:14" x14ac:dyDescent="0.35">
      <c r="B135" s="41" t="s">
        <v>445</v>
      </c>
      <c r="C135" s="41" t="s">
        <v>77</v>
      </c>
      <c r="D135" s="129" t="s">
        <v>1041</v>
      </c>
      <c r="E135" s="129" t="s">
        <v>557</v>
      </c>
      <c r="F135" s="129" t="str">
        <f t="shared" si="2"/>
        <v>LMIC</v>
      </c>
      <c r="G135" s="28">
        <f>INDEX('UNDP Population Data'!$E$6:$E$269,MATCH($B135,'UNDP Population Data'!$B$6:$B$269,0))</f>
        <v>6019795</v>
      </c>
      <c r="H135" s="28">
        <f>IFERROR(IFERROR(INDEX('WHO GHO Data'!$V$8:$V$201,MATCH('HCW, Staff, Beds Summary'!$C135,'WHO GHO Data'!$C$8:$C$201,0)),INDEX('WHO GHO Data'!$AF$8:$AF$12,MATCH('HCW, Staff, Beds Summary'!$E135,'WHO GHO Data'!$AD$8:$AD$12,0))*$G135/1000),"")</f>
        <v>14595.630057281967</v>
      </c>
      <c r="I135" s="28">
        <f>IFERROR(IFERROR(INDEX('WHO GHO Data'!$U$8:$U$201,MATCH('HCW, Staff, Beds Summary'!$C135,'WHO GHO Data'!$C$8:$C$201,0)),INDEX('WHO GHO Data'!$AE$8:$AE$12,MATCH('HCW, Staff, Beds Summary'!$E135,'WHO GHO Data'!$AD$8:$AD$12,0))*$G135/1000),"")</f>
        <v>10497.404501734429</v>
      </c>
      <c r="J135" s="28">
        <f>IFERROR(IFERROR(INDEX('WHO GHO Data'!$X$8:$X$201,MATCH('HCW, Staff, Beds Summary'!$C135,'WHO GHO Data'!$C$8:$C$201,0)),INDEX('WHO GHO Data'!$AF$8:$AF$12,MATCH('HCW, Staff, Beds Summary'!$E135,'WHO GHO Data'!$AD$8:$AD$12,0))*$G135/1000),"")</f>
        <v>582.508055332769</v>
      </c>
      <c r="K135" s="1310">
        <f>IF(INDEX('WB Beds'!$BN$827:$BN$1090,MATCH($C135,'WB Beds'!$C$827:$C$1090,0))="No reported value",INDEX('WB Beds'!$BR$829:$BR$833,MATCH($E135,'WB Beds'!$BP$829:$BP$833,0)),INDEX('WB Beds'!$BN$827:$BN$1090,MATCH($C135,'WB Beds'!$C$827:$C$1090)))</f>
        <v>2.9</v>
      </c>
      <c r="L135" s="1311">
        <f>INDEX('WB Beds'!$BR$836:$BR$840,MATCH($E135,'WB Beds'!$BP$836:$BP$840,0))*100</f>
        <v>3.32</v>
      </c>
      <c r="N135" s="1264">
        <f t="shared" si="3"/>
        <v>17457.405500000001</v>
      </c>
    </row>
    <row r="136" spans="2:14" x14ac:dyDescent="0.35">
      <c r="B136" s="41" t="s">
        <v>201</v>
      </c>
      <c r="C136" s="41" t="s">
        <v>78</v>
      </c>
      <c r="D136" s="129" t="s">
        <v>1042</v>
      </c>
      <c r="E136" s="129" t="s">
        <v>452</v>
      </c>
      <c r="F136" s="129" t="str">
        <f t="shared" ref="F136:F199" si="4">IF(OR(E136="High income",E136="Out"),"Not LMIC","LMIC")</f>
        <v>LMIC</v>
      </c>
      <c r="G136" s="28">
        <f>INDEX('UNDP Population Data'!$E$6:$E$269,MATCH($B136,'UNDP Population Data'!$B$6:$B$269,0))</f>
        <v>5103853</v>
      </c>
      <c r="H136" s="28">
        <f>IFERROR(IFERROR(INDEX('WHO GHO Data'!$V$8:$V$201,MATCH('HCW, Staff, Beds Summary'!$C136,'WHO GHO Data'!$C$8:$C$201,0)),INDEX('WHO GHO Data'!$AF$8:$AF$12,MATCH('HCW, Staff, Beds Summary'!$E136,'WHO GHO Data'!$AD$8:$AD$12,0))*$G136/1000),"")</f>
        <v>190.55989471113222</v>
      </c>
      <c r="I136" s="28">
        <f>IFERROR(IFERROR(INDEX('WHO GHO Data'!$U$8:$U$201,MATCH('HCW, Staff, Beds Summary'!$C136,'WHO GHO Data'!$C$8:$C$201,0)),INDEX('WHO GHO Data'!$AE$8:$AE$12,MATCH('HCW, Staff, Beds Summary'!$E136,'WHO GHO Data'!$AD$8:$AD$12,0))*$G136/1000),"")</f>
        <v>2696.5402664214662</v>
      </c>
      <c r="J136" s="28">
        <f>IFERROR(IFERROR(INDEX('WHO GHO Data'!$X$8:$X$201,MATCH('HCW, Staff, Beds Summary'!$C136,'WHO GHO Data'!$C$8:$C$201,0)),INDEX('WHO GHO Data'!$AF$8:$AF$12,MATCH('HCW, Staff, Beds Summary'!$E136,'WHO GHO Data'!$AD$8:$AD$12,0))*$G136/1000),"")</f>
        <v>483.76260011307716</v>
      </c>
      <c r="K136" s="1310">
        <f>IF(INDEX('WB Beds'!$BN$827:$BN$1090,MATCH($C136,'WB Beds'!$C$827:$C$1090,0))="No reported value",INDEX('WB Beds'!$BR$829:$BR$833,MATCH($E136,'WB Beds'!$BP$829:$BP$833,0)),INDEX('WB Beds'!$BN$827:$BN$1090,MATCH($C136,'WB Beds'!$C$827:$C$1090)))</f>
        <v>0.8</v>
      </c>
      <c r="L136" s="1311">
        <f>INDEX('WB Beds'!$BR$836:$BR$840,MATCH($E136,'WB Beds'!$BP$836:$BP$840,0))*100</f>
        <v>1.63</v>
      </c>
      <c r="N136" s="1264">
        <f t="shared" ref="N136:N199" si="5">K136*G136/1000</f>
        <v>4083.0824000000002</v>
      </c>
    </row>
    <row r="137" spans="2:14" x14ac:dyDescent="0.35">
      <c r="B137" s="41" t="s">
        <v>446</v>
      </c>
      <c r="C137" s="41" t="s">
        <v>79</v>
      </c>
      <c r="D137" s="129" t="s">
        <v>1041</v>
      </c>
      <c r="E137" s="129" t="s">
        <v>557</v>
      </c>
      <c r="F137" s="129" t="str">
        <f t="shared" si="4"/>
        <v>LMIC</v>
      </c>
      <c r="G137" s="28">
        <f>INDEX('UNDP Population Data'!$E$6:$E$269,MATCH($B137,'UNDP Population Data'!$B$6:$B$269,0))</f>
        <v>6662173</v>
      </c>
      <c r="H137" s="28">
        <f>IFERROR(IFERROR(INDEX('WHO GHO Data'!$V$8:$V$201,MATCH('HCW, Staff, Beds Summary'!$C137,'WHO GHO Data'!$C$8:$C$201,0)),INDEX('WHO GHO Data'!$AF$8:$AF$12,MATCH('HCW, Staff, Beds Summary'!$E137,'WHO GHO Data'!$AD$8:$AD$12,0))*$G137/1000),"")</f>
        <v>14315.063765241295</v>
      </c>
      <c r="I137" s="28">
        <f>IFERROR(IFERROR(INDEX('WHO GHO Data'!$U$8:$U$201,MATCH('HCW, Staff, Beds Summary'!$C137,'WHO GHO Data'!$C$8:$C$201,0)),INDEX('WHO GHO Data'!$AE$8:$AE$12,MATCH('HCW, Staff, Beds Summary'!$E137,'WHO GHO Data'!$AD$8:$AD$12,0))*$G137/1000),"")</f>
        <v>43635.086423757253</v>
      </c>
      <c r="J137" s="28">
        <f>IFERROR(IFERROR(INDEX('WHO GHO Data'!$X$8:$X$201,MATCH('HCW, Staff, Beds Summary'!$C137,'WHO GHO Data'!$C$8:$C$201,0)),INDEX('WHO GHO Data'!$AF$8:$AF$12,MATCH('HCW, Staff, Beds Summary'!$E137,'WHO GHO Data'!$AD$8:$AD$12,0))*$G137/1000),"")</f>
        <v>1418.7512408635514</v>
      </c>
      <c r="K137" s="1310">
        <f>IF(INDEX('WB Beds'!$BN$827:$BN$1090,MATCH($C137,'WB Beds'!$C$827:$C$1090,0))="No reported value",INDEX('WB Beds'!$BR$829:$BR$833,MATCH($E137,'WB Beds'!$BP$829:$BP$833,0)),INDEX('WB Beds'!$BN$827:$BN$1090,MATCH($C137,'WB Beds'!$C$827:$C$1090)))</f>
        <v>3.7</v>
      </c>
      <c r="L137" s="1311">
        <f>INDEX('WB Beds'!$BR$836:$BR$840,MATCH($E137,'WB Beds'!$BP$836:$BP$840,0))*100</f>
        <v>3.32</v>
      </c>
      <c r="N137" s="1264">
        <f t="shared" si="5"/>
        <v>24650.040100000002</v>
      </c>
    </row>
    <row r="138" spans="2:14" x14ac:dyDescent="0.35">
      <c r="B138" s="41" t="s">
        <v>532</v>
      </c>
      <c r="C138" s="41" t="s">
        <v>80</v>
      </c>
      <c r="D138" s="129" t="s">
        <v>1044</v>
      </c>
      <c r="E138" s="129" t="s">
        <v>557</v>
      </c>
      <c r="F138" s="129" t="str">
        <f t="shared" si="4"/>
        <v>LMIC</v>
      </c>
      <c r="G138" s="28">
        <f>INDEX('UNDP Population Data'!$E$6:$E$269,MATCH($B138,'UNDP Population Data'!$B$6:$B$269,0))</f>
        <v>181203</v>
      </c>
      <c r="H138" s="28">
        <f>IFERROR(IFERROR(INDEX('WHO GHO Data'!$V$8:$V$201,MATCH('HCW, Staff, Beds Summary'!$C138,'WHO GHO Data'!$C$8:$C$201,0)),INDEX('WHO GHO Data'!$AF$8:$AF$12,MATCH('HCW, Staff, Beds Summary'!$E138,'WHO GHO Data'!$AD$8:$AD$12,0))*$G138/1000),"")</f>
        <v>117.56286624506194</v>
      </c>
      <c r="I138" s="28">
        <f>IFERROR(IFERROR(INDEX('WHO GHO Data'!$U$8:$U$201,MATCH('HCW, Staff, Beds Summary'!$C138,'WHO GHO Data'!$C$8:$C$201,0)),INDEX('WHO GHO Data'!$AE$8:$AE$12,MATCH('HCW, Staff, Beds Summary'!$E138,'WHO GHO Data'!$AD$8:$AD$12,0))*$G138/1000),"")</f>
        <v>482.41314079870244</v>
      </c>
      <c r="J138" s="28">
        <f>IFERROR(IFERROR(INDEX('WHO GHO Data'!$X$8:$X$201,MATCH('HCW, Staff, Beds Summary'!$C138,'WHO GHO Data'!$C$8:$C$201,0)),INDEX('WHO GHO Data'!$AF$8:$AF$12,MATCH('HCW, Staff, Beds Summary'!$E138,'WHO GHO Data'!$AD$8:$AD$12,0))*$G138/1000),"")</f>
        <v>38.58830761347658</v>
      </c>
      <c r="K138" s="1310">
        <f>IF(INDEX('WB Beds'!$BN$827:$BN$1090,MATCH($C138,'WB Beds'!$C$827:$C$1090,0))="No reported value",INDEX('WB Beds'!$BR$829:$BR$833,MATCH($E138,'WB Beds'!$BP$829:$BP$833,0)),INDEX('WB Beds'!$BN$827:$BN$1090,MATCH($C138,'WB Beds'!$C$827:$C$1090)))</f>
        <v>1.3</v>
      </c>
      <c r="L138" s="1311">
        <f>INDEX('WB Beds'!$BR$836:$BR$840,MATCH($E138,'WB Beds'!$BP$836:$BP$840,0))*100</f>
        <v>3.32</v>
      </c>
      <c r="N138" s="1264">
        <f t="shared" si="5"/>
        <v>235.56389999999999</v>
      </c>
    </row>
    <row r="139" spans="2:14" x14ac:dyDescent="0.35">
      <c r="B139" s="41" t="s">
        <v>436</v>
      </c>
      <c r="C139" s="41" t="s">
        <v>437</v>
      </c>
      <c r="D139" s="129" t="s">
        <v>1089</v>
      </c>
      <c r="E139" s="129" t="s">
        <v>742</v>
      </c>
      <c r="F139" s="129" t="str">
        <f t="shared" si="4"/>
        <v>Not LMIC</v>
      </c>
      <c r="G139" s="28">
        <f>INDEX('UNDP Population Data'!$E$6:$E$269,MATCH($B139,'UNDP Population Data'!$B$6:$B$269,0))</f>
        <v>653182000</v>
      </c>
      <c r="H139" s="28" t="str">
        <f>IFERROR(IFERROR(INDEX('WHO GHO Data'!$V$8:$V$201,MATCH('HCW, Staff, Beds Summary'!$C139,'WHO GHO Data'!$C$8:$C$201,0)),INDEX('WHO GHO Data'!$AF$8:$AF$12,MATCH('HCW, Staff, Beds Summary'!$E139,'WHO GHO Data'!$AD$8:$AD$12,0))*$G139/1000),"")</f>
        <v/>
      </c>
      <c r="I139" s="28" t="str">
        <f>IFERROR(IFERROR(INDEX('WHO GHO Data'!$U$8:$U$201,MATCH('HCW, Staff, Beds Summary'!$C139,'WHO GHO Data'!$C$8:$C$201,0)),INDEX('WHO GHO Data'!$AE$8:$AE$12,MATCH('HCW, Staff, Beds Summary'!$E139,'WHO GHO Data'!$AD$8:$AD$12,0))*$G139/1000),"")</f>
        <v/>
      </c>
      <c r="J139" s="28" t="str">
        <f>IFERROR(IFERROR(INDEX('WHO GHO Data'!$X$8:$X$201,MATCH('HCW, Staff, Beds Summary'!$C139,'WHO GHO Data'!$C$8:$C$201,0)),INDEX('WHO GHO Data'!$AF$8:$AF$12,MATCH('HCW, Staff, Beds Summary'!$E139,'WHO GHO Data'!$AD$8:$AD$12,0))*$G139/1000),"")</f>
        <v/>
      </c>
      <c r="K139" s="1310">
        <f>IF(INDEX('WB Beds'!$BN$827:$BN$1090,MATCH($C139,'WB Beds'!$C$827:$C$1090,0))="No reported value",INDEX('WB Beds'!$BR$829:$BR$833,MATCH($E139,'WB Beds'!$BP$829:$BP$833,0)),INDEX('WB Beds'!$BN$827:$BN$1090,MATCH($C139,'WB Beds'!$C$827:$C$1090)))</f>
        <v>2.1732772592924778</v>
      </c>
      <c r="L139" s="1311">
        <f>INDEX('WB Beds'!$BR$836:$BR$840,MATCH($E139,'WB Beds'!$BP$836:$BP$840,0))*100</f>
        <v>2.7250000000000001</v>
      </c>
      <c r="N139" s="1264">
        <f t="shared" si="5"/>
        <v>1419545.5867791793</v>
      </c>
    </row>
    <row r="140" spans="2:14" x14ac:dyDescent="0.35">
      <c r="B140" s="41" t="s">
        <v>443</v>
      </c>
      <c r="C140" s="41" t="s">
        <v>444</v>
      </c>
      <c r="D140" s="129" t="s">
        <v>1089</v>
      </c>
      <c r="E140" s="129" t="s">
        <v>742</v>
      </c>
      <c r="F140" s="129" t="str">
        <f t="shared" si="4"/>
        <v>Not LMIC</v>
      </c>
      <c r="G140" s="28">
        <f>INDEX('UNDP Population Data'!$E$6:$E$269,MATCH($B140,'UNDP Population Data'!$B$6:$B$269,0))</f>
        <v>1057439000</v>
      </c>
      <c r="H140" s="28" t="str">
        <f>IFERROR(IFERROR(INDEX('WHO GHO Data'!$V$8:$V$201,MATCH('HCW, Staff, Beds Summary'!$C140,'WHO GHO Data'!$C$8:$C$201,0)),INDEX('WHO GHO Data'!$AF$8:$AF$12,MATCH('HCW, Staff, Beds Summary'!$E140,'WHO GHO Data'!$AD$8:$AD$12,0))*$G140/1000),"")</f>
        <v/>
      </c>
      <c r="I140" s="28" t="str">
        <f>IFERROR(IFERROR(INDEX('WHO GHO Data'!$U$8:$U$201,MATCH('HCW, Staff, Beds Summary'!$C140,'WHO GHO Data'!$C$8:$C$201,0)),INDEX('WHO GHO Data'!$AE$8:$AE$12,MATCH('HCW, Staff, Beds Summary'!$E140,'WHO GHO Data'!$AD$8:$AD$12,0))*$G140/1000),"")</f>
        <v/>
      </c>
      <c r="J140" s="28" t="str">
        <f>IFERROR(IFERROR(INDEX('WHO GHO Data'!$X$8:$X$201,MATCH('HCW, Staff, Beds Summary'!$C140,'WHO GHO Data'!$C$8:$C$201,0)),INDEX('WHO GHO Data'!$AF$8:$AF$12,MATCH('HCW, Staff, Beds Summary'!$E140,'WHO GHO Data'!$AD$8:$AD$12,0))*$G140/1000),"")</f>
        <v/>
      </c>
      <c r="K140" s="1310">
        <f>IF(INDEX('WB Beds'!$BN$827:$BN$1090,MATCH($C140,'WB Beds'!$C$827:$C$1090,0))="No reported value",INDEX('WB Beds'!$BR$829:$BR$833,MATCH($E140,'WB Beds'!$BP$829:$BP$833,0)),INDEX('WB Beds'!$BN$827:$BN$1090,MATCH($C140,'WB Beds'!$C$827:$C$1090)))</f>
        <v>0.73179654582033493</v>
      </c>
      <c r="L140" s="1311">
        <f>INDEX('WB Beds'!$BR$836:$BR$840,MATCH($E140,'WB Beds'!$BP$836:$BP$840,0))*100</f>
        <v>2.7250000000000001</v>
      </c>
      <c r="N140" s="1264">
        <f t="shared" si="5"/>
        <v>773830.20761570917</v>
      </c>
    </row>
    <row r="141" spans="2:14" x14ac:dyDescent="0.35">
      <c r="B141" s="41" t="s">
        <v>452</v>
      </c>
      <c r="C141" s="41" t="s">
        <v>453</v>
      </c>
      <c r="D141" s="129" t="s">
        <v>1089</v>
      </c>
      <c r="E141" s="129" t="s">
        <v>742</v>
      </c>
      <c r="F141" s="129" t="str">
        <f t="shared" si="4"/>
        <v>Not LMIC</v>
      </c>
      <c r="G141" s="28">
        <f>INDEX('UNDP Population Data'!$E$6:$E$269,MATCH($B141,'UNDP Population Data'!$B$6:$B$269,0))</f>
        <v>743236000</v>
      </c>
      <c r="H141" s="28" t="str">
        <f>IFERROR(IFERROR(INDEX('WHO GHO Data'!$V$8:$V$201,MATCH('HCW, Staff, Beds Summary'!$C141,'WHO GHO Data'!$C$8:$C$201,0)),INDEX('WHO GHO Data'!$AF$8:$AF$12,MATCH('HCW, Staff, Beds Summary'!$E141,'WHO GHO Data'!$AD$8:$AD$12,0))*$G141/1000),"")</f>
        <v/>
      </c>
      <c r="I141" s="28" t="str">
        <f>IFERROR(IFERROR(INDEX('WHO GHO Data'!$U$8:$U$201,MATCH('HCW, Staff, Beds Summary'!$C141,'WHO GHO Data'!$C$8:$C$201,0)),INDEX('WHO GHO Data'!$AE$8:$AE$12,MATCH('HCW, Staff, Beds Summary'!$E141,'WHO GHO Data'!$AD$8:$AD$12,0))*$G141/1000),"")</f>
        <v/>
      </c>
      <c r="J141" s="28" t="str">
        <f>IFERROR(IFERROR(INDEX('WHO GHO Data'!$X$8:$X$201,MATCH('HCW, Staff, Beds Summary'!$C141,'WHO GHO Data'!$C$8:$C$201,0)),INDEX('WHO GHO Data'!$AF$8:$AF$12,MATCH('HCW, Staff, Beds Summary'!$E141,'WHO GHO Data'!$AD$8:$AD$12,0))*$G141/1000),"")</f>
        <v/>
      </c>
      <c r="K141" s="1310">
        <f>IF(INDEX('WB Beds'!$BN$827:$BN$1090,MATCH($C141,'WB Beds'!$C$827:$C$1090,0))="No reported value",INDEX('WB Beds'!$BR$829:$BR$833,MATCH($E141,'WB Beds'!$BP$829:$BP$833,0)),INDEX('WB Beds'!$BN$827:$BN$1090,MATCH($C141,'WB Beds'!$C$827:$C$1090)))</f>
        <v>1.1504840579990769</v>
      </c>
      <c r="L141" s="1311">
        <f>INDEX('WB Beds'!$BR$836:$BR$840,MATCH($E141,'WB Beds'!$BP$836:$BP$840,0))*100</f>
        <v>2.7250000000000001</v>
      </c>
      <c r="N141" s="1264">
        <f t="shared" si="5"/>
        <v>855081.16933100205</v>
      </c>
    </row>
    <row r="142" spans="2:14" x14ac:dyDescent="0.35">
      <c r="B142" s="41" t="s">
        <v>447</v>
      </c>
      <c r="C142" s="41" t="s">
        <v>448</v>
      </c>
      <c r="D142" s="129" t="s">
        <v>1089</v>
      </c>
      <c r="E142" s="129" t="s">
        <v>410</v>
      </c>
      <c r="F142" s="129" t="str">
        <f t="shared" si="4"/>
        <v>Not LMIC</v>
      </c>
      <c r="G142" s="28">
        <f>INDEX('UNDP Population Data'!$E$6:$E$269,MATCH($B142,'UNDP Population Data'!$B$6:$B$269,0))</f>
        <v>38645</v>
      </c>
      <c r="H142" s="28">
        <f>IFERROR(IFERROR(INDEX('WHO GHO Data'!$V$8:$V$201,MATCH('HCW, Staff, Beds Summary'!$C142,'WHO GHO Data'!$C$8:$C$201,0)),INDEX('WHO GHO Data'!$AF$8:$AF$12,MATCH('HCW, Staff, Beds Summary'!$E142,'WHO GHO Data'!$AD$8:$AD$12,0))*$G142/1000),"")</f>
        <v>129.05313869111345</v>
      </c>
      <c r="I142" s="28">
        <f>IFERROR(IFERROR(INDEX('WHO GHO Data'!$U$8:$U$201,MATCH('HCW, Staff, Beds Summary'!$C142,'WHO GHO Data'!$C$8:$C$201,0)),INDEX('WHO GHO Data'!$AE$8:$AE$12,MATCH('HCW, Staff, Beds Summary'!$E142,'WHO GHO Data'!$AD$8:$AD$12,0))*$G142/1000),"")</f>
        <v>326.62493570844998</v>
      </c>
      <c r="J142" s="28">
        <f>IFERROR(IFERROR(INDEX('WHO GHO Data'!$X$8:$X$201,MATCH('HCW, Staff, Beds Summary'!$C142,'WHO GHO Data'!$C$8:$C$201,0)),INDEX('WHO GHO Data'!$AF$8:$AF$12,MATCH('HCW, Staff, Beds Summary'!$E142,'WHO GHO Data'!$AD$8:$AD$12,0))*$G142/1000),"")</f>
        <v>129.05313869111345</v>
      </c>
      <c r="K142" s="1310">
        <f>IF(INDEX('WB Beds'!$BN$827:$BN$1090,MATCH($C142,'WB Beds'!$C$827:$C$1090,0))="No reported value",INDEX('WB Beds'!$BR$829:$BR$833,MATCH($E142,'WB Beds'!$BP$829:$BP$833,0)),INDEX('WB Beds'!$BN$827:$BN$1090,MATCH($C142,'WB Beds'!$C$827:$C$1090)))</f>
        <v>4.82</v>
      </c>
      <c r="L142" s="1311">
        <f>INDEX('WB Beds'!$BR$836:$BR$840,MATCH($E142,'WB Beds'!$BP$836:$BP$840,0))*100</f>
        <v>3.5700000000000003</v>
      </c>
      <c r="N142" s="1264">
        <f t="shared" si="5"/>
        <v>186.26890000000003</v>
      </c>
    </row>
    <row r="143" spans="2:14" x14ac:dyDescent="0.35">
      <c r="B143" s="41" t="s">
        <v>245</v>
      </c>
      <c r="C143" s="41" t="s">
        <v>81</v>
      </c>
      <c r="D143" s="129" t="s">
        <v>1045</v>
      </c>
      <c r="E143" s="129" t="s">
        <v>557</v>
      </c>
      <c r="F143" s="129" t="str">
        <f t="shared" si="4"/>
        <v>LMIC</v>
      </c>
      <c r="G143" s="28">
        <f>INDEX('UNDP Population Data'!$E$6:$E$269,MATCH($B143,'UNDP Population Data'!$B$6:$B$269,0))</f>
        <v>21084042</v>
      </c>
      <c r="H143" s="28">
        <f>IFERROR(IFERROR(INDEX('WHO GHO Data'!$V$8:$V$201,MATCH('HCW, Staff, Beds Summary'!$C143,'WHO GHO Data'!$C$8:$C$201,0)),INDEX('WHO GHO Data'!$AF$8:$AF$12,MATCH('HCW, Staff, Beds Summary'!$E143,'WHO GHO Data'!$AD$8:$AD$12,0))*$G143/1000),"")</f>
        <v>21467.493319074525</v>
      </c>
      <c r="I143" s="28">
        <f>IFERROR(IFERROR(INDEX('WHO GHO Data'!$U$8:$U$201,MATCH('HCW, Staff, Beds Summary'!$C143,'WHO GHO Data'!$C$8:$C$201,0)),INDEX('WHO GHO Data'!$AE$8:$AE$12,MATCH('HCW, Staff, Beds Summary'!$E143,'WHO GHO Data'!$AD$8:$AD$12,0))*$G143/1000),"")</f>
        <v>37262.959880172522</v>
      </c>
      <c r="J143" s="28">
        <f>IFERROR(IFERROR(INDEX('WHO GHO Data'!$X$8:$X$201,MATCH('HCW, Staff, Beds Summary'!$C143,'WHO GHO Data'!$C$8:$C$201,0)),INDEX('WHO GHO Data'!$AF$8:$AF$12,MATCH('HCW, Staff, Beds Summary'!$E143,'WHO GHO Data'!$AD$8:$AD$12,0))*$G143/1000),"")</f>
        <v>1863.147994008626</v>
      </c>
      <c r="K143" s="1310">
        <f>IF(INDEX('WB Beds'!$BN$827:$BN$1090,MATCH($C143,'WB Beds'!$C$827:$C$1090,0))="No reported value",INDEX('WB Beds'!$BR$829:$BR$833,MATCH($E143,'WB Beds'!$BP$829:$BP$833,0)),INDEX('WB Beds'!$BN$827:$BN$1090,MATCH($C143,'WB Beds'!$C$827:$C$1090)))</f>
        <v>3.6</v>
      </c>
      <c r="L143" s="1311">
        <f>INDEX('WB Beds'!$BR$836:$BR$840,MATCH($E143,'WB Beds'!$BP$836:$BP$840,0))*100</f>
        <v>3.32</v>
      </c>
      <c r="N143" s="1264">
        <f t="shared" si="5"/>
        <v>75902.551200000002</v>
      </c>
    </row>
    <row r="144" spans="2:14" x14ac:dyDescent="0.35">
      <c r="B144" s="41" t="s">
        <v>454</v>
      </c>
      <c r="C144" s="41" t="s">
        <v>455</v>
      </c>
      <c r="D144" s="129" t="s">
        <v>1089</v>
      </c>
      <c r="E144" s="129" t="s">
        <v>742</v>
      </c>
      <c r="F144" s="129" t="str">
        <f t="shared" si="4"/>
        <v>Not LMIC</v>
      </c>
      <c r="G144" s="28">
        <f>INDEX('UNDP Population Data'!$E$6:$E$269,MATCH($B144,'UNDP Population Data'!$B$6:$B$269,0))</f>
        <v>3105181000</v>
      </c>
      <c r="H144" s="28" t="str">
        <f>IFERROR(IFERROR(INDEX('WHO GHO Data'!$V$8:$V$201,MATCH('HCW, Staff, Beds Summary'!$C144,'WHO GHO Data'!$C$8:$C$201,0)),INDEX('WHO GHO Data'!$AF$8:$AF$12,MATCH('HCW, Staff, Beds Summary'!$E144,'WHO GHO Data'!$AD$8:$AD$12,0))*$G144/1000),"")</f>
        <v/>
      </c>
      <c r="I144" s="28" t="str">
        <f>IFERROR(IFERROR(INDEX('WHO GHO Data'!$U$8:$U$201,MATCH('HCW, Staff, Beds Summary'!$C144,'WHO GHO Data'!$C$8:$C$201,0)),INDEX('WHO GHO Data'!$AE$8:$AE$12,MATCH('HCW, Staff, Beds Summary'!$E144,'WHO GHO Data'!$AD$8:$AD$12,0))*$G144/1000),"")</f>
        <v/>
      </c>
      <c r="J144" s="28" t="str">
        <f>IFERROR(IFERROR(INDEX('WHO GHO Data'!$X$8:$X$201,MATCH('HCW, Staff, Beds Summary'!$C144,'WHO GHO Data'!$C$8:$C$201,0)),INDEX('WHO GHO Data'!$AF$8:$AF$12,MATCH('HCW, Staff, Beds Summary'!$E144,'WHO GHO Data'!$AD$8:$AD$12,0))*$G144/1000),"")</f>
        <v/>
      </c>
      <c r="K144" s="1310">
        <f>IF(INDEX('WB Beds'!$BN$827:$BN$1090,MATCH($C144,'WB Beds'!$C$827:$C$1090,0))="No reported value",INDEX('WB Beds'!$BR$829:$BR$833,MATCH($E144,'WB Beds'!$BP$829:$BP$833,0)),INDEX('WB Beds'!$BN$827:$BN$1090,MATCH($C144,'WB Beds'!$C$827:$C$1090)))</f>
        <v>0.98612363139289738</v>
      </c>
      <c r="L144" s="1311">
        <f>INDEX('WB Beds'!$BR$836:$BR$840,MATCH($E144,'WB Beds'!$BP$836:$BP$840,0))*100</f>
        <v>2.7250000000000001</v>
      </c>
      <c r="N144" s="1264">
        <f t="shared" si="5"/>
        <v>3062092.3638522285</v>
      </c>
    </row>
    <row r="145" spans="2:14" x14ac:dyDescent="0.35">
      <c r="B145" s="41" t="s">
        <v>450</v>
      </c>
      <c r="C145" s="41" t="s">
        <v>451</v>
      </c>
      <c r="D145" s="129" t="s">
        <v>1089</v>
      </c>
      <c r="E145" s="129" t="s">
        <v>742</v>
      </c>
      <c r="F145" s="129" t="str">
        <f t="shared" si="4"/>
        <v>Not LMIC</v>
      </c>
      <c r="G145" s="28">
        <f>INDEX('UNDP Population Data'!$E$6:$E$269,MATCH($B145,'UNDP Population Data'!$B$6:$B$269,0))</f>
        <v>6534303000</v>
      </c>
      <c r="H145" s="28" t="str">
        <f>IFERROR(IFERROR(INDEX('WHO GHO Data'!$V$8:$V$201,MATCH('HCW, Staff, Beds Summary'!$C145,'WHO GHO Data'!$C$8:$C$201,0)),INDEX('WHO GHO Data'!$AF$8:$AF$12,MATCH('HCW, Staff, Beds Summary'!$E145,'WHO GHO Data'!$AD$8:$AD$12,0))*$G145/1000),"")</f>
        <v/>
      </c>
      <c r="I145" s="28" t="str">
        <f>IFERROR(IFERROR(INDEX('WHO GHO Data'!$U$8:$U$201,MATCH('HCW, Staff, Beds Summary'!$C145,'WHO GHO Data'!$C$8:$C$201,0)),INDEX('WHO GHO Data'!$AE$8:$AE$12,MATCH('HCW, Staff, Beds Summary'!$E145,'WHO GHO Data'!$AD$8:$AD$12,0))*$G145/1000),"")</f>
        <v/>
      </c>
      <c r="J145" s="28" t="str">
        <f>IFERROR(IFERROR(INDEX('WHO GHO Data'!$X$8:$X$201,MATCH('HCW, Staff, Beds Summary'!$C145,'WHO GHO Data'!$C$8:$C$201,0)),INDEX('WHO GHO Data'!$AF$8:$AF$12,MATCH('HCW, Staff, Beds Summary'!$E145,'WHO GHO Data'!$AD$8:$AD$12,0))*$G145/1000),"")</f>
        <v/>
      </c>
      <c r="K145" s="1310">
        <f>IF(INDEX('WB Beds'!$BN$827:$BN$1090,MATCH($C145,'WB Beds'!$C$827:$C$1090,0))="No reported value",INDEX('WB Beds'!$BR$829:$BR$833,MATCH($E145,'WB Beds'!$BP$829:$BP$833,0)),INDEX('WB Beds'!$BN$827:$BN$1090,MATCH($C145,'WB Beds'!$C$827:$C$1090)))</f>
        <v>2.4320061049447586</v>
      </c>
      <c r="L145" s="1311">
        <f>INDEX('WB Beds'!$BR$836:$BR$840,MATCH($E145,'WB Beds'!$BP$836:$BP$840,0))*100</f>
        <v>2.7250000000000001</v>
      </c>
      <c r="N145" s="1264">
        <f t="shared" si="5"/>
        <v>15891464.787558852</v>
      </c>
    </row>
    <row r="146" spans="2:14" x14ac:dyDescent="0.35">
      <c r="B146" s="41" t="s">
        <v>200</v>
      </c>
      <c r="C146" s="41" t="s">
        <v>167</v>
      </c>
      <c r="D146" s="129" t="s">
        <v>1042</v>
      </c>
      <c r="E146" s="129" t="s">
        <v>454</v>
      </c>
      <c r="F146" s="129" t="str">
        <f t="shared" si="4"/>
        <v>LMIC</v>
      </c>
      <c r="G146" s="28">
        <f>INDEX('UNDP Population Data'!$E$6:$E$269,MATCH($B146,'UNDP Population Data'!$B$6:$B$269,0))</f>
        <v>2322217</v>
      </c>
      <c r="H146" s="28">
        <f>IFERROR(IFERROR(INDEX('WHO GHO Data'!$V$8:$V$201,MATCH('HCW, Staff, Beds Summary'!$C146,'WHO GHO Data'!$C$8:$C$201,0)),INDEX('WHO GHO Data'!$AF$8:$AF$12,MATCH('HCW, Staff, Beds Summary'!$E146,'WHO GHO Data'!$AD$8:$AD$12,0))*$G146/1000),"")</f>
        <v>157.36492718809393</v>
      </c>
      <c r="I146" s="28">
        <f>IFERROR(IFERROR(INDEX('WHO GHO Data'!$U$8:$U$201,MATCH('HCW, Staff, Beds Summary'!$C146,'WHO GHO Data'!$C$8:$C$201,0)),INDEX('WHO GHO Data'!$AE$8:$AE$12,MATCH('HCW, Staff, Beds Summary'!$E146,'WHO GHO Data'!$AD$8:$AD$12,0))*$G146/1000),"")</f>
        <v>7048.7088276399245</v>
      </c>
      <c r="J146" s="28">
        <f>IFERROR(IFERROR(INDEX('WHO GHO Data'!$X$8:$X$201,MATCH('HCW, Staff, Beds Summary'!$C146,'WHO GHO Data'!$C$8:$C$201,0)),INDEX('WHO GHO Data'!$AF$8:$AF$12,MATCH('HCW, Staff, Beds Summary'!$E146,'WHO GHO Data'!$AD$8:$AD$12,0))*$G146/1000),"")</f>
        <v>91.258204536376837</v>
      </c>
      <c r="K146" s="1310">
        <f>IF(INDEX('WB Beds'!$BN$827:$BN$1090,MATCH($C146,'WB Beds'!$C$827:$C$1090,0))="No reported value",INDEX('WB Beds'!$BR$829:$BR$833,MATCH($E146,'WB Beds'!$BP$829:$BP$833,0)),INDEX('WB Beds'!$BN$827:$BN$1090,MATCH($C146,'WB Beds'!$C$827:$C$1090)))</f>
        <v>1.3</v>
      </c>
      <c r="L146" s="1311">
        <f>INDEX('WB Beds'!$BR$836:$BR$840,MATCH($E146,'WB Beds'!$BP$836:$BP$840,0))*100</f>
        <v>2.3800000000000003</v>
      </c>
      <c r="N146" s="1264">
        <f t="shared" si="5"/>
        <v>3018.8821000000003</v>
      </c>
    </row>
    <row r="147" spans="2:14" x14ac:dyDescent="0.35">
      <c r="B147" s="41" t="s">
        <v>434</v>
      </c>
      <c r="C147" s="41" t="s">
        <v>435</v>
      </c>
      <c r="D147" s="129" t="s">
        <v>1089</v>
      </c>
      <c r="E147" s="129" t="s">
        <v>742</v>
      </c>
      <c r="F147" s="129" t="str">
        <f t="shared" si="4"/>
        <v>Not LMIC</v>
      </c>
      <c r="G147" s="28">
        <f>INDEX('UNDP Population Data'!$E$6:$E$269,MATCH($B147,'UNDP Population Data'!$B$6:$B$269,0))</f>
        <v>2307681000</v>
      </c>
      <c r="H147" s="28" t="str">
        <f>IFERROR(IFERROR(INDEX('WHO GHO Data'!$V$8:$V$201,MATCH('HCW, Staff, Beds Summary'!$C147,'WHO GHO Data'!$C$8:$C$201,0)),INDEX('WHO GHO Data'!$AF$8:$AF$12,MATCH('HCW, Staff, Beds Summary'!$E147,'WHO GHO Data'!$AD$8:$AD$12,0))*$G147/1000),"")</f>
        <v/>
      </c>
      <c r="I147" s="28" t="str">
        <f>IFERROR(IFERROR(INDEX('WHO GHO Data'!$U$8:$U$201,MATCH('HCW, Staff, Beds Summary'!$C147,'WHO GHO Data'!$C$8:$C$201,0)),INDEX('WHO GHO Data'!$AE$8:$AE$12,MATCH('HCW, Staff, Beds Summary'!$E147,'WHO GHO Data'!$AD$8:$AD$12,0))*$G147/1000),"")</f>
        <v/>
      </c>
      <c r="J147" s="28" t="str">
        <f>IFERROR(IFERROR(INDEX('WHO GHO Data'!$X$8:$X$201,MATCH('HCW, Staff, Beds Summary'!$C147,'WHO GHO Data'!$C$8:$C$201,0)),INDEX('WHO GHO Data'!$AF$8:$AF$12,MATCH('HCW, Staff, Beds Summary'!$E147,'WHO GHO Data'!$AD$8:$AD$12,0))*$G147/1000),"")</f>
        <v/>
      </c>
      <c r="K147" s="1310">
        <f>IF(INDEX('WB Beds'!$BN$827:$BN$1090,MATCH($C147,'WB Beds'!$C$827:$C$1090,0))="No reported value",INDEX('WB Beds'!$BR$829:$BR$833,MATCH($E147,'WB Beds'!$BP$829:$BP$833,0)),INDEX('WB Beds'!$BN$827:$BN$1090,MATCH($C147,'WB Beds'!$C$827:$C$1090)))</f>
        <v>4.2193819656913014</v>
      </c>
      <c r="L147" s="1311">
        <f>INDEX('WB Beds'!$BR$836:$BR$840,MATCH($E147,'WB Beds'!$BP$836:$BP$840,0))*100</f>
        <v>2.7250000000000001</v>
      </c>
      <c r="N147" s="1264">
        <f t="shared" si="5"/>
        <v>9736987.5939684678</v>
      </c>
    </row>
    <row r="148" spans="2:14" x14ac:dyDescent="0.35">
      <c r="B148" s="41" t="s">
        <v>449</v>
      </c>
      <c r="C148" s="41" t="s">
        <v>82</v>
      </c>
      <c r="D148" s="129" t="s">
        <v>1043</v>
      </c>
      <c r="E148" s="129" t="s">
        <v>410</v>
      </c>
      <c r="F148" s="129" t="str">
        <f t="shared" si="4"/>
        <v>Not LMIC</v>
      </c>
      <c r="G148" s="28">
        <f>INDEX('UNDP Population Data'!$E$6:$E$269,MATCH($B148,'UNDP Population Data'!$B$6:$B$269,0))</f>
        <v>2852478</v>
      </c>
      <c r="H148" s="28">
        <f>IFERROR(IFERROR(INDEX('WHO GHO Data'!$V$8:$V$201,MATCH('HCW, Staff, Beds Summary'!$C148,'WHO GHO Data'!$C$8:$C$201,0)),INDEX('WHO GHO Data'!$AF$8:$AF$12,MATCH('HCW, Staff, Beds Summary'!$E148,'WHO GHO Data'!$AD$8:$AD$12,0))*$G148/1000),"")</f>
        <v>17601.517695690764</v>
      </c>
      <c r="I148" s="28">
        <f>IFERROR(IFERROR(INDEX('WHO GHO Data'!$U$8:$U$201,MATCH('HCW, Staff, Beds Summary'!$C148,'WHO GHO Data'!$C$8:$C$201,0)),INDEX('WHO GHO Data'!$AE$8:$AE$12,MATCH('HCW, Staff, Beds Summary'!$E148,'WHO GHO Data'!$AD$8:$AD$12,0))*$G148/1000),"")</f>
        <v>26149.074221098697</v>
      </c>
      <c r="J148" s="28">
        <f>IFERROR(IFERROR(INDEX('WHO GHO Data'!$X$8:$X$201,MATCH('HCW, Staff, Beds Summary'!$C148,'WHO GHO Data'!$C$8:$C$201,0)),INDEX('WHO GHO Data'!$AF$8:$AF$12,MATCH('HCW, Staff, Beds Summary'!$E148,'WHO GHO Data'!$AD$8:$AD$12,0))*$G148/1000),"")</f>
        <v>1521.596068879282</v>
      </c>
      <c r="K148" s="1310">
        <f>IF(INDEX('WB Beds'!$BN$827:$BN$1090,MATCH($C148,'WB Beds'!$C$827:$C$1090,0))="No reported value",INDEX('WB Beds'!$BR$829:$BR$833,MATCH($E148,'WB Beds'!$BP$829:$BP$833,0)),INDEX('WB Beds'!$BN$827:$BN$1090,MATCH($C148,'WB Beds'!$C$827:$C$1090)))</f>
        <v>7.3</v>
      </c>
      <c r="L148" s="1311">
        <f>INDEX('WB Beds'!$BR$836:$BR$840,MATCH($E148,'WB Beds'!$BP$836:$BP$840,0))*100</f>
        <v>3.5700000000000003</v>
      </c>
      <c r="N148" s="1264">
        <f t="shared" si="5"/>
        <v>20823.089399999997</v>
      </c>
    </row>
    <row r="149" spans="2:14" x14ac:dyDescent="0.35">
      <c r="B149" s="41" t="s">
        <v>456</v>
      </c>
      <c r="C149" s="41" t="s">
        <v>83</v>
      </c>
      <c r="D149" s="129" t="s">
        <v>1043</v>
      </c>
      <c r="E149" s="129" t="s">
        <v>410</v>
      </c>
      <c r="F149" s="129" t="str">
        <f t="shared" si="4"/>
        <v>Not LMIC</v>
      </c>
      <c r="G149" s="28">
        <f>INDEX('UNDP Population Data'!$E$6:$E$269,MATCH($B149,'UNDP Population Data'!$B$6:$B$269,0))</f>
        <v>603944</v>
      </c>
      <c r="H149" s="28">
        <f>IFERROR(IFERROR(INDEX('WHO GHO Data'!$V$8:$V$201,MATCH('HCW, Staff, Beds Summary'!$C149,'WHO GHO Data'!$C$8:$C$201,0)),INDEX('WHO GHO Data'!$AF$8:$AF$12,MATCH('HCW, Staff, Beds Summary'!$E149,'WHO GHO Data'!$AD$8:$AD$12,0))*$G149/1000),"")</f>
        <v>1850.2531097336364</v>
      </c>
      <c r="I149" s="28">
        <f>IFERROR(IFERROR(INDEX('WHO GHO Data'!$U$8:$U$201,MATCH('HCW, Staff, Beds Summary'!$C149,'WHO GHO Data'!$C$8:$C$201,0)),INDEX('WHO GHO Data'!$AE$8:$AE$12,MATCH('HCW, Staff, Beds Summary'!$E149,'WHO GHO Data'!$AD$8:$AD$12,0))*$G149/1000),"")</f>
        <v>7263.879698628627</v>
      </c>
      <c r="J149" s="28">
        <f>IFERROR(IFERROR(INDEX('WHO GHO Data'!$X$8:$X$201,MATCH('HCW, Staff, Beds Summary'!$C149,'WHO GHO Data'!$C$8:$C$201,0)),INDEX('WHO GHO Data'!$AF$8:$AF$12,MATCH('HCW, Staff, Beds Summary'!$E149,'WHO GHO Data'!$AD$8:$AD$12,0))*$G149/1000),"")</f>
        <v>322.16157888798062</v>
      </c>
      <c r="K149" s="1310">
        <f>IF(INDEX('WB Beds'!$BN$827:$BN$1090,MATCH($C149,'WB Beds'!$C$827:$C$1090,0))="No reported value",INDEX('WB Beds'!$BR$829:$BR$833,MATCH($E149,'WB Beds'!$BP$829:$BP$833,0)),INDEX('WB Beds'!$BN$827:$BN$1090,MATCH($C149,'WB Beds'!$C$827:$C$1090)))</f>
        <v>4.8</v>
      </c>
      <c r="L149" s="1311">
        <f>INDEX('WB Beds'!$BR$836:$BR$840,MATCH($E149,'WB Beds'!$BP$836:$BP$840,0))*100</f>
        <v>3.5700000000000003</v>
      </c>
      <c r="N149" s="1264">
        <f t="shared" si="5"/>
        <v>2898.9311999999995</v>
      </c>
    </row>
    <row r="150" spans="2:14" x14ac:dyDescent="0.35">
      <c r="B150" s="41" t="s">
        <v>442</v>
      </c>
      <c r="C150" s="41" t="s">
        <v>84</v>
      </c>
      <c r="D150" s="129" t="s">
        <v>1043</v>
      </c>
      <c r="E150" s="129" t="s">
        <v>410</v>
      </c>
      <c r="F150" s="129" t="str">
        <f t="shared" si="4"/>
        <v>Not LMIC</v>
      </c>
      <c r="G150" s="28">
        <f>INDEX('UNDP Population Data'!$E$6:$E$269,MATCH($B150,'UNDP Population Data'!$B$6:$B$269,0))</f>
        <v>1892993</v>
      </c>
      <c r="H150" s="28">
        <f>IFERROR(IFERROR(INDEX('WHO GHO Data'!$V$8:$V$201,MATCH('HCW, Staff, Beds Summary'!$C150,'WHO GHO Data'!$C$8:$C$201,0)),INDEX('WHO GHO Data'!$AF$8:$AF$12,MATCH('HCW, Staff, Beds Summary'!$E150,'WHO GHO Data'!$AD$8:$AD$12,0))*$G150/1000),"")</f>
        <v>6036.2670687880227</v>
      </c>
      <c r="I150" s="28">
        <f>IFERROR(IFERROR(INDEX('WHO GHO Data'!$U$8:$U$201,MATCH('HCW, Staff, Beds Summary'!$C150,'WHO GHO Data'!$C$8:$C$201,0)),INDEX('WHO GHO Data'!$AE$8:$AE$12,MATCH('HCW, Staff, Beds Summary'!$E150,'WHO GHO Data'!$AD$8:$AD$12,0))*$G150/1000),"")</f>
        <v>8603.0138850260792</v>
      </c>
      <c r="J150" s="28">
        <f>IFERROR(IFERROR(INDEX('WHO GHO Data'!$X$8:$X$201,MATCH('HCW, Staff, Beds Summary'!$C150,'WHO GHO Data'!$C$8:$C$201,0)),INDEX('WHO GHO Data'!$AF$8:$AF$12,MATCH('HCW, Staff, Beds Summary'!$E150,'WHO GHO Data'!$AD$8:$AD$12,0))*$G150/1000),"")</f>
        <v>1009.7784127400804</v>
      </c>
      <c r="K150" s="1310">
        <f>IF(INDEX('WB Beds'!$BN$827:$BN$1090,MATCH($C150,'WB Beds'!$C$827:$C$1090,0))="No reported value",INDEX('WB Beds'!$BR$829:$BR$833,MATCH($E150,'WB Beds'!$BP$829:$BP$833,0)),INDEX('WB Beds'!$BN$827:$BN$1090,MATCH($C150,'WB Beds'!$C$827:$C$1090)))</f>
        <v>5.8</v>
      </c>
      <c r="L150" s="1311">
        <f>INDEX('WB Beds'!$BR$836:$BR$840,MATCH($E150,'WB Beds'!$BP$836:$BP$840,0))*100</f>
        <v>3.5700000000000003</v>
      </c>
      <c r="N150" s="1264">
        <f t="shared" si="5"/>
        <v>10979.359400000001</v>
      </c>
    </row>
    <row r="151" spans="2:14" x14ac:dyDescent="0.35">
      <c r="B151" s="41" t="s">
        <v>457</v>
      </c>
      <c r="C151" s="41" t="s">
        <v>458</v>
      </c>
      <c r="D151" s="129" t="s">
        <v>1089</v>
      </c>
      <c r="E151" s="129" t="s">
        <v>410</v>
      </c>
      <c r="F151" s="129" t="str">
        <f t="shared" si="4"/>
        <v>Not LMIC</v>
      </c>
      <c r="G151" s="28">
        <f>INDEX('UNDP Population Data'!$E$6:$E$269,MATCH($B151,'UNDP Population Data'!$B$6:$B$269,0))</f>
        <v>651875</v>
      </c>
      <c r="H151" s="28">
        <f>IFERROR(IFERROR(INDEX('WHO GHO Data'!$V$8:$V$201,MATCH('HCW, Staff, Beds Summary'!$C151,'WHO GHO Data'!$C$8:$C$201,0)),INDEX('WHO GHO Data'!$AF$8:$AF$12,MATCH('HCW, Staff, Beds Summary'!$E151,'WHO GHO Data'!$AD$8:$AD$12,0))*$G151/1000),"")</f>
        <v>2176.9055449416373</v>
      </c>
      <c r="I151" s="28">
        <f>IFERROR(IFERROR(INDEX('WHO GHO Data'!$U$8:$U$201,MATCH('HCW, Staff, Beds Summary'!$C151,'WHO GHO Data'!$C$8:$C$201,0)),INDEX('WHO GHO Data'!$AE$8:$AE$12,MATCH('HCW, Staff, Beds Summary'!$E151,'WHO GHO Data'!$AD$8:$AD$12,0))*$G151/1000),"")</f>
        <v>5509.6035700594084</v>
      </c>
      <c r="J151" s="28">
        <f>IFERROR(IFERROR(INDEX('WHO GHO Data'!$X$8:$X$201,MATCH('HCW, Staff, Beds Summary'!$C151,'WHO GHO Data'!$C$8:$C$201,0)),INDEX('WHO GHO Data'!$AF$8:$AF$12,MATCH('HCW, Staff, Beds Summary'!$E151,'WHO GHO Data'!$AD$8:$AD$12,0))*$G151/1000),"")</f>
        <v>2176.9055449416373</v>
      </c>
      <c r="K151" s="1310">
        <f>IF(INDEX('WB Beds'!$BN$827:$BN$1090,MATCH($C151,'WB Beds'!$C$827:$C$1090,0))="No reported value",INDEX('WB Beds'!$BR$829:$BR$833,MATCH($E151,'WB Beds'!$BP$829:$BP$833,0)),INDEX('WB Beds'!$BN$827:$BN$1090,MATCH($C151,'WB Beds'!$C$827:$C$1090)))</f>
        <v>5.2953000068664604</v>
      </c>
      <c r="L151" s="1311">
        <f>INDEX('WB Beds'!$BR$836:$BR$840,MATCH($E151,'WB Beds'!$BP$836:$BP$840,0))*100</f>
        <v>3.5700000000000003</v>
      </c>
      <c r="N151" s="1264">
        <f t="shared" si="5"/>
        <v>3451.8736919760736</v>
      </c>
    </row>
    <row r="152" spans="2:14" x14ac:dyDescent="0.35">
      <c r="B152" s="41" t="s">
        <v>533</v>
      </c>
      <c r="C152" s="41" t="s">
        <v>534</v>
      </c>
      <c r="D152" s="129" t="s">
        <v>1089</v>
      </c>
      <c r="E152" s="129" t="s">
        <v>410</v>
      </c>
      <c r="F152" s="129" t="str">
        <f t="shared" si="4"/>
        <v>Not LMIC</v>
      </c>
      <c r="G152" s="28">
        <f>INDEX('UNDP Population Data'!$E$6:$E$269,MATCH($B152,'UNDP Population Data'!$B$6:$B$269,0))</f>
        <v>32556</v>
      </c>
      <c r="H152" s="28">
        <f>IFERROR(IFERROR(INDEX('WHO GHO Data'!$V$8:$V$201,MATCH('HCW, Staff, Beds Summary'!$C152,'WHO GHO Data'!$C$8:$C$201,0)),INDEX('WHO GHO Data'!$AF$8:$AF$12,MATCH('HCW, Staff, Beds Summary'!$E152,'WHO GHO Data'!$AD$8:$AD$12,0))*$G152/1000),"")</f>
        <v>108.71921291830479</v>
      </c>
      <c r="I152" s="28">
        <f>IFERROR(IFERROR(INDEX('WHO GHO Data'!$U$8:$U$201,MATCH('HCW, Staff, Beds Summary'!$C152,'WHO GHO Data'!$C$8:$C$201,0)),INDEX('WHO GHO Data'!$AE$8:$AE$12,MATCH('HCW, Staff, Beds Summary'!$E152,'WHO GHO Data'!$AD$8:$AD$12,0))*$G152/1000),"")</f>
        <v>275.16111804694782</v>
      </c>
      <c r="J152" s="28">
        <f>IFERROR(IFERROR(INDEX('WHO GHO Data'!$X$8:$X$201,MATCH('HCW, Staff, Beds Summary'!$C152,'WHO GHO Data'!$C$8:$C$201,0)),INDEX('WHO GHO Data'!$AF$8:$AF$12,MATCH('HCW, Staff, Beds Summary'!$E152,'WHO GHO Data'!$AD$8:$AD$12,0))*$G152/1000),"")</f>
        <v>108.71921291830479</v>
      </c>
      <c r="K152" s="1310">
        <f>IF(INDEX('WB Beds'!$BN$827:$BN$1090,MATCH($C152,'WB Beds'!$C$827:$C$1090,0))="No reported value",INDEX('WB Beds'!$BR$829:$BR$833,MATCH($E152,'WB Beds'!$BP$829:$BP$833,0)),INDEX('WB Beds'!$BN$827:$BN$1090,MATCH($C152,'WB Beds'!$C$827:$C$1090)))</f>
        <v>4.82</v>
      </c>
      <c r="L152" s="1311">
        <f>INDEX('WB Beds'!$BR$836:$BR$840,MATCH($E152,'WB Beds'!$BP$836:$BP$840,0))*100</f>
        <v>3.5700000000000003</v>
      </c>
      <c r="N152" s="1264">
        <f t="shared" si="5"/>
        <v>156.91992000000002</v>
      </c>
    </row>
    <row r="153" spans="2:14" x14ac:dyDescent="0.35">
      <c r="B153" s="41" t="s">
        <v>476</v>
      </c>
      <c r="C153" s="41" t="s">
        <v>85</v>
      </c>
      <c r="D153" s="129" t="s">
        <v>1041</v>
      </c>
      <c r="E153" s="129" t="s">
        <v>454</v>
      </c>
      <c r="F153" s="129" t="str">
        <f t="shared" si="4"/>
        <v>LMIC</v>
      </c>
      <c r="G153" s="28">
        <f>INDEX('UNDP Population Data'!$E$6:$E$269,MATCH($B153,'UNDP Population Data'!$B$6:$B$269,0))</f>
        <v>37070718</v>
      </c>
      <c r="H153" s="28">
        <f>IFERROR(IFERROR(INDEX('WHO GHO Data'!$V$8:$V$201,MATCH('HCW, Staff, Beds Summary'!$C153,'WHO GHO Data'!$C$8:$C$201,0)),INDEX('WHO GHO Data'!$AF$8:$AF$12,MATCH('HCW, Staff, Beds Summary'!$E153,'WHO GHO Data'!$AD$8:$AD$12,0))*$G153/1000),"")</f>
        <v>27006.582760311838</v>
      </c>
      <c r="I153" s="28">
        <f>IFERROR(IFERROR(INDEX('WHO GHO Data'!$U$8:$U$201,MATCH('HCW, Staff, Beds Summary'!$C153,'WHO GHO Data'!$C$8:$C$201,0)),INDEX('WHO GHO Data'!$AE$8:$AE$12,MATCH('HCW, Staff, Beds Summary'!$E153,'WHO GHO Data'!$AD$8:$AD$12,0))*$G153/1000),"")</f>
        <v>47075.351697646212</v>
      </c>
      <c r="J153" s="28">
        <f>IFERROR(IFERROR(INDEX('WHO GHO Data'!$X$8:$X$201,MATCH('HCW, Staff, Beds Summary'!$C153,'WHO GHO Data'!$C$8:$C$201,0)),INDEX('WHO GHO Data'!$AF$8:$AF$12,MATCH('HCW, Staff, Beds Summary'!$E153,'WHO GHO Data'!$AD$8:$AD$12,0))*$G153/1000),"")</f>
        <v>1542.3134022637034</v>
      </c>
      <c r="K153" s="1310">
        <f>IF(INDEX('WB Beds'!$BN$827:$BN$1090,MATCH($C153,'WB Beds'!$C$827:$C$1090,0))="No reported value",INDEX('WB Beds'!$BR$829:$BR$833,MATCH($E153,'WB Beds'!$BP$829:$BP$833,0)),INDEX('WB Beds'!$BN$827:$BN$1090,MATCH($C153,'WB Beds'!$C$827:$C$1090)))</f>
        <v>1.1000000000000001</v>
      </c>
      <c r="L153" s="1311">
        <f>INDEX('WB Beds'!$BR$836:$BR$840,MATCH($E153,'WB Beds'!$BP$836:$BP$840,0))*100</f>
        <v>2.3800000000000003</v>
      </c>
      <c r="N153" s="1264">
        <f t="shared" si="5"/>
        <v>40777.789800000006</v>
      </c>
    </row>
    <row r="154" spans="2:14" x14ac:dyDescent="0.35">
      <c r="B154" s="41" t="s">
        <v>474</v>
      </c>
      <c r="C154" s="41" t="s">
        <v>86</v>
      </c>
      <c r="D154" s="129" t="s">
        <v>1043</v>
      </c>
      <c r="E154" s="129" t="s">
        <v>410</v>
      </c>
      <c r="F154" s="129" t="str">
        <f t="shared" si="4"/>
        <v>Not LMIC</v>
      </c>
      <c r="G154" s="28">
        <f>INDEX('UNDP Population Data'!$E$6:$E$269,MATCH($B154,'UNDP Population Data'!$B$6:$B$269,0))</f>
        <v>39297</v>
      </c>
      <c r="H154" s="28">
        <f>IFERROR(IFERROR(INDEX('WHO GHO Data'!$V$8:$V$201,MATCH('HCW, Staff, Beds Summary'!$C154,'WHO GHO Data'!$C$8:$C$201,0)),INDEX('WHO GHO Data'!$AF$8:$AF$12,MATCH('HCW, Staff, Beds Summary'!$E154,'WHO GHO Data'!$AD$8:$AD$12,0))*$G154/1000),"")</f>
        <v>288.70581911545395</v>
      </c>
      <c r="I154" s="28">
        <f>IFERROR(IFERROR(INDEX('WHO GHO Data'!$U$8:$U$201,MATCH('HCW, Staff, Beds Summary'!$C154,'WHO GHO Data'!$C$8:$C$201,0)),INDEX('WHO GHO Data'!$AE$8:$AE$12,MATCH('HCW, Staff, Beds Summary'!$E154,'WHO GHO Data'!$AD$8:$AD$12,0))*$G154/1000),"")</f>
        <v>754.75949854468672</v>
      </c>
      <c r="J154" s="28">
        <f>IFERROR(IFERROR(INDEX('WHO GHO Data'!$X$8:$X$201,MATCH('HCW, Staff, Beds Summary'!$C154,'WHO GHO Data'!$C$8:$C$201,0)),INDEX('WHO GHO Data'!$AF$8:$AF$12,MATCH('HCW, Staff, Beds Summary'!$E154,'WHO GHO Data'!$AD$8:$AD$12,0))*$G154/1000),"")</f>
        <v>20.962181204815305</v>
      </c>
      <c r="K154" s="1310">
        <f>IF(INDEX('WB Beds'!$BN$827:$BN$1090,MATCH($C154,'WB Beds'!$C$827:$C$1090,0))="No reported value",INDEX('WB Beds'!$BR$829:$BR$833,MATCH($E154,'WB Beds'!$BP$829:$BP$833,0)),INDEX('WB Beds'!$BN$827:$BN$1090,MATCH($C154,'WB Beds'!$C$827:$C$1090)))</f>
        <v>13.8</v>
      </c>
      <c r="L154" s="1311">
        <f>INDEX('WB Beds'!$BR$836:$BR$840,MATCH($E154,'WB Beds'!$BP$836:$BP$840,0))*100</f>
        <v>3.5700000000000003</v>
      </c>
      <c r="N154" s="1264">
        <f t="shared" si="5"/>
        <v>542.29859999999996</v>
      </c>
    </row>
    <row r="155" spans="2:14" x14ac:dyDescent="0.35">
      <c r="B155" s="41" t="s">
        <v>473</v>
      </c>
      <c r="C155" s="41" t="s">
        <v>87</v>
      </c>
      <c r="D155" s="129" t="s">
        <v>1043</v>
      </c>
      <c r="E155" s="129" t="s">
        <v>454</v>
      </c>
      <c r="F155" s="129" t="str">
        <f t="shared" si="4"/>
        <v>LMIC</v>
      </c>
      <c r="G155" s="28">
        <f>INDEX('UNDP Population Data'!$E$6:$E$269,MATCH($B155,'UNDP Population Data'!$B$6:$B$269,0))</f>
        <v>4017687</v>
      </c>
      <c r="H155" s="28">
        <f>IFERROR(IFERROR(INDEX('WHO GHO Data'!$V$8:$V$201,MATCH('HCW, Staff, Beds Summary'!$C155,'WHO GHO Data'!$C$8:$C$201,0)),INDEX('WHO GHO Data'!$AF$8:$AF$12,MATCH('HCW, Staff, Beds Summary'!$E155,'WHO GHO Data'!$AD$8:$AD$12,0))*$G155/1000),"")</f>
        <v>12925.006918577745</v>
      </c>
      <c r="I155" s="28">
        <f>IFERROR(IFERROR(INDEX('WHO GHO Data'!$U$8:$U$201,MATCH('HCW, Staff, Beds Summary'!$C155,'WHO GHO Data'!$C$8:$C$201,0)),INDEX('WHO GHO Data'!$AE$8:$AE$12,MATCH('HCW, Staff, Beds Summary'!$E155,'WHO GHO Data'!$AD$8:$AD$12,0))*$G155/1000),"")</f>
        <v>19173.053357248027</v>
      </c>
      <c r="J155" s="28">
        <f>IFERROR(IFERROR(INDEX('WHO GHO Data'!$X$8:$X$201,MATCH('HCW, Staff, Beds Summary'!$C155,'WHO GHO Data'!$C$8:$C$201,0)),INDEX('WHO GHO Data'!$AF$8:$AF$12,MATCH('HCW, Staff, Beds Summary'!$E155,'WHO GHO Data'!$AD$8:$AD$12,0))*$G155/1000),"")</f>
        <v>17564.868521734003</v>
      </c>
      <c r="K155" s="1310">
        <f>IF(INDEX('WB Beds'!$BN$827:$BN$1090,MATCH($C155,'WB Beds'!$C$827:$C$1090,0))="No reported value",INDEX('WB Beds'!$BR$829:$BR$833,MATCH($E155,'WB Beds'!$BP$829:$BP$833,0)),INDEX('WB Beds'!$BN$827:$BN$1090,MATCH($C155,'WB Beds'!$C$827:$C$1090)))</f>
        <v>5.8</v>
      </c>
      <c r="L155" s="1311">
        <f>INDEX('WB Beds'!$BR$836:$BR$840,MATCH($E155,'WB Beds'!$BP$836:$BP$840,0))*100</f>
        <v>2.3800000000000003</v>
      </c>
      <c r="N155" s="1264">
        <f t="shared" si="5"/>
        <v>23302.584599999998</v>
      </c>
    </row>
    <row r="156" spans="2:14" x14ac:dyDescent="0.35">
      <c r="B156" s="41" t="s">
        <v>202</v>
      </c>
      <c r="C156" s="41" t="s">
        <v>88</v>
      </c>
      <c r="D156" s="129" t="s">
        <v>1042</v>
      </c>
      <c r="E156" s="129" t="s">
        <v>452</v>
      </c>
      <c r="F156" s="129" t="str">
        <f t="shared" si="4"/>
        <v>LMIC</v>
      </c>
      <c r="G156" s="28">
        <f>INDEX('UNDP Population Data'!$E$6:$E$269,MATCH($B156,'UNDP Population Data'!$B$6:$B$269,0))</f>
        <v>27690798</v>
      </c>
      <c r="H156" s="28">
        <f>IFERROR(IFERROR(INDEX('WHO GHO Data'!$V$8:$V$201,MATCH('HCW, Staff, Beds Summary'!$C156,'WHO GHO Data'!$C$8:$C$201,0)),INDEX('WHO GHO Data'!$AF$8:$AF$12,MATCH('HCW, Staff, Beds Summary'!$E156,'WHO GHO Data'!$AD$8:$AD$12,0))*$G156/1000),"")</f>
        <v>5016.7986187124361</v>
      </c>
      <c r="I156" s="28">
        <f>IFERROR(IFERROR(INDEX('WHO GHO Data'!$U$8:$U$201,MATCH('HCW, Staff, Beds Summary'!$C156,'WHO GHO Data'!$C$8:$C$201,0)),INDEX('WHO GHO Data'!$AE$8:$AE$12,MATCH('HCW, Staff, Beds Summary'!$E156,'WHO GHO Data'!$AD$8:$AD$12,0))*$G156/1000),"")</f>
        <v>4042.9869138340136</v>
      </c>
      <c r="J156" s="28">
        <f>IFERROR(IFERROR(INDEX('WHO GHO Data'!$X$8:$X$201,MATCH('HCW, Staff, Beds Summary'!$C156,'WHO GHO Data'!$C$8:$C$201,0)),INDEX('WHO GHO Data'!$AF$8:$AF$12,MATCH('HCW, Staff, Beds Summary'!$E156,'WHO GHO Data'!$AD$8:$AD$12,0))*$G156/1000),"")</f>
        <v>2627.7512852017098</v>
      </c>
      <c r="K156" s="1310">
        <f>IF(INDEX('WB Beds'!$BN$827:$BN$1090,MATCH($C156,'WB Beds'!$C$827:$C$1090,0))="No reported value",INDEX('WB Beds'!$BR$829:$BR$833,MATCH($E156,'WB Beds'!$BP$829:$BP$833,0)),INDEX('WB Beds'!$BN$827:$BN$1090,MATCH($C156,'WB Beds'!$C$827:$C$1090)))</f>
        <v>0.2</v>
      </c>
      <c r="L156" s="1311">
        <f>INDEX('WB Beds'!$BR$836:$BR$840,MATCH($E156,'WB Beds'!$BP$836:$BP$840,0))*100</f>
        <v>1.63</v>
      </c>
      <c r="N156" s="1264">
        <f t="shared" si="5"/>
        <v>5538.1596000000009</v>
      </c>
    </row>
    <row r="157" spans="2:14" x14ac:dyDescent="0.35">
      <c r="B157" s="41" t="s">
        <v>243</v>
      </c>
      <c r="C157" s="41" t="s">
        <v>89</v>
      </c>
      <c r="D157" s="129" t="s">
        <v>1045</v>
      </c>
      <c r="E157" s="129" t="s">
        <v>557</v>
      </c>
      <c r="F157" s="129" t="str">
        <f t="shared" si="4"/>
        <v>LMIC</v>
      </c>
      <c r="G157" s="28">
        <f>INDEX('UNDP Population Data'!$E$6:$E$269,MATCH($B157,'UNDP Population Data'!$B$6:$B$269,0))</f>
        <v>458909</v>
      </c>
      <c r="H157" s="28">
        <f>IFERROR(IFERROR(INDEX('WHO GHO Data'!$V$8:$V$201,MATCH('HCW, Staff, Beds Summary'!$C157,'WHO GHO Data'!$C$8:$C$201,0)),INDEX('WHO GHO Data'!$AF$8:$AF$12,MATCH('HCW, Staff, Beds Summary'!$E157,'WHO GHO Data'!$AD$8:$AD$12,0))*$G157/1000),"")</f>
        <v>2441.6007027124779</v>
      </c>
      <c r="I157" s="28">
        <f>IFERROR(IFERROR(INDEX('WHO GHO Data'!$U$8:$U$201,MATCH('HCW, Staff, Beds Summary'!$C157,'WHO GHO Data'!$C$8:$C$201,0)),INDEX('WHO GHO Data'!$AE$8:$AE$12,MATCH('HCW, Staff, Beds Summary'!$E157,'WHO GHO Data'!$AD$8:$AD$12,0))*$G157/1000),"")</f>
        <v>3439.8241944291817</v>
      </c>
      <c r="J157" s="28">
        <f>IFERROR(IFERROR(INDEX('WHO GHO Data'!$X$8:$X$201,MATCH('HCW, Staff, Beds Summary'!$C157,'WHO GHO Data'!$C$8:$C$201,0)),INDEX('WHO GHO Data'!$AF$8:$AF$12,MATCH('HCW, Staff, Beds Summary'!$E157,'WHO GHO Data'!$AD$8:$AD$12,0))*$G157/1000),"")</f>
        <v>252.1500088224106</v>
      </c>
      <c r="K157" s="1310">
        <f>IF(INDEX('WB Beds'!$BN$827:$BN$1090,MATCH($C157,'WB Beds'!$C$827:$C$1090,0))="No reported value",INDEX('WB Beds'!$BR$829:$BR$833,MATCH($E157,'WB Beds'!$BP$829:$BP$833,0)),INDEX('WB Beds'!$BN$827:$BN$1090,MATCH($C157,'WB Beds'!$C$827:$C$1090)))</f>
        <v>4.3</v>
      </c>
      <c r="L157" s="1311">
        <f>INDEX('WB Beds'!$BR$836:$BR$840,MATCH($E157,'WB Beds'!$BP$836:$BP$840,0))*100</f>
        <v>3.32</v>
      </c>
      <c r="N157" s="1264">
        <f t="shared" si="5"/>
        <v>1973.3087</v>
      </c>
    </row>
    <row r="158" spans="2:14" x14ac:dyDescent="0.35">
      <c r="B158" s="41" t="s">
        <v>465</v>
      </c>
      <c r="C158" s="41" t="s">
        <v>466</v>
      </c>
      <c r="D158" s="129" t="s">
        <v>1089</v>
      </c>
      <c r="E158" s="129" t="s">
        <v>742</v>
      </c>
      <c r="F158" s="129" t="str">
        <f t="shared" si="4"/>
        <v>Not LMIC</v>
      </c>
      <c r="G158" s="28">
        <f>INDEX('UNDP Population Data'!$E$6:$E$269,MATCH($B158,'UNDP Population Data'!$B$6:$B$269,0))</f>
        <v>464460000</v>
      </c>
      <c r="H158" s="28" t="str">
        <f>IFERROR(IFERROR(INDEX('WHO GHO Data'!$V$8:$V$201,MATCH('HCW, Staff, Beds Summary'!$C158,'WHO GHO Data'!$C$8:$C$201,0)),INDEX('WHO GHO Data'!$AF$8:$AF$12,MATCH('HCW, Staff, Beds Summary'!$E158,'WHO GHO Data'!$AD$8:$AD$12,0))*$G158/1000),"")</f>
        <v/>
      </c>
      <c r="I158" s="28" t="str">
        <f>IFERROR(IFERROR(INDEX('WHO GHO Data'!$U$8:$U$201,MATCH('HCW, Staff, Beds Summary'!$C158,'WHO GHO Data'!$C$8:$C$201,0)),INDEX('WHO GHO Data'!$AE$8:$AE$12,MATCH('HCW, Staff, Beds Summary'!$E158,'WHO GHO Data'!$AD$8:$AD$12,0))*$G158/1000),"")</f>
        <v/>
      </c>
      <c r="J158" s="28" t="str">
        <f>IFERROR(IFERROR(INDEX('WHO GHO Data'!$X$8:$X$201,MATCH('HCW, Staff, Beds Summary'!$C158,'WHO GHO Data'!$C$8:$C$201,0)),INDEX('WHO GHO Data'!$AF$8:$AF$12,MATCH('HCW, Staff, Beds Summary'!$E158,'WHO GHO Data'!$AD$8:$AD$12,0))*$G158/1000),"")</f>
        <v/>
      </c>
      <c r="K158" s="1310">
        <f>IF(INDEX('WB Beds'!$BN$827:$BN$1090,MATCH($C158,'WB Beds'!$C$827:$C$1090,0))="No reported value",INDEX('WB Beds'!$BR$829:$BR$833,MATCH($E158,'WB Beds'!$BP$829:$BP$833,0)),INDEX('WB Beds'!$BN$827:$BN$1090,MATCH($C158,'WB Beds'!$C$827:$C$1090)))</f>
        <v>1.6284850711859378</v>
      </c>
      <c r="L158" s="1311">
        <f>INDEX('WB Beds'!$BR$836:$BR$840,MATCH($E158,'WB Beds'!$BP$836:$BP$840,0))*100</f>
        <v>2.7250000000000001</v>
      </c>
      <c r="N158" s="1264">
        <f t="shared" si="5"/>
        <v>756366.17616302066</v>
      </c>
    </row>
    <row r="159" spans="2:14" x14ac:dyDescent="0.35">
      <c r="B159" s="41" t="s">
        <v>462</v>
      </c>
      <c r="C159" s="41" t="s">
        <v>90</v>
      </c>
      <c r="D159" s="129" t="s">
        <v>1044</v>
      </c>
      <c r="E159" s="129" t="s">
        <v>557</v>
      </c>
      <c r="F159" s="129" t="str">
        <f t="shared" si="4"/>
        <v>LMIC</v>
      </c>
      <c r="G159" s="28">
        <f>INDEX('UNDP Population Data'!$E$6:$E$269,MATCH($B159,'UNDP Population Data'!$B$6:$B$269,0))</f>
        <v>133870027</v>
      </c>
      <c r="H159" s="28">
        <f>IFERROR(IFERROR(INDEX('WHO GHO Data'!$V$8:$V$201,MATCH('HCW, Staff, Beds Summary'!$C159,'WHO GHO Data'!$C$8:$C$201,0)),INDEX('WHO GHO Data'!$AF$8:$AF$12,MATCH('HCW, Staff, Beds Summary'!$E159,'WHO GHO Data'!$AD$8:$AD$12,0))*$G159/1000),"")</f>
        <v>308473.91177252663</v>
      </c>
      <c r="I159" s="28">
        <f>IFERROR(IFERROR(INDEX('WHO GHO Data'!$U$8:$U$201,MATCH('HCW, Staff, Beds Summary'!$C159,'WHO GHO Data'!$C$8:$C$201,0)),INDEX('WHO GHO Data'!$AE$8:$AE$12,MATCH('HCW, Staff, Beds Summary'!$E159,'WHO GHO Data'!$AD$8:$AD$12,0))*$G159/1000),"")</f>
        <v>309887.58902997174</v>
      </c>
      <c r="J159" s="28">
        <f>IFERROR(IFERROR(INDEX('WHO GHO Data'!$X$8:$X$201,MATCH('HCW, Staff, Beds Summary'!$C159,'WHO GHO Data'!$C$8:$C$201,0)),INDEX('WHO GHO Data'!$AF$8:$AF$12,MATCH('HCW, Staff, Beds Summary'!$E159,'WHO GHO Data'!$AD$8:$AD$12,0))*$G159/1000),"")</f>
        <v>24508.501376451397</v>
      </c>
      <c r="K159" s="1310">
        <f>IF(INDEX('WB Beds'!$BN$827:$BN$1090,MATCH($C159,'WB Beds'!$C$827:$C$1090,0))="No reported value",INDEX('WB Beds'!$BR$829:$BR$833,MATCH($E159,'WB Beds'!$BP$829:$BP$833,0)),INDEX('WB Beds'!$BN$827:$BN$1090,MATCH($C159,'WB Beds'!$C$827:$C$1090)))</f>
        <v>1.5</v>
      </c>
      <c r="L159" s="1311">
        <f>INDEX('WB Beds'!$BR$836:$BR$840,MATCH($E159,'WB Beds'!$BP$836:$BP$840,0))*100</f>
        <v>3.32</v>
      </c>
      <c r="N159" s="1264">
        <f t="shared" si="5"/>
        <v>200805.0405</v>
      </c>
    </row>
    <row r="160" spans="2:14" x14ac:dyDescent="0.35">
      <c r="B160" s="41" t="s">
        <v>461</v>
      </c>
      <c r="C160" s="41" t="s">
        <v>91</v>
      </c>
      <c r="D160" s="129" t="s">
        <v>1100</v>
      </c>
      <c r="E160" s="129" t="s">
        <v>557</v>
      </c>
      <c r="F160" s="129" t="str">
        <f t="shared" si="4"/>
        <v>LMIC</v>
      </c>
      <c r="G160" s="28">
        <f>INDEX('UNDP Population Data'!$E$6:$E$269,MATCH($B160,'UNDP Population Data'!$B$6:$B$269,0))</f>
        <v>53251</v>
      </c>
      <c r="H160" s="28">
        <f>IFERROR(IFERROR(INDEX('WHO GHO Data'!$V$8:$V$201,MATCH('HCW, Staff, Beds Summary'!$C160,'WHO GHO Data'!$C$8:$C$201,0)),INDEX('WHO GHO Data'!$AF$8:$AF$12,MATCH('HCW, Staff, Beds Summary'!$E160,'WHO GHO Data'!$AD$8:$AD$12,0))*$G160/1000),"")</f>
        <v>24.186495615881931</v>
      </c>
      <c r="I160" s="28">
        <f>IFERROR(IFERROR(INDEX('WHO GHO Data'!$U$8:$U$201,MATCH('HCW, Staff, Beds Summary'!$C160,'WHO GHO Data'!$C$8:$C$201,0)),INDEX('WHO GHO Data'!$AE$8:$AE$12,MATCH('HCW, Staff, Beds Summary'!$E160,'WHO GHO Data'!$AD$8:$AD$12,0))*$G160/1000),"")</f>
        <v>195.37772031999182</v>
      </c>
      <c r="J160" s="28">
        <f>IFERROR(IFERROR(INDEX('WHO GHO Data'!$X$8:$X$201,MATCH('HCW, Staff, Beds Summary'!$C160,'WHO GHO Data'!$C$8:$C$201,0)),INDEX('WHO GHO Data'!$AF$8:$AF$12,MATCH('HCW, Staff, Beds Summary'!$E160,'WHO GHO Data'!$AD$8:$AD$12,0))*$G160/1000),"")</f>
        <v>19.147642362573198</v>
      </c>
      <c r="K160" s="1310">
        <f>IF(INDEX('WB Beds'!$BN$827:$BN$1090,MATCH($C160,'WB Beds'!$C$827:$C$1090,0))="No reported value",INDEX('WB Beds'!$BR$829:$BR$833,MATCH($E160,'WB Beds'!$BP$829:$BP$833,0)),INDEX('WB Beds'!$BN$827:$BN$1090,MATCH($C160,'WB Beds'!$C$827:$C$1090)))</f>
        <v>2.7</v>
      </c>
      <c r="L160" s="1311">
        <f>INDEX('WB Beds'!$BR$836:$BR$840,MATCH($E160,'WB Beds'!$BP$836:$BP$840,0))*100</f>
        <v>3.32</v>
      </c>
      <c r="N160" s="1264">
        <f t="shared" si="5"/>
        <v>143.77770000000001</v>
      </c>
    </row>
    <row r="161" spans="2:14" x14ac:dyDescent="0.35">
      <c r="B161" s="41" t="s">
        <v>471</v>
      </c>
      <c r="C161" s="41" t="s">
        <v>472</v>
      </c>
      <c r="D161" s="129" t="s">
        <v>1089</v>
      </c>
      <c r="E161" s="129" t="s">
        <v>742</v>
      </c>
      <c r="F161" s="129" t="str">
        <f t="shared" si="4"/>
        <v>Not LMIC</v>
      </c>
      <c r="G161" s="28">
        <f>INDEX('UNDP Population Data'!$E$6:$E$269,MATCH($B161,'UNDP Population Data'!$B$6:$B$269,0))</f>
        <v>5791067000</v>
      </c>
      <c r="H161" s="28" t="str">
        <f>IFERROR(IFERROR(INDEX('WHO GHO Data'!$V$8:$V$201,MATCH('HCW, Staff, Beds Summary'!$C161,'WHO GHO Data'!$C$8:$C$201,0)),INDEX('WHO GHO Data'!$AF$8:$AF$12,MATCH('HCW, Staff, Beds Summary'!$E161,'WHO GHO Data'!$AD$8:$AD$12,0))*$G161/1000),"")</f>
        <v/>
      </c>
      <c r="I161" s="28" t="str">
        <f>IFERROR(IFERROR(INDEX('WHO GHO Data'!$U$8:$U$201,MATCH('HCW, Staff, Beds Summary'!$C161,'WHO GHO Data'!$C$8:$C$201,0)),INDEX('WHO GHO Data'!$AE$8:$AE$12,MATCH('HCW, Staff, Beds Summary'!$E161,'WHO GHO Data'!$AD$8:$AD$12,0))*$G161/1000),"")</f>
        <v/>
      </c>
      <c r="J161" s="28" t="str">
        <f>IFERROR(IFERROR(INDEX('WHO GHO Data'!$X$8:$X$201,MATCH('HCW, Staff, Beds Summary'!$C161,'WHO GHO Data'!$C$8:$C$201,0)),INDEX('WHO GHO Data'!$AF$8:$AF$12,MATCH('HCW, Staff, Beds Summary'!$E161,'WHO GHO Data'!$AD$8:$AD$12,0))*$G161/1000),"")</f>
        <v/>
      </c>
      <c r="K161" s="1310">
        <f>IF(INDEX('WB Beds'!$BN$827:$BN$1090,MATCH($C161,'WB Beds'!$C$827:$C$1090,0))="No reported value",INDEX('WB Beds'!$BR$829:$BR$833,MATCH($E161,'WB Beds'!$BP$829:$BP$833,0)),INDEX('WB Beds'!$BN$827:$BN$1090,MATCH($C161,'WB Beds'!$C$827:$C$1090)))</f>
        <v>2.4006731205897842</v>
      </c>
      <c r="L161" s="1311">
        <f>INDEX('WB Beds'!$BR$836:$BR$840,MATCH($E161,'WB Beds'!$BP$836:$BP$840,0))*100</f>
        <v>2.7250000000000001</v>
      </c>
      <c r="N161" s="1264">
        <f t="shared" si="5"/>
        <v>13902458.886434522</v>
      </c>
    </row>
    <row r="162" spans="2:14" x14ac:dyDescent="0.35">
      <c r="B162" s="41" t="s">
        <v>483</v>
      </c>
      <c r="C162" s="41" t="s">
        <v>484</v>
      </c>
      <c r="D162" s="129" t="s">
        <v>1043</v>
      </c>
      <c r="E162" s="129" t="s">
        <v>557</v>
      </c>
      <c r="F162" s="129" t="str">
        <f t="shared" si="4"/>
        <v>LMIC</v>
      </c>
      <c r="G162" s="28">
        <f>INDEX('UNDP Population Data'!$E$6:$E$269,MATCH($B162,'UNDP Population Data'!$B$6:$B$269,0))</f>
        <v>2088034.9999999998</v>
      </c>
      <c r="H162" s="28">
        <f>IFERROR(IFERROR(INDEX('WHO GHO Data'!$V$8:$V$201,MATCH('HCW, Staff, Beds Summary'!$C162,'WHO GHO Data'!$C$8:$C$201,0)),INDEX('WHO GHO Data'!$AF$8:$AF$12,MATCH('HCW, Staff, Beds Summary'!$E162,'WHO GHO Data'!$AD$8:$AD$12,0))*$G162/1000),"")</f>
        <v>6000.0774897225447</v>
      </c>
      <c r="I162" s="28">
        <f>IFERROR(IFERROR(INDEX('WHO GHO Data'!$U$8:$U$201,MATCH('HCW, Staff, Beds Summary'!$C162,'WHO GHO Data'!$C$8:$C$201,0)),INDEX('WHO GHO Data'!$AE$8:$AE$12,MATCH('HCW, Staff, Beds Summary'!$E162,'WHO GHO Data'!$AD$8:$AD$12,0))*$G162/1000),"")</f>
        <v>7917.0896952255307</v>
      </c>
      <c r="J162" s="28">
        <f>IFERROR(IFERROR(INDEX('WHO GHO Data'!$X$8:$X$201,MATCH('HCW, Staff, Beds Summary'!$C162,'WHO GHO Data'!$C$8:$C$201,0)),INDEX('WHO GHO Data'!$AF$8:$AF$12,MATCH('HCW, Staff, Beds Summary'!$E162,'WHO GHO Data'!$AD$8:$AD$12,0))*$G162/1000),"")</f>
        <v>444.66006019605391</v>
      </c>
      <c r="K162" s="1310">
        <f>IF(INDEX('WB Beds'!$BN$827:$BN$1090,MATCH($C162,'WB Beds'!$C$827:$C$1090,0))="No reported value",INDEX('WB Beds'!$BR$829:$BR$833,MATCH($E162,'WB Beds'!$BP$829:$BP$833,0)),INDEX('WB Beds'!$BN$827:$BN$1090,MATCH($C162,'WB Beds'!$C$827:$C$1090)))</f>
        <v>4.4000000000000004</v>
      </c>
      <c r="L162" s="1311">
        <f>INDEX('WB Beds'!$BR$836:$BR$840,MATCH($E162,'WB Beds'!$BP$836:$BP$840,0))*100</f>
        <v>3.32</v>
      </c>
      <c r="N162" s="1264">
        <f t="shared" si="5"/>
        <v>9187.3539999999994</v>
      </c>
    </row>
    <row r="163" spans="2:14" x14ac:dyDescent="0.35">
      <c r="B163" s="41" t="s">
        <v>204</v>
      </c>
      <c r="C163" s="41" t="s">
        <v>92</v>
      </c>
      <c r="D163" s="129" t="s">
        <v>1042</v>
      </c>
      <c r="E163" s="129" t="s">
        <v>452</v>
      </c>
      <c r="F163" s="129" t="str">
        <f t="shared" si="4"/>
        <v>LMIC</v>
      </c>
      <c r="G163" s="28">
        <f>INDEX('UNDP Population Data'!$E$6:$E$269,MATCH($B163,'UNDP Population Data'!$B$6:$B$269,0))</f>
        <v>20284180</v>
      </c>
      <c r="H163" s="28">
        <f>IFERROR(IFERROR(INDEX('WHO GHO Data'!$V$8:$V$201,MATCH('HCW, Staff, Beds Summary'!$C163,'WHO GHO Data'!$C$8:$C$201,0)),INDEX('WHO GHO Data'!$AF$8:$AF$12,MATCH('HCW, Staff, Beds Summary'!$E163,'WHO GHO Data'!$AD$8:$AD$12,0))*$G163/1000),"")</f>
        <v>2605.2008558467869</v>
      </c>
      <c r="I163" s="28">
        <f>IFERROR(IFERROR(INDEX('WHO GHO Data'!$U$8:$U$201,MATCH('HCW, Staff, Beds Summary'!$C163,'WHO GHO Data'!$C$8:$C$201,0)),INDEX('WHO GHO Data'!$AE$8:$AE$12,MATCH('HCW, Staff, Beds Summary'!$E163,'WHO GHO Data'!$AD$8:$AD$12,0))*$G163/1000),"")</f>
        <v>5492.7910465164123</v>
      </c>
      <c r="J163" s="28">
        <f>IFERROR(IFERROR(INDEX('WHO GHO Data'!$X$8:$X$201,MATCH('HCW, Staff, Beds Summary'!$C163,'WHO GHO Data'!$C$8:$C$201,0)),INDEX('WHO GHO Data'!$AF$8:$AF$12,MATCH('HCW, Staff, Beds Summary'!$E163,'WHO GHO Data'!$AD$8:$AD$12,0))*$G163/1000),"")</f>
        <v>574.43761186124675</v>
      </c>
      <c r="K163" s="1310">
        <f>IF(INDEX('WB Beds'!$BN$827:$BN$1090,MATCH($C163,'WB Beds'!$C$827:$C$1090,0))="No reported value",INDEX('WB Beds'!$BR$829:$BR$833,MATCH($E163,'WB Beds'!$BP$829:$BP$833,0)),INDEX('WB Beds'!$BN$827:$BN$1090,MATCH($C163,'WB Beds'!$C$827:$C$1090)))</f>
        <v>0.1</v>
      </c>
      <c r="L163" s="1311">
        <f>INDEX('WB Beds'!$BR$836:$BR$840,MATCH($E163,'WB Beds'!$BP$836:$BP$840,0))*100</f>
        <v>1.63</v>
      </c>
      <c r="N163" s="1264">
        <f t="shared" si="5"/>
        <v>2028.4179999999999</v>
      </c>
    </row>
    <row r="164" spans="2:14" x14ac:dyDescent="0.35">
      <c r="B164" s="41" t="s">
        <v>460</v>
      </c>
      <c r="C164" s="41" t="s">
        <v>93</v>
      </c>
      <c r="D164" s="129" t="s">
        <v>1043</v>
      </c>
      <c r="E164" s="129" t="s">
        <v>410</v>
      </c>
      <c r="F164" s="129" t="str">
        <f t="shared" si="4"/>
        <v>Not LMIC</v>
      </c>
      <c r="G164" s="28">
        <f>INDEX('UNDP Population Data'!$E$6:$E$269,MATCH($B164,'UNDP Population Data'!$B$6:$B$269,0))</f>
        <v>434363</v>
      </c>
      <c r="H164" s="28">
        <f>IFERROR(IFERROR(INDEX('WHO GHO Data'!$V$8:$V$201,MATCH('HCW, Staff, Beds Summary'!$C164,'WHO GHO Data'!$C$8:$C$201,0)),INDEX('WHO GHO Data'!$AF$8:$AF$12,MATCH('HCW, Staff, Beds Summary'!$E164,'WHO GHO Data'!$AD$8:$AD$12,0))*$G164/1000),"")</f>
        <v>1259.5649367656968</v>
      </c>
      <c r="I164" s="28">
        <f>IFERROR(IFERROR(INDEX('WHO GHO Data'!$U$8:$U$201,MATCH('HCW, Staff, Beds Summary'!$C164,'WHO GHO Data'!$C$8:$C$201,0)),INDEX('WHO GHO Data'!$AE$8:$AE$12,MATCH('HCW, Staff, Beds Summary'!$E164,'WHO GHO Data'!$AD$8:$AD$12,0))*$G164/1000),"")</f>
        <v>3795.6943636967603</v>
      </c>
      <c r="J164" s="28">
        <f>IFERROR(IFERROR(INDEX('WHO GHO Data'!$X$8:$X$201,MATCH('HCW, Staff, Beds Summary'!$C164,'WHO GHO Data'!$C$8:$C$201,0)),INDEX('WHO GHO Data'!$AF$8:$AF$12,MATCH('HCW, Staff, Beds Summary'!$E164,'WHO GHO Data'!$AD$8:$AD$12,0))*$G164/1000),"")</f>
        <v>231.70206159928722</v>
      </c>
      <c r="K164" s="1310">
        <f>IF(INDEX('WB Beds'!$BN$827:$BN$1090,MATCH($C164,'WB Beds'!$C$827:$C$1090,0))="No reported value",INDEX('WB Beds'!$BR$829:$BR$833,MATCH($E164,'WB Beds'!$BP$829:$BP$833,0)),INDEX('WB Beds'!$BN$827:$BN$1090,MATCH($C164,'WB Beds'!$C$827:$C$1090)))</f>
        <v>4.7</v>
      </c>
      <c r="L164" s="1311">
        <f>INDEX('WB Beds'!$BR$836:$BR$840,MATCH($E164,'WB Beds'!$BP$836:$BP$840,0))*100</f>
        <v>3.5700000000000003</v>
      </c>
      <c r="N164" s="1264">
        <f t="shared" si="5"/>
        <v>2041.5061000000001</v>
      </c>
    </row>
    <row r="165" spans="2:14" x14ac:dyDescent="0.35">
      <c r="B165" s="41" t="s">
        <v>244</v>
      </c>
      <c r="C165" s="41" t="s">
        <v>94</v>
      </c>
      <c r="D165" s="129" t="s">
        <v>1045</v>
      </c>
      <c r="E165" s="129" t="s">
        <v>454</v>
      </c>
      <c r="F165" s="129" t="str">
        <f t="shared" si="4"/>
        <v>LMIC</v>
      </c>
      <c r="G165" s="28">
        <f>INDEX('UNDP Population Data'!$E$6:$E$269,MATCH($B165,'UNDP Population Data'!$B$6:$B$269,0))</f>
        <v>54808276</v>
      </c>
      <c r="H165" s="28">
        <f>IFERROR(IFERROR(INDEX('WHO GHO Data'!$V$8:$V$201,MATCH('HCW, Staff, Beds Summary'!$C165,'WHO GHO Data'!$C$8:$C$201,0)),INDEX('WHO GHO Data'!$AF$8:$AF$12,MATCH('HCW, Staff, Beds Summary'!$E165,'WHO GHO Data'!$AD$8:$AD$12,0))*$G165/1000),"")</f>
        <v>37021.455122163883</v>
      </c>
      <c r="I165" s="28">
        <f>IFERROR(IFERROR(INDEX('WHO GHO Data'!$U$8:$U$201,MATCH('HCW, Staff, Beds Summary'!$C165,'WHO GHO Data'!$C$8:$C$201,0)),INDEX('WHO GHO Data'!$AE$8:$AE$12,MATCH('HCW, Staff, Beds Summary'!$E165,'WHO GHO Data'!$AD$8:$AD$12,0))*$G165/1000),"")</f>
        <v>36597.922263741304</v>
      </c>
      <c r="J165" s="28">
        <f>IFERROR(IFERROR(INDEX('WHO GHO Data'!$X$8:$X$201,MATCH('HCW, Staff, Beds Summary'!$C165,'WHO GHO Data'!$C$8:$C$201,0)),INDEX('WHO GHO Data'!$AF$8:$AF$12,MATCH('HCW, Staff, Beds Summary'!$E165,'WHO GHO Data'!$AD$8:$AD$12,0))*$G165/1000),"")</f>
        <v>4077.5218701500521</v>
      </c>
      <c r="K165" s="1310">
        <f>IF(INDEX('WB Beds'!$BN$827:$BN$1090,MATCH($C165,'WB Beds'!$C$827:$C$1090,0))="No reported value",INDEX('WB Beds'!$BR$829:$BR$833,MATCH($E165,'WB Beds'!$BP$829:$BP$833,0)),INDEX('WB Beds'!$BN$827:$BN$1090,MATCH($C165,'WB Beds'!$C$827:$C$1090)))</f>
        <v>0.9</v>
      </c>
      <c r="L165" s="1311">
        <f>INDEX('WB Beds'!$BR$836:$BR$840,MATCH($E165,'WB Beds'!$BP$836:$BP$840,0))*100</f>
        <v>2.3800000000000003</v>
      </c>
      <c r="N165" s="1264">
        <f t="shared" si="5"/>
        <v>49327.448400000001</v>
      </c>
    </row>
    <row r="166" spans="2:14" x14ac:dyDescent="0.35">
      <c r="B166" s="41" t="s">
        <v>467</v>
      </c>
      <c r="C166" s="41" t="s">
        <v>468</v>
      </c>
      <c r="D166" s="129" t="s">
        <v>1089</v>
      </c>
      <c r="E166" s="129" t="s">
        <v>742</v>
      </c>
      <c r="F166" s="129" t="str">
        <f t="shared" si="4"/>
        <v>Not LMIC</v>
      </c>
      <c r="G166" s="28">
        <f>INDEX('UNDP Population Data'!$E$6:$E$269,MATCH($B166,'UNDP Population Data'!$B$6:$B$269,0))</f>
        <v>396157000</v>
      </c>
      <c r="H166" s="28" t="str">
        <f>IFERROR(IFERROR(INDEX('WHO GHO Data'!$V$8:$V$201,MATCH('HCW, Staff, Beds Summary'!$C166,'WHO GHO Data'!$C$8:$C$201,0)),INDEX('WHO GHO Data'!$AF$8:$AF$12,MATCH('HCW, Staff, Beds Summary'!$E166,'WHO GHO Data'!$AD$8:$AD$12,0))*$G166/1000),"")</f>
        <v/>
      </c>
      <c r="I166" s="28" t="str">
        <f>IFERROR(IFERROR(INDEX('WHO GHO Data'!$U$8:$U$201,MATCH('HCW, Staff, Beds Summary'!$C166,'WHO GHO Data'!$C$8:$C$201,0)),INDEX('WHO GHO Data'!$AE$8:$AE$12,MATCH('HCW, Staff, Beds Summary'!$E166,'WHO GHO Data'!$AD$8:$AD$12,0))*$G166/1000),"")</f>
        <v/>
      </c>
      <c r="J166" s="28" t="str">
        <f>IFERROR(IFERROR(INDEX('WHO GHO Data'!$X$8:$X$201,MATCH('HCW, Staff, Beds Summary'!$C166,'WHO GHO Data'!$C$8:$C$201,0)),INDEX('WHO GHO Data'!$AF$8:$AF$12,MATCH('HCW, Staff, Beds Summary'!$E166,'WHO GHO Data'!$AD$8:$AD$12,0))*$G166/1000),"")</f>
        <v/>
      </c>
      <c r="K166" s="1310">
        <f>IF(INDEX('WB Beds'!$BN$827:$BN$1090,MATCH($C166,'WB Beds'!$C$827:$C$1090,0))="No reported value",INDEX('WB Beds'!$BR$829:$BR$833,MATCH($E166,'WB Beds'!$BP$829:$BP$833,0)),INDEX('WB Beds'!$BN$827:$BN$1090,MATCH($C166,'WB Beds'!$C$827:$C$1090)))</f>
        <v>1.5166967169273771</v>
      </c>
      <c r="L166" s="1311">
        <f>INDEX('WB Beds'!$BR$836:$BR$840,MATCH($E166,'WB Beds'!$BP$836:$BP$840,0))*100</f>
        <v>2.7250000000000001</v>
      </c>
      <c r="N166" s="1264">
        <f t="shared" si="5"/>
        <v>600850.02128779888</v>
      </c>
    </row>
    <row r="167" spans="2:14" x14ac:dyDescent="0.35">
      <c r="B167" s="41" t="s">
        <v>475</v>
      </c>
      <c r="C167" s="41" t="s">
        <v>95</v>
      </c>
      <c r="D167" s="129" t="s">
        <v>1043</v>
      </c>
      <c r="E167" s="129" t="s">
        <v>557</v>
      </c>
      <c r="F167" s="129" t="str">
        <f t="shared" si="4"/>
        <v>LMIC</v>
      </c>
      <c r="G167" s="28">
        <f>INDEX('UNDP Population Data'!$E$6:$E$269,MATCH($B167,'UNDP Population Data'!$B$6:$B$269,0))</f>
        <v>629397</v>
      </c>
      <c r="H167" s="28">
        <f>IFERROR(IFERROR(INDEX('WHO GHO Data'!$V$8:$V$201,MATCH('HCW, Staff, Beds Summary'!$C167,'WHO GHO Data'!$C$8:$C$201,0)),INDEX('WHO GHO Data'!$AF$8:$AF$12,MATCH('HCW, Staff, Beds Summary'!$E167,'WHO GHO Data'!$AD$8:$AD$12,0))*$G167/1000),"")</f>
        <v>1731.3420677385072</v>
      </c>
      <c r="I167" s="28">
        <f>IFERROR(IFERROR(INDEX('WHO GHO Data'!$U$8:$U$201,MATCH('HCW, Staff, Beds Summary'!$C167,'WHO GHO Data'!$C$8:$C$201,0)),INDEX('WHO GHO Data'!$AE$8:$AE$12,MATCH('HCW, Staff, Beds Summary'!$E167,'WHO GHO Data'!$AD$8:$AD$12,0))*$G167/1000),"")</f>
        <v>3042.3583155636197</v>
      </c>
      <c r="J167" s="28">
        <f>IFERROR(IFERROR(INDEX('WHO GHO Data'!$X$8:$X$201,MATCH('HCW, Staff, Beds Summary'!$C167,'WHO GHO Data'!$C$8:$C$201,0)),INDEX('WHO GHO Data'!$AF$8:$AF$12,MATCH('HCW, Staff, Beds Summary'!$E167,'WHO GHO Data'!$AD$8:$AD$12,0))*$G167/1000),"")</f>
        <v>134.03401183754858</v>
      </c>
      <c r="K167" s="1310">
        <f>IF(INDEX('WB Beds'!$BN$827:$BN$1090,MATCH($C167,'WB Beds'!$C$827:$C$1090,0))="No reported value",INDEX('WB Beds'!$BR$829:$BR$833,MATCH($E167,'WB Beds'!$BP$829:$BP$833,0)),INDEX('WB Beds'!$BN$827:$BN$1090,MATCH($C167,'WB Beds'!$C$827:$C$1090)))</f>
        <v>4</v>
      </c>
      <c r="L167" s="1311">
        <f>INDEX('WB Beds'!$BR$836:$BR$840,MATCH($E167,'WB Beds'!$BP$836:$BP$840,0))*100</f>
        <v>3.32</v>
      </c>
      <c r="N167" s="1264">
        <f t="shared" si="5"/>
        <v>2517.5880000000002</v>
      </c>
    </row>
    <row r="168" spans="2:14" x14ac:dyDescent="0.35">
      <c r="B168" s="41" t="s">
        <v>250</v>
      </c>
      <c r="C168" s="41" t="s">
        <v>96</v>
      </c>
      <c r="D168" s="129" t="s">
        <v>1100</v>
      </c>
      <c r="E168" s="129" t="s">
        <v>454</v>
      </c>
      <c r="F168" s="129" t="str">
        <f t="shared" si="4"/>
        <v>LMIC</v>
      </c>
      <c r="G168" s="28">
        <f>INDEX('UNDP Population Data'!$E$6:$E$269,MATCH($B168,'UNDP Population Data'!$B$6:$B$269,0))</f>
        <v>3209404</v>
      </c>
      <c r="H168" s="28">
        <f>IFERROR(IFERROR(INDEX('WHO GHO Data'!$V$8:$V$201,MATCH('HCW, Staff, Beds Summary'!$C168,'WHO GHO Data'!$C$8:$C$201,0)),INDEX('WHO GHO Data'!$AF$8:$AF$12,MATCH('HCW, Staff, Beds Summary'!$E168,'WHO GHO Data'!$AD$8:$AD$12,0))*$G168/1000),"")</f>
        <v>9280.9522548957484</v>
      </c>
      <c r="I168" s="28">
        <f>IFERROR(IFERROR(INDEX('WHO GHO Data'!$U$8:$U$201,MATCH('HCW, Staff, Beds Summary'!$C168,'WHO GHO Data'!$C$8:$C$201,0)),INDEX('WHO GHO Data'!$AE$8:$AE$12,MATCH('HCW, Staff, Beds Summary'!$E168,'WHO GHO Data'!$AD$8:$AD$12,0))*$G168/1000),"")</f>
        <v>12721.001757635006</v>
      </c>
      <c r="J168" s="28">
        <f>IFERROR(IFERROR(INDEX('WHO GHO Data'!$X$8:$X$201,MATCH('HCW, Staff, Beds Summary'!$C168,'WHO GHO Data'!$C$8:$C$201,0)),INDEX('WHO GHO Data'!$AF$8:$AF$12,MATCH('HCW, Staff, Beds Summary'!$E168,'WHO GHO Data'!$AD$8:$AD$12,0))*$G168/1000),"")</f>
        <v>461.97668278746431</v>
      </c>
      <c r="K168" s="1310">
        <f>IF(INDEX('WB Beds'!$BN$827:$BN$1090,MATCH($C168,'WB Beds'!$C$827:$C$1090,0))="No reported value",INDEX('WB Beds'!$BR$829:$BR$833,MATCH($E168,'WB Beds'!$BP$829:$BP$833,0)),INDEX('WB Beds'!$BN$827:$BN$1090,MATCH($C168,'WB Beds'!$C$827:$C$1090)))</f>
        <v>7</v>
      </c>
      <c r="L168" s="1311">
        <f>INDEX('WB Beds'!$BR$836:$BR$840,MATCH($E168,'WB Beds'!$BP$836:$BP$840,0))*100</f>
        <v>2.3800000000000003</v>
      </c>
      <c r="N168" s="1264">
        <f t="shared" si="5"/>
        <v>22465.828000000001</v>
      </c>
    </row>
    <row r="169" spans="2:14" x14ac:dyDescent="0.35">
      <c r="B169" s="41" t="s">
        <v>485</v>
      </c>
      <c r="C169" s="41" t="s">
        <v>486</v>
      </c>
      <c r="D169" s="129" t="s">
        <v>1089</v>
      </c>
      <c r="E169" s="129" t="s">
        <v>410</v>
      </c>
      <c r="F169" s="129" t="str">
        <f t="shared" si="4"/>
        <v>Not LMIC</v>
      </c>
      <c r="G169" s="28">
        <f>INDEX('UNDP Population Data'!$E$6:$E$269,MATCH($B169,'UNDP Population Data'!$B$6:$B$269,0))</f>
        <v>55347</v>
      </c>
      <c r="H169" s="28">
        <f>IFERROR(IFERROR(INDEX('WHO GHO Data'!$V$8:$V$201,MATCH('HCW, Staff, Beds Summary'!$C169,'WHO GHO Data'!$C$8:$C$201,0)),INDEX('WHO GHO Data'!$AF$8:$AF$12,MATCH('HCW, Staff, Beds Summary'!$E169,'WHO GHO Data'!$AD$8:$AD$12,0))*$G169/1000),"")</f>
        <v>184.82867297547045</v>
      </c>
      <c r="I169" s="28">
        <f>IFERROR(IFERROR(INDEX('WHO GHO Data'!$U$8:$U$201,MATCH('HCW, Staff, Beds Summary'!$C169,'WHO GHO Data'!$C$8:$C$201,0)),INDEX('WHO GHO Data'!$AE$8:$AE$12,MATCH('HCW, Staff, Beds Summary'!$E169,'WHO GHO Data'!$AD$8:$AD$12,0))*$G169/1000),"")</f>
        <v>467.78911415850905</v>
      </c>
      <c r="J169" s="28">
        <f>IFERROR(IFERROR(INDEX('WHO GHO Data'!$X$8:$X$201,MATCH('HCW, Staff, Beds Summary'!$C169,'WHO GHO Data'!$C$8:$C$201,0)),INDEX('WHO GHO Data'!$AF$8:$AF$12,MATCH('HCW, Staff, Beds Summary'!$E169,'WHO GHO Data'!$AD$8:$AD$12,0))*$G169/1000),"")</f>
        <v>184.82867297547045</v>
      </c>
      <c r="K169" s="1310">
        <f>IF(INDEX('WB Beds'!$BN$827:$BN$1090,MATCH($C169,'WB Beds'!$C$827:$C$1090,0))="No reported value",INDEX('WB Beds'!$BR$829:$BR$833,MATCH($E169,'WB Beds'!$BP$829:$BP$833,0)),INDEX('WB Beds'!$BN$827:$BN$1090,MATCH($C169,'WB Beds'!$C$827:$C$1090)))</f>
        <v>4.82</v>
      </c>
      <c r="L169" s="1311">
        <f>INDEX('WB Beds'!$BR$836:$BR$840,MATCH($E169,'WB Beds'!$BP$836:$BP$840,0))*100</f>
        <v>3.5700000000000003</v>
      </c>
      <c r="N169" s="1264">
        <f t="shared" si="5"/>
        <v>266.77254000000005</v>
      </c>
    </row>
    <row r="170" spans="2:14" x14ac:dyDescent="0.35">
      <c r="B170" s="41" t="s">
        <v>207</v>
      </c>
      <c r="C170" s="41" t="s">
        <v>97</v>
      </c>
      <c r="D170" s="129" t="s">
        <v>1042</v>
      </c>
      <c r="E170" s="129" t="s">
        <v>452</v>
      </c>
      <c r="F170" s="129" t="str">
        <f t="shared" si="4"/>
        <v>LMIC</v>
      </c>
      <c r="G170" s="28">
        <f>INDEX('UNDP Population Data'!$E$6:$E$269,MATCH($B170,'UNDP Population Data'!$B$6:$B$269,0))</f>
        <v>32309195</v>
      </c>
      <c r="H170" s="28">
        <f>IFERROR(IFERROR(INDEX('WHO GHO Data'!$V$8:$V$201,MATCH('HCW, Staff, Beds Summary'!$C170,'WHO GHO Data'!$C$8:$C$201,0)),INDEX('WHO GHO Data'!$AF$8:$AF$12,MATCH('HCW, Staff, Beds Summary'!$E170,'WHO GHO Data'!$AD$8:$AD$12,0))*$G170/1000),"")</f>
        <v>2618.3339823239671</v>
      </c>
      <c r="I170" s="28">
        <f>IFERROR(IFERROR(INDEX('WHO GHO Data'!$U$8:$U$201,MATCH('HCW, Staff, Beds Summary'!$C170,'WHO GHO Data'!$C$8:$C$201,0)),INDEX('WHO GHO Data'!$AE$8:$AE$12,MATCH('HCW, Staff, Beds Summary'!$E170,'WHO GHO Data'!$AD$8:$AD$12,0))*$G170/1000),"")</f>
        <v>15006.981749073964</v>
      </c>
      <c r="J170" s="28">
        <f>IFERROR(IFERROR(INDEX('WHO GHO Data'!$X$8:$X$201,MATCH('HCW, Staff, Beds Summary'!$C170,'WHO GHO Data'!$C$8:$C$201,0)),INDEX('WHO GHO Data'!$AF$8:$AF$12,MATCH('HCW, Staff, Beds Summary'!$E170,'WHO GHO Data'!$AD$8:$AD$12,0))*$G170/1000),"")</f>
        <v>2133.1140506457832</v>
      </c>
      <c r="K170" s="1310">
        <f>IF(INDEX('WB Beds'!$BN$827:$BN$1090,MATCH($C170,'WB Beds'!$C$827:$C$1090,0))="No reported value",INDEX('WB Beds'!$BR$829:$BR$833,MATCH($E170,'WB Beds'!$BP$829:$BP$833,0)),INDEX('WB Beds'!$BN$827:$BN$1090,MATCH($C170,'WB Beds'!$C$827:$C$1090)))</f>
        <v>0.7</v>
      </c>
      <c r="L170" s="1311">
        <f>INDEX('WB Beds'!$BR$836:$BR$840,MATCH($E170,'WB Beds'!$BP$836:$BP$840,0))*100</f>
        <v>1.63</v>
      </c>
      <c r="N170" s="1264">
        <f t="shared" si="5"/>
        <v>22616.4365</v>
      </c>
    </row>
    <row r="171" spans="2:14" x14ac:dyDescent="0.35">
      <c r="B171" s="41" t="s">
        <v>205</v>
      </c>
      <c r="C171" s="41" t="s">
        <v>98</v>
      </c>
      <c r="D171" s="129" t="s">
        <v>1042</v>
      </c>
      <c r="E171" s="129" t="s">
        <v>454</v>
      </c>
      <c r="F171" s="129" t="str">
        <f t="shared" si="4"/>
        <v>LMIC</v>
      </c>
      <c r="G171" s="28">
        <f>INDEX('UNDP Population Data'!$E$6:$E$269,MATCH($B171,'UNDP Population Data'!$B$6:$B$269,0))</f>
        <v>4783767</v>
      </c>
      <c r="H171" s="28">
        <f>IFERROR(IFERROR(INDEX('WHO GHO Data'!$V$8:$V$201,MATCH('HCW, Staff, Beds Summary'!$C171,'WHO GHO Data'!$C$8:$C$201,0)),INDEX('WHO GHO Data'!$AF$8:$AF$12,MATCH('HCW, Staff, Beds Summary'!$E171,'WHO GHO Data'!$AD$8:$AD$12,0))*$G171/1000),"")</f>
        <v>866.33006987262672</v>
      </c>
      <c r="I171" s="28">
        <f>IFERROR(IFERROR(INDEX('WHO GHO Data'!$U$8:$U$201,MATCH('HCW, Staff, Beds Summary'!$C171,'WHO GHO Data'!$C$8:$C$201,0)),INDEX('WHO GHO Data'!$AE$8:$AE$12,MATCH('HCW, Staff, Beds Summary'!$E171,'WHO GHO Data'!$AD$8:$AD$12,0))*$G171/1000),"")</f>
        <v>3590.8906550262473</v>
      </c>
      <c r="J171" s="28">
        <f>IFERROR(IFERROR(INDEX('WHO GHO Data'!$X$8:$X$201,MATCH('HCW, Staff, Beds Summary'!$C171,'WHO GHO Data'!$C$8:$C$201,0)),INDEX('WHO GHO Data'!$AF$8:$AF$12,MATCH('HCW, Staff, Beds Summary'!$E171,'WHO GHO Data'!$AD$8:$AD$12,0))*$G171/1000),"")</f>
        <v>12.662558877553618</v>
      </c>
      <c r="K171" s="1310">
        <f>IF(INDEX('WB Beds'!$BN$827:$BN$1090,MATCH($C171,'WB Beds'!$C$827:$C$1090,0))="No reported value",INDEX('WB Beds'!$BR$829:$BR$833,MATCH($E171,'WB Beds'!$BP$829:$BP$833,0)),INDEX('WB Beds'!$BN$827:$BN$1090,MATCH($C171,'WB Beds'!$C$827:$C$1090)))</f>
        <v>0.4</v>
      </c>
      <c r="L171" s="1311">
        <f>INDEX('WB Beds'!$BR$836:$BR$840,MATCH($E171,'WB Beds'!$BP$836:$BP$840,0))*100</f>
        <v>2.3800000000000003</v>
      </c>
      <c r="N171" s="1264">
        <f t="shared" si="5"/>
        <v>1913.5068000000001</v>
      </c>
    </row>
    <row r="172" spans="2:14" x14ac:dyDescent="0.35">
      <c r="B172" s="41" t="s">
        <v>206</v>
      </c>
      <c r="C172" s="41" t="s">
        <v>99</v>
      </c>
      <c r="D172" s="129" t="s">
        <v>1042</v>
      </c>
      <c r="E172" s="129" t="s">
        <v>557</v>
      </c>
      <c r="F172" s="129" t="str">
        <f t="shared" si="4"/>
        <v>LMIC</v>
      </c>
      <c r="G172" s="28">
        <f>INDEX('UNDP Population Data'!$E$6:$E$269,MATCH($B172,'UNDP Population Data'!$B$6:$B$269,0))</f>
        <v>1274114</v>
      </c>
      <c r="H172" s="28">
        <f>IFERROR(IFERROR(INDEX('WHO GHO Data'!$V$8:$V$201,MATCH('HCW, Staff, Beds Summary'!$C172,'WHO GHO Data'!$C$8:$C$201,0)),INDEX('WHO GHO Data'!$AF$8:$AF$12,MATCH('HCW, Staff, Beds Summary'!$E172,'WHO GHO Data'!$AD$8:$AD$12,0))*$G172/1000),"")</f>
        <v>3224.8917974231431</v>
      </c>
      <c r="I172" s="28">
        <f>IFERROR(IFERROR(INDEX('WHO GHO Data'!$U$8:$U$201,MATCH('HCW, Staff, Beds Summary'!$C172,'WHO GHO Data'!$C$8:$C$201,0)),INDEX('WHO GHO Data'!$AE$8:$AE$12,MATCH('HCW, Staff, Beds Summary'!$E172,'WHO GHO Data'!$AD$8:$AD$12,0))*$G172/1000),"")</f>
        <v>4475.9676411018663</v>
      </c>
      <c r="J172" s="28">
        <f>IFERROR(IFERROR(INDEX('WHO GHO Data'!$X$8:$X$201,MATCH('HCW, Staff, Beds Summary'!$C172,'WHO GHO Data'!$C$8:$C$201,0)),INDEX('WHO GHO Data'!$AF$8:$AF$12,MATCH('HCW, Staff, Beds Summary'!$E172,'WHO GHO Data'!$AD$8:$AD$12,0))*$G172/1000),"")</f>
        <v>369.61883092027949</v>
      </c>
      <c r="K172" s="1310">
        <f>IF(INDEX('WB Beds'!$BN$827:$BN$1090,MATCH($C172,'WB Beds'!$C$827:$C$1090,0))="No reported value",INDEX('WB Beds'!$BR$829:$BR$833,MATCH($E172,'WB Beds'!$BP$829:$BP$833,0)),INDEX('WB Beds'!$BN$827:$BN$1090,MATCH($C172,'WB Beds'!$C$827:$C$1090)))</f>
        <v>3.4</v>
      </c>
      <c r="L172" s="1311">
        <f>INDEX('WB Beds'!$BR$836:$BR$840,MATCH($E172,'WB Beds'!$BP$836:$BP$840,0))*100</f>
        <v>3.32</v>
      </c>
      <c r="N172" s="1264">
        <f t="shared" si="5"/>
        <v>4331.9875999999995</v>
      </c>
    </row>
    <row r="173" spans="2:14" x14ac:dyDescent="0.35">
      <c r="B173" s="41" t="s">
        <v>203</v>
      </c>
      <c r="C173" s="41" t="s">
        <v>100</v>
      </c>
      <c r="D173" s="129" t="s">
        <v>1042</v>
      </c>
      <c r="E173" s="129" t="s">
        <v>452</v>
      </c>
      <c r="F173" s="129" t="str">
        <f t="shared" si="4"/>
        <v>LMIC</v>
      </c>
      <c r="G173" s="28">
        <f>INDEX('UNDP Population Data'!$E$6:$E$269,MATCH($B173,'UNDP Population Data'!$B$6:$B$269,0))</f>
        <v>20283691</v>
      </c>
      <c r="H173" s="28">
        <f>IFERROR(IFERROR(INDEX('WHO GHO Data'!$V$8:$V$201,MATCH('HCW, Staff, Beds Summary'!$C173,'WHO GHO Data'!$C$8:$C$201,0)),INDEX('WHO GHO Data'!$AF$8:$AF$12,MATCH('HCW, Staff, Beds Summary'!$E173,'WHO GHO Data'!$AD$8:$AD$12,0))*$G173/1000),"")</f>
        <v>687.32023065263388</v>
      </c>
      <c r="I173" s="28">
        <f>IFERROR(IFERROR(INDEX('WHO GHO Data'!$U$8:$U$201,MATCH('HCW, Staff, Beds Summary'!$C173,'WHO GHO Data'!$C$8:$C$201,0)),INDEX('WHO GHO Data'!$AE$8:$AE$12,MATCH('HCW, Staff, Beds Summary'!$E173,'WHO GHO Data'!$AD$8:$AD$12,0))*$G173/1000),"")</f>
        <v>8426.821379511568</v>
      </c>
      <c r="J173" s="28">
        <f>IFERROR(IFERROR(INDEX('WHO GHO Data'!$X$8:$X$201,MATCH('HCW, Staff, Beds Summary'!$C173,'WHO GHO Data'!$C$8:$C$201,0)),INDEX('WHO GHO Data'!$AF$8:$AF$12,MATCH('HCW, Staff, Beds Summary'!$E173,'WHO GHO Data'!$AD$8:$AD$12,0))*$G173/1000),"")</f>
        <v>445.26582911095358</v>
      </c>
      <c r="K173" s="1310">
        <f>IF(INDEX('WB Beds'!$BN$827:$BN$1090,MATCH($C173,'WB Beds'!$C$827:$C$1090,0))="No reported value",INDEX('WB Beds'!$BR$829:$BR$833,MATCH($E173,'WB Beds'!$BP$829:$BP$833,0)),INDEX('WB Beds'!$BN$827:$BN$1090,MATCH($C173,'WB Beds'!$C$827:$C$1090)))</f>
        <v>1.3</v>
      </c>
      <c r="L173" s="1311">
        <f>INDEX('WB Beds'!$BR$836:$BR$840,MATCH($E173,'WB Beds'!$BP$836:$BP$840,0))*100</f>
        <v>1.63</v>
      </c>
      <c r="N173" s="1264">
        <f t="shared" si="5"/>
        <v>26368.798300000002</v>
      </c>
    </row>
    <row r="174" spans="2:14" x14ac:dyDescent="0.35">
      <c r="B174" s="41" t="s">
        <v>459</v>
      </c>
      <c r="C174" s="41" t="s">
        <v>101</v>
      </c>
      <c r="D174" s="129" t="s">
        <v>1100</v>
      </c>
      <c r="E174" s="129" t="s">
        <v>557</v>
      </c>
      <c r="F174" s="129" t="str">
        <f t="shared" si="4"/>
        <v>LMIC</v>
      </c>
      <c r="G174" s="28">
        <f>INDEX('UNDP Population Data'!$E$6:$E$269,MATCH($B174,'UNDP Population Data'!$B$6:$B$269,0))</f>
        <v>32869322.999999996</v>
      </c>
      <c r="H174" s="28">
        <f>IFERROR(IFERROR(INDEX('WHO GHO Data'!$V$8:$V$201,MATCH('HCW, Staff, Beds Summary'!$C174,'WHO GHO Data'!$C$8:$C$201,0)),INDEX('WHO GHO Data'!$AF$8:$AF$12,MATCH('HCW, Staff, Beds Summary'!$E174,'WHO GHO Data'!$AD$8:$AD$12,0))*$G174/1000),"")</f>
        <v>49738.631842758303</v>
      </c>
      <c r="I174" s="28">
        <f>IFERROR(IFERROR(INDEX('WHO GHO Data'!$U$8:$U$201,MATCH('HCW, Staff, Beds Summary'!$C174,'WHO GHO Data'!$C$8:$C$201,0)),INDEX('WHO GHO Data'!$AE$8:$AE$12,MATCH('HCW, Staff, Beds Summary'!$E174,'WHO GHO Data'!$AD$8:$AD$12,0))*$G174/1000),"")</f>
        <v>112317.47493017351</v>
      </c>
      <c r="J174" s="28">
        <f>IFERROR(IFERROR(INDEX('WHO GHO Data'!$X$8:$X$201,MATCH('HCW, Staff, Beds Summary'!$C174,'WHO GHO Data'!$C$8:$C$201,0)),INDEX('WHO GHO Data'!$AF$8:$AF$12,MATCH('HCW, Staff, Beds Summary'!$E174,'WHO GHO Data'!$AD$8:$AD$12,0))*$G174/1000),"")</f>
        <v>6765.7634332151065</v>
      </c>
      <c r="K174" s="1310">
        <f>IF(INDEX('WB Beds'!$BN$827:$BN$1090,MATCH($C174,'WB Beds'!$C$827:$C$1090,0))="No reported value",INDEX('WB Beds'!$BR$829:$BR$833,MATCH($E174,'WB Beds'!$BP$829:$BP$833,0)),INDEX('WB Beds'!$BN$827:$BN$1090,MATCH($C174,'WB Beds'!$C$827:$C$1090)))</f>
        <v>1.9</v>
      </c>
      <c r="L174" s="1311">
        <f>INDEX('WB Beds'!$BR$836:$BR$840,MATCH($E174,'WB Beds'!$BP$836:$BP$840,0))*100</f>
        <v>3.32</v>
      </c>
      <c r="N174" s="1264">
        <f t="shared" si="5"/>
        <v>62451.713699999986</v>
      </c>
    </row>
    <row r="175" spans="2:14" x14ac:dyDescent="0.35">
      <c r="B175" s="41" t="s">
        <v>481</v>
      </c>
      <c r="C175" s="41" t="s">
        <v>482</v>
      </c>
      <c r="D175" s="129" t="s">
        <v>1089</v>
      </c>
      <c r="E175" s="129" t="s">
        <v>742</v>
      </c>
      <c r="F175" s="129" t="str">
        <f t="shared" si="4"/>
        <v>Not LMIC</v>
      </c>
      <c r="G175" s="28">
        <f>INDEX('UNDP Population Data'!$E$6:$E$269,MATCH($B175,'UNDP Population Data'!$B$6:$B$269,0))</f>
        <v>369599000</v>
      </c>
      <c r="H175" s="28" t="str">
        <f>IFERROR(IFERROR(INDEX('WHO GHO Data'!$V$8:$V$201,MATCH('HCW, Staff, Beds Summary'!$C175,'WHO GHO Data'!$C$8:$C$201,0)),INDEX('WHO GHO Data'!$AF$8:$AF$12,MATCH('HCW, Staff, Beds Summary'!$E175,'WHO GHO Data'!$AD$8:$AD$12,0))*$G175/1000),"")</f>
        <v/>
      </c>
      <c r="I175" s="28" t="str">
        <f>IFERROR(IFERROR(INDEX('WHO GHO Data'!$U$8:$U$201,MATCH('HCW, Staff, Beds Summary'!$C175,'WHO GHO Data'!$C$8:$C$201,0)),INDEX('WHO GHO Data'!$AE$8:$AE$12,MATCH('HCW, Staff, Beds Summary'!$E175,'WHO GHO Data'!$AD$8:$AD$12,0))*$G175/1000),"")</f>
        <v/>
      </c>
      <c r="J175" s="28" t="str">
        <f>IFERROR(IFERROR(INDEX('WHO GHO Data'!$X$8:$X$201,MATCH('HCW, Staff, Beds Summary'!$C175,'WHO GHO Data'!$C$8:$C$201,0)),INDEX('WHO GHO Data'!$AF$8:$AF$12,MATCH('HCW, Staff, Beds Summary'!$E175,'WHO GHO Data'!$AD$8:$AD$12,0))*$G175/1000),"")</f>
        <v/>
      </c>
      <c r="K175" s="1310">
        <f>IF(INDEX('WB Beds'!$BN$827:$BN$1090,MATCH($C175,'WB Beds'!$C$827:$C$1090,0))="No reported value",INDEX('WB Beds'!$BR$829:$BR$833,MATCH($E175,'WB Beds'!$BP$829:$BP$833,0)),INDEX('WB Beds'!$BN$827:$BN$1090,MATCH($C175,'WB Beds'!$C$827:$C$1090)))</f>
        <v>2.9</v>
      </c>
      <c r="L175" s="1311">
        <f>INDEX('WB Beds'!$BR$836:$BR$840,MATCH($E175,'WB Beds'!$BP$836:$BP$840,0))*100</f>
        <v>2.7250000000000001</v>
      </c>
      <c r="N175" s="1264">
        <f t="shared" si="5"/>
        <v>1071837.1000000001</v>
      </c>
    </row>
    <row r="176" spans="2:14" x14ac:dyDescent="0.35">
      <c r="B176" s="41" t="s">
        <v>208</v>
      </c>
      <c r="C176" s="41" t="s">
        <v>102</v>
      </c>
      <c r="D176" s="129" t="s">
        <v>1042</v>
      </c>
      <c r="E176" s="129" t="s">
        <v>557</v>
      </c>
      <c r="F176" s="129" t="str">
        <f t="shared" si="4"/>
        <v>LMIC</v>
      </c>
      <c r="G176" s="28">
        <f>INDEX('UNDP Population Data'!$E$6:$E$269,MATCH($B176,'UNDP Population Data'!$B$6:$B$269,0))</f>
        <v>2696537</v>
      </c>
      <c r="H176" s="28">
        <f>IFERROR(IFERROR(INDEX('WHO GHO Data'!$V$8:$V$201,MATCH('HCW, Staff, Beds Summary'!$C176,'WHO GHO Data'!$C$8:$C$201,0)),INDEX('WHO GHO Data'!$AF$8:$AF$12,MATCH('HCW, Staff, Beds Summary'!$E176,'WHO GHO Data'!$AD$8:$AD$12,0))*$G176/1000),"")</f>
        <v>1068.310826621665</v>
      </c>
      <c r="I176" s="28">
        <f>IFERROR(IFERROR(INDEX('WHO GHO Data'!$U$8:$U$201,MATCH('HCW, Staff, Beds Summary'!$C176,'WHO GHO Data'!$C$8:$C$201,0)),INDEX('WHO GHO Data'!$AE$8:$AE$12,MATCH('HCW, Staff, Beds Summary'!$E176,'WHO GHO Data'!$AD$8:$AD$12,0))*$G176/1000),"")</f>
        <v>4991.0146431230914</v>
      </c>
      <c r="J176" s="28">
        <f>IFERROR(IFERROR(INDEX('WHO GHO Data'!$X$8:$X$201,MATCH('HCW, Staff, Beds Summary'!$C176,'WHO GHO Data'!$C$8:$C$201,0)),INDEX('WHO GHO Data'!$AF$8:$AF$12,MATCH('HCW, Staff, Beds Summary'!$E176,'WHO GHO Data'!$AD$8:$AD$12,0))*$G176/1000),"")</f>
        <v>224.5439546618399</v>
      </c>
      <c r="K176" s="1310">
        <f>IF(INDEX('WB Beds'!$BN$827:$BN$1090,MATCH($C176,'WB Beds'!$C$827:$C$1090,0))="No reported value",INDEX('WB Beds'!$BR$829:$BR$833,MATCH($E176,'WB Beds'!$BP$829:$BP$833,0)),INDEX('WB Beds'!$BN$827:$BN$1090,MATCH($C176,'WB Beds'!$C$827:$C$1090)))</f>
        <v>2.7</v>
      </c>
      <c r="L176" s="1311">
        <f>INDEX('WB Beds'!$BR$836:$BR$840,MATCH($E176,'WB Beds'!$BP$836:$BP$840,0))*100</f>
        <v>3.32</v>
      </c>
      <c r="N176" s="1264">
        <f t="shared" si="5"/>
        <v>7280.6499000000003</v>
      </c>
    </row>
    <row r="177" spans="2:14" x14ac:dyDescent="0.35">
      <c r="B177" s="41" t="s">
        <v>478</v>
      </c>
      <c r="C177" s="41" t="s">
        <v>479</v>
      </c>
      <c r="D177" s="129" t="s">
        <v>1089</v>
      </c>
      <c r="E177" s="129" t="s">
        <v>410</v>
      </c>
      <c r="F177" s="129" t="str">
        <f t="shared" si="4"/>
        <v>Not LMIC</v>
      </c>
      <c r="G177" s="28">
        <f>INDEX('UNDP Population Data'!$E$6:$E$269,MATCH($B177,'UNDP Population Data'!$B$6:$B$269,0))</f>
        <v>286913</v>
      </c>
      <c r="H177" s="28">
        <f>IFERROR(IFERROR(INDEX('WHO GHO Data'!$V$8:$V$201,MATCH('HCW, Staff, Beds Summary'!$C177,'WHO GHO Data'!$C$8:$C$201,0)),INDEX('WHO GHO Data'!$AF$8:$AF$12,MATCH('HCW, Staff, Beds Summary'!$E177,'WHO GHO Data'!$AD$8:$AD$12,0))*$G177/1000),"")</f>
        <v>958.1323115870988</v>
      </c>
      <c r="I177" s="28">
        <f>IFERROR(IFERROR(INDEX('WHO GHO Data'!$U$8:$U$201,MATCH('HCW, Staff, Beds Summary'!$C177,'WHO GHO Data'!$C$8:$C$201,0)),INDEX('WHO GHO Data'!$AE$8:$AE$12,MATCH('HCW, Staff, Beds Summary'!$E177,'WHO GHO Data'!$AD$8:$AD$12,0))*$G177/1000),"")</f>
        <v>2424.9693408958083</v>
      </c>
      <c r="J177" s="28">
        <f>IFERROR(IFERROR(INDEX('WHO GHO Data'!$X$8:$X$201,MATCH('HCW, Staff, Beds Summary'!$C177,'WHO GHO Data'!$C$8:$C$201,0)),INDEX('WHO GHO Data'!$AF$8:$AF$12,MATCH('HCW, Staff, Beds Summary'!$E177,'WHO GHO Data'!$AD$8:$AD$12,0))*$G177/1000),"")</f>
        <v>958.1323115870988</v>
      </c>
      <c r="K177" s="1310">
        <f>IF(INDEX('WB Beds'!$BN$827:$BN$1090,MATCH($C177,'WB Beds'!$C$827:$C$1090,0))="No reported value",INDEX('WB Beds'!$BR$829:$BR$833,MATCH($E177,'WB Beds'!$BP$829:$BP$833,0)),INDEX('WB Beds'!$BN$827:$BN$1090,MATCH($C177,'WB Beds'!$C$827:$C$1090)))</f>
        <v>4.82</v>
      </c>
      <c r="L177" s="1311">
        <f>INDEX('WB Beds'!$BR$836:$BR$840,MATCH($E177,'WB Beds'!$BP$836:$BP$840,0))*100</f>
        <v>3.5700000000000003</v>
      </c>
      <c r="N177" s="1264">
        <f t="shared" si="5"/>
        <v>1382.9206600000002</v>
      </c>
    </row>
    <row r="178" spans="2:14" x14ac:dyDescent="0.35">
      <c r="B178" s="41" t="s">
        <v>209</v>
      </c>
      <c r="C178" s="41" t="s">
        <v>103</v>
      </c>
      <c r="D178" s="129" t="s">
        <v>1042</v>
      </c>
      <c r="E178" s="129" t="s">
        <v>452</v>
      </c>
      <c r="F178" s="129" t="str">
        <f t="shared" si="4"/>
        <v>LMIC</v>
      </c>
      <c r="G178" s="28">
        <f>INDEX('UNDP Population Data'!$E$6:$E$269,MATCH($B178,'UNDP Population Data'!$B$6:$B$269,0))</f>
        <v>24074693</v>
      </c>
      <c r="H178" s="28">
        <f>IFERROR(IFERROR(INDEX('WHO GHO Data'!$V$8:$V$201,MATCH('HCW, Staff, Beds Summary'!$C178,'WHO GHO Data'!$C$8:$C$201,0)),INDEX('WHO GHO Data'!$AF$8:$AF$12,MATCH('HCW, Staff, Beds Summary'!$E178,'WHO GHO Data'!$AD$8:$AD$12,0))*$G178/1000),"")</f>
        <v>1048.2422176875803</v>
      </c>
      <c r="I178" s="28">
        <f>IFERROR(IFERROR(INDEX('WHO GHO Data'!$U$8:$U$201,MATCH('HCW, Staff, Beds Summary'!$C178,'WHO GHO Data'!$C$8:$C$201,0)),INDEX('WHO GHO Data'!$AE$8:$AE$12,MATCH('HCW, Staff, Beds Summary'!$E178,'WHO GHO Data'!$AD$8:$AD$12,0))*$G178/1000),"")</f>
        <v>5527.7306279391732</v>
      </c>
      <c r="J178" s="28">
        <f>IFERROR(IFERROR(INDEX('WHO GHO Data'!$X$8:$X$201,MATCH('HCW, Staff, Beds Summary'!$C178,'WHO GHO Data'!$C$8:$C$201,0)),INDEX('WHO GHO Data'!$AF$8:$AF$12,MATCH('HCW, Staff, Beds Summary'!$E178,'WHO GHO Data'!$AD$8:$AD$12,0))*$G178/1000),"")</f>
        <v>561.21464299928743</v>
      </c>
      <c r="K178" s="1310">
        <f>IF(INDEX('WB Beds'!$BN$827:$BN$1090,MATCH($C178,'WB Beds'!$C$827:$C$1090,0))="No reported value",INDEX('WB Beds'!$BR$829:$BR$833,MATCH($E178,'WB Beds'!$BP$829:$BP$833,0)),INDEX('WB Beds'!$BN$827:$BN$1090,MATCH($C178,'WB Beds'!$C$827:$C$1090)))</f>
        <v>0.3</v>
      </c>
      <c r="L178" s="1311">
        <f>INDEX('WB Beds'!$BR$836:$BR$840,MATCH($E178,'WB Beds'!$BP$836:$BP$840,0))*100</f>
        <v>1.63</v>
      </c>
      <c r="N178" s="1264">
        <f t="shared" si="5"/>
        <v>7222.4078999999992</v>
      </c>
    </row>
    <row r="179" spans="2:14" x14ac:dyDescent="0.35">
      <c r="B179" s="41" t="s">
        <v>177</v>
      </c>
      <c r="C179" s="41" t="s">
        <v>104</v>
      </c>
      <c r="D179" s="129" t="s">
        <v>1042</v>
      </c>
      <c r="E179" s="129" t="s">
        <v>454</v>
      </c>
      <c r="F179" s="129" t="str">
        <f t="shared" si="4"/>
        <v>LMIC</v>
      </c>
      <c r="G179" s="28">
        <f>INDEX('UNDP Population Data'!$E$6:$E$269,MATCH($B179,'UNDP Population Data'!$B$6:$B$269,0))</f>
        <v>206152701</v>
      </c>
      <c r="H179" s="28">
        <f>IFERROR(IFERROR(INDEX('WHO GHO Data'!$V$8:$V$201,MATCH('HCW, Staff, Beds Summary'!$C179,'WHO GHO Data'!$C$8:$C$201,0)),INDEX('WHO GHO Data'!$AF$8:$AF$12,MATCH('HCW, Staff, Beds Summary'!$E179,'WHO GHO Data'!$AD$8:$AD$12,0))*$G179/1000),"")</f>
        <v>78494.044005375341</v>
      </c>
      <c r="I179" s="28">
        <f>IFERROR(IFERROR(INDEX('WHO GHO Data'!$U$8:$U$201,MATCH('HCW, Staff, Beds Summary'!$C179,'WHO GHO Data'!$C$8:$C$201,0)),INDEX('WHO GHO Data'!$AE$8:$AE$12,MATCH('HCW, Staff, Beds Summary'!$E179,'WHO GHO Data'!$AD$8:$AD$12,0))*$G179/1000),"")</f>
        <v>115940.95643067561</v>
      </c>
      <c r="J179" s="28">
        <f>IFERROR(IFERROR(INDEX('WHO GHO Data'!$X$8:$X$201,MATCH('HCW, Staff, Beds Summary'!$C179,'WHO GHO Data'!$C$8:$C$201,0)),INDEX('WHO GHO Data'!$AF$8:$AF$12,MATCH('HCW, Staff, Beds Summary'!$E179,'WHO GHO Data'!$AD$8:$AD$12,0))*$G179/1000),"")</f>
        <v>58887.117810023818</v>
      </c>
      <c r="K179" s="1310">
        <f>IF(INDEX('WB Beds'!$BN$827:$BN$1090,MATCH($C179,'WB Beds'!$C$827:$C$1090,0))="No reported value",INDEX('WB Beds'!$BR$829:$BR$833,MATCH($E179,'WB Beds'!$BP$829:$BP$833,0)),INDEX('WB Beds'!$BN$827:$BN$1090,MATCH($C179,'WB Beds'!$C$827:$C$1090)))</f>
        <v>0.5</v>
      </c>
      <c r="L179" s="1311">
        <f>INDEX('WB Beds'!$BR$836:$BR$840,MATCH($E179,'WB Beds'!$BP$836:$BP$840,0))*100</f>
        <v>2.3800000000000003</v>
      </c>
      <c r="N179" s="1264">
        <f t="shared" si="5"/>
        <v>103076.3505</v>
      </c>
    </row>
    <row r="180" spans="2:14" x14ac:dyDescent="0.35">
      <c r="B180" s="41" t="s">
        <v>227</v>
      </c>
      <c r="C180" s="41" t="s">
        <v>105</v>
      </c>
      <c r="D180" s="129" t="s">
        <v>1044</v>
      </c>
      <c r="E180" s="129" t="s">
        <v>454</v>
      </c>
      <c r="F180" s="129" t="str">
        <f t="shared" si="4"/>
        <v>LMIC</v>
      </c>
      <c r="G180" s="28">
        <f>INDEX('UNDP Population Data'!$E$6:$E$269,MATCH($B180,'UNDP Population Data'!$B$6:$B$269,0))</f>
        <v>6416568</v>
      </c>
      <c r="H180" s="28">
        <f>IFERROR(IFERROR(INDEX('WHO GHO Data'!$V$8:$V$201,MATCH('HCW, Staff, Beds Summary'!$C180,'WHO GHO Data'!$C$8:$C$201,0)),INDEX('WHO GHO Data'!$AF$8:$AF$12,MATCH('HCW, Staff, Beds Summary'!$E180,'WHO GHO Data'!$AD$8:$AD$12,0))*$G180/1000),"")</f>
        <v>6456.8193038627714</v>
      </c>
      <c r="I180" s="28">
        <f>IFERROR(IFERROR(INDEX('WHO GHO Data'!$U$8:$U$201,MATCH('HCW, Staff, Beds Summary'!$C180,'WHO GHO Data'!$C$8:$C$201,0)),INDEX('WHO GHO Data'!$AE$8:$AE$12,MATCH('HCW, Staff, Beds Summary'!$E180,'WHO GHO Data'!$AD$8:$AD$12,0))*$G180/1000),"")</f>
        <v>10128.624458622708</v>
      </c>
      <c r="J180" s="28">
        <f>IFERROR(IFERROR(INDEX('WHO GHO Data'!$X$8:$X$201,MATCH('HCW, Staff, Beds Summary'!$C180,'WHO GHO Data'!$C$8:$C$201,0)),INDEX('WHO GHO Data'!$AF$8:$AF$12,MATCH('HCW, Staff, Beds Summary'!$E180,'WHO GHO Data'!$AD$8:$AD$12,0))*$G180/1000),"")</f>
        <v>1297.4937525167279</v>
      </c>
      <c r="K180" s="1310">
        <f>IF(INDEX('WB Beds'!$BN$827:$BN$1090,MATCH($C180,'WB Beds'!$C$827:$C$1090,0))="No reported value",INDEX('WB Beds'!$BR$829:$BR$833,MATCH($E180,'WB Beds'!$BP$829:$BP$833,0)),INDEX('WB Beds'!$BN$827:$BN$1090,MATCH($C180,'WB Beds'!$C$827:$C$1090)))</f>
        <v>0.9</v>
      </c>
      <c r="L180" s="1311">
        <f>INDEX('WB Beds'!$BR$836:$BR$840,MATCH($E180,'WB Beds'!$BP$836:$BP$840,0))*100</f>
        <v>2.3800000000000003</v>
      </c>
      <c r="N180" s="1264">
        <f t="shared" si="5"/>
        <v>5774.9112000000005</v>
      </c>
    </row>
    <row r="181" spans="2:14" x14ac:dyDescent="0.35">
      <c r="B181" s="41" t="s">
        <v>477</v>
      </c>
      <c r="C181" s="41" t="s">
        <v>106</v>
      </c>
      <c r="D181" s="129" t="s">
        <v>1043</v>
      </c>
      <c r="E181" s="129" t="s">
        <v>410</v>
      </c>
      <c r="F181" s="129" t="str">
        <f t="shared" si="4"/>
        <v>Not LMIC</v>
      </c>
      <c r="G181" s="28">
        <f>INDEX('UNDP Population Data'!$E$6:$E$269,MATCH($B181,'UNDP Population Data'!$B$6:$B$269,0))</f>
        <v>17181248</v>
      </c>
      <c r="H181" s="28">
        <f>IFERROR(IFERROR(INDEX('WHO GHO Data'!$V$8:$V$201,MATCH('HCW, Staff, Beds Summary'!$C181,'WHO GHO Data'!$C$8:$C$201,0)),INDEX('WHO GHO Data'!$AF$8:$AF$12,MATCH('HCW, Staff, Beds Summary'!$E181,'WHO GHO Data'!$AD$8:$AD$12,0))*$G181/1000),"")</f>
        <v>61894.183766199385</v>
      </c>
      <c r="I181" s="28">
        <f>IFERROR(IFERROR(INDEX('WHO GHO Data'!$U$8:$U$201,MATCH('HCW, Staff, Beds Summary'!$C181,'WHO GHO Data'!$C$8:$C$201,0)),INDEX('WHO GHO Data'!$AE$8:$AE$12,MATCH('HCW, Staff, Beds Summary'!$E181,'WHO GHO Data'!$AD$8:$AD$12,0))*$G181/1000),"")</f>
        <v>187967.98051927029</v>
      </c>
      <c r="J181" s="28">
        <f>IFERROR(IFERROR(INDEX('WHO GHO Data'!$X$8:$X$201,MATCH('HCW, Staff, Beds Summary'!$C181,'WHO GHO Data'!$C$8:$C$201,0)),INDEX('WHO GHO Data'!$AF$8:$AF$12,MATCH('HCW, Staff, Beds Summary'!$E181,'WHO GHO Data'!$AD$8:$AD$12,0))*$G181/1000),"")</f>
        <v>9164.9854671061548</v>
      </c>
      <c r="K181" s="1310">
        <f>IF(INDEX('WB Beds'!$BN$827:$BN$1090,MATCH($C181,'WB Beds'!$C$827:$C$1090,0))="No reported value",INDEX('WB Beds'!$BR$829:$BR$833,MATCH($E181,'WB Beds'!$BP$829:$BP$833,0)),INDEX('WB Beds'!$BN$827:$BN$1090,MATCH($C181,'WB Beds'!$C$827:$C$1090)))</f>
        <v>4.7</v>
      </c>
      <c r="L181" s="1311">
        <f>INDEX('WB Beds'!$BR$836:$BR$840,MATCH($E181,'WB Beds'!$BP$836:$BP$840,0))*100</f>
        <v>3.5700000000000003</v>
      </c>
      <c r="N181" s="1264">
        <f t="shared" si="5"/>
        <v>80751.865600000005</v>
      </c>
    </row>
    <row r="182" spans="2:14" x14ac:dyDescent="0.35">
      <c r="B182" s="41" t="s">
        <v>487</v>
      </c>
      <c r="C182" s="41" t="s">
        <v>107</v>
      </c>
      <c r="D182" s="129" t="s">
        <v>1043</v>
      </c>
      <c r="E182" s="129" t="s">
        <v>410</v>
      </c>
      <c r="F182" s="129" t="str">
        <f t="shared" si="4"/>
        <v>Not LMIC</v>
      </c>
      <c r="G182" s="28">
        <f>INDEX('UNDP Population Data'!$E$6:$E$269,MATCH($B182,'UNDP Population Data'!$B$6:$B$269,0))</f>
        <v>5449693</v>
      </c>
      <c r="H182" s="28">
        <f>IFERROR(IFERROR(INDEX('WHO GHO Data'!$V$8:$V$201,MATCH('HCW, Staff, Beds Summary'!$C182,'WHO GHO Data'!$C$8:$C$201,0)),INDEX('WHO GHO Data'!$AF$8:$AF$12,MATCH('HCW, Staff, Beds Summary'!$E182,'WHO GHO Data'!$AD$8:$AD$12,0))*$G182/1000),"")</f>
        <v>15863.016625880347</v>
      </c>
      <c r="I182" s="28">
        <f>IFERROR(IFERROR(INDEX('WHO GHO Data'!$U$8:$U$201,MATCH('HCW, Staff, Beds Summary'!$C182,'WHO GHO Data'!$C$8:$C$201,0)),INDEX('WHO GHO Data'!$AE$8:$AE$12,MATCH('HCW, Staff, Beds Summary'!$E182,'WHO GHO Data'!$AD$8:$AD$12,0))*$G182/1000),"")</f>
        <v>96116.5528842926</v>
      </c>
      <c r="J182" s="28">
        <f>IFERROR(IFERROR(INDEX('WHO GHO Data'!$X$8:$X$201,MATCH('HCW, Staff, Beds Summary'!$C182,'WHO GHO Data'!$C$8:$C$201,0)),INDEX('WHO GHO Data'!$AF$8:$AF$12,MATCH('HCW, Staff, Beds Summary'!$E182,'WHO GHO Data'!$AD$8:$AD$12,0))*$G182/1000),"")</f>
        <v>2907.0273093776509</v>
      </c>
      <c r="K182" s="1310">
        <f>IF(INDEX('WB Beds'!$BN$827:$BN$1090,MATCH($C182,'WB Beds'!$C$827:$C$1090,0))="No reported value",INDEX('WB Beds'!$BR$829:$BR$833,MATCH($E182,'WB Beds'!$BP$829:$BP$833,0)),INDEX('WB Beds'!$BN$827:$BN$1090,MATCH($C182,'WB Beds'!$C$827:$C$1090)))</f>
        <v>3.9</v>
      </c>
      <c r="L182" s="1311">
        <f>INDEX('WB Beds'!$BR$836:$BR$840,MATCH($E182,'WB Beds'!$BP$836:$BP$840,0))*100</f>
        <v>3.5700000000000003</v>
      </c>
      <c r="N182" s="1264">
        <f t="shared" si="5"/>
        <v>21253.8027</v>
      </c>
    </row>
    <row r="183" spans="2:14" x14ac:dyDescent="0.35">
      <c r="B183" s="41" t="s">
        <v>179</v>
      </c>
      <c r="C183" s="41" t="s">
        <v>108</v>
      </c>
      <c r="D183" s="129" t="s">
        <v>1045</v>
      </c>
      <c r="E183" s="129" t="s">
        <v>452</v>
      </c>
      <c r="F183" s="129" t="str">
        <f t="shared" si="4"/>
        <v>LMIC</v>
      </c>
      <c r="G183" s="28">
        <f>INDEX('UNDP Population Data'!$E$6:$E$269,MATCH($B183,'UNDP Population Data'!$B$6:$B$269,0))</f>
        <v>30260244</v>
      </c>
      <c r="H183" s="28">
        <f>IFERROR(IFERROR(INDEX('WHO GHO Data'!$V$8:$V$201,MATCH('HCW, Staff, Beds Summary'!$C183,'WHO GHO Data'!$C$8:$C$201,0)),INDEX('WHO GHO Data'!$AF$8:$AF$12,MATCH('HCW, Staff, Beds Summary'!$E183,'WHO GHO Data'!$AD$8:$AD$12,0))*$G183/1000),"")</f>
        <v>21496.227769264839</v>
      </c>
      <c r="I183" s="28">
        <f>IFERROR(IFERROR(INDEX('WHO GHO Data'!$U$8:$U$201,MATCH('HCW, Staff, Beds Summary'!$C183,'WHO GHO Data'!$C$8:$C$201,0)),INDEX('WHO GHO Data'!$AE$8:$AE$12,MATCH('HCW, Staff, Beds Summary'!$E183,'WHO GHO Data'!$AD$8:$AD$12,0))*$G183/1000),"")</f>
        <v>89256.40944103105</v>
      </c>
      <c r="J183" s="28">
        <f>IFERROR(IFERROR(INDEX('WHO GHO Data'!$X$8:$X$201,MATCH('HCW, Staff, Beds Summary'!$C183,'WHO GHO Data'!$C$8:$C$201,0)),INDEX('WHO GHO Data'!$AF$8:$AF$12,MATCH('HCW, Staff, Beds Summary'!$E183,'WHO GHO Data'!$AD$8:$AD$12,0))*$G183/1000),"")</f>
        <v>27515.94828278977</v>
      </c>
      <c r="K183" s="1310">
        <f>IF(INDEX('WB Beds'!$BN$827:$BN$1090,MATCH($C183,'WB Beds'!$C$827:$C$1090,0))="No reported value",INDEX('WB Beds'!$BR$829:$BR$833,MATCH($E183,'WB Beds'!$BP$829:$BP$833,0)),INDEX('WB Beds'!$BN$827:$BN$1090,MATCH($C183,'WB Beds'!$C$827:$C$1090)))</f>
        <v>0.3</v>
      </c>
      <c r="L183" s="1311">
        <f>INDEX('WB Beds'!$BR$836:$BR$840,MATCH($E183,'WB Beds'!$BP$836:$BP$840,0))*100</f>
        <v>1.63</v>
      </c>
      <c r="N183" s="1264">
        <f t="shared" si="5"/>
        <v>9078.0731999999989</v>
      </c>
    </row>
    <row r="184" spans="2:14" x14ac:dyDescent="0.35">
      <c r="B184" s="41" t="s">
        <v>251</v>
      </c>
      <c r="C184" s="41" t="s">
        <v>109</v>
      </c>
      <c r="D184" s="129" t="s">
        <v>1100</v>
      </c>
      <c r="E184" s="129" t="s">
        <v>557</v>
      </c>
      <c r="F184" s="129" t="str">
        <f t="shared" si="4"/>
        <v>LMIC</v>
      </c>
      <c r="G184" s="28">
        <f>INDEX('UNDP Population Data'!$E$6:$E$269,MATCH($B184,'UNDP Population Data'!$B$6:$B$269,0))</f>
        <v>11227</v>
      </c>
      <c r="H184" s="28">
        <f>IFERROR(IFERROR(INDEX('WHO GHO Data'!$V$8:$V$201,MATCH('HCW, Staff, Beds Summary'!$C184,'WHO GHO Data'!$C$8:$C$201,0)),INDEX('WHO GHO Data'!$AF$8:$AF$12,MATCH('HCW, Staff, Beds Summary'!$E184,'WHO GHO Data'!$AD$8:$AD$12,0))*$G184/1000),"")</f>
        <v>13.958969804618121</v>
      </c>
      <c r="I184" s="28">
        <f>IFERROR(IFERROR(INDEX('WHO GHO Data'!$U$8:$U$201,MATCH('HCW, Staff, Beds Summary'!$C184,'WHO GHO Data'!$C$8:$C$201,0)),INDEX('WHO GHO Data'!$AE$8:$AE$12,MATCH('HCW, Staff, Beds Summary'!$E184,'WHO GHO Data'!$AD$8:$AD$12,0))*$G184/1000),"")</f>
        <v>81.9037874639058</v>
      </c>
      <c r="J184" s="28">
        <f>IFERROR(IFERROR(INDEX('WHO GHO Data'!$X$8:$X$201,MATCH('HCW, Staff, Beds Summary'!$C184,'WHO GHO Data'!$C$8:$C$201,0)),INDEX('WHO GHO Data'!$AF$8:$AF$12,MATCH('HCW, Staff, Beds Summary'!$E184,'WHO GHO Data'!$AD$8:$AD$12,0))*$G184/1000),"")</f>
        <v>6.9794849023090606</v>
      </c>
      <c r="K184" s="1310">
        <f>IF(INDEX('WB Beds'!$BN$827:$BN$1090,MATCH($C184,'WB Beds'!$C$827:$C$1090,0))="No reported value",INDEX('WB Beds'!$BR$829:$BR$833,MATCH($E184,'WB Beds'!$BP$829:$BP$833,0)),INDEX('WB Beds'!$BN$827:$BN$1090,MATCH($C184,'WB Beds'!$C$827:$C$1090)))</f>
        <v>5</v>
      </c>
      <c r="L184" s="1311">
        <f>INDEX('WB Beds'!$BR$836:$BR$840,MATCH($E184,'WB Beds'!$BP$836:$BP$840,0))*100</f>
        <v>3.32</v>
      </c>
      <c r="N184" s="1264">
        <f t="shared" si="5"/>
        <v>56.134999999999998</v>
      </c>
    </row>
    <row r="185" spans="2:14" x14ac:dyDescent="0.35">
      <c r="B185" s="41" t="s">
        <v>480</v>
      </c>
      <c r="C185" s="41" t="s">
        <v>110</v>
      </c>
      <c r="D185" s="129" t="s">
        <v>1100</v>
      </c>
      <c r="E185" s="129" t="s">
        <v>410</v>
      </c>
      <c r="F185" s="129" t="str">
        <f t="shared" si="4"/>
        <v>Not LMIC</v>
      </c>
      <c r="G185" s="28">
        <f>INDEX('UNDP Population Data'!$E$6:$E$269,MATCH($B185,'UNDP Population Data'!$B$6:$B$269,0))</f>
        <v>4834420</v>
      </c>
      <c r="H185" s="28">
        <f>IFERROR(IFERROR(INDEX('WHO GHO Data'!$V$8:$V$201,MATCH('HCW, Staff, Beds Summary'!$C185,'WHO GHO Data'!$C$8:$C$201,0)),INDEX('WHO GHO Data'!$AF$8:$AF$12,MATCH('HCW, Staff, Beds Summary'!$E185,'WHO GHO Data'!$AD$8:$AD$12,0))*$G185/1000),"")</f>
        <v>17347.017731146945</v>
      </c>
      <c r="I185" s="28">
        <f>IFERROR(IFERROR(INDEX('WHO GHO Data'!$U$8:$U$201,MATCH('HCW, Staff, Beds Summary'!$C185,'WHO GHO Data'!$C$8:$C$201,0)),INDEX('WHO GHO Data'!$AE$8:$AE$12,MATCH('HCW, Staff, Beds Summary'!$E185,'WHO GHO Data'!$AD$8:$AD$12,0))*$G185/1000),"")</f>
        <v>57415.195351883318</v>
      </c>
      <c r="J185" s="28">
        <f>IFERROR(IFERROR(INDEX('WHO GHO Data'!$X$8:$X$201,MATCH('HCW, Staff, Beds Summary'!$C185,'WHO GHO Data'!$C$8:$C$201,0)),INDEX('WHO GHO Data'!$AF$8:$AF$12,MATCH('HCW, Staff, Beds Summary'!$E185,'WHO GHO Data'!$AD$8:$AD$12,0))*$G185/1000),"")</f>
        <v>3449.6477792372648</v>
      </c>
      <c r="K185" s="1310">
        <f>IF(INDEX('WB Beds'!$BN$827:$BN$1090,MATCH($C185,'WB Beds'!$C$827:$C$1090,0))="No reported value",INDEX('WB Beds'!$BR$829:$BR$833,MATCH($E185,'WB Beds'!$BP$829:$BP$833,0)),INDEX('WB Beds'!$BN$827:$BN$1090,MATCH($C185,'WB Beds'!$C$827:$C$1090)))</f>
        <v>2.8</v>
      </c>
      <c r="L185" s="1311">
        <f>INDEX('WB Beds'!$BR$836:$BR$840,MATCH($E185,'WB Beds'!$BP$836:$BP$840,0))*100</f>
        <v>3.5700000000000003</v>
      </c>
      <c r="N185" s="1264">
        <f t="shared" si="5"/>
        <v>13536.376</v>
      </c>
    </row>
    <row r="186" spans="2:14" x14ac:dyDescent="0.35">
      <c r="B186" s="41" t="s">
        <v>490</v>
      </c>
      <c r="C186" s="41" t="s">
        <v>491</v>
      </c>
      <c r="D186" s="129" t="s">
        <v>1089</v>
      </c>
      <c r="E186" s="129" t="s">
        <v>742</v>
      </c>
      <c r="F186" s="129" t="str">
        <f t="shared" si="4"/>
        <v>Not LMIC</v>
      </c>
      <c r="G186" s="28">
        <f>INDEX('UNDP Population Data'!$E$6:$E$269,MATCH($B186,'UNDP Population Data'!$B$6:$B$269,0))</f>
        <v>1315534000</v>
      </c>
      <c r="H186" s="28" t="str">
        <f>IFERROR(IFERROR(INDEX('WHO GHO Data'!$V$8:$V$201,MATCH('HCW, Staff, Beds Summary'!$C186,'WHO GHO Data'!$C$8:$C$201,0)),INDEX('WHO GHO Data'!$AF$8:$AF$12,MATCH('HCW, Staff, Beds Summary'!$E186,'WHO GHO Data'!$AD$8:$AD$12,0))*$G186/1000),"")</f>
        <v/>
      </c>
      <c r="I186" s="28" t="str">
        <f>IFERROR(IFERROR(INDEX('WHO GHO Data'!$U$8:$U$201,MATCH('HCW, Staff, Beds Summary'!$C186,'WHO GHO Data'!$C$8:$C$201,0)),INDEX('WHO GHO Data'!$AE$8:$AE$12,MATCH('HCW, Staff, Beds Summary'!$E186,'WHO GHO Data'!$AD$8:$AD$12,0))*$G186/1000),"")</f>
        <v/>
      </c>
      <c r="J186" s="28" t="str">
        <f>IFERROR(IFERROR(INDEX('WHO GHO Data'!$X$8:$X$201,MATCH('HCW, Staff, Beds Summary'!$C186,'WHO GHO Data'!$C$8:$C$201,0)),INDEX('WHO GHO Data'!$AF$8:$AF$12,MATCH('HCW, Staff, Beds Summary'!$E186,'WHO GHO Data'!$AD$8:$AD$12,0))*$G186/1000),"")</f>
        <v/>
      </c>
      <c r="K186" s="1310">
        <f>IF(INDEX('WB Beds'!$BN$827:$BN$1090,MATCH($C186,'WB Beds'!$C$827:$C$1090,0))="No reported value",INDEX('WB Beds'!$BR$829:$BR$833,MATCH($E186,'WB Beds'!$BP$829:$BP$833,0)),INDEX('WB Beds'!$BN$827:$BN$1090,MATCH($C186,'WB Beds'!$C$827:$C$1090)))</f>
        <v>3.8142804246295943</v>
      </c>
      <c r="L186" s="1311">
        <f>INDEX('WB Beds'!$BR$836:$BR$840,MATCH($E186,'WB Beds'!$BP$836:$BP$840,0))*100</f>
        <v>2.7250000000000001</v>
      </c>
      <c r="N186" s="1264">
        <f t="shared" si="5"/>
        <v>5017815.5841346681</v>
      </c>
    </row>
    <row r="187" spans="2:14" x14ac:dyDescent="0.35">
      <c r="B187" s="41" t="s">
        <v>492</v>
      </c>
      <c r="C187" s="41" t="s">
        <v>111</v>
      </c>
      <c r="D187" s="129" t="s">
        <v>1041</v>
      </c>
      <c r="E187" s="129" t="s">
        <v>410</v>
      </c>
      <c r="F187" s="129" t="str">
        <f t="shared" si="4"/>
        <v>Not LMIC</v>
      </c>
      <c r="G187" s="28">
        <f>INDEX('UNDP Population Data'!$E$6:$E$269,MATCH($B187,'UNDP Population Data'!$B$6:$B$269,0))</f>
        <v>5149700</v>
      </c>
      <c r="H187" s="28">
        <f>IFERROR(IFERROR(INDEX('WHO GHO Data'!$V$8:$V$201,MATCH('HCW, Staff, Beds Summary'!$C187,'WHO GHO Data'!$C$8:$C$201,0)),INDEX('WHO GHO Data'!$AF$8:$AF$12,MATCH('HCW, Staff, Beds Summary'!$E187,'WHO GHO Data'!$AD$8:$AD$12,0))*$G187/1000),"")</f>
        <v>10496.076746522713</v>
      </c>
      <c r="I187" s="28">
        <f>IFERROR(IFERROR(INDEX('WHO GHO Data'!$U$8:$U$201,MATCH('HCW, Staff, Beds Summary'!$C187,'WHO GHO Data'!$C$8:$C$201,0)),INDEX('WHO GHO Data'!$AE$8:$AE$12,MATCH('HCW, Staff, Beds Summary'!$E187,'WHO GHO Data'!$AD$8:$AD$12,0))*$G187/1000),"")</f>
        <v>21064.847016098665</v>
      </c>
      <c r="J187" s="28">
        <f>IFERROR(IFERROR(INDEX('WHO GHO Data'!$X$8:$X$201,MATCH('HCW, Staff, Beds Summary'!$C187,'WHO GHO Data'!$C$8:$C$201,0)),INDEX('WHO GHO Data'!$AF$8:$AF$12,MATCH('HCW, Staff, Beds Summary'!$E187,'WHO GHO Data'!$AD$8:$AD$12,0))*$G187/1000),"")</f>
        <v>2684.2354631897038</v>
      </c>
      <c r="K187" s="1310">
        <f>IF(INDEX('WB Beds'!$BN$827:$BN$1090,MATCH($C187,'WB Beds'!$C$827:$C$1090,0))="No reported value",INDEX('WB Beds'!$BR$829:$BR$833,MATCH($E187,'WB Beds'!$BP$829:$BP$833,0)),INDEX('WB Beds'!$BN$827:$BN$1090,MATCH($C187,'WB Beds'!$C$827:$C$1090)))</f>
        <v>1.6</v>
      </c>
      <c r="L187" s="1311">
        <f>INDEX('WB Beds'!$BR$836:$BR$840,MATCH($E187,'WB Beds'!$BP$836:$BP$840,0))*100</f>
        <v>3.5700000000000003</v>
      </c>
      <c r="N187" s="1264">
        <f t="shared" si="5"/>
        <v>8239.52</v>
      </c>
    </row>
    <row r="188" spans="2:14" x14ac:dyDescent="0.35">
      <c r="B188" s="41" t="s">
        <v>493</v>
      </c>
      <c r="C188" s="41" t="s">
        <v>494</v>
      </c>
      <c r="D188" s="129" t="s">
        <v>1089</v>
      </c>
      <c r="E188" s="129" t="s">
        <v>742</v>
      </c>
      <c r="F188" s="129" t="str">
        <f t="shared" si="4"/>
        <v>Not LMIC</v>
      </c>
      <c r="G188" s="28">
        <f>INDEX('UNDP Population Data'!$E$6:$E$269,MATCH($B188,'UNDP Population Data'!$B$6:$B$269,0))</f>
        <v>31882000</v>
      </c>
      <c r="H188" s="28" t="str">
        <f>IFERROR(IFERROR(INDEX('WHO GHO Data'!$V$8:$V$201,MATCH('HCW, Staff, Beds Summary'!$C188,'WHO GHO Data'!$C$8:$C$201,0)),INDEX('WHO GHO Data'!$AF$8:$AF$12,MATCH('HCW, Staff, Beds Summary'!$E188,'WHO GHO Data'!$AD$8:$AD$12,0))*$G188/1000),"")</f>
        <v/>
      </c>
      <c r="I188" s="28" t="str">
        <f>IFERROR(IFERROR(INDEX('WHO GHO Data'!$U$8:$U$201,MATCH('HCW, Staff, Beds Summary'!$C188,'WHO GHO Data'!$C$8:$C$201,0)),INDEX('WHO GHO Data'!$AE$8:$AE$12,MATCH('HCW, Staff, Beds Summary'!$E188,'WHO GHO Data'!$AD$8:$AD$12,0))*$G188/1000),"")</f>
        <v/>
      </c>
      <c r="J188" s="28" t="str">
        <f>IFERROR(IFERROR(INDEX('WHO GHO Data'!$X$8:$X$201,MATCH('HCW, Staff, Beds Summary'!$C188,'WHO GHO Data'!$C$8:$C$201,0)),INDEX('WHO GHO Data'!$AF$8:$AF$12,MATCH('HCW, Staff, Beds Summary'!$E188,'WHO GHO Data'!$AD$8:$AD$12,0))*$G188/1000),"")</f>
        <v/>
      </c>
      <c r="K188" s="1310">
        <f>IF(INDEX('WB Beds'!$BN$827:$BN$1090,MATCH($C188,'WB Beds'!$C$827:$C$1090,0))="No reported value",INDEX('WB Beds'!$BR$829:$BR$833,MATCH($E188,'WB Beds'!$BP$829:$BP$833,0)),INDEX('WB Beds'!$BN$827:$BN$1090,MATCH($C188,'WB Beds'!$C$827:$C$1090)))</f>
        <v>2.7</v>
      </c>
      <c r="L188" s="1311">
        <f>INDEX('WB Beds'!$BR$836:$BR$840,MATCH($E188,'WB Beds'!$BP$836:$BP$840,0))*100</f>
        <v>2.7250000000000001</v>
      </c>
      <c r="N188" s="1264">
        <f t="shared" si="5"/>
        <v>86081.4</v>
      </c>
    </row>
    <row r="189" spans="2:14" x14ac:dyDescent="0.35">
      <c r="B189" s="41" t="s">
        <v>176</v>
      </c>
      <c r="C189" s="41" t="s">
        <v>112</v>
      </c>
      <c r="D189" s="129" t="s">
        <v>1041</v>
      </c>
      <c r="E189" s="129" t="s">
        <v>454</v>
      </c>
      <c r="F189" s="129" t="str">
        <f t="shared" si="4"/>
        <v>LMIC</v>
      </c>
      <c r="G189" s="28">
        <f>INDEX('UNDP Population Data'!$E$6:$E$269,MATCH($B189,'UNDP Population Data'!$B$6:$B$269,0))</f>
        <v>208362334</v>
      </c>
      <c r="H189" s="28">
        <f>IFERROR(IFERROR(INDEX('WHO GHO Data'!$V$8:$V$201,MATCH('HCW, Staff, Beds Summary'!$C189,'WHO GHO Data'!$C$8:$C$201,0)),INDEX('WHO GHO Data'!$AF$8:$AF$12,MATCH('HCW, Staff, Beds Summary'!$E189,'WHO GHO Data'!$AD$8:$AD$12,0))*$G189/1000),"")</f>
        <v>216108.33650875525</v>
      </c>
      <c r="I189" s="28">
        <f>IFERROR(IFERROR(INDEX('WHO GHO Data'!$U$8:$U$201,MATCH('HCW, Staff, Beds Summary'!$C189,'WHO GHO Data'!$C$8:$C$201,0)),INDEX('WHO GHO Data'!$AE$8:$AE$12,MATCH('HCW, Staff, Beds Summary'!$E189,'WHO GHO Data'!$AD$8:$AD$12,0))*$G189/1000),"")</f>
        <v>107818.84666318487</v>
      </c>
      <c r="J189" s="28">
        <f>IFERROR(IFERROR(INDEX('WHO GHO Data'!$X$8:$X$201,MATCH('HCW, Staff, Beds Summary'!$C189,'WHO GHO Data'!$C$8:$C$201,0)),INDEX('WHO GHO Data'!$AF$8:$AF$12,MATCH('HCW, Staff, Beds Summary'!$E189,'WHO GHO Data'!$AD$8:$AD$12,0))*$G189/1000),"")</f>
        <v>41382.993131621719</v>
      </c>
      <c r="K189" s="1310">
        <f>IF(INDEX('WB Beds'!$BN$827:$BN$1090,MATCH($C189,'WB Beds'!$C$827:$C$1090,0))="No reported value",INDEX('WB Beds'!$BR$829:$BR$833,MATCH($E189,'WB Beds'!$BP$829:$BP$833,0)),INDEX('WB Beds'!$BN$827:$BN$1090,MATCH($C189,'WB Beds'!$C$827:$C$1090)))</f>
        <v>0.6</v>
      </c>
      <c r="L189" s="1311">
        <f>INDEX('WB Beds'!$BR$836:$BR$840,MATCH($E189,'WB Beds'!$BP$836:$BP$840,0))*100</f>
        <v>2.3800000000000003</v>
      </c>
      <c r="N189" s="1264">
        <f t="shared" si="5"/>
        <v>125017.40039999998</v>
      </c>
    </row>
    <row r="190" spans="2:14" x14ac:dyDescent="0.35">
      <c r="B190" s="41" t="s">
        <v>499</v>
      </c>
      <c r="C190" s="41" t="s">
        <v>113</v>
      </c>
      <c r="D190" s="129" t="s">
        <v>1044</v>
      </c>
      <c r="E190" s="129" t="s">
        <v>410</v>
      </c>
      <c r="F190" s="129" t="str">
        <f t="shared" si="4"/>
        <v>Not LMIC</v>
      </c>
      <c r="G190" s="28">
        <f>INDEX('UNDP Population Data'!$E$6:$E$269,MATCH($B190,'UNDP Population Data'!$B$6:$B$269,0))</f>
        <v>4289330</v>
      </c>
      <c r="H190" s="28">
        <f>IFERROR(IFERROR(INDEX('WHO GHO Data'!$V$8:$V$201,MATCH('HCW, Staff, Beds Summary'!$C190,'WHO GHO Data'!$C$8:$C$201,0)),INDEX('WHO GHO Data'!$AF$8:$AF$12,MATCH('HCW, Staff, Beds Summary'!$E190,'WHO GHO Data'!$AD$8:$AD$12,0))*$G190/1000),"")</f>
        <v>6738.3626555792825</v>
      </c>
      <c r="I190" s="28">
        <f>IFERROR(IFERROR(INDEX('WHO GHO Data'!$U$8:$U$201,MATCH('HCW, Staff, Beds Summary'!$C190,'WHO GHO Data'!$C$8:$C$201,0)),INDEX('WHO GHO Data'!$AE$8:$AE$12,MATCH('HCW, Staff, Beds Summary'!$E190,'WHO GHO Data'!$AD$8:$AD$12,0))*$G190/1000),"")</f>
        <v>13244.558018506517</v>
      </c>
      <c r="J190" s="28">
        <f>IFERROR(IFERROR(INDEX('WHO GHO Data'!$X$8:$X$201,MATCH('HCW, Staff, Beds Summary'!$C190,'WHO GHO Data'!$C$8:$C$201,0)),INDEX('WHO GHO Data'!$AF$8:$AF$12,MATCH('HCW, Staff, Beds Summary'!$E190,'WHO GHO Data'!$AD$8:$AD$12,0))*$G190/1000),"")</f>
        <v>2288.0553911812717</v>
      </c>
      <c r="K190" s="1310">
        <f>IF(INDEX('WB Beds'!$BN$827:$BN$1090,MATCH($C190,'WB Beds'!$C$827:$C$1090,0))="No reported value",INDEX('WB Beds'!$BR$829:$BR$833,MATCH($E190,'WB Beds'!$BP$829:$BP$833,0)),INDEX('WB Beds'!$BN$827:$BN$1090,MATCH($C190,'WB Beds'!$C$827:$C$1090)))</f>
        <v>2.2999999999999998</v>
      </c>
      <c r="L190" s="1311">
        <f>INDEX('WB Beds'!$BR$836:$BR$840,MATCH($E190,'WB Beds'!$BP$836:$BP$840,0))*100</f>
        <v>3.5700000000000003</v>
      </c>
      <c r="N190" s="1264">
        <f t="shared" si="5"/>
        <v>9865.4590000000007</v>
      </c>
    </row>
    <row r="191" spans="2:14" x14ac:dyDescent="0.35">
      <c r="B191" s="41" t="s">
        <v>500</v>
      </c>
      <c r="C191" s="41" t="s">
        <v>114</v>
      </c>
      <c r="D191" s="129" t="s">
        <v>1044</v>
      </c>
      <c r="E191" s="129" t="s">
        <v>557</v>
      </c>
      <c r="F191" s="129" t="str">
        <f t="shared" si="4"/>
        <v>LMIC</v>
      </c>
      <c r="G191" s="28">
        <f>INDEX('UNDP Population Data'!$E$6:$E$269,MATCH($B191,'UNDP Population Data'!$B$6:$B$269,0))</f>
        <v>33312178</v>
      </c>
      <c r="H191" s="28">
        <f>IFERROR(IFERROR(INDEX('WHO GHO Data'!$V$8:$V$201,MATCH('HCW, Staff, Beds Summary'!$C191,'WHO GHO Data'!$C$8:$C$201,0)),INDEX('WHO GHO Data'!$AF$8:$AF$12,MATCH('HCW, Staff, Beds Summary'!$E191,'WHO GHO Data'!$AD$8:$AD$12,0))*$G191/1000),"")</f>
        <v>42331.338069138954</v>
      </c>
      <c r="I191" s="28">
        <f>IFERROR(IFERROR(INDEX('WHO GHO Data'!$U$8:$U$201,MATCH('HCW, Staff, Beds Summary'!$C191,'WHO GHO Data'!$C$8:$C$201,0)),INDEX('WHO GHO Data'!$AE$8:$AE$12,MATCH('HCW, Staff, Beds Summary'!$E191,'WHO GHO Data'!$AD$8:$AD$12,0))*$G191/1000),"")</f>
        <v>79939.282228869823</v>
      </c>
      <c r="J191" s="28">
        <f>IFERROR(IFERROR(INDEX('WHO GHO Data'!$X$8:$X$201,MATCH('HCW, Staff, Beds Summary'!$C191,'WHO GHO Data'!$C$8:$C$201,0)),INDEX('WHO GHO Data'!$AF$8:$AF$12,MATCH('HCW, Staff, Beds Summary'!$E191,'WHO GHO Data'!$AD$8:$AD$12,0))*$G191/1000),"")</f>
        <v>1663.9706218445087</v>
      </c>
      <c r="K191" s="1310">
        <f>IF(INDEX('WB Beds'!$BN$827:$BN$1090,MATCH($C191,'WB Beds'!$C$827:$C$1090,0))="No reported value",INDEX('WB Beds'!$BR$829:$BR$833,MATCH($E191,'WB Beds'!$BP$829:$BP$833,0)),INDEX('WB Beds'!$BN$827:$BN$1090,MATCH($C191,'WB Beds'!$C$827:$C$1090)))</f>
        <v>1.6</v>
      </c>
      <c r="L191" s="1311">
        <f>INDEX('WB Beds'!$BR$836:$BR$840,MATCH($E191,'WB Beds'!$BP$836:$BP$840,0))*100</f>
        <v>3.32</v>
      </c>
      <c r="N191" s="1264">
        <f t="shared" si="5"/>
        <v>53299.484800000006</v>
      </c>
    </row>
    <row r="192" spans="2:14" x14ac:dyDescent="0.35">
      <c r="B192" s="41" t="s">
        <v>253</v>
      </c>
      <c r="C192" s="41" t="s">
        <v>115</v>
      </c>
      <c r="D192" s="129" t="s">
        <v>1100</v>
      </c>
      <c r="E192" s="129" t="s">
        <v>454</v>
      </c>
      <c r="F192" s="129" t="str">
        <f t="shared" si="4"/>
        <v>LMIC</v>
      </c>
      <c r="G192" s="28">
        <f>INDEX('UNDP Population Data'!$E$6:$E$269,MATCH($B192,'UNDP Population Data'!$B$6:$B$269,0))</f>
        <v>109703396</v>
      </c>
      <c r="H192" s="28">
        <f>IFERROR(IFERROR(INDEX('WHO GHO Data'!$V$8:$V$201,MATCH('HCW, Staff, Beds Summary'!$C192,'WHO GHO Data'!$C$8:$C$201,0)),INDEX('WHO GHO Data'!$AF$8:$AF$12,MATCH('HCW, Staff, Beds Summary'!$E192,'WHO GHO Data'!$AD$8:$AD$12,0))*$G192/1000),"")</f>
        <v>66070.716322438777</v>
      </c>
      <c r="I192" s="28">
        <f>IFERROR(IFERROR(INDEX('WHO GHO Data'!$U$8:$U$201,MATCH('HCW, Staff, Beds Summary'!$C192,'WHO GHO Data'!$C$8:$C$201,0)),INDEX('WHO GHO Data'!$AE$8:$AE$12,MATCH('HCW, Staff, Beds Summary'!$E192,'WHO GHO Data'!$AD$8:$AD$12,0))*$G192/1000),"")</f>
        <v>542488.65011293674</v>
      </c>
      <c r="J192" s="28">
        <f>IFERROR(IFERROR(INDEX('WHO GHO Data'!$X$8:$X$201,MATCH('HCW, Staff, Beds Summary'!$C192,'WHO GHO Data'!$C$8:$C$201,0)),INDEX('WHO GHO Data'!$AF$8:$AF$12,MATCH('HCW, Staff, Beds Summary'!$E192,'WHO GHO Data'!$AD$8:$AD$12,0))*$G192/1000),"")</f>
        <v>28252.891675575487</v>
      </c>
      <c r="K192" s="1310">
        <f>IF(INDEX('WB Beds'!$BN$827:$BN$1090,MATCH($C192,'WB Beds'!$C$827:$C$1090,0))="No reported value",INDEX('WB Beds'!$BR$829:$BR$833,MATCH($E192,'WB Beds'!$BP$829:$BP$833,0)),INDEX('WB Beds'!$BN$827:$BN$1090,MATCH($C192,'WB Beds'!$C$827:$C$1090)))</f>
        <v>1</v>
      </c>
      <c r="L192" s="1311">
        <f>INDEX('WB Beds'!$BR$836:$BR$840,MATCH($E192,'WB Beds'!$BP$836:$BP$840,0))*100</f>
        <v>2.3800000000000003</v>
      </c>
      <c r="N192" s="1264">
        <f t="shared" si="5"/>
        <v>109703.39599999999</v>
      </c>
    </row>
    <row r="193" spans="2:14" x14ac:dyDescent="0.35">
      <c r="B193" s="41" t="s">
        <v>497</v>
      </c>
      <c r="C193" s="41" t="s">
        <v>498</v>
      </c>
      <c r="D193" s="129" t="s">
        <v>1100</v>
      </c>
      <c r="E193" s="129" t="s">
        <v>410</v>
      </c>
      <c r="F193" s="129" t="str">
        <f t="shared" si="4"/>
        <v>Not LMIC</v>
      </c>
      <c r="G193" s="28">
        <f>INDEX('UNDP Population Data'!$E$6:$E$269,MATCH($B193,'UNDP Population Data'!$B$6:$B$269,0))</f>
        <v>22442</v>
      </c>
      <c r="H193" s="28">
        <f>IFERROR(IFERROR(INDEX('WHO GHO Data'!$V$8:$V$201,MATCH('HCW, Staff, Beds Summary'!$C193,'WHO GHO Data'!$C$8:$C$201,0)),INDEX('WHO GHO Data'!$AF$8:$AF$12,MATCH('HCW, Staff, Beds Summary'!$E193,'WHO GHO Data'!$AD$8:$AD$12,0))*$G193/1000),"")</f>
        <v>26.634959727377279</v>
      </c>
      <c r="I193" s="28">
        <f>IFERROR(IFERROR(INDEX('WHO GHO Data'!$U$8:$U$201,MATCH('HCW, Staff, Beds Summary'!$C193,'WHO GHO Data'!$C$8:$C$201,0)),INDEX('WHO GHO Data'!$AE$8:$AE$12,MATCH('HCW, Staff, Beds Summary'!$E193,'WHO GHO Data'!$AD$8:$AD$12,0))*$G193/1000),"")</f>
        <v>132.77430319518083</v>
      </c>
      <c r="J193" s="28">
        <f>IFERROR(IFERROR(INDEX('WHO GHO Data'!$X$8:$X$201,MATCH('HCW, Staff, Beds Summary'!$C193,'WHO GHO Data'!$C$8:$C$201,0)),INDEX('WHO GHO Data'!$AF$8:$AF$12,MATCH('HCW, Staff, Beds Summary'!$E193,'WHO GHO Data'!$AD$8:$AD$12,0))*$G193/1000),"")</f>
        <v>16.399130310190689</v>
      </c>
      <c r="K193" s="1310">
        <f>IF(INDEX('WB Beds'!$BN$827:$BN$1090,MATCH($C193,'WB Beds'!$C$827:$C$1090,0))="No reported value",INDEX('WB Beds'!$BR$829:$BR$833,MATCH($E193,'WB Beds'!$BP$829:$BP$833,0)),INDEX('WB Beds'!$BN$827:$BN$1090,MATCH($C193,'WB Beds'!$C$827:$C$1090)))</f>
        <v>4.8</v>
      </c>
      <c r="L193" s="1311">
        <f>INDEX('WB Beds'!$BR$836:$BR$840,MATCH($E193,'WB Beds'!$BP$836:$BP$840,0))*100</f>
        <v>3.5700000000000003</v>
      </c>
      <c r="N193" s="1264">
        <f t="shared" si="5"/>
        <v>107.7216</v>
      </c>
    </row>
    <row r="194" spans="2:14" x14ac:dyDescent="0.35">
      <c r="B194" s="41" t="s">
        <v>252</v>
      </c>
      <c r="C194" s="41" t="s">
        <v>116</v>
      </c>
      <c r="D194" s="129" t="s">
        <v>1100</v>
      </c>
      <c r="E194" s="129" t="s">
        <v>454</v>
      </c>
      <c r="F194" s="129" t="str">
        <f t="shared" si="4"/>
        <v>LMIC</v>
      </c>
      <c r="G194" s="28">
        <f>INDEX('UNDP Population Data'!$E$6:$E$269,MATCH($B194,'UNDP Population Data'!$B$6:$B$269,0))</f>
        <v>8755675</v>
      </c>
      <c r="H194" s="28">
        <f>IFERROR(IFERROR(INDEX('WHO GHO Data'!$V$8:$V$201,MATCH('HCW, Staff, Beds Summary'!$C194,'WHO GHO Data'!$C$8:$C$201,0)),INDEX('WHO GHO Data'!$AF$8:$AF$12,MATCH('HCW, Staff, Beds Summary'!$E194,'WHO GHO Data'!$AD$8:$AD$12,0))*$G194/1000),"")</f>
        <v>626.65153844572251</v>
      </c>
      <c r="I194" s="28">
        <f>IFERROR(IFERROR(INDEX('WHO GHO Data'!$U$8:$U$201,MATCH('HCW, Staff, Beds Summary'!$C194,'WHO GHO Data'!$C$8:$C$201,0)),INDEX('WHO GHO Data'!$AE$8:$AE$12,MATCH('HCW, Staff, Beds Summary'!$E194,'WHO GHO Data'!$AD$8:$AD$12,0))*$G194/1000),"")</f>
        <v>3369.5532058950225</v>
      </c>
      <c r="J194" s="28">
        <f>IFERROR(IFERROR(INDEX('WHO GHO Data'!$X$8:$X$201,MATCH('HCW, Staff, Beds Summary'!$C194,'WHO GHO Data'!$C$8:$C$201,0)),INDEX('WHO GHO Data'!$AF$8:$AF$12,MATCH('HCW, Staff, Beds Summary'!$E194,'WHO GHO Data'!$AD$8:$AD$12,0))*$G194/1000),"")</f>
        <v>2254.9268877833501</v>
      </c>
      <c r="K194" s="1310">
        <f>IF(INDEX('WB Beds'!$BN$827:$BN$1090,MATCH($C194,'WB Beds'!$C$827:$C$1090,0))="No reported value",INDEX('WB Beds'!$BR$829:$BR$833,MATCH($E194,'WB Beds'!$BP$829:$BP$833,0)),INDEX('WB Beds'!$BN$827:$BN$1090,MATCH($C194,'WB Beds'!$C$827:$C$1090)))</f>
        <v>4.0241999626</v>
      </c>
      <c r="L194" s="1311">
        <f>INDEX('WB Beds'!$BR$836:$BR$840,MATCH($E194,'WB Beds'!$BP$836:$BP$840,0))*100</f>
        <v>2.3800000000000003</v>
      </c>
      <c r="N194" s="1264">
        <f t="shared" si="5"/>
        <v>35234.587007537753</v>
      </c>
    </row>
    <row r="195" spans="2:14" x14ac:dyDescent="0.35">
      <c r="B195" s="41" t="s">
        <v>501</v>
      </c>
      <c r="C195" s="41" t="s">
        <v>117</v>
      </c>
      <c r="D195" s="129" t="s">
        <v>1043</v>
      </c>
      <c r="E195" s="129" t="s">
        <v>410</v>
      </c>
      <c r="F195" s="129" t="str">
        <f t="shared" si="4"/>
        <v>Not LMIC</v>
      </c>
      <c r="G195" s="28">
        <f>INDEX('UNDP Population Data'!$E$6:$E$269,MATCH($B195,'UNDP Population Data'!$B$6:$B$269,0))</f>
        <v>37942231</v>
      </c>
      <c r="H195" s="28">
        <f>IFERROR(IFERROR(INDEX('WHO GHO Data'!$V$8:$V$201,MATCH('HCW, Staff, Beds Summary'!$C195,'WHO GHO Data'!$C$8:$C$201,0)),INDEX('WHO GHO Data'!$AF$8:$AF$12,MATCH('HCW, Staff, Beds Summary'!$E195,'WHO GHO Data'!$AD$8:$AD$12,0))*$G195/1000),"")</f>
        <v>89825.975181959875</v>
      </c>
      <c r="I195" s="28">
        <f>IFERROR(IFERROR(INDEX('WHO GHO Data'!$U$8:$U$201,MATCH('HCW, Staff, Beds Summary'!$C195,'WHO GHO Data'!$C$8:$C$201,0)),INDEX('WHO GHO Data'!$AE$8:$AE$12,MATCH('HCW, Staff, Beds Summary'!$E195,'WHO GHO Data'!$AD$8:$AD$12,0))*$G195/1000),"")</f>
        <v>232223.26133852467</v>
      </c>
      <c r="J195" s="28">
        <f>IFERROR(IFERROR(INDEX('WHO GHO Data'!$X$8:$X$201,MATCH('HCW, Staff, Beds Summary'!$C195,'WHO GHO Data'!$C$8:$C$201,0)),INDEX('WHO GHO Data'!$AF$8:$AF$12,MATCH('HCW, Staff, Beds Summary'!$E195,'WHO GHO Data'!$AD$8:$AD$12,0))*$G195/1000),"")</f>
        <v>20239.507380638741</v>
      </c>
      <c r="K195" s="1310">
        <f>IF(INDEX('WB Beds'!$BN$827:$BN$1090,MATCH($C195,'WB Beds'!$C$827:$C$1090,0))="No reported value",INDEX('WB Beds'!$BR$829:$BR$833,MATCH($E195,'WB Beds'!$BP$829:$BP$833,0)),INDEX('WB Beds'!$BN$827:$BN$1090,MATCH($C195,'WB Beds'!$C$827:$C$1090)))</f>
        <v>6.5</v>
      </c>
      <c r="L195" s="1311">
        <f>INDEX('WB Beds'!$BR$836:$BR$840,MATCH($E195,'WB Beds'!$BP$836:$BP$840,0))*100</f>
        <v>3.5700000000000003</v>
      </c>
      <c r="N195" s="1264">
        <f t="shared" si="5"/>
        <v>246624.50150000001</v>
      </c>
    </row>
    <row r="196" spans="2:14" x14ac:dyDescent="0.35">
      <c r="B196" s="41" t="s">
        <v>505</v>
      </c>
      <c r="C196" s="41" t="s">
        <v>506</v>
      </c>
      <c r="D196" s="129" t="s">
        <v>1089</v>
      </c>
      <c r="E196" s="129" t="s">
        <v>742</v>
      </c>
      <c r="F196" s="129" t="str">
        <f t="shared" si="4"/>
        <v>Not LMIC</v>
      </c>
      <c r="G196" s="28">
        <f>INDEX('UNDP Population Data'!$E$6:$E$269,MATCH($B196,'UNDP Population Data'!$B$6:$B$269,0))</f>
        <v>970795000</v>
      </c>
      <c r="H196" s="28" t="str">
        <f>IFERROR(IFERROR(INDEX('WHO GHO Data'!$V$8:$V$201,MATCH('HCW, Staff, Beds Summary'!$C196,'WHO GHO Data'!$C$8:$C$201,0)),INDEX('WHO GHO Data'!$AF$8:$AF$12,MATCH('HCW, Staff, Beds Summary'!$E196,'WHO GHO Data'!$AD$8:$AD$12,0))*$G196/1000),"")</f>
        <v/>
      </c>
      <c r="I196" s="28" t="str">
        <f>IFERROR(IFERROR(INDEX('WHO GHO Data'!$U$8:$U$201,MATCH('HCW, Staff, Beds Summary'!$C196,'WHO GHO Data'!$C$8:$C$201,0)),INDEX('WHO GHO Data'!$AE$8:$AE$12,MATCH('HCW, Staff, Beds Summary'!$E196,'WHO GHO Data'!$AD$8:$AD$12,0))*$G196/1000),"")</f>
        <v/>
      </c>
      <c r="J196" s="28" t="str">
        <f>IFERROR(IFERROR(INDEX('WHO GHO Data'!$X$8:$X$201,MATCH('HCW, Staff, Beds Summary'!$C196,'WHO GHO Data'!$C$8:$C$201,0)),INDEX('WHO GHO Data'!$AF$8:$AF$12,MATCH('HCW, Staff, Beds Summary'!$E196,'WHO GHO Data'!$AD$8:$AD$12,0))*$G196/1000),"")</f>
        <v/>
      </c>
      <c r="K196" s="1310">
        <f>IF(INDEX('WB Beds'!$BN$827:$BN$1090,MATCH($C196,'WB Beds'!$C$827:$C$1090,0))="No reported value",INDEX('WB Beds'!$BR$829:$BR$833,MATCH($E196,'WB Beds'!$BP$829:$BP$833,0)),INDEX('WB Beds'!$BN$827:$BN$1090,MATCH($C196,'WB Beds'!$C$827:$C$1090)))</f>
        <v>1.3293418500641954</v>
      </c>
      <c r="L196" s="1311">
        <f>INDEX('WB Beds'!$BR$836:$BR$840,MATCH($E196,'WB Beds'!$BP$836:$BP$840,0))*100</f>
        <v>2.7250000000000001</v>
      </c>
      <c r="N196" s="1264">
        <f t="shared" si="5"/>
        <v>1290518.4213330706</v>
      </c>
    </row>
    <row r="197" spans="2:14" x14ac:dyDescent="0.35">
      <c r="B197" s="41" t="s">
        <v>507</v>
      </c>
      <c r="C197" s="41" t="s">
        <v>508</v>
      </c>
      <c r="D197" s="129" t="s">
        <v>1089</v>
      </c>
      <c r="E197" s="129" t="s">
        <v>410</v>
      </c>
      <c r="F197" s="129" t="str">
        <f t="shared" si="4"/>
        <v>Not LMIC</v>
      </c>
      <c r="G197" s="28">
        <f>INDEX('UNDP Population Data'!$E$6:$E$269,MATCH($B197,'UNDP Population Data'!$B$6:$B$269,0))</f>
        <v>3650608</v>
      </c>
      <c r="H197" s="28">
        <f>IFERROR(IFERROR(INDEX('WHO GHO Data'!$V$8:$V$201,MATCH('HCW, Staff, Beds Summary'!$C197,'WHO GHO Data'!$C$8:$C$201,0)),INDEX('WHO GHO Data'!$AF$8:$AF$12,MATCH('HCW, Staff, Beds Summary'!$E197,'WHO GHO Data'!$AD$8:$AD$12,0))*$G197/1000),"")</f>
        <v>12191.031712534304</v>
      </c>
      <c r="I197" s="28">
        <f>IFERROR(IFERROR(INDEX('WHO GHO Data'!$U$8:$U$201,MATCH('HCW, Staff, Beds Summary'!$C197,'WHO GHO Data'!$C$8:$C$201,0)),INDEX('WHO GHO Data'!$AE$8:$AE$12,MATCH('HCW, Staff, Beds Summary'!$E197,'WHO GHO Data'!$AD$8:$AD$12,0))*$G197/1000),"")</f>
        <v>30854.692801054556</v>
      </c>
      <c r="J197" s="28">
        <f>IFERROR(IFERROR(INDEX('WHO GHO Data'!$X$8:$X$201,MATCH('HCW, Staff, Beds Summary'!$C197,'WHO GHO Data'!$C$8:$C$201,0)),INDEX('WHO GHO Data'!$AF$8:$AF$12,MATCH('HCW, Staff, Beds Summary'!$E197,'WHO GHO Data'!$AD$8:$AD$12,0))*$G197/1000),"")</f>
        <v>12191.031712534304</v>
      </c>
      <c r="K197" s="1310">
        <f>IF(INDEX('WB Beds'!$BN$827:$BN$1090,MATCH($C197,'WB Beds'!$C$827:$C$1090,0))="No reported value",INDEX('WB Beds'!$BR$829:$BR$833,MATCH($E197,'WB Beds'!$BP$829:$BP$833,0)),INDEX('WB Beds'!$BN$827:$BN$1090,MATCH($C197,'WB Beds'!$C$827:$C$1090)))</f>
        <v>3.3199999332000001</v>
      </c>
      <c r="L197" s="1311">
        <f>INDEX('WB Beds'!$BR$836:$BR$840,MATCH($E197,'WB Beds'!$BP$836:$BP$840,0))*100</f>
        <v>3.5700000000000003</v>
      </c>
      <c r="N197" s="1264">
        <f t="shared" si="5"/>
        <v>12120.018316139385</v>
      </c>
    </row>
    <row r="198" spans="2:14" x14ac:dyDescent="0.35">
      <c r="B198" s="41" t="s">
        <v>428</v>
      </c>
      <c r="C198" s="41" t="s">
        <v>158</v>
      </c>
      <c r="D198" s="129" t="s">
        <v>1045</v>
      </c>
      <c r="E198" s="129" t="s">
        <v>452</v>
      </c>
      <c r="F198" s="129" t="str">
        <f t="shared" si="4"/>
        <v>LMIC</v>
      </c>
      <c r="G198" s="28">
        <f>INDEX('UNDP Population Data'!$E$6:$E$269,MATCH($B198,'UNDP Population Data'!$B$6:$B$269,0))</f>
        <v>25840863</v>
      </c>
      <c r="H198" s="28">
        <f>IFERROR(IFERROR(INDEX('WHO GHO Data'!$V$8:$V$201,MATCH('HCW, Staff, Beds Summary'!$C198,'WHO GHO Data'!$C$8:$C$201,0)),INDEX('WHO GHO Data'!$AF$8:$AF$12,MATCH('HCW, Staff, Beds Summary'!$E198,'WHO GHO Data'!$AD$8:$AD$12,0))*$G198/1000),"")</f>
        <v>94989.756133040268</v>
      </c>
      <c r="I198" s="28">
        <f>IFERROR(IFERROR(INDEX('WHO GHO Data'!$U$8:$U$201,MATCH('HCW, Staff, Beds Summary'!$C198,'WHO GHO Data'!$C$8:$C$201,0)),INDEX('WHO GHO Data'!$AE$8:$AE$12,MATCH('HCW, Staff, Beds Summary'!$E198,'WHO GHO Data'!$AD$8:$AD$12,0))*$G198/1000),"")</f>
        <v>106609.56487862171</v>
      </c>
      <c r="J198" s="28">
        <f>IFERROR(IFERROR(INDEX('WHO GHO Data'!$X$8:$X$201,MATCH('HCW, Staff, Beds Summary'!$C198,'WHO GHO Data'!$C$8:$C$201,0)),INDEX('WHO GHO Data'!$AF$8:$AF$12,MATCH('HCW, Staff, Beds Summary'!$E198,'WHO GHO Data'!$AD$8:$AD$12,0))*$G198/1000),"")</f>
        <v>2452.1994981499379</v>
      </c>
      <c r="K198" s="1310">
        <f>IF(INDEX('WB Beds'!$BN$827:$BN$1090,MATCH($C198,'WB Beds'!$C$827:$C$1090,0))="No reported value",INDEX('WB Beds'!$BR$829:$BR$833,MATCH($E198,'WB Beds'!$BP$829:$BP$833,0)),INDEX('WB Beds'!$BN$827:$BN$1090,MATCH($C198,'WB Beds'!$C$827:$C$1090)))</f>
        <v>13.2</v>
      </c>
      <c r="L198" s="1311">
        <f>INDEX('WB Beds'!$BR$836:$BR$840,MATCH($E198,'WB Beds'!$BP$836:$BP$840,0))*100</f>
        <v>1.63</v>
      </c>
      <c r="N198" s="1264">
        <f t="shared" si="5"/>
        <v>341099.39159999997</v>
      </c>
    </row>
    <row r="199" spans="2:14" x14ac:dyDescent="0.35">
      <c r="B199" s="41" t="s">
        <v>502</v>
      </c>
      <c r="C199" s="41" t="s">
        <v>118</v>
      </c>
      <c r="D199" s="129" t="s">
        <v>1043</v>
      </c>
      <c r="E199" s="129" t="s">
        <v>410</v>
      </c>
      <c r="F199" s="129" t="str">
        <f t="shared" si="4"/>
        <v>Not LMIC</v>
      </c>
      <c r="G199" s="28">
        <f>INDEX('UNDP Population Data'!$E$6:$E$269,MATCH($B199,'UNDP Population Data'!$B$6:$B$269,0))</f>
        <v>10218413</v>
      </c>
      <c r="H199" s="28">
        <f>IFERROR(IFERROR(INDEX('WHO GHO Data'!$V$8:$V$201,MATCH('HCW, Staff, Beds Summary'!$C199,'WHO GHO Data'!$C$8:$C$201,0)),INDEX('WHO GHO Data'!$AF$8:$AF$12,MATCH('HCW, Staff, Beds Summary'!$E199,'WHO GHO Data'!$AD$8:$AD$12,0))*$G199/1000),"")</f>
        <v>52108.257959208757</v>
      </c>
      <c r="I199" s="28">
        <f>IFERROR(IFERROR(INDEX('WHO GHO Data'!$U$8:$U$201,MATCH('HCW, Staff, Beds Summary'!$C199,'WHO GHO Data'!$C$8:$C$201,0)),INDEX('WHO GHO Data'!$AE$8:$AE$12,MATCH('HCW, Staff, Beds Summary'!$E199,'WHO GHO Data'!$AD$8:$AD$12,0))*$G199/1000),"")</f>
        <v>68178.216187912723</v>
      </c>
      <c r="J199" s="28">
        <f>IFERROR(IFERROR(INDEX('WHO GHO Data'!$X$8:$X$201,MATCH('HCW, Staff, Beds Summary'!$C199,'WHO GHO Data'!$C$8:$C$201,0)),INDEX('WHO GHO Data'!$AF$8:$AF$12,MATCH('HCW, Staff, Beds Summary'!$E199,'WHO GHO Data'!$AD$8:$AD$12,0))*$G199/1000),"")</f>
        <v>5450.8034947105471</v>
      </c>
      <c r="K199" s="1310">
        <f>IF(INDEX('WB Beds'!$BN$827:$BN$1090,MATCH($C199,'WB Beds'!$C$827:$C$1090,0))="No reported value",INDEX('WB Beds'!$BR$829:$BR$833,MATCH($E199,'WB Beds'!$BP$829:$BP$833,0)),INDEX('WB Beds'!$BN$827:$BN$1090,MATCH($C199,'WB Beds'!$C$827:$C$1090)))</f>
        <v>3.4</v>
      </c>
      <c r="L199" s="1311">
        <f>INDEX('WB Beds'!$BR$836:$BR$840,MATCH($E199,'WB Beds'!$BP$836:$BP$840,0))*100</f>
        <v>3.5700000000000003</v>
      </c>
      <c r="N199" s="1264">
        <f t="shared" si="5"/>
        <v>34742.604199999994</v>
      </c>
    </row>
    <row r="200" spans="2:14" x14ac:dyDescent="0.35">
      <c r="B200" s="41" t="s">
        <v>228</v>
      </c>
      <c r="C200" s="41" t="s">
        <v>119</v>
      </c>
      <c r="D200" s="129" t="s">
        <v>1044</v>
      </c>
      <c r="E200" s="129" t="s">
        <v>557</v>
      </c>
      <c r="F200" s="129" t="str">
        <f t="shared" ref="F200:F263" si="6">IF(OR(E200="High income",E200="Out"),"Not LMIC","LMIC")</f>
        <v>LMIC</v>
      </c>
      <c r="G200" s="28">
        <f>INDEX('UNDP Population Data'!$E$6:$E$269,MATCH($B200,'UNDP Population Data'!$B$6:$B$269,0))</f>
        <v>7066330</v>
      </c>
      <c r="H200" s="28">
        <f>IFERROR(IFERROR(INDEX('WHO GHO Data'!$V$8:$V$201,MATCH('HCW, Staff, Beds Summary'!$C200,'WHO GHO Data'!$C$8:$C$201,0)),INDEX('WHO GHO Data'!$AF$8:$AF$12,MATCH('HCW, Staff, Beds Summary'!$E200,'WHO GHO Data'!$AD$8:$AD$12,0))*$G200/1000),"")</f>
        <v>9658.9604699525717</v>
      </c>
      <c r="I200" s="28">
        <f>IFERROR(IFERROR(INDEX('WHO GHO Data'!$U$8:$U$201,MATCH('HCW, Staff, Beds Summary'!$C200,'WHO GHO Data'!$C$8:$C$201,0)),INDEX('WHO GHO Data'!$AE$8:$AE$12,MATCH('HCW, Staff, Beds Summary'!$E200,'WHO GHO Data'!$AD$8:$AD$12,0))*$G200/1000),"")</f>
        <v>10661.663297636855</v>
      </c>
      <c r="J200" s="28">
        <f>IFERROR(IFERROR(INDEX('WHO GHO Data'!$X$8:$X$201,MATCH('HCW, Staff, Beds Summary'!$C200,'WHO GHO Data'!$C$8:$C$201,0)),INDEX('WHO GHO Data'!$AF$8:$AF$12,MATCH('HCW, Staff, Beds Summary'!$E200,'WHO GHO Data'!$AD$8:$AD$12,0))*$G200/1000),"")</f>
        <v>1541.3729997735791</v>
      </c>
      <c r="K200" s="1310">
        <f>IF(INDEX('WB Beds'!$BN$827:$BN$1090,MATCH($C200,'WB Beds'!$C$827:$C$1090,0))="No reported value",INDEX('WB Beds'!$BR$829:$BR$833,MATCH($E200,'WB Beds'!$BP$829:$BP$833,0)),INDEX('WB Beds'!$BN$827:$BN$1090,MATCH($C200,'WB Beds'!$C$827:$C$1090)))</f>
        <v>1.3</v>
      </c>
      <c r="L200" s="1311">
        <f>INDEX('WB Beds'!$BR$836:$BR$840,MATCH($E200,'WB Beds'!$BP$836:$BP$840,0))*100</f>
        <v>3.32</v>
      </c>
      <c r="N200" s="1264">
        <f t="shared" ref="N200:N263" si="7">K200*G200/1000</f>
        <v>9186.2289999999994</v>
      </c>
    </row>
    <row r="201" spans="2:14" x14ac:dyDescent="0.35">
      <c r="B201" s="41" t="s">
        <v>567</v>
      </c>
      <c r="C201" s="41" t="s">
        <v>568</v>
      </c>
      <c r="D201" s="129" t="s">
        <v>1089</v>
      </c>
      <c r="E201" s="129" t="s">
        <v>454</v>
      </c>
      <c r="F201" s="129" t="str">
        <f t="shared" si="6"/>
        <v>LMIC</v>
      </c>
      <c r="G201" s="28">
        <f>INDEX('UNDP Population Data'!$E$6:$E$269,MATCH($B201,'UNDP Population Data'!$B$6:$B$269,0))</f>
        <v>5322629</v>
      </c>
      <c r="H201" s="28">
        <f>IFERROR(IFERROR(INDEX('WHO GHO Data'!$V$8:$V$201,MATCH('HCW, Staff, Beds Summary'!$C201,'WHO GHO Data'!$C$8:$C$201,0)),INDEX('WHO GHO Data'!$AF$8:$AF$12,MATCH('HCW, Staff, Beds Summary'!$E201,'WHO GHO Data'!$AD$8:$AD$12,0))*$G201/1000),"")</f>
        <v>10983.260844448962</v>
      </c>
      <c r="I201" s="28">
        <f>IFERROR(IFERROR(INDEX('WHO GHO Data'!$U$8:$U$201,MATCH('HCW, Staff, Beds Summary'!$C201,'WHO GHO Data'!$C$8:$C$201,0)),INDEX('WHO GHO Data'!$AE$8:$AE$12,MATCH('HCW, Staff, Beds Summary'!$E201,'WHO GHO Data'!$AD$8:$AD$12,0))*$G201/1000),"")</f>
        <v>8736.4211728044629</v>
      </c>
      <c r="J201" s="28">
        <f>IFERROR(IFERROR(INDEX('WHO GHO Data'!$X$8:$X$201,MATCH('HCW, Staff, Beds Summary'!$C201,'WHO GHO Data'!$C$8:$C$201,0)),INDEX('WHO GHO Data'!$AF$8:$AF$12,MATCH('HCW, Staff, Beds Summary'!$E201,'WHO GHO Data'!$AD$8:$AD$12,0))*$G201/1000),"")</f>
        <v>1370.7840053217376</v>
      </c>
      <c r="K201" s="1310">
        <f>IF(INDEX('WB Beds'!$BN$827:$BN$1090,MATCH($C201,'WB Beds'!$C$827:$C$1090,0))="No reported value",INDEX('WB Beds'!$BR$829:$BR$833,MATCH($E201,'WB Beds'!$BP$829:$BP$833,0)),INDEX('WB Beds'!$BN$827:$BN$1090,MATCH($C201,'WB Beds'!$C$827:$C$1090)))</f>
        <v>1.2000000476999999</v>
      </c>
      <c r="L201" s="1311">
        <f>INDEX('WB Beds'!$BR$836:$BR$840,MATCH($E201,'WB Beds'!$BP$836:$BP$840,0))*100</f>
        <v>2.3800000000000003</v>
      </c>
      <c r="N201" s="1264">
        <f t="shared" si="7"/>
        <v>6387.1550538894035</v>
      </c>
    </row>
    <row r="202" spans="2:14" x14ac:dyDescent="0.35">
      <c r="B202" s="41" t="s">
        <v>495</v>
      </c>
      <c r="C202" s="41" t="s">
        <v>496</v>
      </c>
      <c r="D202" s="129" t="s">
        <v>1089</v>
      </c>
      <c r="E202" s="129" t="s">
        <v>742</v>
      </c>
      <c r="F202" s="129" t="str">
        <f t="shared" si="6"/>
        <v>Not LMIC</v>
      </c>
      <c r="G202" s="28">
        <f>INDEX('UNDP Population Data'!$E$6:$E$269,MATCH($B202,'UNDP Population Data'!$B$6:$B$269,0))</f>
        <v>2530000</v>
      </c>
      <c r="H202" s="28" t="str">
        <f>IFERROR(IFERROR(INDEX('WHO GHO Data'!$V$8:$V$201,MATCH('HCW, Staff, Beds Summary'!$C202,'WHO GHO Data'!$C$8:$C$201,0)),INDEX('WHO GHO Data'!$AF$8:$AF$12,MATCH('HCW, Staff, Beds Summary'!$E202,'WHO GHO Data'!$AD$8:$AD$12,0))*$G202/1000),"")</f>
        <v/>
      </c>
      <c r="I202" s="28" t="str">
        <f>IFERROR(IFERROR(INDEX('WHO GHO Data'!$U$8:$U$201,MATCH('HCW, Staff, Beds Summary'!$C202,'WHO GHO Data'!$C$8:$C$201,0)),INDEX('WHO GHO Data'!$AE$8:$AE$12,MATCH('HCW, Staff, Beds Summary'!$E202,'WHO GHO Data'!$AD$8:$AD$12,0))*$G202/1000),"")</f>
        <v/>
      </c>
      <c r="J202" s="28" t="str">
        <f>IFERROR(IFERROR(INDEX('WHO GHO Data'!$X$8:$X$201,MATCH('HCW, Staff, Beds Summary'!$C202,'WHO GHO Data'!$C$8:$C$201,0)),INDEX('WHO GHO Data'!$AF$8:$AF$12,MATCH('HCW, Staff, Beds Summary'!$E202,'WHO GHO Data'!$AD$8:$AD$12,0))*$G202/1000),"")</f>
        <v/>
      </c>
      <c r="K202" s="1310">
        <f>IF(INDEX('WB Beds'!$BN$827:$BN$1090,MATCH($C202,'WB Beds'!$C$827:$C$1090,0))="No reported value",INDEX('WB Beds'!$BR$829:$BR$833,MATCH($E202,'WB Beds'!$BP$829:$BP$833,0)),INDEX('WB Beds'!$BN$827:$BN$1090,MATCH($C202,'WB Beds'!$C$827:$C$1090)))</f>
        <v>2.0768964148197031</v>
      </c>
      <c r="L202" s="1311">
        <f>INDEX('WB Beds'!$BR$836:$BR$840,MATCH($E202,'WB Beds'!$BP$836:$BP$840,0))*100</f>
        <v>2.7250000000000001</v>
      </c>
      <c r="N202" s="1264">
        <f t="shared" si="7"/>
        <v>5254.5479294938496</v>
      </c>
    </row>
    <row r="203" spans="2:14" x14ac:dyDescent="0.35">
      <c r="B203" s="41" t="s">
        <v>503</v>
      </c>
      <c r="C203" s="41" t="s">
        <v>504</v>
      </c>
      <c r="D203" s="129" t="s">
        <v>1089</v>
      </c>
      <c r="E203" s="129" t="s">
        <v>742</v>
      </c>
      <c r="F203" s="129" t="str">
        <f t="shared" si="6"/>
        <v>Not LMIC</v>
      </c>
      <c r="G203" s="28">
        <f>INDEX('UNDP Population Data'!$E$6:$E$269,MATCH($B203,'UNDP Population Data'!$B$6:$B$269,0))</f>
        <v>1116268000</v>
      </c>
      <c r="H203" s="28" t="str">
        <f>IFERROR(IFERROR(INDEX('WHO GHO Data'!$V$8:$V$201,MATCH('HCW, Staff, Beds Summary'!$C203,'WHO GHO Data'!$C$8:$C$201,0)),INDEX('WHO GHO Data'!$AF$8:$AF$12,MATCH('HCW, Staff, Beds Summary'!$E203,'WHO GHO Data'!$AD$8:$AD$12,0))*$G203/1000),"")</f>
        <v/>
      </c>
      <c r="I203" s="28" t="str">
        <f>IFERROR(IFERROR(INDEX('WHO GHO Data'!$U$8:$U$201,MATCH('HCW, Staff, Beds Summary'!$C203,'WHO GHO Data'!$C$8:$C$201,0)),INDEX('WHO GHO Data'!$AE$8:$AE$12,MATCH('HCW, Staff, Beds Summary'!$E203,'WHO GHO Data'!$AD$8:$AD$12,0))*$G203/1000),"")</f>
        <v/>
      </c>
      <c r="J203" s="28" t="str">
        <f>IFERROR(IFERROR(INDEX('WHO GHO Data'!$X$8:$X$201,MATCH('HCW, Staff, Beds Summary'!$C203,'WHO GHO Data'!$C$8:$C$201,0)),INDEX('WHO GHO Data'!$AF$8:$AF$12,MATCH('HCW, Staff, Beds Summary'!$E203,'WHO GHO Data'!$AD$8:$AD$12,0))*$G203/1000),"")</f>
        <v/>
      </c>
      <c r="K203" s="1310">
        <f>IF(INDEX('WB Beds'!$BN$827:$BN$1090,MATCH($C203,'WB Beds'!$C$827:$C$1090,0))="No reported value",INDEX('WB Beds'!$BR$829:$BR$833,MATCH($E203,'WB Beds'!$BP$829:$BP$833,0)),INDEX('WB Beds'!$BN$827:$BN$1090,MATCH($C203,'WB Beds'!$C$827:$C$1090)))</f>
        <v>4.6072129088428415</v>
      </c>
      <c r="L203" s="1311">
        <f>INDEX('WB Beds'!$BR$836:$BR$840,MATCH($E203,'WB Beds'!$BP$836:$BP$840,0))*100</f>
        <v>2.7250000000000001</v>
      </c>
      <c r="N203" s="1264">
        <f t="shared" si="7"/>
        <v>5142884.339328181</v>
      </c>
    </row>
    <row r="204" spans="2:14" x14ac:dyDescent="0.35">
      <c r="B204" s="41" t="s">
        <v>396</v>
      </c>
      <c r="C204" s="41" t="s">
        <v>397</v>
      </c>
      <c r="D204" s="129" t="s">
        <v>1089</v>
      </c>
      <c r="E204" s="129" t="s">
        <v>410</v>
      </c>
      <c r="F204" s="129" t="str">
        <f t="shared" si="6"/>
        <v>Not LMIC</v>
      </c>
      <c r="G204" s="28">
        <f>INDEX('UNDP Population Data'!$E$6:$E$269,MATCH($B204,'UNDP Population Data'!$B$6:$B$269,0))</f>
        <v>290744</v>
      </c>
      <c r="H204" s="28">
        <f>IFERROR(IFERROR(INDEX('WHO GHO Data'!$V$8:$V$201,MATCH('HCW, Staff, Beds Summary'!$C204,'WHO GHO Data'!$C$8:$C$201,0)),INDEX('WHO GHO Data'!$AF$8:$AF$12,MATCH('HCW, Staff, Beds Summary'!$E204,'WHO GHO Data'!$AD$8:$AD$12,0))*$G204/1000),"")</f>
        <v>970.92575380020924</v>
      </c>
      <c r="I204" s="28">
        <f>IFERROR(IFERROR(INDEX('WHO GHO Data'!$U$8:$U$201,MATCH('HCW, Staff, Beds Summary'!$C204,'WHO GHO Data'!$C$8:$C$201,0)),INDEX('WHO GHO Data'!$AE$8:$AE$12,MATCH('HCW, Staff, Beds Summary'!$E204,'WHO GHO Data'!$AD$8:$AD$12,0))*$G204/1000),"")</f>
        <v>2457.3486947242227</v>
      </c>
      <c r="J204" s="28">
        <f>IFERROR(IFERROR(INDEX('WHO GHO Data'!$X$8:$X$201,MATCH('HCW, Staff, Beds Summary'!$C204,'WHO GHO Data'!$C$8:$C$201,0)),INDEX('WHO GHO Data'!$AF$8:$AF$12,MATCH('HCW, Staff, Beds Summary'!$E204,'WHO GHO Data'!$AD$8:$AD$12,0))*$G204/1000),"")</f>
        <v>970.92575380020924</v>
      </c>
      <c r="K204" s="1310">
        <f>IF(INDEX('WB Beds'!$BN$827:$BN$1090,MATCH($C204,'WB Beds'!$C$827:$C$1090,0))="No reported value",INDEX('WB Beds'!$BR$829:$BR$833,MATCH($E204,'WB Beds'!$BP$829:$BP$833,0)),INDEX('WB Beds'!$BN$827:$BN$1090,MATCH($C204,'WB Beds'!$C$827:$C$1090)))</f>
        <v>4.82</v>
      </c>
      <c r="L204" s="1311">
        <f>INDEX('WB Beds'!$BR$836:$BR$840,MATCH($E204,'WB Beds'!$BP$836:$BP$840,0))*100</f>
        <v>3.5700000000000003</v>
      </c>
      <c r="N204" s="1264">
        <f t="shared" si="7"/>
        <v>1401.38608</v>
      </c>
    </row>
    <row r="205" spans="2:14" x14ac:dyDescent="0.35">
      <c r="B205" s="41" t="s">
        <v>509</v>
      </c>
      <c r="C205" s="41" t="s">
        <v>120</v>
      </c>
      <c r="D205" s="129" t="s">
        <v>1041</v>
      </c>
      <c r="E205" s="129" t="s">
        <v>410</v>
      </c>
      <c r="F205" s="129" t="str">
        <f t="shared" si="6"/>
        <v>Not LMIC</v>
      </c>
      <c r="G205" s="28">
        <f>INDEX('UNDP Population Data'!$E$6:$E$269,MATCH($B205,'UNDP Population Data'!$B$6:$B$269,0))</f>
        <v>2791807</v>
      </c>
      <c r="H205" s="28">
        <f>IFERROR(IFERROR(INDEX('WHO GHO Data'!$V$8:$V$201,MATCH('HCW, Staff, Beds Summary'!$C205,'WHO GHO Data'!$C$8:$C$201,0)),INDEX('WHO GHO Data'!$AF$8:$AF$12,MATCH('HCW, Staff, Beds Summary'!$E205,'WHO GHO Data'!$AD$8:$AD$12,0))*$G205/1000),"")</f>
        <v>7246.5663272877855</v>
      </c>
      <c r="I205" s="28">
        <f>IFERROR(IFERROR(INDEX('WHO GHO Data'!$U$8:$U$201,MATCH('HCW, Staff, Beds Summary'!$C205,'WHO GHO Data'!$C$8:$C$201,0)),INDEX('WHO GHO Data'!$AE$8:$AE$12,MATCH('HCW, Staff, Beds Summary'!$E205,'WHO GHO Data'!$AD$8:$AD$12,0))*$G205/1000),"")</f>
        <v>20854.974263183929</v>
      </c>
      <c r="J205" s="28">
        <f>IFERROR(IFERROR(INDEX('WHO GHO Data'!$X$8:$X$201,MATCH('HCW, Staff, Beds Summary'!$C205,'WHO GHO Data'!$C$8:$C$201,0)),INDEX('WHO GHO Data'!$AF$8:$AF$12,MATCH('HCW, Staff, Beds Summary'!$E205,'WHO GHO Data'!$AD$8:$AD$12,0))*$G205/1000),"")</f>
        <v>700.95564831678701</v>
      </c>
      <c r="K205" s="1310">
        <f>IF(INDEX('WB Beds'!$BN$827:$BN$1090,MATCH($C205,'WB Beds'!$C$827:$C$1090,0))="No reported value",INDEX('WB Beds'!$BR$829:$BR$833,MATCH($E205,'WB Beds'!$BP$829:$BP$833,0)),INDEX('WB Beds'!$BN$827:$BN$1090,MATCH($C205,'WB Beds'!$C$827:$C$1090)))</f>
        <v>1.2</v>
      </c>
      <c r="L205" s="1311">
        <f>INDEX('WB Beds'!$BR$836:$BR$840,MATCH($E205,'WB Beds'!$BP$836:$BP$840,0))*100</f>
        <v>3.5700000000000003</v>
      </c>
      <c r="N205" s="1264">
        <f t="shared" si="7"/>
        <v>3350.1684</v>
      </c>
    </row>
    <row r="206" spans="2:14" x14ac:dyDescent="0.35">
      <c r="B206" s="41" t="s">
        <v>510</v>
      </c>
      <c r="C206" s="41" t="s">
        <v>121</v>
      </c>
      <c r="D206" s="129" t="s">
        <v>1043</v>
      </c>
      <c r="E206" s="129" t="s">
        <v>557</v>
      </c>
      <c r="F206" s="129" t="str">
        <f t="shared" si="6"/>
        <v>LMIC</v>
      </c>
      <c r="G206" s="28">
        <f>INDEX('UNDP Population Data'!$E$6:$E$269,MATCH($B206,'UNDP Population Data'!$B$6:$B$269,0))</f>
        <v>19388362</v>
      </c>
      <c r="H206" s="28">
        <f>IFERROR(IFERROR(INDEX('WHO GHO Data'!$V$8:$V$201,MATCH('HCW, Staff, Beds Summary'!$C206,'WHO GHO Data'!$C$8:$C$201,0)),INDEX('WHO GHO Data'!$AF$8:$AF$12,MATCH('HCW, Staff, Beds Summary'!$E206,'WHO GHO Data'!$AD$8:$AD$12,0))*$G206/1000),"")</f>
        <v>57715.271858636115</v>
      </c>
      <c r="I206" s="28">
        <f>IFERROR(IFERROR(INDEX('WHO GHO Data'!$U$8:$U$201,MATCH('HCW, Staff, Beds Summary'!$C206,'WHO GHO Data'!$C$8:$C$201,0)),INDEX('WHO GHO Data'!$AE$8:$AE$12,MATCH('HCW, Staff, Beds Summary'!$E206,'WHO GHO Data'!$AD$8:$AD$12,0))*$G206/1000),"")</f>
        <v>139720.35522700497</v>
      </c>
      <c r="J206" s="28">
        <f>IFERROR(IFERROR(INDEX('WHO GHO Data'!$X$8:$X$201,MATCH('HCW, Staff, Beds Summary'!$C206,'WHO GHO Data'!$C$8:$C$201,0)),INDEX('WHO GHO Data'!$AF$8:$AF$12,MATCH('HCW, Staff, Beds Summary'!$E206,'WHO GHO Data'!$AD$8:$AD$12,0))*$G206/1000),"")</f>
        <v>439.86078513304523</v>
      </c>
      <c r="K206" s="1310">
        <f>IF(INDEX('WB Beds'!$BN$827:$BN$1090,MATCH($C206,'WB Beds'!$C$827:$C$1090,0))="No reported value",INDEX('WB Beds'!$BR$829:$BR$833,MATCH($E206,'WB Beds'!$BP$829:$BP$833,0)),INDEX('WB Beds'!$BN$827:$BN$1090,MATCH($C206,'WB Beds'!$C$827:$C$1090)))</f>
        <v>6.3</v>
      </c>
      <c r="L206" s="1311">
        <f>INDEX('WB Beds'!$BR$836:$BR$840,MATCH($E206,'WB Beds'!$BP$836:$BP$840,0))*100</f>
        <v>3.32</v>
      </c>
      <c r="N206" s="1264">
        <f t="shared" si="7"/>
        <v>122146.68059999999</v>
      </c>
    </row>
    <row r="207" spans="2:14" x14ac:dyDescent="0.35">
      <c r="B207" s="41" t="s">
        <v>511</v>
      </c>
      <c r="C207" s="41" t="s">
        <v>122</v>
      </c>
      <c r="D207" s="129" t="s">
        <v>1043</v>
      </c>
      <c r="E207" s="129" t="s">
        <v>557</v>
      </c>
      <c r="F207" s="129" t="str">
        <f t="shared" si="6"/>
        <v>LMIC</v>
      </c>
      <c r="G207" s="28">
        <f>INDEX('UNDP Population Data'!$E$6:$E$269,MATCH($B207,'UNDP Population Data'!$B$6:$B$269,0))</f>
        <v>143786842</v>
      </c>
      <c r="H207" s="28">
        <f>IFERROR(IFERROR(INDEX('WHO GHO Data'!$V$8:$V$201,MATCH('HCW, Staff, Beds Summary'!$C207,'WHO GHO Data'!$C$8:$C$201,0)),INDEX('WHO GHO Data'!$AF$8:$AF$12,MATCH('HCW, Staff, Beds Summary'!$E207,'WHO GHO Data'!$AD$8:$AD$12,0))*$G207/1000),"")</f>
        <v>543221.81339431205</v>
      </c>
      <c r="I207" s="28">
        <f>IFERROR(IFERROR(INDEX('WHO GHO Data'!$U$8:$U$201,MATCH('HCW, Staff, Beds Summary'!$C207,'WHO GHO Data'!$C$8:$C$201,0)),INDEX('WHO GHO Data'!$AE$8:$AE$12,MATCH('HCW, Staff, Beds Summary'!$E207,'WHO GHO Data'!$AD$8:$AD$12,0))*$G207/1000),"")</f>
        <v>1242725.4781070766</v>
      </c>
      <c r="J207" s="28">
        <f>IFERROR(IFERROR(INDEX('WHO GHO Data'!$X$8:$X$201,MATCH('HCW, Staff, Beds Summary'!$C207,'WHO GHO Data'!$C$8:$C$201,0)),INDEX('WHO GHO Data'!$AF$8:$AF$12,MATCH('HCW, Staff, Beds Summary'!$E207,'WHO GHO Data'!$AD$8:$AD$12,0))*$G207/1000),"")</f>
        <v>30620.30369180617</v>
      </c>
      <c r="K207" s="1310">
        <f>IF(INDEX('WB Beds'!$BN$827:$BN$1090,MATCH($C207,'WB Beds'!$C$827:$C$1090,0))="No reported value",INDEX('WB Beds'!$BR$829:$BR$833,MATCH($E207,'WB Beds'!$BP$829:$BP$833,0)),INDEX('WB Beds'!$BN$827:$BN$1090,MATCH($C207,'WB Beds'!$C$827:$C$1090)))</f>
        <v>8.1999999999999993</v>
      </c>
      <c r="L207" s="1311">
        <f>INDEX('WB Beds'!$BR$836:$BR$840,MATCH($E207,'WB Beds'!$BP$836:$BP$840,0))*100</f>
        <v>3.32</v>
      </c>
      <c r="N207" s="1264">
        <f t="shared" si="7"/>
        <v>1179052.1043999998</v>
      </c>
    </row>
    <row r="208" spans="2:14" x14ac:dyDescent="0.35">
      <c r="B208" s="41" t="s">
        <v>210</v>
      </c>
      <c r="C208" s="41" t="s">
        <v>123</v>
      </c>
      <c r="D208" s="129" t="s">
        <v>1042</v>
      </c>
      <c r="E208" s="129" t="s">
        <v>452</v>
      </c>
      <c r="F208" s="129" t="str">
        <f t="shared" si="6"/>
        <v>LMIC</v>
      </c>
      <c r="G208" s="28">
        <f>INDEX('UNDP Population Data'!$E$6:$E$269,MATCH($B208,'UNDP Population Data'!$B$6:$B$269,0))</f>
        <v>13087173</v>
      </c>
      <c r="H208" s="28">
        <f>IFERROR(IFERROR(INDEX('WHO GHO Data'!$V$8:$V$201,MATCH('HCW, Staff, Beds Summary'!$C208,'WHO GHO Data'!$C$8:$C$201,0)),INDEX('WHO GHO Data'!$AF$8:$AF$12,MATCH('HCW, Staff, Beds Summary'!$E208,'WHO GHO Data'!$AD$8:$AD$12,0))*$G208/1000),"")</f>
        <v>1727.7079665969125</v>
      </c>
      <c r="I208" s="28">
        <f>IFERROR(IFERROR(INDEX('WHO GHO Data'!$U$8:$U$201,MATCH('HCW, Staff, Beds Summary'!$C208,'WHO GHO Data'!$C$8:$C$201,0)),INDEX('WHO GHO Data'!$AE$8:$AE$12,MATCH('HCW, Staff, Beds Summary'!$E208,'WHO GHO Data'!$AD$8:$AD$12,0))*$G208/1000),"")</f>
        <v>13990.450736793568</v>
      </c>
      <c r="J208" s="28">
        <f>IFERROR(IFERROR(INDEX('WHO GHO Data'!$X$8:$X$201,MATCH('HCW, Staff, Beds Summary'!$C208,'WHO GHO Data'!$C$8:$C$201,0)),INDEX('WHO GHO Data'!$AF$8:$AF$12,MATCH('HCW, Staff, Beds Summary'!$E208,'WHO GHO Data'!$AD$8:$AD$12,0))*$G208/1000),"")</f>
        <v>2136.1058485546596</v>
      </c>
      <c r="K208" s="1310">
        <f>IF(INDEX('WB Beds'!$BN$827:$BN$1090,MATCH($C208,'WB Beds'!$C$827:$C$1090,0))="No reported value",INDEX('WB Beds'!$BR$829:$BR$833,MATCH($E208,'WB Beds'!$BP$829:$BP$833,0)),INDEX('WB Beds'!$BN$827:$BN$1090,MATCH($C208,'WB Beds'!$C$827:$C$1090)))</f>
        <v>1.6</v>
      </c>
      <c r="L208" s="1311">
        <f>INDEX('WB Beds'!$BR$836:$BR$840,MATCH($E208,'WB Beds'!$BP$836:$BP$840,0))*100</f>
        <v>1.63</v>
      </c>
      <c r="N208" s="1264">
        <f t="shared" si="7"/>
        <v>20939.4768</v>
      </c>
    </row>
    <row r="209" spans="2:14" x14ac:dyDescent="0.35">
      <c r="B209" s="41" t="s">
        <v>523</v>
      </c>
      <c r="C209" s="41" t="s">
        <v>524</v>
      </c>
      <c r="D209" s="129" t="s">
        <v>1089</v>
      </c>
      <c r="E209" s="129" t="s">
        <v>742</v>
      </c>
      <c r="F209" s="129" t="str">
        <f t="shared" si="6"/>
        <v>Not LMIC</v>
      </c>
      <c r="G209" s="28">
        <f>INDEX('UNDP Population Data'!$E$6:$E$269,MATCH($B209,'UNDP Population Data'!$B$6:$B$269,0))</f>
        <v>1856800000</v>
      </c>
      <c r="H209" s="28" t="str">
        <f>IFERROR(IFERROR(INDEX('WHO GHO Data'!$V$8:$V$201,MATCH('HCW, Staff, Beds Summary'!$C209,'WHO GHO Data'!$C$8:$C$201,0)),INDEX('WHO GHO Data'!$AF$8:$AF$12,MATCH('HCW, Staff, Beds Summary'!$E209,'WHO GHO Data'!$AD$8:$AD$12,0))*$G209/1000),"")</f>
        <v/>
      </c>
      <c r="I209" s="28" t="str">
        <f>IFERROR(IFERROR(INDEX('WHO GHO Data'!$U$8:$U$201,MATCH('HCW, Staff, Beds Summary'!$C209,'WHO GHO Data'!$C$8:$C$201,0)),INDEX('WHO GHO Data'!$AE$8:$AE$12,MATCH('HCW, Staff, Beds Summary'!$E209,'WHO GHO Data'!$AD$8:$AD$12,0))*$G209/1000),"")</f>
        <v/>
      </c>
      <c r="J209" s="28" t="str">
        <f>IFERROR(IFERROR(INDEX('WHO GHO Data'!$X$8:$X$201,MATCH('HCW, Staff, Beds Summary'!$C209,'WHO GHO Data'!$C$8:$C$201,0)),INDEX('WHO GHO Data'!$AF$8:$AF$12,MATCH('HCW, Staff, Beds Summary'!$E209,'WHO GHO Data'!$AD$8:$AD$12,0))*$G209/1000),"")</f>
        <v/>
      </c>
      <c r="K209" s="1310">
        <f>IF(INDEX('WB Beds'!$BN$827:$BN$1090,MATCH($C209,'WB Beds'!$C$827:$C$1090,0))="No reported value",INDEX('WB Beds'!$BR$829:$BR$833,MATCH($E209,'WB Beds'!$BP$829:$BP$833,0)),INDEX('WB Beds'!$BN$827:$BN$1090,MATCH($C209,'WB Beds'!$C$827:$C$1090)))</f>
        <v>0.67426183450707411</v>
      </c>
      <c r="L209" s="1311">
        <f>INDEX('WB Beds'!$BR$836:$BR$840,MATCH($E209,'WB Beds'!$BP$836:$BP$840,0))*100</f>
        <v>2.7250000000000001</v>
      </c>
      <c r="N209" s="1264">
        <f t="shared" si="7"/>
        <v>1251969.3743127354</v>
      </c>
    </row>
    <row r="210" spans="2:14" x14ac:dyDescent="0.35">
      <c r="B210" s="41" t="s">
        <v>513</v>
      </c>
      <c r="C210" s="41" t="s">
        <v>124</v>
      </c>
      <c r="D210" s="129" t="s">
        <v>1041</v>
      </c>
      <c r="E210" s="129" t="s">
        <v>410</v>
      </c>
      <c r="F210" s="129" t="str">
        <f t="shared" si="6"/>
        <v>Not LMIC</v>
      </c>
      <c r="G210" s="28">
        <f>INDEX('UNDP Population Data'!$E$6:$E$269,MATCH($B210,'UNDP Population Data'!$B$6:$B$269,0))</f>
        <v>34709640</v>
      </c>
      <c r="H210" s="28">
        <f>IFERROR(IFERROR(INDEX('WHO GHO Data'!$V$8:$V$201,MATCH('HCW, Staff, Beds Summary'!$C210,'WHO GHO Data'!$C$8:$C$201,0)),INDEX('WHO GHO Data'!$AF$8:$AF$12,MATCH('HCW, Staff, Beds Summary'!$E210,'WHO GHO Data'!$AD$8:$AD$12,0))*$G210/1000),"")</f>
        <v>91440.192820794662</v>
      </c>
      <c r="I210" s="28">
        <f>IFERROR(IFERROR(INDEX('WHO GHO Data'!$U$8:$U$201,MATCH('HCW, Staff, Beds Summary'!$C210,'WHO GHO Data'!$C$8:$C$201,0)),INDEX('WHO GHO Data'!$AE$8:$AE$12,MATCH('HCW, Staff, Beds Summary'!$E210,'WHO GHO Data'!$AD$8:$AD$12,0))*$G210/1000),"")</f>
        <v>187581.05333655648</v>
      </c>
      <c r="J210" s="28">
        <f>IFERROR(IFERROR(INDEX('WHO GHO Data'!$X$8:$X$201,MATCH('HCW, Staff, Beds Summary'!$C210,'WHO GHO Data'!$C$8:$C$201,0)),INDEX('WHO GHO Data'!$AF$8:$AF$12,MATCH('HCW, Staff, Beds Summary'!$E210,'WHO GHO Data'!$AD$8:$AD$12,0))*$G210/1000),"")</f>
        <v>23644.618211082412</v>
      </c>
      <c r="K210" s="1310">
        <f>IF(INDEX('WB Beds'!$BN$827:$BN$1090,MATCH($C210,'WB Beds'!$C$827:$C$1090,0))="No reported value",INDEX('WB Beds'!$BR$829:$BR$833,MATCH($E210,'WB Beds'!$BP$829:$BP$833,0)),INDEX('WB Beds'!$BN$827:$BN$1090,MATCH($C210,'WB Beds'!$C$827:$C$1090)))</f>
        <v>2.7</v>
      </c>
      <c r="L210" s="1311">
        <f>INDEX('WB Beds'!$BR$836:$BR$840,MATCH($E210,'WB Beds'!$BP$836:$BP$840,0))*100</f>
        <v>3.5700000000000003</v>
      </c>
      <c r="N210" s="1264">
        <f t="shared" si="7"/>
        <v>93716.028000000006</v>
      </c>
    </row>
    <row r="211" spans="2:14" x14ac:dyDescent="0.35">
      <c r="B211" s="41" t="s">
        <v>233</v>
      </c>
      <c r="C211" s="41" t="s">
        <v>125</v>
      </c>
      <c r="D211" s="129" t="s">
        <v>1042</v>
      </c>
      <c r="E211" s="129" t="s">
        <v>454</v>
      </c>
      <c r="F211" s="129" t="str">
        <f t="shared" si="6"/>
        <v>LMIC</v>
      </c>
      <c r="G211" s="28">
        <f>INDEX('UNDP Population Data'!$E$6:$E$269,MATCH($B211,'UNDP Population Data'!$B$6:$B$269,0))</f>
        <v>43541203</v>
      </c>
      <c r="H211" s="28">
        <f>IFERROR(IFERROR(INDEX('WHO GHO Data'!$V$8:$V$201,MATCH('HCW, Staff, Beds Summary'!$C211,'WHO GHO Data'!$C$8:$C$201,0)),INDEX('WHO GHO Data'!$AF$8:$AF$12,MATCH('HCW, Staff, Beds Summary'!$E211,'WHO GHO Data'!$AD$8:$AD$12,0))*$G211/1000),"")</f>
        <v>11475.155948156505</v>
      </c>
      <c r="I211" s="28">
        <f>IFERROR(IFERROR(INDEX('WHO GHO Data'!$U$8:$U$201,MATCH('HCW, Staff, Beds Summary'!$C211,'WHO GHO Data'!$C$8:$C$201,0)),INDEX('WHO GHO Data'!$AE$8:$AE$12,MATCH('HCW, Staff, Beds Summary'!$E211,'WHO GHO Data'!$AD$8:$AD$12,0))*$G211/1000),"")</f>
        <v>13141.164267504137</v>
      </c>
      <c r="J211" s="28">
        <f>IFERROR(IFERROR(INDEX('WHO GHO Data'!$X$8:$X$201,MATCH('HCW, Staff, Beds Summary'!$C211,'WHO GHO Data'!$C$8:$C$201,0)),INDEX('WHO GHO Data'!$AF$8:$AF$12,MATCH('HCW, Staff, Beds Summary'!$E211,'WHO GHO Data'!$AD$8:$AD$12,0))*$G211/1000),"")</f>
        <v>3589.4282260753339</v>
      </c>
      <c r="K211" s="1310">
        <f>IF(INDEX('WB Beds'!$BN$827:$BN$1090,MATCH($C211,'WB Beds'!$C$827:$C$1090,0))="No reported value",INDEX('WB Beds'!$BR$829:$BR$833,MATCH($E211,'WB Beds'!$BP$829:$BP$833,0)),INDEX('WB Beds'!$BN$827:$BN$1090,MATCH($C211,'WB Beds'!$C$827:$C$1090)))</f>
        <v>0.8</v>
      </c>
      <c r="L211" s="1311">
        <f>INDEX('WB Beds'!$BR$836:$BR$840,MATCH($E211,'WB Beds'!$BP$836:$BP$840,0))*100</f>
        <v>2.3800000000000003</v>
      </c>
      <c r="N211" s="1264">
        <f t="shared" si="7"/>
        <v>34832.962399999997</v>
      </c>
    </row>
    <row r="212" spans="2:14" x14ac:dyDescent="0.35">
      <c r="B212" s="41" t="s">
        <v>212</v>
      </c>
      <c r="C212" s="41" t="s">
        <v>126</v>
      </c>
      <c r="D212" s="129" t="s">
        <v>1042</v>
      </c>
      <c r="E212" s="129" t="s">
        <v>454</v>
      </c>
      <c r="F212" s="129" t="str">
        <f t="shared" si="6"/>
        <v>LMIC</v>
      </c>
      <c r="G212" s="28">
        <f>INDEX('UNDP Population Data'!$E$6:$E$269,MATCH($B212,'UNDP Population Data'!$B$6:$B$269,0))</f>
        <v>17200154</v>
      </c>
      <c r="H212" s="28">
        <f>IFERROR(IFERROR(INDEX('WHO GHO Data'!$V$8:$V$201,MATCH('HCW, Staff, Beds Summary'!$C212,'WHO GHO Data'!$C$8:$C$201,0)),INDEX('WHO GHO Data'!$AF$8:$AF$12,MATCH('HCW, Staff, Beds Summary'!$E212,'WHO GHO Data'!$AD$8:$AD$12,0))*$G212/1000),"")</f>
        <v>1158.3020164984639</v>
      </c>
      <c r="I212" s="28">
        <f>IFERROR(IFERROR(INDEX('WHO GHO Data'!$U$8:$U$201,MATCH('HCW, Staff, Beds Summary'!$C212,'WHO GHO Data'!$C$8:$C$201,0)),INDEX('WHO GHO Data'!$AE$8:$AE$12,MATCH('HCW, Staff, Beds Summary'!$E212,'WHO GHO Data'!$AD$8:$AD$12,0))*$G212/1000),"")</f>
        <v>3064.1760661591634</v>
      </c>
      <c r="J212" s="28">
        <f>IFERROR(IFERROR(INDEX('WHO GHO Data'!$X$8:$X$201,MATCH('HCW, Staff, Beds Summary'!$C212,'WHO GHO Data'!$C$8:$C$201,0)),INDEX('WHO GHO Data'!$AF$8:$AF$12,MATCH('HCW, Staff, Beds Summary'!$E212,'WHO GHO Data'!$AD$8:$AD$12,0))*$G212/1000),"")</f>
        <v>40.203728527620228</v>
      </c>
      <c r="K212" s="1310">
        <f>IF(INDEX('WB Beds'!$BN$827:$BN$1090,MATCH($C212,'WB Beds'!$C$827:$C$1090,0))="No reported value",INDEX('WB Beds'!$BR$829:$BR$833,MATCH($E212,'WB Beds'!$BP$829:$BP$833,0)),INDEX('WB Beds'!$BN$827:$BN$1090,MATCH($C212,'WB Beds'!$C$827:$C$1090)))</f>
        <v>0.3</v>
      </c>
      <c r="L212" s="1311">
        <f>INDEX('WB Beds'!$BR$836:$BR$840,MATCH($E212,'WB Beds'!$BP$836:$BP$840,0))*100</f>
        <v>2.3800000000000003</v>
      </c>
      <c r="N212" s="1264">
        <f t="shared" si="7"/>
        <v>5160.0461999999998</v>
      </c>
    </row>
    <row r="213" spans="2:14" x14ac:dyDescent="0.35">
      <c r="B213" s="41" t="s">
        <v>515</v>
      </c>
      <c r="C213" s="41" t="s">
        <v>127</v>
      </c>
      <c r="D213" s="129" t="s">
        <v>1100</v>
      </c>
      <c r="E213" s="129" t="s">
        <v>410</v>
      </c>
      <c r="F213" s="129" t="str">
        <f t="shared" si="6"/>
        <v>Not LMIC</v>
      </c>
      <c r="G213" s="28">
        <f>INDEX('UNDP Population Data'!$E$6:$E$269,MATCH($B213,'UNDP Population Data'!$B$6:$B$269,0))</f>
        <v>5935053</v>
      </c>
      <c r="H213" s="28">
        <f>IFERROR(IFERROR(INDEX('WHO GHO Data'!$V$8:$V$201,MATCH('HCW, Staff, Beds Summary'!$C213,'WHO GHO Data'!$C$8:$C$201,0)),INDEX('WHO GHO Data'!$AF$8:$AF$12,MATCH('HCW, Staff, Beds Summary'!$E213,'WHO GHO Data'!$AD$8:$AD$12,0))*$G213/1000),"")</f>
        <v>13710.984705744746</v>
      </c>
      <c r="I213" s="28">
        <f>IFERROR(IFERROR(INDEX('WHO GHO Data'!$U$8:$U$201,MATCH('HCW, Staff, Beds Summary'!$C213,'WHO GHO Data'!$C$8:$C$201,0)),INDEX('WHO GHO Data'!$AE$8:$AE$12,MATCH('HCW, Staff, Beds Summary'!$E213,'WHO GHO Data'!$AD$8:$AD$12,0))*$G213/1000),"")</f>
        <v>37158.724826800557</v>
      </c>
      <c r="J213" s="28">
        <f>IFERROR(IFERROR(INDEX('WHO GHO Data'!$X$8:$X$201,MATCH('HCW, Staff, Beds Summary'!$C213,'WHO GHO Data'!$C$8:$C$201,0)),INDEX('WHO GHO Data'!$AF$8:$AF$12,MATCH('HCW, Staff, Beds Summary'!$E213,'WHO GHO Data'!$AD$8:$AD$12,0))*$G213/1000),"")</f>
        <v>3165.9326779698877</v>
      </c>
      <c r="K213" s="1310">
        <f>IF(INDEX('WB Beds'!$BN$827:$BN$1090,MATCH($C213,'WB Beds'!$C$827:$C$1090,0))="No reported value",INDEX('WB Beds'!$BR$829:$BR$833,MATCH($E213,'WB Beds'!$BP$829:$BP$833,0)),INDEX('WB Beds'!$BN$827:$BN$1090,MATCH($C213,'WB Beds'!$C$827:$C$1090)))</f>
        <v>2.4</v>
      </c>
      <c r="L213" s="1311">
        <f>INDEX('WB Beds'!$BR$836:$BR$840,MATCH($E213,'WB Beds'!$BP$836:$BP$840,0))*100</f>
        <v>3.5700000000000003</v>
      </c>
      <c r="N213" s="1264">
        <f t="shared" si="7"/>
        <v>14244.127199999999</v>
      </c>
    </row>
    <row r="214" spans="2:14" x14ac:dyDescent="0.35">
      <c r="B214" s="41" t="s">
        <v>255</v>
      </c>
      <c r="C214" s="41" t="s">
        <v>128</v>
      </c>
      <c r="D214" s="129" t="s">
        <v>1100</v>
      </c>
      <c r="E214" s="129" t="s">
        <v>454</v>
      </c>
      <c r="F214" s="129" t="str">
        <f t="shared" si="6"/>
        <v>LMIC</v>
      </c>
      <c r="G214" s="28">
        <f>INDEX('UNDP Population Data'!$E$6:$E$269,MATCH($B214,'UNDP Population Data'!$B$6:$B$269,0))</f>
        <v>647297</v>
      </c>
      <c r="H214" s="28">
        <f>IFERROR(IFERROR(INDEX('WHO GHO Data'!$V$8:$V$201,MATCH('HCW, Staff, Beds Summary'!$C214,'WHO GHO Data'!$C$8:$C$201,0)),INDEX('WHO GHO Data'!$AF$8:$AF$12,MATCH('HCW, Staff, Beds Summary'!$E214,'WHO GHO Data'!$AD$8:$AD$12,0))*$G214/1000),"")</f>
        <v>129.67864670255412</v>
      </c>
      <c r="I214" s="28">
        <f>IFERROR(IFERROR(INDEX('WHO GHO Data'!$U$8:$U$201,MATCH('HCW, Staff, Beds Summary'!$C214,'WHO GHO Data'!$C$8:$C$201,0)),INDEX('WHO GHO Data'!$AE$8:$AE$12,MATCH('HCW, Staff, Beds Summary'!$E214,'WHO GHO Data'!$AD$8:$AD$12,0))*$G214/1000),"")</f>
        <v>1468.8781602759291</v>
      </c>
      <c r="J214" s="28">
        <f>IFERROR(IFERROR(INDEX('WHO GHO Data'!$X$8:$X$201,MATCH('HCW, Staff, Beds Summary'!$C214,'WHO GHO Data'!$C$8:$C$201,0)),INDEX('WHO GHO Data'!$AF$8:$AF$12,MATCH('HCW, Staff, Beds Summary'!$E214,'WHO GHO Data'!$AD$8:$AD$12,0))*$G214/1000),"")</f>
        <v>48.106297389380885</v>
      </c>
      <c r="K214" s="1310">
        <f>IF(INDEX('WB Beds'!$BN$827:$BN$1090,MATCH($C214,'WB Beds'!$C$827:$C$1090,0))="No reported value",INDEX('WB Beds'!$BR$829:$BR$833,MATCH($E214,'WB Beds'!$BP$829:$BP$833,0)),INDEX('WB Beds'!$BN$827:$BN$1090,MATCH($C214,'WB Beds'!$C$827:$C$1090)))</f>
        <v>1.4</v>
      </c>
      <c r="L214" s="1311">
        <f>INDEX('WB Beds'!$BR$836:$BR$840,MATCH($E214,'WB Beds'!$BP$836:$BP$840,0))*100</f>
        <v>2.3800000000000003</v>
      </c>
      <c r="N214" s="1264">
        <f t="shared" si="7"/>
        <v>906.21579999999994</v>
      </c>
    </row>
    <row r="215" spans="2:14" x14ac:dyDescent="0.35">
      <c r="B215" s="41" t="s">
        <v>214</v>
      </c>
      <c r="C215" s="41" t="s">
        <v>129</v>
      </c>
      <c r="D215" s="129" t="s">
        <v>1042</v>
      </c>
      <c r="E215" s="129" t="s">
        <v>452</v>
      </c>
      <c r="F215" s="129" t="str">
        <f t="shared" si="6"/>
        <v>LMIC</v>
      </c>
      <c r="G215" s="28">
        <f>INDEX('UNDP Population Data'!$E$6:$E$269,MATCH($B215,'UNDP Population Data'!$B$6:$B$269,0))</f>
        <v>8046931</v>
      </c>
      <c r="H215" s="28">
        <f>IFERROR(IFERROR(INDEX('WHO GHO Data'!$V$8:$V$201,MATCH('HCW, Staff, Beds Summary'!$C215,'WHO GHO Data'!$C$8:$C$201,0)),INDEX('WHO GHO Data'!$AF$8:$AF$12,MATCH('HCW, Staff, Beds Summary'!$E215,'WHO GHO Data'!$AD$8:$AD$12,0))*$G215/1000),"")</f>
        <v>199.71482878634072</v>
      </c>
      <c r="I215" s="28">
        <f>IFERROR(IFERROR(INDEX('WHO GHO Data'!$U$8:$U$201,MATCH('HCW, Staff, Beds Summary'!$C215,'WHO GHO Data'!$C$8:$C$201,0)),INDEX('WHO GHO Data'!$AE$8:$AE$12,MATCH('HCW, Staff, Beds Summary'!$E215,'WHO GHO Data'!$AD$8:$AD$12,0))*$G215/1000),"")</f>
        <v>1445.6203016898235</v>
      </c>
      <c r="J215" s="28">
        <f>IFERROR(IFERROR(INDEX('WHO GHO Data'!$X$8:$X$201,MATCH('HCW, Staff, Beds Summary'!$C215,'WHO GHO Data'!$C$8:$C$201,0)),INDEX('WHO GHO Data'!$AF$8:$AF$12,MATCH('HCW, Staff, Beds Summary'!$E215,'WHO GHO Data'!$AD$8:$AD$12,0))*$G215/1000),"")</f>
        <v>315.91254735293893</v>
      </c>
      <c r="K215" s="1310">
        <f>IF(INDEX('WB Beds'!$BN$827:$BN$1090,MATCH($C215,'WB Beds'!$C$827:$C$1090,0))="No reported value",INDEX('WB Beds'!$BR$829:$BR$833,MATCH($E215,'WB Beds'!$BP$829:$BP$833,0)),INDEX('WB Beds'!$BN$827:$BN$1090,MATCH($C215,'WB Beds'!$C$827:$C$1090)))</f>
        <v>0.4</v>
      </c>
      <c r="L215" s="1311">
        <f>INDEX('WB Beds'!$BR$836:$BR$840,MATCH($E215,'WB Beds'!$BP$836:$BP$840,0))*100</f>
        <v>1.63</v>
      </c>
      <c r="N215" s="1264">
        <f t="shared" si="7"/>
        <v>3218.7724000000003</v>
      </c>
    </row>
    <row r="216" spans="2:14" x14ac:dyDescent="0.35">
      <c r="B216" s="41" t="s">
        <v>222</v>
      </c>
      <c r="C216" s="41" t="s">
        <v>164</v>
      </c>
      <c r="D216" s="129" t="s">
        <v>1044</v>
      </c>
      <c r="E216" s="129" t="s">
        <v>454</v>
      </c>
      <c r="F216" s="129" t="str">
        <f t="shared" si="6"/>
        <v>LMIC</v>
      </c>
      <c r="G216" s="28">
        <f>INDEX('UNDP Population Data'!$E$6:$E$269,MATCH($B216,'UNDP Population Data'!$B$6:$B$269,0))</f>
        <v>6479066</v>
      </c>
      <c r="H216" s="28">
        <f>IFERROR(IFERROR(INDEX('WHO GHO Data'!$V$8:$V$201,MATCH('HCW, Staff, Beds Summary'!$C216,'WHO GHO Data'!$C$8:$C$201,0)),INDEX('WHO GHO Data'!$AF$8:$AF$12,MATCH('HCW, Staff, Beds Summary'!$E216,'WHO GHO Data'!$AD$8:$AD$12,0))*$G216/1000),"")</f>
        <v>10164.623233296983</v>
      </c>
      <c r="I216" s="28">
        <f>IFERROR(IFERROR(INDEX('WHO GHO Data'!$U$8:$U$201,MATCH('HCW, Staff, Beds Summary'!$C216,'WHO GHO Data'!$C$8:$C$201,0)),INDEX('WHO GHO Data'!$AE$8:$AE$12,MATCH('HCW, Staff, Beds Summary'!$E216,'WHO GHO Data'!$AD$8:$AD$12,0))*$G216/1000),"")</f>
        <v>11901.359132524523</v>
      </c>
      <c r="J216" s="28">
        <f>IFERROR(IFERROR(INDEX('WHO GHO Data'!$X$8:$X$201,MATCH('HCW, Staff, Beds Summary'!$C216,'WHO GHO Data'!$C$8:$C$201,0)),INDEX('WHO GHO Data'!$AF$8:$AF$12,MATCH('HCW, Staff, Beds Summary'!$E216,'WHO GHO Data'!$AD$8:$AD$12,0))*$G216/1000),"")</f>
        <v>2092.1459573104489</v>
      </c>
      <c r="K216" s="1310">
        <f>IF(INDEX('WB Beds'!$BN$827:$BN$1090,MATCH($C216,'WB Beds'!$C$827:$C$1090,0))="No reported value",INDEX('WB Beds'!$BR$829:$BR$833,MATCH($E216,'WB Beds'!$BP$829:$BP$833,0)),INDEX('WB Beds'!$BN$827:$BN$1090,MATCH($C216,'WB Beds'!$C$827:$C$1090)))</f>
        <v>1.3</v>
      </c>
      <c r="L216" s="1311">
        <f>INDEX('WB Beds'!$BR$836:$BR$840,MATCH($E216,'WB Beds'!$BP$836:$BP$840,0))*100</f>
        <v>2.3800000000000003</v>
      </c>
      <c r="N216" s="1264">
        <f t="shared" si="7"/>
        <v>8422.7858000000015</v>
      </c>
    </row>
    <row r="217" spans="2:14" x14ac:dyDescent="0.35">
      <c r="B217" s="41" t="s">
        <v>512</v>
      </c>
      <c r="C217" s="41" t="s">
        <v>130</v>
      </c>
      <c r="D217" s="129" t="s">
        <v>1043</v>
      </c>
      <c r="E217" s="129" t="s">
        <v>410</v>
      </c>
      <c r="F217" s="129" t="str">
        <f t="shared" si="6"/>
        <v>Not LMIC</v>
      </c>
      <c r="G217" s="28">
        <f>INDEX('UNDP Population Data'!$E$6:$E$269,MATCH($B217,'UNDP Population Data'!$B$6:$B$269,0))</f>
        <v>33809</v>
      </c>
      <c r="H217" s="28">
        <f>IFERROR(IFERROR(INDEX('WHO GHO Data'!$V$8:$V$201,MATCH('HCW, Staff, Beds Summary'!$C217,'WHO GHO Data'!$C$8:$C$201,0)),INDEX('WHO GHO Data'!$AF$8:$AF$12,MATCH('HCW, Staff, Beds Summary'!$E217,'WHO GHO Data'!$AD$8:$AD$12,0))*$G217/1000),"")</f>
        <v>207.22884397919989</v>
      </c>
      <c r="I217" s="28">
        <f>IFERROR(IFERROR(INDEX('WHO GHO Data'!$U$8:$U$201,MATCH('HCW, Staff, Beds Summary'!$C217,'WHO GHO Data'!$C$8:$C$201,0)),INDEX('WHO GHO Data'!$AE$8:$AE$12,MATCH('HCW, Staff, Beds Summary'!$E217,'WHO GHO Data'!$AD$8:$AD$12,0))*$G217/1000),"")</f>
        <v>260.84028620267452</v>
      </c>
      <c r="J217" s="28">
        <f>IFERROR(IFERROR(INDEX('WHO GHO Data'!$X$8:$X$201,MATCH('HCW, Staff, Beds Summary'!$C217,'WHO GHO Data'!$C$8:$C$201,0)),INDEX('WHO GHO Data'!$AF$8:$AF$12,MATCH('HCW, Staff, Beds Summary'!$E217,'WHO GHO Data'!$AD$8:$AD$12,0))*$G217/1000),"")</f>
        <v>18.034719809491836</v>
      </c>
      <c r="K217" s="1310">
        <f>IF(INDEX('WB Beds'!$BN$827:$BN$1090,MATCH($C217,'WB Beds'!$C$827:$C$1090,0))="No reported value",INDEX('WB Beds'!$BR$829:$BR$833,MATCH($E217,'WB Beds'!$BP$829:$BP$833,0)),INDEX('WB Beds'!$BN$827:$BN$1090,MATCH($C217,'WB Beds'!$C$827:$C$1090)))</f>
        <v>3.8</v>
      </c>
      <c r="L217" s="1311">
        <f>INDEX('WB Beds'!$BR$836:$BR$840,MATCH($E217,'WB Beds'!$BP$836:$BP$840,0))*100</f>
        <v>3.5700000000000003</v>
      </c>
      <c r="N217" s="1264">
        <f t="shared" si="7"/>
        <v>128.4742</v>
      </c>
    </row>
    <row r="218" spans="2:14" x14ac:dyDescent="0.35">
      <c r="B218" s="41" t="s">
        <v>232</v>
      </c>
      <c r="C218" s="41" t="s">
        <v>171</v>
      </c>
      <c r="D218" s="129" t="s">
        <v>1041</v>
      </c>
      <c r="E218" s="129" t="s">
        <v>452</v>
      </c>
      <c r="F218" s="129" t="str">
        <f t="shared" si="6"/>
        <v>LMIC</v>
      </c>
      <c r="G218" s="28">
        <f>INDEX('UNDP Population Data'!$E$6:$E$269,MATCH($B218,'UNDP Population Data'!$B$6:$B$269,0))</f>
        <v>16105174</v>
      </c>
      <c r="H218" s="28">
        <f>IFERROR(IFERROR(INDEX('WHO GHO Data'!$V$8:$V$201,MATCH('HCW, Staff, Beds Summary'!$C218,'WHO GHO Data'!$C$8:$C$201,0)),INDEX('WHO GHO Data'!$AF$8:$AF$12,MATCH('HCW, Staff, Beds Summary'!$E218,'WHO GHO Data'!$AD$8:$AD$12,0))*$G218/1000),"")</f>
        <v>368.46355061116054</v>
      </c>
      <c r="I218" s="28">
        <f>IFERROR(IFERROR(INDEX('WHO GHO Data'!$U$8:$U$201,MATCH('HCW, Staff, Beds Summary'!$C218,'WHO GHO Data'!$C$8:$C$201,0)),INDEX('WHO GHO Data'!$AE$8:$AE$12,MATCH('HCW, Staff, Beds Summary'!$E218,'WHO GHO Data'!$AD$8:$AD$12,0))*$G218/1000),"")</f>
        <v>983.76190697154516</v>
      </c>
      <c r="J218" s="28">
        <f>IFERROR(IFERROR(INDEX('WHO GHO Data'!$X$8:$X$201,MATCH('HCW, Staff, Beds Summary'!$C218,'WHO GHO Data'!$C$8:$C$201,0)),INDEX('WHO GHO Data'!$AF$8:$AF$12,MATCH('HCW, Staff, Beds Summary'!$E218,'WHO GHO Data'!$AD$8:$AD$12,0))*$G218/1000),"")</f>
        <v>231.35367457084297</v>
      </c>
      <c r="K218" s="1310">
        <f>IF(INDEX('WB Beds'!$BN$827:$BN$1090,MATCH($C218,'WB Beds'!$C$827:$C$1090,0))="No reported value",INDEX('WB Beds'!$BR$829:$BR$833,MATCH($E218,'WB Beds'!$BP$829:$BP$833,0)),INDEX('WB Beds'!$BN$827:$BN$1090,MATCH($C218,'WB Beds'!$C$827:$C$1090)))</f>
        <v>0.9</v>
      </c>
      <c r="L218" s="1311">
        <f>INDEX('WB Beds'!$BR$836:$BR$840,MATCH($E218,'WB Beds'!$BP$836:$BP$840,0))*100</f>
        <v>1.63</v>
      </c>
      <c r="N218" s="1264">
        <f t="shared" si="7"/>
        <v>14494.6566</v>
      </c>
    </row>
    <row r="219" spans="2:14" x14ac:dyDescent="0.35">
      <c r="B219" s="41" t="s">
        <v>514</v>
      </c>
      <c r="C219" s="41" t="s">
        <v>131</v>
      </c>
      <c r="D219" s="129" t="s">
        <v>1043</v>
      </c>
      <c r="E219" s="129" t="s">
        <v>557</v>
      </c>
      <c r="F219" s="129" t="str">
        <f t="shared" si="6"/>
        <v>LMIC</v>
      </c>
      <c r="G219" s="28">
        <f>INDEX('UNDP Population Data'!$E$6:$E$269,MATCH($B219,'UNDP Population Data'!$B$6:$B$269,0))</f>
        <v>8703942</v>
      </c>
      <c r="H219" s="28">
        <f>IFERROR(IFERROR(INDEX('WHO GHO Data'!$V$8:$V$201,MATCH('HCW, Staff, Beds Summary'!$C219,'WHO GHO Data'!$C$8:$C$201,0)),INDEX('WHO GHO Data'!$AF$8:$AF$12,MATCH('HCW, Staff, Beds Summary'!$E219,'WHO GHO Data'!$AD$8:$AD$12,0))*$G219/1000),"")</f>
        <v>27195.334959723608</v>
      </c>
      <c r="I219" s="28">
        <f>IFERROR(IFERROR(INDEX('WHO GHO Data'!$U$8:$U$201,MATCH('HCW, Staff, Beds Summary'!$C219,'WHO GHO Data'!$C$8:$C$201,0)),INDEX('WHO GHO Data'!$AE$8:$AE$12,MATCH('HCW, Staff, Beds Summary'!$E219,'WHO GHO Data'!$AD$8:$AD$12,0))*$G219/1000),"")</f>
        <v>53162.277073064171</v>
      </c>
      <c r="J219" s="28">
        <f>IFERROR(IFERROR(INDEX('WHO GHO Data'!$X$8:$X$201,MATCH('HCW, Staff, Beds Summary'!$C219,'WHO GHO Data'!$C$8:$C$201,0)),INDEX('WHO GHO Data'!$AF$8:$AF$12,MATCH('HCW, Staff, Beds Summary'!$E219,'WHO GHO Data'!$AD$8:$AD$12,0))*$G219/1000),"")</f>
        <v>5576.6075243027917</v>
      </c>
      <c r="K219" s="1310">
        <f>IF(INDEX('WB Beds'!$BN$827:$BN$1090,MATCH($C219,'WB Beds'!$C$827:$C$1090,0))="No reported value",INDEX('WB Beds'!$BR$829:$BR$833,MATCH($E219,'WB Beds'!$BP$829:$BP$833,0)),INDEX('WB Beds'!$BN$827:$BN$1090,MATCH($C219,'WB Beds'!$C$827:$C$1090)))</f>
        <v>5.7</v>
      </c>
      <c r="L219" s="1311">
        <f>INDEX('WB Beds'!$BR$836:$BR$840,MATCH($E219,'WB Beds'!$BP$836:$BP$840,0))*100</f>
        <v>3.32</v>
      </c>
      <c r="N219" s="1264">
        <f t="shared" si="7"/>
        <v>49612.469400000002</v>
      </c>
    </row>
    <row r="220" spans="2:14" x14ac:dyDescent="0.35">
      <c r="B220" s="41" t="s">
        <v>539</v>
      </c>
      <c r="C220" s="41" t="s">
        <v>540</v>
      </c>
      <c r="D220" s="129" t="s">
        <v>1089</v>
      </c>
      <c r="E220" s="129" t="s">
        <v>742</v>
      </c>
      <c r="F220" s="129" t="str">
        <f t="shared" si="6"/>
        <v>Not LMIC</v>
      </c>
      <c r="G220" s="28">
        <f>INDEX('UNDP Population Data'!$E$6:$E$269,MATCH($B220,'UNDP Population Data'!$B$6:$B$269,0))</f>
        <v>1135954000</v>
      </c>
      <c r="H220" s="28" t="str">
        <f>IFERROR(IFERROR(INDEX('WHO GHO Data'!$V$8:$V$201,MATCH('HCW, Staff, Beds Summary'!$C220,'WHO GHO Data'!$C$8:$C$201,0)),INDEX('WHO GHO Data'!$AF$8:$AF$12,MATCH('HCW, Staff, Beds Summary'!$E220,'WHO GHO Data'!$AD$8:$AD$12,0))*$G220/1000),"")</f>
        <v/>
      </c>
      <c r="I220" s="28" t="str">
        <f>IFERROR(IFERROR(INDEX('WHO GHO Data'!$U$8:$U$201,MATCH('HCW, Staff, Beds Summary'!$C220,'WHO GHO Data'!$C$8:$C$201,0)),INDEX('WHO GHO Data'!$AE$8:$AE$12,MATCH('HCW, Staff, Beds Summary'!$E220,'WHO GHO Data'!$AD$8:$AD$12,0))*$G220/1000),"")</f>
        <v/>
      </c>
      <c r="J220" s="28" t="str">
        <f>IFERROR(IFERROR(INDEX('WHO GHO Data'!$X$8:$X$201,MATCH('HCW, Staff, Beds Summary'!$C220,'WHO GHO Data'!$C$8:$C$201,0)),INDEX('WHO GHO Data'!$AF$8:$AF$12,MATCH('HCW, Staff, Beds Summary'!$E220,'WHO GHO Data'!$AD$8:$AD$12,0))*$G220/1000),"")</f>
        <v/>
      </c>
      <c r="K220" s="1310">
        <f>IF(INDEX('WB Beds'!$BN$827:$BN$1090,MATCH($C220,'WB Beds'!$C$827:$C$1090,0))="No reported value",INDEX('WB Beds'!$BR$829:$BR$833,MATCH($E220,'WB Beds'!$BP$829:$BP$833,0)),INDEX('WB Beds'!$BN$827:$BN$1090,MATCH($C220,'WB Beds'!$C$827:$C$1090)))</f>
        <v>1.2125754223136325</v>
      </c>
      <c r="L220" s="1311">
        <f>INDEX('WB Beds'!$BR$836:$BR$840,MATCH($E220,'WB Beds'!$BP$836:$BP$840,0))*100</f>
        <v>2.7250000000000001</v>
      </c>
      <c r="N220" s="1264">
        <f t="shared" si="7"/>
        <v>1377429.9012788602</v>
      </c>
    </row>
    <row r="221" spans="2:14" x14ac:dyDescent="0.35">
      <c r="B221" s="41" t="s">
        <v>527</v>
      </c>
      <c r="C221" s="41" t="s">
        <v>528</v>
      </c>
      <c r="D221" s="129" t="s">
        <v>1041</v>
      </c>
      <c r="E221" s="129" t="s">
        <v>452</v>
      </c>
      <c r="F221" s="129" t="str">
        <f t="shared" si="6"/>
        <v>LMIC</v>
      </c>
      <c r="G221" s="28">
        <f>INDEX('UNDP Population Data'!$E$6:$E$269,MATCH($B221,'UNDP Population Data'!$B$6:$B$269,0))</f>
        <v>13610007</v>
      </c>
      <c r="H221" s="28">
        <f>IFERROR(IFERROR(INDEX('WHO GHO Data'!$V$8:$V$201,MATCH('HCW, Staff, Beds Summary'!$C221,'WHO GHO Data'!$C$8:$C$201,0)),INDEX('WHO GHO Data'!$AF$8:$AF$12,MATCH('HCW, Staff, Beds Summary'!$E221,'WHO GHO Data'!$AD$8:$AD$12,0))*$G221/1000),"")</f>
        <v>4769.4484960895479</v>
      </c>
      <c r="I221" s="28">
        <f>IFERROR(IFERROR(INDEX('WHO GHO Data'!$U$8:$U$201,MATCH('HCW, Staff, Beds Summary'!$C221,'WHO GHO Data'!$C$8:$C$201,0)),INDEX('WHO GHO Data'!$AE$8:$AE$12,MATCH('HCW, Staff, Beds Summary'!$E221,'WHO GHO Data'!$AD$8:$AD$12,0))*$G221/1000),"")</f>
        <v>11890.87965159566</v>
      </c>
      <c r="J221" s="28">
        <f>IFERROR(IFERROR(INDEX('WHO GHO Data'!$X$8:$X$201,MATCH('HCW, Staff, Beds Summary'!$C221,'WHO GHO Data'!$C$8:$C$201,0)),INDEX('WHO GHO Data'!$AF$8:$AF$12,MATCH('HCW, Staff, Beds Summary'!$E221,'WHO GHO Data'!$AD$8:$AD$12,0))*$G221/1000),"")</f>
        <v>4769.4484960895479</v>
      </c>
      <c r="K221" s="1310">
        <f>IF(INDEX('WB Beds'!$BN$827:$BN$1090,MATCH($C221,'WB Beds'!$C$827:$C$1090,0))="No reported value",INDEX('WB Beds'!$BR$829:$BR$833,MATCH($E221,'WB Beds'!$BP$829:$BP$833,0)),INDEX('WB Beds'!$BN$827:$BN$1090,MATCH($C221,'WB Beds'!$C$827:$C$1090)))</f>
        <v>1.24</v>
      </c>
      <c r="L221" s="1311">
        <f>INDEX('WB Beds'!$BR$836:$BR$840,MATCH($E221,'WB Beds'!$BP$836:$BP$840,0))*100</f>
        <v>1.63</v>
      </c>
      <c r="N221" s="1264">
        <f t="shared" si="7"/>
        <v>16876.40868</v>
      </c>
    </row>
    <row r="222" spans="2:14" x14ac:dyDescent="0.35">
      <c r="B222" s="41" t="s">
        <v>537</v>
      </c>
      <c r="C222" s="41" t="s">
        <v>538</v>
      </c>
      <c r="D222" s="129" t="s">
        <v>1089</v>
      </c>
      <c r="E222" s="129" t="s">
        <v>742</v>
      </c>
      <c r="F222" s="129" t="str">
        <f t="shared" si="6"/>
        <v>Not LMIC</v>
      </c>
      <c r="G222" s="28">
        <f>INDEX('UNDP Population Data'!$E$6:$E$269,MATCH($B222,'UNDP Population Data'!$B$6:$B$269,0))</f>
        <v>1136052000</v>
      </c>
      <c r="H222" s="28" t="str">
        <f>IFERROR(IFERROR(INDEX('WHO GHO Data'!$V$8:$V$201,MATCH('HCW, Staff, Beds Summary'!$C222,'WHO GHO Data'!$C$8:$C$201,0)),INDEX('WHO GHO Data'!$AF$8:$AF$12,MATCH('HCW, Staff, Beds Summary'!$E222,'WHO GHO Data'!$AD$8:$AD$12,0))*$G222/1000),"")</f>
        <v/>
      </c>
      <c r="I222" s="28" t="str">
        <f>IFERROR(IFERROR(INDEX('WHO GHO Data'!$U$8:$U$201,MATCH('HCW, Staff, Beds Summary'!$C222,'WHO GHO Data'!$C$8:$C$201,0)),INDEX('WHO GHO Data'!$AE$8:$AE$12,MATCH('HCW, Staff, Beds Summary'!$E222,'WHO GHO Data'!$AD$8:$AD$12,0))*$G222/1000),"")</f>
        <v/>
      </c>
      <c r="J222" s="28" t="str">
        <f>IFERROR(IFERROR(INDEX('WHO GHO Data'!$X$8:$X$201,MATCH('HCW, Staff, Beds Summary'!$C222,'WHO GHO Data'!$C$8:$C$201,0)),INDEX('WHO GHO Data'!$AF$8:$AF$12,MATCH('HCW, Staff, Beds Summary'!$E222,'WHO GHO Data'!$AD$8:$AD$12,0))*$G222/1000),"")</f>
        <v/>
      </c>
      <c r="K222" s="1310">
        <f>IF(INDEX('WB Beds'!$BN$827:$BN$1090,MATCH($C222,'WB Beds'!$C$827:$C$1090,0))="No reported value",INDEX('WB Beds'!$BR$829:$BR$833,MATCH($E222,'WB Beds'!$BP$829:$BP$833,0)),INDEX('WB Beds'!$BN$827:$BN$1090,MATCH($C222,'WB Beds'!$C$827:$C$1090)))</f>
        <v>1.2125754223136325</v>
      </c>
      <c r="L222" s="1311">
        <f>INDEX('WB Beds'!$BR$836:$BR$840,MATCH($E222,'WB Beds'!$BP$836:$BP$840,0))*100</f>
        <v>2.7250000000000001</v>
      </c>
      <c r="N222" s="1264">
        <f t="shared" si="7"/>
        <v>1377548.7336702468</v>
      </c>
    </row>
    <row r="223" spans="2:14" x14ac:dyDescent="0.35">
      <c r="B223" s="41" t="s">
        <v>521</v>
      </c>
      <c r="C223" s="41" t="s">
        <v>522</v>
      </c>
      <c r="D223" s="129" t="s">
        <v>1089</v>
      </c>
      <c r="E223" s="129" t="s">
        <v>742</v>
      </c>
      <c r="F223" s="129" t="str">
        <f t="shared" si="6"/>
        <v>Not LMIC</v>
      </c>
      <c r="G223" s="28">
        <f>INDEX('UNDP Population Data'!$E$6:$E$269,MATCH($B223,'UNDP Population Data'!$B$6:$B$269,0))</f>
        <v>41855000</v>
      </c>
      <c r="H223" s="28" t="str">
        <f>IFERROR(IFERROR(INDEX('WHO GHO Data'!$V$8:$V$201,MATCH('HCW, Staff, Beds Summary'!$C223,'WHO GHO Data'!$C$8:$C$201,0)),INDEX('WHO GHO Data'!$AF$8:$AF$12,MATCH('HCW, Staff, Beds Summary'!$E223,'WHO GHO Data'!$AD$8:$AD$12,0))*$G223/1000),"")</f>
        <v/>
      </c>
      <c r="I223" s="28" t="str">
        <f>IFERROR(IFERROR(INDEX('WHO GHO Data'!$U$8:$U$201,MATCH('HCW, Staff, Beds Summary'!$C223,'WHO GHO Data'!$C$8:$C$201,0)),INDEX('WHO GHO Data'!$AE$8:$AE$12,MATCH('HCW, Staff, Beds Summary'!$E223,'WHO GHO Data'!$AD$8:$AD$12,0))*$G223/1000),"")</f>
        <v/>
      </c>
      <c r="J223" s="28" t="str">
        <f>IFERROR(IFERROR(INDEX('WHO GHO Data'!$X$8:$X$201,MATCH('HCW, Staff, Beds Summary'!$C223,'WHO GHO Data'!$C$8:$C$201,0)),INDEX('WHO GHO Data'!$AF$8:$AF$12,MATCH('HCW, Staff, Beds Summary'!$E223,'WHO GHO Data'!$AD$8:$AD$12,0))*$G223/1000),"")</f>
        <v/>
      </c>
      <c r="K223" s="1310">
        <f>IF(INDEX('WB Beds'!$BN$827:$BN$1090,MATCH($C223,'WB Beds'!$C$827:$C$1090,0))="No reported value",INDEX('WB Beds'!$BR$829:$BR$833,MATCH($E223,'WB Beds'!$BP$829:$BP$833,0)),INDEX('WB Beds'!$BN$827:$BN$1090,MATCH($C223,'WB Beds'!$C$827:$C$1090)))</f>
        <v>4.5751541174817412</v>
      </c>
      <c r="L223" s="1311">
        <f>INDEX('WB Beds'!$BR$836:$BR$840,MATCH($E223,'WB Beds'!$BP$836:$BP$840,0))*100</f>
        <v>2.7250000000000001</v>
      </c>
      <c r="N223" s="1264">
        <f t="shared" si="7"/>
        <v>191493.07558719828</v>
      </c>
    </row>
    <row r="224" spans="2:14" x14ac:dyDescent="0.35">
      <c r="B224" s="41" t="s">
        <v>211</v>
      </c>
      <c r="C224" s="41" t="s">
        <v>175</v>
      </c>
      <c r="D224" s="129" t="s">
        <v>1042</v>
      </c>
      <c r="E224" s="129" t="s">
        <v>454</v>
      </c>
      <c r="F224" s="129" t="str">
        <f t="shared" si="6"/>
        <v>LMIC</v>
      </c>
      <c r="G224" s="28">
        <f>INDEX('UNDP Population Data'!$E$6:$E$269,MATCH($B224,'UNDP Population Data'!$B$6:$B$269,0))</f>
        <v>218011</v>
      </c>
      <c r="H224" s="28">
        <f>IFERROR(IFERROR(INDEX('WHO GHO Data'!$V$8:$V$201,MATCH('HCW, Staff, Beds Summary'!$C224,'WHO GHO Data'!$C$8:$C$201,0)),INDEX('WHO GHO Data'!$AF$8:$AF$12,MATCH('HCW, Staff, Beds Summary'!$E224,'WHO GHO Data'!$AD$8:$AD$12,0))*$G224/1000),"")</f>
        <v>11.741431252877922</v>
      </c>
      <c r="I224" s="28">
        <f>IFERROR(IFERROR(INDEX('WHO GHO Data'!$U$8:$U$201,MATCH('HCW, Staff, Beds Summary'!$C224,'WHO GHO Data'!$C$8:$C$201,0)),INDEX('WHO GHO Data'!$AE$8:$AE$12,MATCH('HCW, Staff, Beds Summary'!$E224,'WHO GHO Data'!$AD$8:$AD$12,0))*$G224/1000),"")</f>
        <v>424.04466460050168</v>
      </c>
      <c r="J224" s="28">
        <f>IFERROR(IFERROR(INDEX('WHO GHO Data'!$X$8:$X$201,MATCH('HCW, Staff, Beds Summary'!$C224,'WHO GHO Data'!$C$8:$C$201,0)),INDEX('WHO GHO Data'!$AF$8:$AF$12,MATCH('HCW, Staff, Beds Summary'!$E224,'WHO GHO Data'!$AD$8:$AD$12,0))*$G224/1000),"")</f>
        <v>62.307056316549179</v>
      </c>
      <c r="K224" s="1310">
        <f>IF(INDEX('WB Beds'!$BN$827:$BN$1090,MATCH($C224,'WB Beds'!$C$827:$C$1090,0))="No reported value",INDEX('WB Beds'!$BR$829:$BR$833,MATCH($E224,'WB Beds'!$BP$829:$BP$833,0)),INDEX('WB Beds'!$BN$827:$BN$1090,MATCH($C224,'WB Beds'!$C$827:$C$1090)))</f>
        <v>2.9</v>
      </c>
      <c r="L224" s="1311">
        <f>INDEX('WB Beds'!$BR$836:$BR$840,MATCH($E224,'WB Beds'!$BP$836:$BP$840,0))*100</f>
        <v>2.3800000000000003</v>
      </c>
      <c r="N224" s="1264">
        <f t="shared" si="7"/>
        <v>632.2319</v>
      </c>
    </row>
    <row r="225" spans="2:14" x14ac:dyDescent="0.35">
      <c r="B225" s="41" t="s">
        <v>229</v>
      </c>
      <c r="C225" s="41" t="s">
        <v>170</v>
      </c>
      <c r="D225" s="129" t="s">
        <v>1044</v>
      </c>
      <c r="E225" s="129" t="s">
        <v>557</v>
      </c>
      <c r="F225" s="129" t="str">
        <f t="shared" si="6"/>
        <v>LMIC</v>
      </c>
      <c r="G225" s="28">
        <f>INDEX('UNDP Population Data'!$E$6:$E$269,MATCH($B225,'UNDP Population Data'!$B$6:$B$269,0))</f>
        <v>577752</v>
      </c>
      <c r="H225" s="28">
        <f>IFERROR(IFERROR(INDEX('WHO GHO Data'!$V$8:$V$201,MATCH('HCW, Staff, Beds Summary'!$C225,'WHO GHO Data'!$C$8:$C$201,0)),INDEX('WHO GHO Data'!$AF$8:$AF$12,MATCH('HCW, Staff, Beds Summary'!$E225,'WHO GHO Data'!$AD$8:$AD$12,0))*$G225/1000),"")</f>
        <v>709.20857889040951</v>
      </c>
      <c r="I225" s="28">
        <f>IFERROR(IFERROR(INDEX('WHO GHO Data'!$U$8:$U$201,MATCH('HCW, Staff, Beds Summary'!$C225,'WHO GHO Data'!$C$8:$C$201,0)),INDEX('WHO GHO Data'!$AE$8:$AE$12,MATCH('HCW, Staff, Beds Summary'!$E225,'WHO GHO Data'!$AD$8:$AD$12,0))*$G225/1000),"")</f>
        <v>1615.8152414318081</v>
      </c>
      <c r="J225" s="28">
        <f>IFERROR(IFERROR(INDEX('WHO GHO Data'!$X$8:$X$201,MATCH('HCW, Staff, Beds Summary'!$C225,'WHO GHO Data'!$C$8:$C$201,0)),INDEX('WHO GHO Data'!$AF$8:$AF$12,MATCH('HCW, Staff, Beds Summary'!$E225,'WHO GHO Data'!$AD$8:$AD$12,0))*$G225/1000),"")</f>
        <v>123.03588737659597</v>
      </c>
      <c r="K225" s="1310">
        <f>IF(INDEX('WB Beds'!$BN$827:$BN$1090,MATCH($C225,'WB Beds'!$C$827:$C$1090,0))="No reported value",INDEX('WB Beds'!$BR$829:$BR$833,MATCH($E225,'WB Beds'!$BP$829:$BP$833,0)),INDEX('WB Beds'!$BN$827:$BN$1090,MATCH($C225,'WB Beds'!$C$827:$C$1090)))</f>
        <v>3.1</v>
      </c>
      <c r="L225" s="1311">
        <f>INDEX('WB Beds'!$BR$836:$BR$840,MATCH($E225,'WB Beds'!$BP$836:$BP$840,0))*100</f>
        <v>3.32</v>
      </c>
      <c r="N225" s="1264">
        <f t="shared" si="7"/>
        <v>1791.0311999999999</v>
      </c>
    </row>
    <row r="226" spans="2:14" x14ac:dyDescent="0.35">
      <c r="B226" s="41" t="s">
        <v>518</v>
      </c>
      <c r="C226" s="41" t="s">
        <v>519</v>
      </c>
      <c r="D226" s="129" t="s">
        <v>1043</v>
      </c>
      <c r="E226" s="129" t="s">
        <v>410</v>
      </c>
      <c r="F226" s="129" t="str">
        <f t="shared" si="6"/>
        <v>Not LMIC</v>
      </c>
      <c r="G226" s="28">
        <f>INDEX('UNDP Population Data'!$E$6:$E$269,MATCH($B226,'UNDP Population Data'!$B$6:$B$269,0))</f>
        <v>5451400</v>
      </c>
      <c r="H226" s="28">
        <f>IFERROR(IFERROR(INDEX('WHO GHO Data'!$V$8:$V$201,MATCH('HCW, Staff, Beds Summary'!$C226,'WHO GHO Data'!$C$8:$C$201,0)),INDEX('WHO GHO Data'!$AF$8:$AF$12,MATCH('HCW, Staff, Beds Summary'!$E226,'WHO GHO Data'!$AD$8:$AD$12,0))*$G226/1000),"")</f>
        <v>18632.788631551142</v>
      </c>
      <c r="I226" s="28">
        <f>IFERROR(IFERROR(INDEX('WHO GHO Data'!$U$8:$U$201,MATCH('HCW, Staff, Beds Summary'!$C226,'WHO GHO Data'!$C$8:$C$201,0)),INDEX('WHO GHO Data'!$AE$8:$AE$12,MATCH('HCW, Staff, Beds Summary'!$E226,'WHO GHO Data'!$AD$8:$AD$12,0))*$G226/1000),"")</f>
        <v>31238.399503333567</v>
      </c>
      <c r="J226" s="28">
        <f>IFERROR(IFERROR(INDEX('WHO GHO Data'!$X$8:$X$201,MATCH('HCW, Staff, Beds Summary'!$C226,'WHO GHO Data'!$C$8:$C$201,0)),INDEX('WHO GHO Data'!$AF$8:$AF$12,MATCH('HCW, Staff, Beds Summary'!$E226,'WHO GHO Data'!$AD$8:$AD$12,0))*$G226/1000),"")</f>
        <v>3153.9902245097664</v>
      </c>
      <c r="K226" s="1310">
        <f>IF(INDEX('WB Beds'!$BN$827:$BN$1090,MATCH($C226,'WB Beds'!$C$827:$C$1090,0))="No reported value",INDEX('WB Beds'!$BR$829:$BR$833,MATCH($E226,'WB Beds'!$BP$829:$BP$833,0)),INDEX('WB Beds'!$BN$827:$BN$1090,MATCH($C226,'WB Beds'!$C$827:$C$1090)))</f>
        <v>5.8</v>
      </c>
      <c r="L226" s="1311">
        <f>INDEX('WB Beds'!$BR$836:$BR$840,MATCH($E226,'WB Beds'!$BP$836:$BP$840,0))*100</f>
        <v>3.5700000000000003</v>
      </c>
      <c r="N226" s="1264">
        <f t="shared" si="7"/>
        <v>31618.12</v>
      </c>
    </row>
    <row r="227" spans="2:14" x14ac:dyDescent="0.35">
      <c r="B227" s="41" t="s">
        <v>520</v>
      </c>
      <c r="C227" s="41" t="s">
        <v>132</v>
      </c>
      <c r="D227" s="129" t="s">
        <v>1043</v>
      </c>
      <c r="E227" s="129" t="s">
        <v>410</v>
      </c>
      <c r="F227" s="129" t="str">
        <f t="shared" si="6"/>
        <v>Not LMIC</v>
      </c>
      <c r="G227" s="28">
        <f>INDEX('UNDP Population Data'!$E$6:$E$269,MATCH($B227,'UNDP Population Data'!$B$6:$B$269,0))</f>
        <v>2082054.9999999998</v>
      </c>
      <c r="H227" s="28">
        <f>IFERROR(IFERROR(INDEX('WHO GHO Data'!$V$8:$V$201,MATCH('HCW, Staff, Beds Summary'!$C227,'WHO GHO Data'!$C$8:$C$201,0)),INDEX('WHO GHO Data'!$AF$8:$AF$12,MATCH('HCW, Staff, Beds Summary'!$E227,'WHO GHO Data'!$AD$8:$AD$12,0))*$G227/1000),"")</f>
        <v>6421.4570959985149</v>
      </c>
      <c r="I227" s="28">
        <f>IFERROR(IFERROR(INDEX('WHO GHO Data'!$U$8:$U$201,MATCH('HCW, Staff, Beds Summary'!$C227,'WHO GHO Data'!$C$8:$C$201,0)),INDEX('WHO GHO Data'!$AE$8:$AE$12,MATCH('HCW, Staff, Beds Summary'!$E227,'WHO GHO Data'!$AD$8:$AD$12,0))*$G227/1000),"")</f>
        <v>20548.061447167533</v>
      </c>
      <c r="J227" s="28">
        <f>IFERROR(IFERROR(INDEX('WHO GHO Data'!$X$8:$X$201,MATCH('HCW, Staff, Beds Summary'!$C227,'WHO GHO Data'!$C$8:$C$201,0)),INDEX('WHO GHO Data'!$AF$8:$AF$12,MATCH('HCW, Staff, Beds Summary'!$E227,'WHO GHO Data'!$AD$8:$AD$12,0))*$G227/1000),"")</f>
        <v>1110.6296711807956</v>
      </c>
      <c r="K227" s="1310">
        <f>IF(INDEX('WB Beds'!$BN$827:$BN$1090,MATCH($C227,'WB Beds'!$C$827:$C$1090,0))="No reported value",INDEX('WB Beds'!$BR$829:$BR$833,MATCH($E227,'WB Beds'!$BP$829:$BP$833,0)),INDEX('WB Beds'!$BN$827:$BN$1090,MATCH($C227,'WB Beds'!$C$827:$C$1090)))</f>
        <v>4.5999999999999996</v>
      </c>
      <c r="L227" s="1311">
        <f>INDEX('WB Beds'!$BR$836:$BR$840,MATCH($E227,'WB Beds'!$BP$836:$BP$840,0))*100</f>
        <v>3.5700000000000003</v>
      </c>
      <c r="N227" s="1264">
        <f t="shared" si="7"/>
        <v>9577.4529999999977</v>
      </c>
    </row>
    <row r="228" spans="2:14" x14ac:dyDescent="0.35">
      <c r="B228" s="41" t="s">
        <v>543</v>
      </c>
      <c r="C228" s="41" t="s">
        <v>133</v>
      </c>
      <c r="D228" s="129" t="s">
        <v>1043</v>
      </c>
      <c r="E228" s="129" t="s">
        <v>410</v>
      </c>
      <c r="F228" s="129" t="str">
        <f t="shared" si="6"/>
        <v>Not LMIC</v>
      </c>
      <c r="G228" s="28">
        <f>INDEX('UNDP Population Data'!$E$6:$E$269,MATCH($B228,'UNDP Population Data'!$B$6:$B$269,0))</f>
        <v>10121686</v>
      </c>
      <c r="H228" s="28">
        <f>IFERROR(IFERROR(INDEX('WHO GHO Data'!$V$8:$V$201,MATCH('HCW, Staff, Beds Summary'!$C228,'WHO GHO Data'!$C$8:$C$201,0)),INDEX('WHO GHO Data'!$AF$8:$AF$12,MATCH('HCW, Staff, Beds Summary'!$E228,'WHO GHO Data'!$AD$8:$AD$12,0))*$G228/1000),"")</f>
        <v>40332.725221413195</v>
      </c>
      <c r="I228" s="28">
        <f>IFERROR(IFERROR(INDEX('WHO GHO Data'!$U$8:$U$201,MATCH('HCW, Staff, Beds Summary'!$C228,'WHO GHO Data'!$C$8:$C$201,0)),INDEX('WHO GHO Data'!$AE$8:$AE$12,MATCH('HCW, Staff, Beds Summary'!$E228,'WHO GHO Data'!$AD$8:$AD$12,0))*$G228/1000),"")</f>
        <v>111854.64131934376</v>
      </c>
      <c r="J228" s="28">
        <f>IFERROR(IFERROR(INDEX('WHO GHO Data'!$X$8:$X$201,MATCH('HCW, Staff, Beds Summary'!$C228,'WHO GHO Data'!$C$8:$C$201,0)),INDEX('WHO GHO Data'!$AF$8:$AF$12,MATCH('HCW, Staff, Beds Summary'!$E228,'WHO GHO Data'!$AD$8:$AD$12,0))*$G228/1000),"")</f>
        <v>5399.2064541884165</v>
      </c>
      <c r="K228" s="1310">
        <f>IF(INDEX('WB Beds'!$BN$827:$BN$1090,MATCH($C228,'WB Beds'!$C$827:$C$1090,0))="No reported value",INDEX('WB Beds'!$BR$829:$BR$833,MATCH($E228,'WB Beds'!$BP$829:$BP$833,0)),INDEX('WB Beds'!$BN$827:$BN$1090,MATCH($C228,'WB Beds'!$C$827:$C$1090)))</f>
        <v>2.6</v>
      </c>
      <c r="L228" s="1311">
        <f>INDEX('WB Beds'!$BR$836:$BR$840,MATCH($E228,'WB Beds'!$BP$836:$BP$840,0))*100</f>
        <v>3.5700000000000003</v>
      </c>
      <c r="N228" s="1264">
        <f t="shared" si="7"/>
        <v>26316.383600000001</v>
      </c>
    </row>
    <row r="229" spans="2:14" x14ac:dyDescent="0.35">
      <c r="B229" s="41" t="s">
        <v>379</v>
      </c>
      <c r="C229" s="41" t="s">
        <v>134</v>
      </c>
      <c r="D229" s="129" t="s">
        <v>1042</v>
      </c>
      <c r="E229" s="129" t="s">
        <v>454</v>
      </c>
      <c r="F229" s="129" t="str">
        <f t="shared" si="6"/>
        <v>LMIC</v>
      </c>
      <c r="G229" s="28">
        <f>INDEX('UNDP Population Data'!$E$6:$E$269,MATCH($B229,'UNDP Population Data'!$B$6:$B$269,0))</f>
        <v>1439295</v>
      </c>
      <c r="H229" s="28">
        <f>IFERROR(IFERROR(INDEX('WHO GHO Data'!$V$8:$V$201,MATCH('HCW, Staff, Beds Summary'!$C229,'WHO GHO Data'!$C$8:$C$201,0)),INDEX('WHO GHO Data'!$AF$8:$AF$12,MATCH('HCW, Staff, Beds Summary'!$E229,'WHO GHO Data'!$AD$8:$AD$12,0))*$G229/1000),"")</f>
        <v>392.46614982357664</v>
      </c>
      <c r="I229" s="28">
        <f>IFERROR(IFERROR(INDEX('WHO GHO Data'!$U$8:$U$201,MATCH('HCW, Staff, Beds Summary'!$C229,'WHO GHO Data'!$C$8:$C$201,0)),INDEX('WHO GHO Data'!$AE$8:$AE$12,MATCH('HCW, Staff, Beds Summary'!$E229,'WHO GHO Data'!$AD$8:$AD$12,0))*$G229/1000),"")</f>
        <v>4873.1803299244357</v>
      </c>
      <c r="J229" s="28">
        <f>IFERROR(IFERROR(INDEX('WHO GHO Data'!$X$8:$X$201,MATCH('HCW, Staff, Beds Summary'!$C229,'WHO GHO Data'!$C$8:$C$201,0)),INDEX('WHO GHO Data'!$AF$8:$AF$12,MATCH('HCW, Staff, Beds Summary'!$E229,'WHO GHO Data'!$AD$8:$AD$12,0))*$G229/1000),"")</f>
        <v>47.974049118187651</v>
      </c>
      <c r="K229" s="1310">
        <f>IF(INDEX('WB Beds'!$BN$827:$BN$1090,MATCH($C229,'WB Beds'!$C$827:$C$1090,0))="No reported value",INDEX('WB Beds'!$BR$829:$BR$833,MATCH($E229,'WB Beds'!$BP$829:$BP$833,0)),INDEX('WB Beds'!$BN$827:$BN$1090,MATCH($C229,'WB Beds'!$C$827:$C$1090)))</f>
        <v>2.1</v>
      </c>
      <c r="L229" s="1311">
        <f>INDEX('WB Beds'!$BR$836:$BR$840,MATCH($E229,'WB Beds'!$BP$836:$BP$840,0))*100</f>
        <v>2.3800000000000003</v>
      </c>
      <c r="N229" s="1264">
        <f t="shared" si="7"/>
        <v>3022.5194999999999</v>
      </c>
    </row>
    <row r="230" spans="2:14" x14ac:dyDescent="0.35">
      <c r="B230" s="41" t="s">
        <v>516</v>
      </c>
      <c r="C230" s="41" t="s">
        <v>517</v>
      </c>
      <c r="D230" s="129" t="s">
        <v>1089</v>
      </c>
      <c r="E230" s="129" t="s">
        <v>410</v>
      </c>
      <c r="F230" s="129" t="str">
        <f t="shared" si="6"/>
        <v>Not LMIC</v>
      </c>
      <c r="G230" s="28">
        <f>INDEX('UNDP Population Data'!$E$6:$E$269,MATCH($B230,'UNDP Population Data'!$B$6:$B$269,0))</f>
        <v>41364</v>
      </c>
      <c r="H230" s="28">
        <f>IFERROR(IFERROR(INDEX('WHO GHO Data'!$V$8:$V$201,MATCH('HCW, Staff, Beds Summary'!$C230,'WHO GHO Data'!$C$8:$C$201,0)),INDEX('WHO GHO Data'!$AF$8:$AF$12,MATCH('HCW, Staff, Beds Summary'!$E230,'WHO GHO Data'!$AD$8:$AD$12,0))*$G230/1000),"")</f>
        <v>138.13310981547977</v>
      </c>
      <c r="I230" s="28">
        <f>IFERROR(IFERROR(INDEX('WHO GHO Data'!$U$8:$U$201,MATCH('HCW, Staff, Beds Summary'!$C230,'WHO GHO Data'!$C$8:$C$201,0)),INDEX('WHO GHO Data'!$AE$8:$AE$12,MATCH('HCW, Staff, Beds Summary'!$E230,'WHO GHO Data'!$AD$8:$AD$12,0))*$G230/1000),"")</f>
        <v>349.60574047468822</v>
      </c>
      <c r="J230" s="28">
        <f>IFERROR(IFERROR(INDEX('WHO GHO Data'!$X$8:$X$201,MATCH('HCW, Staff, Beds Summary'!$C230,'WHO GHO Data'!$C$8:$C$201,0)),INDEX('WHO GHO Data'!$AF$8:$AF$12,MATCH('HCW, Staff, Beds Summary'!$E230,'WHO GHO Data'!$AD$8:$AD$12,0))*$G230/1000),"")</f>
        <v>138.13310981547977</v>
      </c>
      <c r="K230" s="1310">
        <f>IF(INDEX('WB Beds'!$BN$827:$BN$1090,MATCH($C230,'WB Beds'!$C$827:$C$1090,0))="No reported value",INDEX('WB Beds'!$BR$829:$BR$833,MATCH($E230,'WB Beds'!$BP$829:$BP$833,0)),INDEX('WB Beds'!$BN$827:$BN$1090,MATCH($C230,'WB Beds'!$C$827:$C$1090)))</f>
        <v>4.82</v>
      </c>
      <c r="L230" s="1311">
        <f>INDEX('WB Beds'!$BR$836:$BR$840,MATCH($E230,'WB Beds'!$BP$836:$BP$840,0))*100</f>
        <v>3.5700000000000003</v>
      </c>
      <c r="N230" s="1264">
        <f t="shared" si="7"/>
        <v>199.37448000000001</v>
      </c>
    </row>
    <row r="231" spans="2:14" x14ac:dyDescent="0.35">
      <c r="B231" s="41" t="s">
        <v>213</v>
      </c>
      <c r="C231" s="41" t="s">
        <v>135</v>
      </c>
      <c r="D231" s="129" t="s">
        <v>1042</v>
      </c>
      <c r="E231" s="129" t="s">
        <v>410</v>
      </c>
      <c r="F231" s="129" t="str">
        <f t="shared" si="6"/>
        <v>Not LMIC</v>
      </c>
      <c r="G231" s="28">
        <f>INDEX('UNDP Population Data'!$E$6:$E$269,MATCH($B231,'UNDP Population Data'!$B$6:$B$269,0))</f>
        <v>96112</v>
      </c>
      <c r="H231" s="28">
        <f>IFERROR(IFERROR(INDEX('WHO GHO Data'!$V$8:$V$201,MATCH('HCW, Staff, Beds Summary'!$C231,'WHO GHO Data'!$C$8:$C$201,0)),INDEX('WHO GHO Data'!$AF$8:$AF$12,MATCH('HCW, Staff, Beds Summary'!$E231,'WHO GHO Data'!$AD$8:$AD$12,0))*$G231/1000),"")</f>
        <v>207.09554549789249</v>
      </c>
      <c r="I231" s="28">
        <f>IFERROR(IFERROR(INDEX('WHO GHO Data'!$U$8:$U$201,MATCH('HCW, Staff, Beds Summary'!$C231,'WHO GHO Data'!$C$8:$C$201,0)),INDEX('WHO GHO Data'!$AE$8:$AE$12,MATCH('HCW, Staff, Beds Summary'!$E231,'WHO GHO Data'!$AD$8:$AD$12,0))*$G231/1000),"")</f>
        <v>697.79976906679053</v>
      </c>
      <c r="J231" s="28">
        <f>IFERROR(IFERROR(INDEX('WHO GHO Data'!$X$8:$X$201,MATCH('HCW, Staff, Beds Summary'!$C231,'WHO GHO Data'!$C$8:$C$201,0)),INDEX('WHO GHO Data'!$AF$8:$AF$12,MATCH('HCW, Staff, Beds Summary'!$E231,'WHO GHO Data'!$AD$8:$AD$12,0))*$G231/1000),"")</f>
        <v>49.826078779316454</v>
      </c>
      <c r="K231" s="1310">
        <f>IF(INDEX('WB Beds'!$BN$827:$BN$1090,MATCH($C231,'WB Beds'!$C$827:$C$1090,0))="No reported value",INDEX('WB Beds'!$BR$829:$BR$833,MATCH($E231,'WB Beds'!$BP$829:$BP$833,0)),INDEX('WB Beds'!$BN$827:$BN$1090,MATCH($C231,'WB Beds'!$C$827:$C$1090)))</f>
        <v>3.6</v>
      </c>
      <c r="L231" s="1311">
        <f>INDEX('WB Beds'!$BR$836:$BR$840,MATCH($E231,'WB Beds'!$BP$836:$BP$840,0))*100</f>
        <v>3.5700000000000003</v>
      </c>
      <c r="N231" s="1264">
        <f t="shared" si="7"/>
        <v>346.00319999999999</v>
      </c>
    </row>
    <row r="232" spans="2:14" x14ac:dyDescent="0.35">
      <c r="B232" s="41" t="s">
        <v>545</v>
      </c>
      <c r="C232" s="41" t="s">
        <v>136</v>
      </c>
      <c r="D232" s="129" t="s">
        <v>1041</v>
      </c>
      <c r="E232" s="129" t="s">
        <v>452</v>
      </c>
      <c r="F232" s="129" t="str">
        <f t="shared" si="6"/>
        <v>LMIC</v>
      </c>
      <c r="G232" s="28">
        <f>INDEX('UNDP Population Data'!$E$6:$E$269,MATCH($B232,'UNDP Population Data'!$B$6:$B$269,0))</f>
        <v>18924442</v>
      </c>
      <c r="H232" s="28">
        <f>IFERROR(IFERROR(INDEX('WHO GHO Data'!$V$8:$V$201,MATCH('HCW, Staff, Beds Summary'!$C232,'WHO GHO Data'!$C$8:$C$201,0)),INDEX('WHO GHO Data'!$AF$8:$AF$12,MATCH('HCW, Staff, Beds Summary'!$E232,'WHO GHO Data'!$AD$8:$AD$12,0))*$G232/1000),"")</f>
        <v>22666.717990708483</v>
      </c>
      <c r="I232" s="28">
        <f>IFERROR(IFERROR(INDEX('WHO GHO Data'!$U$8:$U$201,MATCH('HCW, Staff, Beds Summary'!$C232,'WHO GHO Data'!$C$8:$C$201,0)),INDEX('WHO GHO Data'!$AE$8:$AE$12,MATCH('HCW, Staff, Beds Summary'!$E232,'WHO GHO Data'!$AD$8:$AD$12,0))*$G232/1000),"")</f>
        <v>27125.463539870307</v>
      </c>
      <c r="J232" s="28">
        <f>IFERROR(IFERROR(INDEX('WHO GHO Data'!$X$8:$X$201,MATCH('HCW, Staff, Beds Summary'!$C232,'WHO GHO Data'!$C$8:$C$201,0)),INDEX('WHO GHO Data'!$AF$8:$AF$12,MATCH('HCW, Staff, Beds Summary'!$E232,'WHO GHO Data'!$AD$8:$AD$12,0))*$G232/1000),"")</f>
        <v>1795.8574825913363</v>
      </c>
      <c r="K232" s="1310">
        <f>IF(INDEX('WB Beds'!$BN$827:$BN$1090,MATCH($C232,'WB Beds'!$C$827:$C$1090,0))="No reported value",INDEX('WB Beds'!$BR$829:$BR$833,MATCH($E232,'WB Beds'!$BP$829:$BP$833,0)),INDEX('WB Beds'!$BN$827:$BN$1090,MATCH($C232,'WB Beds'!$C$827:$C$1090)))</f>
        <v>1.5</v>
      </c>
      <c r="L232" s="1311">
        <f>INDEX('WB Beds'!$BR$836:$BR$840,MATCH($E232,'WB Beds'!$BP$836:$BP$840,0))*100</f>
        <v>1.63</v>
      </c>
      <c r="N232" s="1264">
        <f t="shared" si="7"/>
        <v>28386.663</v>
      </c>
    </row>
    <row r="233" spans="2:14" x14ac:dyDescent="0.35">
      <c r="B233" s="41" t="s">
        <v>552</v>
      </c>
      <c r="C233" s="41" t="s">
        <v>553</v>
      </c>
      <c r="D233" s="129" t="s">
        <v>1089</v>
      </c>
      <c r="E233" s="129" t="s">
        <v>410</v>
      </c>
      <c r="F233" s="129" t="str">
        <f t="shared" si="6"/>
        <v>Not LMIC</v>
      </c>
      <c r="G233" s="28">
        <f>INDEX('UNDP Population Data'!$E$6:$E$269,MATCH($B233,'UNDP Population Data'!$B$6:$B$269,0))</f>
        <v>36953</v>
      </c>
      <c r="H233" s="28">
        <f>IFERROR(IFERROR(INDEX('WHO GHO Data'!$V$8:$V$201,MATCH('HCW, Staff, Beds Summary'!$C233,'WHO GHO Data'!$C$8:$C$201,0)),INDEX('WHO GHO Data'!$AF$8:$AF$12,MATCH('HCW, Staff, Beds Summary'!$E233,'WHO GHO Data'!$AD$8:$AD$12,0))*$G233/1000),"")</f>
        <v>123.40278519996674</v>
      </c>
      <c r="I233" s="28">
        <f>IFERROR(IFERROR(INDEX('WHO GHO Data'!$U$8:$U$201,MATCH('HCW, Staff, Beds Summary'!$C233,'WHO GHO Data'!$C$8:$C$201,0)),INDEX('WHO GHO Data'!$AE$8:$AE$12,MATCH('HCW, Staff, Beds Summary'!$E233,'WHO GHO Data'!$AD$8:$AD$12,0))*$G233/1000),"")</f>
        <v>312.32426573254889</v>
      </c>
      <c r="J233" s="28">
        <f>IFERROR(IFERROR(INDEX('WHO GHO Data'!$X$8:$X$201,MATCH('HCW, Staff, Beds Summary'!$C233,'WHO GHO Data'!$C$8:$C$201,0)),INDEX('WHO GHO Data'!$AF$8:$AF$12,MATCH('HCW, Staff, Beds Summary'!$E233,'WHO GHO Data'!$AD$8:$AD$12,0))*$G233/1000),"")</f>
        <v>123.40278519996674</v>
      </c>
      <c r="K233" s="1310">
        <f>IF(INDEX('WB Beds'!$BN$827:$BN$1090,MATCH($C233,'WB Beds'!$C$827:$C$1090,0))="No reported value",INDEX('WB Beds'!$BR$829:$BR$833,MATCH($E233,'WB Beds'!$BP$829:$BP$833,0)),INDEX('WB Beds'!$BN$827:$BN$1090,MATCH($C233,'WB Beds'!$C$827:$C$1090)))</f>
        <v>4.82</v>
      </c>
      <c r="L233" s="1311">
        <f>INDEX('WB Beds'!$BR$836:$BR$840,MATCH($E233,'WB Beds'!$BP$836:$BP$840,0))*100</f>
        <v>3.5700000000000003</v>
      </c>
      <c r="N233" s="1264">
        <f t="shared" si="7"/>
        <v>178.11346000000003</v>
      </c>
    </row>
    <row r="234" spans="2:14" x14ac:dyDescent="0.35">
      <c r="B234" s="41" t="s">
        <v>189</v>
      </c>
      <c r="C234" s="41" t="s">
        <v>169</v>
      </c>
      <c r="D234" s="129" t="s">
        <v>1042</v>
      </c>
      <c r="E234" s="129" t="s">
        <v>452</v>
      </c>
      <c r="F234" s="129" t="str">
        <f t="shared" si="6"/>
        <v>LMIC</v>
      </c>
      <c r="G234" s="28">
        <f>INDEX('UNDP Population Data'!$E$6:$E$269,MATCH($B234,'UNDP Population Data'!$B$6:$B$269,0))</f>
        <v>16285093</v>
      </c>
      <c r="H234" s="28">
        <f>IFERROR(IFERROR(INDEX('WHO GHO Data'!$V$8:$V$201,MATCH('HCW, Staff, Beds Summary'!$C234,'WHO GHO Data'!$C$8:$C$201,0)),INDEX('WHO GHO Data'!$AF$8:$AF$12,MATCH('HCW, Staff, Beds Summary'!$E234,'WHO GHO Data'!$AD$8:$AD$12,0))*$G234/1000),"")</f>
        <v>712.530027707317</v>
      </c>
      <c r="I234" s="28">
        <f>IFERROR(IFERROR(INDEX('WHO GHO Data'!$U$8:$U$201,MATCH('HCW, Staff, Beds Summary'!$C234,'WHO GHO Data'!$C$8:$C$201,0)),INDEX('WHO GHO Data'!$AE$8:$AE$12,MATCH('HCW, Staff, Beds Summary'!$E234,'WHO GHO Data'!$AD$8:$AD$12,0))*$G234/1000),"")</f>
        <v>3816.5778903462583</v>
      </c>
      <c r="J234" s="28">
        <f>IFERROR(IFERROR(INDEX('WHO GHO Data'!$X$8:$X$201,MATCH('HCW, Staff, Beds Summary'!$C234,'WHO GHO Data'!$C$8:$C$201,0)),INDEX('WHO GHO Data'!$AF$8:$AF$12,MATCH('HCW, Staff, Beds Summary'!$E234,'WHO GHO Data'!$AD$8:$AD$12,0))*$G234/1000),"")</f>
        <v>495.3434229100526</v>
      </c>
      <c r="K234" s="1310">
        <f>IF(INDEX('WB Beds'!$BN$827:$BN$1090,MATCH($C234,'WB Beds'!$C$827:$C$1090,0))="No reported value",INDEX('WB Beds'!$BR$829:$BR$833,MATCH($E234,'WB Beds'!$BP$829:$BP$833,0)),INDEX('WB Beds'!$BN$827:$BN$1090,MATCH($C234,'WB Beds'!$C$827:$C$1090)))</f>
        <v>0.4</v>
      </c>
      <c r="L234" s="1311">
        <f>INDEX('WB Beds'!$BR$836:$BR$840,MATCH($E234,'WB Beds'!$BP$836:$BP$840,0))*100</f>
        <v>1.63</v>
      </c>
      <c r="N234" s="1264">
        <f t="shared" si="7"/>
        <v>6514.0371999999998</v>
      </c>
    </row>
    <row r="235" spans="2:14" x14ac:dyDescent="0.35">
      <c r="B235" s="41" t="s">
        <v>374</v>
      </c>
      <c r="C235" s="41" t="s">
        <v>375</v>
      </c>
      <c r="D235" s="129" t="s">
        <v>1089</v>
      </c>
      <c r="E235" s="129" t="s">
        <v>742</v>
      </c>
      <c r="F235" s="129" t="str">
        <f t="shared" si="6"/>
        <v>Not LMIC</v>
      </c>
      <c r="G235" s="28">
        <f>INDEX('UNDP Population Data'!$E$6:$E$269,MATCH($B235,'UNDP Population Data'!$B$6:$B$269,0))</f>
        <v>2078467000</v>
      </c>
      <c r="H235" s="28" t="str">
        <f>IFERROR(IFERROR(INDEX('WHO GHO Data'!$V$8:$V$201,MATCH('HCW, Staff, Beds Summary'!$C235,'WHO GHO Data'!$C$8:$C$201,0)),INDEX('WHO GHO Data'!$AF$8:$AF$12,MATCH('HCW, Staff, Beds Summary'!$E235,'WHO GHO Data'!$AD$8:$AD$12,0))*$G235/1000),"")</f>
        <v/>
      </c>
      <c r="I235" s="28" t="str">
        <f>IFERROR(IFERROR(INDEX('WHO GHO Data'!$U$8:$U$201,MATCH('HCW, Staff, Beds Summary'!$C235,'WHO GHO Data'!$C$8:$C$201,0)),INDEX('WHO GHO Data'!$AE$8:$AE$12,MATCH('HCW, Staff, Beds Summary'!$E235,'WHO GHO Data'!$AD$8:$AD$12,0))*$G235/1000),"")</f>
        <v/>
      </c>
      <c r="J235" s="28" t="str">
        <f>IFERROR(IFERROR(INDEX('WHO GHO Data'!$X$8:$X$201,MATCH('HCW, Staff, Beds Summary'!$C235,'WHO GHO Data'!$C$8:$C$201,0)),INDEX('WHO GHO Data'!$AF$8:$AF$12,MATCH('HCW, Staff, Beds Summary'!$E235,'WHO GHO Data'!$AD$8:$AD$12,0))*$G235/1000),"")</f>
        <v/>
      </c>
      <c r="K235" s="1310">
        <f>IF(INDEX('WB Beds'!$BN$827:$BN$1090,MATCH($C235,'WB Beds'!$C$827:$C$1090,0))="No reported value",INDEX('WB Beds'!$BR$829:$BR$833,MATCH($E235,'WB Beds'!$BP$829:$BP$833,0)),INDEX('WB Beds'!$BN$827:$BN$1090,MATCH($C235,'WB Beds'!$C$827:$C$1090)))</f>
        <v>3.514249049680596</v>
      </c>
      <c r="L235" s="1311">
        <f>INDEX('WB Beds'!$BR$836:$BR$840,MATCH($E235,'WB Beds'!$BP$836:$BP$840,0))*100</f>
        <v>2.7250000000000001</v>
      </c>
      <c r="N235" s="1264">
        <f t="shared" si="7"/>
        <v>7304250.6795424791</v>
      </c>
    </row>
    <row r="236" spans="2:14" x14ac:dyDescent="0.35">
      <c r="B236" s="41" t="s">
        <v>386</v>
      </c>
      <c r="C236" s="41" t="s">
        <v>387</v>
      </c>
      <c r="D236" s="129" t="s">
        <v>1089</v>
      </c>
      <c r="E236" s="129" t="s">
        <v>742</v>
      </c>
      <c r="F236" s="129" t="str">
        <f t="shared" si="6"/>
        <v>Not LMIC</v>
      </c>
      <c r="G236" s="28">
        <f>INDEX('UNDP Population Data'!$E$6:$E$269,MATCH($B236,'UNDP Population Data'!$B$6:$B$269,0))</f>
        <v>462615000</v>
      </c>
      <c r="H236" s="28" t="str">
        <f>IFERROR(IFERROR(INDEX('WHO GHO Data'!$V$8:$V$201,MATCH('HCW, Staff, Beds Summary'!$C236,'WHO GHO Data'!$C$8:$C$201,0)),INDEX('WHO GHO Data'!$AF$8:$AF$12,MATCH('HCW, Staff, Beds Summary'!$E236,'WHO GHO Data'!$AD$8:$AD$12,0))*$G236/1000),"")</f>
        <v/>
      </c>
      <c r="I236" s="28" t="str">
        <f>IFERROR(IFERROR(INDEX('WHO GHO Data'!$U$8:$U$201,MATCH('HCW, Staff, Beds Summary'!$C236,'WHO GHO Data'!$C$8:$C$201,0)),INDEX('WHO GHO Data'!$AE$8:$AE$12,MATCH('HCW, Staff, Beds Summary'!$E236,'WHO GHO Data'!$AD$8:$AD$12,0))*$G236/1000),"")</f>
        <v/>
      </c>
      <c r="J236" s="28" t="str">
        <f>IFERROR(IFERROR(INDEX('WHO GHO Data'!$X$8:$X$201,MATCH('HCW, Staff, Beds Summary'!$C236,'WHO GHO Data'!$C$8:$C$201,0)),INDEX('WHO GHO Data'!$AF$8:$AF$12,MATCH('HCW, Staff, Beds Summary'!$E236,'WHO GHO Data'!$AD$8:$AD$12,0))*$G236/1000),"")</f>
        <v/>
      </c>
      <c r="K236" s="1310">
        <f>IF(INDEX('WB Beds'!$BN$827:$BN$1090,MATCH($C236,'WB Beds'!$C$827:$C$1090,0))="No reported value",INDEX('WB Beds'!$BR$829:$BR$833,MATCH($E236,'WB Beds'!$BP$829:$BP$833,0)),INDEX('WB Beds'!$BN$827:$BN$1090,MATCH($C236,'WB Beds'!$C$827:$C$1090)))</f>
        <v>6.3619488752299436</v>
      </c>
      <c r="L236" s="1311">
        <f>INDEX('WB Beds'!$BR$836:$BR$840,MATCH($E236,'WB Beds'!$BP$836:$BP$840,0))*100</f>
        <v>2.7250000000000001</v>
      </c>
      <c r="N236" s="1264">
        <f t="shared" si="7"/>
        <v>2943132.9789145002</v>
      </c>
    </row>
    <row r="237" spans="2:14" x14ac:dyDescent="0.35">
      <c r="B237" s="41" t="s">
        <v>215</v>
      </c>
      <c r="C237" s="41" t="s">
        <v>137</v>
      </c>
      <c r="D237" s="129" t="s">
        <v>1042</v>
      </c>
      <c r="E237" s="129" t="s">
        <v>452</v>
      </c>
      <c r="F237" s="129" t="str">
        <f t="shared" si="6"/>
        <v>LMIC</v>
      </c>
      <c r="G237" s="28">
        <f>INDEX('UNDP Population Data'!$E$6:$E$269,MATCH($B237,'UNDP Population Data'!$B$6:$B$269,0))</f>
        <v>8384290.9999999991</v>
      </c>
      <c r="H237" s="28">
        <f>IFERROR(IFERROR(INDEX('WHO GHO Data'!$V$8:$V$201,MATCH('HCW, Staff, Beds Summary'!$C237,'WHO GHO Data'!$C$8:$C$201,0)),INDEX('WHO GHO Data'!$AF$8:$AF$12,MATCH('HCW, Staff, Beds Summary'!$E237,'WHO GHO Data'!$AD$8:$AD$12,0))*$G237/1000),"")</f>
        <v>641.71334878607797</v>
      </c>
      <c r="I237" s="28">
        <f>IFERROR(IFERROR(INDEX('WHO GHO Data'!$U$8:$U$201,MATCH('HCW, Staff, Beds Summary'!$C237,'WHO GHO Data'!$C$8:$C$201,0)),INDEX('WHO GHO Data'!$AE$8:$AE$12,MATCH('HCW, Staff, Beds Summary'!$E237,'WHO GHO Data'!$AD$8:$AD$12,0))*$G237/1000),"")</f>
        <v>2049.0715932596368</v>
      </c>
      <c r="J237" s="28">
        <f>IFERROR(IFERROR(INDEX('WHO GHO Data'!$X$8:$X$201,MATCH('HCW, Staff, Beds Summary'!$C237,'WHO GHO Data'!$C$8:$C$201,0)),INDEX('WHO GHO Data'!$AF$8:$AF$12,MATCH('HCW, Staff, Beds Summary'!$E237,'WHO GHO Data'!$AD$8:$AD$12,0))*$G237/1000),"")</f>
        <v>675.32190387798391</v>
      </c>
      <c r="K237" s="1310">
        <f>IF(INDEX('WB Beds'!$BN$827:$BN$1090,MATCH($C237,'WB Beds'!$C$827:$C$1090,0))="No reported value",INDEX('WB Beds'!$BR$829:$BR$833,MATCH($E237,'WB Beds'!$BP$829:$BP$833,0)),INDEX('WB Beds'!$BN$827:$BN$1090,MATCH($C237,'WB Beds'!$C$827:$C$1090)))</f>
        <v>0.7</v>
      </c>
      <c r="L237" s="1311">
        <f>INDEX('WB Beds'!$BR$836:$BR$840,MATCH($E237,'WB Beds'!$BP$836:$BP$840,0))*100</f>
        <v>1.63</v>
      </c>
      <c r="N237" s="1264">
        <f t="shared" si="7"/>
        <v>5869.0036999999993</v>
      </c>
    </row>
    <row r="238" spans="2:14" x14ac:dyDescent="0.35">
      <c r="B238" s="41" t="s">
        <v>547</v>
      </c>
      <c r="C238" s="41" t="s">
        <v>138</v>
      </c>
      <c r="D238" s="129" t="s">
        <v>1045</v>
      </c>
      <c r="E238" s="129" t="s">
        <v>557</v>
      </c>
      <c r="F238" s="129" t="str">
        <f t="shared" si="6"/>
        <v>LMIC</v>
      </c>
      <c r="G238" s="28">
        <f>INDEX('UNDP Population Data'!$E$6:$E$269,MATCH($B238,'UNDP Population Data'!$B$6:$B$269,0))</f>
        <v>69410868</v>
      </c>
      <c r="H238" s="28">
        <f>IFERROR(IFERROR(INDEX('WHO GHO Data'!$V$8:$V$201,MATCH('HCW, Staff, Beds Summary'!$C238,'WHO GHO Data'!$C$8:$C$201,0)),INDEX('WHO GHO Data'!$AF$8:$AF$12,MATCH('HCW, Staff, Beds Summary'!$E238,'WHO GHO Data'!$AD$8:$AD$12,0))*$G238/1000),"")</f>
        <v>56134.473355902417</v>
      </c>
      <c r="I238" s="28">
        <f>IFERROR(IFERROR(INDEX('WHO GHO Data'!$U$8:$U$201,MATCH('HCW, Staff, Beds Summary'!$C238,'WHO GHO Data'!$C$8:$C$201,0)),INDEX('WHO GHO Data'!$AE$8:$AE$12,MATCH('HCW, Staff, Beds Summary'!$E238,'WHO GHO Data'!$AD$8:$AD$12,0))*$G238/1000),"")</f>
        <v>192412.98502696378</v>
      </c>
      <c r="J238" s="28">
        <f>IFERROR(IFERROR(INDEX('WHO GHO Data'!$X$8:$X$201,MATCH('HCW, Staff, Beds Summary'!$C238,'WHO GHO Data'!$C$8:$C$201,0)),INDEX('WHO GHO Data'!$AF$8:$AF$12,MATCH('HCW, Staff, Beds Summary'!$E238,'WHO GHO Data'!$AD$8:$AD$12,0))*$G238/1000),"")</f>
        <v>2463.4102572473498</v>
      </c>
      <c r="K238" s="1310">
        <f>IF(INDEX('WB Beds'!$BN$827:$BN$1090,MATCH($C238,'WB Beds'!$C$827:$C$1090,0))="No reported value",INDEX('WB Beds'!$BR$829:$BR$833,MATCH($E238,'WB Beds'!$BP$829:$BP$833,0)),INDEX('WB Beds'!$BN$827:$BN$1090,MATCH($C238,'WB Beds'!$C$827:$C$1090)))</f>
        <v>2.1</v>
      </c>
      <c r="L238" s="1311">
        <f>INDEX('WB Beds'!$BR$836:$BR$840,MATCH($E238,'WB Beds'!$BP$836:$BP$840,0))*100</f>
        <v>3.32</v>
      </c>
      <c r="N238" s="1264">
        <f t="shared" si="7"/>
        <v>145762.82280000002</v>
      </c>
    </row>
    <row r="239" spans="2:14" x14ac:dyDescent="0.35">
      <c r="B239" s="41" t="s">
        <v>238</v>
      </c>
      <c r="C239" s="41" t="s">
        <v>163</v>
      </c>
      <c r="D239" s="129" t="s">
        <v>1043</v>
      </c>
      <c r="E239" s="129" t="s">
        <v>452</v>
      </c>
      <c r="F239" s="129" t="str">
        <f t="shared" si="6"/>
        <v>LMIC</v>
      </c>
      <c r="G239" s="28">
        <f>INDEX('UNDP Population Data'!$E$6:$E$269,MATCH($B239,'UNDP Population Data'!$B$6:$B$269,0))</f>
        <v>9475246</v>
      </c>
      <c r="H239" s="28">
        <f>IFERROR(IFERROR(INDEX('WHO GHO Data'!$V$8:$V$201,MATCH('HCW, Staff, Beds Summary'!$C239,'WHO GHO Data'!$C$8:$C$201,0)),INDEX('WHO GHO Data'!$AF$8:$AF$12,MATCH('HCW, Staff, Beds Summary'!$E239,'WHO GHO Data'!$AD$8:$AD$12,0))*$G239/1000),"")</f>
        <v>19632.745062660739</v>
      </c>
      <c r="I239" s="28">
        <f>IFERROR(IFERROR(INDEX('WHO GHO Data'!$U$8:$U$201,MATCH('HCW, Staff, Beds Summary'!$C239,'WHO GHO Data'!$C$8:$C$201,0)),INDEX('WHO GHO Data'!$AE$8:$AE$12,MATCH('HCW, Staff, Beds Summary'!$E239,'WHO GHO Data'!$AD$8:$AD$12,0))*$G239/1000),"")</f>
        <v>39256.438606159347</v>
      </c>
      <c r="J239" s="28">
        <f>IFERROR(IFERROR(INDEX('WHO GHO Data'!$X$8:$X$201,MATCH('HCW, Staff, Beds Summary'!$C239,'WHO GHO Data'!$C$8:$C$201,0)),INDEX('WHO GHO Data'!$AF$8:$AF$12,MATCH('HCW, Staff, Beds Summary'!$E239,'WHO GHO Data'!$AD$8:$AD$12,0))*$G239/1000),"")</f>
        <v>899.1647641972022</v>
      </c>
      <c r="K239" s="1310">
        <f>IF(INDEX('WB Beds'!$BN$827:$BN$1090,MATCH($C239,'WB Beds'!$C$827:$C$1090,0))="No reported value",INDEX('WB Beds'!$BR$829:$BR$833,MATCH($E239,'WB Beds'!$BP$829:$BP$833,0)),INDEX('WB Beds'!$BN$827:$BN$1090,MATCH($C239,'WB Beds'!$C$827:$C$1090)))</f>
        <v>4.8</v>
      </c>
      <c r="L239" s="1311">
        <f>INDEX('WB Beds'!$BR$836:$BR$840,MATCH($E239,'WB Beds'!$BP$836:$BP$840,0))*100</f>
        <v>1.63</v>
      </c>
      <c r="N239" s="1264">
        <f t="shared" si="7"/>
        <v>45481.180799999995</v>
      </c>
    </row>
    <row r="240" spans="2:14" x14ac:dyDescent="0.35">
      <c r="B240" s="41" t="s">
        <v>551</v>
      </c>
      <c r="C240" s="41" t="s">
        <v>139</v>
      </c>
      <c r="D240" s="129" t="s">
        <v>1043</v>
      </c>
      <c r="E240" s="129" t="s">
        <v>557</v>
      </c>
      <c r="F240" s="129" t="str">
        <f t="shared" si="6"/>
        <v>LMIC</v>
      </c>
      <c r="G240" s="28">
        <f>INDEX('UNDP Population Data'!$E$6:$E$269,MATCH($B240,'UNDP Population Data'!$B$6:$B$269,0))</f>
        <v>6031195</v>
      </c>
      <c r="H240" s="28">
        <f>IFERROR(IFERROR(INDEX('WHO GHO Data'!$V$8:$V$201,MATCH('HCW, Staff, Beds Summary'!$C240,'WHO GHO Data'!$C$8:$C$201,0)),INDEX('WHO GHO Data'!$AF$8:$AF$12,MATCH('HCW, Staff, Beds Summary'!$E240,'WHO GHO Data'!$AD$8:$AD$12,0))*$G240/1000),"")</f>
        <v>13392.712158894021</v>
      </c>
      <c r="I240" s="28">
        <f>IFERROR(IFERROR(INDEX('WHO GHO Data'!$U$8:$U$201,MATCH('HCW, Staff, Beds Summary'!$C240,'WHO GHO Data'!$C$8:$C$201,0)),INDEX('WHO GHO Data'!$AE$8:$AE$12,MATCH('HCW, Staff, Beds Summary'!$E240,'WHO GHO Data'!$AD$8:$AD$12,0))*$G240/1000),"")</f>
        <v>25428.642689652406</v>
      </c>
      <c r="J240" s="28">
        <f>IFERROR(IFERROR(INDEX('WHO GHO Data'!$X$8:$X$201,MATCH('HCW, Staff, Beds Summary'!$C240,'WHO GHO Data'!$C$8:$C$201,0)),INDEX('WHO GHO Data'!$AF$8:$AF$12,MATCH('HCW, Staff, Beds Summary'!$E240,'WHO GHO Data'!$AD$8:$AD$12,0))*$G240/1000),"")</f>
        <v>1284.3805452275176</v>
      </c>
      <c r="K240" s="1310">
        <f>IF(INDEX('WB Beds'!$BN$827:$BN$1090,MATCH($C240,'WB Beds'!$C$827:$C$1090,0))="No reported value",INDEX('WB Beds'!$BR$829:$BR$833,MATCH($E240,'WB Beds'!$BP$829:$BP$833,0)),INDEX('WB Beds'!$BN$827:$BN$1090,MATCH($C240,'WB Beds'!$C$827:$C$1090)))</f>
        <v>7.4</v>
      </c>
      <c r="L240" s="1311">
        <f>INDEX('WB Beds'!$BR$836:$BR$840,MATCH($E240,'WB Beds'!$BP$836:$BP$840,0))*100</f>
        <v>3.32</v>
      </c>
      <c r="N240" s="1264">
        <f t="shared" si="7"/>
        <v>44630.843000000001</v>
      </c>
    </row>
    <row r="241" spans="2:14" x14ac:dyDescent="0.35">
      <c r="B241" s="41" t="s">
        <v>440</v>
      </c>
      <c r="C241" s="41" t="s">
        <v>441</v>
      </c>
      <c r="D241" s="129" t="s">
        <v>1089</v>
      </c>
      <c r="E241" s="129" t="s">
        <v>742</v>
      </c>
      <c r="F241" s="129" t="str">
        <f t="shared" si="6"/>
        <v>Not LMIC</v>
      </c>
      <c r="G241" s="28">
        <f>INDEX('UNDP Population Data'!$E$6:$E$269,MATCH($B241,'UNDP Population Data'!$B$6:$B$269,0))</f>
        <v>637480000</v>
      </c>
      <c r="H241" s="28" t="str">
        <f>IFERROR(IFERROR(INDEX('WHO GHO Data'!$V$8:$V$201,MATCH('HCW, Staff, Beds Summary'!$C241,'WHO GHO Data'!$C$8:$C$201,0)),INDEX('WHO GHO Data'!$AF$8:$AF$12,MATCH('HCW, Staff, Beds Summary'!$E241,'WHO GHO Data'!$AD$8:$AD$12,0))*$G241/1000),"")</f>
        <v/>
      </c>
      <c r="I241" s="28" t="str">
        <f>IFERROR(IFERROR(INDEX('WHO GHO Data'!$U$8:$U$201,MATCH('HCW, Staff, Beds Summary'!$C241,'WHO GHO Data'!$C$8:$C$201,0)),INDEX('WHO GHO Data'!$AE$8:$AE$12,MATCH('HCW, Staff, Beds Summary'!$E241,'WHO GHO Data'!$AD$8:$AD$12,0))*$G241/1000),"")</f>
        <v/>
      </c>
      <c r="J241" s="28" t="str">
        <f>IFERROR(IFERROR(INDEX('WHO GHO Data'!$X$8:$X$201,MATCH('HCW, Staff, Beds Summary'!$C241,'WHO GHO Data'!$C$8:$C$201,0)),INDEX('WHO GHO Data'!$AF$8:$AF$12,MATCH('HCW, Staff, Beds Summary'!$E241,'WHO GHO Data'!$AD$8:$AD$12,0))*$G241/1000),"")</f>
        <v/>
      </c>
      <c r="K241" s="1310">
        <f>IF(INDEX('WB Beds'!$BN$827:$BN$1090,MATCH($C241,'WB Beds'!$C$827:$C$1090,0))="No reported value",INDEX('WB Beds'!$BR$829:$BR$833,MATCH($E241,'WB Beds'!$BP$829:$BP$833,0)),INDEX('WB Beds'!$BN$827:$BN$1090,MATCH($C241,'WB Beds'!$C$827:$C$1090)))</f>
        <v>2.08967547696012</v>
      </c>
      <c r="L241" s="1311">
        <f>INDEX('WB Beds'!$BR$836:$BR$840,MATCH($E241,'WB Beds'!$BP$836:$BP$840,0))*100</f>
        <v>2.7250000000000001</v>
      </c>
      <c r="N241" s="1264">
        <f t="shared" si="7"/>
        <v>1332126.3230525372</v>
      </c>
    </row>
    <row r="242" spans="2:14" x14ac:dyDescent="0.35">
      <c r="B242" s="41" t="s">
        <v>246</v>
      </c>
      <c r="C242" s="41" t="s">
        <v>140</v>
      </c>
      <c r="D242" s="129" t="s">
        <v>1045</v>
      </c>
      <c r="E242" s="129" t="s">
        <v>454</v>
      </c>
      <c r="F242" s="129" t="str">
        <f t="shared" si="6"/>
        <v>LMIC</v>
      </c>
      <c r="G242" s="28">
        <f>INDEX('UNDP Population Data'!$E$6:$E$269,MATCH($B242,'UNDP Population Data'!$B$6:$B$269,0))</f>
        <v>1381400</v>
      </c>
      <c r="H242" s="28">
        <f>IFERROR(IFERROR(INDEX('WHO GHO Data'!$V$8:$V$201,MATCH('HCW, Staff, Beds Summary'!$C242,'WHO GHO Data'!$C$8:$C$201,0)),INDEX('WHO GHO Data'!$AF$8:$AF$12,MATCH('HCW, Staff, Beds Summary'!$E242,'WHO GHO Data'!$AD$8:$AD$12,0))*$G242/1000),"")</f>
        <v>956.13179717148978</v>
      </c>
      <c r="I242" s="28">
        <f>IFERROR(IFERROR(INDEX('WHO GHO Data'!$U$8:$U$201,MATCH('HCW, Staff, Beds Summary'!$C242,'WHO GHO Data'!$C$8:$C$201,0)),INDEX('WHO GHO Data'!$AE$8:$AE$12,MATCH('HCW, Staff, Beds Summary'!$E242,'WHO GHO Data'!$AD$8:$AD$12,0))*$G242/1000),"")</f>
        <v>1562.5865724516595</v>
      </c>
      <c r="J242" s="28">
        <f>IFERROR(IFERROR(INDEX('WHO GHO Data'!$X$8:$X$201,MATCH('HCW, Staff, Beds Summary'!$C242,'WHO GHO Data'!$C$8:$C$201,0)),INDEX('WHO GHO Data'!$AF$8:$AF$12,MATCH('HCW, Staff, Beds Summary'!$E242,'WHO GHO Data'!$AD$8:$AD$12,0))*$G242/1000),"")</f>
        <v>160.09369405683518</v>
      </c>
      <c r="K242" s="1310">
        <f>IF(INDEX('WB Beds'!$BN$827:$BN$1090,MATCH($C242,'WB Beds'!$C$827:$C$1090,0))="No reported value",INDEX('WB Beds'!$BR$829:$BR$833,MATCH($E242,'WB Beds'!$BP$829:$BP$833,0)),INDEX('WB Beds'!$BN$827:$BN$1090,MATCH($C242,'WB Beds'!$C$827:$C$1090)))</f>
        <v>5.9</v>
      </c>
      <c r="L242" s="1311">
        <f>INDEX('WB Beds'!$BR$836:$BR$840,MATCH($E242,'WB Beds'!$BP$836:$BP$840,0))*100</f>
        <v>2.3800000000000003</v>
      </c>
      <c r="N242" s="1264">
        <f t="shared" si="7"/>
        <v>8150.2600000000011</v>
      </c>
    </row>
    <row r="243" spans="2:14" x14ac:dyDescent="0.35">
      <c r="B243" s="41" t="s">
        <v>469</v>
      </c>
      <c r="C243" s="41" t="s">
        <v>470</v>
      </c>
      <c r="D243" s="129" t="s">
        <v>1089</v>
      </c>
      <c r="E243" s="129" t="s">
        <v>742</v>
      </c>
      <c r="F243" s="129" t="str">
        <f t="shared" si="6"/>
        <v>Not LMIC</v>
      </c>
      <c r="G243" s="28">
        <f>INDEX('UNDP Population Data'!$E$6:$E$269,MATCH($B243,'UNDP Population Data'!$B$6:$B$269,0))</f>
        <v>391344000</v>
      </c>
      <c r="H243" s="28" t="str">
        <f>IFERROR(IFERROR(INDEX('WHO GHO Data'!$V$8:$V$201,MATCH('HCW, Staff, Beds Summary'!$C243,'WHO GHO Data'!$C$8:$C$201,0)),INDEX('WHO GHO Data'!$AF$8:$AF$12,MATCH('HCW, Staff, Beds Summary'!$E243,'WHO GHO Data'!$AD$8:$AD$12,0))*$G243/1000),"")</f>
        <v/>
      </c>
      <c r="I243" s="28" t="str">
        <f>IFERROR(IFERROR(INDEX('WHO GHO Data'!$U$8:$U$201,MATCH('HCW, Staff, Beds Summary'!$C243,'WHO GHO Data'!$C$8:$C$201,0)),INDEX('WHO GHO Data'!$AE$8:$AE$12,MATCH('HCW, Staff, Beds Summary'!$E243,'WHO GHO Data'!$AD$8:$AD$12,0))*$G243/1000),"")</f>
        <v/>
      </c>
      <c r="J243" s="28" t="str">
        <f>IFERROR(IFERROR(INDEX('WHO GHO Data'!$X$8:$X$201,MATCH('HCW, Staff, Beds Summary'!$C243,'WHO GHO Data'!$C$8:$C$201,0)),INDEX('WHO GHO Data'!$AF$8:$AF$12,MATCH('HCW, Staff, Beds Summary'!$E243,'WHO GHO Data'!$AD$8:$AD$12,0))*$G243/1000),"")</f>
        <v/>
      </c>
      <c r="K243" s="1310">
        <f>IF(INDEX('WB Beds'!$BN$827:$BN$1090,MATCH($C243,'WB Beds'!$C$827:$C$1090,0))="No reported value",INDEX('WB Beds'!$BR$829:$BR$833,MATCH($E243,'WB Beds'!$BP$829:$BP$833,0)),INDEX('WB Beds'!$BN$827:$BN$1090,MATCH($C243,'WB Beds'!$C$827:$C$1090)))</f>
        <v>1.5166967169273771</v>
      </c>
      <c r="L243" s="1311">
        <f>INDEX('WB Beds'!$BR$836:$BR$840,MATCH($E243,'WB Beds'!$BP$836:$BP$840,0))*100</f>
        <v>2.7250000000000001</v>
      </c>
      <c r="N243" s="1264">
        <f t="shared" si="7"/>
        <v>593550.15998922742</v>
      </c>
    </row>
    <row r="244" spans="2:14" x14ac:dyDescent="0.35">
      <c r="B244" s="41" t="s">
        <v>256</v>
      </c>
      <c r="C244" s="41" t="s">
        <v>141</v>
      </c>
      <c r="D244" s="129" t="s">
        <v>1100</v>
      </c>
      <c r="E244" s="129" t="s">
        <v>557</v>
      </c>
      <c r="F244" s="129" t="str">
        <f t="shared" si="6"/>
        <v>LMIC</v>
      </c>
      <c r="G244" s="28">
        <f>INDEX('UNDP Population Data'!$E$6:$E$269,MATCH($B244,'UNDP Population Data'!$B$6:$B$269,0))</f>
        <v>111037</v>
      </c>
      <c r="H244" s="28">
        <f>IFERROR(IFERROR(INDEX('WHO GHO Data'!$V$8:$V$201,MATCH('HCW, Staff, Beds Summary'!$C244,'WHO GHO Data'!$C$8:$C$201,0)),INDEX('WHO GHO Data'!$AF$8:$AF$12,MATCH('HCW, Staff, Beds Summary'!$E244,'WHO GHO Data'!$AD$8:$AD$12,0))*$G244/1000),"")</f>
        <v>58.412389287503096</v>
      </c>
      <c r="I244" s="28">
        <f>IFERROR(IFERROR(INDEX('WHO GHO Data'!$U$8:$U$201,MATCH('HCW, Staff, Beds Summary'!$C244,'WHO GHO Data'!$C$8:$C$201,0)),INDEX('WHO GHO Data'!$AE$8:$AE$12,MATCH('HCW, Staff, Beds Summary'!$E244,'WHO GHO Data'!$AD$8:$AD$12,0))*$G244/1000),"")</f>
        <v>436.44197806652403</v>
      </c>
      <c r="J244" s="28">
        <f>IFERROR(IFERROR(INDEX('WHO GHO Data'!$X$8:$X$201,MATCH('HCW, Staff, Beds Summary'!$C244,'WHO GHO Data'!$C$8:$C$201,0)),INDEX('WHO GHO Data'!$AF$8:$AF$12,MATCH('HCW, Staff, Beds Summary'!$E244,'WHO GHO Data'!$AD$8:$AD$12,0))*$G244/1000),"")</f>
        <v>26.551086039774134</v>
      </c>
      <c r="K244" s="1310">
        <f>IF(INDEX('WB Beds'!$BN$827:$BN$1090,MATCH($C244,'WB Beds'!$C$827:$C$1090,0))="No reported value",INDEX('WB Beds'!$BR$829:$BR$833,MATCH($E244,'WB Beds'!$BP$829:$BP$833,0)),INDEX('WB Beds'!$BN$827:$BN$1090,MATCH($C244,'WB Beds'!$C$827:$C$1090)))</f>
        <v>2.6</v>
      </c>
      <c r="L244" s="1311">
        <f>INDEX('WB Beds'!$BR$836:$BR$840,MATCH($E244,'WB Beds'!$BP$836:$BP$840,0))*100</f>
        <v>3.32</v>
      </c>
      <c r="N244" s="1264">
        <f t="shared" si="7"/>
        <v>288.69620000000003</v>
      </c>
    </row>
    <row r="245" spans="2:14" x14ac:dyDescent="0.35">
      <c r="B245" s="41" t="s">
        <v>525</v>
      </c>
      <c r="C245" s="41" t="s">
        <v>526</v>
      </c>
      <c r="D245" s="129" t="s">
        <v>1089</v>
      </c>
      <c r="E245" s="129" t="s">
        <v>742</v>
      </c>
      <c r="F245" s="129" t="str">
        <f t="shared" si="6"/>
        <v>Not LMIC</v>
      </c>
      <c r="G245" s="28">
        <f>INDEX('UNDP Population Data'!$E$6:$E$269,MATCH($B245,'UNDP Population Data'!$B$6:$B$269,0))</f>
        <v>1856800000</v>
      </c>
      <c r="H245" s="28" t="str">
        <f>IFERROR(IFERROR(INDEX('WHO GHO Data'!$V$8:$V$201,MATCH('HCW, Staff, Beds Summary'!$C245,'WHO GHO Data'!$C$8:$C$201,0)),INDEX('WHO GHO Data'!$AF$8:$AF$12,MATCH('HCW, Staff, Beds Summary'!$E245,'WHO GHO Data'!$AD$8:$AD$12,0))*$G245/1000),"")</f>
        <v/>
      </c>
      <c r="I245" s="28" t="str">
        <f>IFERROR(IFERROR(INDEX('WHO GHO Data'!$U$8:$U$201,MATCH('HCW, Staff, Beds Summary'!$C245,'WHO GHO Data'!$C$8:$C$201,0)),INDEX('WHO GHO Data'!$AE$8:$AE$12,MATCH('HCW, Staff, Beds Summary'!$E245,'WHO GHO Data'!$AD$8:$AD$12,0))*$G245/1000),"")</f>
        <v/>
      </c>
      <c r="J245" s="28" t="str">
        <f>IFERROR(IFERROR(INDEX('WHO GHO Data'!$X$8:$X$201,MATCH('HCW, Staff, Beds Summary'!$C245,'WHO GHO Data'!$C$8:$C$201,0)),INDEX('WHO GHO Data'!$AF$8:$AF$12,MATCH('HCW, Staff, Beds Summary'!$E245,'WHO GHO Data'!$AD$8:$AD$12,0))*$G245/1000),"")</f>
        <v/>
      </c>
      <c r="K245" s="1310">
        <f>IF(INDEX('WB Beds'!$BN$827:$BN$1090,MATCH($C245,'WB Beds'!$C$827:$C$1090,0))="No reported value",INDEX('WB Beds'!$BR$829:$BR$833,MATCH($E245,'WB Beds'!$BP$829:$BP$833,0)),INDEX('WB Beds'!$BN$827:$BN$1090,MATCH($C245,'WB Beds'!$C$827:$C$1090)))</f>
        <v>0.67426183450707411</v>
      </c>
      <c r="L245" s="1311">
        <f>INDEX('WB Beds'!$BR$836:$BR$840,MATCH($E245,'WB Beds'!$BP$836:$BP$840,0))*100</f>
        <v>2.7250000000000001</v>
      </c>
      <c r="N245" s="1264">
        <f t="shared" si="7"/>
        <v>1251969.3743127354</v>
      </c>
    </row>
    <row r="246" spans="2:14" x14ac:dyDescent="0.35">
      <c r="B246" s="41" t="s">
        <v>541</v>
      </c>
      <c r="C246" s="41" t="s">
        <v>542</v>
      </c>
      <c r="D246" s="129" t="s">
        <v>1089</v>
      </c>
      <c r="E246" s="129" t="s">
        <v>742</v>
      </c>
      <c r="F246" s="129" t="str">
        <f t="shared" si="6"/>
        <v>Not LMIC</v>
      </c>
      <c r="G246" s="28">
        <f>INDEX('UNDP Population Data'!$E$6:$E$269,MATCH($B246,'UNDP Population Data'!$B$6:$B$269,0))</f>
        <v>1136052000</v>
      </c>
      <c r="H246" s="28" t="str">
        <f>IFERROR(IFERROR(INDEX('WHO GHO Data'!$V$8:$V$201,MATCH('HCW, Staff, Beds Summary'!$C246,'WHO GHO Data'!$C$8:$C$201,0)),INDEX('WHO GHO Data'!$AF$8:$AF$12,MATCH('HCW, Staff, Beds Summary'!$E246,'WHO GHO Data'!$AD$8:$AD$12,0))*$G246/1000),"")</f>
        <v/>
      </c>
      <c r="I246" s="28" t="str">
        <f>IFERROR(IFERROR(INDEX('WHO GHO Data'!$U$8:$U$201,MATCH('HCW, Staff, Beds Summary'!$C246,'WHO GHO Data'!$C$8:$C$201,0)),INDEX('WHO GHO Data'!$AE$8:$AE$12,MATCH('HCW, Staff, Beds Summary'!$E246,'WHO GHO Data'!$AD$8:$AD$12,0))*$G246/1000),"")</f>
        <v/>
      </c>
      <c r="J246" s="28" t="str">
        <f>IFERROR(IFERROR(INDEX('WHO GHO Data'!$X$8:$X$201,MATCH('HCW, Staff, Beds Summary'!$C246,'WHO GHO Data'!$C$8:$C$201,0)),INDEX('WHO GHO Data'!$AF$8:$AF$12,MATCH('HCW, Staff, Beds Summary'!$E246,'WHO GHO Data'!$AD$8:$AD$12,0))*$G246/1000),"")</f>
        <v/>
      </c>
      <c r="K246" s="1310">
        <f>IF(INDEX('WB Beds'!$BN$827:$BN$1090,MATCH($C246,'WB Beds'!$C$827:$C$1090,0))="No reported value",INDEX('WB Beds'!$BR$829:$BR$833,MATCH($E246,'WB Beds'!$BP$829:$BP$833,0)),INDEX('WB Beds'!$BN$827:$BN$1090,MATCH($C246,'WB Beds'!$C$827:$C$1090)))</f>
        <v>1.2125754223136327</v>
      </c>
      <c r="L246" s="1311">
        <f>INDEX('WB Beds'!$BR$836:$BR$840,MATCH($E246,'WB Beds'!$BP$836:$BP$840,0))*100</f>
        <v>2.7250000000000001</v>
      </c>
      <c r="N246" s="1264">
        <f t="shared" si="7"/>
        <v>1377548.733670247</v>
      </c>
    </row>
    <row r="247" spans="2:14" x14ac:dyDescent="0.35">
      <c r="B247" s="41" t="s">
        <v>548</v>
      </c>
      <c r="C247" s="41" t="s">
        <v>142</v>
      </c>
      <c r="D247" s="129" t="s">
        <v>1044</v>
      </c>
      <c r="E247" s="129" t="s">
        <v>410</v>
      </c>
      <c r="F247" s="129" t="str">
        <f t="shared" si="6"/>
        <v>Not LMIC</v>
      </c>
      <c r="G247" s="28">
        <f>INDEX('UNDP Population Data'!$E$6:$E$269,MATCH($B247,'UNDP Population Data'!$B$6:$B$269,0))</f>
        <v>1377729</v>
      </c>
      <c r="H247" s="28">
        <f>IFERROR(IFERROR(INDEX('WHO GHO Data'!$V$8:$V$201,MATCH('HCW, Staff, Beds Summary'!$C247,'WHO GHO Data'!$C$8:$C$201,0)),INDEX('WHO GHO Data'!$AF$8:$AF$12,MATCH('HCW, Staff, Beds Summary'!$E247,'WHO GHO Data'!$AD$8:$AD$12,0))*$G247/1000),"")</f>
        <v>5821.9270421884721</v>
      </c>
      <c r="I247" s="28">
        <f>IFERROR(IFERROR(INDEX('WHO GHO Data'!$U$8:$U$201,MATCH('HCW, Staff, Beds Summary'!$C247,'WHO GHO Data'!$C$8:$C$201,0)),INDEX('WHO GHO Data'!$AE$8:$AE$12,MATCH('HCW, Staff, Beds Summary'!$E247,'WHO GHO Data'!$AD$8:$AD$12,0))*$G247/1000),"")</f>
        <v>5718.3948451329798</v>
      </c>
      <c r="J247" s="28">
        <f>IFERROR(IFERROR(INDEX('WHO GHO Data'!$X$8:$X$201,MATCH('HCW, Staff, Beds Summary'!$C247,'WHO GHO Data'!$C$8:$C$201,0)),INDEX('WHO GHO Data'!$AF$8:$AF$12,MATCH('HCW, Staff, Beds Summary'!$E247,'WHO GHO Data'!$AD$8:$AD$12,0))*$G247/1000),"")</f>
        <v>349.79810267292618</v>
      </c>
      <c r="K247" s="1310">
        <f>IF(INDEX('WB Beds'!$BN$827:$BN$1090,MATCH($C247,'WB Beds'!$C$827:$C$1090,0))="No reported value",INDEX('WB Beds'!$BR$829:$BR$833,MATCH($E247,'WB Beds'!$BP$829:$BP$833,0)),INDEX('WB Beds'!$BN$827:$BN$1090,MATCH($C247,'WB Beds'!$C$827:$C$1090)))</f>
        <v>3</v>
      </c>
      <c r="L247" s="1311">
        <f>INDEX('WB Beds'!$BR$836:$BR$840,MATCH($E247,'WB Beds'!$BP$836:$BP$840,0))*100</f>
        <v>3.5700000000000003</v>
      </c>
      <c r="N247" s="1264">
        <f t="shared" si="7"/>
        <v>4133.1869999999999</v>
      </c>
    </row>
    <row r="248" spans="2:14" x14ac:dyDescent="0.35">
      <c r="B248" s="41" t="s">
        <v>549</v>
      </c>
      <c r="C248" s="41" t="s">
        <v>143</v>
      </c>
      <c r="D248" s="129" t="s">
        <v>1041</v>
      </c>
      <c r="E248" s="129" t="s">
        <v>454</v>
      </c>
      <c r="F248" s="129" t="str">
        <f t="shared" si="6"/>
        <v>LMIC</v>
      </c>
      <c r="G248" s="28">
        <f>INDEX('UNDP Population Data'!$E$6:$E$269,MATCH($B248,'UNDP Population Data'!$B$6:$B$269,0))</f>
        <v>11903136</v>
      </c>
      <c r="H248" s="28">
        <f>IFERROR(IFERROR(INDEX('WHO GHO Data'!$V$8:$V$201,MATCH('HCW, Staff, Beds Summary'!$C248,'WHO GHO Data'!$C$8:$C$201,0)),INDEX('WHO GHO Data'!$AF$8:$AF$12,MATCH('HCW, Staff, Beds Summary'!$E248,'WHO GHO Data'!$AD$8:$AD$12,0))*$G248/1000),"")</f>
        <v>15385.474051621934</v>
      </c>
      <c r="I248" s="28">
        <f>IFERROR(IFERROR(INDEX('WHO GHO Data'!$U$8:$U$201,MATCH('HCW, Staff, Beds Summary'!$C248,'WHO GHO Data'!$C$8:$C$201,0)),INDEX('WHO GHO Data'!$AE$8:$AE$12,MATCH('HCW, Staff, Beds Summary'!$E248,'WHO GHO Data'!$AD$8:$AD$12,0))*$G248/1000),"")</f>
        <v>29691.320089280336</v>
      </c>
      <c r="J248" s="28">
        <f>IFERROR(IFERROR(INDEX('WHO GHO Data'!$X$8:$X$201,MATCH('HCW, Staff, Beds Summary'!$C248,'WHO GHO Data'!$C$8:$C$201,0)),INDEX('WHO GHO Data'!$AF$8:$AF$12,MATCH('HCW, Staff, Beds Summary'!$E248,'WHO GHO Data'!$AD$8:$AD$12,0))*$G248/1000),"")</f>
        <v>2736.7579838237616</v>
      </c>
      <c r="K248" s="1310">
        <f>IF(INDEX('WB Beds'!$BN$827:$BN$1090,MATCH($C248,'WB Beds'!$C$827:$C$1090,0))="No reported value",INDEX('WB Beds'!$BR$829:$BR$833,MATCH($E248,'WB Beds'!$BP$829:$BP$833,0)),INDEX('WB Beds'!$BN$827:$BN$1090,MATCH($C248,'WB Beds'!$C$827:$C$1090)))</f>
        <v>2.2999999999999998</v>
      </c>
      <c r="L248" s="1311">
        <f>INDEX('WB Beds'!$BR$836:$BR$840,MATCH($E248,'WB Beds'!$BP$836:$BP$840,0))*100</f>
        <v>2.3800000000000003</v>
      </c>
      <c r="N248" s="1264">
        <f t="shared" si="7"/>
        <v>27377.212799999998</v>
      </c>
    </row>
    <row r="249" spans="2:14" x14ac:dyDescent="0.35">
      <c r="B249" s="41" t="s">
        <v>550</v>
      </c>
      <c r="C249" s="41" t="s">
        <v>144</v>
      </c>
      <c r="D249" s="129" t="s">
        <v>1043</v>
      </c>
      <c r="E249" s="129" t="s">
        <v>557</v>
      </c>
      <c r="F249" s="129" t="str">
        <f t="shared" si="6"/>
        <v>LMIC</v>
      </c>
      <c r="G249" s="28">
        <f>INDEX('UNDP Population Data'!$E$6:$E$269,MATCH($B249,'UNDP Population Data'!$B$6:$B$269,0))</f>
        <v>83835750</v>
      </c>
      <c r="H249" s="28">
        <f>IFERROR(IFERROR(INDEX('WHO GHO Data'!$V$8:$V$201,MATCH('HCW, Staff, Beds Summary'!$C249,'WHO GHO Data'!$C$8:$C$201,0)),INDEX('WHO GHO Data'!$AF$8:$AF$12,MATCH('HCW, Staff, Beds Summary'!$E249,'WHO GHO Data'!$AD$8:$AD$12,0))*$G249/1000),"")</f>
        <v>156306.85490006939</v>
      </c>
      <c r="I249" s="28">
        <f>IFERROR(IFERROR(INDEX('WHO GHO Data'!$U$8:$U$201,MATCH('HCW, Staff, Beds Summary'!$C249,'WHO GHO Data'!$C$8:$C$201,0)),INDEX('WHO GHO Data'!$AE$8:$AE$12,MATCH('HCW, Staff, Beds Summary'!$E249,'WHO GHO Data'!$AD$8:$AD$12,0))*$G249/1000),"")</f>
        <v>173131.01919909951</v>
      </c>
      <c r="J249" s="28">
        <f>IFERROR(IFERROR(INDEX('WHO GHO Data'!$X$8:$X$201,MATCH('HCW, Staff, Beds Summary'!$C249,'WHO GHO Data'!$C$8:$C$201,0)),INDEX('WHO GHO Data'!$AF$8:$AF$12,MATCH('HCW, Staff, Beds Summary'!$E249,'WHO GHO Data'!$AD$8:$AD$12,0))*$G249/1000),"")</f>
        <v>17853.345198515028</v>
      </c>
      <c r="K249" s="1310">
        <f>IF(INDEX('WB Beds'!$BN$827:$BN$1090,MATCH($C249,'WB Beds'!$C$827:$C$1090,0))="No reported value",INDEX('WB Beds'!$BR$829:$BR$833,MATCH($E249,'WB Beds'!$BP$829:$BP$833,0)),INDEX('WB Beds'!$BN$827:$BN$1090,MATCH($C249,'WB Beds'!$C$827:$C$1090)))</f>
        <v>2.7</v>
      </c>
      <c r="L249" s="1311">
        <f>INDEX('WB Beds'!$BR$836:$BR$840,MATCH($E249,'WB Beds'!$BP$836:$BP$840,0))*100</f>
        <v>3.32</v>
      </c>
      <c r="N249" s="1264">
        <f t="shared" si="7"/>
        <v>226356.52499999999</v>
      </c>
    </row>
    <row r="250" spans="2:14" x14ac:dyDescent="0.35">
      <c r="B250" s="41" t="s">
        <v>257</v>
      </c>
      <c r="C250" s="41" t="s">
        <v>145</v>
      </c>
      <c r="D250" s="129" t="s">
        <v>1100</v>
      </c>
      <c r="E250" s="129" t="s">
        <v>557</v>
      </c>
      <c r="F250" s="129" t="str">
        <f t="shared" si="6"/>
        <v>LMIC</v>
      </c>
      <c r="G250" s="28">
        <f>INDEX('UNDP Population Data'!$E$6:$E$269,MATCH($B250,'UNDP Population Data'!$B$6:$B$269,0))</f>
        <v>11499</v>
      </c>
      <c r="H250" s="28" t="str">
        <f>IFERROR(IFERROR(INDEX('WHO GHO Data'!$V$8:$V$201,MATCH('HCW, Staff, Beds Summary'!$C250,'WHO GHO Data'!$C$8:$C$201,0)),INDEX('WHO GHO Data'!$AF$8:$AF$12,MATCH('HCW, Staff, Beds Summary'!$E250,'WHO GHO Data'!$AD$8:$AD$12,0))*$G250/1000),"")</f>
        <v/>
      </c>
      <c r="I250" s="28">
        <f>IFERROR(IFERROR(INDEX('WHO GHO Data'!$U$8:$U$201,MATCH('HCW, Staff, Beds Summary'!$C250,'WHO GHO Data'!$C$8:$C$201,0)),INDEX('WHO GHO Data'!$AE$8:$AE$12,MATCH('HCW, Staff, Beds Summary'!$E250,'WHO GHO Data'!$AD$8:$AD$12,0))*$G250/1000),"")</f>
        <v>49.875497845971204</v>
      </c>
      <c r="J250" s="28">
        <f>IFERROR(IFERROR(INDEX('WHO GHO Data'!$X$8:$X$201,MATCH('HCW, Staff, Beds Summary'!$C250,'WHO GHO Data'!$C$8:$C$201,0)),INDEX('WHO GHO Data'!$AF$8:$AF$12,MATCH('HCW, Staff, Beds Summary'!$E250,'WHO GHO Data'!$AD$8:$AD$12,0))*$G250/1000),"")</f>
        <v>2.4487836804432992</v>
      </c>
      <c r="K250" s="1310">
        <f>IF(INDEX('WB Beds'!$BN$827:$BN$1090,MATCH($C250,'WB Beds'!$C$827:$C$1090,0))="No reported value",INDEX('WB Beds'!$BR$829:$BR$833,MATCH($E250,'WB Beds'!$BP$829:$BP$833,0)),INDEX('WB Beds'!$BN$827:$BN$1090,MATCH($C250,'WB Beds'!$C$827:$C$1090)))</f>
        <v>5.6</v>
      </c>
      <c r="L250" s="1311">
        <f>INDEX('WB Beds'!$BR$836:$BR$840,MATCH($E250,'WB Beds'!$BP$836:$BP$840,0))*100</f>
        <v>3.32</v>
      </c>
      <c r="N250" s="1264">
        <f t="shared" si="7"/>
        <v>64.39439999999999</v>
      </c>
    </row>
    <row r="251" spans="2:14" x14ac:dyDescent="0.35">
      <c r="B251" s="41" t="s">
        <v>546</v>
      </c>
      <c r="C251" s="41" t="s">
        <v>146</v>
      </c>
      <c r="D251" s="129" t="s">
        <v>1042</v>
      </c>
      <c r="E251" s="129" t="s">
        <v>452</v>
      </c>
      <c r="F251" s="129" t="str">
        <f t="shared" si="6"/>
        <v>LMIC</v>
      </c>
      <c r="G251" s="28">
        <f>INDEX('UNDP Population Data'!$E$6:$E$269,MATCH($B251,'UNDP Population Data'!$B$6:$B$269,0))</f>
        <v>62774619</v>
      </c>
      <c r="H251" s="28">
        <f>IFERROR(IFERROR(INDEX('WHO GHO Data'!$V$8:$V$201,MATCH('HCW, Staff, Beds Summary'!$C251,'WHO GHO Data'!$C$8:$C$201,0)),INDEX('WHO GHO Data'!$AF$8:$AF$12,MATCH('HCW, Staff, Beds Summary'!$E251,'WHO GHO Data'!$AD$8:$AD$12,0))*$G251/1000),"")</f>
        <v>838.47357736163565</v>
      </c>
      <c r="I251" s="28">
        <f>IFERROR(IFERROR(INDEX('WHO GHO Data'!$U$8:$U$201,MATCH('HCW, Staff, Beds Summary'!$C251,'WHO GHO Data'!$C$8:$C$201,0)),INDEX('WHO GHO Data'!$AE$8:$AE$12,MATCH('HCW, Staff, Beds Summary'!$E251,'WHO GHO Data'!$AD$8:$AD$12,0))*$G251/1000),"")</f>
        <v>35006.526381235402</v>
      </c>
      <c r="J251" s="28">
        <f>IFERROR(IFERROR(INDEX('WHO GHO Data'!$X$8:$X$201,MATCH('HCW, Staff, Beds Summary'!$C251,'WHO GHO Data'!$C$8:$C$201,0)),INDEX('WHO GHO Data'!$AF$8:$AF$12,MATCH('HCW, Staff, Beds Summary'!$E251,'WHO GHO Data'!$AD$8:$AD$12,0))*$G251/1000),"")</f>
        <v>3124.4139361741768</v>
      </c>
      <c r="K251" s="1310">
        <f>IF(INDEX('WB Beds'!$BN$827:$BN$1090,MATCH($C251,'WB Beds'!$C$827:$C$1090,0))="No reported value",INDEX('WB Beds'!$BR$829:$BR$833,MATCH($E251,'WB Beds'!$BP$829:$BP$833,0)),INDEX('WB Beds'!$BN$827:$BN$1090,MATCH($C251,'WB Beds'!$C$827:$C$1090)))</f>
        <v>0.7</v>
      </c>
      <c r="L251" s="1311">
        <f>INDEX('WB Beds'!$BR$836:$BR$840,MATCH($E251,'WB Beds'!$BP$836:$BP$840,0))*100</f>
        <v>1.63</v>
      </c>
      <c r="N251" s="1264">
        <f t="shared" si="7"/>
        <v>43942.2333</v>
      </c>
    </row>
    <row r="252" spans="2:14" x14ac:dyDescent="0.35">
      <c r="B252" s="41" t="s">
        <v>216</v>
      </c>
      <c r="C252" s="41" t="s">
        <v>147</v>
      </c>
      <c r="D252" s="129" t="s">
        <v>1042</v>
      </c>
      <c r="E252" s="129" t="s">
        <v>452</v>
      </c>
      <c r="F252" s="129" t="str">
        <f t="shared" si="6"/>
        <v>LMIC</v>
      </c>
      <c r="G252" s="28">
        <f>INDEX('UNDP Population Data'!$E$6:$E$269,MATCH($B252,'UNDP Population Data'!$B$6:$B$269,0))</f>
        <v>47187703</v>
      </c>
      <c r="H252" s="28">
        <f>IFERROR(IFERROR(INDEX('WHO GHO Data'!$V$8:$V$201,MATCH('HCW, Staff, Beds Summary'!$C252,'WHO GHO Data'!$C$8:$C$201,0)),INDEX('WHO GHO Data'!$AF$8:$AF$12,MATCH('HCW, Staff, Beds Summary'!$E252,'WHO GHO Data'!$AD$8:$AD$12,0))*$G252/1000),"")</f>
        <v>7622.5420092735094</v>
      </c>
      <c r="I252" s="28">
        <f>IFERROR(IFERROR(INDEX('WHO GHO Data'!$U$8:$U$201,MATCH('HCW, Staff, Beds Summary'!$C252,'WHO GHO Data'!$C$8:$C$201,0)),INDEX('WHO GHO Data'!$AE$8:$AE$12,MATCH('HCW, Staff, Beds Summary'!$E252,'WHO GHO Data'!$AD$8:$AD$12,0))*$G252/1000),"")</f>
        <v>56440.733460280877</v>
      </c>
      <c r="J252" s="28">
        <f>IFERROR(IFERROR(INDEX('WHO GHO Data'!$X$8:$X$201,MATCH('HCW, Staff, Beds Summary'!$C252,'WHO GHO Data'!$C$8:$C$201,0)),INDEX('WHO GHO Data'!$AF$8:$AF$12,MATCH('HCW, Staff, Beds Summary'!$E252,'WHO GHO Data'!$AD$8:$AD$12,0))*$G252/1000),"")</f>
        <v>2876.2905258131345</v>
      </c>
      <c r="K252" s="1310">
        <f>IF(INDEX('WB Beds'!$BN$827:$BN$1090,MATCH($C252,'WB Beds'!$C$827:$C$1090,0))="No reported value",INDEX('WB Beds'!$BR$829:$BR$833,MATCH($E252,'WB Beds'!$BP$829:$BP$833,0)),INDEX('WB Beds'!$BN$827:$BN$1090,MATCH($C252,'WB Beds'!$C$827:$C$1090)))</f>
        <v>0.5</v>
      </c>
      <c r="L252" s="1311">
        <f>INDEX('WB Beds'!$BR$836:$BR$840,MATCH($E252,'WB Beds'!$BP$836:$BP$840,0))*100</f>
        <v>1.63</v>
      </c>
      <c r="N252" s="1264">
        <f t="shared" si="7"/>
        <v>23593.851500000001</v>
      </c>
    </row>
    <row r="253" spans="2:14" x14ac:dyDescent="0.35">
      <c r="B253" s="41" t="s">
        <v>239</v>
      </c>
      <c r="C253" s="41" t="s">
        <v>148</v>
      </c>
      <c r="D253" s="129" t="s">
        <v>1043</v>
      </c>
      <c r="E253" s="129" t="s">
        <v>454</v>
      </c>
      <c r="F253" s="129" t="str">
        <f t="shared" si="6"/>
        <v>LMIC</v>
      </c>
      <c r="G253" s="28">
        <f>INDEX('UNDP Population Data'!$E$6:$E$269,MATCH($B253,'UNDP Population Data'!$B$6:$B$269,0))</f>
        <v>43579234</v>
      </c>
      <c r="H253" s="28">
        <f>IFERROR(IFERROR(INDEX('WHO GHO Data'!$V$8:$V$201,MATCH('HCW, Staff, Beds Summary'!$C253,'WHO GHO Data'!$C$8:$C$201,0)),INDEX('WHO GHO Data'!$AF$8:$AF$12,MATCH('HCW, Staff, Beds Summary'!$E253,'WHO GHO Data'!$AD$8:$AD$12,0))*$G253/1000),"")</f>
        <v>131083.66336993067</v>
      </c>
      <c r="I253" s="28">
        <f>IFERROR(IFERROR(INDEX('WHO GHO Data'!$U$8:$U$201,MATCH('HCW, Staff, Beds Summary'!$C253,'WHO GHO Data'!$C$8:$C$201,0)),INDEX('WHO GHO Data'!$AE$8:$AE$12,MATCH('HCW, Staff, Beds Summary'!$E253,'WHO GHO Data'!$AD$8:$AD$12,0))*$G253/1000),"")</f>
        <v>275990.80434547196</v>
      </c>
      <c r="J253" s="28">
        <f>IFERROR(IFERROR(INDEX('WHO GHO Data'!$X$8:$X$201,MATCH('HCW, Staff, Beds Summary'!$C253,'WHO GHO Data'!$C$8:$C$201,0)),INDEX('WHO GHO Data'!$AF$8:$AF$12,MATCH('HCW, Staff, Beds Summary'!$E253,'WHO GHO Data'!$AD$8:$AD$12,0))*$G253/1000),"")</f>
        <v>11223.347885297519</v>
      </c>
      <c r="K253" s="1310">
        <f>IF(INDEX('WB Beds'!$BN$827:$BN$1090,MATCH($C253,'WB Beds'!$C$827:$C$1090,0))="No reported value",INDEX('WB Beds'!$BR$829:$BR$833,MATCH($E253,'WB Beds'!$BP$829:$BP$833,0)),INDEX('WB Beds'!$BN$827:$BN$1090,MATCH($C253,'WB Beds'!$C$827:$C$1090)))</f>
        <v>8.8000000000000007</v>
      </c>
      <c r="L253" s="1311">
        <f>INDEX('WB Beds'!$BR$836:$BR$840,MATCH($E253,'WB Beds'!$BP$836:$BP$840,0))*100</f>
        <v>2.3800000000000003</v>
      </c>
      <c r="N253" s="1264">
        <f t="shared" si="7"/>
        <v>383497.25920000003</v>
      </c>
    </row>
    <row r="254" spans="2:14" x14ac:dyDescent="0.35">
      <c r="B254" s="41" t="s">
        <v>557</v>
      </c>
      <c r="C254" s="41" t="s">
        <v>558</v>
      </c>
      <c r="D254" s="129" t="s">
        <v>1089</v>
      </c>
      <c r="E254" s="129" t="s">
        <v>742</v>
      </c>
      <c r="F254" s="129" t="str">
        <f t="shared" si="6"/>
        <v>Not LMIC</v>
      </c>
      <c r="G254" s="28">
        <f>INDEX('UNDP Population Data'!$E$6:$E$269,MATCH($B254,'UNDP Population Data'!$B$6:$B$269,0))</f>
        <v>2685886000</v>
      </c>
      <c r="H254" s="28" t="str">
        <f>IFERROR(IFERROR(INDEX('WHO GHO Data'!$V$8:$V$201,MATCH('HCW, Staff, Beds Summary'!$C254,'WHO GHO Data'!$C$8:$C$201,0)),INDEX('WHO GHO Data'!$AF$8:$AF$12,MATCH('HCW, Staff, Beds Summary'!$E254,'WHO GHO Data'!$AD$8:$AD$12,0))*$G254/1000),"")</f>
        <v/>
      </c>
      <c r="I254" s="28" t="str">
        <f>IFERROR(IFERROR(INDEX('WHO GHO Data'!$U$8:$U$201,MATCH('HCW, Staff, Beds Summary'!$C254,'WHO GHO Data'!$C$8:$C$201,0)),INDEX('WHO GHO Data'!$AE$8:$AE$12,MATCH('HCW, Staff, Beds Summary'!$E254,'WHO GHO Data'!$AD$8:$AD$12,0))*$G254/1000),"")</f>
        <v/>
      </c>
      <c r="J254" s="28" t="str">
        <f>IFERROR(IFERROR(INDEX('WHO GHO Data'!$X$8:$X$201,MATCH('HCW, Staff, Beds Summary'!$C254,'WHO GHO Data'!$C$8:$C$201,0)),INDEX('WHO GHO Data'!$AF$8:$AF$12,MATCH('HCW, Staff, Beds Summary'!$E254,'WHO GHO Data'!$AD$8:$AD$12,0))*$G254/1000),"")</f>
        <v/>
      </c>
      <c r="K254" s="1310">
        <f>IF(INDEX('WB Beds'!$BN$827:$BN$1090,MATCH($C254,'WB Beds'!$C$827:$C$1090,0))="No reported value",INDEX('WB Beds'!$BR$829:$BR$833,MATCH($E254,'WB Beds'!$BP$829:$BP$833,0)),INDEX('WB Beds'!$BN$827:$BN$1090,MATCH($C254,'WB Beds'!$C$827:$C$1090)))</f>
        <v>3.8496473351827474</v>
      </c>
      <c r="L254" s="1311">
        <f>INDEX('WB Beds'!$BR$836:$BR$840,MATCH($E254,'WB Beds'!$BP$836:$BP$840,0))*100</f>
        <v>2.7250000000000001</v>
      </c>
      <c r="N254" s="1264">
        <f t="shared" si="7"/>
        <v>10339713.882504648</v>
      </c>
    </row>
    <row r="255" spans="2:14" x14ac:dyDescent="0.35">
      <c r="B255" s="41" t="s">
        <v>559</v>
      </c>
      <c r="C255" s="41" t="s">
        <v>560</v>
      </c>
      <c r="D255" s="129" t="s">
        <v>1044</v>
      </c>
      <c r="E255" s="129" t="s">
        <v>410</v>
      </c>
      <c r="F255" s="129" t="str">
        <f t="shared" si="6"/>
        <v>Not LMIC</v>
      </c>
      <c r="G255" s="28">
        <f>INDEX('UNDP Population Data'!$E$6:$E$269,MATCH($B255,'UNDP Population Data'!$B$6:$B$269,0))</f>
        <v>3494387</v>
      </c>
      <c r="H255" s="28">
        <f>IFERROR(IFERROR(INDEX('WHO GHO Data'!$V$8:$V$201,MATCH('HCW, Staff, Beds Summary'!$C255,'WHO GHO Data'!$C$8:$C$201,0)),INDEX('WHO GHO Data'!$AF$8:$AF$12,MATCH('HCW, Staff, Beds Summary'!$E255,'WHO GHO Data'!$AD$8:$AD$12,0))*$G255/1000),"")</f>
        <v>17647.085231243265</v>
      </c>
      <c r="I255" s="28">
        <f>IFERROR(IFERROR(INDEX('WHO GHO Data'!$U$8:$U$201,MATCH('HCW, Staff, Beds Summary'!$C255,'WHO GHO Data'!$C$8:$C$201,0)),INDEX('WHO GHO Data'!$AE$8:$AE$12,MATCH('HCW, Staff, Beds Summary'!$E255,'WHO GHO Data'!$AD$8:$AD$12,0))*$G255/1000),"")</f>
        <v>6744.0252966099815</v>
      </c>
      <c r="J255" s="28">
        <f>IFERROR(IFERROR(INDEX('WHO GHO Data'!$X$8:$X$201,MATCH('HCW, Staff, Beds Summary'!$C255,'WHO GHO Data'!$C$8:$C$201,0)),INDEX('WHO GHO Data'!$AF$8:$AF$12,MATCH('HCW, Staff, Beds Summary'!$E255,'WHO GHO Data'!$AD$8:$AD$12,0))*$G255/1000),"")</f>
        <v>1440.7634339117849</v>
      </c>
      <c r="K255" s="1310">
        <f>IF(INDEX('WB Beds'!$BN$827:$BN$1090,MATCH($C255,'WB Beds'!$C$827:$C$1090,0))="No reported value",INDEX('WB Beds'!$BR$829:$BR$833,MATCH($E255,'WB Beds'!$BP$829:$BP$833,0)),INDEX('WB Beds'!$BN$827:$BN$1090,MATCH($C255,'WB Beds'!$C$827:$C$1090)))</f>
        <v>2.8</v>
      </c>
      <c r="L255" s="1311">
        <f>INDEX('WB Beds'!$BR$836:$BR$840,MATCH($E255,'WB Beds'!$BP$836:$BP$840,0))*100</f>
        <v>3.5700000000000003</v>
      </c>
      <c r="N255" s="1264">
        <f t="shared" si="7"/>
        <v>9784.2835999999988</v>
      </c>
    </row>
    <row r="256" spans="2:14" x14ac:dyDescent="0.35">
      <c r="B256" s="41" t="s">
        <v>556</v>
      </c>
      <c r="C256" s="41" t="s">
        <v>149</v>
      </c>
      <c r="D256" s="129" t="s">
        <v>1044</v>
      </c>
      <c r="E256" s="129" t="s">
        <v>410</v>
      </c>
      <c r="F256" s="129" t="str">
        <f t="shared" si="6"/>
        <v>Not LMIC</v>
      </c>
      <c r="G256" s="28">
        <f>INDEX('UNDP Population Data'!$E$6:$E$269,MATCH($B256,'UNDP Population Data'!$B$6:$B$269,0))</f>
        <v>331431534</v>
      </c>
      <c r="H256" s="28">
        <f>IFERROR(IFERROR(INDEX('WHO GHO Data'!$V$8:$V$201,MATCH('HCW, Staff, Beds Summary'!$C256,'WHO GHO Data'!$C$8:$C$201,0)),INDEX('WHO GHO Data'!$AF$8:$AF$12,MATCH('HCW, Staff, Beds Summary'!$E256,'WHO GHO Data'!$AD$8:$AD$12,0))*$G256/1000),"")</f>
        <v>867313.5634597881</v>
      </c>
      <c r="I256" s="28">
        <f>IFERROR(IFERROR(INDEX('WHO GHO Data'!$U$8:$U$201,MATCH('HCW, Staff, Beds Summary'!$C256,'WHO GHO Data'!$C$8:$C$201,0)),INDEX('WHO GHO Data'!$AE$8:$AE$12,MATCH('HCW, Staff, Beds Summary'!$E256,'WHO GHO Data'!$AD$8:$AD$12,0))*$G256/1000),"")</f>
        <v>4830636.435094188</v>
      </c>
      <c r="J256" s="28">
        <f>IFERROR(IFERROR(INDEX('WHO GHO Data'!$X$8:$X$201,MATCH('HCW, Staff, Beds Summary'!$C256,'WHO GHO Data'!$C$8:$C$201,0)),INDEX('WHO GHO Data'!$AF$8:$AF$12,MATCH('HCW, Staff, Beds Summary'!$E256,'WHO GHO Data'!$AD$8:$AD$12,0))*$G256/1000),"")</f>
        <v>592701.69285150594</v>
      </c>
      <c r="K256" s="1310">
        <f>IF(INDEX('WB Beds'!$BN$827:$BN$1090,MATCH($C256,'WB Beds'!$C$827:$C$1090,0))="No reported value",INDEX('WB Beds'!$BR$829:$BR$833,MATCH($E256,'WB Beds'!$BP$829:$BP$833,0)),INDEX('WB Beds'!$BN$827:$BN$1090,MATCH($C256,'WB Beds'!$C$827:$C$1090)))</f>
        <v>2.9</v>
      </c>
      <c r="L256" s="1311">
        <f>INDEX('WB Beds'!$BR$836:$BR$840,MATCH($E256,'WB Beds'!$BP$836:$BP$840,0))*100</f>
        <v>3.5700000000000003</v>
      </c>
      <c r="N256" s="1264">
        <f t="shared" si="7"/>
        <v>961151.4486</v>
      </c>
    </row>
    <row r="257" spans="2:14" x14ac:dyDescent="0.35">
      <c r="B257" s="41" t="s">
        <v>561</v>
      </c>
      <c r="C257" s="41" t="s">
        <v>150</v>
      </c>
      <c r="D257" s="129" t="s">
        <v>1043</v>
      </c>
      <c r="E257" s="129" t="s">
        <v>454</v>
      </c>
      <c r="F257" s="129" t="str">
        <f t="shared" si="6"/>
        <v>LMIC</v>
      </c>
      <c r="G257" s="28">
        <f>INDEX('UNDP Population Data'!$E$6:$E$269,MATCH($B257,'UNDP Population Data'!$B$6:$B$269,0))</f>
        <v>33235824.999999996</v>
      </c>
      <c r="H257" s="28">
        <f>IFERROR(IFERROR(INDEX('WHO GHO Data'!$V$8:$V$201,MATCH('HCW, Staff, Beds Summary'!$C257,'WHO GHO Data'!$C$8:$C$201,0)),INDEX('WHO GHO Data'!$AF$8:$AF$12,MATCH('HCW, Staff, Beds Summary'!$E257,'WHO GHO Data'!$AD$8:$AD$12,0))*$G257/1000),"")</f>
        <v>78606.181836216623</v>
      </c>
      <c r="I257" s="28">
        <f>IFERROR(IFERROR(INDEX('WHO GHO Data'!$U$8:$U$201,MATCH('HCW, Staff, Beds Summary'!$C257,'WHO GHO Data'!$C$8:$C$201,0)),INDEX('WHO GHO Data'!$AE$8:$AE$12,MATCH('HCW, Staff, Beds Summary'!$E257,'WHO GHO Data'!$AD$8:$AD$12,0))*$G257/1000),"")</f>
        <v>346251.54194604961</v>
      </c>
      <c r="J257" s="28">
        <f>IFERROR(IFERROR(INDEX('WHO GHO Data'!$X$8:$X$201,MATCH('HCW, Staff, Beds Summary'!$C257,'WHO GHO Data'!$C$8:$C$201,0)),INDEX('WHO GHO Data'!$AF$8:$AF$12,MATCH('HCW, Staff, Beds Summary'!$E257,'WHO GHO Data'!$AD$8:$AD$12,0))*$G257/1000),"")</f>
        <v>8559.5177333743031</v>
      </c>
      <c r="K257" s="1310">
        <f>IF(INDEX('WB Beds'!$BN$827:$BN$1090,MATCH($C257,'WB Beds'!$C$827:$C$1090,0))="No reported value",INDEX('WB Beds'!$BR$829:$BR$833,MATCH($E257,'WB Beds'!$BP$829:$BP$833,0)),INDEX('WB Beds'!$BN$827:$BN$1090,MATCH($C257,'WB Beds'!$C$827:$C$1090)))</f>
        <v>4</v>
      </c>
      <c r="L257" s="1311">
        <f>INDEX('WB Beds'!$BR$836:$BR$840,MATCH($E257,'WB Beds'!$BP$836:$BP$840,0))*100</f>
        <v>2.3800000000000003</v>
      </c>
      <c r="N257" s="1264">
        <f t="shared" si="7"/>
        <v>132943.29999999999</v>
      </c>
    </row>
    <row r="258" spans="2:14" x14ac:dyDescent="0.35">
      <c r="B258" s="41" t="s">
        <v>535</v>
      </c>
      <c r="C258" s="41" t="s">
        <v>536</v>
      </c>
      <c r="D258" s="129" t="s">
        <v>1044</v>
      </c>
      <c r="E258" s="129" t="s">
        <v>557</v>
      </c>
      <c r="F258" s="129" t="str">
        <f t="shared" si="6"/>
        <v>LMIC</v>
      </c>
      <c r="G258" s="28">
        <f>INDEX('UNDP Population Data'!$E$6:$E$269,MATCH($B258,'UNDP Population Data'!$B$6:$B$269,0))</f>
        <v>110757</v>
      </c>
      <c r="H258" s="28">
        <f>IFERROR(IFERROR(INDEX('WHO GHO Data'!$V$8:$V$201,MATCH('HCW, Staff, Beds Summary'!$C258,'WHO GHO Data'!$C$8:$C$201,0)),INDEX('WHO GHO Data'!$AF$8:$AF$12,MATCH('HCW, Staff, Beds Summary'!$E258,'WHO GHO Data'!$AD$8:$AD$12,0))*$G258/1000),"")</f>
        <v>73.723110985797959</v>
      </c>
      <c r="I258" s="28">
        <f>IFERROR(IFERROR(INDEX('WHO GHO Data'!$U$8:$U$201,MATCH('HCW, Staff, Beds Summary'!$C258,'WHO GHO Data'!$C$8:$C$201,0)),INDEX('WHO GHO Data'!$AE$8:$AE$12,MATCH('HCW, Staff, Beds Summary'!$E258,'WHO GHO Data'!$AD$8:$AD$12,0))*$G258/1000),"")</f>
        <v>776.66498384905481</v>
      </c>
      <c r="J258" s="28">
        <f>IFERROR(IFERROR(INDEX('WHO GHO Data'!$X$8:$X$201,MATCH('HCW, Staff, Beds Summary'!$C258,'WHO GHO Data'!$C$8:$C$201,0)),INDEX('WHO GHO Data'!$AF$8:$AF$12,MATCH('HCW, Staff, Beds Summary'!$E258,'WHO GHO Data'!$AD$8:$AD$12,0))*$G258/1000),"")</f>
        <v>13.501350238813449</v>
      </c>
      <c r="K258" s="1310">
        <f>IF(INDEX('WB Beds'!$BN$827:$BN$1090,MATCH($C258,'WB Beds'!$C$827:$C$1090,0))="No reported value",INDEX('WB Beds'!$BR$829:$BR$833,MATCH($E258,'WB Beds'!$BP$829:$BP$833,0)),INDEX('WB Beds'!$BN$827:$BN$1090,MATCH($C258,'WB Beds'!$C$827:$C$1090)))</f>
        <v>2.6</v>
      </c>
      <c r="L258" s="1311">
        <f>INDEX('WB Beds'!$BR$836:$BR$840,MATCH($E258,'WB Beds'!$BP$836:$BP$840,0))*100</f>
        <v>3.32</v>
      </c>
      <c r="N258" s="1264">
        <f t="shared" si="7"/>
        <v>287.96820000000002</v>
      </c>
    </row>
    <row r="259" spans="2:14" x14ac:dyDescent="0.35">
      <c r="B259" s="41" t="s">
        <v>562</v>
      </c>
      <c r="C259" s="41" t="s">
        <v>563</v>
      </c>
      <c r="D259" s="129" t="s">
        <v>1044</v>
      </c>
      <c r="E259" s="129" t="s">
        <v>557</v>
      </c>
      <c r="F259" s="129" t="str">
        <f t="shared" si="6"/>
        <v>LMIC</v>
      </c>
      <c r="G259" s="28">
        <f>INDEX('UNDP Population Data'!$E$6:$E$269,MATCH($B259,'UNDP Population Data'!$B$6:$B$269,0))</f>
        <v>33172392</v>
      </c>
      <c r="H259" s="28">
        <f>IFERROR(IFERROR(INDEX('WHO GHO Data'!$V$8:$V$201,MATCH('HCW, Staff, Beds Summary'!$C259,'WHO GHO Data'!$C$8:$C$201,0)),INDEX('WHO GHO Data'!$AF$8:$AF$12,MATCH('HCW, Staff, Beds Summary'!$E259,'WHO GHO Data'!$AD$8:$AD$12,0))*$G259/1000),"")</f>
        <v>60922.88561475325</v>
      </c>
      <c r="I259" s="28">
        <f>IFERROR(IFERROR(INDEX('WHO GHO Data'!$U$8:$U$201,MATCH('HCW, Staff, Beds Summary'!$C259,'WHO GHO Data'!$C$8:$C$201,0)),INDEX('WHO GHO Data'!$AE$8:$AE$12,MATCH('HCW, Staff, Beds Summary'!$E259,'WHO GHO Data'!$AD$8:$AD$12,0))*$G259/1000),"")</f>
        <v>27891.236623254772</v>
      </c>
      <c r="J259" s="28">
        <f>IFERROR(IFERROR(INDEX('WHO GHO Data'!$X$8:$X$201,MATCH('HCW, Staff, Beds Summary'!$C259,'WHO GHO Data'!$C$8:$C$201,0)),INDEX('WHO GHO Data'!$AF$8:$AF$12,MATCH('HCW, Staff, Beds Summary'!$E259,'WHO GHO Data'!$AD$8:$AD$12,0))*$G259/1000),"")</f>
        <v>7064.2675163812373</v>
      </c>
      <c r="K259" s="1310">
        <f>IF(INDEX('WB Beds'!$BN$827:$BN$1090,MATCH($C259,'WB Beds'!$C$827:$C$1090,0))="No reported value",INDEX('WB Beds'!$BR$829:$BR$833,MATCH($E259,'WB Beds'!$BP$829:$BP$833,0)),INDEX('WB Beds'!$BN$827:$BN$1090,MATCH($C259,'WB Beds'!$C$827:$C$1090)))</f>
        <v>0.8</v>
      </c>
      <c r="L259" s="1311">
        <f>INDEX('WB Beds'!$BR$836:$BR$840,MATCH($E259,'WB Beds'!$BP$836:$BP$840,0))*100</f>
        <v>3.32</v>
      </c>
      <c r="N259" s="1264">
        <f t="shared" si="7"/>
        <v>26537.9136</v>
      </c>
    </row>
    <row r="260" spans="2:14" x14ac:dyDescent="0.35">
      <c r="B260" s="41" t="s">
        <v>337</v>
      </c>
      <c r="C260" s="41" t="s">
        <v>338</v>
      </c>
      <c r="D260" s="129" t="s">
        <v>1089</v>
      </c>
      <c r="E260" s="129" t="s">
        <v>410</v>
      </c>
      <c r="F260" s="129" t="str">
        <f t="shared" si="6"/>
        <v>Not LMIC</v>
      </c>
      <c r="G260" s="28">
        <f>INDEX('UNDP Population Data'!$E$6:$E$269,MATCH($B260,'UNDP Population Data'!$B$6:$B$269,0))</f>
        <v>32634</v>
      </c>
      <c r="H260" s="28">
        <f>IFERROR(IFERROR(INDEX('WHO GHO Data'!$V$8:$V$201,MATCH('HCW, Staff, Beds Summary'!$C260,'WHO GHO Data'!$C$8:$C$201,0)),INDEX('WHO GHO Data'!$AF$8:$AF$12,MATCH('HCW, Staff, Beds Summary'!$E260,'WHO GHO Data'!$AD$8:$AD$12,0))*$G260/1000),"")</f>
        <v>108.97969020690375</v>
      </c>
      <c r="I260" s="28">
        <f>IFERROR(IFERROR(INDEX('WHO GHO Data'!$U$8:$U$201,MATCH('HCW, Staff, Beds Summary'!$C260,'WHO GHO Data'!$C$8:$C$201,0)),INDEX('WHO GHO Data'!$AE$8:$AE$12,MATCH('HCW, Staff, Beds Summary'!$E260,'WHO GHO Data'!$AD$8:$AD$12,0))*$G260/1000),"")</f>
        <v>275.82036879051776</v>
      </c>
      <c r="J260" s="28">
        <f>IFERROR(IFERROR(INDEX('WHO GHO Data'!$X$8:$X$201,MATCH('HCW, Staff, Beds Summary'!$C260,'WHO GHO Data'!$C$8:$C$201,0)),INDEX('WHO GHO Data'!$AF$8:$AF$12,MATCH('HCW, Staff, Beds Summary'!$E260,'WHO GHO Data'!$AD$8:$AD$12,0))*$G260/1000),"")</f>
        <v>108.97969020690375</v>
      </c>
      <c r="K260" s="1310">
        <f>IF(INDEX('WB Beds'!$BN$827:$BN$1090,MATCH($C260,'WB Beds'!$C$827:$C$1090,0))="No reported value",INDEX('WB Beds'!$BR$829:$BR$833,MATCH($E260,'WB Beds'!$BP$829:$BP$833,0)),INDEX('WB Beds'!$BN$827:$BN$1090,MATCH($C260,'WB Beds'!$C$827:$C$1090)))</f>
        <v>4.82</v>
      </c>
      <c r="L260" s="1311">
        <f>INDEX('WB Beds'!$BR$836:$BR$840,MATCH($E260,'WB Beds'!$BP$836:$BP$840,0))*100</f>
        <v>3.5700000000000003</v>
      </c>
      <c r="N260" s="1264">
        <f t="shared" si="7"/>
        <v>157.29588000000001</v>
      </c>
    </row>
    <row r="261" spans="2:14" x14ac:dyDescent="0.35">
      <c r="B261" s="41" t="s">
        <v>565</v>
      </c>
      <c r="C261" s="41" t="s">
        <v>566</v>
      </c>
      <c r="D261" s="129" t="s">
        <v>1089</v>
      </c>
      <c r="E261" s="129" t="s">
        <v>410</v>
      </c>
      <c r="F261" s="129" t="str">
        <f t="shared" si="6"/>
        <v>Not LMIC</v>
      </c>
      <c r="G261" s="28">
        <f>INDEX('UNDP Population Data'!$E$6:$E$269,MATCH($B261,'UNDP Population Data'!$B$6:$B$269,0))</f>
        <v>104858</v>
      </c>
      <c r="H261" s="28">
        <f>IFERROR(IFERROR(INDEX('WHO GHO Data'!$V$8:$V$201,MATCH('HCW, Staff, Beds Summary'!$C261,'WHO GHO Data'!$C$8:$C$201,0)),INDEX('WHO GHO Data'!$AF$8:$AF$12,MATCH('HCW, Staff, Beds Summary'!$E261,'WHO GHO Data'!$AD$8:$AD$12,0))*$G261/1000),"")</f>
        <v>350.16830163986992</v>
      </c>
      <c r="I261" s="28">
        <f>IFERROR(IFERROR(INDEX('WHO GHO Data'!$U$8:$U$201,MATCH('HCW, Staff, Beds Summary'!$C261,'WHO GHO Data'!$C$8:$C$201,0)),INDEX('WHO GHO Data'!$AE$8:$AE$12,MATCH('HCW, Staff, Beds Summary'!$E261,'WHO GHO Data'!$AD$8:$AD$12,0))*$G261/1000),"")</f>
        <v>886.25274960581316</v>
      </c>
      <c r="J261" s="28">
        <f>IFERROR(IFERROR(INDEX('WHO GHO Data'!$X$8:$X$201,MATCH('HCW, Staff, Beds Summary'!$C261,'WHO GHO Data'!$C$8:$C$201,0)),INDEX('WHO GHO Data'!$AF$8:$AF$12,MATCH('HCW, Staff, Beds Summary'!$E261,'WHO GHO Data'!$AD$8:$AD$12,0))*$G261/1000),"")</f>
        <v>350.16830163986992</v>
      </c>
      <c r="K261" s="1310">
        <f>IF(INDEX('WB Beds'!$BN$827:$BN$1090,MATCH($C261,'WB Beds'!$C$827:$C$1090,0))="No reported value",INDEX('WB Beds'!$BR$829:$BR$833,MATCH($E261,'WB Beds'!$BP$829:$BP$833,0)),INDEX('WB Beds'!$BN$827:$BN$1090,MATCH($C261,'WB Beds'!$C$827:$C$1090)))</f>
        <v>18.6800003052</v>
      </c>
      <c r="L261" s="1311">
        <f>INDEX('WB Beds'!$BR$836:$BR$840,MATCH($E261,'WB Beds'!$BP$836:$BP$840,0))*100</f>
        <v>3.5700000000000003</v>
      </c>
      <c r="N261" s="1264">
        <f t="shared" si="7"/>
        <v>1958.7474720026617</v>
      </c>
    </row>
    <row r="262" spans="2:14" x14ac:dyDescent="0.35">
      <c r="B262" s="41" t="s">
        <v>564</v>
      </c>
      <c r="C262" s="41" t="s">
        <v>160</v>
      </c>
      <c r="D262" s="129" t="s">
        <v>1100</v>
      </c>
      <c r="E262" s="129" t="s">
        <v>454</v>
      </c>
      <c r="F262" s="129" t="str">
        <f t="shared" si="6"/>
        <v>LMIC</v>
      </c>
      <c r="G262" s="28">
        <f>INDEX('UNDP Population Data'!$E$6:$E$269,MATCH($B262,'UNDP Population Data'!$B$6:$B$269,0))</f>
        <v>98360145</v>
      </c>
      <c r="H262" s="28">
        <f>IFERROR(IFERROR(INDEX('WHO GHO Data'!$V$8:$V$201,MATCH('HCW, Staff, Beds Summary'!$C262,'WHO GHO Data'!$C$8:$C$201,0)),INDEX('WHO GHO Data'!$AF$8:$AF$12,MATCH('HCW, Staff, Beds Summary'!$E262,'WHO GHO Data'!$AD$8:$AD$12,0))*$G262/1000),"")</f>
        <v>80697.559730099034</v>
      </c>
      <c r="I262" s="28">
        <f>IFERROR(IFERROR(INDEX('WHO GHO Data'!$U$8:$U$201,MATCH('HCW, Staff, Beds Summary'!$C262,'WHO GHO Data'!$C$8:$C$201,0)),INDEX('WHO GHO Data'!$AE$8:$AE$12,MATCH('HCW, Staff, Beds Summary'!$E262,'WHO GHO Data'!$AD$8:$AD$12,0))*$G262/1000),"")</f>
        <v>110998.56247119492</v>
      </c>
      <c r="J262" s="28">
        <f>IFERROR(IFERROR(INDEX('WHO GHO Data'!$X$8:$X$201,MATCH('HCW, Staff, Beds Summary'!$C262,'WHO GHO Data'!$C$8:$C$201,0)),INDEX('WHO GHO Data'!$AF$8:$AF$12,MATCH('HCW, Staff, Beds Summary'!$E262,'WHO GHO Data'!$AD$8:$AD$12,0))*$G262/1000),"")</f>
        <v>25331.56331713649</v>
      </c>
      <c r="K262" s="1310">
        <f>IF(INDEX('WB Beds'!$BN$827:$BN$1090,MATCH($C262,'WB Beds'!$C$827:$C$1090,0))="No reported value",INDEX('WB Beds'!$BR$829:$BR$833,MATCH($E262,'WB Beds'!$BP$829:$BP$833,0)),INDEX('WB Beds'!$BN$827:$BN$1090,MATCH($C262,'WB Beds'!$C$827:$C$1090)))</f>
        <v>2.6</v>
      </c>
      <c r="L262" s="1311">
        <f>INDEX('WB Beds'!$BR$836:$BR$840,MATCH($E262,'WB Beds'!$BP$836:$BP$840,0))*100</f>
        <v>2.3800000000000003</v>
      </c>
      <c r="N262" s="1264">
        <f t="shared" si="7"/>
        <v>255736.37700000001</v>
      </c>
    </row>
    <row r="263" spans="2:14" x14ac:dyDescent="0.35">
      <c r="B263" s="41" t="s">
        <v>258</v>
      </c>
      <c r="C263" s="41" t="s">
        <v>151</v>
      </c>
      <c r="D263" s="129" t="s">
        <v>1100</v>
      </c>
      <c r="E263" s="129" t="s">
        <v>454</v>
      </c>
      <c r="F263" s="129" t="str">
        <f t="shared" si="6"/>
        <v>LMIC</v>
      </c>
      <c r="G263" s="28">
        <f>INDEX('UNDP Population Data'!$E$6:$E$269,MATCH($B263,'UNDP Population Data'!$B$6:$B$269,0))</f>
        <v>293934</v>
      </c>
      <c r="H263" s="28">
        <f>IFERROR(IFERROR(INDEX('WHO GHO Data'!$V$8:$V$201,MATCH('HCW, Staff, Beds Summary'!$C263,'WHO GHO Data'!$C$8:$C$201,0)),INDEX('WHO GHO Data'!$AF$8:$AF$12,MATCH('HCW, Staff, Beds Summary'!$E263,'WHO GHO Data'!$AD$8:$AD$12,0))*$G263/1000),"")</f>
        <v>50.03591896283455</v>
      </c>
      <c r="I263" s="28">
        <f>IFERROR(IFERROR(INDEX('WHO GHO Data'!$U$8:$U$201,MATCH('HCW, Staff, Beds Summary'!$C263,'WHO GHO Data'!$C$8:$C$201,0)),INDEX('WHO GHO Data'!$AE$8:$AE$12,MATCH('HCW, Staff, Beds Summary'!$E263,'WHO GHO Data'!$AD$8:$AD$12,0))*$G263/1000),"")</f>
        <v>434.90868388183907</v>
      </c>
      <c r="J263" s="28">
        <f>IFERROR(IFERROR(INDEX('WHO GHO Data'!$X$8:$X$201,MATCH('HCW, Staff, Beds Summary'!$C263,'WHO GHO Data'!$C$8:$C$201,0)),INDEX('WHO GHO Data'!$AF$8:$AF$12,MATCH('HCW, Staff, Beds Summary'!$E263,'WHO GHO Data'!$AD$8:$AD$12,0))*$G263/1000),"")</f>
        <v>69.807182420068727</v>
      </c>
      <c r="K263" s="1310">
        <f>IF(INDEX('WB Beds'!$BN$827:$BN$1090,MATCH($C263,'WB Beds'!$C$827:$C$1090,0))="No reported value",INDEX('WB Beds'!$BR$829:$BR$833,MATCH($E263,'WB Beds'!$BP$829:$BP$833,0)),INDEX('WB Beds'!$BN$827:$BN$1090,MATCH($C263,'WB Beds'!$C$827:$C$1090)))</f>
        <v>1.7</v>
      </c>
      <c r="L263" s="1311">
        <f>INDEX('WB Beds'!$BR$836:$BR$840,MATCH($E263,'WB Beds'!$BP$836:$BP$840,0))*100</f>
        <v>2.3800000000000003</v>
      </c>
      <c r="N263" s="1264">
        <f t="shared" si="7"/>
        <v>499.68779999999998</v>
      </c>
    </row>
    <row r="264" spans="2:14" x14ac:dyDescent="0.35">
      <c r="B264" s="41" t="s">
        <v>569</v>
      </c>
      <c r="C264" s="41" t="s">
        <v>570</v>
      </c>
      <c r="D264" s="129" t="s">
        <v>1089</v>
      </c>
      <c r="E264" s="129" t="s">
        <v>742</v>
      </c>
      <c r="F264" s="129" t="str">
        <f t="shared" ref="F264:F271" si="8">IF(OR(E264="High income",E264="Out"),"Not LMIC","LMIC")</f>
        <v>Not LMIC</v>
      </c>
      <c r="G264" s="28">
        <f>INDEX('UNDP Population Data'!$E$6:$E$269,MATCH($B264,'UNDP Population Data'!$B$6:$B$269,0))</f>
        <v>7754179000</v>
      </c>
      <c r="H264" s="28" t="str">
        <f>IFERROR(IFERROR(INDEX('WHO GHO Data'!$V$8:$V$201,MATCH('HCW, Staff, Beds Summary'!$C264,'WHO GHO Data'!$C$8:$C$201,0)),INDEX('WHO GHO Data'!$AF$8:$AF$12,MATCH('HCW, Staff, Beds Summary'!$E264,'WHO GHO Data'!$AD$8:$AD$12,0))*$G264/1000),"")</f>
        <v/>
      </c>
      <c r="I264" s="28" t="str">
        <f>IFERROR(IFERROR(INDEX('WHO GHO Data'!$U$8:$U$201,MATCH('HCW, Staff, Beds Summary'!$C264,'WHO GHO Data'!$C$8:$C$201,0)),INDEX('WHO GHO Data'!$AE$8:$AE$12,MATCH('HCW, Staff, Beds Summary'!$E264,'WHO GHO Data'!$AD$8:$AD$12,0))*$G264/1000),"")</f>
        <v/>
      </c>
      <c r="J264" s="28" t="str">
        <f>IFERROR(IFERROR(INDEX('WHO GHO Data'!$X$8:$X$201,MATCH('HCW, Staff, Beds Summary'!$C264,'WHO GHO Data'!$C$8:$C$201,0)),INDEX('WHO GHO Data'!$AF$8:$AF$12,MATCH('HCW, Staff, Beds Summary'!$E264,'WHO GHO Data'!$AD$8:$AD$12,0))*$G264/1000),"")</f>
        <v/>
      </c>
      <c r="K264" s="1310">
        <f>IF(INDEX('WB Beds'!$BN$827:$BN$1090,MATCH($C264,'WB Beds'!$C$827:$C$1090,0))="No reported value",INDEX('WB Beds'!$BR$829:$BR$833,MATCH($E264,'WB Beds'!$BP$829:$BP$833,0)),INDEX('WB Beds'!$BN$827:$BN$1090,MATCH($C264,'WB Beds'!$C$827:$C$1090)))</f>
        <v>2.7047692810942441</v>
      </c>
      <c r="L264" s="1311">
        <f>INDEX('WB Beds'!$BR$836:$BR$840,MATCH($E264,'WB Beds'!$BP$836:$BP$840,0))*100</f>
        <v>2.7250000000000001</v>
      </c>
      <c r="N264" s="1264">
        <f t="shared" ref="N264:N270" si="9">K264*G264/1000</f>
        <v>20973265.159306083</v>
      </c>
    </row>
    <row r="265" spans="2:14" x14ac:dyDescent="0.35">
      <c r="B265" s="41" t="s">
        <v>254</v>
      </c>
      <c r="C265" s="41" t="s">
        <v>152</v>
      </c>
      <c r="D265" s="129" t="s">
        <v>1100</v>
      </c>
      <c r="E265" s="129" t="s">
        <v>557</v>
      </c>
      <c r="F265" s="129" t="str">
        <f t="shared" si="8"/>
        <v>LMIC</v>
      </c>
      <c r="G265" s="28">
        <f>INDEX('UNDP Population Data'!$E$6:$E$269,MATCH($B265,'UNDP Population Data'!$B$6:$B$269,0))</f>
        <v>200117</v>
      </c>
      <c r="H265" s="28">
        <f>IFERROR(IFERROR(INDEX('WHO GHO Data'!$V$8:$V$201,MATCH('HCW, Staff, Beds Summary'!$C265,'WHO GHO Data'!$C$8:$C$201,0)),INDEX('WHO GHO Data'!$AF$8:$AF$12,MATCH('HCW, Staff, Beds Summary'!$E265,'WHO GHO Data'!$AD$8:$AD$12,0))*$G265/1000),"")</f>
        <v>68.753131237258799</v>
      </c>
      <c r="I265" s="28">
        <f>IFERROR(IFERROR(INDEX('WHO GHO Data'!$U$8:$U$201,MATCH('HCW, Staff, Beds Summary'!$C265,'WHO GHO Data'!$C$8:$C$201,0)),INDEX('WHO GHO Data'!$AE$8:$AE$12,MATCH('HCW, Staff, Beds Summary'!$E265,'WHO GHO Data'!$AD$8:$AD$12,0))*$G265/1000),"")</f>
        <v>494.34331060185531</v>
      </c>
      <c r="J265" s="28">
        <f>IFERROR(IFERROR(INDEX('WHO GHO Data'!$X$8:$X$201,MATCH('HCW, Staff, Beds Summary'!$C265,'WHO GHO Data'!$C$8:$C$201,0)),INDEX('WHO GHO Data'!$AF$8:$AF$12,MATCH('HCW, Staff, Beds Summary'!$E265,'WHO GHO Data'!$AD$8:$AD$12,0))*$G265/1000),"")</f>
        <v>38.461679375844227</v>
      </c>
      <c r="K265" s="1310">
        <f>IF(INDEX('WB Beds'!$BN$827:$BN$1090,MATCH($C265,'WB Beds'!$C$827:$C$1090,0))="No reported value",INDEX('WB Beds'!$BR$829:$BR$833,MATCH($E265,'WB Beds'!$BP$829:$BP$833,0)),INDEX('WB Beds'!$BN$827:$BN$1090,MATCH($C265,'WB Beds'!$C$827:$C$1090)))</f>
        <v>1</v>
      </c>
      <c r="L265" s="1311">
        <f>INDEX('WB Beds'!$BR$836:$BR$840,MATCH($E265,'WB Beds'!$BP$836:$BP$840,0))*100</f>
        <v>3.32</v>
      </c>
      <c r="N265" s="1264">
        <f t="shared" si="9"/>
        <v>200.11699999999999</v>
      </c>
    </row>
    <row r="266" spans="2:14" x14ac:dyDescent="0.35">
      <c r="B266" s="41" t="s">
        <v>237</v>
      </c>
      <c r="C266" s="41" t="s">
        <v>430</v>
      </c>
      <c r="D266" s="129" t="s">
        <v>1089</v>
      </c>
      <c r="E266" s="129" t="s">
        <v>557</v>
      </c>
      <c r="F266" s="129" t="str">
        <f t="shared" si="8"/>
        <v>LMIC</v>
      </c>
      <c r="G266" s="28">
        <f>INDEX('UNDP Population Data'!$E$6:$E$269,MATCH($B266,'UNDP Population Data'!$B$6:$B$269,0))</f>
        <v>1870000</v>
      </c>
      <c r="H266" s="28">
        <f>IFERROR(IFERROR(INDEX('WHO GHO Data'!$V$8:$V$201,MATCH('HCW, Staff, Beds Summary'!$C266,'WHO GHO Data'!$C$8:$C$201,0)),INDEX('WHO GHO Data'!$AF$8:$AF$12,MATCH('HCW, Staff, Beds Summary'!$E266,'WHO GHO Data'!$AD$8:$AD$12,0))*$G266/1000),"")</f>
        <v>3942.6982848434782</v>
      </c>
      <c r="I266" s="28">
        <f>IFERROR(IFERROR(INDEX('WHO GHO Data'!$U$8:$U$201,MATCH('HCW, Staff, Beds Summary'!$C266,'WHO GHO Data'!$C$8:$C$201,0)),INDEX('WHO GHO Data'!$AE$8:$AE$12,MATCH('HCW, Staff, Beds Summary'!$E266,'WHO GHO Data'!$AD$8:$AD$12,0))*$G266/1000),"")</f>
        <v>7215.748566367105</v>
      </c>
      <c r="J266" s="28">
        <f>IFERROR(IFERROR(INDEX('WHO GHO Data'!$X$8:$X$201,MATCH('HCW, Staff, Beds Summary'!$C266,'WHO GHO Data'!$C$8:$C$201,0)),INDEX('WHO GHO Data'!$AF$8:$AF$12,MATCH('HCW, Staff, Beds Summary'!$E266,'WHO GHO Data'!$AD$8:$AD$12,0))*$G266/1000),"")</f>
        <v>3942.6982848434782</v>
      </c>
      <c r="K266" s="1310">
        <f>IF(INDEX('WB Beds'!$BN$827:$BN$1090,MATCH($C266,'WB Beds'!$C$827:$C$1090,0))="No reported value",INDEX('WB Beds'!$BR$829:$BR$833,MATCH($E266,'WB Beds'!$BP$829:$BP$833,0)),INDEX('WB Beds'!$BN$827:$BN$1090,MATCH($C266,'WB Beds'!$C$827:$C$1090)))</f>
        <v>3.41</v>
      </c>
      <c r="L266" s="1311">
        <f>INDEX('WB Beds'!$BR$836:$BR$840,MATCH($E266,'WB Beds'!$BP$836:$BP$840,0))*100</f>
        <v>3.32</v>
      </c>
      <c r="N266" s="1264">
        <f t="shared" si="9"/>
        <v>6376.7</v>
      </c>
    </row>
    <row r="267" spans="2:14" x14ac:dyDescent="0.35">
      <c r="B267" s="41" t="s">
        <v>571</v>
      </c>
      <c r="C267" s="41" t="s">
        <v>153</v>
      </c>
      <c r="D267" s="129" t="s">
        <v>1041</v>
      </c>
      <c r="E267" s="129" t="s">
        <v>452</v>
      </c>
      <c r="F267" s="129" t="str">
        <f t="shared" si="8"/>
        <v>LMIC</v>
      </c>
      <c r="G267" s="28">
        <f>INDEX('UNDP Population Data'!$E$6:$E$269,MATCH($B267,'UNDP Population Data'!$B$6:$B$269,0))</f>
        <v>30245305</v>
      </c>
      <c r="H267" s="28">
        <f>IFERROR(IFERROR(INDEX('WHO GHO Data'!$V$8:$V$201,MATCH('HCW, Staff, Beds Summary'!$C267,'WHO GHO Data'!$C$8:$C$201,0)),INDEX('WHO GHO Data'!$AF$8:$AF$12,MATCH('HCW, Staff, Beds Summary'!$E267,'WHO GHO Data'!$AD$8:$AD$12,0))*$G267/1000),"")</f>
        <v>15596.696459732802</v>
      </c>
      <c r="I267" s="28">
        <f>IFERROR(IFERROR(INDEX('WHO GHO Data'!$U$8:$U$201,MATCH('HCW, Staff, Beds Summary'!$C267,'WHO GHO Data'!$C$8:$C$201,0)),INDEX('WHO GHO Data'!$AE$8:$AE$12,MATCH('HCW, Staff, Beds Summary'!$E267,'WHO GHO Data'!$AD$8:$AD$12,0))*$G267/1000),"")</f>
        <v>23445.500346762601</v>
      </c>
      <c r="J267" s="28">
        <f>IFERROR(IFERROR(INDEX('WHO GHO Data'!$X$8:$X$201,MATCH('HCW, Staff, Beds Summary'!$C267,'WHO GHO Data'!$C$8:$C$201,0)),INDEX('WHO GHO Data'!$AF$8:$AF$12,MATCH('HCW, Staff, Beds Summary'!$E267,'WHO GHO Data'!$AD$8:$AD$12,0))*$G267/1000),"")</f>
        <v>3689.5077688860929</v>
      </c>
      <c r="K267" s="1310">
        <f>IF(INDEX('WB Beds'!$BN$827:$BN$1090,MATCH($C267,'WB Beds'!$C$827:$C$1090,0))="No reported value",INDEX('WB Beds'!$BR$829:$BR$833,MATCH($E267,'WB Beds'!$BP$829:$BP$833,0)),INDEX('WB Beds'!$BN$827:$BN$1090,MATCH($C267,'WB Beds'!$C$827:$C$1090)))</f>
        <v>0.7</v>
      </c>
      <c r="L267" s="1311">
        <f>INDEX('WB Beds'!$BR$836:$BR$840,MATCH($E267,'WB Beds'!$BP$836:$BP$840,0))*100</f>
        <v>1.63</v>
      </c>
      <c r="N267" s="1264">
        <f t="shared" si="9"/>
        <v>21171.713500000002</v>
      </c>
    </row>
    <row r="268" spans="2:14" x14ac:dyDescent="0.35">
      <c r="B268" s="41" t="s">
        <v>178</v>
      </c>
      <c r="C268" s="41" t="s">
        <v>154</v>
      </c>
      <c r="D268" s="129" t="s">
        <v>1042</v>
      </c>
      <c r="E268" s="129" t="s">
        <v>557</v>
      </c>
      <c r="F268" s="129" t="str">
        <f t="shared" si="8"/>
        <v>LMIC</v>
      </c>
      <c r="G268" s="28">
        <f>INDEX('UNDP Population Data'!$E$6:$E$269,MATCH($B268,'UNDP Population Data'!$B$6:$B$269,0))</f>
        <v>58721229</v>
      </c>
      <c r="H268" s="28">
        <f>IFERROR(IFERROR(INDEX('WHO GHO Data'!$V$8:$V$201,MATCH('HCW, Staff, Beds Summary'!$C268,'WHO GHO Data'!$C$8:$C$201,0)),INDEX('WHO GHO Data'!$AF$8:$AF$12,MATCH('HCW, Staff, Beds Summary'!$E268,'WHO GHO Data'!$AD$8:$AD$12,0))*$G268/1000),"")</f>
        <v>53514.035253918642</v>
      </c>
      <c r="I268" s="28">
        <f>IFERROR(IFERROR(INDEX('WHO GHO Data'!$U$8:$U$201,MATCH('HCW, Staff, Beds Summary'!$C268,'WHO GHO Data'!$C$8:$C$201,0)),INDEX('WHO GHO Data'!$AE$8:$AE$12,MATCH('HCW, Staff, Beds Summary'!$E268,'WHO GHO Data'!$AD$8:$AD$12,0))*$G268/1000),"")</f>
        <v>77297.590134670609</v>
      </c>
      <c r="J268" s="28">
        <f>IFERROR(IFERROR(INDEX('WHO GHO Data'!$X$8:$X$201,MATCH('HCW, Staff, Beds Summary'!$C268,'WHO GHO Data'!$C$8:$C$201,0)),INDEX('WHO GHO Data'!$AF$8:$AF$12,MATCH('HCW, Staff, Beds Summary'!$E268,'WHO GHO Data'!$AD$8:$AD$12,0))*$G268/1000),"")</f>
        <v>639.34520998585185</v>
      </c>
      <c r="K268" s="1310">
        <f>IF(INDEX('WB Beds'!$BN$827:$BN$1090,MATCH($C268,'WB Beds'!$C$827:$C$1090,0))="No reported value",INDEX('WB Beds'!$BR$829:$BR$833,MATCH($E268,'WB Beds'!$BP$829:$BP$833,0)),INDEX('WB Beds'!$BN$827:$BN$1090,MATCH($C268,'WB Beds'!$C$827:$C$1090)))</f>
        <v>2.8</v>
      </c>
      <c r="L268" s="1311">
        <f>INDEX('WB Beds'!$BR$836:$BR$840,MATCH($E268,'WB Beds'!$BP$836:$BP$840,0))*100</f>
        <v>3.32</v>
      </c>
      <c r="N268" s="1264">
        <f t="shared" si="9"/>
        <v>164419.4412</v>
      </c>
    </row>
    <row r="269" spans="2:14" x14ac:dyDescent="0.35">
      <c r="B269" s="41" t="s">
        <v>217</v>
      </c>
      <c r="C269" s="41" t="s">
        <v>155</v>
      </c>
      <c r="D269" s="129" t="s">
        <v>1042</v>
      </c>
      <c r="E269" s="129" t="s">
        <v>454</v>
      </c>
      <c r="F269" s="129" t="str">
        <f t="shared" si="8"/>
        <v>LMIC</v>
      </c>
      <c r="G269" s="28">
        <f>INDEX('UNDP Population Data'!$E$6:$E$269,MATCH($B269,'UNDP Population Data'!$B$6:$B$269,0))</f>
        <v>18679273</v>
      </c>
      <c r="H269" s="28">
        <f>IFERROR(IFERROR(INDEX('WHO GHO Data'!$V$8:$V$201,MATCH('HCW, Staff, Beds Summary'!$C269,'WHO GHO Data'!$C$8:$C$201,0)),INDEX('WHO GHO Data'!$AF$8:$AF$12,MATCH('HCW, Staff, Beds Summary'!$E269,'WHO GHO Data'!$AD$8:$AD$12,0))*$G269/1000),"")</f>
        <v>21851.675490962065</v>
      </c>
      <c r="I269" s="28">
        <f>IFERROR(IFERROR(INDEX('WHO GHO Data'!$U$8:$U$201,MATCH('HCW, Staff, Beds Summary'!$C269,'WHO GHO Data'!$C$8:$C$201,0)),INDEX('WHO GHO Data'!$AE$8:$AE$12,MATCH('HCW, Staff, Beds Summary'!$E269,'WHO GHO Data'!$AD$8:$AD$12,0))*$G269/1000),"")</f>
        <v>24113.145087933564</v>
      </c>
      <c r="J269" s="28">
        <f>IFERROR(IFERROR(INDEX('WHO GHO Data'!$X$8:$X$201,MATCH('HCW, Staff, Beds Summary'!$C269,'WHO GHO Data'!$C$8:$C$201,0)),INDEX('WHO GHO Data'!$AF$8:$AF$12,MATCH('HCW, Staff, Beds Summary'!$E269,'WHO GHO Data'!$AD$8:$AD$12,0))*$G269/1000),"")</f>
        <v>468.00004329630764</v>
      </c>
      <c r="K269" s="1310">
        <f>IF(INDEX('WB Beds'!$BN$827:$BN$1090,MATCH($C269,'WB Beds'!$C$827:$C$1090,0))="No reported value",INDEX('WB Beds'!$BR$829:$BR$833,MATCH($E269,'WB Beds'!$BP$829:$BP$833,0)),INDEX('WB Beds'!$BN$827:$BN$1090,MATCH($C269,'WB Beds'!$C$827:$C$1090)))</f>
        <v>2</v>
      </c>
      <c r="L269" s="1311">
        <f>INDEX('WB Beds'!$BR$836:$BR$840,MATCH($E269,'WB Beds'!$BP$836:$BP$840,0))*100</f>
        <v>2.3800000000000003</v>
      </c>
      <c r="N269" s="1264">
        <f t="shared" si="9"/>
        <v>37358.546000000002</v>
      </c>
    </row>
    <row r="270" spans="2:14" x14ac:dyDescent="0.35">
      <c r="B270" s="41" t="s">
        <v>218</v>
      </c>
      <c r="C270" s="41" t="s">
        <v>156</v>
      </c>
      <c r="D270" s="129" t="s">
        <v>1042</v>
      </c>
      <c r="E270" s="129" t="s">
        <v>454</v>
      </c>
      <c r="F270" s="129" t="str">
        <f t="shared" si="8"/>
        <v>LMIC</v>
      </c>
      <c r="G270" s="28">
        <f>INDEX('UNDP Population Data'!$E$6:$E$269,MATCH($B270,'UNDP Population Data'!$B$6:$B$269,0))</f>
        <v>17680465</v>
      </c>
      <c r="H270" s="28">
        <f>IFERROR(IFERROR(INDEX('WHO GHO Data'!$V$8:$V$201,MATCH('HCW, Staff, Beds Summary'!$C270,'WHO GHO Data'!$C$8:$C$201,0)),INDEX('WHO GHO Data'!$AF$8:$AF$12,MATCH('HCW, Staff, Beds Summary'!$E270,'WHO GHO Data'!$AD$8:$AD$12,0))*$G270/1000),"")</f>
        <v>3167.0262336488813</v>
      </c>
      <c r="I270" s="28">
        <f>IFERROR(IFERROR(INDEX('WHO GHO Data'!$U$8:$U$201,MATCH('HCW, Staff, Beds Summary'!$C270,'WHO GHO Data'!$C$8:$C$201,0)),INDEX('WHO GHO Data'!$AE$8:$AE$12,MATCH('HCW, Staff, Beds Summary'!$E270,'WHO GHO Data'!$AD$8:$AD$12,0))*$G270/1000),"")</f>
        <v>29235.859488019778</v>
      </c>
      <c r="J270" s="28">
        <f>IFERROR(IFERROR(INDEX('WHO GHO Data'!$X$8:$X$201,MATCH('HCW, Staff, Beds Summary'!$C270,'WHO GHO Data'!$C$8:$C$201,0)),INDEX('WHO GHO Data'!$AF$8:$AF$12,MATCH('HCW, Staff, Beds Summary'!$E270,'WHO GHO Data'!$AD$8:$AD$12,0))*$G270/1000),"")</f>
        <v>1852.4905596690414</v>
      </c>
      <c r="K270" s="1310">
        <f>IF(INDEX('WB Beds'!$BN$827:$BN$1090,MATCH($C270,'WB Beds'!$C$827:$C$1090,0))="No reported value",INDEX('WB Beds'!$BR$829:$BR$833,MATCH($E270,'WB Beds'!$BP$829:$BP$833,0)),INDEX('WB Beds'!$BN$827:$BN$1090,MATCH($C270,'WB Beds'!$C$827:$C$1090)))</f>
        <v>1.7</v>
      </c>
      <c r="L270" s="1311">
        <f>INDEX('WB Beds'!$BR$836:$BR$840,MATCH($E270,'WB Beds'!$BP$836:$BP$840,0))*100</f>
        <v>2.3800000000000003</v>
      </c>
      <c r="N270" s="1264">
        <f t="shared" si="9"/>
        <v>30056.790499999999</v>
      </c>
    </row>
    <row r="271" spans="2:14" x14ac:dyDescent="0.35">
      <c r="B271" s="41" t="s">
        <v>689</v>
      </c>
      <c r="E271" s="41" t="s">
        <v>689</v>
      </c>
      <c r="F271" s="129" t="str">
        <f t="shared" si="8"/>
        <v>LMIC</v>
      </c>
      <c r="G271" s="34">
        <f>Inputs!$C$24</f>
        <v>3000</v>
      </c>
      <c r="H271" s="28">
        <f>IFERROR(IFERROR(INDEX('WHO GHO Data'!$V$8:$V$201,MATCH('HCW, Staff, Beds Summary'!$C271,'WHO GHO Data'!$C$8:$C$201,0)),INDEX('WHO GHO Data'!$AF$8:$AF$12,MATCH('HCW, Staff, Beds Summary'!$E271,'WHO GHO Data'!$AD$8:$AD$12,0))*$G271/1000),"")</f>
        <v>4.9092436964711581</v>
      </c>
      <c r="I271" s="28">
        <f>IFERROR(IFERROR(INDEX('WHO GHO Data'!$U$8:$U$201,MATCH('HCW, Staff, Beds Summary'!$C271,'WHO GHO Data'!$C$8:$C$201,0)),INDEX('WHO GHO Data'!$AE$8:$AE$12,MATCH('HCW, Staff, Beds Summary'!$E271,'WHO GHO Data'!$AD$8:$AD$12,0))*$G271/1000),"")</f>
        <v>11.370022586405174</v>
      </c>
      <c r="J271" s="28">
        <f>IFERROR(IFERROR(INDEX('WHO GHO Data'!$X$8:$X$201,MATCH('HCW, Staff, Beds Summary'!$C271,'WHO GHO Data'!$C$8:$C$201,0)),INDEX('WHO GHO Data'!$AF$8:$AF$12,MATCH('HCW, Staff, Beds Summary'!$E271,'WHO GHO Data'!$AD$8:$AD$12,0))*$G271/1000),"")</f>
        <v>4.9092436964711581</v>
      </c>
    </row>
    <row r="272" spans="2:14" x14ac:dyDescent="0.35">
      <c r="B272" s="41">
        <v>100</v>
      </c>
      <c r="G272" s="41">
        <f>$B272</f>
        <v>100</v>
      </c>
      <c r="H272" s="28" t="str">
        <f>IFERROR(IFERROR(INDEX('WHO GHO Data'!$V$8:$V$201,MATCH('HCW, Staff, Beds Summary'!$C272,'WHO GHO Data'!$C$8:$C$201,0)),INDEX('WHO GHO Data'!$AF$8:$AF$12,MATCH('HCW, Staff, Beds Summary'!$E272,'WHO GHO Data'!$AD$8:$AD$12,0))*$G272/1000),"")</f>
        <v/>
      </c>
      <c r="I272" s="28" t="str">
        <f>IFERROR(IFERROR(INDEX('WHO GHO Data'!$U$8:$U$201,MATCH('HCW, Staff, Beds Summary'!$C272,'WHO GHO Data'!$C$8:$C$201,0)),INDEX('WHO GHO Data'!$AE$8:$AE$12,MATCH('HCW, Staff, Beds Summary'!$E272,'WHO GHO Data'!$AD$8:$AD$12,0))*$G272/1000),"")</f>
        <v/>
      </c>
      <c r="J272" s="28" t="str">
        <f>IFERROR(IFERROR(INDEX('WHO GHO Data'!$X$8:$X$201,MATCH('HCW, Staff, Beds Summary'!$C272,'WHO GHO Data'!$C$8:$C$201,0)),INDEX('WHO GHO Data'!$AF$8:$AF$12,MATCH('HCW, Staff, Beds Summary'!$E272,'WHO GHO Data'!$AD$8:$AD$12,0))*$G272/1000),"")</f>
        <v/>
      </c>
    </row>
    <row r="273" spans="2:10" x14ac:dyDescent="0.35">
      <c r="B273" s="41">
        <v>1000</v>
      </c>
      <c r="G273" s="123">
        <f>$B273</f>
        <v>1000</v>
      </c>
      <c r="H273" s="28" t="str">
        <f>IFERROR(IFERROR(INDEX('WHO GHO Data'!$V$8:$V$201,MATCH('HCW, Staff, Beds Summary'!$C273,'WHO GHO Data'!$C$8:$C$201,0)),INDEX('WHO GHO Data'!$AF$8:$AF$12,MATCH('HCW, Staff, Beds Summary'!$E273,'WHO GHO Data'!$AD$8:$AD$12,0))*$G273/1000),"")</f>
        <v/>
      </c>
      <c r="I273" s="28" t="str">
        <f>IFERROR(IFERROR(INDEX('WHO GHO Data'!$U$8:$U$201,MATCH('HCW, Staff, Beds Summary'!$C273,'WHO GHO Data'!$C$8:$C$201,0)),INDEX('WHO GHO Data'!$AE$8:$AE$12,MATCH('HCW, Staff, Beds Summary'!$E273,'WHO GHO Data'!$AD$8:$AD$12,0))*$G273/1000),"")</f>
        <v/>
      </c>
      <c r="J273" s="28" t="str">
        <f>IFERROR(IFERROR(INDEX('WHO GHO Data'!$X$8:$X$201,MATCH('HCW, Staff, Beds Summary'!$C273,'WHO GHO Data'!$C$8:$C$201,0)),INDEX('WHO GHO Data'!$AF$8:$AF$12,MATCH('HCW, Staff, Beds Summary'!$E273,'WHO GHO Data'!$AD$8:$AD$12,0))*$G273/1000),"")</f>
        <v/>
      </c>
    </row>
    <row r="274" spans="2:10" x14ac:dyDescent="0.35">
      <c r="B274" s="41">
        <v>10000</v>
      </c>
      <c r="G274" s="123">
        <f>$B274</f>
        <v>10000</v>
      </c>
      <c r="H274" s="28" t="str">
        <f>IFERROR(IFERROR(INDEX('WHO GHO Data'!$V$8:$V$201,MATCH('HCW, Staff, Beds Summary'!$C274,'WHO GHO Data'!$C$8:$C$201,0)),INDEX('WHO GHO Data'!$AF$8:$AF$12,MATCH('HCW, Staff, Beds Summary'!$E274,'WHO GHO Data'!$AD$8:$AD$12,0))*$G274/1000),"")</f>
        <v/>
      </c>
      <c r="I274" s="28" t="str">
        <f>IFERROR(IFERROR(INDEX('WHO GHO Data'!$U$8:$U$201,MATCH('HCW, Staff, Beds Summary'!$C274,'WHO GHO Data'!$C$8:$C$201,0)),INDEX('WHO GHO Data'!$AE$8:$AE$12,MATCH('HCW, Staff, Beds Summary'!$E274,'WHO GHO Data'!$AD$8:$AD$12,0))*$G274/1000),"")</f>
        <v/>
      </c>
      <c r="J274" s="28" t="str">
        <f>IFERROR(IFERROR(INDEX('WHO GHO Data'!$X$8:$X$201,MATCH('HCW, Staff, Beds Summary'!$C274,'WHO GHO Data'!$C$8:$C$201,0)),INDEX('WHO GHO Data'!$AF$8:$AF$12,MATCH('HCW, Staff, Beds Summary'!$E274,'WHO GHO Data'!$AD$8:$AD$12,0))*$G274/1000),"")</f>
        <v/>
      </c>
    </row>
    <row r="275" spans="2:10" x14ac:dyDescent="0.35">
      <c r="B275" s="41">
        <v>100000</v>
      </c>
      <c r="G275" s="123">
        <f>$B275</f>
        <v>100000</v>
      </c>
      <c r="H275" s="28" t="str">
        <f>IFERROR(IFERROR(INDEX('WHO GHO Data'!$V$8:$V$201,MATCH('HCW, Staff, Beds Summary'!$C275,'WHO GHO Data'!$C$8:$C$201,0)),INDEX('WHO GHO Data'!$AF$8:$AF$12,MATCH('HCW, Staff, Beds Summary'!$E275,'WHO GHO Data'!$AD$8:$AD$12,0))*$G275/1000),"")</f>
        <v/>
      </c>
      <c r="I275" s="28" t="str">
        <f>IFERROR(IFERROR(INDEX('WHO GHO Data'!$U$8:$U$201,MATCH('HCW, Staff, Beds Summary'!$C275,'WHO GHO Data'!$C$8:$C$201,0)),INDEX('WHO GHO Data'!$AE$8:$AE$12,MATCH('HCW, Staff, Beds Summary'!$E275,'WHO GHO Data'!$AD$8:$AD$12,0))*$G275/1000),"")</f>
        <v/>
      </c>
      <c r="J275" s="28" t="str">
        <f>IFERROR(IFERROR(INDEX('WHO GHO Data'!$X$8:$X$201,MATCH('HCW, Staff, Beds Summary'!$C275,'WHO GHO Data'!$C$8:$C$201,0)),INDEX('WHO GHO Data'!$AF$8:$AF$12,MATCH('HCW, Staff, Beds Summary'!$E275,'WHO GHO Data'!$AD$8:$AD$12,0))*$G275/1000),"")</f>
        <v/>
      </c>
    </row>
    <row r="283" spans="2:10" x14ac:dyDescent="0.35">
      <c r="B283" s="1389" t="s">
        <v>1898</v>
      </c>
      <c r="C283" s="1389"/>
      <c r="D283" s="1389"/>
      <c r="E283" s="1389"/>
      <c r="F283" s="1389"/>
      <c r="G283" s="1389"/>
    </row>
    <row r="284" spans="2:10" x14ac:dyDescent="0.35">
      <c r="B284" s="909" t="s">
        <v>1897</v>
      </c>
      <c r="C284" s="909"/>
      <c r="D284" s="909"/>
      <c r="E284" s="909"/>
      <c r="F284" s="909"/>
      <c r="G284" s="909"/>
    </row>
  </sheetData>
  <sheetProtection algorithmName="SHA-512" hashValue="SjwI1tZv/0c1E6HTtWndtshb2as5zMpIPodXNDmMrqQp7Qw51X+Xgp8Wuk9ve1T6J58vPKHGZXdSbJwtKLWDjA==" saltValue="UXdCLiCi1gwKLbgyXDPl/A==" spinCount="100000" sheet="1" objects="1" scenarios="1"/>
  <autoFilter ref="B6:J276" xr:uid="{00000000-0009-0000-0000-00000F000000}"/>
  <mergeCells count="3">
    <mergeCell ref="B5:F5"/>
    <mergeCell ref="G5:L5"/>
    <mergeCell ref="B283:G283"/>
  </mergeCells>
  <hyperlinks>
    <hyperlink ref="B283" r:id="rId1" display="https://creativecommons.org/licenses/by-nc-sa/3.0/igo" xr:uid="{03612058-874A-46D3-9C6A-E43C50836FD0}"/>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2" tint="-0.499984740745262"/>
  </sheetPr>
  <dimension ref="B1:AG208"/>
  <sheetViews>
    <sheetView showGridLines="0" zoomScale="80" zoomScaleNormal="80" workbookViewId="0">
      <selection activeCell="B3" sqref="B3"/>
    </sheetView>
  </sheetViews>
  <sheetFormatPr defaultColWidth="9.453125" defaultRowHeight="14.5" x14ac:dyDescent="0.35"/>
  <cols>
    <col min="1" max="1" width="2.453125" style="556" customWidth="1"/>
    <col min="2" max="3" width="27" style="556" customWidth="1"/>
    <col min="4" max="4" width="19.453125" style="556" bestFit="1" customWidth="1"/>
    <col min="5" max="5" width="28" style="556" bestFit="1" customWidth="1"/>
    <col min="6" max="6" width="3.453125" style="556" customWidth="1"/>
    <col min="7" max="7" width="22.453125" style="570" customWidth="1"/>
    <col min="8" max="8" width="20.453125" style="421" customWidth="1"/>
    <col min="9" max="9" width="19" style="556" customWidth="1"/>
    <col min="10" max="10" width="19.453125" style="556" customWidth="1"/>
    <col min="11" max="11" width="17.453125" style="556" customWidth="1"/>
    <col min="12" max="12" width="3" style="556" customWidth="1"/>
    <col min="13" max="13" width="16.453125" style="556" customWidth="1"/>
    <col min="14" max="15" width="17.453125" style="75" customWidth="1"/>
    <col min="16" max="16" width="4.453125" style="556" customWidth="1"/>
    <col min="17" max="17" width="20.453125" style="556" customWidth="1"/>
    <col min="18" max="18" width="21.453125" style="556" customWidth="1"/>
    <col min="19" max="19" width="8.81640625" style="556" customWidth="1"/>
    <col min="20" max="20" width="19.453125" style="556" customWidth="1"/>
    <col min="21" max="21" width="12.453125" style="556" bestFit="1" customWidth="1"/>
    <col min="22" max="24" width="16.453125" style="556" customWidth="1"/>
    <col min="25" max="25" width="9.453125" style="556"/>
    <col min="26" max="27" width="10.453125" style="556" bestFit="1" customWidth="1"/>
    <col min="28" max="28" width="13.453125" style="556" customWidth="1"/>
    <col min="29" max="29" width="3" style="556" customWidth="1"/>
    <col min="30" max="30" width="22.453125" style="556" bestFit="1" customWidth="1"/>
    <col min="31" max="31" width="18.453125" style="556" customWidth="1"/>
    <col min="32" max="16384" width="9.453125" style="556"/>
  </cols>
  <sheetData>
    <row r="1" spans="2:33" s="5" customFormat="1" ht="36.4" customHeight="1" x14ac:dyDescent="0.35">
      <c r="F1" s="549"/>
    </row>
    <row r="2" spans="2:33" s="23" customFormat="1" ht="18.5" x14ac:dyDescent="0.45">
      <c r="B2" s="23" t="s">
        <v>1156</v>
      </c>
      <c r="F2" s="422"/>
      <c r="G2" s="24"/>
      <c r="H2" s="24"/>
      <c r="I2" s="24"/>
    </row>
    <row r="3" spans="2:33" s="550" customFormat="1" x14ac:dyDescent="0.35">
      <c r="B3" s="550" t="s">
        <v>1149</v>
      </c>
      <c r="F3" s="551"/>
      <c r="G3" s="552"/>
      <c r="H3" s="552"/>
      <c r="I3" s="552"/>
    </row>
    <row r="4" spans="2:33" s="553" customFormat="1" x14ac:dyDescent="0.35">
      <c r="B4" s="553" t="s">
        <v>793</v>
      </c>
      <c r="F4" s="554"/>
      <c r="G4" s="555"/>
      <c r="H4" s="555"/>
      <c r="I4" s="555"/>
    </row>
    <row r="5" spans="2:33" s="5" customFormat="1" x14ac:dyDescent="0.35">
      <c r="F5" s="549"/>
      <c r="Q5" s="1601"/>
      <c r="R5" s="1601"/>
    </row>
    <row r="6" spans="2:33" ht="13" x14ac:dyDescent="0.35">
      <c r="B6" s="1597" t="s">
        <v>260</v>
      </c>
      <c r="C6" s="1598"/>
      <c r="D6" s="1598"/>
      <c r="E6" s="1599"/>
      <c r="G6" s="1600" t="s">
        <v>1832</v>
      </c>
      <c r="H6" s="1600"/>
      <c r="I6" s="1600"/>
      <c r="J6" s="1600"/>
      <c r="K6" s="1600"/>
      <c r="M6" s="1600" t="s">
        <v>1833</v>
      </c>
      <c r="N6" s="1600"/>
      <c r="O6" s="1600"/>
      <c r="Q6" s="1600" t="s">
        <v>1834</v>
      </c>
      <c r="R6" s="1600"/>
      <c r="T6" s="1600" t="s">
        <v>1835</v>
      </c>
      <c r="U6" s="1600"/>
      <c r="V6" s="1600"/>
      <c r="W6" s="1600"/>
      <c r="X6" s="1600"/>
      <c r="Z6" s="1597" t="s">
        <v>1839</v>
      </c>
      <c r="AA6" s="1598"/>
      <c r="AB6" s="1598"/>
      <c r="AC6" s="1598"/>
      <c r="AD6" s="1598"/>
      <c r="AE6" s="1598"/>
      <c r="AF6" s="1598"/>
      <c r="AG6" s="1599"/>
    </row>
    <row r="7" spans="2:33" ht="72.5" x14ac:dyDescent="0.3">
      <c r="B7" s="557" t="s">
        <v>1117</v>
      </c>
      <c r="C7" s="557" t="s">
        <v>180</v>
      </c>
      <c r="D7" s="557" t="s">
        <v>744</v>
      </c>
      <c r="E7" s="557" t="s">
        <v>753</v>
      </c>
      <c r="F7" s="558"/>
      <c r="G7" s="559" t="s">
        <v>1118</v>
      </c>
      <c r="H7" s="560" t="s">
        <v>1119</v>
      </c>
      <c r="I7" s="560" t="s">
        <v>1120</v>
      </c>
      <c r="J7" s="560" t="s">
        <v>1121</v>
      </c>
      <c r="K7" s="560" t="s">
        <v>1122</v>
      </c>
      <c r="L7" s="561"/>
      <c r="M7" s="559" t="s">
        <v>1123</v>
      </c>
      <c r="N7" s="560" t="s">
        <v>755</v>
      </c>
      <c r="O7" s="560" t="s">
        <v>754</v>
      </c>
      <c r="P7" s="561"/>
      <c r="Q7" s="559" t="s">
        <v>1124</v>
      </c>
      <c r="R7" s="562" t="s">
        <v>1125</v>
      </c>
      <c r="S7" s="563"/>
      <c r="T7" s="557" t="s">
        <v>1150</v>
      </c>
      <c r="U7" s="557" t="s">
        <v>1126</v>
      </c>
      <c r="V7" s="557" t="s">
        <v>1127</v>
      </c>
      <c r="W7" s="557" t="s">
        <v>1151</v>
      </c>
      <c r="X7" s="557" t="s">
        <v>1840</v>
      </c>
      <c r="Z7" s="1307" t="s">
        <v>1838</v>
      </c>
      <c r="AA7" s="1307" t="s">
        <v>1836</v>
      </c>
      <c r="AB7" s="1307" t="s">
        <v>1837</v>
      </c>
      <c r="AD7" s="1308" t="s">
        <v>1152</v>
      </c>
      <c r="AE7" s="1309" t="s">
        <v>1148</v>
      </c>
      <c r="AF7" s="1309" t="s">
        <v>743</v>
      </c>
      <c r="AG7" s="1309" t="s">
        <v>798</v>
      </c>
    </row>
    <row r="8" spans="2:33" ht="15.75" customHeight="1" x14ac:dyDescent="0.35">
      <c r="B8" s="557" t="s">
        <v>230</v>
      </c>
      <c r="C8" s="557" t="s">
        <v>0</v>
      </c>
      <c r="D8" s="568" t="str">
        <f>INDEX('HCW, Staff, Beds Summary'!$E$7:$E$270,MATCH($C8,'HCW, Staff, Beds Summary'!$C$7:$C$270,0))</f>
        <v>Low income</v>
      </c>
      <c r="E8" s="423">
        <f>VLOOKUP($C8,'UNDP Population Data'!$D$6:$E$269,2,FALSE)</f>
        <v>38054941</v>
      </c>
      <c r="F8" s="558"/>
      <c r="G8" s="559">
        <v>2017</v>
      </c>
      <c r="H8" s="564">
        <v>1.7549999999999999</v>
      </c>
      <c r="I8" s="565">
        <v>6370</v>
      </c>
      <c r="J8" s="565">
        <v>6370</v>
      </c>
      <c r="K8" s="565" t="s">
        <v>748</v>
      </c>
      <c r="L8" s="76"/>
      <c r="M8" s="565"/>
      <c r="N8" s="566"/>
      <c r="O8" s="566"/>
      <c r="P8" s="76"/>
      <c r="Q8" s="565">
        <v>2016</v>
      </c>
      <c r="R8" s="565">
        <v>9842</v>
      </c>
      <c r="S8" s="76"/>
      <c r="T8" s="567">
        <f>IFERROR(INDEX('UNDP Population Data'!$G$6:$G$223,MATCH($C8,'UNDP Population Data'!$D$6:$D$222,0))*100,0)</f>
        <v>2.4382666308287337</v>
      </c>
      <c r="U8" s="420">
        <f>IFERROR(J8*(1+$T8/100)^(2020-$G8),J8)</f>
        <v>6847.4062621899102</v>
      </c>
      <c r="V8" s="420">
        <f t="shared" ref="V8:V39" si="0">IFERROR(R8*(1+$T8/100)^(2020-$Q8),R8)</f>
        <v>10837.57822365536</v>
      </c>
      <c r="W8" s="420">
        <f>IFERROR(SUM(N8:O8)*(1+$T8/100)^(2020-$M8),SUM(N8:O8))</f>
        <v>0</v>
      </c>
      <c r="X8" s="420">
        <f>IF(W8=0,INDEX($AG$8:$AG$12,MATCH($D8,$AD$8:$AD$12,0))*E8/1000,W8)</f>
        <v>3611.2689898292288</v>
      </c>
      <c r="Z8" s="424">
        <f t="shared" ref="Z8:Z39" si="1">IFERROR(U8/E8*1000,0)</f>
        <v>0.17993474913520194</v>
      </c>
      <c r="AA8" s="424">
        <f t="shared" ref="AA8:AA39" si="2">IFERROR(W8/E8*1000,0)</f>
        <v>0</v>
      </c>
      <c r="AB8" s="424">
        <f t="shared" ref="AB8:AB39" si="3">IFERROR(V8/E8*1000,0)</f>
        <v>0.28478767641908476</v>
      </c>
      <c r="AD8" s="568" t="s">
        <v>689</v>
      </c>
      <c r="AE8" s="1315">
        <f>AVERAGE(AE9,AE10:AE12)</f>
        <v>3.7900075288017243</v>
      </c>
      <c r="AF8" s="1315">
        <f>AVERAGE(AF9,AF10:AF12)</f>
        <v>1.6364145654903859</v>
      </c>
      <c r="AG8" s="1315">
        <f>AVERAGE(AG9,AG10:AG12)</f>
        <v>0.27470521838382317</v>
      </c>
    </row>
    <row r="9" spans="2:33" x14ac:dyDescent="0.35">
      <c r="B9" s="557" t="s">
        <v>311</v>
      </c>
      <c r="C9" s="557" t="s">
        <v>312</v>
      </c>
      <c r="D9" s="568" t="str">
        <f>INDEX('HCW, Staff, Beds Summary'!$E$7:$E$270,MATCH($C9,'HCW, Staff, Beds Summary'!$C$7:$C$270,0))</f>
        <v>Upper middle income</v>
      </c>
      <c r="E9" s="423">
        <f>VLOOKUP($C9,'UNDP Population Data'!$D$6:$E$269,2,FALSE)</f>
        <v>2942034</v>
      </c>
      <c r="F9" s="558"/>
      <c r="G9" s="559">
        <v>2016</v>
      </c>
      <c r="H9" s="564">
        <v>36.494999999999997</v>
      </c>
      <c r="I9" s="565">
        <v>10534</v>
      </c>
      <c r="J9" s="565">
        <v>10534</v>
      </c>
      <c r="K9" s="565" t="s">
        <v>748</v>
      </c>
      <c r="L9" s="76"/>
      <c r="M9" s="565"/>
      <c r="N9" s="566"/>
      <c r="O9" s="566"/>
      <c r="P9" s="76"/>
      <c r="Q9" s="565">
        <v>2016</v>
      </c>
      <c r="R9" s="565">
        <v>3511</v>
      </c>
      <c r="S9" s="76"/>
      <c r="T9" s="567">
        <f>IFERROR(INDEX('UNDP Population Data'!$G$6:$G$223,MATCH($C9,'UNDP Population Data'!$D$6:$D$222,0))*100,0)</f>
        <v>0.12748671082947194</v>
      </c>
      <c r="U9" s="420">
        <f t="shared" ref="U9:U72" si="4">IFERROR(J9*(1+T9/100)^(2020-G9),J9)</f>
        <v>10587.820612395164</v>
      </c>
      <c r="V9" s="420">
        <f t="shared" si="0"/>
        <v>3528.9385010555743</v>
      </c>
      <c r="W9" s="420">
        <f t="shared" ref="W9:W72" si="5">IFERROR(SUM(N9:O9)*(1+$T9/100)^(2020-$M9),SUM(N9:O9))</f>
        <v>0</v>
      </c>
      <c r="X9" s="420">
        <f t="shared" ref="X9:X72" si="6">IF(W9=0,INDEX($AG$8:$AG$12,MATCH($D9,$AD$8:$AD$12,0))*E9/1000,W9)</f>
        <v>626.52446704142289</v>
      </c>
      <c r="Z9" s="424">
        <f t="shared" si="1"/>
        <v>3.5988097392467813</v>
      </c>
      <c r="AA9" s="424">
        <f t="shared" si="2"/>
        <v>0</v>
      </c>
      <c r="AB9" s="424">
        <f t="shared" si="3"/>
        <v>1.199489367238983</v>
      </c>
      <c r="AD9" s="568" t="s">
        <v>452</v>
      </c>
      <c r="AE9" s="1314">
        <f>AVERAGEIFS($Z$8:$Z$201,$Z$8:$Z$201,"&gt;0",$D$8:$D$201,$AD9)</f>
        <v>0.87368651989640123</v>
      </c>
      <c r="AF9" s="1314">
        <f>AVERAGEIFS($AB$8:$AB$201,$AB$8:$AB$201,"&gt;0",$D$8:$D$201,$AD9)</f>
        <v>0.35043688780538818</v>
      </c>
      <c r="AG9" s="1314">
        <f>AVERAGEIFS($AA$8:$AA$201,$AA$8:$AA$201,"&gt;0",$D$8:$D$201,$AD9)</f>
        <v>9.4896192056354231E-2</v>
      </c>
    </row>
    <row r="10" spans="2:33" x14ac:dyDescent="0.35">
      <c r="B10" s="557" t="s">
        <v>313</v>
      </c>
      <c r="C10" s="557" t="s">
        <v>37</v>
      </c>
      <c r="D10" s="568" t="str">
        <f>INDEX('HCW, Staff, Beds Summary'!$E$7:$E$270,MATCH($C10,'HCW, Staff, Beds Summary'!$C$7:$C$270,0))</f>
        <v>Upper middle income</v>
      </c>
      <c r="E10" s="423">
        <f>VLOOKUP($C10,'UNDP Population Data'!$D$6:$E$269,2,FALSE)</f>
        <v>43333255</v>
      </c>
      <c r="F10" s="558"/>
      <c r="G10" s="559">
        <v>2018</v>
      </c>
      <c r="H10" s="564">
        <v>15.477</v>
      </c>
      <c r="I10" s="565">
        <v>65359</v>
      </c>
      <c r="J10" s="565">
        <v>56411</v>
      </c>
      <c r="K10" s="565">
        <v>8948</v>
      </c>
      <c r="L10" s="76"/>
      <c r="M10" s="565">
        <v>2018</v>
      </c>
      <c r="N10" s="566">
        <v>136</v>
      </c>
      <c r="O10" s="566">
        <v>15238</v>
      </c>
      <c r="P10" s="76"/>
      <c r="Q10" s="565">
        <v>2018</v>
      </c>
      <c r="R10" s="565">
        <v>72604</v>
      </c>
      <c r="S10" s="76"/>
      <c r="T10" s="567">
        <f>IFERROR(INDEX('UNDP Population Data'!$G$6:$G$223,MATCH($C10,'UNDP Population Data'!$D$6:$D$222,0))*100,0)</f>
        <v>1.6790983955264238</v>
      </c>
      <c r="U10" s="420">
        <f t="shared" si="4"/>
        <v>58321.296747928682</v>
      </c>
      <c r="V10" s="420">
        <f t="shared" si="0"/>
        <v>75062.654962447283</v>
      </c>
      <c r="W10" s="420">
        <f t="shared" si="5"/>
        <v>15894.623676280433</v>
      </c>
      <c r="X10" s="420">
        <f t="shared" si="6"/>
        <v>15894.623676280433</v>
      </c>
      <c r="Z10" s="424">
        <f t="shared" si="1"/>
        <v>1.3458785117325869</v>
      </c>
      <c r="AA10" s="424">
        <f t="shared" si="2"/>
        <v>0.36679967097510752</v>
      </c>
      <c r="AB10" s="424">
        <f t="shared" si="3"/>
        <v>1.7322182458356126</v>
      </c>
      <c r="AD10" s="568" t="s">
        <v>454</v>
      </c>
      <c r="AE10" s="1314">
        <f>AVERAGEIFS($Z$8:$Z$201,$Z$8:$Z$201,"&gt;0",$D$8:$D$201,$AD10)</f>
        <v>1.9757219125162941</v>
      </c>
      <c r="AF10" s="1314">
        <f>AVERAGEIFS($AB$8:$AB$201,$AB$8:$AB$201,"&gt;0",$D$8:$D$201,$AD10)</f>
        <v>0.74737415149162489</v>
      </c>
      <c r="AG10" s="1314">
        <f>AVERAGEIFS($AA$8:$AA$201,$AA$8:$AA$201,"&gt;0",$D$8:$D$201,$AD10)</f>
        <v>0.25753889766161375</v>
      </c>
    </row>
    <row r="11" spans="2:33" x14ac:dyDescent="0.35">
      <c r="B11" s="557" t="s">
        <v>315</v>
      </c>
      <c r="C11" s="557" t="s">
        <v>1</v>
      </c>
      <c r="D11" s="568" t="str">
        <f>INDEX('HCW, Staff, Beds Summary'!$E$7:$E$270,MATCH($C11,'HCW, Staff, Beds Summary'!$C$7:$C$270,0))</f>
        <v>High income</v>
      </c>
      <c r="E11" s="423">
        <f>VLOOKUP($C11,'UNDP Population Data'!$D$6:$E$269,2,FALSE)</f>
        <v>77184</v>
      </c>
      <c r="F11" s="558"/>
      <c r="G11" s="559">
        <v>2015</v>
      </c>
      <c r="H11" s="564">
        <v>40.128</v>
      </c>
      <c r="I11" s="565">
        <v>313</v>
      </c>
      <c r="J11" s="565">
        <v>296</v>
      </c>
      <c r="K11" s="565">
        <v>17</v>
      </c>
      <c r="L11" s="76"/>
      <c r="M11" s="565"/>
      <c r="N11" s="566"/>
      <c r="O11" s="566"/>
      <c r="P11" s="76"/>
      <c r="Q11" s="565">
        <v>2015</v>
      </c>
      <c r="R11" s="565">
        <v>260</v>
      </c>
      <c r="S11" s="76"/>
      <c r="T11" s="567">
        <f>IFERROR(INDEX('UNDP Population Data'!$G$6:$G$223,MATCH($C11,'UNDP Population Data'!$D$6:$D$222,0))*100,0)</f>
        <v>-0.21369367124518535</v>
      </c>
      <c r="U11" s="420">
        <f t="shared" si="4"/>
        <v>292.85082164739669</v>
      </c>
      <c r="V11" s="420">
        <f t="shared" si="0"/>
        <v>257.23382982541597</v>
      </c>
      <c r="W11" s="420">
        <f t="shared" si="5"/>
        <v>0</v>
      </c>
      <c r="X11" s="420">
        <f t="shared" si="6"/>
        <v>41.172226737727165</v>
      </c>
      <c r="Z11" s="424">
        <f t="shared" si="1"/>
        <v>3.794190786269132</v>
      </c>
      <c r="AA11" s="424">
        <f t="shared" si="2"/>
        <v>0</v>
      </c>
      <c r="AB11" s="424">
        <f t="shared" si="3"/>
        <v>3.3327351501012643</v>
      </c>
      <c r="AD11" s="568" t="s">
        <v>557</v>
      </c>
      <c r="AE11" s="1314">
        <f>AVERAGEIFS($Z$8:$Z$201,$Z$8:$Z$201,"&gt;0",$D$8:$D$201,$AD11)</f>
        <v>3.8586890729235854</v>
      </c>
      <c r="AF11" s="1314">
        <f>AVERAGEIFS($AB$8:$AB$201,$AB$8:$AB$201,"&gt;0",$D$8:$D$201,$AD11)</f>
        <v>2.1083948047291328</v>
      </c>
      <c r="AG11" s="1314">
        <f>AVERAGEIFS($AA$8:$AA$201,$AA$8:$AA$201,"&gt;0",$D$8:$D$201,$AD11)</f>
        <v>0.2129562292758761</v>
      </c>
    </row>
    <row r="12" spans="2:33" x14ac:dyDescent="0.35">
      <c r="B12" s="557" t="s">
        <v>182</v>
      </c>
      <c r="C12" s="557" t="s">
        <v>165</v>
      </c>
      <c r="D12" s="568" t="str">
        <f>INDEX('HCW, Staff, Beds Summary'!$E$7:$E$270,MATCH($C12,'HCW, Staff, Beds Summary'!$C$7:$C$270,0))</f>
        <v>Lower middle income</v>
      </c>
      <c r="E12" s="423">
        <f>VLOOKUP($C12,'UNDP Population Data'!$D$6:$E$269,2,FALSE)</f>
        <v>32827400.999999996</v>
      </c>
      <c r="F12" s="558"/>
      <c r="G12" s="559">
        <v>2018</v>
      </c>
      <c r="H12" s="564">
        <v>4.0750000000000002</v>
      </c>
      <c r="I12" s="565">
        <v>12554</v>
      </c>
      <c r="J12" s="565">
        <v>12554</v>
      </c>
      <c r="K12" s="565" t="s">
        <v>748</v>
      </c>
      <c r="L12" s="76"/>
      <c r="M12" s="565">
        <v>2004</v>
      </c>
      <c r="N12" s="566"/>
      <c r="O12" s="566">
        <v>1376</v>
      </c>
      <c r="P12" s="76"/>
      <c r="Q12" s="565">
        <v>2017</v>
      </c>
      <c r="R12" s="565">
        <v>6400</v>
      </c>
      <c r="S12" s="76"/>
      <c r="T12" s="567">
        <f>IFERROR(INDEX('UNDP Population Data'!$G$6:$G$223,MATCH($C12,'UNDP Population Data'!$D$6:$D$222,0))*100,0)</f>
        <v>3.3363802026330047</v>
      </c>
      <c r="U12" s="420">
        <f t="shared" si="4"/>
        <v>13405.672742085171</v>
      </c>
      <c r="V12" s="420">
        <f t="shared" si="0"/>
        <v>7062.1950376201976</v>
      </c>
      <c r="W12" s="420">
        <f t="shared" si="5"/>
        <v>2326.3247716697069</v>
      </c>
      <c r="X12" s="420">
        <f t="shared" si="6"/>
        <v>2326.3247716697069</v>
      </c>
      <c r="Z12" s="424">
        <f t="shared" si="1"/>
        <v>0.40836838536456704</v>
      </c>
      <c r="AA12" s="424">
        <f t="shared" si="2"/>
        <v>7.0865335079975028E-2</v>
      </c>
      <c r="AB12" s="424">
        <f t="shared" si="3"/>
        <v>0.21513110457998788</v>
      </c>
      <c r="AD12" s="568" t="s">
        <v>410</v>
      </c>
      <c r="AE12" s="1314">
        <f>AVERAGEIFS($Z$8:$Z$201,$Z$8:$Z$201,"&gt;0",$D$8:$D$201,$AD12)</f>
        <v>8.4519326098706173</v>
      </c>
      <c r="AF12" s="1314">
        <f>AVERAGEIFS($AB$8:$AB$201,$AB$8:$AB$201,"&gt;0",$D$8:$D$201,$AD12)</f>
        <v>3.3394524179353975</v>
      </c>
      <c r="AG12" s="1314">
        <f>AVERAGEIFS($AA$8:$AA$201,$AA$8:$AA$201,"&gt;0",$D$8:$D$201,$AD12)</f>
        <v>0.53342955454144858</v>
      </c>
    </row>
    <row r="13" spans="2:33" x14ac:dyDescent="0.35">
      <c r="B13" s="557" t="s">
        <v>316</v>
      </c>
      <c r="C13" s="557" t="s">
        <v>317</v>
      </c>
      <c r="D13" s="568" t="str">
        <f>INDEX('HCW, Staff, Beds Summary'!$E$7:$E$270,MATCH($C13,'HCW, Staff, Beds Summary'!$C$7:$C$270,0))</f>
        <v>High income</v>
      </c>
      <c r="E13" s="423">
        <f>VLOOKUP($C13,'UNDP Population Data'!$D$6:$E$269,2,FALSE)</f>
        <v>105110</v>
      </c>
      <c r="F13" s="558"/>
      <c r="G13" s="559">
        <v>2018</v>
      </c>
      <c r="H13" s="564">
        <v>45.170999999999999</v>
      </c>
      <c r="I13" s="565">
        <v>435</v>
      </c>
      <c r="J13" s="565">
        <v>435</v>
      </c>
      <c r="K13" s="565" t="s">
        <v>748</v>
      </c>
      <c r="L13" s="76"/>
      <c r="M13" s="565">
        <v>2007</v>
      </c>
      <c r="N13" s="566"/>
      <c r="O13" s="566">
        <v>8</v>
      </c>
      <c r="P13" s="76"/>
      <c r="Q13" s="565">
        <v>2017</v>
      </c>
      <c r="R13" s="565">
        <v>282</v>
      </c>
      <c r="S13" s="76"/>
      <c r="T13" s="567">
        <f>IFERROR(INDEX('UNDP Population Data'!$G$6:$G$223,MATCH($C13,'UNDP Population Data'!$D$6:$D$222,0))*100,0)</f>
        <v>1.0172901988951155</v>
      </c>
      <c r="U13" s="420">
        <f t="shared" si="4"/>
        <v>443.89544198205897</v>
      </c>
      <c r="V13" s="420">
        <f t="shared" si="0"/>
        <v>290.69412275743696</v>
      </c>
      <c r="W13" s="420">
        <f t="shared" si="5"/>
        <v>9.1250294188632726</v>
      </c>
      <c r="X13" s="420">
        <f t="shared" si="6"/>
        <v>9.1250294188632726</v>
      </c>
      <c r="Z13" s="424">
        <f t="shared" si="1"/>
        <v>4.2231513840934163</v>
      </c>
      <c r="AA13" s="424">
        <f t="shared" si="2"/>
        <v>8.6814093985950649E-2</v>
      </c>
      <c r="AB13" s="424">
        <f t="shared" si="3"/>
        <v>2.7656181405902096</v>
      </c>
    </row>
    <row r="14" spans="2:33" x14ac:dyDescent="0.35">
      <c r="B14" s="557" t="s">
        <v>320</v>
      </c>
      <c r="C14" s="557" t="s">
        <v>321</v>
      </c>
      <c r="D14" s="568" t="str">
        <f>INDEX('HCW, Staff, Beds Summary'!$E$7:$E$270,MATCH($C14,'HCW, Staff, Beds Summary'!$C$7:$C$270,0))</f>
        <v>Upper middle income</v>
      </c>
      <c r="E14" s="423">
        <f>VLOOKUP($C14,'UNDP Population Data'!$D$6:$E$269,2,FALSE)</f>
        <v>45510399</v>
      </c>
      <c r="F14" s="558"/>
      <c r="G14" s="559">
        <v>2017</v>
      </c>
      <c r="H14" s="564">
        <v>25.995999999999999</v>
      </c>
      <c r="I14" s="565">
        <v>114219</v>
      </c>
      <c r="J14" s="565">
        <v>114219</v>
      </c>
      <c r="K14" s="565" t="s">
        <v>748</v>
      </c>
      <c r="L14" s="76"/>
      <c r="M14" s="565">
        <v>2004</v>
      </c>
      <c r="N14" s="566">
        <v>19629</v>
      </c>
      <c r="O14" s="566"/>
      <c r="P14" s="76"/>
      <c r="Q14" s="565">
        <v>2017</v>
      </c>
      <c r="R14" s="565">
        <v>175313</v>
      </c>
      <c r="S14" s="76"/>
      <c r="T14" s="567">
        <f>IFERROR(INDEX('UNDP Population Data'!$G$6:$G$223,MATCH($C14,'UNDP Population Data'!$D$6:$D$222,0))*100,0)</f>
        <v>0.94588871911607253</v>
      </c>
      <c r="U14" s="420">
        <f t="shared" si="4"/>
        <v>117490.90828005323</v>
      </c>
      <c r="V14" s="420">
        <f t="shared" si="0"/>
        <v>180335.00208635142</v>
      </c>
      <c r="W14" s="420">
        <f t="shared" si="5"/>
        <v>22820.03725555167</v>
      </c>
      <c r="X14" s="420">
        <f t="shared" si="6"/>
        <v>22820.03725555167</v>
      </c>
      <c r="Z14" s="424">
        <f t="shared" si="1"/>
        <v>2.5816277347964633</v>
      </c>
      <c r="AA14" s="424">
        <f t="shared" si="2"/>
        <v>0.5014246800066875</v>
      </c>
      <c r="AB14" s="424">
        <f t="shared" si="3"/>
        <v>3.9625010118314155</v>
      </c>
    </row>
    <row r="15" spans="2:33" x14ac:dyDescent="0.35">
      <c r="B15" s="557" t="s">
        <v>234</v>
      </c>
      <c r="C15" s="557" t="s">
        <v>3</v>
      </c>
      <c r="D15" s="568" t="str">
        <f>INDEX('HCW, Staff, Beds Summary'!$E$7:$E$270,MATCH($C15,'HCW, Staff, Beds Summary'!$C$7:$C$270,0))</f>
        <v>Upper middle income</v>
      </c>
      <c r="E15" s="423">
        <f>VLOOKUP($C15,'UNDP Population Data'!$D$6:$E$269,2,FALSE)</f>
        <v>2938679</v>
      </c>
      <c r="F15" s="558"/>
      <c r="G15" s="559">
        <v>2017</v>
      </c>
      <c r="H15" s="564">
        <v>61.07</v>
      </c>
      <c r="I15" s="565">
        <v>17984</v>
      </c>
      <c r="J15" s="565">
        <v>16796</v>
      </c>
      <c r="K15" s="565">
        <v>1188</v>
      </c>
      <c r="L15" s="76"/>
      <c r="M15" s="565"/>
      <c r="N15" s="566"/>
      <c r="O15" s="566"/>
      <c r="P15" s="76"/>
      <c r="Q15" s="565">
        <v>2017</v>
      </c>
      <c r="R15" s="565">
        <v>12964</v>
      </c>
      <c r="S15" s="76"/>
      <c r="T15" s="567">
        <f>IFERROR(INDEX('UNDP Population Data'!$G$6:$G$223,MATCH($C15,'UNDP Population Data'!$D$6:$D$222,0))*100,0)</f>
        <v>0.14854243129578393</v>
      </c>
      <c r="U15" s="420">
        <f t="shared" si="4"/>
        <v>16870.958795717142</v>
      </c>
      <c r="V15" s="420">
        <f t="shared" si="0"/>
        <v>13021.856979499706</v>
      </c>
      <c r="W15" s="420">
        <f t="shared" si="5"/>
        <v>0</v>
      </c>
      <c r="X15" s="420">
        <f t="shared" si="6"/>
        <v>625.80999889220232</v>
      </c>
      <c r="Z15" s="424">
        <f t="shared" si="1"/>
        <v>5.7410009040514947</v>
      </c>
      <c r="AA15" s="424">
        <f t="shared" si="2"/>
        <v>0</v>
      </c>
      <c r="AB15" s="424">
        <f t="shared" si="3"/>
        <v>4.4311940771685867</v>
      </c>
    </row>
    <row r="16" spans="2:33" x14ac:dyDescent="0.35">
      <c r="B16" s="557" t="s">
        <v>324</v>
      </c>
      <c r="C16" s="557" t="s">
        <v>4</v>
      </c>
      <c r="D16" s="568" t="str">
        <f>INDEX('HCW, Staff, Beds Summary'!$E$7:$E$270,MATCH($C16,'HCW, Staff, Beds Summary'!$C$7:$C$270,0))</f>
        <v>High income</v>
      </c>
      <c r="E16" s="423">
        <f>VLOOKUP($C16,'UNDP Population Data'!$D$6:$E$269,2,FALSE)</f>
        <v>25398177</v>
      </c>
      <c r="F16" s="558"/>
      <c r="G16" s="559">
        <v>2017</v>
      </c>
      <c r="H16" s="564">
        <v>125.508</v>
      </c>
      <c r="I16" s="565">
        <v>308556</v>
      </c>
      <c r="J16" s="565">
        <v>287405</v>
      </c>
      <c r="K16" s="565">
        <v>21151</v>
      </c>
      <c r="L16" s="76"/>
      <c r="M16" s="565"/>
      <c r="N16" s="566"/>
      <c r="O16" s="566"/>
      <c r="P16" s="76"/>
      <c r="Q16" s="565">
        <v>2017</v>
      </c>
      <c r="R16" s="565">
        <v>90417</v>
      </c>
      <c r="S16" s="76"/>
      <c r="T16" s="567">
        <f>IFERROR(INDEX('UNDP Population Data'!$G$6:$G$223,MATCH($C16,'UNDP Population Data'!$D$6:$D$222,0))*100,0)</f>
        <v>1.3086989724987674</v>
      </c>
      <c r="U16" s="420">
        <f t="shared" si="4"/>
        <v>298837.11399472662</v>
      </c>
      <c r="V16" s="420">
        <f t="shared" si="0"/>
        <v>94013.518679428671</v>
      </c>
      <c r="W16" s="420">
        <f t="shared" si="5"/>
        <v>0</v>
      </c>
      <c r="X16" s="420">
        <f t="shared" si="6"/>
        <v>13548.138243274865</v>
      </c>
      <c r="Z16" s="424">
        <f t="shared" si="1"/>
        <v>11.766085179842893</v>
      </c>
      <c r="AA16" s="424">
        <f t="shared" si="2"/>
        <v>0</v>
      </c>
      <c r="AB16" s="424">
        <f t="shared" si="3"/>
        <v>3.701585301946225</v>
      </c>
    </row>
    <row r="17" spans="2:28" x14ac:dyDescent="0.35">
      <c r="B17" s="557" t="s">
        <v>325</v>
      </c>
      <c r="C17" s="557" t="s">
        <v>5</v>
      </c>
      <c r="D17" s="568" t="str">
        <f>INDEX('HCW, Staff, Beds Summary'!$E$7:$E$270,MATCH($C17,'HCW, Staff, Beds Summary'!$C$7:$C$270,0))</f>
        <v>High income</v>
      </c>
      <c r="E17" s="423">
        <f>VLOOKUP($C17,'UNDP Population Data'!$D$6:$E$269,2,FALSE)</f>
        <v>8782210</v>
      </c>
      <c r="F17" s="558"/>
      <c r="G17" s="559">
        <v>2017</v>
      </c>
      <c r="H17" s="564">
        <v>70.899000000000001</v>
      </c>
      <c r="I17" s="565">
        <v>62532</v>
      </c>
      <c r="J17" s="565">
        <v>60263</v>
      </c>
      <c r="K17" s="565">
        <v>2269</v>
      </c>
      <c r="L17" s="76"/>
      <c r="M17" s="565"/>
      <c r="N17" s="566"/>
      <c r="O17" s="566"/>
      <c r="P17" s="76"/>
      <c r="Q17" s="565">
        <v>2017</v>
      </c>
      <c r="R17" s="565">
        <v>45596</v>
      </c>
      <c r="S17" s="76"/>
      <c r="T17" s="567">
        <f>IFERROR(INDEX('UNDP Population Data'!$G$6:$G$223,MATCH($C17,'UNDP Population Data'!$D$6:$D$222,0))*100,0)</f>
        <v>0.23750742715200612</v>
      </c>
      <c r="U17" s="420">
        <f t="shared" si="4"/>
        <v>60693.407936596552</v>
      </c>
      <c r="V17" s="420">
        <f t="shared" si="0"/>
        <v>45921.653888406756</v>
      </c>
      <c r="W17" s="420">
        <f t="shared" si="5"/>
        <v>0</v>
      </c>
      <c r="X17" s="420">
        <f t="shared" si="6"/>
        <v>4684.6903681894546</v>
      </c>
      <c r="Z17" s="424">
        <f t="shared" si="1"/>
        <v>6.9109492868647591</v>
      </c>
      <c r="AA17" s="424">
        <f t="shared" si="2"/>
        <v>0</v>
      </c>
      <c r="AB17" s="424">
        <f t="shared" si="3"/>
        <v>5.2289405387034416</v>
      </c>
    </row>
    <row r="18" spans="2:28" x14ac:dyDescent="0.35">
      <c r="B18" s="557" t="s">
        <v>235</v>
      </c>
      <c r="C18" s="557" t="s">
        <v>6</v>
      </c>
      <c r="D18" s="568" t="str">
        <f>INDEX('HCW, Staff, Beds Summary'!$E$7:$E$270,MATCH($C18,'HCW, Staff, Beds Summary'!$C$7:$C$270,0))</f>
        <v>Upper middle income</v>
      </c>
      <c r="E18" s="423">
        <f>VLOOKUP($C18,'UNDP Population Data'!$D$6:$E$269,2,FALSE)</f>
        <v>10099743</v>
      </c>
      <c r="F18" s="558"/>
      <c r="G18" s="559">
        <v>2014</v>
      </c>
      <c r="H18" s="564">
        <v>64.337999999999994</v>
      </c>
      <c r="I18" s="565">
        <v>61157</v>
      </c>
      <c r="J18" s="565">
        <v>56148</v>
      </c>
      <c r="K18" s="565">
        <v>5009</v>
      </c>
      <c r="L18" s="76"/>
      <c r="M18" s="565"/>
      <c r="N18" s="566"/>
      <c r="O18" s="566"/>
      <c r="P18" s="76"/>
      <c r="Q18" s="565">
        <v>2014</v>
      </c>
      <c r="R18" s="565">
        <v>32756</v>
      </c>
      <c r="S18" s="76"/>
      <c r="T18" s="567">
        <f>IFERROR(INDEX('UNDP Population Data'!$G$6:$G$223,MATCH($C18,'UNDP Population Data'!$D$6:$D$222,0))*100,0)</f>
        <v>0.98334913310615946</v>
      </c>
      <c r="U18" s="420">
        <f t="shared" si="4"/>
        <v>59543.301539784828</v>
      </c>
      <c r="V18" s="420">
        <f t="shared" si="0"/>
        <v>34736.773976583172</v>
      </c>
      <c r="W18" s="420">
        <f t="shared" si="5"/>
        <v>0</v>
      </c>
      <c r="X18" s="420">
        <f t="shared" si="6"/>
        <v>2150.8031859354246</v>
      </c>
      <c r="Z18" s="424">
        <f t="shared" si="1"/>
        <v>5.8955264049575149</v>
      </c>
      <c r="AA18" s="424">
        <f t="shared" si="2"/>
        <v>0</v>
      </c>
      <c r="AB18" s="424">
        <f t="shared" si="3"/>
        <v>3.4393720688321645</v>
      </c>
    </row>
    <row r="19" spans="2:28" x14ac:dyDescent="0.35">
      <c r="B19" s="557" t="s">
        <v>1128</v>
      </c>
      <c r="C19" s="557" t="s">
        <v>14</v>
      </c>
      <c r="D19" s="568" t="str">
        <f>INDEX('HCW, Staff, Beds Summary'!$E$7:$E$270,MATCH($C19,'HCW, Staff, Beds Summary'!$C$7:$C$270,0))</f>
        <v>High income</v>
      </c>
      <c r="E19" s="423">
        <f>VLOOKUP($C19,'UNDP Population Data'!$D$6:$E$269,2,FALSE)</f>
        <v>406839</v>
      </c>
      <c r="F19" s="558"/>
      <c r="G19" s="559">
        <v>2018</v>
      </c>
      <c r="H19" s="564">
        <v>45.668999999999997</v>
      </c>
      <c r="I19" s="565">
        <v>1761</v>
      </c>
      <c r="J19" s="565">
        <v>1761</v>
      </c>
      <c r="K19" s="565" t="s">
        <v>748</v>
      </c>
      <c r="L19" s="76"/>
      <c r="M19" s="565">
        <v>2011</v>
      </c>
      <c r="N19" s="566"/>
      <c r="O19" s="566">
        <v>104</v>
      </c>
      <c r="P19" s="76"/>
      <c r="Q19" s="565">
        <v>2017</v>
      </c>
      <c r="R19" s="565">
        <v>766</v>
      </c>
      <c r="S19" s="76"/>
      <c r="T19" s="567">
        <f>IFERROR(INDEX('UNDP Population Data'!$G$6:$G$223,MATCH($C19,'UNDP Population Data'!$D$6:$D$222,0))*100,0)</f>
        <v>1.0133303501842716</v>
      </c>
      <c r="U19" s="420">
        <f t="shared" si="4"/>
        <v>1796.8703211754846</v>
      </c>
      <c r="V19" s="420">
        <f t="shared" si="0"/>
        <v>789.52309595454369</v>
      </c>
      <c r="W19" s="420">
        <f t="shared" si="5"/>
        <v>113.87844999158446</v>
      </c>
      <c r="X19" s="420">
        <f t="shared" si="6"/>
        <v>113.87844999158446</v>
      </c>
      <c r="Z19" s="424">
        <f t="shared" si="1"/>
        <v>4.41666192566466</v>
      </c>
      <c r="AA19" s="424">
        <f t="shared" si="2"/>
        <v>0.27991035763922451</v>
      </c>
      <c r="AB19" s="424">
        <f t="shared" si="3"/>
        <v>1.9406278551332192</v>
      </c>
    </row>
    <row r="20" spans="2:28" x14ac:dyDescent="0.35">
      <c r="B20" s="557" t="s">
        <v>327</v>
      </c>
      <c r="C20" s="557" t="s">
        <v>13</v>
      </c>
      <c r="D20" s="568" t="str">
        <f>INDEX('HCW, Staff, Beds Summary'!$E$7:$E$270,MATCH($C20,'HCW, Staff, Beds Summary'!$C$7:$C$270,0))</f>
        <v>High income</v>
      </c>
      <c r="E20" s="423">
        <f>VLOOKUP($C20,'UNDP Population Data'!$D$6:$E$269,2,FALSE)</f>
        <v>1697765</v>
      </c>
      <c r="F20" s="558"/>
      <c r="G20" s="559">
        <v>2015</v>
      </c>
      <c r="H20" s="564">
        <v>24.943999999999999</v>
      </c>
      <c r="I20" s="565">
        <v>3422</v>
      </c>
      <c r="J20" s="565">
        <v>3422</v>
      </c>
      <c r="K20" s="565" t="s">
        <v>748</v>
      </c>
      <c r="L20" s="76"/>
      <c r="M20" s="565">
        <v>2015</v>
      </c>
      <c r="N20" s="566"/>
      <c r="O20" s="566">
        <v>295</v>
      </c>
      <c r="P20" s="76"/>
      <c r="Q20" s="565">
        <v>2015</v>
      </c>
      <c r="R20" s="565">
        <v>1270</v>
      </c>
      <c r="S20" s="76"/>
      <c r="T20" s="567">
        <f>IFERROR(INDEX('UNDP Population Data'!$G$6:$G$223,MATCH($C20,'UNDP Population Data'!$D$6:$D$222,0))*100,0)</f>
        <v>4.3551467509973962</v>
      </c>
      <c r="U20" s="420">
        <f t="shared" si="4"/>
        <v>4234.9605679900587</v>
      </c>
      <c r="V20" s="420">
        <f t="shared" si="0"/>
        <v>1571.7124258759131</v>
      </c>
      <c r="W20" s="420">
        <f t="shared" si="5"/>
        <v>365.08280758534988</v>
      </c>
      <c r="X20" s="420">
        <f t="shared" si="6"/>
        <v>365.08280758534988</v>
      </c>
      <c r="Z20" s="424">
        <f t="shared" si="1"/>
        <v>2.4944327206592543</v>
      </c>
      <c r="AA20" s="424">
        <f t="shared" si="2"/>
        <v>0.21503730350510813</v>
      </c>
      <c r="AB20" s="424">
        <f t="shared" si="3"/>
        <v>0.92575381508978749</v>
      </c>
    </row>
    <row r="21" spans="2:28" x14ac:dyDescent="0.35">
      <c r="B21" s="557" t="s">
        <v>240</v>
      </c>
      <c r="C21" s="557" t="s">
        <v>11</v>
      </c>
      <c r="D21" s="568" t="str">
        <f>INDEX('HCW, Staff, Beds Summary'!$E$7:$E$270,MATCH($C21,'HCW, Staff, Beds Summary'!$C$7:$C$270,0))</f>
        <v>Lower middle income</v>
      </c>
      <c r="E21" s="423">
        <f>VLOOKUP($C21,'UNDP Population Data'!$D$6:$E$269,2,FALSE)</f>
        <v>169775309</v>
      </c>
      <c r="F21" s="558"/>
      <c r="G21" s="559">
        <v>2018</v>
      </c>
      <c r="H21" s="564">
        <v>4.1239999999999997</v>
      </c>
      <c r="I21" s="565">
        <v>66544</v>
      </c>
      <c r="J21" s="565">
        <v>57211</v>
      </c>
      <c r="K21" s="565">
        <v>9333</v>
      </c>
      <c r="L21" s="76"/>
      <c r="M21" s="565">
        <v>2018</v>
      </c>
      <c r="N21" s="566">
        <v>26121</v>
      </c>
      <c r="O21" s="566"/>
      <c r="P21" s="76"/>
      <c r="Q21" s="565">
        <v>2018</v>
      </c>
      <c r="R21" s="565">
        <v>93741</v>
      </c>
      <c r="S21" s="76"/>
      <c r="T21" s="567">
        <f>IFERROR(INDEX('UNDP Population Data'!$G$6:$G$223,MATCH($C21,'UNDP Population Data'!$D$6:$D$222,0))*100,0)</f>
        <v>1.0418806638693434</v>
      </c>
      <c r="U21" s="420">
        <f t="shared" si="4"/>
        <v>58409.351034896928</v>
      </c>
      <c r="V21" s="420">
        <f t="shared" si="0"/>
        <v>95704.51443537559</v>
      </c>
      <c r="W21" s="420">
        <f t="shared" si="5"/>
        <v>26668.134770980105</v>
      </c>
      <c r="X21" s="420">
        <f t="shared" si="6"/>
        <v>26668.134770980105</v>
      </c>
      <c r="Z21" s="424">
        <f t="shared" si="1"/>
        <v>0.34403913842911593</v>
      </c>
      <c r="AA21" s="424">
        <f t="shared" si="2"/>
        <v>0.15707899416033519</v>
      </c>
      <c r="AB21" s="424">
        <f t="shared" si="3"/>
        <v>0.56371279780957784</v>
      </c>
    </row>
    <row r="22" spans="2:28" x14ac:dyDescent="0.35">
      <c r="B22" s="557" t="s">
        <v>328</v>
      </c>
      <c r="C22" s="557" t="s">
        <v>329</v>
      </c>
      <c r="D22" s="568" t="str">
        <f>INDEX('HCW, Staff, Beds Summary'!$E$7:$E$270,MATCH($C22,'HCW, Staff, Beds Summary'!$C$7:$C$270,0))</f>
        <v>High income</v>
      </c>
      <c r="E22" s="423">
        <f>VLOOKUP($C22,'UNDP Population Data'!$D$6:$E$269,2,FALSE)</f>
        <v>287568</v>
      </c>
      <c r="F22" s="558"/>
      <c r="G22" s="559">
        <v>2018</v>
      </c>
      <c r="H22" s="564">
        <v>30.6</v>
      </c>
      <c r="I22" s="565">
        <v>877</v>
      </c>
      <c r="J22" s="565">
        <v>877</v>
      </c>
      <c r="K22" s="565" t="s">
        <v>748</v>
      </c>
      <c r="L22" s="76"/>
      <c r="M22" s="565">
        <v>2005</v>
      </c>
      <c r="N22" s="566"/>
      <c r="O22" s="566">
        <v>2</v>
      </c>
      <c r="P22" s="76"/>
      <c r="Q22" s="565">
        <v>2017</v>
      </c>
      <c r="R22" s="565">
        <v>711</v>
      </c>
      <c r="S22" s="76"/>
      <c r="T22" s="567">
        <f>IFERROR(INDEX('UNDP Population Data'!$G$6:$G$223,MATCH($C22,'UNDP Population Data'!$D$6:$D$222,0))*100,0)</f>
        <v>0.23470145578239343</v>
      </c>
      <c r="U22" s="420">
        <f t="shared" si="4"/>
        <v>881.12149446904573</v>
      </c>
      <c r="V22" s="420">
        <f t="shared" si="0"/>
        <v>716.01794082614003</v>
      </c>
      <c r="W22" s="420">
        <f t="shared" si="5"/>
        <v>2.0715790651552779</v>
      </c>
      <c r="X22" s="420">
        <f t="shared" si="6"/>
        <v>2.0715790651552779</v>
      </c>
      <c r="Z22" s="424">
        <f t="shared" si="1"/>
        <v>3.0640457021262648</v>
      </c>
      <c r="AA22" s="424">
        <f t="shared" si="2"/>
        <v>7.2037885479444095E-3</v>
      </c>
      <c r="AB22" s="424">
        <f t="shared" si="3"/>
        <v>2.4899082680483922</v>
      </c>
    </row>
    <row r="23" spans="2:28" x14ac:dyDescent="0.35">
      <c r="B23" s="557" t="s">
        <v>330</v>
      </c>
      <c r="C23" s="557" t="s">
        <v>16</v>
      </c>
      <c r="D23" s="568" t="str">
        <f>INDEX('HCW, Staff, Beds Summary'!$E$7:$E$270,MATCH($C23,'HCW, Staff, Beds Summary'!$C$7:$C$270,0))</f>
        <v>Upper middle income</v>
      </c>
      <c r="E23" s="423">
        <f>VLOOKUP($C23,'UNDP Population Data'!$D$6:$E$269,2,FALSE)</f>
        <v>9415431</v>
      </c>
      <c r="F23" s="558"/>
      <c r="G23" s="559">
        <v>2015</v>
      </c>
      <c r="H23" s="564">
        <v>110.027</v>
      </c>
      <c r="I23" s="565">
        <v>103859</v>
      </c>
      <c r="J23" s="565">
        <v>98875</v>
      </c>
      <c r="K23" s="565">
        <v>4984</v>
      </c>
      <c r="L23" s="76"/>
      <c r="M23" s="565"/>
      <c r="N23" s="566"/>
      <c r="O23" s="566"/>
      <c r="P23" s="76"/>
      <c r="Q23" s="565">
        <v>2015</v>
      </c>
      <c r="R23" s="565">
        <v>48995</v>
      </c>
      <c r="S23" s="76"/>
      <c r="T23" s="567">
        <f>IFERROR(INDEX('UNDP Population Data'!$G$6:$G$223,MATCH($C23,'UNDP Population Data'!$D$6:$D$222,0))*100,0)</f>
        <v>-0.14875031030726626</v>
      </c>
      <c r="U23" s="420">
        <f t="shared" si="4"/>
        <v>98141.800174514006</v>
      </c>
      <c r="V23" s="420">
        <f t="shared" si="0"/>
        <v>48631.681411381171</v>
      </c>
      <c r="W23" s="420">
        <f t="shared" si="5"/>
        <v>0</v>
      </c>
      <c r="X23" s="420">
        <f t="shared" si="6"/>
        <v>2005.0746827671915</v>
      </c>
      <c r="Z23" s="424">
        <f t="shared" si="1"/>
        <v>10.423505856982437</v>
      </c>
      <c r="AA23" s="424">
        <f t="shared" si="2"/>
        <v>0</v>
      </c>
      <c r="AB23" s="424">
        <f t="shared" si="3"/>
        <v>5.1651041159327891</v>
      </c>
    </row>
    <row r="24" spans="2:28" x14ac:dyDescent="0.35">
      <c r="B24" s="557" t="s">
        <v>331</v>
      </c>
      <c r="C24" s="557" t="s">
        <v>8</v>
      </c>
      <c r="D24" s="568" t="str">
        <f>INDEX('HCW, Staff, Beds Summary'!$E$7:$E$270,MATCH($C24,'HCW, Staff, Beds Summary'!$C$7:$C$270,0))</f>
        <v>High income</v>
      </c>
      <c r="E24" s="423">
        <f>VLOOKUP($C24,'UNDP Population Data'!$D$6:$E$269,2,FALSE)</f>
        <v>11619972</v>
      </c>
      <c r="F24" s="558"/>
      <c r="G24" s="559">
        <v>2018</v>
      </c>
      <c r="H24" s="564">
        <v>194.614</v>
      </c>
      <c r="I24" s="565">
        <v>223460</v>
      </c>
      <c r="J24" s="565">
        <v>210507</v>
      </c>
      <c r="K24" s="565">
        <v>12953</v>
      </c>
      <c r="L24" s="76"/>
      <c r="M24" s="565"/>
      <c r="N24" s="566"/>
      <c r="O24" s="566"/>
      <c r="P24" s="76"/>
      <c r="Q24" s="565">
        <v>2017</v>
      </c>
      <c r="R24" s="565">
        <v>35069</v>
      </c>
      <c r="S24" s="76"/>
      <c r="T24" s="567">
        <f>IFERROR(INDEX('UNDP Population Data'!$G$6:$G$223,MATCH($C24,'UNDP Population Data'!$D$6:$D$222,0))*100,0)</f>
        <v>0.58149299739598259</v>
      </c>
      <c r="U24" s="420">
        <f t="shared" si="4"/>
        <v>212962.28488768236</v>
      </c>
      <c r="V24" s="420">
        <f t="shared" si="0"/>
        <v>35684.335640618083</v>
      </c>
      <c r="W24" s="420">
        <f t="shared" si="5"/>
        <v>0</v>
      </c>
      <c r="X24" s="420">
        <f t="shared" si="6"/>
        <v>6198.4364877441049</v>
      </c>
      <c r="Z24" s="424">
        <f t="shared" si="1"/>
        <v>18.327263171346917</v>
      </c>
      <c r="AA24" s="424">
        <f t="shared" si="2"/>
        <v>0</v>
      </c>
      <c r="AB24" s="424">
        <f t="shared" si="3"/>
        <v>3.070948504920501</v>
      </c>
    </row>
    <row r="25" spans="2:28" x14ac:dyDescent="0.35">
      <c r="B25" s="557" t="s">
        <v>332</v>
      </c>
      <c r="C25" s="557" t="s">
        <v>17</v>
      </c>
      <c r="D25" s="568" t="str">
        <f>INDEX('HCW, Staff, Beds Summary'!$E$7:$E$270,MATCH($C25,'HCW, Staff, Beds Summary'!$C$7:$C$270,0))</f>
        <v>Upper middle income</v>
      </c>
      <c r="E25" s="423">
        <f>VLOOKUP($C25,'UNDP Population Data'!$D$6:$E$269,2,FALSE)</f>
        <v>398007</v>
      </c>
      <c r="F25" s="558"/>
      <c r="G25" s="559">
        <v>2018</v>
      </c>
      <c r="H25" s="564">
        <v>23.414000000000001</v>
      </c>
      <c r="I25" s="565">
        <v>897</v>
      </c>
      <c r="J25" s="565">
        <v>897</v>
      </c>
      <c r="K25" s="565" t="s">
        <v>748</v>
      </c>
      <c r="L25" s="76"/>
      <c r="M25" s="565"/>
      <c r="N25" s="566"/>
      <c r="O25" s="566"/>
      <c r="P25" s="76"/>
      <c r="Q25" s="565">
        <v>2017</v>
      </c>
      <c r="R25" s="565">
        <v>422</v>
      </c>
      <c r="S25" s="76"/>
      <c r="T25" s="567">
        <f>IFERROR(INDEX('UNDP Population Data'!$G$6:$G$223,MATCH($C25,'UNDP Population Data'!$D$6:$D$222,0))*100,0)</f>
        <v>2.0679987463080085</v>
      </c>
      <c r="U25" s="420">
        <f t="shared" si="4"/>
        <v>934.48351021644703</v>
      </c>
      <c r="V25" s="420">
        <f t="shared" si="0"/>
        <v>448.72601625607496</v>
      </c>
      <c r="W25" s="420">
        <f t="shared" si="5"/>
        <v>0</v>
      </c>
      <c r="X25" s="420">
        <f t="shared" si="6"/>
        <v>84.758069945403619</v>
      </c>
      <c r="Z25" s="424">
        <f t="shared" si="1"/>
        <v>2.3479072232811156</v>
      </c>
      <c r="AA25" s="424">
        <f t="shared" si="2"/>
        <v>0</v>
      </c>
      <c r="AB25" s="424">
        <f t="shared" si="3"/>
        <v>1.1274324729365941</v>
      </c>
    </row>
    <row r="26" spans="2:28" x14ac:dyDescent="0.35">
      <c r="B26" s="557" t="s">
        <v>183</v>
      </c>
      <c r="C26" s="557" t="s">
        <v>9</v>
      </c>
      <c r="D26" s="568" t="str">
        <f>INDEX('HCW, Staff, Beds Summary'!$E$7:$E$270,MATCH($C26,'HCW, Staff, Beds Summary'!$C$7:$C$270,0))</f>
        <v>Low income</v>
      </c>
      <c r="E26" s="423">
        <f>VLOOKUP($C26,'UNDP Population Data'!$D$6:$E$269,2,FALSE)</f>
        <v>12122985</v>
      </c>
      <c r="F26" s="558"/>
      <c r="G26" s="559">
        <v>2018</v>
      </c>
      <c r="H26" s="564">
        <v>3.8879999999999999</v>
      </c>
      <c r="I26" s="565">
        <v>4465</v>
      </c>
      <c r="J26" s="565">
        <v>3410</v>
      </c>
      <c r="K26" s="565">
        <v>1055</v>
      </c>
      <c r="L26" s="76"/>
      <c r="M26" s="565">
        <v>2018</v>
      </c>
      <c r="N26" s="566">
        <v>668</v>
      </c>
      <c r="O26" s="566"/>
      <c r="P26" s="76"/>
      <c r="Q26" s="565">
        <v>2018</v>
      </c>
      <c r="R26" s="565">
        <v>908</v>
      </c>
      <c r="S26" s="76"/>
      <c r="T26" s="567">
        <f>IFERROR(INDEX('UNDP Population Data'!$G$6:$G$223,MATCH($C26,'UNDP Population Data'!$D$6:$D$222,0))*100,0)</f>
        <v>2.7680271366820053</v>
      </c>
      <c r="U26" s="420">
        <f t="shared" si="4"/>
        <v>3601.3921839339405</v>
      </c>
      <c r="V26" s="420">
        <f t="shared" si="0"/>
        <v>958.96308006217532</v>
      </c>
      <c r="W26" s="420">
        <f t="shared" si="5"/>
        <v>705.49266242459601</v>
      </c>
      <c r="X26" s="420">
        <f t="shared" si="6"/>
        <v>705.49266242459601</v>
      </c>
      <c r="Z26" s="424">
        <f t="shared" si="1"/>
        <v>0.2970714047682102</v>
      </c>
      <c r="AA26" s="424">
        <f t="shared" si="2"/>
        <v>5.8194632957526221E-2</v>
      </c>
      <c r="AB26" s="424">
        <f t="shared" si="3"/>
        <v>7.9102884319511679E-2</v>
      </c>
    </row>
    <row r="27" spans="2:28" x14ac:dyDescent="0.35">
      <c r="B27" s="557" t="s">
        <v>241</v>
      </c>
      <c r="C27" s="557" t="s">
        <v>21</v>
      </c>
      <c r="D27" s="568" t="str">
        <f>INDEX('HCW, Staff, Beds Summary'!$E$7:$E$270,MATCH($C27,'HCW, Staff, Beds Summary'!$C$7:$C$270,0))</f>
        <v>Lower middle income</v>
      </c>
      <c r="E27" s="423">
        <f>VLOOKUP($C27,'UNDP Population Data'!$D$6:$E$269,2,FALSE)</f>
        <v>835245</v>
      </c>
      <c r="F27" s="558"/>
      <c r="G27" s="559">
        <v>2018</v>
      </c>
      <c r="H27" s="564">
        <v>18.518000000000001</v>
      </c>
      <c r="I27" s="565">
        <v>1397</v>
      </c>
      <c r="J27" s="565">
        <v>1397</v>
      </c>
      <c r="K27" s="565" t="s">
        <v>748</v>
      </c>
      <c r="L27" s="76"/>
      <c r="M27" s="565">
        <v>2018</v>
      </c>
      <c r="N27" s="566">
        <v>309</v>
      </c>
      <c r="O27" s="566">
        <v>71</v>
      </c>
      <c r="P27" s="76"/>
      <c r="Q27" s="565">
        <v>2018</v>
      </c>
      <c r="R27" s="565">
        <v>320</v>
      </c>
      <c r="S27" s="76"/>
      <c r="T27" s="567">
        <f>IFERROR(INDEX('UNDP Population Data'!$G$6:$G$223,MATCH($C27,'UNDP Population Data'!$D$6:$D$222,0))*100,0)</f>
        <v>1.1871209406469907</v>
      </c>
      <c r="U27" s="420">
        <f t="shared" si="4"/>
        <v>1430.3650321627197</v>
      </c>
      <c r="V27" s="420">
        <f t="shared" si="0"/>
        <v>327.64267021622788</v>
      </c>
      <c r="W27" s="420">
        <f t="shared" si="5"/>
        <v>389.07567088177058</v>
      </c>
      <c r="X27" s="420">
        <f t="shared" si="6"/>
        <v>389.07567088177058</v>
      </c>
      <c r="Z27" s="424">
        <f t="shared" si="1"/>
        <v>1.7125095417065888</v>
      </c>
      <c r="AA27" s="424">
        <f t="shared" si="2"/>
        <v>0.46582220891088311</v>
      </c>
      <c r="AB27" s="424">
        <f t="shared" si="3"/>
        <v>0.39227133381969109</v>
      </c>
    </row>
    <row r="28" spans="2:28" x14ac:dyDescent="0.35">
      <c r="B28" s="557" t="s">
        <v>1129</v>
      </c>
      <c r="C28" s="557" t="s">
        <v>18</v>
      </c>
      <c r="D28" s="568" t="str">
        <f>INDEX('HCW, Staff, Beds Summary'!$E$7:$E$270,MATCH($C28,'HCW, Staff, Beds Summary'!$C$7:$C$270,0))</f>
        <v>Lower middle income</v>
      </c>
      <c r="E28" s="423">
        <f>VLOOKUP($C28,'UNDP Population Data'!$D$6:$E$269,2,FALSE)</f>
        <v>11543982</v>
      </c>
      <c r="F28" s="558"/>
      <c r="G28" s="559">
        <v>2017</v>
      </c>
      <c r="H28" s="564">
        <v>15.589</v>
      </c>
      <c r="I28" s="565">
        <v>17449</v>
      </c>
      <c r="J28" s="565">
        <v>17449</v>
      </c>
      <c r="K28" s="565" t="s">
        <v>748</v>
      </c>
      <c r="L28" s="76"/>
      <c r="M28" s="565">
        <v>2011</v>
      </c>
      <c r="N28" s="566"/>
      <c r="O28" s="566">
        <v>562</v>
      </c>
      <c r="P28" s="76"/>
      <c r="Q28" s="565">
        <v>2016</v>
      </c>
      <c r="R28" s="565">
        <v>17542</v>
      </c>
      <c r="S28" s="76"/>
      <c r="T28" s="567">
        <f>IFERROR(INDEX('UNDP Population Data'!$G$6:$G$223,MATCH($C28,'UNDP Population Data'!$D$6:$D$222,0))*100,0)</f>
        <v>1.4831775893884069</v>
      </c>
      <c r="U28" s="420">
        <f t="shared" si="4"/>
        <v>18236.971279441314</v>
      </c>
      <c r="V28" s="420">
        <f t="shared" si="0"/>
        <v>18606.099339024546</v>
      </c>
      <c r="W28" s="420">
        <f t="shared" si="5"/>
        <v>641.62729414208184</v>
      </c>
      <c r="X28" s="420">
        <f t="shared" si="6"/>
        <v>641.62729414208184</v>
      </c>
      <c r="Z28" s="424">
        <f t="shared" si="1"/>
        <v>1.5797816801378688</v>
      </c>
      <c r="AA28" s="424">
        <f t="shared" si="2"/>
        <v>5.5581106601004911E-2</v>
      </c>
      <c r="AB28" s="424">
        <f t="shared" si="3"/>
        <v>1.6117574801333323</v>
      </c>
    </row>
    <row r="29" spans="2:28" x14ac:dyDescent="0.35">
      <c r="B29" s="557" t="s">
        <v>335</v>
      </c>
      <c r="C29" s="557" t="s">
        <v>15</v>
      </c>
      <c r="D29" s="568" t="str">
        <f>INDEX('HCW, Staff, Beds Summary'!$E$7:$E$270,MATCH($C29,'HCW, Staff, Beds Summary'!$C$7:$C$270,0))</f>
        <v>Upper middle income</v>
      </c>
      <c r="E29" s="423">
        <f>VLOOKUP($C29,'UNDP Population Data'!$D$6:$E$269,2,FALSE)</f>
        <v>3498210</v>
      </c>
      <c r="F29" s="558"/>
      <c r="G29" s="559">
        <v>2018</v>
      </c>
      <c r="H29" s="564">
        <v>57.332999999999998</v>
      </c>
      <c r="I29" s="565">
        <v>19057</v>
      </c>
      <c r="J29" s="565">
        <v>19057</v>
      </c>
      <c r="K29" s="565" t="s">
        <v>748</v>
      </c>
      <c r="L29" s="76"/>
      <c r="M29" s="565"/>
      <c r="N29" s="566"/>
      <c r="O29" s="566"/>
      <c r="P29" s="76"/>
      <c r="Q29" s="565">
        <v>2015</v>
      </c>
      <c r="R29" s="565">
        <v>7413</v>
      </c>
      <c r="S29" s="76"/>
      <c r="T29" s="567">
        <f>IFERROR(INDEX('UNDP Population Data'!$G$6:$G$223,MATCH($C29,'UNDP Population Data'!$D$6:$D$222,0))*100,0)</f>
        <v>-0.21444386396272108</v>
      </c>
      <c r="U29" s="420">
        <f t="shared" si="4"/>
        <v>18975.354501534926</v>
      </c>
      <c r="V29" s="420">
        <f t="shared" si="0"/>
        <v>7333.8565470603326</v>
      </c>
      <c r="W29" s="420">
        <f t="shared" si="5"/>
        <v>0</v>
      </c>
      <c r="X29" s="420">
        <f t="shared" si="6"/>
        <v>744.96561081516256</v>
      </c>
      <c r="Z29" s="424">
        <f t="shared" si="1"/>
        <v>5.424304001627954</v>
      </c>
      <c r="AA29" s="424">
        <f t="shared" si="2"/>
        <v>0</v>
      </c>
      <c r="AB29" s="424">
        <f t="shared" si="3"/>
        <v>2.0964597743018096</v>
      </c>
    </row>
    <row r="30" spans="2:28" x14ac:dyDescent="0.35">
      <c r="B30" s="557" t="s">
        <v>184</v>
      </c>
      <c r="C30" s="557" t="s">
        <v>22</v>
      </c>
      <c r="D30" s="568" t="str">
        <f>INDEX('HCW, Staff, Beds Summary'!$E$7:$E$270,MATCH($C30,'HCW, Staff, Beds Summary'!$C$7:$C$270,0))</f>
        <v>Upper middle income</v>
      </c>
      <c r="E30" s="423">
        <f>VLOOKUP($C30,'UNDP Population Data'!$D$6:$E$269,2,FALSE)</f>
        <v>2415766</v>
      </c>
      <c r="F30" s="558"/>
      <c r="G30" s="559">
        <v>2018</v>
      </c>
      <c r="H30" s="564">
        <v>54.03</v>
      </c>
      <c r="I30" s="565">
        <v>12179</v>
      </c>
      <c r="J30" s="565">
        <v>12179</v>
      </c>
      <c r="K30" s="565" t="s">
        <v>748</v>
      </c>
      <c r="L30" s="76"/>
      <c r="M30" s="565">
        <v>2009</v>
      </c>
      <c r="N30" s="566"/>
      <c r="O30" s="566">
        <v>317</v>
      </c>
      <c r="P30" s="76"/>
      <c r="Q30" s="565">
        <v>2016</v>
      </c>
      <c r="R30" s="565">
        <v>1138</v>
      </c>
      <c r="S30" s="76"/>
      <c r="T30" s="567">
        <f>IFERROR(INDEX('UNDP Population Data'!$G$6:$G$223,MATCH($C30,'UNDP Population Data'!$D$6:$D$222,0))*100,0)</f>
        <v>1.8038222413050642</v>
      </c>
      <c r="U30" s="420">
        <f t="shared" si="4"/>
        <v>12622.337793717699</v>
      </c>
      <c r="V30" s="420">
        <f t="shared" si="0"/>
        <v>1222.3585029952412</v>
      </c>
      <c r="W30" s="420">
        <f t="shared" si="5"/>
        <v>385.89058774894636</v>
      </c>
      <c r="X30" s="420">
        <f t="shared" si="6"/>
        <v>385.89058774894636</v>
      </c>
      <c r="Z30" s="424">
        <f t="shared" si="1"/>
        <v>5.2249836257806841</v>
      </c>
      <c r="AA30" s="424">
        <f t="shared" si="2"/>
        <v>0.15973839674411608</v>
      </c>
      <c r="AB30" s="424">
        <f t="shared" si="3"/>
        <v>0.50599209650075438</v>
      </c>
    </row>
    <row r="31" spans="2:28" x14ac:dyDescent="0.35">
      <c r="B31" s="557" t="s">
        <v>336</v>
      </c>
      <c r="C31" s="557" t="s">
        <v>19</v>
      </c>
      <c r="D31" s="568" t="str">
        <f>INDEX('HCW, Staff, Beds Summary'!$E$7:$E$270,MATCH($C31,'HCW, Staff, Beds Summary'!$C$7:$C$270,0))</f>
        <v>Upper middle income</v>
      </c>
      <c r="E31" s="423">
        <f>VLOOKUP($C31,'UNDP Population Data'!$D$6:$E$269,2,FALSE)</f>
        <v>213863046</v>
      </c>
      <c r="F31" s="558"/>
      <c r="G31" s="559">
        <v>2018</v>
      </c>
      <c r="H31" s="564">
        <v>101.19</v>
      </c>
      <c r="I31" s="565">
        <v>2119620</v>
      </c>
      <c r="J31" s="565">
        <v>2119620</v>
      </c>
      <c r="K31" s="565" t="s">
        <v>748</v>
      </c>
      <c r="L31" s="76"/>
      <c r="M31" s="565">
        <v>2017</v>
      </c>
      <c r="N31" s="566"/>
      <c r="O31" s="566">
        <v>43744</v>
      </c>
      <c r="P31" s="76"/>
      <c r="Q31" s="565">
        <v>2018</v>
      </c>
      <c r="R31" s="565">
        <v>453351</v>
      </c>
      <c r="S31" s="76"/>
      <c r="T31" s="567">
        <f>IFERROR(INDEX('UNDP Population Data'!$G$6:$G$223,MATCH($C31,'UNDP Population Data'!$D$6:$D$222,0))*100,0)</f>
        <v>0.75571377256797856</v>
      </c>
      <c r="U31" s="420">
        <f t="shared" si="4"/>
        <v>2151777.5727311675</v>
      </c>
      <c r="V31" s="420">
        <f t="shared" si="0"/>
        <v>460228.96291563933</v>
      </c>
      <c r="W31" s="420">
        <f t="shared" si="5"/>
        <v>44743.251880423042</v>
      </c>
      <c r="X31" s="420">
        <f t="shared" si="6"/>
        <v>44743.251880423042</v>
      </c>
      <c r="Z31" s="424">
        <f t="shared" si="1"/>
        <v>10.061474448143638</v>
      </c>
      <c r="AA31" s="424">
        <f t="shared" si="2"/>
        <v>0.20921450768274871</v>
      </c>
      <c r="AB31" s="424">
        <f t="shared" si="3"/>
        <v>2.1519798372068415</v>
      </c>
    </row>
    <row r="32" spans="2:28" x14ac:dyDescent="0.35">
      <c r="B32" s="557" t="s">
        <v>339</v>
      </c>
      <c r="C32" s="557" t="s">
        <v>20</v>
      </c>
      <c r="D32" s="568" t="str">
        <f>INDEX('HCW, Staff, Beds Summary'!$E$7:$E$270,MATCH($C32,'HCW, Staff, Beds Summary'!$C$7:$C$270,0))</f>
        <v>High income</v>
      </c>
      <c r="E32" s="423">
        <f>VLOOKUP($C32,'UNDP Population Data'!$D$6:$E$269,2,FALSE)</f>
        <v>444519</v>
      </c>
      <c r="F32" s="558"/>
      <c r="G32" s="559">
        <v>2018</v>
      </c>
      <c r="H32" s="564">
        <v>58.973999999999997</v>
      </c>
      <c r="I32" s="565">
        <v>2530</v>
      </c>
      <c r="J32" s="565">
        <v>2530</v>
      </c>
      <c r="K32" s="565" t="s">
        <v>748</v>
      </c>
      <c r="L32" s="76"/>
      <c r="M32" s="565">
        <v>2015</v>
      </c>
      <c r="N32" s="566">
        <v>113</v>
      </c>
      <c r="O32" s="566">
        <v>27</v>
      </c>
      <c r="P32" s="76"/>
      <c r="Q32" s="565">
        <v>2017</v>
      </c>
      <c r="R32" s="565">
        <v>683</v>
      </c>
      <c r="S32" s="76"/>
      <c r="T32" s="567">
        <f>IFERROR(INDEX('UNDP Population Data'!$G$6:$G$223,MATCH($C32,'UNDP Population Data'!$D$6:$D$222,0))*100,0)</f>
        <v>1.2600254749009832</v>
      </c>
      <c r="U32" s="420">
        <f t="shared" si="4"/>
        <v>2594.1589680719321</v>
      </c>
      <c r="V32" s="420">
        <f t="shared" si="0"/>
        <v>709.14460071444773</v>
      </c>
      <c r="W32" s="420">
        <f t="shared" si="5"/>
        <v>149.04526969741974</v>
      </c>
      <c r="X32" s="420">
        <f t="shared" si="6"/>
        <v>149.04526969741974</v>
      </c>
      <c r="Z32" s="424">
        <f t="shared" si="1"/>
        <v>5.8358787095083269</v>
      </c>
      <c r="AA32" s="424">
        <f t="shared" si="2"/>
        <v>0.33529561098045241</v>
      </c>
      <c r="AB32" s="424">
        <f t="shared" si="3"/>
        <v>1.5953077387343348</v>
      </c>
    </row>
    <row r="33" spans="2:28" x14ac:dyDescent="0.35">
      <c r="B33" s="557" t="s">
        <v>340</v>
      </c>
      <c r="C33" s="557" t="s">
        <v>12</v>
      </c>
      <c r="D33" s="568" t="str">
        <f>INDEX('HCW, Staff, Beds Summary'!$E$7:$E$270,MATCH($C33,'HCW, Staff, Beds Summary'!$C$7:$C$270,0))</f>
        <v>Upper middle income</v>
      </c>
      <c r="E33" s="423">
        <f>VLOOKUP($C33,'UNDP Population Data'!$D$6:$E$269,2,FALSE)</f>
        <v>6940527</v>
      </c>
      <c r="F33" s="558"/>
      <c r="G33" s="559">
        <v>2015</v>
      </c>
      <c r="H33" s="564">
        <v>48.155999999999999</v>
      </c>
      <c r="I33" s="565">
        <v>34671</v>
      </c>
      <c r="J33" s="565">
        <v>31397</v>
      </c>
      <c r="K33" s="565">
        <v>3274</v>
      </c>
      <c r="L33" s="76"/>
      <c r="M33" s="565"/>
      <c r="N33" s="566"/>
      <c r="O33" s="566"/>
      <c r="P33" s="76"/>
      <c r="Q33" s="565">
        <v>2015</v>
      </c>
      <c r="R33" s="565">
        <v>29038</v>
      </c>
      <c r="S33" s="76"/>
      <c r="T33" s="567">
        <f>IFERROR(INDEX('UNDP Population Data'!$G$6:$G$223,MATCH($C33,'UNDP Population Data'!$D$6:$D$222,0))*100,0)</f>
        <v>-0.6689313255086482</v>
      </c>
      <c r="U33" s="420">
        <f t="shared" si="4"/>
        <v>30360.833681045318</v>
      </c>
      <c r="V33" s="420">
        <f t="shared" si="0"/>
        <v>28079.685588756693</v>
      </c>
      <c r="W33" s="420">
        <f t="shared" si="5"/>
        <v>0</v>
      </c>
      <c r="X33" s="420">
        <f t="shared" si="6"/>
        <v>1478.0284591074085</v>
      </c>
      <c r="Z33" s="424">
        <f t="shared" si="1"/>
        <v>4.3744277172389534</v>
      </c>
      <c r="AA33" s="424">
        <f t="shared" si="2"/>
        <v>0</v>
      </c>
      <c r="AB33" s="424">
        <f t="shared" si="3"/>
        <v>4.0457569848451982</v>
      </c>
    </row>
    <row r="34" spans="2:28" x14ac:dyDescent="0.35">
      <c r="B34" s="557" t="s">
        <v>185</v>
      </c>
      <c r="C34" s="557" t="s">
        <v>10</v>
      </c>
      <c r="D34" s="568" t="str">
        <f>INDEX('HCW, Staff, Beds Summary'!$E$7:$E$270,MATCH($C34,'HCW, Staff, Beds Summary'!$C$7:$C$270,0))</f>
        <v>Low income</v>
      </c>
      <c r="E34" s="423">
        <f>VLOOKUP($C34,'UNDP Population Data'!$D$6:$E$269,2,FALSE)</f>
        <v>20903345</v>
      </c>
      <c r="F34" s="558"/>
      <c r="G34" s="559">
        <v>2017</v>
      </c>
      <c r="H34" s="564">
        <v>8.8290000000000006</v>
      </c>
      <c r="I34" s="565">
        <v>16945</v>
      </c>
      <c r="J34" s="565">
        <v>10376</v>
      </c>
      <c r="K34" s="565">
        <v>6569</v>
      </c>
      <c r="L34" s="76"/>
      <c r="M34" s="565">
        <v>2017</v>
      </c>
      <c r="N34" s="566">
        <v>699</v>
      </c>
      <c r="O34" s="566"/>
      <c r="P34" s="76"/>
      <c r="Q34" s="565">
        <v>2017</v>
      </c>
      <c r="R34" s="565">
        <v>1626</v>
      </c>
      <c r="S34" s="76"/>
      <c r="T34" s="567">
        <f>IFERROR(INDEX('UNDP Population Data'!$G$6:$G$223,MATCH($C34,'UNDP Population Data'!$D$6:$D$222,0))*100,0)</f>
        <v>2.9097385535355347</v>
      </c>
      <c r="U34" s="420">
        <f t="shared" si="4"/>
        <v>11308.353800599989</v>
      </c>
      <c r="V34" s="420">
        <f t="shared" si="0"/>
        <v>1772.1071009806844</v>
      </c>
      <c r="W34" s="420">
        <f t="shared" si="5"/>
        <v>761.80987920387349</v>
      </c>
      <c r="X34" s="420">
        <f t="shared" si="6"/>
        <v>761.80987920387349</v>
      </c>
      <c r="Z34" s="424">
        <f t="shared" si="1"/>
        <v>0.54098297667669881</v>
      </c>
      <c r="AA34" s="424">
        <f t="shared" si="2"/>
        <v>3.6444400606882463E-2</v>
      </c>
      <c r="AB34" s="424">
        <f t="shared" si="3"/>
        <v>8.4776245188542057E-2</v>
      </c>
    </row>
    <row r="35" spans="2:28" x14ac:dyDescent="0.35">
      <c r="B35" s="557" t="s">
        <v>186</v>
      </c>
      <c r="C35" s="557" t="s">
        <v>7</v>
      </c>
      <c r="D35" s="568" t="str">
        <f>INDEX('HCW, Staff, Beds Summary'!$E$7:$E$270,MATCH($C35,'HCW, Staff, Beds Summary'!$C$7:$C$270,0))</f>
        <v>Low income</v>
      </c>
      <c r="E35" s="423">
        <f>VLOOKUP($C35,'UNDP Population Data'!$D$6:$E$269,2,FALSE)</f>
        <v>11939227</v>
      </c>
      <c r="F35" s="558"/>
      <c r="G35" s="559">
        <v>2017</v>
      </c>
      <c r="H35" s="564">
        <v>8.5259999999999998</v>
      </c>
      <c r="I35" s="565">
        <v>9231</v>
      </c>
      <c r="J35" s="565">
        <v>9071</v>
      </c>
      <c r="K35" s="565">
        <v>160</v>
      </c>
      <c r="L35" s="76"/>
      <c r="M35" s="565">
        <v>2017</v>
      </c>
      <c r="N35" s="566">
        <v>1073</v>
      </c>
      <c r="O35" s="566"/>
      <c r="P35" s="76"/>
      <c r="Q35" s="565">
        <v>2017</v>
      </c>
      <c r="R35" s="565">
        <v>1084</v>
      </c>
      <c r="S35" s="76"/>
      <c r="T35" s="567">
        <f>IFERROR(INDEX('UNDP Population Data'!$G$6:$G$223,MATCH($C35,'UNDP Population Data'!$D$6:$D$222,0))*100,0)</f>
        <v>3.2004103467554446</v>
      </c>
      <c r="U35" s="420">
        <f t="shared" si="4"/>
        <v>9970.0982797415381</v>
      </c>
      <c r="V35" s="420">
        <f t="shared" si="0"/>
        <v>1191.4437807562372</v>
      </c>
      <c r="W35" s="420">
        <f t="shared" si="5"/>
        <v>1179.3534840880466</v>
      </c>
      <c r="X35" s="420">
        <f t="shared" si="6"/>
        <v>1179.3534840880466</v>
      </c>
      <c r="Z35" s="424">
        <f t="shared" si="1"/>
        <v>0.83507066912636285</v>
      </c>
      <c r="AA35" s="424">
        <f t="shared" si="2"/>
        <v>9.8779718660851876E-2</v>
      </c>
      <c r="AB35" s="424">
        <f t="shared" si="3"/>
        <v>9.9792371881047004E-2</v>
      </c>
    </row>
    <row r="36" spans="2:28" x14ac:dyDescent="0.35">
      <c r="B36" s="557" t="s">
        <v>341</v>
      </c>
      <c r="C36" s="557" t="s">
        <v>30</v>
      </c>
      <c r="D36" s="568" t="str">
        <f>INDEX('HCW, Staff, Beds Summary'!$E$7:$E$270,MATCH($C36,'HCW, Staff, Beds Summary'!$C$7:$C$270,0))</f>
        <v>Lower middle income</v>
      </c>
      <c r="E36" s="423">
        <f>VLOOKUP($C36,'UNDP Population Data'!$D$6:$E$269,2,FALSE)</f>
        <v>567348</v>
      </c>
      <c r="F36" s="558"/>
      <c r="G36" s="559">
        <v>2018</v>
      </c>
      <c r="H36" s="564">
        <v>12.983000000000001</v>
      </c>
      <c r="I36" s="565">
        <v>706</v>
      </c>
      <c r="J36" s="565">
        <v>706</v>
      </c>
      <c r="K36" s="565" t="s">
        <v>748</v>
      </c>
      <c r="L36" s="76"/>
      <c r="M36" s="565"/>
      <c r="N36" s="566"/>
      <c r="O36" s="566"/>
      <c r="P36" s="76"/>
      <c r="Q36" s="565">
        <v>2015</v>
      </c>
      <c r="R36" s="565">
        <v>410</v>
      </c>
      <c r="S36" s="76"/>
      <c r="T36" s="567">
        <f>IFERROR(INDEX('UNDP Population Data'!$G$6:$G$223,MATCH($C36,'UNDP Population Data'!$D$6:$D$222,0))*100,0)</f>
        <v>1.2601677975911052</v>
      </c>
      <c r="U36" s="420">
        <f t="shared" si="4"/>
        <v>723.90568371717927</v>
      </c>
      <c r="V36" s="420">
        <f t="shared" si="0"/>
        <v>436.49278587686911</v>
      </c>
      <c r="W36" s="420">
        <f t="shared" si="5"/>
        <v>0</v>
      </c>
      <c r="X36" s="420">
        <f t="shared" si="6"/>
        <v>146.11417851052124</v>
      </c>
      <c r="Z36" s="424">
        <f t="shared" si="1"/>
        <v>1.2759464803210363</v>
      </c>
      <c r="AA36" s="424">
        <f t="shared" si="2"/>
        <v>0</v>
      </c>
      <c r="AB36" s="424">
        <f t="shared" si="3"/>
        <v>0.7693563489725338</v>
      </c>
    </row>
    <row r="37" spans="2:28" x14ac:dyDescent="0.35">
      <c r="B37" s="557" t="s">
        <v>247</v>
      </c>
      <c r="C37" s="557" t="s">
        <v>72</v>
      </c>
      <c r="D37" s="568" t="str">
        <f>INDEX('HCW, Staff, Beds Summary'!$E$7:$E$270,MATCH($C37,'HCW, Staff, Beds Summary'!$C$7:$C$270,0))</f>
        <v>Lower middle income</v>
      </c>
      <c r="E37" s="423">
        <f>VLOOKUP($C37,'UNDP Population Data'!$D$6:$E$269,2,FALSE)</f>
        <v>16715508.000000002</v>
      </c>
      <c r="F37" s="558"/>
      <c r="G37" s="559">
        <v>2018</v>
      </c>
      <c r="H37" s="564">
        <v>6.8550000000000004</v>
      </c>
      <c r="I37" s="565">
        <v>11140</v>
      </c>
      <c r="J37" s="565">
        <v>11140</v>
      </c>
      <c r="K37" s="565" t="s">
        <v>748</v>
      </c>
      <c r="L37" s="76"/>
      <c r="M37" s="565">
        <v>2014</v>
      </c>
      <c r="N37" s="566">
        <v>554</v>
      </c>
      <c r="O37" s="566"/>
      <c r="P37" s="76"/>
      <c r="Q37" s="565">
        <v>2014</v>
      </c>
      <c r="R37" s="565">
        <v>2944</v>
      </c>
      <c r="S37" s="76"/>
      <c r="T37" s="567">
        <f>IFERROR(INDEX('UNDP Population Data'!$G$6:$G$223,MATCH($C37,'UNDP Population Data'!$D$6:$D$222,0))*100,0)</f>
        <v>1.498309626625538</v>
      </c>
      <c r="U37" s="420">
        <f t="shared" si="4"/>
        <v>11476.324238767455</v>
      </c>
      <c r="V37" s="420">
        <f t="shared" si="0"/>
        <v>3218.7753188447796</v>
      </c>
      <c r="W37" s="420">
        <f t="shared" si="5"/>
        <v>605.70704029891579</v>
      </c>
      <c r="X37" s="420">
        <f t="shared" si="6"/>
        <v>605.70704029891579</v>
      </c>
      <c r="Z37" s="424">
        <f t="shared" si="1"/>
        <v>0.68656748205124563</v>
      </c>
      <c r="AA37" s="424">
        <f t="shared" si="2"/>
        <v>3.6236232862256759E-2</v>
      </c>
      <c r="AB37" s="424">
        <f t="shared" si="3"/>
        <v>0.19256221939798535</v>
      </c>
    </row>
    <row r="38" spans="2:28" x14ac:dyDescent="0.35">
      <c r="B38" s="557" t="s">
        <v>187</v>
      </c>
      <c r="C38" s="557" t="s">
        <v>27</v>
      </c>
      <c r="D38" s="568" t="str">
        <f>INDEX('HCW, Staff, Beds Summary'!$E$7:$E$270,MATCH($C38,'HCW, Staff, Beds Summary'!$C$7:$C$270,0))</f>
        <v>Lower middle income</v>
      </c>
      <c r="E38" s="423">
        <f>VLOOKUP($C38,'UNDP Population Data'!$D$6:$E$269,2,FALSE)</f>
        <v>25958184</v>
      </c>
      <c r="F38" s="558"/>
      <c r="G38" s="559">
        <v>2011</v>
      </c>
      <c r="H38" s="564">
        <v>9.1639999999999997</v>
      </c>
      <c r="I38" s="565">
        <v>19159</v>
      </c>
      <c r="J38" s="565">
        <v>18954</v>
      </c>
      <c r="K38" s="565">
        <v>205</v>
      </c>
      <c r="L38" s="76"/>
      <c r="M38" s="565">
        <v>2004</v>
      </c>
      <c r="N38" s="566"/>
      <c r="O38" s="566">
        <v>1793</v>
      </c>
      <c r="P38" s="76"/>
      <c r="Q38" s="565">
        <v>2011</v>
      </c>
      <c r="R38" s="565">
        <v>1842</v>
      </c>
      <c r="S38" s="76"/>
      <c r="T38" s="567">
        <f>IFERROR(INDEX('UNDP Population Data'!$G$6:$G$223,MATCH($C38,'UNDP Population Data'!$D$6:$D$222,0))*100,0)</f>
        <v>2.5974286347397957</v>
      </c>
      <c r="U38" s="420">
        <f t="shared" si="4"/>
        <v>23874.218446420451</v>
      </c>
      <c r="V38" s="420">
        <f t="shared" si="0"/>
        <v>2320.1598806746056</v>
      </c>
      <c r="W38" s="420">
        <f t="shared" si="5"/>
        <v>2702.4888506184939</v>
      </c>
      <c r="X38" s="420">
        <f t="shared" si="6"/>
        <v>2702.4888506184939</v>
      </c>
      <c r="Z38" s="424">
        <f t="shared" si="1"/>
        <v>0.91971836113113503</v>
      </c>
      <c r="AA38" s="424">
        <f t="shared" si="2"/>
        <v>0.10410931868802895</v>
      </c>
      <c r="AB38" s="424">
        <f t="shared" si="3"/>
        <v>8.9380670106761151E-2</v>
      </c>
    </row>
    <row r="39" spans="2:28" x14ac:dyDescent="0.35">
      <c r="B39" s="557" t="s">
        <v>342</v>
      </c>
      <c r="C39" s="557" t="s">
        <v>159</v>
      </c>
      <c r="D39" s="568" t="str">
        <f>INDEX('HCW, Staff, Beds Summary'!$E$7:$E$270,MATCH($C39,'HCW, Staff, Beds Summary'!$C$7:$C$270,0))</f>
        <v>High income</v>
      </c>
      <c r="E39" s="423">
        <f>VLOOKUP($C39,'UNDP Population Data'!$D$6:$E$269,2,FALSE)</f>
        <v>37603205</v>
      </c>
      <c r="F39" s="558"/>
      <c r="G39" s="559">
        <v>2018</v>
      </c>
      <c r="H39" s="564">
        <v>99.438000000000002</v>
      </c>
      <c r="I39" s="565">
        <v>368664</v>
      </c>
      <c r="J39" s="565">
        <v>368664</v>
      </c>
      <c r="K39" s="565" t="s">
        <v>748</v>
      </c>
      <c r="L39" s="76"/>
      <c r="M39" s="565"/>
      <c r="N39" s="566"/>
      <c r="O39" s="566"/>
      <c r="P39" s="76"/>
      <c r="Q39" s="565">
        <v>2016</v>
      </c>
      <c r="R39" s="565">
        <v>84063</v>
      </c>
      <c r="S39" s="76"/>
      <c r="T39" s="567">
        <f>IFERROR(INDEX('UNDP Population Data'!$G$6:$G$223,MATCH($C39,'UNDP Population Data'!$D$6:$D$222,0))*100,0)</f>
        <v>0.90342237836789074</v>
      </c>
      <c r="U39" s="420">
        <f t="shared" si="4"/>
        <v>375355.27547716227</v>
      </c>
      <c r="V39" s="420">
        <f t="shared" si="0"/>
        <v>87142.19023022418</v>
      </c>
      <c r="W39" s="420">
        <f t="shared" si="5"/>
        <v>0</v>
      </c>
      <c r="X39" s="420">
        <f t="shared" si="6"/>
        <v>20058.660892480773</v>
      </c>
      <c r="Z39" s="424">
        <f t="shared" si="1"/>
        <v>9.9820022117040885</v>
      </c>
      <c r="AA39" s="424">
        <f t="shared" si="2"/>
        <v>0</v>
      </c>
      <c r="AB39" s="424">
        <f t="shared" si="3"/>
        <v>2.3174139074109288</v>
      </c>
    </row>
    <row r="40" spans="2:28" x14ac:dyDescent="0.35">
      <c r="B40" s="557" t="s">
        <v>188</v>
      </c>
      <c r="C40" s="557" t="s">
        <v>173</v>
      </c>
      <c r="D40" s="568" t="str">
        <f>INDEX('HCW, Staff, Beds Summary'!$E$7:$E$270,MATCH($C40,'HCW, Staff, Beds Summary'!$C$7:$C$270,0))</f>
        <v>Low income</v>
      </c>
      <c r="E40" s="423">
        <f>VLOOKUP($C40,'UNDP Population Data'!$D$6:$E$269,2,FALSE)</f>
        <v>4920889</v>
      </c>
      <c r="F40" s="558"/>
      <c r="G40" s="559">
        <v>2015</v>
      </c>
      <c r="H40" s="564">
        <v>2.0630000000000002</v>
      </c>
      <c r="I40" s="565">
        <v>927</v>
      </c>
      <c r="J40" s="565">
        <v>322</v>
      </c>
      <c r="K40" s="565">
        <v>605</v>
      </c>
      <c r="L40" s="76"/>
      <c r="M40" s="565">
        <v>2009</v>
      </c>
      <c r="N40" s="566"/>
      <c r="O40" s="566">
        <v>40</v>
      </c>
      <c r="P40" s="76"/>
      <c r="Q40" s="565">
        <v>2015</v>
      </c>
      <c r="R40" s="565">
        <v>324</v>
      </c>
      <c r="S40" s="76"/>
      <c r="T40" s="567">
        <f>IFERROR(INDEX('UNDP Population Data'!$G$6:$G$223,MATCH($C40,'UNDP Population Data'!$D$6:$D$222,0))*100,0)</f>
        <v>1.5970076580426928</v>
      </c>
      <c r="U40" s="420">
        <f t="shared" si="4"/>
        <v>348.5462831877872</v>
      </c>
      <c r="V40" s="420">
        <f t="shared" ref="V40:V71" si="7">IFERROR(R40*(1+$T40/100)^(2020-$Q40),R40)</f>
        <v>350.71116693429519</v>
      </c>
      <c r="W40" s="420">
        <f t="shared" si="5"/>
        <v>47.615689393308728</v>
      </c>
      <c r="X40" s="420">
        <f t="shared" si="6"/>
        <v>47.615689393308728</v>
      </c>
      <c r="Z40" s="424">
        <f t="shared" ref="Z40:Z71" si="8">IFERROR(U40/E40*1000,0)</f>
        <v>7.0829942148214919E-2</v>
      </c>
      <c r="AA40" s="424">
        <f t="shared" ref="AA40:AA71" si="9">IFERROR(W40/E40*1000,0)</f>
        <v>9.6762372395127645E-3</v>
      </c>
      <c r="AB40" s="424">
        <f t="shared" ref="AB40:AB71" si="10">IFERROR(V40/E40*1000,0)</f>
        <v>7.1269879677085826E-2</v>
      </c>
    </row>
    <row r="41" spans="2:28" x14ac:dyDescent="0.35">
      <c r="B41" s="557" t="s">
        <v>189</v>
      </c>
      <c r="C41" s="557" t="s">
        <v>169</v>
      </c>
      <c r="D41" s="568" t="str">
        <f>INDEX('HCW, Staff, Beds Summary'!$E$7:$E$270,MATCH($C41,'HCW, Staff, Beds Summary'!$C$7:$C$270,0))</f>
        <v>Low income</v>
      </c>
      <c r="E41" s="423">
        <f>VLOOKUP($C41,'UNDP Population Data'!$D$6:$E$269,2,FALSE)</f>
        <v>16285093</v>
      </c>
      <c r="F41" s="558"/>
      <c r="G41" s="559">
        <v>2017</v>
      </c>
      <c r="H41" s="564">
        <v>2.3220000000000001</v>
      </c>
      <c r="I41" s="565">
        <v>3487</v>
      </c>
      <c r="J41" s="565">
        <v>3487</v>
      </c>
      <c r="K41" s="565" t="s">
        <v>748</v>
      </c>
      <c r="L41" s="76"/>
      <c r="M41" s="565">
        <v>2004</v>
      </c>
      <c r="N41" s="566">
        <v>111</v>
      </c>
      <c r="O41" s="566">
        <v>195</v>
      </c>
      <c r="P41" s="76"/>
      <c r="Q41" s="565">
        <v>2017</v>
      </c>
      <c r="R41" s="565">
        <v>651</v>
      </c>
      <c r="S41" s="76"/>
      <c r="T41" s="567">
        <f>IFERROR(INDEX('UNDP Population Data'!$G$6:$G$223,MATCH($C41,'UNDP Population Data'!$D$6:$D$222,0))*100,0)</f>
        <v>3.0561848739554698</v>
      </c>
      <c r="U41" s="420">
        <f t="shared" si="4"/>
        <v>3816.5778903462583</v>
      </c>
      <c r="V41" s="420">
        <f t="shared" si="7"/>
        <v>712.530027707317</v>
      </c>
      <c r="W41" s="420">
        <f t="shared" si="5"/>
        <v>495.3434229100526</v>
      </c>
      <c r="X41" s="420">
        <f t="shared" si="6"/>
        <v>495.3434229100526</v>
      </c>
      <c r="Z41" s="424">
        <f t="shared" si="8"/>
        <v>0.23436021460523795</v>
      </c>
      <c r="AA41" s="424">
        <f t="shared" si="9"/>
        <v>3.0416984595055895E-2</v>
      </c>
      <c r="AB41" s="424">
        <f t="shared" si="10"/>
        <v>4.3753512964728965E-2</v>
      </c>
    </row>
    <row r="42" spans="2:28" x14ac:dyDescent="0.35">
      <c r="B42" s="557" t="s">
        <v>220</v>
      </c>
      <c r="C42" s="557" t="s">
        <v>24</v>
      </c>
      <c r="D42" s="568" t="str">
        <f>INDEX('HCW, Staff, Beds Summary'!$E$7:$E$270,MATCH($C42,'HCW, Staff, Beds Summary'!$C$7:$C$270,0))</f>
        <v>High income</v>
      </c>
      <c r="E42" s="423">
        <f>VLOOKUP($C42,'UNDP Population Data'!$D$6:$E$269,2,FALSE)</f>
        <v>18472639</v>
      </c>
      <c r="F42" s="558"/>
      <c r="G42" s="559">
        <v>2018</v>
      </c>
      <c r="H42" s="564">
        <v>133.24799999999999</v>
      </c>
      <c r="I42" s="565">
        <v>249563</v>
      </c>
      <c r="J42" s="565">
        <v>236427</v>
      </c>
      <c r="K42" s="565">
        <v>13136</v>
      </c>
      <c r="L42" s="76"/>
      <c r="M42" s="565">
        <v>2009</v>
      </c>
      <c r="N42" s="566">
        <v>29</v>
      </c>
      <c r="O42" s="566"/>
      <c r="P42" s="76"/>
      <c r="Q42" s="565">
        <v>2018</v>
      </c>
      <c r="R42" s="565">
        <v>48531</v>
      </c>
      <c r="S42" s="76"/>
      <c r="T42" s="567">
        <f>IFERROR(INDEX('UNDP Population Data'!$G$6:$G$223,MATCH($C42,'UNDP Population Data'!$D$6:$D$222,0))*100,0)</f>
        <v>0.78689952715180755</v>
      </c>
      <c r="U42" s="420">
        <f t="shared" si="4"/>
        <v>240162.52570685599</v>
      </c>
      <c r="V42" s="420">
        <f t="shared" si="7"/>
        <v>49297.78551129705</v>
      </c>
      <c r="W42" s="420">
        <f t="shared" si="5"/>
        <v>31.611342249134324</v>
      </c>
      <c r="X42" s="420">
        <f t="shared" si="6"/>
        <v>31.611342249134324</v>
      </c>
      <c r="Z42" s="424">
        <f t="shared" si="8"/>
        <v>13.000986253607618</v>
      </c>
      <c r="AA42" s="424">
        <f t="shared" si="9"/>
        <v>1.711252098259178E-3</v>
      </c>
      <c r="AB42" s="424">
        <f t="shared" si="10"/>
        <v>2.6686920862415513</v>
      </c>
    </row>
    <row r="43" spans="2:28" x14ac:dyDescent="0.35">
      <c r="B43" s="557" t="s">
        <v>351</v>
      </c>
      <c r="C43" s="557" t="s">
        <v>25</v>
      </c>
      <c r="D43" s="568" t="str">
        <f>INDEX('HCW, Staff, Beds Summary'!$E$7:$E$270,MATCH($C43,'HCW, Staff, Beds Summary'!$C$7:$C$270,0))</f>
        <v>Upper middle income</v>
      </c>
      <c r="E43" s="423">
        <f>VLOOKUP($C43,'UNDP Population Data'!$D$6:$E$269,2,FALSE)</f>
        <v>1424548266</v>
      </c>
      <c r="F43" s="558"/>
      <c r="G43" s="559">
        <v>2017</v>
      </c>
      <c r="H43" s="564">
        <v>26.620999999999999</v>
      </c>
      <c r="I43" s="565">
        <v>3804021</v>
      </c>
      <c r="J43" s="565">
        <v>3804021</v>
      </c>
      <c r="K43" s="565" t="s">
        <v>748</v>
      </c>
      <c r="L43" s="76"/>
      <c r="M43" s="565">
        <v>2010</v>
      </c>
      <c r="N43" s="566"/>
      <c r="O43" s="566">
        <v>230572</v>
      </c>
      <c r="P43" s="76"/>
      <c r="Q43" s="565">
        <v>2017</v>
      </c>
      <c r="R43" s="565">
        <v>2828999</v>
      </c>
      <c r="S43" s="76"/>
      <c r="T43" s="567">
        <f>IFERROR(INDEX('UNDP Population Data'!$G$6:$G$223,MATCH($C43,'UNDP Population Data'!$D$6:$D$222,0))*100,0)</f>
        <v>0.39090682109488295</v>
      </c>
      <c r="U43" s="420">
        <f t="shared" si="4"/>
        <v>3848806.1455382979</v>
      </c>
      <c r="V43" s="420">
        <f t="shared" si="7"/>
        <v>2862305.1073907581</v>
      </c>
      <c r="W43" s="420">
        <f t="shared" si="5"/>
        <v>239745.43062224632</v>
      </c>
      <c r="X43" s="420">
        <f t="shared" si="6"/>
        <v>239745.43062224632</v>
      </c>
      <c r="Z43" s="424">
        <f t="shared" si="8"/>
        <v>2.7017730724880176</v>
      </c>
      <c r="AA43" s="424">
        <f t="shared" si="9"/>
        <v>0.16829575827250093</v>
      </c>
      <c r="AB43" s="424">
        <f t="shared" si="10"/>
        <v>2.0092721150318384</v>
      </c>
    </row>
    <row r="44" spans="2:28" x14ac:dyDescent="0.35">
      <c r="B44" s="557" t="s">
        <v>352</v>
      </c>
      <c r="C44" s="557" t="s">
        <v>353</v>
      </c>
      <c r="D44" s="568" t="str">
        <f>INDEX('HCW, Staff, Beds Summary'!$E$7:$E$270,MATCH($C44,'HCW, Staff, Beds Summary'!$C$7:$C$270,0))</f>
        <v>Upper middle income</v>
      </c>
      <c r="E44" s="423">
        <f>VLOOKUP($C44,'UNDP Population Data'!$D$6:$E$269,2,FALSE)</f>
        <v>50220412</v>
      </c>
      <c r="F44" s="558"/>
      <c r="G44" s="559">
        <v>2018</v>
      </c>
      <c r="H44" s="564">
        <v>13.308999999999999</v>
      </c>
      <c r="I44" s="565">
        <v>66095</v>
      </c>
      <c r="J44" s="565">
        <v>66095</v>
      </c>
      <c r="K44" s="565" t="s">
        <v>748</v>
      </c>
      <c r="L44" s="76"/>
      <c r="M44" s="565"/>
      <c r="N44" s="566"/>
      <c r="O44" s="566"/>
      <c r="P44" s="76"/>
      <c r="Q44" s="565">
        <v>2018</v>
      </c>
      <c r="R44" s="565">
        <v>108499</v>
      </c>
      <c r="S44" s="76"/>
      <c r="T44" s="567">
        <f>IFERROR(INDEX('UNDP Population Data'!$G$6:$G$223,MATCH($C44,'UNDP Population Data'!$D$6:$D$222,0))*100,0)</f>
        <v>0.81263087035299275</v>
      </c>
      <c r="U44" s="420">
        <f t="shared" si="4"/>
        <v>67173.581455972046</v>
      </c>
      <c r="V44" s="420">
        <f t="shared" si="7"/>
        <v>110269.55767291794</v>
      </c>
      <c r="W44" s="420">
        <f t="shared" si="5"/>
        <v>0</v>
      </c>
      <c r="X44" s="420">
        <f t="shared" si="6"/>
        <v>10694.749572200959</v>
      </c>
      <c r="Z44" s="424">
        <f t="shared" si="8"/>
        <v>1.3375752762835169</v>
      </c>
      <c r="AA44" s="424">
        <f t="shared" si="9"/>
        <v>0</v>
      </c>
      <c r="AB44" s="424">
        <f t="shared" si="10"/>
        <v>2.1957119283075168</v>
      </c>
    </row>
    <row r="45" spans="2:28" x14ac:dyDescent="0.35">
      <c r="B45" s="557" t="s">
        <v>190</v>
      </c>
      <c r="C45" s="557" t="s">
        <v>157</v>
      </c>
      <c r="D45" s="568" t="str">
        <f>INDEX('HCW, Staff, Beds Summary'!$E$7:$E$270,MATCH($C45,'HCW, Staff, Beds Summary'!$C$7:$C$270,0))</f>
        <v>Lower middle income</v>
      </c>
      <c r="E45" s="423">
        <f>VLOOKUP($C45,'UNDP Population Data'!$D$6:$E$269,2,FALSE)</f>
        <v>869601</v>
      </c>
      <c r="F45" s="558"/>
      <c r="G45" s="559">
        <v>2009</v>
      </c>
      <c r="H45" s="564">
        <v>7.0250000000000004</v>
      </c>
      <c r="I45" s="565">
        <v>473</v>
      </c>
      <c r="J45" s="565">
        <v>274</v>
      </c>
      <c r="K45" s="565">
        <v>199</v>
      </c>
      <c r="L45" s="76"/>
      <c r="M45" s="565">
        <v>2012</v>
      </c>
      <c r="N45" s="566"/>
      <c r="O45" s="566">
        <v>86</v>
      </c>
      <c r="P45" s="76"/>
      <c r="Q45" s="565">
        <v>2016</v>
      </c>
      <c r="R45" s="565">
        <v>216</v>
      </c>
      <c r="S45" s="76"/>
      <c r="T45" s="567">
        <f>IFERROR(INDEX('UNDP Population Data'!$G$6:$G$223,MATCH($C45,'UNDP Population Data'!$D$6:$D$222,0))*100,0)</f>
        <v>2.2662703124402217</v>
      </c>
      <c r="U45" s="420">
        <f t="shared" si="4"/>
        <v>350.5961589872669</v>
      </c>
      <c r="V45" s="420">
        <f t="shared" si="7"/>
        <v>236.25631217756688</v>
      </c>
      <c r="W45" s="420">
        <f t="shared" si="5"/>
        <v>102.88635703365009</v>
      </c>
      <c r="X45" s="420">
        <f t="shared" si="6"/>
        <v>102.88635703365009</v>
      </c>
      <c r="Z45" s="424">
        <f t="shared" si="8"/>
        <v>0.40316899243131843</v>
      </c>
      <c r="AA45" s="424">
        <f t="shared" si="9"/>
        <v>0.11831444194941139</v>
      </c>
      <c r="AB45" s="424">
        <f t="shared" si="10"/>
        <v>0.27168357922491682</v>
      </c>
    </row>
    <row r="46" spans="2:28" x14ac:dyDescent="0.35">
      <c r="B46" s="557" t="s">
        <v>1094</v>
      </c>
      <c r="C46" s="557" t="s">
        <v>29</v>
      </c>
      <c r="D46" s="568" t="str">
        <f>INDEX('HCW, Staff, Beds Summary'!$E$7:$E$270,MATCH($C46,'HCW, Staff, Beds Summary'!$C$7:$C$270,0))</f>
        <v>Lower middle income</v>
      </c>
      <c r="E46" s="423">
        <f>VLOOKUP($C46,'UNDP Population Data'!$D$6:$E$269,2,FALSE)</f>
        <v>5686917</v>
      </c>
      <c r="F46" s="558"/>
      <c r="G46" s="559">
        <v>2018</v>
      </c>
      <c r="H46" s="564">
        <v>6.2709999999999999</v>
      </c>
      <c r="I46" s="565">
        <v>3289</v>
      </c>
      <c r="J46" s="565">
        <v>3289</v>
      </c>
      <c r="K46" s="565" t="s">
        <v>748</v>
      </c>
      <c r="L46" s="76"/>
      <c r="M46" s="565">
        <v>2007</v>
      </c>
      <c r="N46" s="566">
        <v>280</v>
      </c>
      <c r="O46" s="566">
        <v>54</v>
      </c>
      <c r="P46" s="76"/>
      <c r="Q46" s="565">
        <v>2011</v>
      </c>
      <c r="R46" s="565">
        <v>723</v>
      </c>
      <c r="S46" s="76"/>
      <c r="T46" s="567">
        <f>IFERROR(INDEX('UNDP Population Data'!$G$6:$G$223,MATCH($C46,'UNDP Population Data'!$D$6:$D$222,0))*100,0)</f>
        <v>2.6259078491890131</v>
      </c>
      <c r="U46" s="420">
        <f t="shared" si="4"/>
        <v>3464.0001127591204</v>
      </c>
      <c r="V46" s="420">
        <f t="shared" si="7"/>
        <v>912.95927541682738</v>
      </c>
      <c r="W46" s="420">
        <f t="shared" si="5"/>
        <v>467.82952057046674</v>
      </c>
      <c r="X46" s="420">
        <f t="shared" si="6"/>
        <v>467.82952057046674</v>
      </c>
      <c r="Z46" s="424">
        <f t="shared" si="8"/>
        <v>0.60911740276130644</v>
      </c>
      <c r="AA46" s="424">
        <f t="shared" si="9"/>
        <v>8.2264172410194611E-2</v>
      </c>
      <c r="AB46" s="424">
        <f t="shared" si="10"/>
        <v>0.16053676806199693</v>
      </c>
    </row>
    <row r="47" spans="2:28" x14ac:dyDescent="0.35">
      <c r="B47" s="557" t="s">
        <v>751</v>
      </c>
      <c r="C47" s="557" t="s">
        <v>1112</v>
      </c>
      <c r="D47" s="568" t="e">
        <f>INDEX('HCW, Staff, Beds Summary'!$E$7:$E$270,MATCH($C47,'HCW, Staff, Beds Summary'!$C$7:$C$270,0))</f>
        <v>#N/A</v>
      </c>
      <c r="E47" s="423" t="e">
        <f>VLOOKUP($C47,'UNDP Population Data'!$D$6:$E$269,2,FALSE)</f>
        <v>#N/A</v>
      </c>
      <c r="F47" s="558"/>
      <c r="G47" s="559">
        <v>2018</v>
      </c>
      <c r="H47" s="564">
        <v>67.429000000000002</v>
      </c>
      <c r="I47" s="565">
        <v>118</v>
      </c>
      <c r="J47" s="565">
        <v>118</v>
      </c>
      <c r="K47" s="565" t="s">
        <v>748</v>
      </c>
      <c r="L47" s="76"/>
      <c r="M47" s="565">
        <v>2014</v>
      </c>
      <c r="N47" s="566">
        <v>10</v>
      </c>
      <c r="O47" s="566"/>
      <c r="P47" s="76"/>
      <c r="Q47" s="565">
        <v>2014</v>
      </c>
      <c r="R47" s="565">
        <v>25</v>
      </c>
      <c r="S47" s="76"/>
      <c r="T47" s="567">
        <f>IFERROR(INDEX('UNDP Population Data'!$G$6:$G$223,MATCH($C47,'UNDP Population Data'!$D$6:$D$222,0))*100,0)</f>
        <v>0</v>
      </c>
      <c r="U47" s="420">
        <f t="shared" si="4"/>
        <v>118</v>
      </c>
      <c r="V47" s="420">
        <f t="shared" si="7"/>
        <v>25</v>
      </c>
      <c r="W47" s="420">
        <f t="shared" si="5"/>
        <v>10</v>
      </c>
      <c r="X47" s="420">
        <f t="shared" si="6"/>
        <v>10</v>
      </c>
      <c r="Z47" s="424">
        <f t="shared" si="8"/>
        <v>0</v>
      </c>
      <c r="AA47" s="424">
        <f t="shared" si="9"/>
        <v>0</v>
      </c>
      <c r="AB47" s="424">
        <f t="shared" si="10"/>
        <v>0</v>
      </c>
    </row>
    <row r="48" spans="2:28" x14ac:dyDescent="0.35">
      <c r="B48" s="557" t="s">
        <v>356</v>
      </c>
      <c r="C48" s="557" t="s">
        <v>31</v>
      </c>
      <c r="D48" s="568" t="str">
        <f>INDEX('HCW, Staff, Beds Summary'!$E$7:$E$270,MATCH($C48,'HCW, Staff, Beds Summary'!$C$7:$C$270,0))</f>
        <v>Upper middle income</v>
      </c>
      <c r="E48" s="423">
        <f>VLOOKUP($C48,'UNDP Population Data'!$D$6:$E$269,2,FALSE)</f>
        <v>5044179</v>
      </c>
      <c r="F48" s="558"/>
      <c r="G48" s="559">
        <v>2018</v>
      </c>
      <c r="H48" s="564">
        <v>34.143999999999998</v>
      </c>
      <c r="I48" s="565">
        <v>17070</v>
      </c>
      <c r="J48" s="565">
        <v>17070</v>
      </c>
      <c r="K48" s="565" t="s">
        <v>748</v>
      </c>
      <c r="L48" s="76"/>
      <c r="M48" s="565">
        <v>2016</v>
      </c>
      <c r="N48" s="566">
        <v>9</v>
      </c>
      <c r="O48" s="566"/>
      <c r="P48" s="76"/>
      <c r="Q48" s="565">
        <v>2018</v>
      </c>
      <c r="R48" s="565">
        <v>14468</v>
      </c>
      <c r="S48" s="76"/>
      <c r="T48" s="567">
        <f>IFERROR(INDEX('UNDP Population Data'!$G$6:$G$223,MATCH($C48,'UNDP Population Data'!$D$6:$D$222,0))*100,0)</f>
        <v>0.96430959841031783</v>
      </c>
      <c r="U48" s="420">
        <f t="shared" si="4"/>
        <v>17400.802624250991</v>
      </c>
      <c r="V48" s="420">
        <f t="shared" si="7"/>
        <v>14748.377994590704</v>
      </c>
      <c r="W48" s="420">
        <f t="shared" si="5"/>
        <v>9.3522052368302599</v>
      </c>
      <c r="X48" s="420">
        <f t="shared" si="6"/>
        <v>9.3522052368302599</v>
      </c>
      <c r="Z48" s="424">
        <f t="shared" si="8"/>
        <v>3.4496798436873455</v>
      </c>
      <c r="AA48" s="424">
        <f t="shared" si="9"/>
        <v>1.8540589532667774E-3</v>
      </c>
      <c r="AB48" s="424">
        <f t="shared" si="10"/>
        <v>2.9238411235189519</v>
      </c>
    </row>
    <row r="49" spans="2:28" x14ac:dyDescent="0.35">
      <c r="B49" s="557" t="s">
        <v>750</v>
      </c>
      <c r="C49" s="557" t="s">
        <v>26</v>
      </c>
      <c r="D49" s="568" t="str">
        <f>INDEX('HCW, Staff, Beds Summary'!$E$7:$E$270,MATCH($C49,'HCW, Staff, Beds Summary'!$C$7:$C$270,0))</f>
        <v>Lower middle income</v>
      </c>
      <c r="E49" s="423">
        <f>VLOOKUP($C49,'UNDP Population Data'!$D$6:$E$269,2,FALSE)</f>
        <v>26171750</v>
      </c>
      <c r="F49" s="558"/>
      <c r="G49" s="559">
        <v>2018</v>
      </c>
      <c r="H49" s="564">
        <v>6.048</v>
      </c>
      <c r="I49" s="565">
        <v>15163</v>
      </c>
      <c r="J49" s="565">
        <v>15163</v>
      </c>
      <c r="K49" s="565" t="s">
        <v>748</v>
      </c>
      <c r="L49" s="76"/>
      <c r="M49" s="565">
        <v>2014</v>
      </c>
      <c r="N49" s="566">
        <v>2380</v>
      </c>
      <c r="O49" s="566">
        <v>1600</v>
      </c>
      <c r="P49" s="76"/>
      <c r="Q49" s="565">
        <v>2014</v>
      </c>
      <c r="R49" s="565">
        <v>5240</v>
      </c>
      <c r="S49" s="76"/>
      <c r="T49" s="567">
        <f>IFERROR(INDEX('UNDP Population Data'!$G$6:$G$223,MATCH($C49,'UNDP Population Data'!$D$6:$D$222,0))*100,0)</f>
        <v>2.5208756002567778</v>
      </c>
      <c r="U49" s="420">
        <f t="shared" si="4"/>
        <v>15937.116538686632</v>
      </c>
      <c r="V49" s="420">
        <f t="shared" si="7"/>
        <v>6084.2230521312458</v>
      </c>
      <c r="W49" s="420">
        <f t="shared" si="5"/>
        <v>4621.2228525729688</v>
      </c>
      <c r="X49" s="420">
        <f t="shared" si="6"/>
        <v>4621.2228525729688</v>
      </c>
      <c r="Z49" s="424">
        <f t="shared" si="8"/>
        <v>0.6089434806112175</v>
      </c>
      <c r="AA49" s="424">
        <f t="shared" si="9"/>
        <v>0.17657294038698096</v>
      </c>
      <c r="AB49" s="424">
        <f t="shared" si="10"/>
        <v>0.23247291648939203</v>
      </c>
    </row>
    <row r="50" spans="2:28" x14ac:dyDescent="0.35">
      <c r="B50" s="557" t="s">
        <v>358</v>
      </c>
      <c r="C50" s="557" t="s">
        <v>55</v>
      </c>
      <c r="D50" s="568" t="str">
        <f>INDEX('HCW, Staff, Beds Summary'!$E$7:$E$270,MATCH($C50,'HCW, Staff, Beds Summary'!$C$7:$C$270,0))</f>
        <v>High income</v>
      </c>
      <c r="E50" s="423">
        <f>VLOOKUP($C50,'UNDP Population Data'!$D$6:$E$269,2,FALSE)</f>
        <v>4115947</v>
      </c>
      <c r="F50" s="558"/>
      <c r="G50" s="559">
        <v>2016</v>
      </c>
      <c r="H50" s="564">
        <v>81.224000000000004</v>
      </c>
      <c r="I50" s="565">
        <v>34184</v>
      </c>
      <c r="J50" s="565">
        <v>34184</v>
      </c>
      <c r="K50" s="565" t="s">
        <v>748</v>
      </c>
      <c r="L50" s="76"/>
      <c r="M50" s="565"/>
      <c r="N50" s="566"/>
      <c r="O50" s="566"/>
      <c r="P50" s="76"/>
      <c r="Q50" s="565">
        <v>2016</v>
      </c>
      <c r="R50" s="565">
        <v>12624</v>
      </c>
      <c r="S50" s="76"/>
      <c r="T50" s="567">
        <f>IFERROR(INDEX('UNDP Population Data'!$G$6:$G$223,MATCH($C50,'UNDP Population Data'!$D$6:$D$222,0))*100,0)</f>
        <v>-0.57343482141196667</v>
      </c>
      <c r="U50" s="420">
        <f t="shared" si="4"/>
        <v>33406.626799902318</v>
      </c>
      <c r="V50" s="420">
        <f t="shared" si="7"/>
        <v>12336.919515620375</v>
      </c>
      <c r="W50" s="420">
        <f t="shared" si="5"/>
        <v>0</v>
      </c>
      <c r="X50" s="420">
        <f t="shared" si="6"/>
        <v>2195.5677747262116</v>
      </c>
      <c r="Z50" s="424">
        <f t="shared" si="8"/>
        <v>8.1163889622248089</v>
      </c>
      <c r="AA50" s="424">
        <f t="shared" si="9"/>
        <v>0</v>
      </c>
      <c r="AB50" s="424">
        <f t="shared" si="10"/>
        <v>2.9973465439716245</v>
      </c>
    </row>
    <row r="51" spans="2:28" x14ac:dyDescent="0.35">
      <c r="B51" s="557" t="s">
        <v>221</v>
      </c>
      <c r="C51" s="557" t="s">
        <v>161</v>
      </c>
      <c r="D51" s="568" t="str">
        <f>INDEX('HCW, Staff, Beds Summary'!$E$7:$E$270,MATCH($C51,'HCW, Staff, Beds Summary'!$C$7:$C$270,0))</f>
        <v>Upper middle income</v>
      </c>
      <c r="E51" s="423">
        <f>VLOOKUP($C51,'UNDP Population Data'!$D$6:$E$269,2,FALSE)</f>
        <v>11495492</v>
      </c>
      <c r="F51" s="558"/>
      <c r="G51" s="559">
        <v>2018</v>
      </c>
      <c r="H51" s="564">
        <v>75.614000000000004</v>
      </c>
      <c r="I51" s="565">
        <v>85732</v>
      </c>
      <c r="J51" s="565">
        <v>85732</v>
      </c>
      <c r="K51" s="565" t="s">
        <v>748</v>
      </c>
      <c r="L51" s="76"/>
      <c r="M51" s="565">
        <v>2014</v>
      </c>
      <c r="N51" s="566"/>
      <c r="O51" s="566">
        <v>6015</v>
      </c>
      <c r="P51" s="76"/>
      <c r="Q51" s="565">
        <v>2018</v>
      </c>
      <c r="R51" s="565">
        <v>95487</v>
      </c>
      <c r="S51" s="76"/>
      <c r="T51" s="567">
        <f>IFERROR(INDEX('UNDP Population Data'!$G$6:$G$223,MATCH($C51,'UNDP Population Data'!$D$6:$D$222,0))*100,0)</f>
        <v>5.9363586545635449E-2</v>
      </c>
      <c r="U51" s="420">
        <f t="shared" si="4"/>
        <v>85833.817392294965</v>
      </c>
      <c r="V51" s="420">
        <f t="shared" si="7"/>
        <v>95600.402665726564</v>
      </c>
      <c r="W51" s="420">
        <f t="shared" si="5"/>
        <v>6036.4561391716788</v>
      </c>
      <c r="X51" s="420">
        <f t="shared" si="6"/>
        <v>6036.4561391716788</v>
      </c>
      <c r="Z51" s="424">
        <f t="shared" si="8"/>
        <v>7.4667371689958957</v>
      </c>
      <c r="AA51" s="424">
        <f t="shared" si="9"/>
        <v>0.52511507460243367</v>
      </c>
      <c r="AB51" s="424">
        <f t="shared" si="10"/>
        <v>8.3163384973628407</v>
      </c>
    </row>
    <row r="52" spans="2:28" x14ac:dyDescent="0.35">
      <c r="B52" s="557" t="s">
        <v>361</v>
      </c>
      <c r="C52" s="557" t="s">
        <v>32</v>
      </c>
      <c r="D52" s="568" t="str">
        <f>INDEX('HCW, Staff, Beds Summary'!$E$7:$E$270,MATCH($C52,'HCW, Staff, Beds Summary'!$C$7:$C$270,0))</f>
        <v>High income</v>
      </c>
      <c r="E52" s="423">
        <f>VLOOKUP($C52,'UNDP Population Data'!$D$6:$E$269,2,FALSE)</f>
        <v>1207343</v>
      </c>
      <c r="F52" s="558"/>
      <c r="G52" s="559">
        <v>2016</v>
      </c>
      <c r="H52" s="564">
        <v>52.512</v>
      </c>
      <c r="I52" s="565">
        <v>6145</v>
      </c>
      <c r="J52" s="565">
        <v>6145</v>
      </c>
      <c r="K52" s="565" t="s">
        <v>748</v>
      </c>
      <c r="L52" s="76"/>
      <c r="M52" s="565">
        <v>2008</v>
      </c>
      <c r="N52" s="566">
        <v>22</v>
      </c>
      <c r="O52" s="566">
        <v>312</v>
      </c>
      <c r="P52" s="76"/>
      <c r="Q52" s="565">
        <v>2016</v>
      </c>
      <c r="R52" s="565">
        <v>2283</v>
      </c>
      <c r="S52" s="76"/>
      <c r="T52" s="567">
        <f>IFERROR(INDEX('UNDP Population Data'!$G$6:$G$223,MATCH($C52,'UNDP Population Data'!$D$6:$D$222,0))*100,0)</f>
        <v>0.78613987251874295</v>
      </c>
      <c r="U52" s="420">
        <f t="shared" si="4"/>
        <v>6340.5237708735503</v>
      </c>
      <c r="V52" s="420">
        <f t="shared" si="7"/>
        <v>2355.6412968111172</v>
      </c>
      <c r="W52" s="420">
        <f t="shared" si="5"/>
        <v>366.90717985536054</v>
      </c>
      <c r="X52" s="420">
        <f t="shared" si="6"/>
        <v>366.90717985536054</v>
      </c>
      <c r="Z52" s="424">
        <f t="shared" si="8"/>
        <v>5.2516341842157122</v>
      </c>
      <c r="AA52" s="424">
        <f t="shared" si="9"/>
        <v>0.3038963905496288</v>
      </c>
      <c r="AB52" s="424">
        <f t="shared" si="10"/>
        <v>1.9510953364628918</v>
      </c>
    </row>
    <row r="53" spans="2:28" x14ac:dyDescent="0.35">
      <c r="B53" s="557" t="s">
        <v>1130</v>
      </c>
      <c r="C53" s="557" t="s">
        <v>33</v>
      </c>
      <c r="D53" s="568" t="str">
        <f>INDEX('HCW, Staff, Beds Summary'!$E$7:$E$270,MATCH($C53,'HCW, Staff, Beds Summary'!$C$7:$C$270,0))</f>
        <v>High income</v>
      </c>
      <c r="E53" s="423">
        <f>VLOOKUP($C53,'UNDP Population Data'!$D$6:$E$269,2,FALSE)</f>
        <v>10633424</v>
      </c>
      <c r="F53" s="558"/>
      <c r="G53" s="559">
        <v>2017</v>
      </c>
      <c r="H53" s="564">
        <v>83.954999999999998</v>
      </c>
      <c r="I53" s="565">
        <v>89337</v>
      </c>
      <c r="J53" s="565">
        <v>85372</v>
      </c>
      <c r="K53" s="565">
        <v>3965</v>
      </c>
      <c r="L53" s="76"/>
      <c r="M53" s="565"/>
      <c r="N53" s="566"/>
      <c r="O53" s="566"/>
      <c r="P53" s="76"/>
      <c r="Q53" s="565">
        <v>2018</v>
      </c>
      <c r="R53" s="565">
        <v>43951</v>
      </c>
      <c r="S53" s="76"/>
      <c r="T53" s="567">
        <f>IFERROR(INDEX('UNDP Population Data'!$G$6:$G$223,MATCH($C53,'UNDP Population Data'!$D$6:$D$222,0))*100,0)</f>
        <v>5.5883687474067578E-2</v>
      </c>
      <c r="U53" s="420">
        <f t="shared" si="4"/>
        <v>85515.207064592236</v>
      </c>
      <c r="V53" s="420">
        <f t="shared" si="7"/>
        <v>44000.136604801533</v>
      </c>
      <c r="W53" s="420">
        <f t="shared" si="5"/>
        <v>0</v>
      </c>
      <c r="X53" s="420">
        <f t="shared" si="6"/>
        <v>5672.1826275703488</v>
      </c>
      <c r="Z53" s="424">
        <f t="shared" si="8"/>
        <v>8.042113910306993</v>
      </c>
      <c r="AA53" s="424">
        <f t="shared" si="9"/>
        <v>0</v>
      </c>
      <c r="AB53" s="424">
        <f t="shared" si="10"/>
        <v>4.1379085988484556</v>
      </c>
    </row>
    <row r="54" spans="2:28" ht="29" x14ac:dyDescent="0.35">
      <c r="B54" s="557" t="s">
        <v>1131</v>
      </c>
      <c r="C54" s="557" t="s">
        <v>158</v>
      </c>
      <c r="D54" s="568" t="str">
        <f>INDEX('HCW, Staff, Beds Summary'!$E$7:$E$270,MATCH($C54,'HCW, Staff, Beds Summary'!$C$7:$C$270,0))</f>
        <v>Low income</v>
      </c>
      <c r="E54" s="423">
        <f>VLOOKUP($C54,'UNDP Population Data'!$D$6:$E$269,2,FALSE)</f>
        <v>25840863</v>
      </c>
      <c r="F54" s="558"/>
      <c r="G54" s="559">
        <v>2017</v>
      </c>
      <c r="H54" s="564">
        <v>44.488999999999997</v>
      </c>
      <c r="I54" s="565">
        <v>113135</v>
      </c>
      <c r="J54" s="565">
        <v>105125</v>
      </c>
      <c r="K54" s="565">
        <v>8010</v>
      </c>
      <c r="L54" s="76"/>
      <c r="M54" s="565"/>
      <c r="N54" s="566"/>
      <c r="O54" s="566"/>
      <c r="P54" s="76"/>
      <c r="Q54" s="565">
        <v>2017</v>
      </c>
      <c r="R54" s="565">
        <v>93667</v>
      </c>
      <c r="S54" s="76"/>
      <c r="T54" s="567">
        <f>IFERROR(INDEX('UNDP Population Data'!$G$6:$G$223,MATCH($C54,'UNDP Population Data'!$D$6:$D$222,0))*100,0)</f>
        <v>0.46853139959663892</v>
      </c>
      <c r="U54" s="420">
        <f t="shared" si="4"/>
        <v>106609.56487862171</v>
      </c>
      <c r="V54" s="420">
        <f t="shared" si="7"/>
        <v>94989.756133040268</v>
      </c>
      <c r="W54" s="420">
        <f t="shared" si="5"/>
        <v>0</v>
      </c>
      <c r="X54" s="420">
        <f t="shared" si="6"/>
        <v>2452.1994981499379</v>
      </c>
      <c r="Z54" s="424">
        <f t="shared" si="8"/>
        <v>4.1256193679995024</v>
      </c>
      <c r="AA54" s="424">
        <f t="shared" si="9"/>
        <v>0</v>
      </c>
      <c r="AB54" s="424">
        <f t="shared" si="10"/>
        <v>3.6759513849456296</v>
      </c>
    </row>
    <row r="55" spans="2:28" ht="29" x14ac:dyDescent="0.35">
      <c r="B55" s="557" t="s">
        <v>1132</v>
      </c>
      <c r="C55" s="557" t="s">
        <v>1095</v>
      </c>
      <c r="D55" s="568" t="str">
        <f>INDEX('HCW, Staff, Beds Summary'!$E$7:$E$270,MATCH("COD",'HCW, Staff, Beds Summary'!$C$7:$C$270,0))</f>
        <v>Low income</v>
      </c>
      <c r="E55" s="423">
        <f>VLOOKUP($C55,'UNDP Population Data'!$D$6:$E$269,2,FALSE)</f>
        <v>89505201</v>
      </c>
      <c r="F55" s="558"/>
      <c r="G55" s="559">
        <v>2018</v>
      </c>
      <c r="H55" s="564">
        <v>11.101000000000001</v>
      </c>
      <c r="I55" s="565">
        <v>93326</v>
      </c>
      <c r="J55" s="565">
        <v>93326</v>
      </c>
      <c r="K55" s="565" t="s">
        <v>748</v>
      </c>
      <c r="L55" s="76"/>
      <c r="M55" s="565">
        <v>2009</v>
      </c>
      <c r="N55" s="566"/>
      <c r="O55" s="566">
        <v>2126</v>
      </c>
      <c r="P55" s="76"/>
      <c r="Q55" s="565">
        <v>2016</v>
      </c>
      <c r="R55" s="565">
        <v>5832</v>
      </c>
      <c r="S55" s="76"/>
      <c r="T55" s="567">
        <f>IFERROR(INDEX('UNDP Population Data'!$G$6:$G$223,MATCH($C55,'UNDP Population Data'!$D$6:$D$222,0))*100,0)</f>
        <v>3.2719824977349043</v>
      </c>
      <c r="U55" s="420">
        <f t="shared" si="4"/>
        <v>99533.134369045729</v>
      </c>
      <c r="V55" s="420">
        <f t="shared" si="7"/>
        <v>6633.5739061411714</v>
      </c>
      <c r="W55" s="420">
        <f t="shared" si="5"/>
        <v>3029.4997171819641</v>
      </c>
      <c r="X55" s="420">
        <f t="shared" si="6"/>
        <v>3029.4997171819641</v>
      </c>
      <c r="Z55" s="424">
        <f t="shared" si="8"/>
        <v>1.1120374375679658</v>
      </c>
      <c r="AA55" s="424">
        <f t="shared" si="9"/>
        <v>3.3847191932253905E-2</v>
      </c>
      <c r="AB55" s="424">
        <f t="shared" si="10"/>
        <v>7.4113837319254458E-2</v>
      </c>
    </row>
    <row r="56" spans="2:28" x14ac:dyDescent="0.35">
      <c r="B56" s="557" t="s">
        <v>363</v>
      </c>
      <c r="C56" s="557" t="s">
        <v>36</v>
      </c>
      <c r="D56" s="568" t="str">
        <f>INDEX('HCW, Staff, Beds Summary'!$E$7:$E$270,MATCH($C56,'HCW, Staff, Beds Summary'!$C$7:$C$270,0))</f>
        <v>High income</v>
      </c>
      <c r="E56" s="423">
        <f>VLOOKUP($C56,'UNDP Population Data'!$D$6:$E$269,2,FALSE)</f>
        <v>5796800</v>
      </c>
      <c r="F56" s="558"/>
      <c r="G56" s="559">
        <v>2016</v>
      </c>
      <c r="H56" s="564">
        <v>103.19499999999999</v>
      </c>
      <c r="I56" s="565">
        <v>58938</v>
      </c>
      <c r="J56" s="565">
        <v>56991</v>
      </c>
      <c r="K56" s="565">
        <v>1947</v>
      </c>
      <c r="L56" s="76"/>
      <c r="M56" s="565"/>
      <c r="N56" s="566"/>
      <c r="O56" s="566"/>
      <c r="P56" s="76"/>
      <c r="Q56" s="565">
        <v>2016</v>
      </c>
      <c r="R56" s="565">
        <v>22902</v>
      </c>
      <c r="S56" s="76"/>
      <c r="T56" s="567">
        <f>IFERROR(INDEX('UNDP Population Data'!$G$6:$G$223,MATCH($C56,'UNDP Population Data'!$D$6:$D$222,0))*100,0)</f>
        <v>0.37721304556739277</v>
      </c>
      <c r="U56" s="420">
        <f t="shared" si="4"/>
        <v>57855.787733118566</v>
      </c>
      <c r="V56" s="420">
        <f t="shared" si="7"/>
        <v>23249.517479319216</v>
      </c>
      <c r="W56" s="420">
        <f t="shared" si="5"/>
        <v>0</v>
      </c>
      <c r="X56" s="420">
        <f t="shared" si="6"/>
        <v>3092.184441765869</v>
      </c>
      <c r="Z56" s="424">
        <f t="shared" si="8"/>
        <v>9.9806423773665749</v>
      </c>
      <c r="AA56" s="424">
        <f t="shared" si="9"/>
        <v>0</v>
      </c>
      <c r="AB56" s="424">
        <f t="shared" si="10"/>
        <v>4.0107503241994227</v>
      </c>
    </row>
    <row r="57" spans="2:28" x14ac:dyDescent="0.35">
      <c r="B57" s="557" t="s">
        <v>231</v>
      </c>
      <c r="C57" s="557" t="s">
        <v>35</v>
      </c>
      <c r="D57" s="568" t="str">
        <f>INDEX('HCW, Staff, Beds Summary'!$E$7:$E$270,MATCH($C57,'HCW, Staff, Beds Summary'!$C$7:$C$270,0))</f>
        <v>Lower middle income</v>
      </c>
      <c r="E57" s="423">
        <f>VLOOKUP($C57,'UNDP Population Data'!$D$6:$E$269,2,FALSE)</f>
        <v>999899</v>
      </c>
      <c r="F57" s="558"/>
      <c r="G57" s="559">
        <v>2014</v>
      </c>
      <c r="H57" s="564">
        <v>7.2880000000000003</v>
      </c>
      <c r="I57" s="565">
        <v>655</v>
      </c>
      <c r="J57" s="565">
        <v>488</v>
      </c>
      <c r="K57" s="565">
        <v>167</v>
      </c>
      <c r="L57" s="76"/>
      <c r="M57" s="565">
        <v>2005</v>
      </c>
      <c r="N57" s="566">
        <v>3</v>
      </c>
      <c r="O57" s="566">
        <v>56</v>
      </c>
      <c r="P57" s="76"/>
      <c r="Q57" s="565">
        <v>2014</v>
      </c>
      <c r="R57" s="565">
        <v>201</v>
      </c>
      <c r="S57" s="76"/>
      <c r="T57" s="567">
        <f>IFERROR(INDEX('UNDP Population Data'!$G$6:$G$223,MATCH($C57,'UNDP Population Data'!$D$6:$D$222,0))*100,0)</f>
        <v>1.5164675508373637</v>
      </c>
      <c r="U57" s="420">
        <f t="shared" si="4"/>
        <v>534.11995744247974</v>
      </c>
      <c r="V57" s="420">
        <f t="shared" si="7"/>
        <v>219.99613001216892</v>
      </c>
      <c r="W57" s="420">
        <f t="shared" si="5"/>
        <v>73.943409349163929</v>
      </c>
      <c r="X57" s="420">
        <f t="shared" si="6"/>
        <v>73.943409349163929</v>
      </c>
      <c r="Z57" s="424">
        <f t="shared" si="8"/>
        <v>0.53417390900728945</v>
      </c>
      <c r="AA57" s="424">
        <f t="shared" si="9"/>
        <v>7.39508783878811E-2</v>
      </c>
      <c r="AB57" s="424">
        <f t="shared" si="10"/>
        <v>0.22001835186570734</v>
      </c>
    </row>
    <row r="58" spans="2:28" x14ac:dyDescent="0.35">
      <c r="B58" s="557" t="s">
        <v>364</v>
      </c>
      <c r="C58" s="557" t="s">
        <v>365</v>
      </c>
      <c r="D58" s="568" t="str">
        <f>INDEX('HCW, Staff, Beds Summary'!$E$7:$E$270,MATCH($C58,'HCW, Staff, Beds Summary'!$C$7:$C$270,0))</f>
        <v>Upper middle income</v>
      </c>
      <c r="E58" s="423">
        <f>VLOOKUP($C58,'UNDP Population Data'!$D$6:$E$269,2,FALSE)</f>
        <v>75052</v>
      </c>
      <c r="F58" s="558"/>
      <c r="G58" s="559">
        <v>2018</v>
      </c>
      <c r="H58" s="564">
        <v>64.385000000000005</v>
      </c>
      <c r="I58" s="565">
        <v>461</v>
      </c>
      <c r="J58" s="565">
        <v>461</v>
      </c>
      <c r="K58" s="565" t="s">
        <v>748</v>
      </c>
      <c r="L58" s="76"/>
      <c r="M58" s="565"/>
      <c r="N58" s="566"/>
      <c r="O58" s="566"/>
      <c r="P58" s="76"/>
      <c r="Q58" s="565">
        <v>2017</v>
      </c>
      <c r="R58" s="565">
        <v>80</v>
      </c>
      <c r="S58" s="76"/>
      <c r="T58" s="567">
        <f>IFERROR(INDEX('UNDP Population Data'!$G$6:$G$223,MATCH($C58,'UNDP Population Data'!$D$6:$D$222,0))*100,0)</f>
        <v>0.51140415240944481</v>
      </c>
      <c r="U58" s="420">
        <f t="shared" si="4"/>
        <v>465.72720301216248</v>
      </c>
      <c r="V58" s="420">
        <f t="shared" si="7"/>
        <v>81.233657486727466</v>
      </c>
      <c r="W58" s="420">
        <f t="shared" si="5"/>
        <v>0</v>
      </c>
      <c r="X58" s="420">
        <f t="shared" si="6"/>
        <v>15.982790919613054</v>
      </c>
      <c r="Z58" s="424">
        <f t="shared" si="8"/>
        <v>6.2053936339093223</v>
      </c>
      <c r="AA58" s="424">
        <f t="shared" si="9"/>
        <v>0</v>
      </c>
      <c r="AB58" s="424">
        <f t="shared" si="10"/>
        <v>1.0823649934275896</v>
      </c>
    </row>
    <row r="59" spans="2:28" x14ac:dyDescent="0.35">
      <c r="B59" s="557" t="s">
        <v>366</v>
      </c>
      <c r="C59" s="557" t="s">
        <v>367</v>
      </c>
      <c r="D59" s="568" t="str">
        <f>INDEX('HCW, Staff, Beds Summary'!$E$7:$E$270,MATCH($C59,'HCW, Staff, Beds Summary'!$C$7:$C$270,0))</f>
        <v>Upper middle income</v>
      </c>
      <c r="E59" s="423">
        <f>VLOOKUP($C59,'UNDP Population Data'!$D$6:$E$269,2,FALSE)</f>
        <v>11108358</v>
      </c>
      <c r="F59" s="558"/>
      <c r="G59" s="559">
        <v>2018</v>
      </c>
      <c r="H59" s="564">
        <v>13.802</v>
      </c>
      <c r="I59" s="565">
        <v>14668</v>
      </c>
      <c r="J59" s="565">
        <v>14668</v>
      </c>
      <c r="K59" s="565" t="s">
        <v>748</v>
      </c>
      <c r="L59" s="76"/>
      <c r="M59" s="565"/>
      <c r="N59" s="566"/>
      <c r="O59" s="566"/>
      <c r="P59" s="76"/>
      <c r="Q59" s="565">
        <v>2011</v>
      </c>
      <c r="R59" s="565">
        <v>14983</v>
      </c>
      <c r="S59" s="76"/>
      <c r="T59" s="567">
        <f>IFERROR(INDEX('UNDP Population Data'!$G$6:$G$223,MATCH($C59,'UNDP Population Data'!$D$6:$D$222,0))*100,0)</f>
        <v>1.0782112514840181</v>
      </c>
      <c r="U59" s="420">
        <f t="shared" si="4"/>
        <v>14986.009265678096</v>
      </c>
      <c r="V59" s="420">
        <f t="shared" si="7"/>
        <v>16501.244877125595</v>
      </c>
      <c r="W59" s="420">
        <f t="shared" si="5"/>
        <v>0</v>
      </c>
      <c r="X59" s="420">
        <f t="shared" si="6"/>
        <v>2365.5940331265124</v>
      </c>
      <c r="Z59" s="424">
        <f t="shared" si="8"/>
        <v>1.3490751077412246</v>
      </c>
      <c r="AA59" s="424">
        <f t="shared" si="9"/>
        <v>0</v>
      </c>
      <c r="AB59" s="424">
        <f t="shared" si="10"/>
        <v>1.4854801112032574</v>
      </c>
    </row>
    <row r="60" spans="2:28" x14ac:dyDescent="0.35">
      <c r="B60" s="557" t="s">
        <v>376</v>
      </c>
      <c r="C60" s="557" t="s">
        <v>38</v>
      </c>
      <c r="D60" s="568" t="str">
        <f>INDEX('HCW, Staff, Beds Summary'!$E$7:$E$270,MATCH($C60,'HCW, Staff, Beds Summary'!$C$7:$C$270,0))</f>
        <v>Upper middle income</v>
      </c>
      <c r="E60" s="423">
        <f>VLOOKUP($C60,'UNDP Population Data'!$D$6:$E$269,2,FALSE)</f>
        <v>17335642</v>
      </c>
      <c r="F60" s="558"/>
      <c r="G60" s="559">
        <v>2018</v>
      </c>
      <c r="H60" s="564">
        <v>25.059000000000001</v>
      </c>
      <c r="I60" s="565">
        <v>42811</v>
      </c>
      <c r="J60" s="565">
        <v>42811</v>
      </c>
      <c r="K60" s="565" t="s">
        <v>748</v>
      </c>
      <c r="L60" s="76"/>
      <c r="M60" s="565">
        <v>2015</v>
      </c>
      <c r="N60" s="566"/>
      <c r="O60" s="566">
        <v>4140</v>
      </c>
      <c r="P60" s="76"/>
      <c r="Q60" s="565">
        <v>2016</v>
      </c>
      <c r="R60" s="565">
        <v>33589</v>
      </c>
      <c r="S60" s="76"/>
      <c r="T60" s="567">
        <f>IFERROR(INDEX('UNDP Population Data'!$G$6:$G$223,MATCH($C60,'UNDP Population Data'!$D$6:$D$222,0))*100,0)</f>
        <v>1.4340523748772371</v>
      </c>
      <c r="U60" s="420">
        <f t="shared" si="4"/>
        <v>44047.668433169674</v>
      </c>
      <c r="V60" s="420">
        <f t="shared" si="7"/>
        <v>35557.578656007128</v>
      </c>
      <c r="W60" s="420">
        <f t="shared" si="5"/>
        <v>4445.4857495815259</v>
      </c>
      <c r="X60" s="420">
        <f t="shared" si="6"/>
        <v>4445.4857495815259</v>
      </c>
      <c r="Z60" s="424">
        <f t="shared" si="8"/>
        <v>2.5408732156080331</v>
      </c>
      <c r="AA60" s="424">
        <f t="shared" si="9"/>
        <v>0.25643617638051858</v>
      </c>
      <c r="AB60" s="424">
        <f t="shared" si="10"/>
        <v>2.0511255744671657</v>
      </c>
    </row>
    <row r="61" spans="2:28" x14ac:dyDescent="0.35">
      <c r="B61" s="557" t="s">
        <v>1097</v>
      </c>
      <c r="C61" s="557" t="s">
        <v>39</v>
      </c>
      <c r="D61" s="568" t="str">
        <f>INDEX('HCW, Staff, Beds Summary'!$E$7:$E$270,MATCH($C61,'HCW, Staff, Beds Summary'!$C$7:$C$270,0))</f>
        <v>Lower middle income</v>
      </c>
      <c r="E61" s="423">
        <f>VLOOKUP($C61,'UNDP Population Data'!$D$6:$E$269,2,FALSE)</f>
        <v>102941484</v>
      </c>
      <c r="F61" s="558"/>
      <c r="G61" s="559">
        <v>2018</v>
      </c>
      <c r="H61" s="564">
        <v>19.262</v>
      </c>
      <c r="I61" s="565">
        <v>189579</v>
      </c>
      <c r="J61" s="565">
        <v>189579</v>
      </c>
      <c r="K61" s="565" t="s">
        <v>748</v>
      </c>
      <c r="L61" s="76"/>
      <c r="M61" s="565">
        <v>2018</v>
      </c>
      <c r="N61" s="566">
        <v>15234</v>
      </c>
      <c r="O61" s="566">
        <v>2349</v>
      </c>
      <c r="P61" s="76"/>
      <c r="Q61" s="565">
        <v>2018</v>
      </c>
      <c r="R61" s="565">
        <v>44502</v>
      </c>
      <c r="S61" s="76"/>
      <c r="T61" s="567">
        <f>IFERROR(INDEX('UNDP Population Data'!$G$6:$G$223,MATCH($C61,'UNDP Population Data'!$D$6:$D$222,0))*100,0)</f>
        <v>1.8820634704454164</v>
      </c>
      <c r="U61" s="420">
        <f t="shared" si="4"/>
        <v>196782.14618344198</v>
      </c>
      <c r="V61" s="420">
        <f t="shared" si="7"/>
        <v>46192.875104603008</v>
      </c>
      <c r="W61" s="420">
        <f t="shared" si="5"/>
        <v>18251.074625055833</v>
      </c>
      <c r="X61" s="420">
        <f t="shared" si="6"/>
        <v>18251.074625055833</v>
      </c>
      <c r="Z61" s="424">
        <f t="shared" si="8"/>
        <v>1.9115922807508972</v>
      </c>
      <c r="AA61" s="424">
        <f t="shared" si="9"/>
        <v>0.17729562384253011</v>
      </c>
      <c r="AB61" s="424">
        <f t="shared" si="10"/>
        <v>0.44872944618326083</v>
      </c>
    </row>
    <row r="62" spans="2:28" x14ac:dyDescent="0.35">
      <c r="B62" s="557" t="s">
        <v>222</v>
      </c>
      <c r="C62" s="557" t="s">
        <v>164</v>
      </c>
      <c r="D62" s="568" t="str">
        <f>INDEX('HCW, Staff, Beds Summary'!$E$7:$E$270,MATCH($C62,'HCW, Staff, Beds Summary'!$C$7:$C$270,0))</f>
        <v>Lower middle income</v>
      </c>
      <c r="E62" s="423">
        <f>VLOOKUP($C62,'UNDP Population Data'!$D$6:$E$269,2,FALSE)</f>
        <v>6479066</v>
      </c>
      <c r="F62" s="558"/>
      <c r="G62" s="559">
        <v>2018</v>
      </c>
      <c r="H62" s="564">
        <v>18.344000000000001</v>
      </c>
      <c r="I62" s="565">
        <v>11778</v>
      </c>
      <c r="J62" s="565">
        <v>11778</v>
      </c>
      <c r="K62" s="565" t="s">
        <v>748</v>
      </c>
      <c r="L62" s="76"/>
      <c r="M62" s="565">
        <v>2016</v>
      </c>
      <c r="N62" s="566"/>
      <c r="O62" s="566">
        <v>2049</v>
      </c>
      <c r="P62" s="76"/>
      <c r="Q62" s="565">
        <v>2016</v>
      </c>
      <c r="R62" s="565">
        <v>9955</v>
      </c>
      <c r="S62" s="76"/>
      <c r="T62" s="567">
        <f>IFERROR(INDEX('UNDP Population Data'!$G$6:$G$223,MATCH($C62,'UNDP Population Data'!$D$6:$D$222,0))*100,0)</f>
        <v>0.52232045639224456</v>
      </c>
      <c r="U62" s="420">
        <f t="shared" si="4"/>
        <v>11901.359132524523</v>
      </c>
      <c r="V62" s="420">
        <f t="shared" si="7"/>
        <v>10164.623233296983</v>
      </c>
      <c r="W62" s="420">
        <f t="shared" si="5"/>
        <v>2092.1459573104489</v>
      </c>
      <c r="X62" s="420">
        <f t="shared" si="6"/>
        <v>2092.1459573104489</v>
      </c>
      <c r="Z62" s="424">
        <f t="shared" si="8"/>
        <v>1.8368942579878833</v>
      </c>
      <c r="AA62" s="424">
        <f t="shared" si="9"/>
        <v>0.3229085731354564</v>
      </c>
      <c r="AB62" s="424">
        <f t="shared" si="10"/>
        <v>1.5688408226273638</v>
      </c>
    </row>
    <row r="63" spans="2:28" x14ac:dyDescent="0.35">
      <c r="B63" s="557" t="s">
        <v>191</v>
      </c>
      <c r="C63" s="557" t="s">
        <v>174</v>
      </c>
      <c r="D63" s="568" t="str">
        <f>INDEX('HCW, Staff, Beds Summary'!$E$7:$E$270,MATCH($C63,'HCW, Staff, Beds Summary'!$C$7:$C$270,0))</f>
        <v>Upper middle income</v>
      </c>
      <c r="E63" s="423">
        <f>VLOOKUP($C63,'UNDP Population Data'!$D$6:$E$269,2,FALSE)</f>
        <v>1406280</v>
      </c>
      <c r="F63" s="558"/>
      <c r="G63" s="559">
        <v>2017</v>
      </c>
      <c r="H63" s="564">
        <v>5.024</v>
      </c>
      <c r="I63" s="565">
        <v>634</v>
      </c>
      <c r="J63" s="565">
        <v>634</v>
      </c>
      <c r="K63" s="565" t="s">
        <v>748</v>
      </c>
      <c r="L63" s="76"/>
      <c r="M63" s="565">
        <v>2004</v>
      </c>
      <c r="N63" s="566">
        <v>3</v>
      </c>
      <c r="O63" s="566">
        <v>80</v>
      </c>
      <c r="P63" s="76"/>
      <c r="Q63" s="565">
        <v>2017</v>
      </c>
      <c r="R63" s="565">
        <v>507</v>
      </c>
      <c r="S63" s="76"/>
      <c r="T63" s="567">
        <f>IFERROR(INDEX('UNDP Population Data'!$G$6:$G$223,MATCH($C63,'UNDP Population Data'!$D$6:$D$222,0))*100,0)</f>
        <v>3.6520833646170647</v>
      </c>
      <c r="U63" s="420">
        <f t="shared" si="4"/>
        <v>706.03034100758555</v>
      </c>
      <c r="V63" s="420">
        <f t="shared" si="7"/>
        <v>564.60155030101873</v>
      </c>
      <c r="W63" s="420">
        <f t="shared" si="5"/>
        <v>147.3420347131372</v>
      </c>
      <c r="X63" s="420">
        <f t="shared" si="6"/>
        <v>147.3420347131372</v>
      </c>
      <c r="Z63" s="424">
        <f t="shared" si="8"/>
        <v>0.50205530975878598</v>
      </c>
      <c r="AA63" s="424">
        <f t="shared" si="9"/>
        <v>0.10477432283267714</v>
      </c>
      <c r="AB63" s="424">
        <f t="shared" si="10"/>
        <v>0.40148587073770425</v>
      </c>
    </row>
    <row r="64" spans="2:28" ht="15.75" customHeight="1" x14ac:dyDescent="0.35">
      <c r="B64" s="557" t="s">
        <v>192</v>
      </c>
      <c r="C64" s="557" t="s">
        <v>168</v>
      </c>
      <c r="D64" s="568" t="str">
        <f>INDEX('HCW, Staff, Beds Summary'!$E$7:$E$270,MATCH($C64,'HCW, Staff, Beds Summary'!$C$7:$C$270,0))</f>
        <v>Low income</v>
      </c>
      <c r="E64" s="423">
        <f>VLOOKUP($C64,'UNDP Population Data'!$D$6:$E$269,2,FALSE)</f>
        <v>5432216</v>
      </c>
      <c r="F64" s="558"/>
      <c r="G64" s="559">
        <v>2018</v>
      </c>
      <c r="H64" s="564">
        <v>14.397</v>
      </c>
      <c r="I64" s="565">
        <v>4971</v>
      </c>
      <c r="J64" s="565">
        <v>4971</v>
      </c>
      <c r="K64" s="565" t="s">
        <v>748</v>
      </c>
      <c r="L64" s="76"/>
      <c r="M64" s="565">
        <v>2004</v>
      </c>
      <c r="N64" s="566">
        <v>17</v>
      </c>
      <c r="O64" s="566">
        <v>183</v>
      </c>
      <c r="P64" s="76"/>
      <c r="Q64" s="565">
        <v>2016</v>
      </c>
      <c r="R64" s="565">
        <v>212</v>
      </c>
      <c r="S64" s="76"/>
      <c r="T64" s="567">
        <f>IFERROR(INDEX('UNDP Population Data'!$G$6:$G$223,MATCH($C64,'UNDP Population Data'!$D$6:$D$222,0))*100,0)</f>
        <v>2.3060300188497918</v>
      </c>
      <c r="U64" s="420">
        <f t="shared" si="4"/>
        <v>5202.9089701520661</v>
      </c>
      <c r="V64" s="420">
        <f t="shared" si="7"/>
        <v>232.24201439999686</v>
      </c>
      <c r="W64" s="420">
        <f t="shared" si="5"/>
        <v>288.03794983571817</v>
      </c>
      <c r="X64" s="420">
        <f t="shared" si="6"/>
        <v>288.03794983571817</v>
      </c>
      <c r="Z64" s="424">
        <f t="shared" si="8"/>
        <v>0.9577875714353159</v>
      </c>
      <c r="AA64" s="424">
        <f t="shared" si="9"/>
        <v>5.3024023683100635E-2</v>
      </c>
      <c r="AB64" s="424">
        <f t="shared" si="10"/>
        <v>4.2752720878550643E-2</v>
      </c>
    </row>
    <row r="65" spans="2:28" x14ac:dyDescent="0.35">
      <c r="B65" s="557" t="s">
        <v>378</v>
      </c>
      <c r="C65" s="557" t="s">
        <v>41</v>
      </c>
      <c r="D65" s="568" t="str">
        <f>INDEX('HCW, Staff, Beds Summary'!$E$7:$E$270,MATCH($C65,'HCW, Staff, Beds Summary'!$C$7:$C$270,0))</f>
        <v>High income</v>
      </c>
      <c r="E65" s="423">
        <f>VLOOKUP($C65,'UNDP Population Data'!$D$6:$E$269,2,FALSE)</f>
        <v>1300559</v>
      </c>
      <c r="F65" s="558"/>
      <c r="G65" s="559">
        <v>2018</v>
      </c>
      <c r="H65" s="564">
        <v>111.55800000000001</v>
      </c>
      <c r="I65" s="565">
        <v>14758</v>
      </c>
      <c r="J65" s="565">
        <v>13786</v>
      </c>
      <c r="K65" s="565">
        <v>972</v>
      </c>
      <c r="L65" s="76"/>
      <c r="M65" s="565"/>
      <c r="N65" s="566"/>
      <c r="O65" s="566"/>
      <c r="P65" s="76"/>
      <c r="Q65" s="565">
        <v>2018</v>
      </c>
      <c r="R65" s="565">
        <v>5931</v>
      </c>
      <c r="S65" s="76"/>
      <c r="T65" s="567">
        <f>IFERROR(INDEX('UNDP Population Data'!$G$6:$G$223,MATCH($C65,'UNDP Population Data'!$D$6:$D$222,0))*100,0)</f>
        <v>-0.22547682346624187</v>
      </c>
      <c r="U65" s="420">
        <f t="shared" si="4"/>
        <v>13723.901617979302</v>
      </c>
      <c r="V65" s="420">
        <f t="shared" si="7"/>
        <v>5904.2840922845808</v>
      </c>
      <c r="W65" s="420">
        <f t="shared" si="5"/>
        <v>0</v>
      </c>
      <c r="X65" s="420">
        <f t="shared" si="6"/>
        <v>693.75660802487175</v>
      </c>
      <c r="Z65" s="424">
        <f t="shared" si="8"/>
        <v>10.552309905186387</v>
      </c>
      <c r="AA65" s="424">
        <f t="shared" si="9"/>
        <v>0</v>
      </c>
      <c r="AB65" s="424">
        <f t="shared" si="10"/>
        <v>4.5398048779675362</v>
      </c>
    </row>
    <row r="66" spans="2:28" x14ac:dyDescent="0.35">
      <c r="B66" s="557" t="s">
        <v>379</v>
      </c>
      <c r="C66" s="557" t="s">
        <v>134</v>
      </c>
      <c r="D66" s="568" t="str">
        <f>INDEX('HCW, Staff, Beds Summary'!$E$7:$E$270,MATCH($C66,'HCW, Staff, Beds Summary'!$C$7:$C$270,0))</f>
        <v>Lower middle income</v>
      </c>
      <c r="E66" s="423">
        <f>VLOOKUP($C66,'UNDP Population Data'!$D$6:$E$269,2,FALSE)</f>
        <v>1439295</v>
      </c>
      <c r="F66" s="558"/>
      <c r="G66" s="559">
        <v>2018</v>
      </c>
      <c r="H66" s="564">
        <v>41.414999999999999</v>
      </c>
      <c r="I66" s="565">
        <v>4706</v>
      </c>
      <c r="J66" s="565">
        <v>4706</v>
      </c>
      <c r="K66" s="565" t="s">
        <v>748</v>
      </c>
      <c r="L66" s="76"/>
      <c r="M66" s="565">
        <v>2011</v>
      </c>
      <c r="N66" s="566"/>
      <c r="O66" s="566">
        <v>41</v>
      </c>
      <c r="P66" s="76"/>
      <c r="Q66" s="565">
        <v>2016</v>
      </c>
      <c r="R66" s="565">
        <v>366</v>
      </c>
      <c r="S66" s="76"/>
      <c r="T66" s="567">
        <f>IFERROR(INDEX('UNDP Population Data'!$G$6:$G$223,MATCH($C66,'UNDP Population Data'!$D$6:$D$222,0))*100,0)</f>
        <v>1.760745476123704</v>
      </c>
      <c r="U66" s="420">
        <f t="shared" si="4"/>
        <v>4873.1803299244357</v>
      </c>
      <c r="V66" s="420">
        <f t="shared" si="7"/>
        <v>392.46614982357664</v>
      </c>
      <c r="W66" s="420">
        <f t="shared" si="5"/>
        <v>47.974049118187651</v>
      </c>
      <c r="X66" s="420">
        <f t="shared" si="6"/>
        <v>47.974049118187651</v>
      </c>
      <c r="Z66" s="424">
        <f t="shared" si="8"/>
        <v>3.385810643352777</v>
      </c>
      <c r="AA66" s="424">
        <f t="shared" si="9"/>
        <v>3.3331630498395153E-2</v>
      </c>
      <c r="AB66" s="424">
        <f t="shared" si="10"/>
        <v>0.27267943668502748</v>
      </c>
    </row>
    <row r="67" spans="2:28" x14ac:dyDescent="0.35">
      <c r="B67" s="557" t="s">
        <v>194</v>
      </c>
      <c r="C67" s="557" t="s">
        <v>42</v>
      </c>
      <c r="D67" s="568" t="str">
        <f>INDEX('HCW, Staff, Beds Summary'!$E$7:$E$270,MATCH($C67,'HCW, Staff, Beds Summary'!$C$7:$C$270,0))</f>
        <v>Low income</v>
      </c>
      <c r="E67" s="423">
        <f>VLOOKUP($C67,'UNDP Population Data'!$D$6:$E$269,2,FALSE)</f>
        <v>112759070</v>
      </c>
      <c r="F67" s="558"/>
      <c r="G67" s="559">
        <v>2018</v>
      </c>
      <c r="H67" s="564">
        <v>7.1349999999999998</v>
      </c>
      <c r="I67" s="565">
        <v>77931</v>
      </c>
      <c r="J67" s="565">
        <v>61772</v>
      </c>
      <c r="K67" s="565">
        <v>16159</v>
      </c>
      <c r="L67" s="76"/>
      <c r="M67" s="565">
        <v>2009</v>
      </c>
      <c r="N67" s="566"/>
      <c r="O67" s="566">
        <v>2823</v>
      </c>
      <c r="P67" s="76"/>
      <c r="Q67" s="565">
        <v>2018</v>
      </c>
      <c r="R67" s="565">
        <v>8395</v>
      </c>
      <c r="S67" s="76"/>
      <c r="T67" s="567">
        <f>IFERROR(INDEX('UNDP Population Data'!$G$6:$G$223,MATCH($C67,'UNDP Population Data'!$D$6:$D$222,0))*100,0)</f>
        <v>2.4567673707273308</v>
      </c>
      <c r="U67" s="420">
        <f t="shared" si="4"/>
        <v>64844.472443062528</v>
      </c>
      <c r="V67" s="420">
        <f t="shared" si="7"/>
        <v>8812.5582166598124</v>
      </c>
      <c r="W67" s="420">
        <f t="shared" si="5"/>
        <v>3686.8716597917983</v>
      </c>
      <c r="X67" s="420">
        <f t="shared" si="6"/>
        <v>3686.8716597917983</v>
      </c>
      <c r="Z67" s="424">
        <f t="shared" si="8"/>
        <v>0.57507101152095819</v>
      </c>
      <c r="AA67" s="424">
        <f t="shared" si="9"/>
        <v>3.2696896664647895E-2</v>
      </c>
      <c r="AB67" s="424">
        <f t="shared" si="10"/>
        <v>7.8153874598822184E-2</v>
      </c>
    </row>
    <row r="68" spans="2:28" x14ac:dyDescent="0.35">
      <c r="B68" s="557" t="s">
        <v>248</v>
      </c>
      <c r="C68" s="557" t="s">
        <v>44</v>
      </c>
      <c r="D68" s="568" t="str">
        <f>INDEX('HCW, Staff, Beds Summary'!$E$7:$E$270,MATCH($C68,'HCW, Staff, Beds Summary'!$C$7:$C$270,0))</f>
        <v>Upper middle income</v>
      </c>
      <c r="E68" s="423">
        <f>VLOOKUP($C68,'UNDP Population Data'!$D$6:$E$269,2,FALSE)</f>
        <v>924915</v>
      </c>
      <c r="F68" s="558"/>
      <c r="G68" s="559">
        <v>2018</v>
      </c>
      <c r="H68" s="564">
        <v>33.752000000000002</v>
      </c>
      <c r="I68" s="565">
        <v>2982</v>
      </c>
      <c r="J68" s="565">
        <v>2982</v>
      </c>
      <c r="K68" s="565" t="s">
        <v>748</v>
      </c>
      <c r="L68" s="76"/>
      <c r="M68" s="565">
        <v>2015</v>
      </c>
      <c r="N68" s="566">
        <v>177</v>
      </c>
      <c r="O68" s="566"/>
      <c r="P68" s="76"/>
      <c r="Q68" s="565">
        <v>2015</v>
      </c>
      <c r="R68" s="565">
        <v>747</v>
      </c>
      <c r="S68" s="76"/>
      <c r="T68" s="567">
        <f>IFERROR(INDEX('UNDP Population Data'!$G$6:$G$223,MATCH($C68,'UNDP Population Data'!$D$6:$D$222,0))*100,0)</f>
        <v>0.72398181565680453</v>
      </c>
      <c r="U68" s="420">
        <f t="shared" si="4"/>
        <v>3025.334576917187</v>
      </c>
      <c r="V68" s="420">
        <f t="shared" si="7"/>
        <v>774.43510557093055</v>
      </c>
      <c r="W68" s="420">
        <f t="shared" si="5"/>
        <v>183.50068766540122</v>
      </c>
      <c r="X68" s="420">
        <f t="shared" si="6"/>
        <v>183.50068766540122</v>
      </c>
      <c r="Z68" s="424">
        <f t="shared" si="8"/>
        <v>3.2709325472256228</v>
      </c>
      <c r="AA68" s="424">
        <f t="shared" si="9"/>
        <v>0.19839735290853885</v>
      </c>
      <c r="AB68" s="424">
        <f t="shared" si="10"/>
        <v>0.83730408261400302</v>
      </c>
    </row>
    <row r="69" spans="2:28" x14ac:dyDescent="0.35">
      <c r="B69" s="557" t="s">
        <v>392</v>
      </c>
      <c r="C69" s="557" t="s">
        <v>43</v>
      </c>
      <c r="D69" s="568" t="str">
        <f>INDEX('HCW, Staff, Beds Summary'!$E$7:$E$270,MATCH($C69,'HCW, Staff, Beds Summary'!$C$7:$C$270,0))</f>
        <v>High income</v>
      </c>
      <c r="E69" s="423">
        <f>VLOOKUP($C69,'UNDP Population Data'!$D$6:$E$269,2,FALSE)</f>
        <v>5580127</v>
      </c>
      <c r="F69" s="558"/>
      <c r="G69" s="559">
        <v>2016</v>
      </c>
      <c r="H69" s="564">
        <v>147.374</v>
      </c>
      <c r="I69" s="565">
        <v>81022</v>
      </c>
      <c r="J69" s="565">
        <v>81022</v>
      </c>
      <c r="K69" s="565" t="s">
        <v>748</v>
      </c>
      <c r="L69" s="76"/>
      <c r="M69" s="565">
        <v>2002</v>
      </c>
      <c r="N69" s="566"/>
      <c r="O69" s="566">
        <v>6822</v>
      </c>
      <c r="P69" s="76"/>
      <c r="Q69" s="565">
        <v>2016</v>
      </c>
      <c r="R69" s="565">
        <v>20956</v>
      </c>
      <c r="S69" s="76"/>
      <c r="T69" s="567">
        <f>IFERROR(INDEX('UNDP Population Data'!$G$6:$G$223,MATCH($C69,'UNDP Population Data'!$D$6:$D$222,0))*100,0)</f>
        <v>0.35558551550278761</v>
      </c>
      <c r="U69" s="420">
        <f t="shared" si="4"/>
        <v>82180.571274111207</v>
      </c>
      <c r="V69" s="420">
        <f t="shared" si="7"/>
        <v>21255.659593940836</v>
      </c>
      <c r="W69" s="420">
        <f t="shared" si="5"/>
        <v>7272.0959328937961</v>
      </c>
      <c r="X69" s="420">
        <f t="shared" si="6"/>
        <v>7272.0959328937961</v>
      </c>
      <c r="Z69" s="424">
        <f t="shared" si="8"/>
        <v>14.727365752448145</v>
      </c>
      <c r="AA69" s="424">
        <f t="shared" si="9"/>
        <v>1.3032133377777597</v>
      </c>
      <c r="AB69" s="424">
        <f t="shared" si="10"/>
        <v>3.8091712955531007</v>
      </c>
    </row>
    <row r="70" spans="2:28" x14ac:dyDescent="0.35">
      <c r="B70" s="557" t="s">
        <v>395</v>
      </c>
      <c r="C70" s="557" t="s">
        <v>45</v>
      </c>
      <c r="D70" s="568" t="str">
        <f>INDEX('HCW, Staff, Beds Summary'!$E$7:$E$270,MATCH($C70,'HCW, Staff, Beds Summary'!$C$7:$C$270,0))</f>
        <v>High income</v>
      </c>
      <c r="E70" s="423">
        <f>VLOOKUP($C70,'UNDP Population Data'!$D$6:$E$269,2,FALSE)</f>
        <v>65721164.999999993</v>
      </c>
      <c r="F70" s="558"/>
      <c r="G70" s="559">
        <v>2018</v>
      </c>
      <c r="H70" s="564">
        <v>114.70699999999999</v>
      </c>
      <c r="I70" s="565">
        <v>745485</v>
      </c>
      <c r="J70" s="565">
        <v>722572</v>
      </c>
      <c r="K70" s="565">
        <v>22913</v>
      </c>
      <c r="L70" s="76"/>
      <c r="M70" s="565"/>
      <c r="N70" s="566"/>
      <c r="O70" s="566"/>
      <c r="P70" s="76"/>
      <c r="Q70" s="565">
        <v>2018</v>
      </c>
      <c r="R70" s="565">
        <v>212337</v>
      </c>
      <c r="S70" s="76"/>
      <c r="T70" s="567">
        <f>IFERROR(INDEX('UNDP Population Data'!$G$6:$G$223,MATCH($C70,'UNDP Population Data'!$D$6:$D$222,0))*100,0)</f>
        <v>0.38914654783102076</v>
      </c>
      <c r="U70" s="420">
        <f t="shared" si="4"/>
        <v>728206.67025884788</v>
      </c>
      <c r="V70" s="420">
        <f t="shared" si="7"/>
        <v>213992.81973665321</v>
      </c>
      <c r="W70" s="420">
        <f t="shared" si="5"/>
        <v>0</v>
      </c>
      <c r="X70" s="420">
        <f t="shared" si="6"/>
        <v>35057.61176989504</v>
      </c>
      <c r="Z70" s="424">
        <f t="shared" si="8"/>
        <v>11.080245918629835</v>
      </c>
      <c r="AA70" s="424">
        <f t="shared" si="9"/>
        <v>0</v>
      </c>
      <c r="AB70" s="424">
        <f t="shared" si="10"/>
        <v>3.2560716131044427</v>
      </c>
    </row>
    <row r="71" spans="2:28" x14ac:dyDescent="0.35">
      <c r="B71" s="557" t="s">
        <v>195</v>
      </c>
      <c r="C71" s="557" t="s">
        <v>46</v>
      </c>
      <c r="D71" s="568" t="str">
        <f>INDEX('HCW, Staff, Beds Summary'!$E$7:$E$270,MATCH($C71,'HCW, Staff, Beds Summary'!$C$7:$C$270,0))</f>
        <v>Upper middle income</v>
      </c>
      <c r="E71" s="423">
        <f>VLOOKUP($C71,'UNDP Population Data'!$D$6:$E$269,2,FALSE)</f>
        <v>2151289</v>
      </c>
      <c r="F71" s="558"/>
      <c r="G71" s="559">
        <v>2017</v>
      </c>
      <c r="H71" s="564">
        <v>29.46</v>
      </c>
      <c r="I71" s="565">
        <v>6083</v>
      </c>
      <c r="J71" s="565">
        <v>5350</v>
      </c>
      <c r="K71" s="565">
        <v>733</v>
      </c>
      <c r="L71" s="76"/>
      <c r="M71" s="565">
        <v>2017</v>
      </c>
      <c r="N71" s="566"/>
      <c r="O71" s="566">
        <v>442</v>
      </c>
      <c r="P71" s="76"/>
      <c r="Q71" s="565">
        <v>2017</v>
      </c>
      <c r="R71" s="565">
        <v>1408</v>
      </c>
      <c r="S71" s="76"/>
      <c r="T71" s="567">
        <f>IFERROR(INDEX('UNDP Population Data'!$G$6:$G$223,MATCH($C71,'UNDP Population Data'!$D$6:$D$222,0))*100,0)</f>
        <v>2.1928271625029527</v>
      </c>
      <c r="U71" s="420">
        <f t="shared" si="4"/>
        <v>5709.722798994273</v>
      </c>
      <c r="V71" s="420">
        <f t="shared" si="7"/>
        <v>1502.6709721465302</v>
      </c>
      <c r="W71" s="420">
        <f t="shared" si="5"/>
        <v>471.71915460849885</v>
      </c>
      <c r="X71" s="420">
        <f t="shared" si="6"/>
        <v>471.71915460849885</v>
      </c>
      <c r="Z71" s="424">
        <f t="shared" si="8"/>
        <v>2.6540938009696853</v>
      </c>
      <c r="AA71" s="424">
        <f t="shared" si="9"/>
        <v>0.2192727962670282</v>
      </c>
      <c r="AB71" s="424">
        <f t="shared" si="10"/>
        <v>0.69849795733931153</v>
      </c>
    </row>
    <row r="72" spans="2:28" ht="15.75" customHeight="1" x14ac:dyDescent="0.35">
      <c r="B72" s="557" t="s">
        <v>1092</v>
      </c>
      <c r="C72" s="557" t="s">
        <v>50</v>
      </c>
      <c r="D72" s="568" t="str">
        <f>INDEX('HCW, Staff, Beds Summary'!$E$7:$E$270,MATCH($C72,'HCW, Staff, Beds Summary'!$C$7:$C$270,0))</f>
        <v>Low income</v>
      </c>
      <c r="E72" s="423">
        <f>VLOOKUP($C72,'UNDP Population Data'!$D$6:$E$269,2,FALSE)</f>
        <v>2293493</v>
      </c>
      <c r="F72" s="558"/>
      <c r="G72" s="559">
        <v>2015</v>
      </c>
      <c r="H72" s="564">
        <v>15.446999999999999</v>
      </c>
      <c r="I72" s="565">
        <v>3222</v>
      </c>
      <c r="J72" s="565">
        <v>2372</v>
      </c>
      <c r="K72" s="565">
        <v>850</v>
      </c>
      <c r="L72" s="76"/>
      <c r="M72" s="565">
        <v>2015</v>
      </c>
      <c r="N72" s="566">
        <v>11</v>
      </c>
      <c r="O72" s="566">
        <v>141</v>
      </c>
      <c r="P72" s="76"/>
      <c r="Q72" s="565">
        <v>2015</v>
      </c>
      <c r="R72" s="565">
        <v>213</v>
      </c>
      <c r="S72" s="76"/>
      <c r="T72" s="567">
        <f>IFERROR(INDEX('UNDP Population Data'!$G$6:$G$223,MATCH($C72,'UNDP Population Data'!$D$6:$D$222,0))*100,0)</f>
        <v>3.0083029607968603</v>
      </c>
      <c r="U72" s="420">
        <f t="shared" si="4"/>
        <v>2750.9066065261259</v>
      </c>
      <c r="V72" s="420">
        <f t="shared" ref="V72:V103" si="11">IFERROR(R72*(1+$T72/100)^(2020-$Q72),R72)</f>
        <v>247.02491871419261</v>
      </c>
      <c r="W72" s="420">
        <f t="shared" si="5"/>
        <v>176.28069316693558</v>
      </c>
      <c r="X72" s="420">
        <f t="shared" si="6"/>
        <v>176.28069316693558</v>
      </c>
      <c r="Z72" s="424">
        <f t="shared" ref="Z72:Z103" si="12">IFERROR(U72/E72*1000,0)</f>
        <v>1.1994397220859736</v>
      </c>
      <c r="AA72" s="424">
        <f t="shared" ref="AA72:AA103" si="13">IFERROR(W72/E72*1000,0)</f>
        <v>7.6861230083080948E-2</v>
      </c>
      <c r="AB72" s="424">
        <f t="shared" ref="AB72:AB103" si="14">IFERROR(V72/E72*1000,0)</f>
        <v>0.10770685531379107</v>
      </c>
    </row>
    <row r="73" spans="2:28" x14ac:dyDescent="0.35">
      <c r="B73" s="557" t="s">
        <v>236</v>
      </c>
      <c r="C73" s="557" t="s">
        <v>48</v>
      </c>
      <c r="D73" s="568" t="str">
        <f>INDEX('HCW, Staff, Beds Summary'!$E$7:$E$270,MATCH($C73,'HCW, Staff, Beds Summary'!$C$7:$C$270,0))</f>
        <v>Upper middle income</v>
      </c>
      <c r="E73" s="423">
        <f>VLOOKUP($C73,'UNDP Population Data'!$D$6:$E$269,2,FALSE)</f>
        <v>3898529</v>
      </c>
      <c r="F73" s="558"/>
      <c r="G73" s="559">
        <v>2018</v>
      </c>
      <c r="H73" s="564">
        <v>47.292999999999999</v>
      </c>
      <c r="I73" s="565">
        <v>18931</v>
      </c>
      <c r="J73" s="565">
        <v>18440</v>
      </c>
      <c r="K73" s="565">
        <v>491</v>
      </c>
      <c r="L73" s="76"/>
      <c r="M73" s="565"/>
      <c r="N73" s="566"/>
      <c r="O73" s="566"/>
      <c r="P73" s="76"/>
      <c r="Q73" s="565">
        <v>2018</v>
      </c>
      <c r="R73" s="565">
        <v>28501</v>
      </c>
      <c r="S73" s="76"/>
      <c r="T73" s="567">
        <f>IFERROR(INDEX('UNDP Population Data'!$G$6:$G$223,MATCH($C73,'UNDP Population Data'!$D$6:$D$222,0))*100,0)</f>
        <v>-0.2696762144098086</v>
      </c>
      <c r="U73" s="420">
        <f t="shared" ref="U73:U136" si="15">IFERROR(J73*(1+T73/100)^(2020-G73),J73)</f>
        <v>18340.677517506243</v>
      </c>
      <c r="V73" s="420">
        <f t="shared" si="11"/>
        <v>28347.486438527409</v>
      </c>
      <c r="W73" s="420">
        <f t="shared" ref="W73:W136" si="16">IFERROR(SUM(N73:O73)*(1+$T73/100)^(2020-$M73),SUM(N73:O73))</f>
        <v>0</v>
      </c>
      <c r="X73" s="420">
        <f t="shared" ref="X73:X136" si="17">IF(W73=0,INDEX($AG$8:$AG$12,MATCH($D73,$AD$8:$AD$12,0))*E73/1000,W73)</f>
        <v>830.21603556265188</v>
      </c>
      <c r="Z73" s="424">
        <f t="shared" si="12"/>
        <v>4.7045122705272275</v>
      </c>
      <c r="AA73" s="424">
        <f t="shared" si="13"/>
        <v>0</v>
      </c>
      <c r="AB73" s="424">
        <f t="shared" si="14"/>
        <v>7.2713288623805052</v>
      </c>
    </row>
    <row r="74" spans="2:28" x14ac:dyDescent="0.35">
      <c r="B74" s="557" t="s">
        <v>399</v>
      </c>
      <c r="C74" s="557" t="s">
        <v>34</v>
      </c>
      <c r="D74" s="568" t="str">
        <f>INDEX('HCW, Staff, Beds Summary'!$E$7:$E$270,MATCH($C74,'HCW, Staff, Beds Summary'!$C$7:$C$270,0))</f>
        <v>High income</v>
      </c>
      <c r="E74" s="423">
        <f>VLOOKUP($C74,'UNDP Population Data'!$D$6:$E$269,2,FALSE)</f>
        <v>82540450</v>
      </c>
      <c r="F74" s="558"/>
      <c r="G74" s="559">
        <v>2017</v>
      </c>
      <c r="H74" s="564">
        <v>132.352</v>
      </c>
      <c r="I74" s="565">
        <v>1094000</v>
      </c>
      <c r="J74" s="565">
        <v>1070000</v>
      </c>
      <c r="K74" s="565">
        <v>24000</v>
      </c>
      <c r="L74" s="76"/>
      <c r="M74" s="565"/>
      <c r="N74" s="566"/>
      <c r="O74" s="566"/>
      <c r="P74" s="76"/>
      <c r="Q74" s="565">
        <v>2017</v>
      </c>
      <c r="R74" s="565">
        <v>351195</v>
      </c>
      <c r="S74" s="76"/>
      <c r="T74" s="567">
        <f>IFERROR(INDEX('UNDP Population Data'!$G$6:$G$223,MATCH($C74,'UNDP Population Data'!$D$6:$D$222,0))*100,0)</f>
        <v>0.20298858931342423</v>
      </c>
      <c r="U74" s="420">
        <f t="shared" si="15"/>
        <v>1076529.1692683911</v>
      </c>
      <c r="V74" s="420">
        <f t="shared" si="11"/>
        <v>353338.00149646041</v>
      </c>
      <c r="W74" s="420">
        <f t="shared" si="16"/>
        <v>0</v>
      </c>
      <c r="X74" s="420">
        <f t="shared" si="17"/>
        <v>44029.515475150714</v>
      </c>
      <c r="Z74" s="424">
        <f t="shared" si="12"/>
        <v>13.042443665722576</v>
      </c>
      <c r="AA74" s="424">
        <f t="shared" si="13"/>
        <v>0</v>
      </c>
      <c r="AB74" s="424">
        <f t="shared" si="14"/>
        <v>4.2807859842835896</v>
      </c>
    </row>
    <row r="75" spans="2:28" x14ac:dyDescent="0.35">
      <c r="B75" s="557" t="s">
        <v>196</v>
      </c>
      <c r="C75" s="557" t="s">
        <v>162</v>
      </c>
      <c r="D75" s="568" t="str">
        <f>INDEX('HCW, Staff, Beds Summary'!$E$7:$E$270,MATCH($C75,'HCW, Staff, Beds Summary'!$C$7:$C$270,0))</f>
        <v>Lower middle income</v>
      </c>
      <c r="E75" s="423">
        <f>VLOOKUP($C75,'UNDP Population Data'!$D$6:$E$269,2,FALSE)</f>
        <v>30733755</v>
      </c>
      <c r="F75" s="558"/>
      <c r="G75" s="559">
        <v>2018</v>
      </c>
      <c r="H75" s="564">
        <v>42.000999999999998</v>
      </c>
      <c r="I75" s="565">
        <v>125024</v>
      </c>
      <c r="J75" s="565">
        <v>125024</v>
      </c>
      <c r="K75" s="565" t="s">
        <v>748</v>
      </c>
      <c r="L75" s="76"/>
      <c r="M75" s="565">
        <v>2013</v>
      </c>
      <c r="N75" s="566"/>
      <c r="O75" s="566">
        <v>3987</v>
      </c>
      <c r="P75" s="76"/>
      <c r="Q75" s="565">
        <v>2017</v>
      </c>
      <c r="R75" s="565">
        <v>3957</v>
      </c>
      <c r="S75" s="76"/>
      <c r="T75" s="567">
        <f>IFERROR(INDEX('UNDP Population Data'!$G$6:$G$223,MATCH($C75,'UNDP Population Data'!$D$6:$D$222,0))*100,0)</f>
        <v>2.1869386867897411</v>
      </c>
      <c r="U75" s="420">
        <f t="shared" si="15"/>
        <v>130552.19168627322</v>
      </c>
      <c r="V75" s="420">
        <f t="shared" si="11"/>
        <v>4222.3304237884104</v>
      </c>
      <c r="W75" s="420">
        <f t="shared" si="16"/>
        <v>4638.8887462159501</v>
      </c>
      <c r="X75" s="420">
        <f t="shared" si="17"/>
        <v>4638.8887462159501</v>
      </c>
      <c r="Z75" s="424">
        <f t="shared" si="12"/>
        <v>4.2478438344508573</v>
      </c>
      <c r="AA75" s="424">
        <f t="shared" si="13"/>
        <v>0.15093791000207915</v>
      </c>
      <c r="AB75" s="424">
        <f t="shared" si="14"/>
        <v>0.13738413753179235</v>
      </c>
    </row>
    <row r="76" spans="2:28" x14ac:dyDescent="0.35">
      <c r="B76" s="557" t="s">
        <v>402</v>
      </c>
      <c r="C76" s="557" t="s">
        <v>51</v>
      </c>
      <c r="D76" s="568" t="str">
        <f>INDEX('HCW, Staff, Beds Summary'!$E$7:$E$270,MATCH($C76,'HCW, Staff, Beds Summary'!$C$7:$C$270,0))</f>
        <v>High income</v>
      </c>
      <c r="E76" s="423">
        <f>VLOOKUP($C76,'UNDP Population Data'!$D$6:$E$269,2,FALSE)</f>
        <v>11102572</v>
      </c>
      <c r="F76" s="558"/>
      <c r="G76" s="559">
        <v>2017</v>
      </c>
      <c r="H76" s="564">
        <v>36.331000000000003</v>
      </c>
      <c r="I76" s="565">
        <v>38400</v>
      </c>
      <c r="J76" s="565">
        <v>35592</v>
      </c>
      <c r="K76" s="565">
        <v>2808</v>
      </c>
      <c r="L76" s="76"/>
      <c r="M76" s="565">
        <v>2011</v>
      </c>
      <c r="N76" s="566"/>
      <c r="O76" s="566">
        <v>6190</v>
      </c>
      <c r="P76" s="76"/>
      <c r="Q76" s="565">
        <v>2017</v>
      </c>
      <c r="R76" s="565">
        <v>57909</v>
      </c>
      <c r="S76" s="76"/>
      <c r="T76" s="567">
        <f>IFERROR(INDEX('UNDP Population Data'!$G$6:$G$223,MATCH($C76,'UNDP Population Data'!$D$6:$D$222,0))*100,0)</f>
        <v>-0.20628712001914407</v>
      </c>
      <c r="U76" s="420">
        <f t="shared" si="15"/>
        <v>35372.188930890807</v>
      </c>
      <c r="V76" s="420">
        <f t="shared" si="11"/>
        <v>57551.362351060787</v>
      </c>
      <c r="W76" s="420">
        <f t="shared" si="16"/>
        <v>6076.0211768171357</v>
      </c>
      <c r="X76" s="420">
        <f t="shared" si="17"/>
        <v>6076.0211768171357</v>
      </c>
      <c r="Z76" s="424">
        <f t="shared" si="12"/>
        <v>3.1859454665901565</v>
      </c>
      <c r="AA76" s="424">
        <f t="shared" si="13"/>
        <v>0.54726248808088207</v>
      </c>
      <c r="AB76" s="424">
        <f t="shared" si="14"/>
        <v>5.1836063167219981</v>
      </c>
    </row>
    <row r="77" spans="2:28" x14ac:dyDescent="0.35">
      <c r="B77" s="557" t="s">
        <v>405</v>
      </c>
      <c r="C77" s="557" t="s">
        <v>52</v>
      </c>
      <c r="D77" s="568" t="str">
        <f>INDEX('HCW, Staff, Beds Summary'!$E$7:$E$270,MATCH($C77,'HCW, Staff, Beds Summary'!$C$7:$C$270,0))</f>
        <v>Upper middle income</v>
      </c>
      <c r="E77" s="423">
        <f>VLOOKUP($C77,'UNDP Population Data'!$D$6:$E$269,2,FALSE)</f>
        <v>109308</v>
      </c>
      <c r="F77" s="558"/>
      <c r="G77" s="559">
        <v>2018</v>
      </c>
      <c r="H77" s="564">
        <v>62.837000000000003</v>
      </c>
      <c r="I77" s="565">
        <v>700</v>
      </c>
      <c r="J77" s="565">
        <v>700</v>
      </c>
      <c r="K77" s="565" t="s">
        <v>748</v>
      </c>
      <c r="L77" s="76"/>
      <c r="M77" s="565">
        <v>2003</v>
      </c>
      <c r="N77" s="566"/>
      <c r="O77" s="566">
        <v>13</v>
      </c>
      <c r="P77" s="76"/>
      <c r="Q77" s="565">
        <v>2017</v>
      </c>
      <c r="R77" s="565">
        <v>156</v>
      </c>
      <c r="S77" s="76"/>
      <c r="T77" s="567">
        <f>IFERROR(INDEX('UNDP Population Data'!$G$6:$G$223,MATCH($C77,'UNDP Population Data'!$D$6:$D$222,0))*100,0)</f>
        <v>0.46098581351319279</v>
      </c>
      <c r="U77" s="420">
        <f t="shared" si="15"/>
        <v>706.46867694360299</v>
      </c>
      <c r="V77" s="420">
        <f t="shared" si="11"/>
        <v>158.16737426015925</v>
      </c>
      <c r="W77" s="420">
        <f t="shared" si="16"/>
        <v>14.057230183701217</v>
      </c>
      <c r="X77" s="420">
        <f t="shared" si="17"/>
        <v>14.057230183701217</v>
      </c>
      <c r="Z77" s="424">
        <f t="shared" si="12"/>
        <v>6.4631013003952402</v>
      </c>
      <c r="AA77" s="424">
        <f t="shared" si="13"/>
        <v>0.12860202532020726</v>
      </c>
      <c r="AB77" s="424">
        <f t="shared" si="14"/>
        <v>1.4469880910835369</v>
      </c>
    </row>
    <row r="78" spans="2:28" x14ac:dyDescent="0.35">
      <c r="B78" s="557" t="s">
        <v>223</v>
      </c>
      <c r="C78" s="557" t="s">
        <v>53</v>
      </c>
      <c r="D78" s="568" t="str">
        <f>INDEX('HCW, Staff, Beds Summary'!$E$7:$E$270,MATCH($C78,'HCW, Staff, Beds Summary'!$C$7:$C$270,0))</f>
        <v>Upper middle income</v>
      </c>
      <c r="E78" s="423">
        <f>VLOOKUP($C78,'UNDP Population Data'!$D$6:$E$269,2,FALSE)</f>
        <v>17910812</v>
      </c>
      <c r="F78" s="558"/>
      <c r="G78" s="559">
        <v>2018</v>
      </c>
      <c r="H78" s="564">
        <v>0.73699999999999999</v>
      </c>
      <c r="I78" s="565">
        <v>1271</v>
      </c>
      <c r="J78" s="565">
        <v>1271</v>
      </c>
      <c r="K78" s="565" t="s">
        <v>748</v>
      </c>
      <c r="L78" s="76"/>
      <c r="M78" s="565">
        <v>2018</v>
      </c>
      <c r="N78" s="566">
        <v>127</v>
      </c>
      <c r="O78" s="566">
        <v>399</v>
      </c>
      <c r="P78" s="76"/>
      <c r="Q78" s="565">
        <v>2018</v>
      </c>
      <c r="R78" s="565">
        <v>6122</v>
      </c>
      <c r="S78" s="76"/>
      <c r="T78" s="567">
        <f>IFERROR(INDEX('UNDP Population Data'!$G$6:$G$223,MATCH($C78,'UNDP Population Data'!$D$6:$D$222,0))*100,0)</f>
        <v>1.9622474417229752</v>
      </c>
      <c r="U78" s="420">
        <f t="shared" si="15"/>
        <v>1321.369717717964</v>
      </c>
      <c r="V78" s="420">
        <f t="shared" si="11"/>
        <v>6364.6148008413647</v>
      </c>
      <c r="W78" s="420">
        <f t="shared" si="16"/>
        <v>546.84537491711171</v>
      </c>
      <c r="X78" s="420">
        <f t="shared" si="17"/>
        <v>546.84537491711171</v>
      </c>
      <c r="Z78" s="424">
        <f t="shared" si="12"/>
        <v>7.3774975568833168E-2</v>
      </c>
      <c r="AA78" s="424">
        <f t="shared" si="13"/>
        <v>3.0531579188989966E-2</v>
      </c>
      <c r="AB78" s="424">
        <f t="shared" si="14"/>
        <v>0.35535043307033565</v>
      </c>
    </row>
    <row r="79" spans="2:28" x14ac:dyDescent="0.35">
      <c r="B79" s="557" t="s">
        <v>197</v>
      </c>
      <c r="C79" s="557" t="s">
        <v>49</v>
      </c>
      <c r="D79" s="568" t="str">
        <f>INDEX('HCW, Staff, Beds Summary'!$E$7:$E$270,MATCH($C79,'HCW, Staff, Beds Summary'!$C$7:$C$270,0))</f>
        <v>Low income</v>
      </c>
      <c r="E79" s="423">
        <f>VLOOKUP($C79,'UNDP Population Data'!$D$6:$E$269,2,FALSE)</f>
        <v>13750826</v>
      </c>
      <c r="F79" s="558"/>
      <c r="G79" s="559">
        <v>2016</v>
      </c>
      <c r="H79" s="564">
        <v>1.238</v>
      </c>
      <c r="I79" s="565">
        <v>1453</v>
      </c>
      <c r="J79" s="565">
        <v>1010</v>
      </c>
      <c r="K79" s="565">
        <v>443</v>
      </c>
      <c r="L79" s="76"/>
      <c r="M79" s="565">
        <v>2016</v>
      </c>
      <c r="N79" s="566"/>
      <c r="O79" s="566">
        <v>209</v>
      </c>
      <c r="P79" s="76"/>
      <c r="Q79" s="565">
        <v>2016</v>
      </c>
      <c r="R79" s="565">
        <v>977</v>
      </c>
      <c r="S79" s="76"/>
      <c r="T79" s="567">
        <f>IFERROR(INDEX('UNDP Population Data'!$G$6:$G$223,MATCH($C79,'UNDP Population Data'!$D$6:$D$222,0))*100,0)</f>
        <v>2.6052266940248758</v>
      </c>
      <c r="U79" s="420">
        <f t="shared" si="15"/>
        <v>1119.4361067507566</v>
      </c>
      <c r="V79" s="420">
        <f t="shared" si="11"/>
        <v>1082.8604715796923</v>
      </c>
      <c r="W79" s="420">
        <f t="shared" si="16"/>
        <v>231.64568941674074</v>
      </c>
      <c r="X79" s="420">
        <f t="shared" si="17"/>
        <v>231.64568941674074</v>
      </c>
      <c r="Z79" s="424">
        <f t="shared" si="12"/>
        <v>8.1408644597114138E-2</v>
      </c>
      <c r="AA79" s="424">
        <f t="shared" si="13"/>
        <v>1.6845947248313717E-2</v>
      </c>
      <c r="AB79" s="424">
        <f t="shared" si="14"/>
        <v>7.8748758189485651E-2</v>
      </c>
    </row>
    <row r="80" spans="2:28" x14ac:dyDescent="0.35">
      <c r="B80" s="557" t="s">
        <v>198</v>
      </c>
      <c r="C80" s="557" t="s">
        <v>172</v>
      </c>
      <c r="D80" s="568" t="str">
        <f>INDEX('HCW, Staff, Beds Summary'!$E$7:$E$270,MATCH($C80,'HCW, Staff, Beds Summary'!$C$7:$C$270,0))</f>
        <v>Low income</v>
      </c>
      <c r="E80" s="423">
        <f>VLOOKUP($C80,'UNDP Population Data'!$D$6:$E$269,2,FALSE)</f>
        <v>2000694</v>
      </c>
      <c r="F80" s="558"/>
      <c r="G80" s="559">
        <v>2018</v>
      </c>
      <c r="H80" s="564">
        <v>6.851</v>
      </c>
      <c r="I80" s="565">
        <v>1284</v>
      </c>
      <c r="J80" s="565">
        <v>1284</v>
      </c>
      <c r="K80" s="565" t="s">
        <v>748</v>
      </c>
      <c r="L80" s="76"/>
      <c r="M80" s="565">
        <v>2016</v>
      </c>
      <c r="N80" s="566">
        <v>158</v>
      </c>
      <c r="O80" s="566">
        <v>16</v>
      </c>
      <c r="P80" s="76"/>
      <c r="Q80" s="565">
        <v>2016</v>
      </c>
      <c r="R80" s="565">
        <v>227</v>
      </c>
      <c r="S80" s="76"/>
      <c r="T80" s="567">
        <f>IFERROR(INDEX('UNDP Population Data'!$G$6:$G$223,MATCH($C80,'UNDP Population Data'!$D$6:$D$222,0))*100,0)</f>
        <v>2.4744679671390379</v>
      </c>
      <c r="U80" s="420">
        <f t="shared" si="15"/>
        <v>1348.3305295330294</v>
      </c>
      <c r="V80" s="420">
        <f t="shared" si="11"/>
        <v>250.31596295993586</v>
      </c>
      <c r="W80" s="420">
        <f t="shared" si="16"/>
        <v>191.8721478195103</v>
      </c>
      <c r="X80" s="420">
        <f t="shared" si="17"/>
        <v>191.8721478195103</v>
      </c>
      <c r="Z80" s="424">
        <f t="shared" si="12"/>
        <v>0.67393141056704797</v>
      </c>
      <c r="AA80" s="424">
        <f t="shared" si="13"/>
        <v>9.5902795639668179E-2</v>
      </c>
      <c r="AB80" s="424">
        <f t="shared" si="14"/>
        <v>0.12511456672531426</v>
      </c>
    </row>
    <row r="81" spans="2:28" x14ac:dyDescent="0.35">
      <c r="B81" s="557" t="s">
        <v>224</v>
      </c>
      <c r="C81" s="557" t="s">
        <v>54</v>
      </c>
      <c r="D81" s="568" t="str">
        <f>INDEX('HCW, Staff, Beds Summary'!$E$7:$E$270,MATCH($C81,'HCW, Staff, Beds Summary'!$C$7:$C$270,0))</f>
        <v>Upper middle income</v>
      </c>
      <c r="E81" s="423">
        <f>VLOOKUP($C81,'UNDP Population Data'!$D$6:$E$269,2,FALSE)</f>
        <v>790782</v>
      </c>
      <c r="F81" s="558"/>
      <c r="G81" s="559">
        <v>2018</v>
      </c>
      <c r="H81" s="564">
        <v>10.398</v>
      </c>
      <c r="I81" s="565">
        <v>810</v>
      </c>
      <c r="J81" s="565">
        <v>731</v>
      </c>
      <c r="K81" s="565">
        <v>79</v>
      </c>
      <c r="L81" s="76"/>
      <c r="M81" s="565">
        <v>2018</v>
      </c>
      <c r="N81" s="566"/>
      <c r="O81" s="566">
        <v>21</v>
      </c>
      <c r="P81" s="76"/>
      <c r="Q81" s="565">
        <v>2018</v>
      </c>
      <c r="R81" s="565">
        <v>625</v>
      </c>
      <c r="S81" s="76"/>
      <c r="T81" s="567">
        <f>IFERROR(INDEX('UNDP Population Data'!$G$6:$G$223,MATCH($C81,'UNDP Population Data'!$D$6:$D$222,0))*100,0)</f>
        <v>0.57290584752711649</v>
      </c>
      <c r="U81" s="420">
        <f t="shared" si="15"/>
        <v>739.39987645399697</v>
      </c>
      <c r="V81" s="420">
        <f t="shared" si="11"/>
        <v>632.18183691347213</v>
      </c>
      <c r="W81" s="420">
        <f t="shared" si="16"/>
        <v>21.241309720292662</v>
      </c>
      <c r="X81" s="420">
        <f t="shared" si="17"/>
        <v>21.241309720292662</v>
      </c>
      <c r="Z81" s="424">
        <f t="shared" si="12"/>
        <v>0.93502365563960355</v>
      </c>
      <c r="AA81" s="424">
        <f t="shared" si="13"/>
        <v>2.6861144690057012E-2</v>
      </c>
      <c r="AB81" s="424">
        <f t="shared" si="14"/>
        <v>0.79943883006122063</v>
      </c>
    </row>
    <row r="82" spans="2:28" x14ac:dyDescent="0.35">
      <c r="B82" s="557" t="s">
        <v>225</v>
      </c>
      <c r="C82" s="557" t="s">
        <v>56</v>
      </c>
      <c r="D82" s="568" t="str">
        <f>INDEX('HCW, Staff, Beds Summary'!$E$7:$E$270,MATCH($C82,'HCW, Staff, Beds Summary'!$C$7:$C$270,0))</f>
        <v>Low income</v>
      </c>
      <c r="E82" s="423">
        <f>VLOOKUP($C82,'UNDP Population Data'!$D$6:$E$269,2,FALSE)</f>
        <v>11371185</v>
      </c>
      <c r="F82" s="558"/>
      <c r="G82" s="559">
        <v>2018</v>
      </c>
      <c r="H82" s="564">
        <v>6.798</v>
      </c>
      <c r="I82" s="565">
        <v>7561</v>
      </c>
      <c r="J82" s="565">
        <v>7364</v>
      </c>
      <c r="K82" s="565">
        <v>197</v>
      </c>
      <c r="L82" s="76"/>
      <c r="M82" s="565">
        <v>2018</v>
      </c>
      <c r="N82" s="566"/>
      <c r="O82" s="566">
        <v>1731</v>
      </c>
      <c r="P82" s="76"/>
      <c r="Q82" s="565">
        <v>2018</v>
      </c>
      <c r="R82" s="565">
        <v>2606</v>
      </c>
      <c r="S82" s="76"/>
      <c r="T82" s="567">
        <f>IFERROR(INDEX('UNDP Population Data'!$G$6:$G$223,MATCH($C82,'UNDP Population Data'!$D$6:$D$222,0))*100,0)</f>
        <v>1.2032935832082314</v>
      </c>
      <c r="U82" s="420">
        <f t="shared" si="15"/>
        <v>7542.287323870366</v>
      </c>
      <c r="V82" s="420">
        <f t="shared" si="11"/>
        <v>2669.092988322403</v>
      </c>
      <c r="W82" s="420">
        <f t="shared" si="16"/>
        <v>1772.9086580146122</v>
      </c>
      <c r="X82" s="420">
        <f t="shared" si="17"/>
        <v>1772.9086580146122</v>
      </c>
      <c r="Z82" s="424">
        <f t="shared" si="12"/>
        <v>0.66328068041020938</v>
      </c>
      <c r="AA82" s="424">
        <f t="shared" si="13"/>
        <v>0.1559123924212483</v>
      </c>
      <c r="AB82" s="424">
        <f t="shared" si="14"/>
        <v>0.23472426034071234</v>
      </c>
    </row>
    <row r="83" spans="2:28" x14ac:dyDescent="0.35">
      <c r="B83" s="557" t="s">
        <v>226</v>
      </c>
      <c r="C83" s="557" t="s">
        <v>166</v>
      </c>
      <c r="D83" s="568" t="str">
        <f>INDEX('HCW, Staff, Beds Summary'!$E$7:$E$270,MATCH($C83,'HCW, Staff, Beds Summary'!$C$7:$C$270,0))</f>
        <v>Lower middle income</v>
      </c>
      <c r="E83" s="423">
        <f>VLOOKUP($C83,'UNDP Population Data'!$D$6:$E$269,2,FALSE)</f>
        <v>9719265</v>
      </c>
      <c r="F83" s="558"/>
      <c r="G83" s="559">
        <v>2018</v>
      </c>
      <c r="H83" s="564">
        <v>7.3570000000000002</v>
      </c>
      <c r="I83" s="565">
        <v>7054</v>
      </c>
      <c r="J83" s="565">
        <v>7054</v>
      </c>
      <c r="K83" s="565" t="s">
        <v>748</v>
      </c>
      <c r="L83" s="76"/>
      <c r="M83" s="565"/>
      <c r="N83" s="566"/>
      <c r="O83" s="566"/>
      <c r="P83" s="76"/>
      <c r="Q83" s="565">
        <v>2017</v>
      </c>
      <c r="R83" s="565">
        <v>2913</v>
      </c>
      <c r="S83" s="76"/>
      <c r="T83" s="567">
        <f>IFERROR(INDEX('UNDP Population Data'!$G$6:$G$223,MATCH($C83,'UNDP Population Data'!$D$6:$D$222,0))*100,0)</f>
        <v>1.6382190994755907</v>
      </c>
      <c r="U83" s="420">
        <f t="shared" si="15"/>
        <v>7287.0130761403543</v>
      </c>
      <c r="V83" s="420">
        <f t="shared" si="11"/>
        <v>3058.5221138221104</v>
      </c>
      <c r="W83" s="420">
        <f t="shared" si="16"/>
        <v>0</v>
      </c>
      <c r="X83" s="420">
        <f t="shared" si="17"/>
        <v>2503.0887941811043</v>
      </c>
      <c r="Z83" s="424">
        <f t="shared" si="12"/>
        <v>0.7497493973196897</v>
      </c>
      <c r="AA83" s="424">
        <f t="shared" si="13"/>
        <v>0</v>
      </c>
      <c r="AB83" s="424">
        <f t="shared" si="14"/>
        <v>0.31468656465505468</v>
      </c>
    </row>
    <row r="84" spans="2:28" x14ac:dyDescent="0.35">
      <c r="B84" s="557" t="s">
        <v>414</v>
      </c>
      <c r="C84" s="557" t="s">
        <v>57</v>
      </c>
      <c r="D84" s="568" t="str">
        <f>INDEX('HCW, Staff, Beds Summary'!$E$7:$E$270,MATCH($C84,'HCW, Staff, Beds Summary'!$C$7:$C$270,0))</f>
        <v>High income</v>
      </c>
      <c r="E84" s="423">
        <f>VLOOKUP($C84,'UNDP Population Data'!$D$6:$E$269,2,FALSE)</f>
        <v>9621254</v>
      </c>
      <c r="F84" s="558"/>
      <c r="G84" s="559">
        <v>2018</v>
      </c>
      <c r="H84" s="564">
        <v>69.156999999999996</v>
      </c>
      <c r="I84" s="565">
        <v>67134</v>
      </c>
      <c r="J84" s="565">
        <v>64695</v>
      </c>
      <c r="K84" s="565">
        <v>2439</v>
      </c>
      <c r="L84" s="76"/>
      <c r="M84" s="565"/>
      <c r="N84" s="566"/>
      <c r="O84" s="566"/>
      <c r="P84" s="76"/>
      <c r="Q84" s="565">
        <v>2018</v>
      </c>
      <c r="R84" s="565">
        <v>33078</v>
      </c>
      <c r="S84" s="76"/>
      <c r="T84" s="567">
        <f>IFERROR(INDEX('UNDP Population Data'!$G$6:$G$223,MATCH($C84,'UNDP Population Data'!$D$6:$D$222,0))*100,0)</f>
        <v>-0.33476088542906401</v>
      </c>
      <c r="U84" s="420">
        <f t="shared" si="15"/>
        <v>64262.577893893082</v>
      </c>
      <c r="V84" s="420">
        <f t="shared" si="11"/>
        <v>32856.906276747744</v>
      </c>
      <c r="W84" s="420">
        <f t="shared" si="16"/>
        <v>0</v>
      </c>
      <c r="X84" s="420">
        <f t="shared" si="17"/>
        <v>5132.2612353501299</v>
      </c>
      <c r="Z84" s="424">
        <f t="shared" si="12"/>
        <v>6.6792309914999732</v>
      </c>
      <c r="AA84" s="424">
        <f t="shared" si="13"/>
        <v>0</v>
      </c>
      <c r="AB84" s="424">
        <f t="shared" si="14"/>
        <v>3.4150336615941894</v>
      </c>
    </row>
    <row r="85" spans="2:28" x14ac:dyDescent="0.35">
      <c r="B85" s="557" t="s">
        <v>415</v>
      </c>
      <c r="C85" s="557" t="s">
        <v>63</v>
      </c>
      <c r="D85" s="568" t="str">
        <f>INDEX('HCW, Staff, Beds Summary'!$E$7:$E$270,MATCH($C85,'HCW, Staff, Beds Summary'!$C$7:$C$270,0))</f>
        <v>High income</v>
      </c>
      <c r="E85" s="423">
        <f>VLOOKUP($C85,'UNDP Population Data'!$D$6:$E$269,2,FALSE)</f>
        <v>343228</v>
      </c>
      <c r="F85" s="558"/>
      <c r="G85" s="559">
        <v>2018</v>
      </c>
      <c r="H85" s="564">
        <v>162.13200000000001</v>
      </c>
      <c r="I85" s="565">
        <v>5459</v>
      </c>
      <c r="J85" s="565">
        <v>5174</v>
      </c>
      <c r="K85" s="565">
        <v>285</v>
      </c>
      <c r="L85" s="76"/>
      <c r="M85" s="565">
        <v>2009</v>
      </c>
      <c r="N85" s="566">
        <v>299</v>
      </c>
      <c r="O85" s="566"/>
      <c r="P85" s="76"/>
      <c r="Q85" s="565">
        <v>2018</v>
      </c>
      <c r="R85" s="565">
        <v>1373</v>
      </c>
      <c r="S85" s="76"/>
      <c r="T85" s="567">
        <f>IFERROR(INDEX('UNDP Population Data'!$G$6:$G$223,MATCH($C85,'UNDP Population Data'!$D$6:$D$222,0))*100,0)</f>
        <v>0.77430641195161964</v>
      </c>
      <c r="U85" s="420">
        <f t="shared" si="15"/>
        <v>5254.4354348958486</v>
      </c>
      <c r="V85" s="420">
        <f t="shared" si="11"/>
        <v>1394.344772344801</v>
      </c>
      <c r="W85" s="420">
        <f t="shared" si="16"/>
        <v>325.47616017869609</v>
      </c>
      <c r="X85" s="420">
        <f t="shared" si="17"/>
        <v>325.47616017869609</v>
      </c>
      <c r="Z85" s="424">
        <f t="shared" si="12"/>
        <v>15.30887758252779</v>
      </c>
      <c r="AA85" s="424">
        <f t="shared" si="13"/>
        <v>0.94827974459745734</v>
      </c>
      <c r="AB85" s="424">
        <f t="shared" si="14"/>
        <v>4.0624447083128441</v>
      </c>
    </row>
    <row r="86" spans="2:28" x14ac:dyDescent="0.35">
      <c r="B86" s="557" t="s">
        <v>416</v>
      </c>
      <c r="C86" s="557" t="s">
        <v>59</v>
      </c>
      <c r="D86" s="568" t="str">
        <f>INDEX('HCW, Staff, Beds Summary'!$E$7:$E$270,MATCH($C86,'HCW, Staff, Beds Summary'!$C$7:$C$270,0))</f>
        <v>Lower middle income</v>
      </c>
      <c r="E86" s="423">
        <f>VLOOKUP($C86,'UNDP Population Data'!$D$6:$E$269,2,FALSE)</f>
        <v>1383197753</v>
      </c>
      <c r="F86" s="558"/>
      <c r="G86" s="559">
        <v>2018</v>
      </c>
      <c r="H86" s="564">
        <v>17.271000000000001</v>
      </c>
      <c r="I86" s="565">
        <v>2336204</v>
      </c>
      <c r="J86" s="565">
        <v>2336204</v>
      </c>
      <c r="K86" s="565" t="s">
        <v>748</v>
      </c>
      <c r="L86" s="76"/>
      <c r="M86" s="565">
        <v>2018</v>
      </c>
      <c r="N86" s="566">
        <v>500000</v>
      </c>
      <c r="O86" s="566"/>
      <c r="P86" s="76"/>
      <c r="Q86" s="565">
        <v>2018</v>
      </c>
      <c r="R86" s="565">
        <v>1159309</v>
      </c>
      <c r="S86" s="76"/>
      <c r="T86" s="567">
        <f>IFERROR(INDEX('UNDP Population Data'!$G$6:$G$223,MATCH($C86,'UNDP Population Data'!$D$6:$D$222,0))*100,0)</f>
        <v>1.1079590475489454</v>
      </c>
      <c r="U86" s="420">
        <f t="shared" si="15"/>
        <v>2388259.1533283396</v>
      </c>
      <c r="V86" s="420">
        <f t="shared" si="11"/>
        <v>1185140.6515809081</v>
      </c>
      <c r="W86" s="420">
        <f t="shared" si="16"/>
        <v>511140.96913804172</v>
      </c>
      <c r="X86" s="420">
        <f t="shared" si="17"/>
        <v>511140.96913804172</v>
      </c>
      <c r="Z86" s="424">
        <f t="shared" si="12"/>
        <v>1.7266216259739251</v>
      </c>
      <c r="AA86" s="424">
        <f t="shared" si="13"/>
        <v>0.36953571391323803</v>
      </c>
      <c r="AB86" s="424">
        <f t="shared" si="14"/>
        <v>0.85681215792208421</v>
      </c>
    </row>
    <row r="87" spans="2:28" x14ac:dyDescent="0.35">
      <c r="B87" s="557" t="s">
        <v>242</v>
      </c>
      <c r="C87" s="557" t="s">
        <v>58</v>
      </c>
      <c r="D87" s="568" t="str">
        <f>INDEX('HCW, Staff, Beds Summary'!$E$7:$E$270,MATCH($C87,'HCW, Staff, Beds Summary'!$C$7:$C$270,0))</f>
        <v>Lower middle income</v>
      </c>
      <c r="E87" s="423">
        <f>VLOOKUP($C87,'UNDP Population Data'!$D$6:$E$269,2,FALSE)</f>
        <v>272222987</v>
      </c>
      <c r="F87" s="558"/>
      <c r="G87" s="559">
        <v>2018</v>
      </c>
      <c r="H87" s="564">
        <v>24.149000000000001</v>
      </c>
      <c r="I87" s="565">
        <v>646405</v>
      </c>
      <c r="J87" s="565">
        <v>409950</v>
      </c>
      <c r="K87" s="565">
        <v>236455</v>
      </c>
      <c r="L87" s="76"/>
      <c r="M87" s="565">
        <v>2018</v>
      </c>
      <c r="N87" s="566">
        <v>164</v>
      </c>
      <c r="O87" s="566">
        <v>25215</v>
      </c>
      <c r="P87" s="76"/>
      <c r="Q87" s="565">
        <v>2018</v>
      </c>
      <c r="R87" s="565">
        <v>114271</v>
      </c>
      <c r="S87" s="76"/>
      <c r="T87" s="567">
        <f>IFERROR(INDEX('UNDP Population Data'!$G$6:$G$223,MATCH($C87,'UNDP Population Data'!$D$6:$D$222,0))*100,0)</f>
        <v>1.0663211702400366</v>
      </c>
      <c r="U87" s="420">
        <f t="shared" si="15"/>
        <v>418739.38026395603</v>
      </c>
      <c r="V87" s="420">
        <f t="shared" si="11"/>
        <v>116720.98480825106</v>
      </c>
      <c r="W87" s="420">
        <f t="shared" si="16"/>
        <v>25923.128995533458</v>
      </c>
      <c r="X87" s="420">
        <f t="shared" si="17"/>
        <v>25923.128995533458</v>
      </c>
      <c r="Z87" s="424">
        <f t="shared" si="12"/>
        <v>1.5382219733852087</v>
      </c>
      <c r="AA87" s="424">
        <f t="shared" si="13"/>
        <v>9.5227553268796714E-2</v>
      </c>
      <c r="AB87" s="424">
        <f t="shared" si="14"/>
        <v>0.42876976002122502</v>
      </c>
    </row>
    <row r="88" spans="2:28" x14ac:dyDescent="0.35">
      <c r="B88" s="557" t="s">
        <v>1133</v>
      </c>
      <c r="C88" s="557" t="s">
        <v>61</v>
      </c>
      <c r="D88" s="568" t="str">
        <f>INDEX('HCW, Staff, Beds Summary'!$E$7:$E$270,MATCH($C88,'HCW, Staff, Beds Summary'!$C$7:$C$270,0))</f>
        <v>Upper middle income</v>
      </c>
      <c r="E88" s="423">
        <f>VLOOKUP($C88,'UNDP Population Data'!$D$6:$E$269,2,FALSE)</f>
        <v>83587129</v>
      </c>
      <c r="F88" s="558"/>
      <c r="G88" s="559">
        <v>2017</v>
      </c>
      <c r="H88" s="564">
        <v>26.286000000000001</v>
      </c>
      <c r="I88" s="565">
        <v>212063</v>
      </c>
      <c r="J88" s="565">
        <v>179855</v>
      </c>
      <c r="K88" s="565">
        <v>32208</v>
      </c>
      <c r="L88" s="76"/>
      <c r="M88" s="565">
        <v>2006</v>
      </c>
      <c r="N88" s="566"/>
      <c r="O88" s="566">
        <v>7930</v>
      </c>
      <c r="P88" s="76"/>
      <c r="Q88" s="565">
        <v>2018</v>
      </c>
      <c r="R88" s="565">
        <v>129604</v>
      </c>
      <c r="S88" s="76"/>
      <c r="T88" s="567">
        <f>IFERROR(INDEX('UNDP Population Data'!$G$6:$G$223,MATCH($C88,'UNDP Population Data'!$D$6:$D$222,0))*100,0)</f>
        <v>1.0431825895781177</v>
      </c>
      <c r="U88" s="420">
        <f t="shared" si="15"/>
        <v>185542.56939231951</v>
      </c>
      <c r="V88" s="420">
        <f t="shared" si="11"/>
        <v>132322.11662178658</v>
      </c>
      <c r="W88" s="420">
        <f t="shared" si="16"/>
        <v>9170.0440855967736</v>
      </c>
      <c r="X88" s="420">
        <f t="shared" si="17"/>
        <v>9170.0440855967736</v>
      </c>
      <c r="Z88" s="424">
        <f t="shared" si="12"/>
        <v>2.2197504760848945</v>
      </c>
      <c r="AA88" s="424">
        <f t="shared" si="13"/>
        <v>0.10970641288082492</v>
      </c>
      <c r="AB88" s="424">
        <f t="shared" si="14"/>
        <v>1.583044162478491</v>
      </c>
    </row>
    <row r="89" spans="2:28" x14ac:dyDescent="0.35">
      <c r="B89" s="557" t="s">
        <v>418</v>
      </c>
      <c r="C89" s="557" t="s">
        <v>62</v>
      </c>
      <c r="D89" s="568" t="str">
        <f>INDEX('HCW, Staff, Beds Summary'!$E$7:$E$270,MATCH($C89,'HCW, Staff, Beds Summary'!$C$7:$C$270,0))</f>
        <v>Upper middle income</v>
      </c>
      <c r="E89" s="423">
        <f>VLOOKUP($C89,'UNDP Population Data'!$D$6:$E$269,2,FALSE)</f>
        <v>41502885</v>
      </c>
      <c r="F89" s="558"/>
      <c r="G89" s="559">
        <v>2018</v>
      </c>
      <c r="H89" s="564">
        <v>20.448</v>
      </c>
      <c r="I89" s="565">
        <v>78588</v>
      </c>
      <c r="J89" s="565">
        <v>78588</v>
      </c>
      <c r="K89" s="565" t="s">
        <v>748</v>
      </c>
      <c r="L89" s="76"/>
      <c r="M89" s="565">
        <v>2018</v>
      </c>
      <c r="N89" s="566"/>
      <c r="O89" s="566">
        <v>85</v>
      </c>
      <c r="P89" s="76"/>
      <c r="Q89" s="565">
        <v>2018</v>
      </c>
      <c r="R89" s="565">
        <v>27208</v>
      </c>
      <c r="S89" s="76"/>
      <c r="T89" s="567">
        <f>IFERROR(INDEX('UNDP Population Data'!$G$6:$G$223,MATCH($C89,'UNDP Population Data'!$D$6:$D$222,0))*100,0)</f>
        <v>2.8197568923209682</v>
      </c>
      <c r="U89" s="420">
        <f t="shared" si="15"/>
        <v>83082.466639243576</v>
      </c>
      <c r="V89" s="420">
        <f t="shared" si="11"/>
        <v>28764.032070042998</v>
      </c>
      <c r="W89" s="420">
        <f t="shared" si="16"/>
        <v>89.861170462865871</v>
      </c>
      <c r="X89" s="420">
        <f t="shared" si="17"/>
        <v>89.861170462865871</v>
      </c>
      <c r="Z89" s="424">
        <f t="shared" si="12"/>
        <v>2.0018479833207636</v>
      </c>
      <c r="AA89" s="424">
        <f t="shared" si="13"/>
        <v>2.1651788896811844E-3</v>
      </c>
      <c r="AB89" s="424">
        <f t="shared" si="14"/>
        <v>0.69306102624053723</v>
      </c>
    </row>
    <row r="90" spans="2:28" x14ac:dyDescent="0.35">
      <c r="B90" s="557" t="s">
        <v>419</v>
      </c>
      <c r="C90" s="557" t="s">
        <v>60</v>
      </c>
      <c r="D90" s="568" t="str">
        <f>INDEX('HCW, Staff, Beds Summary'!$E$7:$E$270,MATCH($C90,'HCW, Staff, Beds Summary'!$C$7:$C$270,0))</f>
        <v>High income</v>
      </c>
      <c r="E90" s="423">
        <f>VLOOKUP($C90,'UNDP Population Data'!$D$6:$E$269,2,FALSE)</f>
        <v>4887992</v>
      </c>
      <c r="F90" s="558"/>
      <c r="G90" s="559">
        <v>2017</v>
      </c>
      <c r="H90" s="564">
        <v>160.99600000000001</v>
      </c>
      <c r="I90" s="565">
        <v>76526</v>
      </c>
      <c r="J90" s="565">
        <v>58475</v>
      </c>
      <c r="K90" s="565">
        <v>18051</v>
      </c>
      <c r="L90" s="76"/>
      <c r="M90" s="565"/>
      <c r="N90" s="566"/>
      <c r="O90" s="566"/>
      <c r="P90" s="76"/>
      <c r="Q90" s="565">
        <v>2018</v>
      </c>
      <c r="R90" s="565">
        <v>15962</v>
      </c>
      <c r="S90" s="76"/>
      <c r="T90" s="567">
        <f>IFERROR(INDEX('UNDP Population Data'!$G$6:$G$223,MATCH($C90,'UNDP Population Data'!$D$6:$D$222,0))*100,0)</f>
        <v>0.78700696240616708</v>
      </c>
      <c r="U90" s="420">
        <f t="shared" si="15"/>
        <v>59866.500940739075</v>
      </c>
      <c r="V90" s="420">
        <f t="shared" si="11"/>
        <v>16214.232756968901</v>
      </c>
      <c r="W90" s="420">
        <f t="shared" si="16"/>
        <v>0</v>
      </c>
      <c r="X90" s="420">
        <f t="shared" si="17"/>
        <v>2607.3993951621642</v>
      </c>
      <c r="Z90" s="424">
        <f t="shared" si="12"/>
        <v>12.247667537250281</v>
      </c>
      <c r="AA90" s="424">
        <f t="shared" si="13"/>
        <v>0</v>
      </c>
      <c r="AB90" s="424">
        <f t="shared" si="14"/>
        <v>3.3171561567549412</v>
      </c>
    </row>
    <row r="91" spans="2:28" x14ac:dyDescent="0.35">
      <c r="B91" s="557" t="s">
        <v>422</v>
      </c>
      <c r="C91" s="557" t="s">
        <v>64</v>
      </c>
      <c r="D91" s="568" t="str">
        <f>INDEX('HCW, Staff, Beds Summary'!$E$7:$E$270,MATCH($C91,'HCW, Staff, Beds Summary'!$C$7:$C$270,0))</f>
        <v>High income</v>
      </c>
      <c r="E91" s="423">
        <f>VLOOKUP($C91,'UNDP Population Data'!$D$6:$E$269,2,FALSE)</f>
        <v>8713559</v>
      </c>
      <c r="F91" s="558"/>
      <c r="G91" s="559">
        <v>2017</v>
      </c>
      <c r="H91" s="564">
        <v>57.002000000000002</v>
      </c>
      <c r="I91" s="565">
        <v>46991</v>
      </c>
      <c r="J91" s="565">
        <v>44300</v>
      </c>
      <c r="K91" s="565">
        <v>2691</v>
      </c>
      <c r="L91" s="76"/>
      <c r="M91" s="565"/>
      <c r="N91" s="566"/>
      <c r="O91" s="566"/>
      <c r="P91" s="76"/>
      <c r="Q91" s="565">
        <v>2018</v>
      </c>
      <c r="R91" s="565">
        <v>38764</v>
      </c>
      <c r="S91" s="76"/>
      <c r="T91" s="567">
        <f>IFERROR(INDEX('UNDP Population Data'!$G$6:$G$223,MATCH($C91,'UNDP Population Data'!$D$6:$D$222,0))*100,0)</f>
        <v>1.5600999876209887</v>
      </c>
      <c r="U91" s="420">
        <f t="shared" si="15"/>
        <v>46405.887787217282</v>
      </c>
      <c r="V91" s="420">
        <f t="shared" si="11"/>
        <v>39982.949134768642</v>
      </c>
      <c r="W91" s="420">
        <f t="shared" si="16"/>
        <v>0</v>
      </c>
      <c r="X91" s="420">
        <f t="shared" si="17"/>
        <v>4648.0698958406301</v>
      </c>
      <c r="Z91" s="424">
        <f t="shared" si="12"/>
        <v>5.3257099409342699</v>
      </c>
      <c r="AA91" s="424">
        <f t="shared" si="13"/>
        <v>0</v>
      </c>
      <c r="AB91" s="424">
        <f t="shared" si="14"/>
        <v>4.58858993607189</v>
      </c>
    </row>
    <row r="92" spans="2:28" x14ac:dyDescent="0.35">
      <c r="B92" s="557" t="s">
        <v>423</v>
      </c>
      <c r="C92" s="557" t="s">
        <v>65</v>
      </c>
      <c r="D92" s="568" t="str">
        <f>INDEX('HCW, Staff, Beds Summary'!$E$7:$E$270,MATCH($C92,'HCW, Staff, Beds Summary'!$C$7:$C$270,0))</f>
        <v>High income</v>
      </c>
      <c r="E92" s="423">
        <f>VLOOKUP($C92,'UNDP Population Data'!$D$6:$E$269,2,FALSE)</f>
        <v>59132073</v>
      </c>
      <c r="F92" s="558"/>
      <c r="G92" s="559">
        <v>2018</v>
      </c>
      <c r="H92" s="564">
        <v>57.401000000000003</v>
      </c>
      <c r="I92" s="565">
        <v>348004</v>
      </c>
      <c r="J92" s="565">
        <v>332182</v>
      </c>
      <c r="K92" s="565">
        <v>15822</v>
      </c>
      <c r="L92" s="76"/>
      <c r="M92" s="565"/>
      <c r="N92" s="566"/>
      <c r="O92" s="566"/>
      <c r="P92" s="76"/>
      <c r="Q92" s="565">
        <v>2018</v>
      </c>
      <c r="R92" s="565">
        <v>241136</v>
      </c>
      <c r="S92" s="76"/>
      <c r="T92" s="567">
        <f>IFERROR(INDEX('UNDP Population Data'!$G$6:$G$223,MATCH($C92,'UNDP Population Data'!$D$6:$D$222,0))*100,0)</f>
        <v>-0.12539396394221081</v>
      </c>
      <c r="U92" s="420">
        <f t="shared" si="15"/>
        <v>331349.44995661895</v>
      </c>
      <c r="V92" s="420">
        <f t="shared" si="11"/>
        <v>240531.63917593146</v>
      </c>
      <c r="W92" s="420">
        <f t="shared" si="16"/>
        <v>0</v>
      </c>
      <c r="X92" s="420">
        <f t="shared" si="17"/>
        <v>31542.795359502419</v>
      </c>
      <c r="Z92" s="424">
        <f t="shared" si="12"/>
        <v>5.6035486859494839</v>
      </c>
      <c r="AA92" s="424">
        <f t="shared" si="13"/>
        <v>0</v>
      </c>
      <c r="AB92" s="424">
        <f t="shared" si="14"/>
        <v>4.0677017897872698</v>
      </c>
    </row>
    <row r="93" spans="2:28" x14ac:dyDescent="0.35">
      <c r="B93" s="557" t="s">
        <v>424</v>
      </c>
      <c r="C93" s="557" t="s">
        <v>66</v>
      </c>
      <c r="D93" s="568" t="str">
        <f>INDEX('HCW, Staff, Beds Summary'!$E$7:$E$270,MATCH($C93,'HCW, Staff, Beds Summary'!$C$7:$C$270,0))</f>
        <v>Upper middle income</v>
      </c>
      <c r="E93" s="423">
        <f>VLOOKUP($C93,'UNDP Population Data'!$D$6:$E$269,2,FALSE)</f>
        <v>2913160</v>
      </c>
      <c r="F93" s="558"/>
      <c r="G93" s="559">
        <v>2018</v>
      </c>
      <c r="H93" s="564">
        <v>8.0679999999999996</v>
      </c>
      <c r="I93" s="565">
        <v>2368</v>
      </c>
      <c r="J93" s="565">
        <v>2368</v>
      </c>
      <c r="K93" s="565" t="s">
        <v>748</v>
      </c>
      <c r="L93" s="76"/>
      <c r="M93" s="565">
        <v>2016</v>
      </c>
      <c r="N93" s="566"/>
      <c r="O93" s="566">
        <v>130</v>
      </c>
      <c r="P93" s="76"/>
      <c r="Q93" s="565">
        <v>2017</v>
      </c>
      <c r="R93" s="565">
        <v>3815</v>
      </c>
      <c r="S93" s="76"/>
      <c r="T93" s="567">
        <f>IFERROR(INDEX('UNDP Population Data'!$G$6:$G$223,MATCH($C93,'UNDP Population Data'!$D$6:$D$222,0))*100,0)</f>
        <v>0.28546131189484125</v>
      </c>
      <c r="U93" s="420">
        <f t="shared" si="15"/>
        <v>2381.5387441277671</v>
      </c>
      <c r="V93" s="420">
        <f t="shared" si="11"/>
        <v>3847.7643990896099</v>
      </c>
      <c r="W93" s="420">
        <f t="shared" si="16"/>
        <v>131.49076700310448</v>
      </c>
      <c r="X93" s="420">
        <f t="shared" si="17"/>
        <v>131.49076700310448</v>
      </c>
      <c r="Z93" s="424">
        <f t="shared" si="12"/>
        <v>0.81751045055121152</v>
      </c>
      <c r="AA93" s="424">
        <f t="shared" si="13"/>
        <v>4.5136816035886963E-2</v>
      </c>
      <c r="AB93" s="424">
        <f t="shared" si="14"/>
        <v>1.3208215130956109</v>
      </c>
    </row>
    <row r="94" spans="2:28" x14ac:dyDescent="0.35">
      <c r="B94" s="557" t="s">
        <v>425</v>
      </c>
      <c r="C94" s="557" t="s">
        <v>68</v>
      </c>
      <c r="D94" s="568" t="str">
        <f>INDEX('HCW, Staff, Beds Summary'!$E$7:$E$270,MATCH($C94,'HCW, Staff, Beds Summary'!$C$7:$C$270,0))</f>
        <v>High income</v>
      </c>
      <c r="E94" s="423">
        <f>VLOOKUP($C94,'UNDP Population Data'!$D$6:$E$269,2,FALSE)</f>
        <v>126495647</v>
      </c>
      <c r="F94" s="558"/>
      <c r="G94" s="559">
        <v>2018</v>
      </c>
      <c r="H94" s="564">
        <v>121.53100000000001</v>
      </c>
      <c r="I94" s="565">
        <v>1545907</v>
      </c>
      <c r="J94" s="565">
        <v>1545907</v>
      </c>
      <c r="K94" s="565" t="s">
        <v>748</v>
      </c>
      <c r="L94" s="76"/>
      <c r="M94" s="565"/>
      <c r="N94" s="566"/>
      <c r="O94" s="566"/>
      <c r="P94" s="76"/>
      <c r="Q94" s="565">
        <v>2016</v>
      </c>
      <c r="R94" s="565">
        <v>308105</v>
      </c>
      <c r="S94" s="76"/>
      <c r="T94" s="567">
        <f>IFERROR(INDEX('UNDP Population Data'!$G$6:$G$223,MATCH($C94,'UNDP Population Data'!$D$6:$D$222,0))*100,0)</f>
        <v>-0.23226400170087702</v>
      </c>
      <c r="U94" s="420">
        <f t="shared" si="15"/>
        <v>1538734.1687159277</v>
      </c>
      <c r="V94" s="420">
        <f t="shared" si="11"/>
        <v>305252.48928129283</v>
      </c>
      <c r="W94" s="420">
        <f t="shared" si="16"/>
        <v>0</v>
      </c>
      <c r="X94" s="420">
        <f t="shared" si="17"/>
        <v>67476.51663064232</v>
      </c>
      <c r="Z94" s="424">
        <f t="shared" si="12"/>
        <v>12.164325059469657</v>
      </c>
      <c r="AA94" s="424">
        <f t="shared" si="13"/>
        <v>0</v>
      </c>
      <c r="AB94" s="424">
        <f t="shared" si="14"/>
        <v>2.4131461953097313</v>
      </c>
    </row>
    <row r="95" spans="2:28" x14ac:dyDescent="0.35">
      <c r="B95" s="557" t="s">
        <v>426</v>
      </c>
      <c r="C95" s="557" t="s">
        <v>67</v>
      </c>
      <c r="D95" s="568" t="str">
        <f>INDEX('HCW, Staff, Beds Summary'!$E$7:$E$270,MATCH($C95,'HCW, Staff, Beds Summary'!$C$7:$C$270,0))</f>
        <v>Upper middle income</v>
      </c>
      <c r="E95" s="423">
        <f>VLOOKUP($C95,'UNDP Population Data'!$D$6:$E$269,2,FALSE)</f>
        <v>10208662</v>
      </c>
      <c r="F95" s="558"/>
      <c r="G95" s="559">
        <v>2018</v>
      </c>
      <c r="H95" s="564">
        <v>28.212</v>
      </c>
      <c r="I95" s="565">
        <v>28114</v>
      </c>
      <c r="J95" s="565">
        <v>28114</v>
      </c>
      <c r="K95" s="565" t="s">
        <v>748</v>
      </c>
      <c r="L95" s="76"/>
      <c r="M95" s="565">
        <v>2004</v>
      </c>
      <c r="N95" s="566">
        <v>2000</v>
      </c>
      <c r="O95" s="566">
        <v>2350</v>
      </c>
      <c r="P95" s="76"/>
      <c r="Q95" s="565">
        <v>2017</v>
      </c>
      <c r="R95" s="565">
        <v>22739</v>
      </c>
      <c r="S95" s="76"/>
      <c r="T95" s="567">
        <f>IFERROR(INDEX('UNDP Population Data'!$G$6:$G$223,MATCH($C95,'UNDP Population Data'!$D$6:$D$222,0))*100,0)</f>
        <v>2.1930330954599064</v>
      </c>
      <c r="U95" s="420">
        <f t="shared" si="15"/>
        <v>29360.619779650387</v>
      </c>
      <c r="V95" s="420">
        <f t="shared" si="11"/>
        <v>24268.069462739939</v>
      </c>
      <c r="W95" s="420">
        <f t="shared" si="16"/>
        <v>6155.0258982300311</v>
      </c>
      <c r="X95" s="420">
        <f t="shared" si="17"/>
        <v>6155.0258982300311</v>
      </c>
      <c r="Z95" s="424">
        <f t="shared" si="12"/>
        <v>2.8760497486987409</v>
      </c>
      <c r="AA95" s="424">
        <f t="shared" si="13"/>
        <v>0.60292190085537467</v>
      </c>
      <c r="AB95" s="424">
        <f t="shared" si="14"/>
        <v>2.3772037376435757</v>
      </c>
    </row>
    <row r="96" spans="2:28" x14ac:dyDescent="0.35">
      <c r="B96" s="557" t="s">
        <v>427</v>
      </c>
      <c r="C96" s="557" t="s">
        <v>69</v>
      </c>
      <c r="D96" s="568" t="str">
        <f>INDEX('HCW, Staff, Beds Summary'!$E$7:$E$270,MATCH($C96,'HCW, Staff, Beds Summary'!$C$7:$C$270,0))</f>
        <v>Upper middle income</v>
      </c>
      <c r="E96" s="423">
        <f>VLOOKUP($C96,'UNDP Population Data'!$D$6:$E$269,2,FALSE)</f>
        <v>18777139</v>
      </c>
      <c r="F96" s="558"/>
      <c r="G96" s="559">
        <v>2015</v>
      </c>
      <c r="H96" s="564">
        <v>72.936000000000007</v>
      </c>
      <c r="I96" s="565">
        <v>128164</v>
      </c>
      <c r="J96" s="565">
        <v>118693</v>
      </c>
      <c r="K96" s="565">
        <v>9471</v>
      </c>
      <c r="L96" s="76"/>
      <c r="M96" s="565"/>
      <c r="N96" s="566"/>
      <c r="O96" s="566"/>
      <c r="P96" s="76"/>
      <c r="Q96" s="565">
        <v>2014</v>
      </c>
      <c r="R96" s="565">
        <v>68864</v>
      </c>
      <c r="S96" s="76"/>
      <c r="T96" s="567">
        <f>IFERROR(INDEX('UNDP Population Data'!$G$6:$G$223,MATCH($C96,'UNDP Population Data'!$D$6:$D$222,0))*100,0)</f>
        <v>1.1318461427342053</v>
      </c>
      <c r="U96" s="420">
        <f t="shared" si="15"/>
        <v>125563.8962151249</v>
      </c>
      <c r="V96" s="420">
        <f t="shared" si="11"/>
        <v>73674.951219575276</v>
      </c>
      <c r="W96" s="420">
        <f t="shared" si="16"/>
        <v>0</v>
      </c>
      <c r="X96" s="420">
        <f t="shared" si="17"/>
        <v>3998.7087180289946</v>
      </c>
      <c r="Z96" s="424">
        <f t="shared" si="12"/>
        <v>6.687062188500863</v>
      </c>
      <c r="AA96" s="424">
        <f t="shared" si="13"/>
        <v>0</v>
      </c>
      <c r="AB96" s="424">
        <f t="shared" si="14"/>
        <v>3.9236515860896208</v>
      </c>
    </row>
    <row r="97" spans="2:28" x14ac:dyDescent="0.35">
      <c r="B97" s="557" t="s">
        <v>199</v>
      </c>
      <c r="C97" s="557" t="s">
        <v>70</v>
      </c>
      <c r="D97" s="568" t="str">
        <f>INDEX('HCW, Staff, Beds Summary'!$E$7:$E$270,MATCH($C97,'HCW, Staff, Beds Summary'!$C$7:$C$270,0))</f>
        <v>Lower middle income</v>
      </c>
      <c r="E97" s="423">
        <f>VLOOKUP($C97,'UNDP Population Data'!$D$6:$E$269,2,FALSE)</f>
        <v>53491697</v>
      </c>
      <c r="F97" s="558"/>
      <c r="G97" s="559">
        <v>2018</v>
      </c>
      <c r="H97" s="564">
        <v>11.656000000000001</v>
      </c>
      <c r="I97" s="565">
        <v>59901</v>
      </c>
      <c r="J97" s="565">
        <v>59901</v>
      </c>
      <c r="K97" s="565" t="s">
        <v>748</v>
      </c>
      <c r="L97" s="76"/>
      <c r="M97" s="565">
        <v>2004</v>
      </c>
      <c r="N97" s="566">
        <v>6000</v>
      </c>
      <c r="O97" s="566"/>
      <c r="P97" s="76"/>
      <c r="Q97" s="565">
        <v>2018</v>
      </c>
      <c r="R97" s="565">
        <v>8042</v>
      </c>
      <c r="S97" s="76"/>
      <c r="T97" s="567">
        <f>IFERROR(INDEX('UNDP Population Data'!$G$6:$G$223,MATCH($C97,'UNDP Population Data'!$D$6:$D$222,0))*100,0)</f>
        <v>2.5184841756465737</v>
      </c>
      <c r="U97" s="420">
        <f t="shared" si="15"/>
        <v>62956.188194016817</v>
      </c>
      <c r="V97" s="420">
        <f t="shared" si="11"/>
        <v>8452.1738444480598</v>
      </c>
      <c r="W97" s="420">
        <f t="shared" si="16"/>
        <v>8932.7682859833112</v>
      </c>
      <c r="X97" s="420">
        <f t="shared" si="17"/>
        <v>8932.7682859833112</v>
      </c>
      <c r="Z97" s="424">
        <f t="shared" si="12"/>
        <v>1.1769338369283147</v>
      </c>
      <c r="AA97" s="424">
        <f t="shared" si="13"/>
        <v>0.16699354828812613</v>
      </c>
      <c r="AB97" s="424">
        <f t="shared" si="14"/>
        <v>0.15800908025871865</v>
      </c>
    </row>
    <row r="98" spans="2:28" x14ac:dyDescent="0.35">
      <c r="B98" s="557" t="s">
        <v>249</v>
      </c>
      <c r="C98" s="557" t="s">
        <v>73</v>
      </c>
      <c r="D98" s="568" t="str">
        <f>INDEX('HCW, Staff, Beds Summary'!$E$7:$E$270,MATCH($C98,'HCW, Staff, Beds Summary'!$C$7:$C$270,0))</f>
        <v>Lower middle income</v>
      </c>
      <c r="E98" s="423">
        <f>VLOOKUP($C98,'UNDP Population Data'!$D$6:$E$269,2,FALSE)</f>
        <v>122439</v>
      </c>
      <c r="F98" s="558"/>
      <c r="G98" s="559">
        <v>2018</v>
      </c>
      <c r="H98" s="564">
        <v>38.341999999999999</v>
      </c>
      <c r="I98" s="565">
        <v>444</v>
      </c>
      <c r="J98" s="565">
        <v>444</v>
      </c>
      <c r="K98" s="565" t="s">
        <v>748</v>
      </c>
      <c r="L98" s="76"/>
      <c r="M98" s="565">
        <v>2013</v>
      </c>
      <c r="N98" s="566"/>
      <c r="O98" s="566">
        <v>20</v>
      </c>
      <c r="P98" s="76"/>
      <c r="Q98" s="565">
        <v>2013</v>
      </c>
      <c r="R98" s="565">
        <v>22</v>
      </c>
      <c r="S98" s="76"/>
      <c r="T98" s="567">
        <f>IFERROR(INDEX('UNDP Population Data'!$G$6:$G$223,MATCH($C98,'UNDP Population Data'!$D$6:$D$222,0))*100,0)</f>
        <v>1.724434292154009</v>
      </c>
      <c r="U98" s="420">
        <f t="shared" si="15"/>
        <v>459.44500762340891</v>
      </c>
      <c r="V98" s="420">
        <f t="shared" si="11"/>
        <v>24.797029815816046</v>
      </c>
      <c r="W98" s="420">
        <f t="shared" si="16"/>
        <v>22.542754378014589</v>
      </c>
      <c r="X98" s="420">
        <f t="shared" si="17"/>
        <v>22.542754378014589</v>
      </c>
      <c r="Z98" s="424">
        <f t="shared" si="12"/>
        <v>3.7524400527888084</v>
      </c>
      <c r="AA98" s="424">
        <f t="shared" si="13"/>
        <v>0.18411416605831957</v>
      </c>
      <c r="AB98" s="424">
        <f t="shared" si="14"/>
        <v>0.20252558266415149</v>
      </c>
    </row>
    <row r="99" spans="2:28" x14ac:dyDescent="0.35">
      <c r="B99" s="557" t="s">
        <v>431</v>
      </c>
      <c r="C99" s="557" t="s">
        <v>75</v>
      </c>
      <c r="D99" s="568" t="str">
        <f>INDEX('HCW, Staff, Beds Summary'!$E$7:$E$270,MATCH($C99,'HCW, Staff, Beds Summary'!$C$7:$C$270,0))</f>
        <v>High income</v>
      </c>
      <c r="E99" s="423">
        <f>VLOOKUP($C99,'UNDP Population Data'!$D$6:$E$269,2,FALSE)</f>
        <v>4302875</v>
      </c>
      <c r="F99" s="558"/>
      <c r="G99" s="559">
        <v>2018</v>
      </c>
      <c r="H99" s="564">
        <v>74.144999999999996</v>
      </c>
      <c r="I99" s="565">
        <v>30676</v>
      </c>
      <c r="J99" s="565">
        <v>30676</v>
      </c>
      <c r="K99" s="565" t="s">
        <v>748</v>
      </c>
      <c r="L99" s="76"/>
      <c r="M99" s="565"/>
      <c r="N99" s="566"/>
      <c r="O99" s="566"/>
      <c r="P99" s="76"/>
      <c r="Q99" s="565">
        <v>2015</v>
      </c>
      <c r="R99" s="565">
        <v>10150</v>
      </c>
      <c r="S99" s="76"/>
      <c r="T99" s="567">
        <f>IFERROR(INDEX('UNDP Population Data'!$G$6:$G$223,MATCH($C99,'UNDP Population Data'!$D$6:$D$222,0))*100,0)</f>
        <v>1.7994130813359099</v>
      </c>
      <c r="U99" s="420">
        <f t="shared" si="15"/>
        <v>31789.908457163812</v>
      </c>
      <c r="V99" s="420">
        <f t="shared" si="11"/>
        <v>11096.663405147721</v>
      </c>
      <c r="W99" s="420">
        <f t="shared" si="16"/>
        <v>0</v>
      </c>
      <c r="X99" s="420">
        <f t="shared" si="17"/>
        <v>2295.2806944975355</v>
      </c>
      <c r="Z99" s="424">
        <f t="shared" si="12"/>
        <v>7.3880622739828166</v>
      </c>
      <c r="AA99" s="424">
        <f t="shared" si="13"/>
        <v>0</v>
      </c>
      <c r="AB99" s="424">
        <f t="shared" si="14"/>
        <v>2.5788951352636835</v>
      </c>
    </row>
    <row r="100" spans="2:28" ht="15.75" customHeight="1" x14ac:dyDescent="0.35">
      <c r="B100" s="557" t="s">
        <v>1099</v>
      </c>
      <c r="C100" s="557" t="s">
        <v>71</v>
      </c>
      <c r="D100" s="568" t="str">
        <f>INDEX('HCW, Staff, Beds Summary'!$E$7:$E$270,MATCH($C100,'HCW, Staff, Beds Summary'!$C$7:$C$270,0))</f>
        <v>Lower middle income</v>
      </c>
      <c r="E100" s="423">
        <f>VLOOKUP($C100,'UNDP Population Data'!$D$6:$E$269,2,FALSE)</f>
        <v>6301718</v>
      </c>
      <c r="F100" s="558"/>
      <c r="G100" s="559">
        <v>2014</v>
      </c>
      <c r="H100" s="564">
        <v>59.445</v>
      </c>
      <c r="I100" s="565">
        <v>34743</v>
      </c>
      <c r="J100" s="565">
        <v>32440</v>
      </c>
      <c r="K100" s="565">
        <v>2303</v>
      </c>
      <c r="L100" s="76"/>
      <c r="M100" s="565"/>
      <c r="N100" s="566"/>
      <c r="O100" s="566"/>
      <c r="P100" s="76"/>
      <c r="Q100" s="565">
        <v>2014</v>
      </c>
      <c r="R100" s="565">
        <v>12934</v>
      </c>
      <c r="S100" s="76"/>
      <c r="T100" s="567">
        <f>IFERROR(INDEX('UNDP Population Data'!$G$6:$G$223,MATCH($C100,'UNDP Population Data'!$D$6:$D$222,0))*100,0)</f>
        <v>1.4453748325704785</v>
      </c>
      <c r="U100" s="420">
        <f t="shared" si="15"/>
        <v>35356.914029913096</v>
      </c>
      <c r="V100" s="420">
        <f t="shared" si="11"/>
        <v>14096.989089485078</v>
      </c>
      <c r="W100" s="420">
        <f t="shared" si="16"/>
        <v>0</v>
      </c>
      <c r="X100" s="420">
        <f t="shared" si="17"/>
        <v>1622.9375070943493</v>
      </c>
      <c r="Z100" s="424">
        <f t="shared" si="12"/>
        <v>5.6106785530411072</v>
      </c>
      <c r="AA100" s="424">
        <f t="shared" si="13"/>
        <v>0</v>
      </c>
      <c r="AB100" s="424">
        <f t="shared" si="14"/>
        <v>2.2370072874547984</v>
      </c>
    </row>
    <row r="101" spans="2:28" ht="29" x14ac:dyDescent="0.35">
      <c r="B101" s="557" t="s">
        <v>1134</v>
      </c>
      <c r="C101" s="557" t="s">
        <v>76</v>
      </c>
      <c r="D101" s="568" t="str">
        <f>INDEX('HCW, Staff, Beds Summary'!$E$7:$E$270,MATCH($C101,'HCW, Staff, Beds Summary'!$C$7:$C$270,0))</f>
        <v>Lower middle income</v>
      </c>
      <c r="E101" s="423">
        <f>VLOOKUP($C101,'UNDP Population Data'!$D$6:$E$269,2,FALSE)</f>
        <v>7164822</v>
      </c>
      <c r="F101" s="558"/>
      <c r="G101" s="559">
        <v>2018</v>
      </c>
      <c r="H101" s="564">
        <v>9.5220000000000002</v>
      </c>
      <c r="I101" s="565">
        <v>6724</v>
      </c>
      <c r="J101" s="565">
        <v>6724</v>
      </c>
      <c r="K101" s="565" t="s">
        <v>748</v>
      </c>
      <c r="L101" s="76"/>
      <c r="M101" s="565">
        <v>2014</v>
      </c>
      <c r="N101" s="566">
        <v>636</v>
      </c>
      <c r="O101" s="566"/>
      <c r="P101" s="76"/>
      <c r="Q101" s="565">
        <v>2017</v>
      </c>
      <c r="R101" s="565">
        <v>2591</v>
      </c>
      <c r="S101" s="76"/>
      <c r="T101" s="567">
        <f>IFERROR(INDEX('UNDP Population Data'!$G$6:$G$223,MATCH($C101,'UNDP Population Data'!$D$6:$D$222,0))*100,0)</f>
        <v>1.4599195292863465</v>
      </c>
      <c r="U101" s="420">
        <f t="shared" si="15"/>
        <v>6921.7631081459394</v>
      </c>
      <c r="V101" s="420">
        <f t="shared" si="11"/>
        <v>2706.1443172619306</v>
      </c>
      <c r="W101" s="420">
        <f t="shared" si="16"/>
        <v>693.78386721485242</v>
      </c>
      <c r="X101" s="420">
        <f t="shared" si="17"/>
        <v>693.78386721485242</v>
      </c>
      <c r="Z101" s="424">
        <f t="shared" si="12"/>
        <v>0.96607607392702011</v>
      </c>
      <c r="AA101" s="424">
        <f t="shared" si="13"/>
        <v>9.6831975339352797E-2</v>
      </c>
      <c r="AB101" s="424">
        <f t="shared" si="14"/>
        <v>0.37769875054285101</v>
      </c>
    </row>
    <row r="102" spans="2:28" x14ac:dyDescent="0.35">
      <c r="B102" s="557" t="s">
        <v>442</v>
      </c>
      <c r="C102" s="557" t="s">
        <v>84</v>
      </c>
      <c r="D102" s="568" t="str">
        <f>INDEX('HCW, Staff, Beds Summary'!$E$7:$E$270,MATCH($C102,'HCW, Staff, Beds Summary'!$C$7:$C$270,0))</f>
        <v>High income</v>
      </c>
      <c r="E102" s="423">
        <f>VLOOKUP($C102,'UNDP Population Data'!$D$6:$E$269,2,FALSE)</f>
        <v>1892993</v>
      </c>
      <c r="F102" s="558"/>
      <c r="G102" s="559">
        <v>2017</v>
      </c>
      <c r="H102" s="564">
        <v>47.517000000000003</v>
      </c>
      <c r="I102" s="565">
        <v>9271</v>
      </c>
      <c r="J102" s="565">
        <v>8872</v>
      </c>
      <c r="K102" s="565">
        <v>399</v>
      </c>
      <c r="L102" s="76"/>
      <c r="M102" s="565"/>
      <c r="N102" s="566"/>
      <c r="O102" s="566"/>
      <c r="P102" s="76"/>
      <c r="Q102" s="565">
        <v>2017</v>
      </c>
      <c r="R102" s="565">
        <v>6225</v>
      </c>
      <c r="S102" s="76"/>
      <c r="T102" s="567">
        <f>IFERROR(INDEX('UNDP Population Data'!$G$6:$G$223,MATCH($C102,'UNDP Population Data'!$D$6:$D$222,0))*100,0)</f>
        <v>-1.0210071837546408</v>
      </c>
      <c r="U102" s="420">
        <f t="shared" si="15"/>
        <v>8603.0138850260792</v>
      </c>
      <c r="V102" s="420">
        <f t="shared" si="11"/>
        <v>6036.2670687880227</v>
      </c>
      <c r="W102" s="420">
        <f t="shared" si="16"/>
        <v>0</v>
      </c>
      <c r="X102" s="420">
        <f t="shared" si="17"/>
        <v>1009.7784127400804</v>
      </c>
      <c r="Z102" s="424">
        <f t="shared" si="12"/>
        <v>4.5446622808568655</v>
      </c>
      <c r="AA102" s="424">
        <f t="shared" si="13"/>
        <v>0</v>
      </c>
      <c r="AB102" s="424">
        <f t="shared" si="14"/>
        <v>3.1887424141494569</v>
      </c>
    </row>
    <row r="103" spans="2:28" x14ac:dyDescent="0.35">
      <c r="B103" s="557" t="s">
        <v>445</v>
      </c>
      <c r="C103" s="557" t="s">
        <v>77</v>
      </c>
      <c r="D103" s="568" t="str">
        <f>INDEX('HCW, Staff, Beds Summary'!$E$7:$E$270,MATCH($C103,'HCW, Staff, Beds Summary'!$C$7:$C$270,0))</f>
        <v>Upper middle income</v>
      </c>
      <c r="E103" s="423">
        <f>VLOOKUP($C103,'UNDP Population Data'!$D$6:$E$269,2,FALSE)</f>
        <v>6019795</v>
      </c>
      <c r="F103" s="558"/>
      <c r="G103" s="559">
        <v>2018</v>
      </c>
      <c r="H103" s="564">
        <v>16.734999999999999</v>
      </c>
      <c r="I103" s="565">
        <v>11479</v>
      </c>
      <c r="J103" s="565">
        <v>10379</v>
      </c>
      <c r="K103" s="565">
        <v>1100</v>
      </c>
      <c r="L103" s="76"/>
      <c r="M103" s="565">
        <v>2005</v>
      </c>
      <c r="N103" s="566">
        <v>535</v>
      </c>
      <c r="O103" s="566"/>
      <c r="P103" s="76"/>
      <c r="Q103" s="565">
        <v>2018</v>
      </c>
      <c r="R103" s="565">
        <v>14431</v>
      </c>
      <c r="S103" s="76"/>
      <c r="T103" s="567">
        <f>IFERROR(INDEX('UNDP Population Data'!$G$6:$G$223,MATCH($C103,'UNDP Population Data'!$D$6:$D$222,0))*100,0)</f>
        <v>0.56878659890040595</v>
      </c>
      <c r="U103" s="420">
        <f t="shared" si="15"/>
        <v>10497.404501734429</v>
      </c>
      <c r="V103" s="420">
        <f t="shared" si="11"/>
        <v>14595.630057281967</v>
      </c>
      <c r="W103" s="420">
        <f t="shared" si="16"/>
        <v>582.508055332769</v>
      </c>
      <c r="X103" s="420">
        <f t="shared" si="17"/>
        <v>582.508055332769</v>
      </c>
      <c r="Z103" s="424">
        <f t="shared" si="12"/>
        <v>1.743814283000406</v>
      </c>
      <c r="AA103" s="424">
        <f t="shared" si="13"/>
        <v>9.6765430605655012E-2</v>
      </c>
      <c r="AB103" s="424">
        <f t="shared" si="14"/>
        <v>2.4246058308101799</v>
      </c>
    </row>
    <row r="104" spans="2:28" x14ac:dyDescent="0.35">
      <c r="B104" s="557" t="s">
        <v>200</v>
      </c>
      <c r="C104" s="557" t="s">
        <v>167</v>
      </c>
      <c r="D104" s="568" t="str">
        <f>INDEX('HCW, Staff, Beds Summary'!$E$7:$E$270,MATCH($C104,'HCW, Staff, Beds Summary'!$C$7:$C$270,0))</f>
        <v>Lower middle income</v>
      </c>
      <c r="E104" s="423">
        <f>VLOOKUP($C104,'UNDP Population Data'!$D$6:$E$269,2,FALSE)</f>
        <v>2322217</v>
      </c>
      <c r="F104" s="558"/>
      <c r="G104" s="559">
        <v>2018</v>
      </c>
      <c r="H104" s="564">
        <v>32.567</v>
      </c>
      <c r="I104" s="565">
        <v>6866</v>
      </c>
      <c r="J104" s="565">
        <v>6866</v>
      </c>
      <c r="K104" s="565" t="s">
        <v>748</v>
      </c>
      <c r="L104" s="76"/>
      <c r="M104" s="565">
        <v>2003</v>
      </c>
      <c r="N104" s="566"/>
      <c r="O104" s="566">
        <v>73</v>
      </c>
      <c r="P104" s="76"/>
      <c r="Q104" s="565">
        <v>2010</v>
      </c>
      <c r="R104" s="565">
        <v>138</v>
      </c>
      <c r="S104" s="76"/>
      <c r="T104" s="567">
        <f>IFERROR(INDEX('UNDP Population Data'!$G$6:$G$223,MATCH($C104,'UNDP Population Data'!$D$6:$D$222,0))*100,0)</f>
        <v>1.3217975193328346</v>
      </c>
      <c r="U104" s="420">
        <f t="shared" si="15"/>
        <v>7048.7088276399245</v>
      </c>
      <c r="V104" s="420">
        <f t="shared" ref="V104:V135" si="18">IFERROR(R104*(1+$T104/100)^(2020-$Q104),R104)</f>
        <v>157.36492718809393</v>
      </c>
      <c r="W104" s="420">
        <f t="shared" si="16"/>
        <v>91.258204536376837</v>
      </c>
      <c r="X104" s="420">
        <f t="shared" si="17"/>
        <v>91.258204536376837</v>
      </c>
      <c r="Z104" s="424">
        <f t="shared" ref="Z104:Z135" si="19">IFERROR(U104/E104*1000,0)</f>
        <v>3.0353359861029028</v>
      </c>
      <c r="AA104" s="424">
        <f t="shared" ref="AA104:AA135" si="20">IFERROR(W104/E104*1000,0)</f>
        <v>3.9297879800370437E-2</v>
      </c>
      <c r="AB104" s="424">
        <f t="shared" ref="AB104:AB135" si="21">IFERROR(V104/E104*1000,0)</f>
        <v>6.7764953571562828E-2</v>
      </c>
    </row>
    <row r="105" spans="2:28" x14ac:dyDescent="0.35">
      <c r="B105" s="557" t="s">
        <v>201</v>
      </c>
      <c r="C105" s="557" t="s">
        <v>78</v>
      </c>
      <c r="D105" s="568" t="str">
        <f>INDEX('HCW, Staff, Beds Summary'!$E$7:$E$270,MATCH($C105,'HCW, Staff, Beds Summary'!$C$7:$C$270,0))</f>
        <v>Low income</v>
      </c>
      <c r="E105" s="423">
        <f>VLOOKUP($C105,'UNDP Population Data'!$D$6:$E$269,2,FALSE)</f>
        <v>5103853</v>
      </c>
      <c r="F105" s="558"/>
      <c r="G105" s="559">
        <v>2018</v>
      </c>
      <c r="H105" s="564">
        <v>5.3209999999999997</v>
      </c>
      <c r="I105" s="565">
        <v>2564</v>
      </c>
      <c r="J105" s="565">
        <v>2564</v>
      </c>
      <c r="K105" s="565" t="s">
        <v>748</v>
      </c>
      <c r="L105" s="76"/>
      <c r="M105" s="565">
        <v>2010</v>
      </c>
      <c r="N105" s="566"/>
      <c r="O105" s="566">
        <v>376</v>
      </c>
      <c r="P105" s="76"/>
      <c r="Q105" s="565">
        <v>2015</v>
      </c>
      <c r="R105" s="565">
        <v>168</v>
      </c>
      <c r="S105" s="76"/>
      <c r="T105" s="567">
        <f>IFERROR(INDEX('UNDP Population Data'!$G$6:$G$223,MATCH($C105,'UNDP Population Data'!$D$6:$D$222,0))*100,0)</f>
        <v>2.5520731928534213</v>
      </c>
      <c r="U105" s="420">
        <f t="shared" si="15"/>
        <v>2696.5402664214662</v>
      </c>
      <c r="V105" s="420">
        <f t="shared" si="18"/>
        <v>190.55989471113222</v>
      </c>
      <c r="W105" s="420">
        <f t="shared" si="16"/>
        <v>483.76260011307716</v>
      </c>
      <c r="X105" s="420">
        <f t="shared" si="17"/>
        <v>483.76260011307716</v>
      </c>
      <c r="Z105" s="424">
        <f t="shared" si="19"/>
        <v>0.5283342342386167</v>
      </c>
      <c r="AA105" s="424">
        <f t="shared" si="20"/>
        <v>9.4783803552546911E-2</v>
      </c>
      <c r="AB105" s="424">
        <f t="shared" si="21"/>
        <v>3.7336477894471531E-2</v>
      </c>
    </row>
    <row r="106" spans="2:28" x14ac:dyDescent="0.35">
      <c r="B106" s="557" t="s">
        <v>446</v>
      </c>
      <c r="C106" s="557" t="s">
        <v>79</v>
      </c>
      <c r="D106" s="568" t="str">
        <f>INDEX('HCW, Staff, Beds Summary'!$E$7:$E$270,MATCH($C106,'HCW, Staff, Beds Summary'!$C$7:$C$270,0))</f>
        <v>Upper middle income</v>
      </c>
      <c r="E106" s="423">
        <f>VLOOKUP($C106,'UNDP Population Data'!$D$6:$E$269,2,FALSE)</f>
        <v>6662173</v>
      </c>
      <c r="F106" s="558"/>
      <c r="G106" s="559">
        <v>2017</v>
      </c>
      <c r="H106" s="564">
        <v>65.305000000000007</v>
      </c>
      <c r="I106" s="565">
        <v>42975</v>
      </c>
      <c r="J106" s="565">
        <v>41934</v>
      </c>
      <c r="K106" s="565">
        <v>1041</v>
      </c>
      <c r="L106" s="76"/>
      <c r="M106" s="565"/>
      <c r="N106" s="566"/>
      <c r="O106" s="566"/>
      <c r="P106" s="76"/>
      <c r="Q106" s="565">
        <v>2017</v>
      </c>
      <c r="R106" s="565">
        <v>13757</v>
      </c>
      <c r="S106" s="76"/>
      <c r="T106" s="567">
        <f>IFERROR(INDEX('UNDP Population Data'!$G$6:$G$223,MATCH($C106,'UNDP Population Data'!$D$6:$D$222,0))*100,0)</f>
        <v>1.334310436149333</v>
      </c>
      <c r="U106" s="420">
        <f t="shared" si="15"/>
        <v>43635.086423757253</v>
      </c>
      <c r="V106" s="420">
        <f t="shared" si="18"/>
        <v>14315.063765241295</v>
      </c>
      <c r="W106" s="420">
        <f t="shared" si="16"/>
        <v>0</v>
      </c>
      <c r="X106" s="420">
        <f t="shared" si="17"/>
        <v>1418.7512408635514</v>
      </c>
      <c r="Z106" s="424">
        <f t="shared" si="19"/>
        <v>6.5496777738670628</v>
      </c>
      <c r="AA106" s="424">
        <f t="shared" si="20"/>
        <v>0</v>
      </c>
      <c r="AB106" s="424">
        <f t="shared" si="21"/>
        <v>2.1487079013470973</v>
      </c>
    </row>
    <row r="107" spans="2:28" x14ac:dyDescent="0.35">
      <c r="B107" s="557" t="s">
        <v>449</v>
      </c>
      <c r="C107" s="557" t="s">
        <v>82</v>
      </c>
      <c r="D107" s="568" t="str">
        <f>INDEX('HCW, Staff, Beds Summary'!$E$7:$E$270,MATCH($C107,'HCW, Staff, Beds Summary'!$C$7:$C$270,0))</f>
        <v>High income</v>
      </c>
      <c r="E107" s="423">
        <f>VLOOKUP($C107,'UNDP Population Data'!$D$6:$E$269,2,FALSE)</f>
        <v>2852478</v>
      </c>
      <c r="F107" s="558"/>
      <c r="G107" s="559">
        <v>2018</v>
      </c>
      <c r="H107" s="564">
        <v>98.471999999999994</v>
      </c>
      <c r="I107" s="565">
        <v>27585</v>
      </c>
      <c r="J107" s="565">
        <v>26438</v>
      </c>
      <c r="K107" s="565">
        <v>1147</v>
      </c>
      <c r="L107" s="76"/>
      <c r="M107" s="565"/>
      <c r="N107" s="566"/>
      <c r="O107" s="566"/>
      <c r="P107" s="76"/>
      <c r="Q107" s="565">
        <v>2018</v>
      </c>
      <c r="R107" s="565">
        <v>17796</v>
      </c>
      <c r="S107" s="76"/>
      <c r="T107" s="567">
        <f>IFERROR(INDEX('UNDP Population Data'!$G$6:$G$223,MATCH($C107,'UNDP Population Data'!$D$6:$D$222,0))*100,0)</f>
        <v>-0.54792249423425421</v>
      </c>
      <c r="U107" s="420">
        <f t="shared" si="15"/>
        <v>26149.074221098697</v>
      </c>
      <c r="V107" s="420">
        <f t="shared" si="18"/>
        <v>17601.517695690764</v>
      </c>
      <c r="W107" s="420">
        <f t="shared" si="16"/>
        <v>0</v>
      </c>
      <c r="X107" s="420">
        <f t="shared" si="17"/>
        <v>1521.596068879282</v>
      </c>
      <c r="Z107" s="424">
        <f t="shared" si="19"/>
        <v>9.1671431720415359</v>
      </c>
      <c r="AA107" s="424">
        <f t="shared" si="20"/>
        <v>0</v>
      </c>
      <c r="AB107" s="424">
        <f t="shared" si="21"/>
        <v>6.1706059418129655</v>
      </c>
    </row>
    <row r="108" spans="2:28" x14ac:dyDescent="0.35">
      <c r="B108" s="557" t="s">
        <v>456</v>
      </c>
      <c r="C108" s="557" t="s">
        <v>83</v>
      </c>
      <c r="D108" s="568" t="str">
        <f>INDEX('HCW, Staff, Beds Summary'!$E$7:$E$270,MATCH($C108,'HCW, Staff, Beds Summary'!$C$7:$C$270,0))</f>
        <v>High income</v>
      </c>
      <c r="E108" s="423">
        <f>VLOOKUP($C108,'UNDP Population Data'!$D$6:$E$269,2,FALSE)</f>
        <v>603944</v>
      </c>
      <c r="F108" s="558"/>
      <c r="G108" s="559">
        <v>2017</v>
      </c>
      <c r="H108" s="564">
        <v>121.744</v>
      </c>
      <c r="I108" s="565">
        <v>7206</v>
      </c>
      <c r="J108" s="565">
        <v>6992</v>
      </c>
      <c r="K108" s="565">
        <v>214</v>
      </c>
      <c r="L108" s="76"/>
      <c r="M108" s="565"/>
      <c r="N108" s="566"/>
      <c r="O108" s="566"/>
      <c r="P108" s="76"/>
      <c r="Q108" s="565">
        <v>2017</v>
      </c>
      <c r="R108" s="565">
        <v>1781</v>
      </c>
      <c r="S108" s="76"/>
      <c r="T108" s="567">
        <f>IFERROR(INDEX('UNDP Population Data'!$G$6:$G$223,MATCH($C108,'UNDP Population Data'!$D$6:$D$222,0))*100,0)</f>
        <v>1.2797003559049891</v>
      </c>
      <c r="U108" s="420">
        <f t="shared" si="15"/>
        <v>7263.879698628627</v>
      </c>
      <c r="V108" s="420">
        <f t="shared" si="18"/>
        <v>1850.2531097336364</v>
      </c>
      <c r="W108" s="420">
        <f t="shared" si="16"/>
        <v>0</v>
      </c>
      <c r="X108" s="420">
        <f t="shared" si="17"/>
        <v>322.16157888798062</v>
      </c>
      <c r="Z108" s="424">
        <f t="shared" si="19"/>
        <v>12.027406015505786</v>
      </c>
      <c r="AA108" s="424">
        <f t="shared" si="20"/>
        <v>0</v>
      </c>
      <c r="AB108" s="424">
        <f t="shared" si="21"/>
        <v>3.0636170070960822</v>
      </c>
    </row>
    <row r="109" spans="2:28" x14ac:dyDescent="0.35">
      <c r="B109" s="557" t="s">
        <v>202</v>
      </c>
      <c r="C109" s="557" t="s">
        <v>88</v>
      </c>
      <c r="D109" s="568" t="str">
        <f>INDEX('HCW, Staff, Beds Summary'!$E$7:$E$270,MATCH($C109,'HCW, Staff, Beds Summary'!$C$7:$C$270,0))</f>
        <v>Low income</v>
      </c>
      <c r="E109" s="423">
        <f>VLOOKUP($C109,'UNDP Population Data'!$D$6:$E$269,2,FALSE)</f>
        <v>27690798</v>
      </c>
      <c r="F109" s="558"/>
      <c r="G109" s="559">
        <v>2018</v>
      </c>
      <c r="H109" s="564">
        <v>1.46</v>
      </c>
      <c r="I109" s="565">
        <v>3833</v>
      </c>
      <c r="J109" s="565">
        <v>3833</v>
      </c>
      <c r="K109" s="565" t="s">
        <v>748</v>
      </c>
      <c r="L109" s="76"/>
      <c r="M109" s="565"/>
      <c r="N109" s="566"/>
      <c r="O109" s="566"/>
      <c r="P109" s="76"/>
      <c r="Q109" s="565">
        <v>2014</v>
      </c>
      <c r="R109" s="565">
        <v>4275</v>
      </c>
      <c r="S109" s="76"/>
      <c r="T109" s="567">
        <f>IFERROR(INDEX('UNDP Population Data'!$G$6:$G$223,MATCH($C109,'UNDP Population Data'!$D$6:$D$222,0))*100,0)</f>
        <v>2.7026756582183564</v>
      </c>
      <c r="U109" s="420">
        <f t="shared" si="15"/>
        <v>4042.9869138340136</v>
      </c>
      <c r="V109" s="420">
        <f t="shared" si="18"/>
        <v>5016.7986187124361</v>
      </c>
      <c r="W109" s="420">
        <f t="shared" si="16"/>
        <v>0</v>
      </c>
      <c r="X109" s="420">
        <f t="shared" si="17"/>
        <v>2627.7512852017098</v>
      </c>
      <c r="Z109" s="424">
        <f t="shared" si="19"/>
        <v>0.14600470935630003</v>
      </c>
      <c r="AA109" s="424">
        <f t="shared" si="20"/>
        <v>0</v>
      </c>
      <c r="AB109" s="424">
        <f t="shared" si="21"/>
        <v>0.18117204923861119</v>
      </c>
    </row>
    <row r="110" spans="2:28" x14ac:dyDescent="0.35">
      <c r="B110" s="557" t="s">
        <v>203</v>
      </c>
      <c r="C110" s="557" t="s">
        <v>100</v>
      </c>
      <c r="D110" s="568" t="str">
        <f>INDEX('HCW, Staff, Beds Summary'!$E$7:$E$270,MATCH($C110,'HCW, Staff, Beds Summary'!$C$7:$C$270,0))</f>
        <v>Low income</v>
      </c>
      <c r="E110" s="423">
        <f>VLOOKUP($C110,'UNDP Population Data'!$D$6:$E$269,2,FALSE)</f>
        <v>20283691</v>
      </c>
      <c r="F110" s="558"/>
      <c r="G110" s="559">
        <v>2018</v>
      </c>
      <c r="H110" s="564">
        <v>4.3860000000000001</v>
      </c>
      <c r="I110" s="565">
        <v>7957</v>
      </c>
      <c r="J110" s="565">
        <v>7957</v>
      </c>
      <c r="K110" s="565" t="s">
        <v>748</v>
      </c>
      <c r="L110" s="76"/>
      <c r="M110" s="565">
        <v>2016</v>
      </c>
      <c r="N110" s="566"/>
      <c r="O110" s="566">
        <v>397</v>
      </c>
      <c r="P110" s="76"/>
      <c r="Q110" s="565">
        <v>2018</v>
      </c>
      <c r="R110" s="565">
        <v>649</v>
      </c>
      <c r="S110" s="76"/>
      <c r="T110" s="567">
        <f>IFERROR(INDEX('UNDP Population Data'!$G$6:$G$223,MATCH($C110,'UNDP Population Data'!$D$6:$D$222,0))*100,0)</f>
        <v>2.9099139794801498</v>
      </c>
      <c r="U110" s="420">
        <f t="shared" si="15"/>
        <v>8426.821379511568</v>
      </c>
      <c r="V110" s="420">
        <f t="shared" si="18"/>
        <v>687.32023065263388</v>
      </c>
      <c r="W110" s="420">
        <f t="shared" si="16"/>
        <v>445.26582911095358</v>
      </c>
      <c r="X110" s="420">
        <f t="shared" si="17"/>
        <v>445.26582911095358</v>
      </c>
      <c r="Z110" s="424">
        <f t="shared" si="19"/>
        <v>0.41544812428426209</v>
      </c>
      <c r="AA110" s="424">
        <f t="shared" si="20"/>
        <v>2.1951913441737678E-2</v>
      </c>
      <c r="AB110" s="424">
        <f t="shared" si="21"/>
        <v>3.3885362908192294E-2</v>
      </c>
    </row>
    <row r="111" spans="2:28" x14ac:dyDescent="0.35">
      <c r="B111" s="557" t="s">
        <v>459</v>
      </c>
      <c r="C111" s="557" t="s">
        <v>101</v>
      </c>
      <c r="D111" s="568" t="str">
        <f>INDEX('HCW, Staff, Beds Summary'!$E$7:$E$270,MATCH($C111,'HCW, Staff, Beds Summary'!$C$7:$C$270,0))</f>
        <v>Upper middle income</v>
      </c>
      <c r="E111" s="423">
        <f>VLOOKUP($C111,'UNDP Population Data'!$D$6:$E$269,2,FALSE)</f>
        <v>32869322.999999996</v>
      </c>
      <c r="F111" s="558"/>
      <c r="G111" s="559">
        <v>2017</v>
      </c>
      <c r="H111" s="564">
        <v>34.676000000000002</v>
      </c>
      <c r="I111" s="565">
        <v>107858</v>
      </c>
      <c r="J111" s="565">
        <v>107858</v>
      </c>
      <c r="K111" s="565" t="s">
        <v>748</v>
      </c>
      <c r="L111" s="76"/>
      <c r="M111" s="565">
        <v>2015</v>
      </c>
      <c r="N111" s="566"/>
      <c r="O111" s="566">
        <v>6324</v>
      </c>
      <c r="P111" s="76"/>
      <c r="Q111" s="565">
        <v>2015</v>
      </c>
      <c r="R111" s="565">
        <v>46491</v>
      </c>
      <c r="S111" s="76"/>
      <c r="T111" s="567">
        <f>IFERROR(INDEX('UNDP Population Data'!$G$6:$G$223,MATCH($C111,'UNDP Population Data'!$D$6:$D$222,0))*100,0)</f>
        <v>1.3596236758058655</v>
      </c>
      <c r="U111" s="420">
        <f t="shared" si="15"/>
        <v>112317.47493017351</v>
      </c>
      <c r="V111" s="420">
        <f t="shared" si="18"/>
        <v>49738.631842758303</v>
      </c>
      <c r="W111" s="420">
        <f t="shared" si="16"/>
        <v>6765.7634332151065</v>
      </c>
      <c r="X111" s="420">
        <f t="shared" si="17"/>
        <v>6765.7634332151065</v>
      </c>
      <c r="Z111" s="424">
        <f t="shared" si="19"/>
        <v>3.4170912169433341</v>
      </c>
      <c r="AA111" s="424">
        <f t="shared" si="20"/>
        <v>0.20583823503803556</v>
      </c>
      <c r="AB111" s="424">
        <f t="shared" si="21"/>
        <v>1.5132234954385373</v>
      </c>
    </row>
    <row r="112" spans="2:28" x14ac:dyDescent="0.35">
      <c r="B112" s="557" t="s">
        <v>243</v>
      </c>
      <c r="C112" s="557" t="s">
        <v>89</v>
      </c>
      <c r="D112" s="568" t="str">
        <f>INDEX('HCW, Staff, Beds Summary'!$E$7:$E$270,MATCH($C112,'HCW, Staff, Beds Summary'!$C$7:$C$270,0))</f>
        <v>Upper middle income</v>
      </c>
      <c r="E112" s="423">
        <f>VLOOKUP($C112,'UNDP Population Data'!$D$6:$E$269,2,FALSE)</f>
        <v>458909</v>
      </c>
      <c r="F112" s="558"/>
      <c r="G112" s="559">
        <v>2018</v>
      </c>
      <c r="H112" s="564">
        <v>64.281999999999996</v>
      </c>
      <c r="I112" s="565">
        <v>3315</v>
      </c>
      <c r="J112" s="565">
        <v>3315</v>
      </c>
      <c r="K112" s="565" t="s">
        <v>748</v>
      </c>
      <c r="L112" s="76"/>
      <c r="M112" s="565">
        <v>2018</v>
      </c>
      <c r="N112" s="566">
        <v>241</v>
      </c>
      <c r="O112" s="566">
        <v>2</v>
      </c>
      <c r="P112" s="76"/>
      <c r="Q112" s="565">
        <v>2018</v>
      </c>
      <c r="R112" s="565">
        <v>2353</v>
      </c>
      <c r="S112" s="76"/>
      <c r="T112" s="567">
        <f>IFERROR(INDEX('UNDP Population Data'!$G$6:$G$223,MATCH($C112,'UNDP Population Data'!$D$6:$D$222,0))*100,0)</f>
        <v>1.8653207570599406</v>
      </c>
      <c r="U112" s="420">
        <f t="shared" si="15"/>
        <v>3439.8241944291817</v>
      </c>
      <c r="V112" s="420">
        <f t="shared" si="18"/>
        <v>2441.6007027124779</v>
      </c>
      <c r="W112" s="420">
        <f t="shared" si="16"/>
        <v>252.1500088224106</v>
      </c>
      <c r="X112" s="420">
        <f t="shared" si="17"/>
        <v>252.1500088224106</v>
      </c>
      <c r="Z112" s="424">
        <f t="shared" si="19"/>
        <v>7.4956564251936255</v>
      </c>
      <c r="AA112" s="424">
        <f t="shared" si="20"/>
        <v>0.5494553578648721</v>
      </c>
      <c r="AB112" s="424">
        <f t="shared" si="21"/>
        <v>5.3204463253335152</v>
      </c>
    </row>
    <row r="113" spans="2:28" x14ac:dyDescent="0.35">
      <c r="B113" s="557" t="s">
        <v>204</v>
      </c>
      <c r="C113" s="557" t="s">
        <v>92</v>
      </c>
      <c r="D113" s="568" t="str">
        <f>INDEX('HCW, Staff, Beds Summary'!$E$7:$E$270,MATCH($C113,'HCW, Staff, Beds Summary'!$C$7:$C$270,0))</f>
        <v>Low income</v>
      </c>
      <c r="E113" s="423">
        <f>VLOOKUP($C113,'UNDP Population Data'!$D$6:$E$269,2,FALSE)</f>
        <v>20284180</v>
      </c>
      <c r="F113" s="558"/>
      <c r="G113" s="559">
        <v>2018</v>
      </c>
      <c r="H113" s="564">
        <v>3.585</v>
      </c>
      <c r="I113" s="565">
        <v>6840</v>
      </c>
      <c r="J113" s="565">
        <v>5174</v>
      </c>
      <c r="K113" s="565">
        <v>1666</v>
      </c>
      <c r="L113" s="76"/>
      <c r="M113" s="565">
        <v>2010</v>
      </c>
      <c r="N113" s="566">
        <v>28</v>
      </c>
      <c r="O113" s="566">
        <v>398</v>
      </c>
      <c r="P113" s="76"/>
      <c r="Q113" s="565">
        <v>2018</v>
      </c>
      <c r="R113" s="565">
        <v>2454</v>
      </c>
      <c r="S113" s="76"/>
      <c r="T113" s="567">
        <f>IFERROR(INDEX('UNDP Population Data'!$G$6:$G$223,MATCH($C113,'UNDP Population Data'!$D$6:$D$222,0))*100,0)</f>
        <v>3.0346563388922165</v>
      </c>
      <c r="U113" s="420">
        <f t="shared" si="15"/>
        <v>5492.7910465164123</v>
      </c>
      <c r="V113" s="420">
        <f t="shared" si="18"/>
        <v>2605.2008558467869</v>
      </c>
      <c r="W113" s="420">
        <f t="shared" si="16"/>
        <v>574.43761186124675</v>
      </c>
      <c r="X113" s="420">
        <f t="shared" si="17"/>
        <v>574.43761186124675</v>
      </c>
      <c r="Z113" s="424">
        <f t="shared" si="19"/>
        <v>0.27079187063595433</v>
      </c>
      <c r="AA113" s="424">
        <f t="shared" si="20"/>
        <v>2.8319488974227536E-2</v>
      </c>
      <c r="AB113" s="424">
        <f t="shared" si="21"/>
        <v>0.12843510833796518</v>
      </c>
    </row>
    <row r="114" spans="2:28" x14ac:dyDescent="0.35">
      <c r="B114" s="557" t="s">
        <v>460</v>
      </c>
      <c r="C114" s="557" t="s">
        <v>93</v>
      </c>
      <c r="D114" s="568" t="str">
        <f>INDEX('HCW, Staff, Beds Summary'!$E$7:$E$270,MATCH($C114,'HCW, Staff, Beds Summary'!$C$7:$C$270,0))</f>
        <v>High income</v>
      </c>
      <c r="E114" s="423">
        <f>VLOOKUP($C114,'UNDP Population Data'!$D$6:$E$269,2,FALSE)</f>
        <v>434363</v>
      </c>
      <c r="F114" s="558"/>
      <c r="G114" s="559">
        <v>2018</v>
      </c>
      <c r="H114" s="564">
        <v>94.832999999999998</v>
      </c>
      <c r="I114" s="565">
        <v>4166</v>
      </c>
      <c r="J114" s="565">
        <v>3772</v>
      </c>
      <c r="K114" s="565">
        <v>394</v>
      </c>
      <c r="L114" s="76"/>
      <c r="M114" s="565"/>
      <c r="N114" s="566"/>
      <c r="O114" s="566"/>
      <c r="P114" s="76"/>
      <c r="Q114" s="565">
        <v>2015</v>
      </c>
      <c r="R114" s="565">
        <v>1240</v>
      </c>
      <c r="S114" s="76"/>
      <c r="T114" s="567">
        <f>IFERROR(INDEX('UNDP Population Data'!$G$6:$G$223,MATCH($C114,'UNDP Population Data'!$D$6:$D$222,0))*100,0)</f>
        <v>0.31359053839130624</v>
      </c>
      <c r="U114" s="420">
        <f t="shared" si="15"/>
        <v>3795.6943636967603</v>
      </c>
      <c r="V114" s="420">
        <f t="shared" si="18"/>
        <v>1259.5649367656968</v>
      </c>
      <c r="W114" s="420">
        <f t="shared" si="16"/>
        <v>0</v>
      </c>
      <c r="X114" s="420">
        <f t="shared" si="17"/>
        <v>231.70206159928722</v>
      </c>
      <c r="Z114" s="424">
        <f t="shared" si="19"/>
        <v>8.738530592377252</v>
      </c>
      <c r="AA114" s="424">
        <f t="shared" si="20"/>
        <v>0</v>
      </c>
      <c r="AB114" s="424">
        <f t="shared" si="21"/>
        <v>2.8997979495622253</v>
      </c>
    </row>
    <row r="115" spans="2:28" x14ac:dyDescent="0.35">
      <c r="B115" s="557" t="s">
        <v>461</v>
      </c>
      <c r="C115" s="557" t="s">
        <v>91</v>
      </c>
      <c r="D115" s="568" t="str">
        <f>INDEX('HCW, Staff, Beds Summary'!$E$7:$E$270,MATCH($C115,'HCW, Staff, Beds Summary'!$C$7:$C$270,0))</f>
        <v>Upper middle income</v>
      </c>
      <c r="E115" s="423">
        <f>VLOOKUP($C115,'UNDP Population Data'!$D$6:$E$269,2,FALSE)</f>
        <v>53251</v>
      </c>
      <c r="F115" s="558"/>
      <c r="G115" s="559">
        <v>2018</v>
      </c>
      <c r="H115" s="564">
        <v>33.39</v>
      </c>
      <c r="I115" s="565">
        <v>195</v>
      </c>
      <c r="J115" s="565">
        <v>195</v>
      </c>
      <c r="K115" s="565" t="s">
        <v>748</v>
      </c>
      <c r="L115" s="76"/>
      <c r="M115" s="565">
        <v>2012</v>
      </c>
      <c r="N115" s="566"/>
      <c r="O115" s="566">
        <v>19</v>
      </c>
      <c r="P115" s="76"/>
      <c r="Q115" s="565">
        <v>2012</v>
      </c>
      <c r="R115" s="565">
        <v>24</v>
      </c>
      <c r="S115" s="76"/>
      <c r="T115" s="567">
        <f>IFERROR(INDEX('UNDP Population Data'!$G$6:$G$223,MATCH($C115,'UNDP Population Data'!$D$6:$D$222,0))*100,0)</f>
        <v>9.6804508536108003E-2</v>
      </c>
      <c r="U115" s="420">
        <f t="shared" si="15"/>
        <v>195.37772031999182</v>
      </c>
      <c r="V115" s="420">
        <f t="shared" si="18"/>
        <v>24.186495615881931</v>
      </c>
      <c r="W115" s="420">
        <f t="shared" si="16"/>
        <v>19.147642362573198</v>
      </c>
      <c r="X115" s="420">
        <f t="shared" si="17"/>
        <v>19.147642362573198</v>
      </c>
      <c r="Z115" s="424">
        <f t="shared" si="19"/>
        <v>3.6689962689900999</v>
      </c>
      <c r="AA115" s="424">
        <f t="shared" si="20"/>
        <v>0.35957338571244102</v>
      </c>
      <c r="AB115" s="424">
        <f t="shared" si="21"/>
        <v>0.45419796089992548</v>
      </c>
    </row>
    <row r="116" spans="2:28" x14ac:dyDescent="0.35">
      <c r="B116" s="557" t="s">
        <v>205</v>
      </c>
      <c r="C116" s="557" t="s">
        <v>98</v>
      </c>
      <c r="D116" s="568" t="str">
        <f>INDEX('HCW, Staff, Beds Summary'!$E$7:$E$270,MATCH($C116,'HCW, Staff, Beds Summary'!$C$7:$C$270,0))</f>
        <v>Lower middle income</v>
      </c>
      <c r="E116" s="423">
        <f>VLOOKUP($C116,'UNDP Population Data'!$D$6:$E$269,2,FALSE)</f>
        <v>4783767</v>
      </c>
      <c r="F116" s="558"/>
      <c r="G116" s="559">
        <v>2018</v>
      </c>
      <c r="H116" s="564">
        <v>9.2520000000000007</v>
      </c>
      <c r="I116" s="565">
        <v>4074</v>
      </c>
      <c r="J116" s="565">
        <v>3403</v>
      </c>
      <c r="K116" s="565">
        <v>671</v>
      </c>
      <c r="L116" s="76"/>
      <c r="M116" s="565">
        <v>2018</v>
      </c>
      <c r="N116" s="566">
        <v>12</v>
      </c>
      <c r="O116" s="566"/>
      <c r="P116" s="76"/>
      <c r="Q116" s="565">
        <v>2018</v>
      </c>
      <c r="R116" s="565">
        <v>821</v>
      </c>
      <c r="S116" s="76"/>
      <c r="T116" s="567">
        <f>IFERROR(INDEX('UNDP Population Data'!$G$6:$G$223,MATCH($C116,'UNDP Population Data'!$D$6:$D$222,0))*100,0)</f>
        <v>2.7235727472586957</v>
      </c>
      <c r="U116" s="420">
        <f t="shared" si="15"/>
        <v>3590.8906550262473</v>
      </c>
      <c r="V116" s="420">
        <f t="shared" si="18"/>
        <v>866.33006987262672</v>
      </c>
      <c r="W116" s="420">
        <f t="shared" si="16"/>
        <v>12.662558877553618</v>
      </c>
      <c r="X116" s="420">
        <f t="shared" si="17"/>
        <v>12.662558877553618</v>
      </c>
      <c r="Z116" s="424">
        <f t="shared" si="19"/>
        <v>0.75064079312939924</v>
      </c>
      <c r="AA116" s="424">
        <f t="shared" si="20"/>
        <v>2.6469848714524803E-3</v>
      </c>
      <c r="AB116" s="424">
        <f t="shared" si="21"/>
        <v>0.18109788162187387</v>
      </c>
    </row>
    <row r="117" spans="2:28" x14ac:dyDescent="0.35">
      <c r="B117" s="557" t="s">
        <v>206</v>
      </c>
      <c r="C117" s="557" t="s">
        <v>99</v>
      </c>
      <c r="D117" s="568" t="str">
        <f>INDEX('HCW, Staff, Beds Summary'!$E$7:$E$270,MATCH($C117,'HCW, Staff, Beds Summary'!$C$7:$C$270,0))</f>
        <v>Upper middle income</v>
      </c>
      <c r="E117" s="423">
        <f>VLOOKUP($C117,'UNDP Population Data'!$D$6:$E$269,2,FALSE)</f>
        <v>1274114</v>
      </c>
      <c r="F117" s="558"/>
      <c r="G117" s="559">
        <v>2017</v>
      </c>
      <c r="H117" s="564">
        <v>35.152000000000001</v>
      </c>
      <c r="I117" s="565">
        <v>4445</v>
      </c>
      <c r="J117" s="565">
        <v>4445</v>
      </c>
      <c r="K117" s="565" t="s">
        <v>748</v>
      </c>
      <c r="L117" s="76"/>
      <c r="M117" s="565">
        <v>2011</v>
      </c>
      <c r="N117" s="566">
        <v>1</v>
      </c>
      <c r="O117" s="566">
        <v>361</v>
      </c>
      <c r="P117" s="76"/>
      <c r="Q117" s="565">
        <v>2018</v>
      </c>
      <c r="R117" s="565">
        <v>3210</v>
      </c>
      <c r="S117" s="76"/>
      <c r="T117" s="567">
        <f>IFERROR(INDEX('UNDP Population Data'!$G$6:$G$223,MATCH($C117,'UNDP Population Data'!$D$6:$D$222,0))*100,0)</f>
        <v>0.23169105768860998</v>
      </c>
      <c r="U117" s="420">
        <f t="shared" si="15"/>
        <v>4475.9676411018663</v>
      </c>
      <c r="V117" s="420">
        <f t="shared" si="18"/>
        <v>3224.8917974231431</v>
      </c>
      <c r="W117" s="420">
        <f t="shared" si="16"/>
        <v>369.61883092027949</v>
      </c>
      <c r="X117" s="420">
        <f t="shared" si="17"/>
        <v>369.61883092027949</v>
      </c>
      <c r="Z117" s="424">
        <f t="shared" si="19"/>
        <v>3.5130040491681802</v>
      </c>
      <c r="AA117" s="424">
        <f t="shared" si="20"/>
        <v>0.2900987124545209</v>
      </c>
      <c r="AB117" s="424">
        <f t="shared" si="21"/>
        <v>2.5310857563947522</v>
      </c>
    </row>
    <row r="118" spans="2:28" x14ac:dyDescent="0.35">
      <c r="B118" s="557" t="s">
        <v>462</v>
      </c>
      <c r="C118" s="557" t="s">
        <v>90</v>
      </c>
      <c r="D118" s="568" t="str">
        <f>INDEX('HCW, Staff, Beds Summary'!$E$7:$E$270,MATCH($C118,'HCW, Staff, Beds Summary'!$C$7:$C$270,0))</f>
        <v>Upper middle income</v>
      </c>
      <c r="E118" s="423">
        <f>VLOOKUP($C118,'UNDP Population Data'!$D$6:$E$269,2,FALSE)</f>
        <v>133870027</v>
      </c>
      <c r="F118" s="558"/>
      <c r="G118" s="559">
        <v>2018</v>
      </c>
      <c r="H118" s="564">
        <v>23.960999999999999</v>
      </c>
      <c r="I118" s="565">
        <v>302363</v>
      </c>
      <c r="J118" s="565">
        <v>302363</v>
      </c>
      <c r="K118" s="565" t="s">
        <v>748</v>
      </c>
      <c r="L118" s="76"/>
      <c r="M118" s="565">
        <v>2010</v>
      </c>
      <c r="N118" s="566"/>
      <c r="O118" s="566">
        <v>21674</v>
      </c>
      <c r="P118" s="76"/>
      <c r="Q118" s="565">
        <v>2017</v>
      </c>
      <c r="R118" s="565">
        <v>297307</v>
      </c>
      <c r="S118" s="76"/>
      <c r="T118" s="567">
        <f>IFERROR(INDEX('UNDP Population Data'!$G$6:$G$223,MATCH($C118,'UNDP Population Data'!$D$6:$D$222,0))*100,0)</f>
        <v>1.2366507317728592</v>
      </c>
      <c r="U118" s="420">
        <f t="shared" si="15"/>
        <v>309887.58902997174</v>
      </c>
      <c r="V118" s="420">
        <f t="shared" si="18"/>
        <v>308473.91177252663</v>
      </c>
      <c r="W118" s="420">
        <f t="shared" si="16"/>
        <v>24508.501376451397</v>
      </c>
      <c r="X118" s="420">
        <f t="shared" si="17"/>
        <v>24508.501376451397</v>
      </c>
      <c r="Z118" s="424">
        <f t="shared" si="19"/>
        <v>2.3148392211048985</v>
      </c>
      <c r="AA118" s="424">
        <f t="shared" si="20"/>
        <v>0.18307683897345742</v>
      </c>
      <c r="AB118" s="424">
        <f t="shared" si="21"/>
        <v>2.3042791481062945</v>
      </c>
    </row>
    <row r="119" spans="2:28" ht="29" x14ac:dyDescent="0.35">
      <c r="B119" s="557" t="s">
        <v>1135</v>
      </c>
      <c r="C119" s="557" t="s">
        <v>464</v>
      </c>
      <c r="D119" s="568" t="str">
        <f>INDEX('HCW, Staff, Beds Summary'!$E$7:$E$270,MATCH($C119,'HCW, Staff, Beds Summary'!$C$7:$C$270,0))</f>
        <v>Lower middle income</v>
      </c>
      <c r="E119" s="423">
        <f>VLOOKUP($C119,'UNDP Population Data'!$D$6:$E$269,2,FALSE)</f>
        <v>107774</v>
      </c>
      <c r="F119" s="558"/>
      <c r="G119" s="559">
        <v>2018</v>
      </c>
      <c r="H119" s="564">
        <v>20.425999999999998</v>
      </c>
      <c r="I119" s="565">
        <v>230</v>
      </c>
      <c r="J119" s="565">
        <v>230</v>
      </c>
      <c r="K119" s="565" t="s">
        <v>748</v>
      </c>
      <c r="L119" s="76"/>
      <c r="M119" s="565">
        <v>2008</v>
      </c>
      <c r="N119" s="566"/>
      <c r="O119" s="566">
        <v>33</v>
      </c>
      <c r="P119" s="76"/>
      <c r="Q119" s="565">
        <v>2009</v>
      </c>
      <c r="R119" s="565">
        <v>20</v>
      </c>
      <c r="S119" s="76"/>
      <c r="T119" s="567">
        <f>IFERROR(INDEX('UNDP Population Data'!$G$6:$G$223,MATCH($C119,'UNDP Population Data'!$D$6:$D$222,0))*100,0)</f>
        <v>0.63180199268806359</v>
      </c>
      <c r="U119" s="420">
        <f t="shared" si="15"/>
        <v>232.9154701627983</v>
      </c>
      <c r="V119" s="420">
        <f t="shared" si="18"/>
        <v>21.434716363279666</v>
      </c>
      <c r="W119" s="420">
        <f t="shared" si="16"/>
        <v>35.590733191843341</v>
      </c>
      <c r="X119" s="420">
        <f t="shared" si="17"/>
        <v>35.590733191843341</v>
      </c>
      <c r="Z119" s="424">
        <f t="shared" si="19"/>
        <v>2.1611471241932034</v>
      </c>
      <c r="AA119" s="424">
        <f t="shared" si="20"/>
        <v>0.33023487289924602</v>
      </c>
      <c r="AB119" s="424">
        <f t="shared" si="21"/>
        <v>0.19888578287230377</v>
      </c>
    </row>
    <row r="120" spans="2:28" x14ac:dyDescent="0.35">
      <c r="B120" s="557" t="s">
        <v>474</v>
      </c>
      <c r="C120" s="557" t="s">
        <v>86</v>
      </c>
      <c r="D120" s="568" t="str">
        <f>INDEX('HCW, Staff, Beds Summary'!$E$7:$E$270,MATCH($C120,'HCW, Staff, Beds Summary'!$C$7:$C$270,0))</f>
        <v>High income</v>
      </c>
      <c r="E120" s="423">
        <f>VLOOKUP($C120,'UNDP Population Data'!$D$6:$E$269,2,FALSE)</f>
        <v>39297</v>
      </c>
      <c r="F120" s="558"/>
      <c r="G120" s="559">
        <v>2014</v>
      </c>
      <c r="H120" s="564">
        <v>201.60900000000001</v>
      </c>
      <c r="I120" s="565">
        <v>752</v>
      </c>
      <c r="J120" s="565">
        <v>732</v>
      </c>
      <c r="K120" s="565">
        <v>20</v>
      </c>
      <c r="L120" s="76"/>
      <c r="M120" s="565"/>
      <c r="N120" s="566"/>
      <c r="O120" s="566"/>
      <c r="P120" s="76"/>
      <c r="Q120" s="565">
        <v>2014</v>
      </c>
      <c r="R120" s="565">
        <v>280</v>
      </c>
      <c r="S120" s="76"/>
      <c r="T120" s="567">
        <f>IFERROR(INDEX('UNDP Population Data'!$G$6:$G$223,MATCH($C120,'UNDP Population Data'!$D$6:$D$222,0))*100,0)</f>
        <v>0.51161496202631884</v>
      </c>
      <c r="U120" s="420">
        <f t="shared" si="15"/>
        <v>754.75949854468672</v>
      </c>
      <c r="V120" s="420">
        <f t="shared" si="18"/>
        <v>288.70581911545395</v>
      </c>
      <c r="W120" s="420">
        <f t="shared" si="16"/>
        <v>0</v>
      </c>
      <c r="X120" s="420">
        <f t="shared" si="17"/>
        <v>20.962181204815305</v>
      </c>
      <c r="Z120" s="424">
        <f t="shared" si="19"/>
        <v>19.206542447125397</v>
      </c>
      <c r="AA120" s="424">
        <f t="shared" si="20"/>
        <v>0</v>
      </c>
      <c r="AB120" s="424">
        <f t="shared" si="21"/>
        <v>7.3467648704851243</v>
      </c>
    </row>
    <row r="121" spans="2:28" x14ac:dyDescent="0.35">
      <c r="B121" s="557" t="s">
        <v>250</v>
      </c>
      <c r="C121" s="557" t="s">
        <v>96</v>
      </c>
      <c r="D121" s="568" t="str">
        <f>INDEX('HCW, Staff, Beds Summary'!$E$7:$E$270,MATCH($C121,'HCW, Staff, Beds Summary'!$C$7:$C$270,0))</f>
        <v>Lower middle income</v>
      </c>
      <c r="E121" s="423">
        <f>VLOOKUP($C121,'UNDP Population Data'!$D$6:$E$269,2,FALSE)</f>
        <v>3209404</v>
      </c>
      <c r="F121" s="558"/>
      <c r="G121" s="559">
        <v>2018</v>
      </c>
      <c r="H121" s="564">
        <v>38.938000000000002</v>
      </c>
      <c r="I121" s="565">
        <v>12344</v>
      </c>
      <c r="J121" s="565">
        <v>12344</v>
      </c>
      <c r="K121" s="565" t="s">
        <v>748</v>
      </c>
      <c r="L121" s="76"/>
      <c r="M121" s="565">
        <v>2016</v>
      </c>
      <c r="N121" s="566"/>
      <c r="O121" s="566">
        <v>435</v>
      </c>
      <c r="P121" s="76"/>
      <c r="Q121" s="565">
        <v>2016</v>
      </c>
      <c r="R121" s="565">
        <v>8739</v>
      </c>
      <c r="S121" s="76"/>
      <c r="T121" s="567">
        <f>IFERROR(INDEX('UNDP Population Data'!$G$6:$G$223,MATCH($C121,'UNDP Population Data'!$D$6:$D$222,0))*100,0)</f>
        <v>1.5155798872611204</v>
      </c>
      <c r="U121" s="420">
        <f t="shared" si="15"/>
        <v>12721.001757635006</v>
      </c>
      <c r="V121" s="420">
        <f t="shared" si="18"/>
        <v>9280.9522548957484</v>
      </c>
      <c r="W121" s="420">
        <f t="shared" si="16"/>
        <v>461.97668278746431</v>
      </c>
      <c r="X121" s="420">
        <f t="shared" si="17"/>
        <v>461.97668278746431</v>
      </c>
      <c r="Z121" s="424">
        <f t="shared" si="19"/>
        <v>3.9636648292439984</v>
      </c>
      <c r="AA121" s="424">
        <f t="shared" si="20"/>
        <v>0.14394469589601819</v>
      </c>
      <c r="AB121" s="424">
        <f t="shared" si="21"/>
        <v>2.891799304448972</v>
      </c>
    </row>
    <row r="122" spans="2:28" x14ac:dyDescent="0.35">
      <c r="B122" s="557" t="s">
        <v>475</v>
      </c>
      <c r="C122" s="557" t="s">
        <v>95</v>
      </c>
      <c r="D122" s="568" t="str">
        <f>INDEX('HCW, Staff, Beds Summary'!$E$7:$E$270,MATCH($C122,'HCW, Staff, Beds Summary'!$C$7:$C$270,0))</f>
        <v>Upper middle income</v>
      </c>
      <c r="E122" s="423">
        <f>VLOOKUP($C122,'UNDP Population Data'!$D$6:$E$269,2,FALSE)</f>
        <v>629397</v>
      </c>
      <c r="F122" s="558"/>
      <c r="G122" s="559">
        <v>2018</v>
      </c>
      <c r="H122" s="564">
        <v>52.293999999999997</v>
      </c>
      <c r="I122" s="565">
        <v>3283</v>
      </c>
      <c r="J122" s="565">
        <v>3040</v>
      </c>
      <c r="K122" s="565">
        <v>243</v>
      </c>
      <c r="L122" s="76"/>
      <c r="M122" s="565"/>
      <c r="N122" s="566"/>
      <c r="O122" s="566"/>
      <c r="P122" s="76"/>
      <c r="Q122" s="565">
        <v>2018</v>
      </c>
      <c r="R122" s="565">
        <v>1730</v>
      </c>
      <c r="S122" s="76"/>
      <c r="T122" s="567">
        <f>IFERROR(INDEX('UNDP Population Data'!$G$6:$G$223,MATCH($C122,'UNDP Population Data'!$D$6:$D$222,0))*100,0)</f>
        <v>3.8780565266738343E-2</v>
      </c>
      <c r="U122" s="420">
        <f t="shared" si="15"/>
        <v>3042.3583155636197</v>
      </c>
      <c r="V122" s="420">
        <f t="shared" si="18"/>
        <v>1731.3420677385072</v>
      </c>
      <c r="W122" s="420">
        <f t="shared" si="16"/>
        <v>0</v>
      </c>
      <c r="X122" s="420">
        <f t="shared" si="17"/>
        <v>134.03401183754858</v>
      </c>
      <c r="Z122" s="424">
        <f t="shared" si="19"/>
        <v>4.8337667887893012</v>
      </c>
      <c r="AA122" s="424">
        <f t="shared" si="20"/>
        <v>0</v>
      </c>
      <c r="AB122" s="424">
        <f t="shared" si="21"/>
        <v>2.750794915988648</v>
      </c>
    </row>
    <row r="123" spans="2:28" x14ac:dyDescent="0.35">
      <c r="B123" s="557" t="s">
        <v>476</v>
      </c>
      <c r="C123" s="557" t="s">
        <v>85</v>
      </c>
      <c r="D123" s="568" t="str">
        <f>INDEX('HCW, Staff, Beds Summary'!$E$7:$E$270,MATCH($C123,'HCW, Staff, Beds Summary'!$C$7:$C$270,0))</f>
        <v>Lower middle income</v>
      </c>
      <c r="E123" s="423">
        <f>VLOOKUP($C123,'UNDP Population Data'!$D$6:$E$269,2,FALSE)</f>
        <v>37070718</v>
      </c>
      <c r="F123" s="558"/>
      <c r="G123" s="559">
        <v>2017</v>
      </c>
      <c r="H123" s="564">
        <v>13.887</v>
      </c>
      <c r="I123" s="565">
        <v>49412</v>
      </c>
      <c r="J123" s="565">
        <v>45326</v>
      </c>
      <c r="K123" s="565">
        <v>4086</v>
      </c>
      <c r="L123" s="76"/>
      <c r="M123" s="565">
        <v>2017</v>
      </c>
      <c r="N123" s="566">
        <v>595</v>
      </c>
      <c r="O123" s="566">
        <v>890</v>
      </c>
      <c r="P123" s="76"/>
      <c r="Q123" s="565">
        <v>2017</v>
      </c>
      <c r="R123" s="565">
        <v>26003</v>
      </c>
      <c r="S123" s="76"/>
      <c r="T123" s="567">
        <f>IFERROR(INDEX('UNDP Population Data'!$G$6:$G$223,MATCH($C123,'UNDP Population Data'!$D$6:$D$222,0))*100,0)</f>
        <v>1.2702913939437233</v>
      </c>
      <c r="U123" s="420">
        <f t="shared" si="15"/>
        <v>47075.351697646212</v>
      </c>
      <c r="V123" s="420">
        <f t="shared" si="18"/>
        <v>27006.582760311838</v>
      </c>
      <c r="W123" s="420">
        <f t="shared" si="16"/>
        <v>1542.3134022637034</v>
      </c>
      <c r="X123" s="420">
        <f t="shared" si="17"/>
        <v>1542.3134022637034</v>
      </c>
      <c r="Z123" s="424">
        <f t="shared" si="19"/>
        <v>1.2698796850291978</v>
      </c>
      <c r="AA123" s="424">
        <f t="shared" si="20"/>
        <v>4.1604627195613079E-2</v>
      </c>
      <c r="AB123" s="424">
        <f t="shared" si="21"/>
        <v>0.72851523297476573</v>
      </c>
    </row>
    <row r="124" spans="2:28" x14ac:dyDescent="0.35">
      <c r="B124" s="557" t="s">
        <v>207</v>
      </c>
      <c r="C124" s="557" t="s">
        <v>97</v>
      </c>
      <c r="D124" s="568" t="str">
        <f>INDEX('HCW, Staff, Beds Summary'!$E$7:$E$270,MATCH($C124,'HCW, Staff, Beds Summary'!$C$7:$C$270,0))</f>
        <v>Low income</v>
      </c>
      <c r="E124" s="423">
        <f>VLOOKUP($C124,'UNDP Population Data'!$D$6:$E$269,2,FALSE)</f>
        <v>32309195</v>
      </c>
      <c r="F124" s="558"/>
      <c r="G124" s="559">
        <v>2018</v>
      </c>
      <c r="H124" s="564">
        <v>6.8470000000000004</v>
      </c>
      <c r="I124" s="565">
        <v>20195</v>
      </c>
      <c r="J124" s="565">
        <v>14174</v>
      </c>
      <c r="K124" s="565">
        <v>6021</v>
      </c>
      <c r="L124" s="76"/>
      <c r="M124" s="565">
        <v>2017</v>
      </c>
      <c r="N124" s="566"/>
      <c r="O124" s="566">
        <v>1958</v>
      </c>
      <c r="P124" s="76"/>
      <c r="Q124" s="565">
        <v>2018</v>
      </c>
      <c r="R124" s="565">
        <v>2473</v>
      </c>
      <c r="S124" s="76"/>
      <c r="T124" s="567">
        <f>IFERROR(INDEX('UNDP Population Data'!$G$6:$G$223,MATCH($C124,'UNDP Population Data'!$D$6:$D$222,0))*100,0)</f>
        <v>2.8964669202313553</v>
      </c>
      <c r="U124" s="420">
        <f t="shared" si="15"/>
        <v>15006.981749073964</v>
      </c>
      <c r="V124" s="420">
        <f t="shared" si="18"/>
        <v>2618.3339823239671</v>
      </c>
      <c r="W124" s="420">
        <f t="shared" si="16"/>
        <v>2133.1140506457832</v>
      </c>
      <c r="X124" s="420">
        <f t="shared" si="17"/>
        <v>2133.1140506457832</v>
      </c>
      <c r="Z124" s="424">
        <f t="shared" si="19"/>
        <v>0.46448021218337265</v>
      </c>
      <c r="AA124" s="424">
        <f t="shared" si="20"/>
        <v>6.6021887906702201E-2</v>
      </c>
      <c r="AB124" s="424">
        <f t="shared" si="21"/>
        <v>8.103990156127279E-2</v>
      </c>
    </row>
    <row r="125" spans="2:28" x14ac:dyDescent="0.35">
      <c r="B125" s="557" t="s">
        <v>244</v>
      </c>
      <c r="C125" s="557" t="s">
        <v>94</v>
      </c>
      <c r="D125" s="568" t="str">
        <f>INDEX('HCW, Staff, Beds Summary'!$E$7:$E$270,MATCH($C125,'HCW, Staff, Beds Summary'!$C$7:$C$270,0))</f>
        <v>Lower middle income</v>
      </c>
      <c r="E125" s="423">
        <f>VLOOKUP($C125,'UNDP Population Data'!$D$6:$E$269,2,FALSE)</f>
        <v>54808276</v>
      </c>
      <c r="F125" s="558"/>
      <c r="G125" s="559">
        <v>2018</v>
      </c>
      <c r="H125" s="564">
        <v>9.9930000000000003</v>
      </c>
      <c r="I125" s="565">
        <v>53671</v>
      </c>
      <c r="J125" s="565">
        <v>35947</v>
      </c>
      <c r="K125" s="565">
        <v>17724</v>
      </c>
      <c r="L125" s="76"/>
      <c r="M125" s="565">
        <v>2018</v>
      </c>
      <c r="N125" s="566">
        <v>2443</v>
      </c>
      <c r="O125" s="566">
        <v>1562</v>
      </c>
      <c r="P125" s="76"/>
      <c r="Q125" s="565">
        <v>2018</v>
      </c>
      <c r="R125" s="565">
        <v>36363</v>
      </c>
      <c r="S125" s="76"/>
      <c r="T125" s="567">
        <f>IFERROR(INDEX('UNDP Population Data'!$G$6:$G$223,MATCH($C125,'UNDP Population Data'!$D$6:$D$222,0))*100,0)</f>
        <v>0.90132966153517735</v>
      </c>
      <c r="U125" s="420">
        <f t="shared" si="15"/>
        <v>36597.922263741304</v>
      </c>
      <c r="V125" s="420">
        <f t="shared" si="18"/>
        <v>37021.455122163883</v>
      </c>
      <c r="W125" s="420">
        <f t="shared" si="16"/>
        <v>4077.5218701500521</v>
      </c>
      <c r="X125" s="420">
        <f t="shared" si="17"/>
        <v>4077.5218701500521</v>
      </c>
      <c r="Z125" s="424">
        <f t="shared" si="19"/>
        <v>0.667744452749094</v>
      </c>
      <c r="AA125" s="424">
        <f t="shared" si="20"/>
        <v>7.4396097956995616E-2</v>
      </c>
      <c r="AB125" s="424">
        <f t="shared" si="21"/>
        <v>0.67547198751816029</v>
      </c>
    </row>
    <row r="126" spans="2:28" x14ac:dyDescent="0.35">
      <c r="B126" s="557" t="s">
        <v>208</v>
      </c>
      <c r="C126" s="557" t="s">
        <v>102</v>
      </c>
      <c r="D126" s="568" t="str">
        <f>INDEX('HCW, Staff, Beds Summary'!$E$7:$E$270,MATCH($C126,'HCW, Staff, Beds Summary'!$C$7:$C$270,0))</f>
        <v>Upper middle income</v>
      </c>
      <c r="E126" s="423">
        <f>VLOOKUP($C126,'UNDP Population Data'!$D$6:$E$269,2,FALSE)</f>
        <v>2696537</v>
      </c>
      <c r="F126" s="558"/>
      <c r="G126" s="559">
        <v>2018</v>
      </c>
      <c r="H126" s="564">
        <v>19.54</v>
      </c>
      <c r="I126" s="565">
        <v>4784</v>
      </c>
      <c r="J126" s="565">
        <v>4784</v>
      </c>
      <c r="K126" s="565" t="s">
        <v>748</v>
      </c>
      <c r="L126" s="76"/>
      <c r="M126" s="565">
        <v>2004</v>
      </c>
      <c r="N126" s="566"/>
      <c r="O126" s="566">
        <v>160</v>
      </c>
      <c r="P126" s="76"/>
      <c r="Q126" s="565">
        <v>2018</v>
      </c>
      <c r="R126" s="565">
        <v>1024</v>
      </c>
      <c r="S126" s="76"/>
      <c r="T126" s="567">
        <f>IFERROR(INDEX('UNDP Population Data'!$G$6:$G$223,MATCH($C126,'UNDP Population Data'!$D$6:$D$222,0))*100,0)</f>
        <v>2.1407015651801586</v>
      </c>
      <c r="U126" s="420">
        <f t="shared" si="15"/>
        <v>4991.0146431230914</v>
      </c>
      <c r="V126" s="420">
        <f t="shared" si="18"/>
        <v>1068.310826621665</v>
      </c>
      <c r="W126" s="420">
        <f t="shared" si="16"/>
        <v>224.5439546618399</v>
      </c>
      <c r="X126" s="420">
        <f t="shared" si="17"/>
        <v>224.5439546618399</v>
      </c>
      <c r="Z126" s="424">
        <f t="shared" si="19"/>
        <v>1.8508978898205704</v>
      </c>
      <c r="AA126" s="424">
        <f t="shared" si="20"/>
        <v>8.3271230716225997E-2</v>
      </c>
      <c r="AB126" s="424">
        <f t="shared" si="21"/>
        <v>0.39617881253684445</v>
      </c>
    </row>
    <row r="127" spans="2:28" x14ac:dyDescent="0.35">
      <c r="B127" s="557" t="s">
        <v>251</v>
      </c>
      <c r="C127" s="557" t="s">
        <v>109</v>
      </c>
      <c r="D127" s="568" t="str">
        <f>INDEX('HCW, Staff, Beds Summary'!$E$7:$E$270,MATCH($C127,'HCW, Staff, Beds Summary'!$C$7:$C$270,0))</f>
        <v>Upper middle income</v>
      </c>
      <c r="E127" s="423">
        <f>VLOOKUP($C127,'UNDP Population Data'!$D$6:$E$269,2,FALSE)</f>
        <v>11227</v>
      </c>
      <c r="F127" s="558"/>
      <c r="G127" s="559">
        <v>2018</v>
      </c>
      <c r="H127" s="564">
        <v>76.635999999999996</v>
      </c>
      <c r="I127" s="565">
        <v>82</v>
      </c>
      <c r="J127" s="565">
        <v>82</v>
      </c>
      <c r="K127" s="565" t="s">
        <v>748</v>
      </c>
      <c r="L127" s="76"/>
      <c r="M127" s="565">
        <v>2015</v>
      </c>
      <c r="N127" s="566">
        <v>4</v>
      </c>
      <c r="O127" s="566">
        <v>3</v>
      </c>
      <c r="P127" s="76"/>
      <c r="Q127" s="565">
        <v>2015</v>
      </c>
      <c r="R127" s="565">
        <v>14</v>
      </c>
      <c r="S127" s="76"/>
      <c r="T127" s="567">
        <f>IFERROR(INDEX('UNDP Population Data'!$G$6:$G$223,MATCH($C127,'UNDP Population Data'!$D$6:$D$222,0))*100,0)</f>
        <v>-5.868339925197974E-2</v>
      </c>
      <c r="U127" s="420">
        <f t="shared" si="15"/>
        <v>81.9037874639058</v>
      </c>
      <c r="V127" s="420">
        <f t="shared" si="18"/>
        <v>13.958969804618121</v>
      </c>
      <c r="W127" s="420">
        <f t="shared" si="16"/>
        <v>6.9794849023090606</v>
      </c>
      <c r="X127" s="420">
        <f t="shared" si="17"/>
        <v>6.9794849023090606</v>
      </c>
      <c r="Z127" s="424">
        <f t="shared" si="19"/>
        <v>7.2952513996531394</v>
      </c>
      <c r="AA127" s="424">
        <f t="shared" si="20"/>
        <v>0.62166962699822403</v>
      </c>
      <c r="AB127" s="424">
        <f t="shared" si="21"/>
        <v>1.2433392539964481</v>
      </c>
    </row>
    <row r="128" spans="2:28" x14ac:dyDescent="0.35">
      <c r="B128" s="557" t="s">
        <v>179</v>
      </c>
      <c r="C128" s="557" t="s">
        <v>108</v>
      </c>
      <c r="D128" s="568" t="str">
        <f>INDEX('HCW, Staff, Beds Summary'!$E$7:$E$270,MATCH($C128,'HCW, Staff, Beds Summary'!$C$7:$C$270,0))</f>
        <v>Low income</v>
      </c>
      <c r="E128" s="423">
        <f>VLOOKUP($C128,'UNDP Population Data'!$D$6:$E$269,2,FALSE)</f>
        <v>30260244</v>
      </c>
      <c r="F128" s="558"/>
      <c r="G128" s="559">
        <v>2018</v>
      </c>
      <c r="H128" s="564">
        <v>31.084</v>
      </c>
      <c r="I128" s="565">
        <v>87333</v>
      </c>
      <c r="J128" s="565">
        <v>87333</v>
      </c>
      <c r="K128" s="565" t="s">
        <v>748</v>
      </c>
      <c r="L128" s="76"/>
      <c r="M128" s="565">
        <v>2018</v>
      </c>
      <c r="N128" s="566">
        <v>26923</v>
      </c>
      <c r="O128" s="566"/>
      <c r="P128" s="76"/>
      <c r="Q128" s="565">
        <v>2018</v>
      </c>
      <c r="R128" s="565">
        <v>21033</v>
      </c>
      <c r="S128" s="76"/>
      <c r="T128" s="567">
        <f>IFERROR(INDEX('UNDP Population Data'!$G$6:$G$223,MATCH($C128,'UNDP Population Data'!$D$6:$D$222,0))*100,0)</f>
        <v>1.0951955478630371</v>
      </c>
      <c r="U128" s="420">
        <f t="shared" si="15"/>
        <v>89256.40944103105</v>
      </c>
      <c r="V128" s="420">
        <f t="shared" si="18"/>
        <v>21496.227769264839</v>
      </c>
      <c r="W128" s="420">
        <f t="shared" si="16"/>
        <v>27515.94828278977</v>
      </c>
      <c r="X128" s="420">
        <f t="shared" si="17"/>
        <v>27515.94828278977</v>
      </c>
      <c r="Z128" s="424">
        <f t="shared" si="19"/>
        <v>2.9496262304108005</v>
      </c>
      <c r="AA128" s="424">
        <f t="shared" si="20"/>
        <v>0.90931019203909169</v>
      </c>
      <c r="AB128" s="424">
        <f t="shared" si="21"/>
        <v>0.7103785339359735</v>
      </c>
    </row>
    <row r="129" spans="2:28" x14ac:dyDescent="0.35">
      <c r="B129" s="557" t="s">
        <v>477</v>
      </c>
      <c r="C129" s="557" t="s">
        <v>106</v>
      </c>
      <c r="D129" s="568" t="str">
        <f>INDEX('HCW, Staff, Beds Summary'!$E$7:$E$270,MATCH($C129,'HCW, Staff, Beds Summary'!$C$7:$C$270,0))</f>
        <v>High income</v>
      </c>
      <c r="E129" s="423">
        <f>VLOOKUP($C129,'UNDP Population Data'!$D$6:$E$269,2,FALSE)</f>
        <v>17181248</v>
      </c>
      <c r="F129" s="558"/>
      <c r="G129" s="559">
        <v>2017</v>
      </c>
      <c r="H129" s="564">
        <v>111.839</v>
      </c>
      <c r="I129" s="565">
        <v>190365</v>
      </c>
      <c r="J129" s="565">
        <v>186370</v>
      </c>
      <c r="K129" s="565">
        <v>3995</v>
      </c>
      <c r="L129" s="76"/>
      <c r="M129" s="565"/>
      <c r="N129" s="566"/>
      <c r="O129" s="566"/>
      <c r="P129" s="76"/>
      <c r="Q129" s="565">
        <v>2017</v>
      </c>
      <c r="R129" s="565">
        <v>61368</v>
      </c>
      <c r="S129" s="76"/>
      <c r="T129" s="567">
        <f>IFERROR(INDEX('UNDP Population Data'!$G$6:$G$223,MATCH($C129,'UNDP Population Data'!$D$6:$D$222,0))*100,0)</f>
        <v>0.28499490202138489</v>
      </c>
      <c r="U129" s="420">
        <f t="shared" si="15"/>
        <v>187967.98051927029</v>
      </c>
      <c r="V129" s="420">
        <f t="shared" si="18"/>
        <v>61894.183766199385</v>
      </c>
      <c r="W129" s="420">
        <f t="shared" si="16"/>
        <v>0</v>
      </c>
      <c r="X129" s="420">
        <f t="shared" si="17"/>
        <v>9164.9854671061548</v>
      </c>
      <c r="Z129" s="424">
        <f t="shared" si="19"/>
        <v>10.940298429966804</v>
      </c>
      <c r="AA129" s="424">
        <f t="shared" si="20"/>
        <v>0</v>
      </c>
      <c r="AB129" s="424">
        <f t="shared" si="21"/>
        <v>3.6024265388753709</v>
      </c>
    </row>
    <row r="130" spans="2:28" x14ac:dyDescent="0.35">
      <c r="B130" s="557" t="s">
        <v>480</v>
      </c>
      <c r="C130" s="557" t="s">
        <v>110</v>
      </c>
      <c r="D130" s="568" t="str">
        <f>INDEX('HCW, Staff, Beds Summary'!$E$7:$E$270,MATCH($C130,'HCW, Staff, Beds Summary'!$C$7:$C$270,0))</f>
        <v>High income</v>
      </c>
      <c r="E130" s="423">
        <f>VLOOKUP($C130,'UNDP Population Data'!$D$6:$E$269,2,FALSE)</f>
        <v>4834420</v>
      </c>
      <c r="F130" s="558"/>
      <c r="G130" s="559">
        <v>2018</v>
      </c>
      <c r="H130" s="564">
        <v>124.482</v>
      </c>
      <c r="I130" s="565">
        <v>59043</v>
      </c>
      <c r="J130" s="565">
        <v>56356</v>
      </c>
      <c r="K130" s="565">
        <v>2687</v>
      </c>
      <c r="L130" s="76"/>
      <c r="M130" s="565">
        <v>2013</v>
      </c>
      <c r="N130" s="566">
        <v>3232</v>
      </c>
      <c r="O130" s="566"/>
      <c r="P130" s="76"/>
      <c r="Q130" s="565">
        <v>2018</v>
      </c>
      <c r="R130" s="565">
        <v>17027</v>
      </c>
      <c r="S130" s="76"/>
      <c r="T130" s="567">
        <f>IFERROR(INDEX('UNDP Population Data'!$G$6:$G$223,MATCH($C130,'UNDP Population Data'!$D$6:$D$222,0))*100,0)</f>
        <v>0.93536159243783334</v>
      </c>
      <c r="U130" s="420">
        <f t="shared" si="15"/>
        <v>57415.195351883318</v>
      </c>
      <c r="V130" s="420">
        <f t="shared" si="18"/>
        <v>17347.017731146945</v>
      </c>
      <c r="W130" s="420">
        <f t="shared" si="16"/>
        <v>3449.6477792372648</v>
      </c>
      <c r="X130" s="420">
        <f t="shared" si="17"/>
        <v>3449.6477792372648</v>
      </c>
      <c r="Z130" s="424">
        <f t="shared" si="19"/>
        <v>11.876335806959949</v>
      </c>
      <c r="AA130" s="424">
        <f t="shared" si="20"/>
        <v>0.71355980225906412</v>
      </c>
      <c r="AB130" s="424">
        <f t="shared" si="21"/>
        <v>3.5882314178633519</v>
      </c>
    </row>
    <row r="131" spans="2:28" x14ac:dyDescent="0.35">
      <c r="B131" s="557" t="s">
        <v>227</v>
      </c>
      <c r="C131" s="557" t="s">
        <v>105</v>
      </c>
      <c r="D131" s="568" t="str">
        <f>INDEX('HCW, Staff, Beds Summary'!$E$7:$E$270,MATCH($C131,'HCW, Staff, Beds Summary'!$C$7:$C$270,0))</f>
        <v>Lower middle income</v>
      </c>
      <c r="E131" s="423">
        <f>VLOOKUP($C131,'UNDP Population Data'!$D$6:$E$269,2,FALSE)</f>
        <v>6416568</v>
      </c>
      <c r="F131" s="558"/>
      <c r="G131" s="559">
        <v>2018</v>
      </c>
      <c r="H131" s="564">
        <v>15.334</v>
      </c>
      <c r="I131" s="565">
        <v>9914</v>
      </c>
      <c r="J131" s="565">
        <v>9914</v>
      </c>
      <c r="K131" s="565" t="s">
        <v>748</v>
      </c>
      <c r="L131" s="76"/>
      <c r="M131" s="565">
        <v>2018</v>
      </c>
      <c r="N131" s="566"/>
      <c r="O131" s="566">
        <v>1270</v>
      </c>
      <c r="P131" s="76"/>
      <c r="Q131" s="565">
        <v>2018</v>
      </c>
      <c r="R131" s="565">
        <v>6320</v>
      </c>
      <c r="S131" s="76"/>
      <c r="T131" s="567">
        <f>IFERROR(INDEX('UNDP Population Data'!$G$6:$G$223,MATCH($C131,'UNDP Population Data'!$D$6:$D$222,0))*100,0)</f>
        <v>1.0766354816442947</v>
      </c>
      <c r="U131" s="420">
        <f t="shared" si="15"/>
        <v>10128.624458622708</v>
      </c>
      <c r="V131" s="420">
        <f t="shared" si="18"/>
        <v>6456.8193038627714</v>
      </c>
      <c r="W131" s="420">
        <f t="shared" si="16"/>
        <v>1297.4937525167279</v>
      </c>
      <c r="X131" s="420">
        <f t="shared" si="17"/>
        <v>1297.4937525167279</v>
      </c>
      <c r="Z131" s="424">
        <f t="shared" si="19"/>
        <v>1.5785112007887561</v>
      </c>
      <c r="AA131" s="424">
        <f t="shared" si="20"/>
        <v>0.20220992787993955</v>
      </c>
      <c r="AB131" s="424">
        <f t="shared" si="21"/>
        <v>1.0062730269300928</v>
      </c>
    </row>
    <row r="132" spans="2:28" x14ac:dyDescent="0.35">
      <c r="B132" s="557" t="s">
        <v>209</v>
      </c>
      <c r="C132" s="557" t="s">
        <v>103</v>
      </c>
      <c r="D132" s="568" t="str">
        <f>INDEX('HCW, Staff, Beds Summary'!$E$7:$E$270,MATCH($C132,'HCW, Staff, Beds Summary'!$C$7:$C$270,0))</f>
        <v>Low income</v>
      </c>
      <c r="E132" s="423">
        <f>VLOOKUP($C132,'UNDP Population Data'!$D$6:$E$269,2,FALSE)</f>
        <v>24074693</v>
      </c>
      <c r="F132" s="558"/>
      <c r="G132" s="559">
        <v>2016</v>
      </c>
      <c r="H132" s="564">
        <v>2.6949999999999998</v>
      </c>
      <c r="I132" s="565">
        <v>5602</v>
      </c>
      <c r="J132" s="565">
        <v>4746</v>
      </c>
      <c r="K132" s="565">
        <v>856</v>
      </c>
      <c r="L132" s="76"/>
      <c r="M132" s="565">
        <v>2009</v>
      </c>
      <c r="N132" s="566">
        <v>369</v>
      </c>
      <c r="O132" s="566"/>
      <c r="P132" s="76"/>
      <c r="Q132" s="565">
        <v>2016</v>
      </c>
      <c r="R132" s="565">
        <v>900</v>
      </c>
      <c r="S132" s="76"/>
      <c r="T132" s="567">
        <f>IFERROR(INDEX('UNDP Population Data'!$G$6:$G$223,MATCH($C132,'UNDP Population Data'!$D$6:$D$222,0))*100,0)</f>
        <v>3.8854641115531718</v>
      </c>
      <c r="U132" s="420">
        <f t="shared" si="15"/>
        <v>5527.7306279391732</v>
      </c>
      <c r="V132" s="420">
        <f t="shared" si="18"/>
        <v>1048.2422176875803</v>
      </c>
      <c r="W132" s="420">
        <f t="shared" si="16"/>
        <v>561.21464299928743</v>
      </c>
      <c r="X132" s="420">
        <f t="shared" si="17"/>
        <v>561.21464299928743</v>
      </c>
      <c r="Z132" s="424">
        <f t="shared" si="19"/>
        <v>0.22960752305083074</v>
      </c>
      <c r="AA132" s="424">
        <f t="shared" si="20"/>
        <v>2.3311393545051122E-2</v>
      </c>
      <c r="AB132" s="424">
        <f t="shared" si="21"/>
        <v>4.3541249630372453E-2</v>
      </c>
    </row>
    <row r="133" spans="2:28" x14ac:dyDescent="0.35">
      <c r="B133" s="557" t="s">
        <v>177</v>
      </c>
      <c r="C133" s="557" t="s">
        <v>104</v>
      </c>
      <c r="D133" s="568" t="str">
        <f>INDEX('HCW, Staff, Beds Summary'!$E$7:$E$270,MATCH($C133,'HCW, Staff, Beds Summary'!$C$7:$C$270,0))</f>
        <v>Lower middle income</v>
      </c>
      <c r="E133" s="423">
        <f>VLOOKUP($C133,'UNDP Population Data'!$D$6:$E$269,2,FALSE)</f>
        <v>206152701</v>
      </c>
      <c r="F133" s="558"/>
      <c r="G133" s="559">
        <v>2018</v>
      </c>
      <c r="H133" s="564">
        <v>11.792</v>
      </c>
      <c r="I133" s="565">
        <v>230975</v>
      </c>
      <c r="J133" s="565">
        <v>110105</v>
      </c>
      <c r="K133" s="565">
        <v>120870</v>
      </c>
      <c r="L133" s="76"/>
      <c r="M133" s="565">
        <v>2018</v>
      </c>
      <c r="N133" s="566">
        <v>26677</v>
      </c>
      <c r="O133" s="566">
        <v>29246</v>
      </c>
      <c r="P133" s="76"/>
      <c r="Q133" s="565">
        <v>2018</v>
      </c>
      <c r="R133" s="565">
        <v>74543</v>
      </c>
      <c r="S133" s="76"/>
      <c r="T133" s="567">
        <f>IFERROR(INDEX('UNDP Population Data'!$G$6:$G$223,MATCH($C133,'UNDP Population Data'!$D$6:$D$222,0))*100,0)</f>
        <v>2.6159614810100651</v>
      </c>
      <c r="U133" s="420">
        <f t="shared" si="15"/>
        <v>115940.95643067561</v>
      </c>
      <c r="V133" s="420">
        <f t="shared" si="18"/>
        <v>78494.044005375341</v>
      </c>
      <c r="W133" s="420">
        <f t="shared" si="16"/>
        <v>58887.117810023818</v>
      </c>
      <c r="X133" s="420">
        <f t="shared" si="17"/>
        <v>58887.117810023818</v>
      </c>
      <c r="Z133" s="424">
        <f t="shared" si="19"/>
        <v>0.5624032858569028</v>
      </c>
      <c r="AA133" s="424">
        <f t="shared" si="20"/>
        <v>0.28564805372122587</v>
      </c>
      <c r="AB133" s="424">
        <f t="shared" si="21"/>
        <v>0.38075680611807916</v>
      </c>
    </row>
    <row r="134" spans="2:28" x14ac:dyDescent="0.35">
      <c r="B134" s="557" t="s">
        <v>749</v>
      </c>
      <c r="C134" s="557" t="s">
        <v>1111</v>
      </c>
      <c r="D134" s="568" t="e">
        <f>INDEX('HCW, Staff, Beds Summary'!$E$7:$E$270,MATCH($C134,'HCW, Staff, Beds Summary'!$C$7:$C$270,0))</f>
        <v>#N/A</v>
      </c>
      <c r="E134" s="423" t="e">
        <f>VLOOKUP($C134,'UNDP Population Data'!$D$6:$E$269,2,FALSE)</f>
        <v>#N/A</v>
      </c>
      <c r="F134" s="558"/>
      <c r="G134" s="559">
        <v>2018</v>
      </c>
      <c r="H134" s="564">
        <v>125</v>
      </c>
      <c r="I134" s="565">
        <v>20</v>
      </c>
      <c r="J134" s="565">
        <v>20</v>
      </c>
      <c r="K134" s="565" t="s">
        <v>748</v>
      </c>
      <c r="L134" s="76"/>
      <c r="M134" s="565">
        <v>2008</v>
      </c>
      <c r="N134" s="566"/>
      <c r="O134" s="566">
        <v>1</v>
      </c>
      <c r="P134" s="76"/>
      <c r="Q134" s="565">
        <v>2008</v>
      </c>
      <c r="R134" s="565">
        <v>3</v>
      </c>
      <c r="S134" s="76"/>
      <c r="T134" s="567">
        <f>IFERROR(INDEX('UNDP Population Data'!$G$6:$G$223,MATCH($C134,'UNDP Population Data'!$D$6:$D$222,0))*100,0)</f>
        <v>0</v>
      </c>
      <c r="U134" s="420">
        <f t="shared" si="15"/>
        <v>20</v>
      </c>
      <c r="V134" s="420">
        <f t="shared" si="18"/>
        <v>3</v>
      </c>
      <c r="W134" s="420">
        <f t="shared" si="16"/>
        <v>1</v>
      </c>
      <c r="X134" s="420">
        <f t="shared" si="17"/>
        <v>1</v>
      </c>
      <c r="Z134" s="424">
        <f t="shared" si="19"/>
        <v>0</v>
      </c>
      <c r="AA134" s="424">
        <f t="shared" si="20"/>
        <v>0</v>
      </c>
      <c r="AB134" s="424">
        <f t="shared" si="21"/>
        <v>0</v>
      </c>
    </row>
    <row r="135" spans="2:28" x14ac:dyDescent="0.35">
      <c r="B135" s="557" t="s">
        <v>487</v>
      </c>
      <c r="C135" s="557" t="s">
        <v>107</v>
      </c>
      <c r="D135" s="568" t="str">
        <f>INDEX('HCW, Staff, Beds Summary'!$E$7:$E$270,MATCH($C135,'HCW, Staff, Beds Summary'!$C$7:$C$270,0))</f>
        <v>High income</v>
      </c>
      <c r="E135" s="423">
        <f>VLOOKUP($C135,'UNDP Population Data'!$D$6:$E$269,2,FALSE)</f>
        <v>5449693</v>
      </c>
      <c r="F135" s="558"/>
      <c r="G135" s="559">
        <v>2018</v>
      </c>
      <c r="H135" s="564">
        <v>182.24799999999999</v>
      </c>
      <c r="I135" s="565">
        <v>97284</v>
      </c>
      <c r="J135" s="565">
        <v>94329</v>
      </c>
      <c r="K135" s="565">
        <v>2955</v>
      </c>
      <c r="L135" s="76"/>
      <c r="M135" s="565"/>
      <c r="N135" s="566"/>
      <c r="O135" s="566"/>
      <c r="P135" s="76"/>
      <c r="Q135" s="565">
        <v>2018</v>
      </c>
      <c r="R135" s="565">
        <v>15568</v>
      </c>
      <c r="S135" s="76"/>
      <c r="T135" s="567">
        <f>IFERROR(INDEX('UNDP Population Data'!$G$6:$G$223,MATCH($C135,'UNDP Population Data'!$D$6:$D$222,0))*100,0)</f>
        <v>0.94306288028846996</v>
      </c>
      <c r="U135" s="420">
        <f t="shared" si="15"/>
        <v>96116.5528842926</v>
      </c>
      <c r="V135" s="420">
        <f t="shared" si="18"/>
        <v>15863.016625880347</v>
      </c>
      <c r="W135" s="420">
        <f t="shared" si="16"/>
        <v>0</v>
      </c>
      <c r="X135" s="420">
        <f t="shared" si="17"/>
        <v>2907.0273093776509</v>
      </c>
      <c r="Z135" s="424">
        <f t="shared" si="19"/>
        <v>17.637058249756929</v>
      </c>
      <c r="AA135" s="424">
        <f t="shared" si="20"/>
        <v>0</v>
      </c>
      <c r="AB135" s="424">
        <f t="shared" si="21"/>
        <v>2.9108092191395638</v>
      </c>
    </row>
    <row r="136" spans="2:28" x14ac:dyDescent="0.35">
      <c r="B136" s="557" t="s">
        <v>492</v>
      </c>
      <c r="C136" s="557" t="s">
        <v>111</v>
      </c>
      <c r="D136" s="568" t="str">
        <f>INDEX('HCW, Staff, Beds Summary'!$E$7:$E$270,MATCH($C136,'HCW, Staff, Beds Summary'!$C$7:$C$270,0))</f>
        <v>High income</v>
      </c>
      <c r="E136" s="423">
        <f>VLOOKUP($C136,'UNDP Population Data'!$D$6:$E$269,2,FALSE)</f>
        <v>5149700</v>
      </c>
      <c r="F136" s="558"/>
      <c r="G136" s="559">
        <v>2018</v>
      </c>
      <c r="H136" s="564">
        <v>41.965000000000003</v>
      </c>
      <c r="I136" s="565">
        <v>20267</v>
      </c>
      <c r="J136" s="565">
        <v>19415</v>
      </c>
      <c r="K136" s="565">
        <v>852</v>
      </c>
      <c r="L136" s="76"/>
      <c r="M136" s="565">
        <v>2018</v>
      </c>
      <c r="N136" s="566">
        <v>2474</v>
      </c>
      <c r="O136" s="566"/>
      <c r="P136" s="76"/>
      <c r="Q136" s="565">
        <v>2018</v>
      </c>
      <c r="R136" s="565">
        <v>9674</v>
      </c>
      <c r="S136" s="76"/>
      <c r="T136" s="567">
        <f>IFERROR(INDEX('UNDP Population Data'!$G$6:$G$223,MATCH($C136,'UNDP Population Data'!$D$6:$D$222,0))*100,0)</f>
        <v>4.1622751296491955</v>
      </c>
      <c r="U136" s="420">
        <f t="shared" si="15"/>
        <v>21064.847016098665</v>
      </c>
      <c r="V136" s="420">
        <f t="shared" ref="V136:V167" si="22">IFERROR(R136*(1+$T136/100)^(2020-$Q136),R136)</f>
        <v>10496.076746522713</v>
      </c>
      <c r="W136" s="420">
        <f t="shared" si="16"/>
        <v>2684.2354631897038</v>
      </c>
      <c r="X136" s="420">
        <f t="shared" si="17"/>
        <v>2684.2354631897038</v>
      </c>
      <c r="Z136" s="424">
        <f t="shared" ref="Z136:Z167" si="23">IFERROR(U136/E136*1000,0)</f>
        <v>4.090499838067978</v>
      </c>
      <c r="AA136" s="424">
        <f t="shared" ref="AA136:AA167" si="24">IFERROR(W136/E136*1000,0)</f>
        <v>0.52124113311255105</v>
      </c>
      <c r="AB136" s="424">
        <f t="shared" ref="AB136:AB167" si="25">IFERROR(V136/E136*1000,0)</f>
        <v>2.0381918842889322</v>
      </c>
    </row>
    <row r="137" spans="2:28" x14ac:dyDescent="0.35">
      <c r="B137" s="557" t="s">
        <v>176</v>
      </c>
      <c r="C137" s="557" t="s">
        <v>112</v>
      </c>
      <c r="D137" s="568" t="str">
        <f>INDEX('HCW, Staff, Beds Summary'!$E$7:$E$270,MATCH($C137,'HCW, Staff, Beds Summary'!$C$7:$C$270,0))</f>
        <v>Lower middle income</v>
      </c>
      <c r="E137" s="423">
        <f>VLOOKUP($C137,'UNDP Population Data'!$D$6:$E$269,2,FALSE)</f>
        <v>208362334</v>
      </c>
      <c r="F137" s="558"/>
      <c r="G137" s="559">
        <v>2018</v>
      </c>
      <c r="H137" s="564">
        <v>6.6829999999999998</v>
      </c>
      <c r="I137" s="565">
        <v>141837</v>
      </c>
      <c r="J137" s="565">
        <v>103777</v>
      </c>
      <c r="K137" s="565">
        <v>38060</v>
      </c>
      <c r="L137" s="76"/>
      <c r="M137" s="565">
        <v>2015</v>
      </c>
      <c r="N137" s="566"/>
      <c r="O137" s="566">
        <v>37613</v>
      </c>
      <c r="P137" s="76"/>
      <c r="Q137" s="565">
        <v>2018</v>
      </c>
      <c r="R137" s="565">
        <v>208007</v>
      </c>
      <c r="S137" s="76"/>
      <c r="T137" s="567">
        <f>IFERROR(INDEX('UNDP Population Data'!$G$6:$G$223,MATCH($C137,'UNDP Population Data'!$D$6:$D$222,0))*100,0)</f>
        <v>1.9287703489355934</v>
      </c>
      <c r="U137" s="420">
        <f t="shared" ref="U137:U200" si="26">IFERROR(J137*(1+T137/100)^(2020-G137),J137)</f>
        <v>107818.84666318487</v>
      </c>
      <c r="V137" s="420">
        <f t="shared" si="22"/>
        <v>216108.33650875525</v>
      </c>
      <c r="W137" s="420">
        <f t="shared" ref="W137:W200" si="27">IFERROR(SUM(N137:O137)*(1+$T137/100)^(2020-$M137),SUM(N137:O137))</f>
        <v>41382.993131621719</v>
      </c>
      <c r="X137" s="420">
        <f t="shared" ref="X137:X200" si="28">IF(W137=0,INDEX($AG$8:$AG$12,MATCH($D137,$AD$8:$AD$12,0))*E137/1000,W137)</f>
        <v>41382.993131621719</v>
      </c>
      <c r="Z137" s="424">
        <f t="shared" si="23"/>
        <v>0.51745843211367015</v>
      </c>
      <c r="AA137" s="424">
        <f t="shared" si="24"/>
        <v>0.19861071978403599</v>
      </c>
      <c r="AB137" s="424">
        <f t="shared" si="25"/>
        <v>1.0371756370743823</v>
      </c>
    </row>
    <row r="138" spans="2:28" x14ac:dyDescent="0.35">
      <c r="B138" s="557" t="s">
        <v>497</v>
      </c>
      <c r="C138" s="557" t="s">
        <v>498</v>
      </c>
      <c r="D138" s="568" t="str">
        <f>INDEX('HCW, Staff, Beds Summary'!$E$7:$E$270,MATCH($C138,'HCW, Staff, Beds Summary'!$C$7:$C$270,0))</f>
        <v>High income</v>
      </c>
      <c r="E138" s="423">
        <f>VLOOKUP($C138,'UNDP Population Data'!$D$6:$E$269,2,FALSE)</f>
        <v>22442</v>
      </c>
      <c r="F138" s="558"/>
      <c r="G138" s="559">
        <v>2018</v>
      </c>
      <c r="H138" s="564">
        <v>72.626000000000005</v>
      </c>
      <c r="I138" s="565">
        <v>130</v>
      </c>
      <c r="J138" s="565">
        <v>130</v>
      </c>
      <c r="K138" s="565" t="s">
        <v>748</v>
      </c>
      <c r="L138" s="76"/>
      <c r="M138" s="565">
        <v>1998</v>
      </c>
      <c r="N138" s="566"/>
      <c r="O138" s="566">
        <v>13</v>
      </c>
      <c r="P138" s="76"/>
      <c r="Q138" s="565">
        <v>2014</v>
      </c>
      <c r="R138" s="565">
        <v>25</v>
      </c>
      <c r="S138" s="76"/>
      <c r="T138" s="567">
        <f>IFERROR(INDEX('UNDP Population Data'!$G$6:$G$223,MATCH($C138,'UNDP Population Data'!$D$6:$D$222,0))*100,0)</f>
        <v>1.0614067688097917</v>
      </c>
      <c r="U138" s="420">
        <f t="shared" si="26"/>
        <v>132.77430319518083</v>
      </c>
      <c r="V138" s="420">
        <f t="shared" si="22"/>
        <v>26.634959727377279</v>
      </c>
      <c r="W138" s="420">
        <f t="shared" si="27"/>
        <v>16.399130310190689</v>
      </c>
      <c r="X138" s="420">
        <f t="shared" si="28"/>
        <v>16.399130310190689</v>
      </c>
      <c r="Z138" s="424">
        <f t="shared" si="23"/>
        <v>5.9163311289181371</v>
      </c>
      <c r="AA138" s="424">
        <f t="shared" si="24"/>
        <v>0.73073390563188168</v>
      </c>
      <c r="AB138" s="424">
        <f t="shared" si="25"/>
        <v>1.1868353857667444</v>
      </c>
    </row>
    <row r="139" spans="2:28" x14ac:dyDescent="0.35">
      <c r="B139" s="557" t="s">
        <v>499</v>
      </c>
      <c r="C139" s="557" t="s">
        <v>113</v>
      </c>
      <c r="D139" s="568" t="str">
        <f>INDEX('HCW, Staff, Beds Summary'!$E$7:$E$270,MATCH($C139,'HCW, Staff, Beds Summary'!$C$7:$C$270,0))</f>
        <v>High income</v>
      </c>
      <c r="E139" s="423">
        <f>VLOOKUP($C139,'UNDP Population Data'!$D$6:$E$269,2,FALSE)</f>
        <v>4289330</v>
      </c>
      <c r="F139" s="558"/>
      <c r="G139" s="559">
        <v>2018</v>
      </c>
      <c r="H139" s="564">
        <v>30.741</v>
      </c>
      <c r="I139" s="565">
        <v>12840</v>
      </c>
      <c r="J139" s="565">
        <v>12840</v>
      </c>
      <c r="K139" s="565" t="s">
        <v>748</v>
      </c>
      <c r="L139" s="76"/>
      <c r="M139" s="565"/>
      <c r="N139" s="566"/>
      <c r="O139" s="566"/>
      <c r="P139" s="76"/>
      <c r="Q139" s="565">
        <v>2016</v>
      </c>
      <c r="R139" s="565">
        <v>6333</v>
      </c>
      <c r="S139" s="76"/>
      <c r="T139" s="567">
        <f>IFERROR(INDEX('UNDP Population Data'!$G$6:$G$223,MATCH($C139,'UNDP Population Data'!$D$6:$D$222,0))*100,0)</f>
        <v>1.5631642791849698</v>
      </c>
      <c r="U139" s="420">
        <f t="shared" si="26"/>
        <v>13244.558018506517</v>
      </c>
      <c r="V139" s="420">
        <f t="shared" si="22"/>
        <v>6738.3626555792825</v>
      </c>
      <c r="W139" s="420">
        <f t="shared" si="27"/>
        <v>0</v>
      </c>
      <c r="X139" s="420">
        <f t="shared" si="28"/>
        <v>2288.0553911812717</v>
      </c>
      <c r="Z139" s="424">
        <f t="shared" si="23"/>
        <v>3.0877918039662413</v>
      </c>
      <c r="AA139" s="424">
        <f t="shared" si="24"/>
        <v>0</v>
      </c>
      <c r="AB139" s="424">
        <f t="shared" si="25"/>
        <v>1.5709592536781463</v>
      </c>
    </row>
    <row r="140" spans="2:28" x14ac:dyDescent="0.35">
      <c r="B140" s="557" t="s">
        <v>252</v>
      </c>
      <c r="C140" s="557" t="s">
        <v>116</v>
      </c>
      <c r="D140" s="568" t="str">
        <f>INDEX('HCW, Staff, Beds Summary'!$E$7:$E$270,MATCH($C140,'HCW, Staff, Beds Summary'!$C$7:$C$270,0))</f>
        <v>Lower middle income</v>
      </c>
      <c r="E140" s="423">
        <f>VLOOKUP($C140,'UNDP Population Data'!$D$6:$E$269,2,FALSE)</f>
        <v>8755675</v>
      </c>
      <c r="F140" s="558"/>
      <c r="G140" s="559">
        <v>2018</v>
      </c>
      <c r="H140" s="564">
        <v>4.548</v>
      </c>
      <c r="I140" s="565">
        <v>3914</v>
      </c>
      <c r="J140" s="565">
        <v>3237</v>
      </c>
      <c r="K140" s="565">
        <v>677</v>
      </c>
      <c r="L140" s="76"/>
      <c r="M140" s="565"/>
      <c r="N140" s="566"/>
      <c r="O140" s="566"/>
      <c r="P140" s="76"/>
      <c r="Q140" s="565">
        <v>2018</v>
      </c>
      <c r="R140" s="565">
        <v>602</v>
      </c>
      <c r="S140" s="76"/>
      <c r="T140" s="567">
        <f>IFERROR(INDEX('UNDP Population Data'!$G$6:$G$223,MATCH($C140,'UNDP Population Data'!$D$6:$D$222,0))*100,0)</f>
        <v>2.0269277892605686</v>
      </c>
      <c r="U140" s="420">
        <f t="shared" si="26"/>
        <v>3369.5532058950225</v>
      </c>
      <c r="V140" s="420">
        <f t="shared" si="22"/>
        <v>626.65153844572251</v>
      </c>
      <c r="W140" s="420">
        <f t="shared" si="27"/>
        <v>0</v>
      </c>
      <c r="X140" s="420">
        <f t="shared" si="28"/>
        <v>2254.9268877833501</v>
      </c>
      <c r="Z140" s="424">
        <f t="shared" si="23"/>
        <v>0.38484219730575003</v>
      </c>
      <c r="AA140" s="424">
        <f t="shared" si="24"/>
        <v>0</v>
      </c>
      <c r="AB140" s="424">
        <f t="shared" si="25"/>
        <v>7.1570899838758584E-2</v>
      </c>
    </row>
    <row r="141" spans="2:28" x14ac:dyDescent="0.35">
      <c r="B141" s="557" t="s">
        <v>228</v>
      </c>
      <c r="C141" s="557" t="s">
        <v>119</v>
      </c>
      <c r="D141" s="568" t="str">
        <f>INDEX('HCW, Staff, Beds Summary'!$E$7:$E$270,MATCH($C141,'HCW, Staff, Beds Summary'!$C$7:$C$270,0))</f>
        <v>Upper middle income</v>
      </c>
      <c r="E141" s="423">
        <f>VLOOKUP($C141,'UNDP Population Data'!$D$6:$E$269,2,FALSE)</f>
        <v>7066330</v>
      </c>
      <c r="F141" s="558"/>
      <c r="G141" s="559">
        <v>2018</v>
      </c>
      <c r="H141" s="564">
        <v>16.603999999999999</v>
      </c>
      <c r="I141" s="565">
        <v>11550</v>
      </c>
      <c r="J141" s="565">
        <v>10399</v>
      </c>
      <c r="K141" s="565">
        <v>1151</v>
      </c>
      <c r="L141" s="76"/>
      <c r="M141" s="565">
        <v>2012</v>
      </c>
      <c r="N141" s="566">
        <v>1395</v>
      </c>
      <c r="O141" s="566"/>
      <c r="P141" s="76"/>
      <c r="Q141" s="565">
        <v>2018</v>
      </c>
      <c r="R141" s="565">
        <v>9421</v>
      </c>
      <c r="S141" s="76"/>
      <c r="T141" s="567">
        <f>IFERROR(INDEX('UNDP Population Data'!$G$6:$G$223,MATCH($C141,'UNDP Population Data'!$D$6:$D$222,0))*100,0)</f>
        <v>1.2550499982397323</v>
      </c>
      <c r="U141" s="420">
        <f t="shared" si="26"/>
        <v>10661.663297636855</v>
      </c>
      <c r="V141" s="420">
        <f t="shared" si="22"/>
        <v>9658.9604699525717</v>
      </c>
      <c r="W141" s="420">
        <f t="shared" si="27"/>
        <v>1541.3729997735791</v>
      </c>
      <c r="X141" s="420">
        <f t="shared" si="28"/>
        <v>1541.3729997735791</v>
      </c>
      <c r="Z141" s="424">
        <f t="shared" si="23"/>
        <v>1.5087978197504015</v>
      </c>
      <c r="AA141" s="424">
        <f t="shared" si="24"/>
        <v>0.21812921272762226</v>
      </c>
      <c r="AB141" s="424">
        <f t="shared" si="25"/>
        <v>1.3668991499056189</v>
      </c>
    </row>
    <row r="142" spans="2:28" x14ac:dyDescent="0.35">
      <c r="B142" s="557" t="s">
        <v>500</v>
      </c>
      <c r="C142" s="557" t="s">
        <v>114</v>
      </c>
      <c r="D142" s="568" t="str">
        <f>INDEX('HCW, Staff, Beds Summary'!$E$7:$E$270,MATCH($C142,'HCW, Staff, Beds Summary'!$C$7:$C$270,0))</f>
        <v>Upper middle income</v>
      </c>
      <c r="E142" s="423">
        <f>VLOOKUP($C142,'UNDP Population Data'!$D$6:$E$269,2,FALSE)</f>
        <v>33312178</v>
      </c>
      <c r="F142" s="558"/>
      <c r="G142" s="559">
        <v>2018</v>
      </c>
      <c r="H142" s="564">
        <v>24.398</v>
      </c>
      <c r="I142" s="565">
        <v>78048</v>
      </c>
      <c r="J142" s="565">
        <v>78048</v>
      </c>
      <c r="K142" s="565" t="s">
        <v>748</v>
      </c>
      <c r="L142" s="76"/>
      <c r="M142" s="565">
        <v>2012</v>
      </c>
      <c r="N142" s="566">
        <v>1512</v>
      </c>
      <c r="O142" s="566"/>
      <c r="P142" s="76"/>
      <c r="Q142" s="565">
        <v>2016</v>
      </c>
      <c r="R142" s="565">
        <v>40352</v>
      </c>
      <c r="S142" s="76"/>
      <c r="T142" s="567">
        <f>IFERROR(INDEX('UNDP Population Data'!$G$6:$G$223,MATCH($C142,'UNDP Population Data'!$D$6:$D$222,0))*100,0)</f>
        <v>1.2043623506592382</v>
      </c>
      <c r="U142" s="420">
        <f t="shared" si="26"/>
        <v>79939.282228869823</v>
      </c>
      <c r="V142" s="420">
        <f t="shared" si="22"/>
        <v>42331.338069138954</v>
      </c>
      <c r="W142" s="420">
        <f t="shared" si="27"/>
        <v>1663.9706218445087</v>
      </c>
      <c r="X142" s="420">
        <f t="shared" si="28"/>
        <v>1663.9706218445087</v>
      </c>
      <c r="Z142" s="424">
        <f t="shared" si="23"/>
        <v>2.3997014613955838</v>
      </c>
      <c r="AA142" s="424">
        <f t="shared" si="24"/>
        <v>4.9950820443037641E-2</v>
      </c>
      <c r="AB142" s="424">
        <f t="shared" si="25"/>
        <v>1.2707466341329876</v>
      </c>
    </row>
    <row r="143" spans="2:28" x14ac:dyDescent="0.35">
      <c r="B143" s="557" t="s">
        <v>253</v>
      </c>
      <c r="C143" s="557" t="s">
        <v>115</v>
      </c>
      <c r="D143" s="568" t="str">
        <f>INDEX('HCW, Staff, Beds Summary'!$E$7:$E$270,MATCH($C143,'HCW, Staff, Beds Summary'!$C$7:$C$270,0))</f>
        <v>Lower middle income</v>
      </c>
      <c r="E143" s="423">
        <f>VLOOKUP($C143,'UNDP Population Data'!$D$6:$E$269,2,FALSE)</f>
        <v>109703396</v>
      </c>
      <c r="F143" s="558"/>
      <c r="G143" s="559">
        <v>2018</v>
      </c>
      <c r="H143" s="564">
        <v>49.350999999999999</v>
      </c>
      <c r="I143" s="565">
        <v>526331</v>
      </c>
      <c r="J143" s="565">
        <v>526331</v>
      </c>
      <c r="K143" s="565" t="s">
        <v>748</v>
      </c>
      <c r="L143" s="76"/>
      <c r="M143" s="565"/>
      <c r="N143" s="566"/>
      <c r="O143" s="566"/>
      <c r="P143" s="76"/>
      <c r="Q143" s="565">
        <v>2017</v>
      </c>
      <c r="R143" s="565">
        <v>63141</v>
      </c>
      <c r="S143" s="76"/>
      <c r="T143" s="567">
        <f>IFERROR(INDEX('UNDP Population Data'!$G$6:$G$223,MATCH($C143,'UNDP Population Data'!$D$6:$D$222,0))*100,0)</f>
        <v>1.5233297337932994</v>
      </c>
      <c r="U143" s="420">
        <f t="shared" si="26"/>
        <v>542488.65011293674</v>
      </c>
      <c r="V143" s="420">
        <f t="shared" si="22"/>
        <v>66070.716322438777</v>
      </c>
      <c r="W143" s="420">
        <f t="shared" si="27"/>
        <v>0</v>
      </c>
      <c r="X143" s="420">
        <f t="shared" si="28"/>
        <v>28252.891675575487</v>
      </c>
      <c r="Z143" s="424">
        <f t="shared" si="23"/>
        <v>4.9450488306937803</v>
      </c>
      <c r="AA143" s="424">
        <f t="shared" si="24"/>
        <v>0</v>
      </c>
      <c r="AB143" s="424">
        <f t="shared" si="25"/>
        <v>0.60226682793337383</v>
      </c>
    </row>
    <row r="144" spans="2:28" x14ac:dyDescent="0.35">
      <c r="B144" s="557" t="s">
        <v>501</v>
      </c>
      <c r="C144" s="557" t="s">
        <v>117</v>
      </c>
      <c r="D144" s="568" t="str">
        <f>INDEX('HCW, Staff, Beds Summary'!$E$7:$E$270,MATCH($C144,'HCW, Staff, Beds Summary'!$C$7:$C$270,0))</f>
        <v>High income</v>
      </c>
      <c r="E144" s="423">
        <f>VLOOKUP($C144,'UNDP Population Data'!$D$6:$E$269,2,FALSE)</f>
        <v>37942231</v>
      </c>
      <c r="F144" s="558"/>
      <c r="G144" s="559">
        <v>2018</v>
      </c>
      <c r="H144" s="564">
        <v>68.926000000000002</v>
      </c>
      <c r="I144" s="565">
        <v>261380</v>
      </c>
      <c r="J144" s="565">
        <v>233012</v>
      </c>
      <c r="K144" s="565">
        <v>28368</v>
      </c>
      <c r="L144" s="76"/>
      <c r="M144" s="565"/>
      <c r="N144" s="566"/>
      <c r="O144" s="566"/>
      <c r="P144" s="76"/>
      <c r="Q144" s="565">
        <v>2017</v>
      </c>
      <c r="R144" s="565">
        <v>90284</v>
      </c>
      <c r="S144" s="76"/>
      <c r="T144" s="567">
        <f>IFERROR(INDEX('UNDP Population Data'!$G$6:$G$223,MATCH($C144,'UNDP Population Data'!$D$6:$D$222,0))*100,0)</f>
        <v>-0.16939197503730297</v>
      </c>
      <c r="U144" s="420">
        <f t="shared" si="26"/>
        <v>232223.26133852467</v>
      </c>
      <c r="V144" s="420">
        <f t="shared" si="22"/>
        <v>89825.975181959875</v>
      </c>
      <c r="W144" s="420">
        <f t="shared" si="27"/>
        <v>0</v>
      </c>
      <c r="X144" s="420">
        <f t="shared" si="28"/>
        <v>20239.507380638741</v>
      </c>
      <c r="Z144" s="424">
        <f t="shared" si="23"/>
        <v>6.1204429791839248</v>
      </c>
      <c r="AA144" s="424">
        <f t="shared" si="24"/>
        <v>0</v>
      </c>
      <c r="AB144" s="424">
        <f t="shared" si="25"/>
        <v>2.3674405224605763</v>
      </c>
    </row>
    <row r="145" spans="2:28" x14ac:dyDescent="0.35">
      <c r="B145" s="557" t="s">
        <v>502</v>
      </c>
      <c r="C145" s="557" t="s">
        <v>118</v>
      </c>
      <c r="D145" s="568" t="str">
        <f>INDEX('HCW, Staff, Beds Summary'!$E$7:$E$270,MATCH($C145,'HCW, Staff, Beds Summary'!$C$7:$C$270,0))</f>
        <v>High income</v>
      </c>
      <c r="E145" s="423">
        <f>VLOOKUP($C145,'UNDP Population Data'!$D$6:$E$269,2,FALSE)</f>
        <v>10218413</v>
      </c>
      <c r="F145" s="558"/>
      <c r="G145" s="559">
        <v>2017</v>
      </c>
      <c r="H145" s="564">
        <v>69.745999999999995</v>
      </c>
      <c r="I145" s="565">
        <v>71758</v>
      </c>
      <c r="J145" s="565">
        <v>68976</v>
      </c>
      <c r="K145" s="565">
        <v>2782</v>
      </c>
      <c r="L145" s="76"/>
      <c r="M145" s="565"/>
      <c r="N145" s="566"/>
      <c r="O145" s="566"/>
      <c r="P145" s="76"/>
      <c r="Q145" s="565">
        <v>2017</v>
      </c>
      <c r="R145" s="565">
        <v>52718</v>
      </c>
      <c r="S145" s="76"/>
      <c r="T145" s="567">
        <f>IFERROR(INDEX('UNDP Population Data'!$G$6:$G$223,MATCH($C145,'UNDP Population Data'!$D$6:$D$222,0))*100,0)</f>
        <v>-0.38703291986296184</v>
      </c>
      <c r="U145" s="420">
        <f t="shared" si="26"/>
        <v>68178.216187912723</v>
      </c>
      <c r="V145" s="420">
        <f t="shared" si="22"/>
        <v>52108.257959208757</v>
      </c>
      <c r="W145" s="420">
        <f t="shared" si="27"/>
        <v>0</v>
      </c>
      <c r="X145" s="420">
        <f t="shared" si="28"/>
        <v>5450.8034947105471</v>
      </c>
      <c r="Z145" s="424">
        <f t="shared" si="23"/>
        <v>6.6720944033004663</v>
      </c>
      <c r="AA145" s="424">
        <f t="shared" si="24"/>
        <v>0</v>
      </c>
      <c r="AB145" s="424">
        <f t="shared" si="25"/>
        <v>5.0994472389409937</v>
      </c>
    </row>
    <row r="146" spans="2:28" x14ac:dyDescent="0.35">
      <c r="B146" s="557" t="s">
        <v>509</v>
      </c>
      <c r="C146" s="557" t="s">
        <v>120</v>
      </c>
      <c r="D146" s="568" t="str">
        <f>INDEX('HCW, Staff, Beds Summary'!$E$7:$E$270,MATCH($C146,'HCW, Staff, Beds Summary'!$C$7:$C$270,0))</f>
        <v>High income</v>
      </c>
      <c r="E146" s="423">
        <f>VLOOKUP($C146,'UNDP Population Data'!$D$6:$E$269,2,FALSE)</f>
        <v>2791807</v>
      </c>
      <c r="F146" s="558"/>
      <c r="G146" s="559">
        <v>2018</v>
      </c>
      <c r="H146" s="564">
        <v>72.628</v>
      </c>
      <c r="I146" s="565">
        <v>20203</v>
      </c>
      <c r="J146" s="565">
        <v>19895</v>
      </c>
      <c r="K146" s="565">
        <v>308</v>
      </c>
      <c r="L146" s="76"/>
      <c r="M146" s="565">
        <v>2006</v>
      </c>
      <c r="N146" s="566">
        <v>504</v>
      </c>
      <c r="O146" s="566"/>
      <c r="P146" s="76"/>
      <c r="Q146" s="565">
        <v>2018</v>
      </c>
      <c r="R146" s="565">
        <v>6913</v>
      </c>
      <c r="S146" s="76"/>
      <c r="T146" s="567">
        <f>IFERROR(INDEX('UNDP Population Data'!$G$6:$G$223,MATCH($C146,'UNDP Population Data'!$D$6:$D$222,0))*100,0)</f>
        <v>2.3841802404079404</v>
      </c>
      <c r="U146" s="420">
        <f t="shared" si="26"/>
        <v>20854.974263183929</v>
      </c>
      <c r="V146" s="420">
        <f t="shared" si="22"/>
        <v>7246.5663272877855</v>
      </c>
      <c r="W146" s="420">
        <f t="shared" si="27"/>
        <v>700.95564831678701</v>
      </c>
      <c r="X146" s="420">
        <f t="shared" si="28"/>
        <v>700.95564831678701</v>
      </c>
      <c r="Z146" s="424">
        <f t="shared" si="23"/>
        <v>7.4700630320018284</v>
      </c>
      <c r="AA146" s="424">
        <f t="shared" si="24"/>
        <v>0.2510759691901292</v>
      </c>
      <c r="AB146" s="424">
        <f t="shared" si="25"/>
        <v>2.5956544729946538</v>
      </c>
    </row>
    <row r="147" spans="2:28" x14ac:dyDescent="0.35">
      <c r="B147" s="557" t="s">
        <v>1136</v>
      </c>
      <c r="C147" s="557" t="s">
        <v>74</v>
      </c>
      <c r="D147" s="568" t="str">
        <f>INDEX('HCW, Staff, Beds Summary'!$E$7:$E$270,MATCH($C147,'HCW, Staff, Beds Summary'!$C$7:$C$270,0))</f>
        <v>High income</v>
      </c>
      <c r="E147" s="423">
        <f>VLOOKUP($C147,'UNDP Population Data'!$D$6:$E$269,2,FALSE)</f>
        <v>51506975</v>
      </c>
      <c r="F147" s="558"/>
      <c r="G147" s="559">
        <v>2018</v>
      </c>
      <c r="H147" s="564">
        <v>73.009</v>
      </c>
      <c r="I147" s="565">
        <v>373601</v>
      </c>
      <c r="J147" s="565">
        <v>373601</v>
      </c>
      <c r="K147" s="565" t="s">
        <v>748</v>
      </c>
      <c r="L147" s="76"/>
      <c r="M147" s="565">
        <v>2004</v>
      </c>
      <c r="N147" s="566"/>
      <c r="O147" s="566">
        <v>35220</v>
      </c>
      <c r="P147" s="76"/>
      <c r="Q147" s="565">
        <v>2017</v>
      </c>
      <c r="R147" s="565">
        <v>120630</v>
      </c>
      <c r="S147" s="76"/>
      <c r="T147" s="567">
        <f>IFERROR(INDEX('UNDP Population Data'!$G$6:$G$223,MATCH($C147,'UNDP Population Data'!$D$6:$D$222,0))*100,0)</f>
        <v>0.35845941176644303</v>
      </c>
      <c r="U147" s="420">
        <f t="shared" si="26"/>
        <v>376284.21641083609</v>
      </c>
      <c r="V147" s="420">
        <f t="shared" si="22"/>
        <v>121931.88436000975</v>
      </c>
      <c r="W147" s="420">
        <f t="shared" si="27"/>
        <v>37295.215939279849</v>
      </c>
      <c r="X147" s="420">
        <f t="shared" si="28"/>
        <v>37295.215939279849</v>
      </c>
      <c r="Z147" s="424">
        <f t="shared" si="23"/>
        <v>7.3055002047943232</v>
      </c>
      <c r="AA147" s="424">
        <f t="shared" si="24"/>
        <v>0.7240808830120552</v>
      </c>
      <c r="AB147" s="424">
        <f t="shared" si="25"/>
        <v>2.3672887868101307</v>
      </c>
    </row>
    <row r="148" spans="2:28" x14ac:dyDescent="0.35">
      <c r="B148" s="557" t="s">
        <v>1137</v>
      </c>
      <c r="C148" s="557" t="s">
        <v>87</v>
      </c>
      <c r="D148" s="568" t="str">
        <f>INDEX('HCW, Staff, Beds Summary'!$E$7:$E$270,MATCH($C148,'HCW, Staff, Beds Summary'!$C$7:$C$270,0))</f>
        <v>Lower middle income</v>
      </c>
      <c r="E148" s="423">
        <f>VLOOKUP($C148,'UNDP Population Data'!$D$6:$E$269,2,FALSE)</f>
        <v>4017687</v>
      </c>
      <c r="F148" s="558"/>
      <c r="G148" s="559">
        <v>2017</v>
      </c>
      <c r="H148" s="564">
        <v>49.234999999999999</v>
      </c>
      <c r="I148" s="565">
        <v>19988</v>
      </c>
      <c r="J148" s="565">
        <v>19311</v>
      </c>
      <c r="K148" s="565">
        <v>677</v>
      </c>
      <c r="L148" s="76"/>
      <c r="M148" s="565">
        <v>2015</v>
      </c>
      <c r="N148" s="566"/>
      <c r="O148" s="566">
        <v>17776</v>
      </c>
      <c r="P148" s="76"/>
      <c r="Q148" s="565">
        <v>2017</v>
      </c>
      <c r="R148" s="565">
        <v>13018</v>
      </c>
      <c r="S148" s="76"/>
      <c r="T148" s="567">
        <f>IFERROR(INDEX('UNDP Population Data'!$G$6:$G$223,MATCH($C148,'UNDP Population Data'!$D$6:$D$222,0))*100,0)</f>
        <v>-0.23868334620955611</v>
      </c>
      <c r="U148" s="420">
        <f t="shared" si="26"/>
        <v>19173.053357248027</v>
      </c>
      <c r="V148" s="420">
        <f t="shared" si="22"/>
        <v>12925.006918577745</v>
      </c>
      <c r="W148" s="420">
        <f t="shared" si="27"/>
        <v>17564.868521734003</v>
      </c>
      <c r="X148" s="420">
        <f t="shared" si="28"/>
        <v>17564.868521734003</v>
      </c>
      <c r="Z148" s="424">
        <f t="shared" si="23"/>
        <v>4.7721620318476843</v>
      </c>
      <c r="AA148" s="424">
        <f t="shared" si="24"/>
        <v>4.3718857446421291</v>
      </c>
      <c r="AB148" s="424">
        <f t="shared" si="25"/>
        <v>3.2170268412093188</v>
      </c>
    </row>
    <row r="149" spans="2:28" x14ac:dyDescent="0.35">
      <c r="B149" s="557" t="s">
        <v>510</v>
      </c>
      <c r="C149" s="557" t="s">
        <v>121</v>
      </c>
      <c r="D149" s="568" t="str">
        <f>INDEX('HCW, Staff, Beds Summary'!$E$7:$E$270,MATCH($C149,'HCW, Staff, Beds Summary'!$C$7:$C$270,0))</f>
        <v>Upper middle income</v>
      </c>
      <c r="E149" s="423">
        <f>VLOOKUP($C149,'UNDP Population Data'!$D$6:$E$269,2,FALSE)</f>
        <v>19388362</v>
      </c>
      <c r="F149" s="558"/>
      <c r="G149" s="559">
        <v>2017</v>
      </c>
      <c r="H149" s="564">
        <v>73.891000000000005</v>
      </c>
      <c r="I149" s="565">
        <v>145226</v>
      </c>
      <c r="J149" s="565">
        <v>141821</v>
      </c>
      <c r="K149" s="565">
        <v>3405</v>
      </c>
      <c r="L149" s="76"/>
      <c r="M149" s="565">
        <v>2011</v>
      </c>
      <c r="N149" s="566"/>
      <c r="O149" s="566">
        <v>460</v>
      </c>
      <c r="P149" s="76"/>
      <c r="Q149" s="565">
        <v>2017</v>
      </c>
      <c r="R149" s="565">
        <v>58583</v>
      </c>
      <c r="S149" s="76"/>
      <c r="T149" s="567">
        <f>IFERROR(INDEX('UNDP Population Data'!$G$6:$G$223,MATCH($C149,'UNDP Population Data'!$D$6:$D$222,0))*100,0)</f>
        <v>-0.49618944903351281</v>
      </c>
      <c r="U149" s="420">
        <f t="shared" si="26"/>
        <v>139720.35522700497</v>
      </c>
      <c r="V149" s="420">
        <f t="shared" si="22"/>
        <v>57715.271858636115</v>
      </c>
      <c r="W149" s="420">
        <f t="shared" si="27"/>
        <v>439.86078513304523</v>
      </c>
      <c r="X149" s="420">
        <f t="shared" si="28"/>
        <v>439.86078513304523</v>
      </c>
      <c r="Z149" s="424">
        <f t="shared" si="23"/>
        <v>7.206403265371514</v>
      </c>
      <c r="AA149" s="424">
        <f t="shared" si="24"/>
        <v>2.2686846115883601E-2</v>
      </c>
      <c r="AB149" s="424">
        <f t="shared" si="25"/>
        <v>2.9767997863169731</v>
      </c>
    </row>
    <row r="150" spans="2:28" x14ac:dyDescent="0.35">
      <c r="B150" s="557" t="s">
        <v>511</v>
      </c>
      <c r="C150" s="557" t="s">
        <v>122</v>
      </c>
      <c r="D150" s="568" t="str">
        <f>INDEX('HCW, Staff, Beds Summary'!$E$7:$E$270,MATCH($C150,'HCW, Staff, Beds Summary'!$C$7:$C$270,0))</f>
        <v>Upper middle income</v>
      </c>
      <c r="E150" s="423">
        <f>VLOOKUP($C150,'UNDP Population Data'!$D$6:$E$269,2,FALSE)</f>
        <v>143786842</v>
      </c>
      <c r="F150" s="558"/>
      <c r="G150" s="559">
        <v>2017</v>
      </c>
      <c r="H150" s="564">
        <v>85.429000000000002</v>
      </c>
      <c r="I150" s="565">
        <v>1243250</v>
      </c>
      <c r="J150" s="565">
        <v>1243250</v>
      </c>
      <c r="K150" s="565" t="s">
        <v>748</v>
      </c>
      <c r="L150" s="76"/>
      <c r="M150" s="565"/>
      <c r="N150" s="566"/>
      <c r="O150" s="566"/>
      <c r="P150" s="76"/>
      <c r="Q150" s="565">
        <v>2015</v>
      </c>
      <c r="R150" s="565">
        <v>543604</v>
      </c>
      <c r="S150" s="76"/>
      <c r="T150" s="567">
        <f>IFERROR(INDEX('UNDP Population Data'!$G$6:$G$223,MATCH($C150,'UNDP Population Data'!$D$6:$D$222,0))*100,0)</f>
        <v>-1.4065169910504327E-2</v>
      </c>
      <c r="U150" s="420">
        <f t="shared" si="26"/>
        <v>1242725.4781070766</v>
      </c>
      <c r="V150" s="420">
        <f t="shared" si="22"/>
        <v>543221.81339431205</v>
      </c>
      <c r="W150" s="420">
        <f t="shared" si="27"/>
        <v>0</v>
      </c>
      <c r="X150" s="420">
        <f t="shared" si="28"/>
        <v>30620.30369180617</v>
      </c>
      <c r="Z150" s="424">
        <f t="shared" si="23"/>
        <v>8.6428317140943722</v>
      </c>
      <c r="AA150" s="424">
        <f t="shared" si="24"/>
        <v>0</v>
      </c>
      <c r="AB150" s="424">
        <f t="shared" si="25"/>
        <v>3.7779660909049806</v>
      </c>
    </row>
    <row r="151" spans="2:28" x14ac:dyDescent="0.35">
      <c r="B151" s="557" t="s">
        <v>210</v>
      </c>
      <c r="C151" s="557" t="s">
        <v>123</v>
      </c>
      <c r="D151" s="568" t="str">
        <f>INDEX('HCW, Staff, Beds Summary'!$E$7:$E$270,MATCH($C151,'HCW, Staff, Beds Summary'!$C$7:$C$270,0))</f>
        <v>Low income</v>
      </c>
      <c r="E151" s="423">
        <f>VLOOKUP($C151,'UNDP Population Data'!$D$6:$E$269,2,FALSE)</f>
        <v>13087173</v>
      </c>
      <c r="F151" s="558"/>
      <c r="G151" s="559">
        <v>2018</v>
      </c>
      <c r="H151" s="564">
        <v>12.044</v>
      </c>
      <c r="I151" s="565">
        <v>14816</v>
      </c>
      <c r="J151" s="565">
        <v>13345</v>
      </c>
      <c r="K151" s="565">
        <v>1471</v>
      </c>
      <c r="L151" s="76"/>
      <c r="M151" s="565">
        <v>2017</v>
      </c>
      <c r="N151" s="566"/>
      <c r="O151" s="566">
        <v>1990</v>
      </c>
      <c r="P151" s="76"/>
      <c r="Q151" s="565">
        <v>2018</v>
      </c>
      <c r="R151" s="565">
        <v>1648</v>
      </c>
      <c r="S151" s="76"/>
      <c r="T151" s="567">
        <f>IFERROR(INDEX('UNDP Population Data'!$G$6:$G$223,MATCH($C151,'UNDP Population Data'!$D$6:$D$222,0))*100,0)</f>
        <v>2.3897692440756124</v>
      </c>
      <c r="U151" s="420">
        <f t="shared" si="26"/>
        <v>13990.450736793568</v>
      </c>
      <c r="V151" s="420">
        <f t="shared" si="22"/>
        <v>1727.7079665969125</v>
      </c>
      <c r="W151" s="420">
        <f t="shared" si="27"/>
        <v>2136.1058485546596</v>
      </c>
      <c r="X151" s="420">
        <f t="shared" si="28"/>
        <v>2136.1058485546596</v>
      </c>
      <c r="Z151" s="424">
        <f t="shared" si="23"/>
        <v>1.0690200807151835</v>
      </c>
      <c r="AA151" s="424">
        <f t="shared" si="24"/>
        <v>0.1632213350090703</v>
      </c>
      <c r="AB151" s="424">
        <f t="shared" si="25"/>
        <v>0.13201536852893384</v>
      </c>
    </row>
    <row r="152" spans="2:28" x14ac:dyDescent="0.35">
      <c r="B152" s="557" t="s">
        <v>1138</v>
      </c>
      <c r="C152" s="557" t="s">
        <v>531</v>
      </c>
      <c r="D152" s="568" t="str">
        <f>INDEX('HCW, Staff, Beds Summary'!$E$7:$E$270,MATCH($C152,'HCW, Staff, Beds Summary'!$C$7:$C$270,0))</f>
        <v>High income</v>
      </c>
      <c r="E152" s="423">
        <f>VLOOKUP($C152,'UNDP Population Data'!$D$6:$E$269,2,FALSE)</f>
        <v>56813</v>
      </c>
      <c r="F152" s="558"/>
      <c r="G152" s="559">
        <v>2015</v>
      </c>
      <c r="H152" s="564">
        <v>42.188000000000002</v>
      </c>
      <c r="I152" s="565">
        <v>216</v>
      </c>
      <c r="J152" s="565">
        <v>216</v>
      </c>
      <c r="K152" s="565" t="s">
        <v>748</v>
      </c>
      <c r="L152" s="76"/>
      <c r="M152" s="565"/>
      <c r="N152" s="566"/>
      <c r="O152" s="566"/>
      <c r="P152" s="76"/>
      <c r="Q152" s="565">
        <v>2015</v>
      </c>
      <c r="R152" s="565">
        <v>137</v>
      </c>
      <c r="S152" s="76"/>
      <c r="T152" s="567">
        <f>IFERROR(INDEX('UNDP Population Data'!$G$6:$G$223,MATCH($C152,'UNDP Population Data'!$D$6:$D$222,0))*100,0)</f>
        <v>0.91338543179453335</v>
      </c>
      <c r="U152" s="420">
        <f t="shared" si="26"/>
        <v>226.04641909814319</v>
      </c>
      <c r="V152" s="420">
        <f t="shared" si="22"/>
        <v>143.37203433539636</v>
      </c>
      <c r="W152" s="420">
        <f t="shared" si="27"/>
        <v>0</v>
      </c>
      <c r="X152" s="420">
        <f t="shared" si="28"/>
        <v>30.305733282163317</v>
      </c>
      <c r="Z152" s="424">
        <f t="shared" si="23"/>
        <v>3.9787798408488055</v>
      </c>
      <c r="AA152" s="424">
        <f t="shared" si="24"/>
        <v>0</v>
      </c>
      <c r="AB152" s="424">
        <f t="shared" si="25"/>
        <v>2.5235779546124366</v>
      </c>
    </row>
    <row r="153" spans="2:28" x14ac:dyDescent="0.35">
      <c r="B153" s="557" t="s">
        <v>1096</v>
      </c>
      <c r="C153" s="557" t="s">
        <v>80</v>
      </c>
      <c r="D153" s="568" t="str">
        <f>INDEX('HCW, Staff, Beds Summary'!$E$7:$E$270,MATCH($C153,'HCW, Staff, Beds Summary'!$C$7:$C$270,0))</f>
        <v>Upper middle income</v>
      </c>
      <c r="E153" s="423">
        <f>VLOOKUP($C153,'UNDP Population Data'!$D$6:$E$269,2,FALSE)</f>
        <v>181203</v>
      </c>
      <c r="F153" s="558"/>
      <c r="G153" s="559">
        <v>2017</v>
      </c>
      <c r="H153" s="564">
        <v>31.547000000000001</v>
      </c>
      <c r="I153" s="565">
        <v>571</v>
      </c>
      <c r="J153" s="565">
        <v>476</v>
      </c>
      <c r="K153" s="565">
        <v>95</v>
      </c>
      <c r="L153" s="76"/>
      <c r="M153" s="565"/>
      <c r="N153" s="566"/>
      <c r="O153" s="566"/>
      <c r="P153" s="76"/>
      <c r="Q153" s="565">
        <v>2017</v>
      </c>
      <c r="R153" s="565">
        <v>116</v>
      </c>
      <c r="S153" s="76"/>
      <c r="T153" s="567">
        <f>IFERROR(INDEX('UNDP Population Data'!$G$6:$G$223,MATCH($C153,'UNDP Population Data'!$D$6:$D$222,0))*100,0)</f>
        <v>0.44709755437244425</v>
      </c>
      <c r="U153" s="420">
        <f t="shared" si="26"/>
        <v>482.41314079870244</v>
      </c>
      <c r="V153" s="420">
        <f t="shared" si="22"/>
        <v>117.56286624506194</v>
      </c>
      <c r="W153" s="420">
        <f t="shared" si="27"/>
        <v>0</v>
      </c>
      <c r="X153" s="420">
        <f t="shared" si="28"/>
        <v>38.58830761347658</v>
      </c>
      <c r="Z153" s="424">
        <f t="shared" si="23"/>
        <v>2.6622800991081959</v>
      </c>
      <c r="AA153" s="424">
        <f t="shared" si="24"/>
        <v>0</v>
      </c>
      <c r="AB153" s="424">
        <f t="shared" si="25"/>
        <v>0.64879094852216546</v>
      </c>
    </row>
    <row r="154" spans="2:28" ht="15.75" customHeight="1" x14ac:dyDescent="0.35">
      <c r="B154" s="557" t="s">
        <v>1139</v>
      </c>
      <c r="C154" s="557" t="s">
        <v>536</v>
      </c>
      <c r="D154" s="568" t="str">
        <f>INDEX('HCW, Staff, Beds Summary'!$E$7:$E$270,MATCH($C154,'HCW, Staff, Beds Summary'!$C$7:$C$270,0))</f>
        <v>Upper middle income</v>
      </c>
      <c r="E154" s="423">
        <f>VLOOKUP($C154,'UNDP Population Data'!$D$6:$E$269,2,FALSE)</f>
        <v>110757</v>
      </c>
      <c r="F154" s="558"/>
      <c r="G154" s="559">
        <v>2018</v>
      </c>
      <c r="H154" s="564">
        <v>70.144999999999996</v>
      </c>
      <c r="I154" s="565">
        <v>773</v>
      </c>
      <c r="J154" s="565">
        <v>773</v>
      </c>
      <c r="K154" s="565" t="s">
        <v>748</v>
      </c>
      <c r="L154" s="76"/>
      <c r="M154" s="565">
        <v>2004</v>
      </c>
      <c r="N154" s="566"/>
      <c r="O154" s="566">
        <v>13</v>
      </c>
      <c r="P154" s="76"/>
      <c r="Q154" s="565">
        <v>2010</v>
      </c>
      <c r="R154" s="565">
        <v>72</v>
      </c>
      <c r="S154" s="76"/>
      <c r="T154" s="567">
        <f>IFERROR(INDEX('UNDP Population Data'!$G$6:$G$223,MATCH($C154,'UNDP Population Data'!$D$6:$D$222,0))*100,0)</f>
        <v>0.23678201608383631</v>
      </c>
      <c r="U154" s="420">
        <f t="shared" si="26"/>
        <v>776.66498384905481</v>
      </c>
      <c r="V154" s="420">
        <f t="shared" si="22"/>
        <v>73.723110985797959</v>
      </c>
      <c r="W154" s="420">
        <f t="shared" si="27"/>
        <v>13.501350238813449</v>
      </c>
      <c r="X154" s="420">
        <f t="shared" si="28"/>
        <v>13.501350238813449</v>
      </c>
      <c r="Z154" s="424">
        <f t="shared" si="23"/>
        <v>7.012333160423764</v>
      </c>
      <c r="AA154" s="424">
        <f t="shared" si="24"/>
        <v>0.12190064951933917</v>
      </c>
      <c r="AB154" s="424">
        <f t="shared" si="25"/>
        <v>0.66562935964135861</v>
      </c>
    </row>
    <row r="155" spans="2:28" x14ac:dyDescent="0.35">
      <c r="B155" s="557" t="s">
        <v>254</v>
      </c>
      <c r="C155" s="557" t="s">
        <v>152</v>
      </c>
      <c r="D155" s="568" t="str">
        <f>INDEX('HCW, Staff, Beds Summary'!$E$7:$E$270,MATCH($C155,'HCW, Staff, Beds Summary'!$C$7:$C$270,0))</f>
        <v>Upper middle income</v>
      </c>
      <c r="E155" s="423">
        <f>VLOOKUP($C155,'UNDP Population Data'!$D$6:$E$269,2,FALSE)</f>
        <v>200117</v>
      </c>
      <c r="F155" s="558"/>
      <c r="G155" s="559">
        <v>2018</v>
      </c>
      <c r="H155" s="564">
        <v>24.885000000000002</v>
      </c>
      <c r="I155" s="565">
        <v>488</v>
      </c>
      <c r="J155" s="565">
        <v>488</v>
      </c>
      <c r="K155" s="565" t="s">
        <v>748</v>
      </c>
      <c r="L155" s="76"/>
      <c r="M155" s="565">
        <v>2014</v>
      </c>
      <c r="N155" s="566">
        <v>37</v>
      </c>
      <c r="O155" s="566"/>
      <c r="P155" s="76"/>
      <c r="Q155" s="565">
        <v>2016</v>
      </c>
      <c r="R155" s="565">
        <v>67</v>
      </c>
      <c r="S155" s="76"/>
      <c r="T155" s="567">
        <f>IFERROR(INDEX('UNDP Population Data'!$G$6:$G$223,MATCH($C155,'UNDP Population Data'!$D$6:$D$222,0))*100,0)</f>
        <v>0.64783094030809174</v>
      </c>
      <c r="U155" s="420">
        <f t="shared" si="26"/>
        <v>494.34331060185531</v>
      </c>
      <c r="V155" s="420">
        <f t="shared" si="22"/>
        <v>68.753131237258799</v>
      </c>
      <c r="W155" s="420">
        <f t="shared" si="27"/>
        <v>38.461679375844227</v>
      </c>
      <c r="X155" s="420">
        <f t="shared" si="28"/>
        <v>38.461679375844227</v>
      </c>
      <c r="Z155" s="424">
        <f t="shared" si="23"/>
        <v>2.4702714442144109</v>
      </c>
      <c r="AA155" s="424">
        <f t="shared" si="24"/>
        <v>0.19219596224130997</v>
      </c>
      <c r="AB155" s="424">
        <f t="shared" si="25"/>
        <v>0.34356467085384451</v>
      </c>
    </row>
    <row r="156" spans="2:28" x14ac:dyDescent="0.35">
      <c r="B156" s="557" t="s">
        <v>512</v>
      </c>
      <c r="C156" s="557" t="s">
        <v>130</v>
      </c>
      <c r="D156" s="568" t="str">
        <f>INDEX('HCW, Staff, Beds Summary'!$E$7:$E$270,MATCH($C156,'HCW, Staff, Beds Summary'!$C$7:$C$270,0))</f>
        <v>High income</v>
      </c>
      <c r="E156" s="423">
        <f>VLOOKUP($C156,'UNDP Population Data'!$D$6:$E$269,2,FALSE)</f>
        <v>33809</v>
      </c>
      <c r="F156" s="558"/>
      <c r="G156" s="559">
        <v>2014</v>
      </c>
      <c r="H156" s="564">
        <v>82.066999999999993</v>
      </c>
      <c r="I156" s="565">
        <v>270</v>
      </c>
      <c r="J156" s="565">
        <v>253</v>
      </c>
      <c r="K156" s="565">
        <v>17</v>
      </c>
      <c r="L156" s="76"/>
      <c r="M156" s="565"/>
      <c r="N156" s="566"/>
      <c r="O156" s="566"/>
      <c r="P156" s="76"/>
      <c r="Q156" s="565">
        <v>2014</v>
      </c>
      <c r="R156" s="565">
        <v>201</v>
      </c>
      <c r="S156" s="76"/>
      <c r="T156" s="567">
        <f>IFERROR(INDEX('UNDP Population Data'!$G$6:$G$223,MATCH($C156,'UNDP Population Data'!$D$6:$D$222,0))*100,0)</f>
        <v>0.50994248719173907</v>
      </c>
      <c r="U156" s="420">
        <f t="shared" si="26"/>
        <v>260.84028620267452</v>
      </c>
      <c r="V156" s="420">
        <f t="shared" si="22"/>
        <v>207.22884397919989</v>
      </c>
      <c r="W156" s="420">
        <f t="shared" si="27"/>
        <v>0</v>
      </c>
      <c r="X156" s="420">
        <f t="shared" si="28"/>
        <v>18.034719809491836</v>
      </c>
      <c r="Z156" s="424">
        <f t="shared" si="23"/>
        <v>7.7151139105763118</v>
      </c>
      <c r="AA156" s="424">
        <f t="shared" si="24"/>
        <v>0</v>
      </c>
      <c r="AB156" s="424">
        <f t="shared" si="25"/>
        <v>6.1293987985211009</v>
      </c>
    </row>
    <row r="157" spans="2:28" x14ac:dyDescent="0.35">
      <c r="B157" s="557" t="s">
        <v>211</v>
      </c>
      <c r="C157" s="557" t="s">
        <v>175</v>
      </c>
      <c r="D157" s="568" t="str">
        <f>INDEX('HCW, Staff, Beds Summary'!$E$7:$E$270,MATCH($C157,'HCW, Staff, Beds Summary'!$C$7:$C$270,0))</f>
        <v>Lower middle income</v>
      </c>
      <c r="E157" s="423">
        <f>VLOOKUP($C157,'UNDP Population Data'!$D$6:$E$269,2,FALSE)</f>
        <v>218011</v>
      </c>
      <c r="F157" s="558"/>
      <c r="G157" s="559">
        <v>2018</v>
      </c>
      <c r="H157" s="564">
        <v>19.242000000000001</v>
      </c>
      <c r="I157" s="565">
        <v>406</v>
      </c>
      <c r="J157" s="565">
        <v>406</v>
      </c>
      <c r="K157" s="565" t="s">
        <v>748</v>
      </c>
      <c r="L157" s="76"/>
      <c r="M157" s="565">
        <v>2004</v>
      </c>
      <c r="N157" s="566"/>
      <c r="O157" s="566">
        <v>44</v>
      </c>
      <c r="P157" s="76"/>
      <c r="Q157" s="565">
        <v>2017</v>
      </c>
      <c r="R157" s="565">
        <v>11</v>
      </c>
      <c r="S157" s="76"/>
      <c r="T157" s="567">
        <f>IFERROR(INDEX('UNDP Population Data'!$G$6:$G$223,MATCH($C157,'UNDP Population Data'!$D$6:$D$222,0))*100,0)</f>
        <v>2.1980913080446474</v>
      </c>
      <c r="U157" s="420">
        <f t="shared" si="26"/>
        <v>424.04466460050168</v>
      </c>
      <c r="V157" s="420">
        <f t="shared" si="22"/>
        <v>11.741431252877922</v>
      </c>
      <c r="W157" s="420">
        <f t="shared" si="27"/>
        <v>62.307056316549179</v>
      </c>
      <c r="X157" s="420">
        <f t="shared" si="28"/>
        <v>62.307056316549179</v>
      </c>
      <c r="Z157" s="424">
        <f t="shared" si="23"/>
        <v>1.9450608666558187</v>
      </c>
      <c r="AA157" s="424">
        <f t="shared" si="24"/>
        <v>0.28579776395020973</v>
      </c>
      <c r="AB157" s="424">
        <f t="shared" si="25"/>
        <v>5.3857058831333834E-2</v>
      </c>
    </row>
    <row r="158" spans="2:28" x14ac:dyDescent="0.35">
      <c r="B158" s="557" t="s">
        <v>513</v>
      </c>
      <c r="C158" s="557" t="s">
        <v>124</v>
      </c>
      <c r="D158" s="568" t="str">
        <f>INDEX('HCW, Staff, Beds Summary'!$E$7:$E$270,MATCH($C158,'HCW, Staff, Beds Summary'!$C$7:$C$270,0))</f>
        <v>High income</v>
      </c>
      <c r="E158" s="423">
        <f>VLOOKUP($C158,'UNDP Population Data'!$D$6:$E$269,2,FALSE)</f>
        <v>34709640</v>
      </c>
      <c r="F158" s="558"/>
      <c r="G158" s="559">
        <v>2018</v>
      </c>
      <c r="H158" s="564">
        <v>54.762999999999998</v>
      </c>
      <c r="I158" s="565">
        <v>184565</v>
      </c>
      <c r="J158" s="565">
        <v>180571</v>
      </c>
      <c r="K158" s="565">
        <v>3994</v>
      </c>
      <c r="L158" s="76"/>
      <c r="M158" s="565">
        <v>2018</v>
      </c>
      <c r="N158" s="566">
        <v>12052</v>
      </c>
      <c r="O158" s="566">
        <v>10709</v>
      </c>
      <c r="P158" s="76"/>
      <c r="Q158" s="565">
        <v>2018</v>
      </c>
      <c r="R158" s="565">
        <v>88023</v>
      </c>
      <c r="S158" s="76"/>
      <c r="T158" s="567">
        <f>IFERROR(INDEX('UNDP Population Data'!$G$6:$G$223,MATCH($C158,'UNDP Population Data'!$D$6:$D$222,0))*100,0)</f>
        <v>1.9225975948413021</v>
      </c>
      <c r="U158" s="420">
        <f t="shared" si="26"/>
        <v>187581.05333655648</v>
      </c>
      <c r="V158" s="420">
        <f t="shared" si="22"/>
        <v>91440.192820794662</v>
      </c>
      <c r="W158" s="420">
        <f t="shared" si="27"/>
        <v>23644.618211082412</v>
      </c>
      <c r="X158" s="420">
        <f t="shared" si="28"/>
        <v>23644.618211082412</v>
      </c>
      <c r="Z158" s="424">
        <f t="shared" si="23"/>
        <v>5.4042926788222667</v>
      </c>
      <c r="AA158" s="424">
        <f t="shared" si="24"/>
        <v>0.68121185385623162</v>
      </c>
      <c r="AB158" s="424">
        <f t="shared" si="25"/>
        <v>2.6344321871616838</v>
      </c>
    </row>
    <row r="159" spans="2:28" x14ac:dyDescent="0.35">
      <c r="B159" s="557" t="s">
        <v>212</v>
      </c>
      <c r="C159" s="557" t="s">
        <v>126</v>
      </c>
      <c r="D159" s="568" t="str">
        <f>INDEX('HCW, Staff, Beds Summary'!$E$7:$E$270,MATCH($C159,'HCW, Staff, Beds Summary'!$C$7:$C$270,0))</f>
        <v>Lower middle income</v>
      </c>
      <c r="E159" s="423">
        <f>VLOOKUP($C159,'UNDP Population Data'!$D$6:$E$269,2,FALSE)</f>
        <v>17200154</v>
      </c>
      <c r="F159" s="558"/>
      <c r="G159" s="559">
        <v>2017</v>
      </c>
      <c r="H159" s="564">
        <v>3.1269999999999998</v>
      </c>
      <c r="I159" s="565">
        <v>4822</v>
      </c>
      <c r="J159" s="565">
        <v>2820</v>
      </c>
      <c r="K159" s="565">
        <v>2002</v>
      </c>
      <c r="L159" s="76"/>
      <c r="M159" s="565">
        <v>2017</v>
      </c>
      <c r="N159" s="566">
        <v>37</v>
      </c>
      <c r="O159" s="566"/>
      <c r="P159" s="76"/>
      <c r="Q159" s="565">
        <v>2017</v>
      </c>
      <c r="R159" s="565">
        <v>1066</v>
      </c>
      <c r="S159" s="76"/>
      <c r="T159" s="567">
        <f>IFERROR(INDEX('UNDP Population Data'!$G$6:$G$223,MATCH($C159,'UNDP Population Data'!$D$6:$D$222,0))*100,0)</f>
        <v>2.8067276928300133</v>
      </c>
      <c r="U159" s="420">
        <f t="shared" si="26"/>
        <v>3064.1760661591634</v>
      </c>
      <c r="V159" s="420">
        <f t="shared" si="22"/>
        <v>1158.3020164984639</v>
      </c>
      <c r="W159" s="420">
        <f t="shared" si="27"/>
        <v>40.203728527620228</v>
      </c>
      <c r="X159" s="420">
        <f t="shared" si="28"/>
        <v>40.203728527620228</v>
      </c>
      <c r="Z159" s="424">
        <f t="shared" si="23"/>
        <v>0.17814817624069898</v>
      </c>
      <c r="AA159" s="424">
        <f t="shared" si="24"/>
        <v>2.337405149257398E-3</v>
      </c>
      <c r="AB159" s="424">
        <f t="shared" si="25"/>
        <v>6.7342537543469888E-2</v>
      </c>
    </row>
    <row r="160" spans="2:28" x14ac:dyDescent="0.35">
      <c r="B160" s="557" t="s">
        <v>514</v>
      </c>
      <c r="C160" s="557" t="s">
        <v>131</v>
      </c>
      <c r="D160" s="568" t="str">
        <f>INDEX('HCW, Staff, Beds Summary'!$E$7:$E$270,MATCH($C160,'HCW, Staff, Beds Summary'!$C$7:$C$270,0))</f>
        <v>Upper middle income</v>
      </c>
      <c r="E160" s="423">
        <f>VLOOKUP($C160,'UNDP Population Data'!$D$6:$E$269,2,FALSE)</f>
        <v>8703942</v>
      </c>
      <c r="F160" s="558"/>
      <c r="G160" s="559">
        <v>2016</v>
      </c>
      <c r="H160" s="564">
        <v>60.854999999999997</v>
      </c>
      <c r="I160" s="565">
        <v>53881</v>
      </c>
      <c r="J160" s="565">
        <v>53881</v>
      </c>
      <c r="K160" s="565" t="s">
        <v>748</v>
      </c>
      <c r="L160" s="76"/>
      <c r="M160" s="565">
        <v>2016</v>
      </c>
      <c r="N160" s="566"/>
      <c r="O160" s="566">
        <v>5652</v>
      </c>
      <c r="P160" s="76"/>
      <c r="Q160" s="565">
        <v>2016</v>
      </c>
      <c r="R160" s="565">
        <v>27563</v>
      </c>
      <c r="S160" s="76"/>
      <c r="T160" s="567">
        <f>IFERROR(INDEX('UNDP Population Data'!$G$6:$G$223,MATCH($C160,'UNDP Population Data'!$D$6:$D$222,0))*100,0)</f>
        <v>-0.33515818367023664</v>
      </c>
      <c r="U160" s="420">
        <f t="shared" si="26"/>
        <v>53162.277073064171</v>
      </c>
      <c r="V160" s="420">
        <f t="shared" si="22"/>
        <v>27195.334959723608</v>
      </c>
      <c r="W160" s="420">
        <f t="shared" si="27"/>
        <v>5576.6075243027917</v>
      </c>
      <c r="X160" s="420">
        <f t="shared" si="28"/>
        <v>5576.6075243027917</v>
      </c>
      <c r="Z160" s="424">
        <f t="shared" si="23"/>
        <v>6.1078390771749369</v>
      </c>
      <c r="AA160" s="424">
        <f t="shared" si="24"/>
        <v>0.64069906765265572</v>
      </c>
      <c r="AB160" s="424">
        <f t="shared" si="25"/>
        <v>3.124484855221187</v>
      </c>
    </row>
    <row r="161" spans="2:28" x14ac:dyDescent="0.35">
      <c r="B161" s="557" t="s">
        <v>213</v>
      </c>
      <c r="C161" s="557" t="s">
        <v>135</v>
      </c>
      <c r="D161" s="568" t="str">
        <f>INDEX('HCW, Staff, Beds Summary'!$E$7:$E$270,MATCH($C161,'HCW, Staff, Beds Summary'!$C$7:$C$270,0))</f>
        <v>High income</v>
      </c>
      <c r="E161" s="423">
        <f>VLOOKUP($C161,'UNDP Population Data'!$D$6:$E$269,2,FALSE)</f>
        <v>96112</v>
      </c>
      <c r="F161" s="558"/>
      <c r="G161" s="559">
        <v>2016</v>
      </c>
      <c r="H161" s="564">
        <v>80.772999999999996</v>
      </c>
      <c r="I161" s="565">
        <v>773</v>
      </c>
      <c r="J161" s="565">
        <v>684</v>
      </c>
      <c r="K161" s="565">
        <v>89</v>
      </c>
      <c r="L161" s="76"/>
      <c r="M161" s="565">
        <v>2004</v>
      </c>
      <c r="N161" s="566"/>
      <c r="O161" s="566">
        <v>46</v>
      </c>
      <c r="P161" s="76"/>
      <c r="Q161" s="565">
        <v>2016</v>
      </c>
      <c r="R161" s="565">
        <v>203</v>
      </c>
      <c r="S161" s="76"/>
      <c r="T161" s="567">
        <f>IFERROR(INDEX('UNDP Population Data'!$G$6:$G$223,MATCH($C161,'UNDP Population Data'!$D$6:$D$222,0))*100,0)</f>
        <v>0.50060586962428211</v>
      </c>
      <c r="U161" s="420">
        <f t="shared" si="26"/>
        <v>697.79976906679053</v>
      </c>
      <c r="V161" s="420">
        <f t="shared" si="22"/>
        <v>207.09554549789249</v>
      </c>
      <c r="W161" s="420">
        <f t="shared" si="27"/>
        <v>49.826078779316454</v>
      </c>
      <c r="X161" s="420">
        <f t="shared" si="28"/>
        <v>49.826078779316454</v>
      </c>
      <c r="Z161" s="424">
        <f t="shared" si="23"/>
        <v>7.2602772709629448</v>
      </c>
      <c r="AA161" s="424">
        <f t="shared" si="24"/>
        <v>0.51841683431118335</v>
      </c>
      <c r="AB161" s="424">
        <f t="shared" si="25"/>
        <v>2.1547314122887102</v>
      </c>
    </row>
    <row r="162" spans="2:28" x14ac:dyDescent="0.35">
      <c r="B162" s="557" t="s">
        <v>214</v>
      </c>
      <c r="C162" s="557" t="s">
        <v>129</v>
      </c>
      <c r="D162" s="568" t="str">
        <f>INDEX('HCW, Staff, Beds Summary'!$E$7:$E$270,MATCH($C162,'HCW, Staff, Beds Summary'!$C$7:$C$270,0))</f>
        <v>Low income</v>
      </c>
      <c r="E162" s="423">
        <f>VLOOKUP($C162,'UNDP Population Data'!$D$6:$E$269,2,FALSE)</f>
        <v>8046931</v>
      </c>
      <c r="F162" s="558"/>
      <c r="G162" s="559">
        <v>2016</v>
      </c>
      <c r="H162" s="564">
        <v>2.2389999999999999</v>
      </c>
      <c r="I162" s="565">
        <v>1641</v>
      </c>
      <c r="J162" s="565">
        <v>1328</v>
      </c>
      <c r="K162" s="565">
        <v>313</v>
      </c>
      <c r="L162" s="76"/>
      <c r="M162" s="565">
        <v>2011</v>
      </c>
      <c r="N162" s="566">
        <v>183</v>
      </c>
      <c r="O162" s="566">
        <v>78</v>
      </c>
      <c r="P162" s="76"/>
      <c r="Q162" s="565">
        <v>2011</v>
      </c>
      <c r="R162" s="565">
        <v>165</v>
      </c>
      <c r="S162" s="76"/>
      <c r="T162" s="567">
        <f>IFERROR(INDEX('UNDP Population Data'!$G$6:$G$223,MATCH($C162,'UNDP Population Data'!$D$6:$D$222,0))*100,0)</f>
        <v>2.1442775084454579</v>
      </c>
      <c r="U162" s="420">
        <f t="shared" si="26"/>
        <v>1445.6203016898235</v>
      </c>
      <c r="V162" s="420">
        <f t="shared" si="22"/>
        <v>199.71482878634072</v>
      </c>
      <c r="W162" s="420">
        <f t="shared" si="27"/>
        <v>315.91254735293893</v>
      </c>
      <c r="X162" s="420">
        <f t="shared" si="28"/>
        <v>315.91254735293893</v>
      </c>
      <c r="Z162" s="424">
        <f t="shared" si="23"/>
        <v>0.17964865135414029</v>
      </c>
      <c r="AA162" s="424">
        <f t="shared" si="24"/>
        <v>3.9258761800360774E-2</v>
      </c>
      <c r="AB162" s="424">
        <f t="shared" si="25"/>
        <v>2.4818757459998193E-2</v>
      </c>
    </row>
    <row r="163" spans="2:28" x14ac:dyDescent="0.35">
      <c r="B163" s="557" t="s">
        <v>515</v>
      </c>
      <c r="C163" s="557" t="s">
        <v>127</v>
      </c>
      <c r="D163" s="568" t="str">
        <f>INDEX('HCW, Staff, Beds Summary'!$E$7:$E$270,MATCH($C163,'HCW, Staff, Beds Summary'!$C$7:$C$270,0))</f>
        <v>High income</v>
      </c>
      <c r="E163" s="423">
        <f>VLOOKUP($C163,'UNDP Population Data'!$D$6:$E$269,2,FALSE)</f>
        <v>5935053</v>
      </c>
      <c r="F163" s="558"/>
      <c r="G163" s="559">
        <v>2017</v>
      </c>
      <c r="H163" s="564">
        <v>62.432000000000002</v>
      </c>
      <c r="I163" s="565">
        <v>35636</v>
      </c>
      <c r="J163" s="565">
        <v>35636</v>
      </c>
      <c r="K163" s="565" t="s">
        <v>748</v>
      </c>
      <c r="L163" s="76"/>
      <c r="M163" s="565"/>
      <c r="N163" s="566"/>
      <c r="O163" s="566"/>
      <c r="P163" s="76"/>
      <c r="Q163" s="565">
        <v>2016</v>
      </c>
      <c r="R163" s="565">
        <v>12967</v>
      </c>
      <c r="S163" s="76"/>
      <c r="T163" s="567">
        <f>IFERROR(INDEX('UNDP Population Data'!$G$6:$G$223,MATCH($C163,'UNDP Population Data'!$D$6:$D$222,0))*100,0)</f>
        <v>1.4045130508548942</v>
      </c>
      <c r="U163" s="420">
        <f t="shared" si="26"/>
        <v>37158.724826800557</v>
      </c>
      <c r="V163" s="420">
        <f t="shared" si="22"/>
        <v>13710.984705744746</v>
      </c>
      <c r="W163" s="420">
        <f t="shared" si="27"/>
        <v>0</v>
      </c>
      <c r="X163" s="420">
        <f t="shared" si="28"/>
        <v>3165.9326779698877</v>
      </c>
      <c r="Z163" s="424">
        <f t="shared" si="23"/>
        <v>6.2608918280595907</v>
      </c>
      <c r="AA163" s="424">
        <f t="shared" si="24"/>
        <v>0</v>
      </c>
      <c r="AB163" s="424">
        <f t="shared" si="25"/>
        <v>2.3101705588382693</v>
      </c>
    </row>
    <row r="164" spans="2:28" x14ac:dyDescent="0.35">
      <c r="B164" s="557" t="s">
        <v>1140</v>
      </c>
      <c r="C164" s="557" t="s">
        <v>519</v>
      </c>
      <c r="D164" s="568" t="str">
        <f>INDEX('HCW, Staff, Beds Summary'!$E$7:$E$270,MATCH($C164,'HCW, Staff, Beds Summary'!$C$7:$C$270,0))</f>
        <v>High income</v>
      </c>
      <c r="E164" s="423">
        <f>VLOOKUP($C164,'UNDP Population Data'!$D$6:$E$269,2,FALSE)</f>
        <v>5451400</v>
      </c>
      <c r="F164" s="558"/>
      <c r="G164" s="559">
        <v>2016</v>
      </c>
      <c r="H164" s="564">
        <v>60.670999999999999</v>
      </c>
      <c r="I164" s="565">
        <v>33017</v>
      </c>
      <c r="J164" s="565">
        <v>31183</v>
      </c>
      <c r="K164" s="565">
        <v>1834</v>
      </c>
      <c r="L164" s="76"/>
      <c r="M164" s="565">
        <v>2015</v>
      </c>
      <c r="N164" s="566"/>
      <c r="O164" s="566">
        <v>3147</v>
      </c>
      <c r="P164" s="76"/>
      <c r="Q164" s="565">
        <v>2017</v>
      </c>
      <c r="R164" s="565">
        <v>18608</v>
      </c>
      <c r="S164" s="76"/>
      <c r="T164" s="567">
        <f>IFERROR(INDEX('UNDP Population Data'!$G$6:$G$223,MATCH($C164,'UNDP Population Data'!$D$6:$D$222,0))*100,0)</f>
        <v>4.4385268532165512E-2</v>
      </c>
      <c r="U164" s="420">
        <f t="shared" si="26"/>
        <v>31238.399503333567</v>
      </c>
      <c r="V164" s="420">
        <f t="shared" si="22"/>
        <v>18632.788631551142</v>
      </c>
      <c r="W164" s="420">
        <f t="shared" si="27"/>
        <v>3153.9902245097664</v>
      </c>
      <c r="X164" s="420">
        <f t="shared" si="28"/>
        <v>3153.9902245097664</v>
      </c>
      <c r="Z164" s="424">
        <f t="shared" si="23"/>
        <v>5.7303444075528427</v>
      </c>
      <c r="AA164" s="424">
        <f t="shared" si="24"/>
        <v>0.57856518041416272</v>
      </c>
      <c r="AB164" s="424">
        <f t="shared" si="25"/>
        <v>3.417982285569054</v>
      </c>
    </row>
    <row r="165" spans="2:28" x14ac:dyDescent="0.35">
      <c r="B165" s="557" t="s">
        <v>520</v>
      </c>
      <c r="C165" s="557" t="s">
        <v>132</v>
      </c>
      <c r="D165" s="568" t="str">
        <f>INDEX('HCW, Staff, Beds Summary'!$E$7:$E$270,MATCH($C165,'HCW, Staff, Beds Summary'!$C$7:$C$270,0))</f>
        <v>High income</v>
      </c>
      <c r="E165" s="423">
        <f>VLOOKUP($C165,'UNDP Population Data'!$D$6:$E$269,2,FALSE)</f>
        <v>2082054.9999999998</v>
      </c>
      <c r="F165" s="558"/>
      <c r="G165" s="559">
        <v>2017</v>
      </c>
      <c r="H165" s="564">
        <v>99.745000000000005</v>
      </c>
      <c r="I165" s="565">
        <v>20711</v>
      </c>
      <c r="J165" s="565">
        <v>20505</v>
      </c>
      <c r="K165" s="565">
        <v>206</v>
      </c>
      <c r="L165" s="76"/>
      <c r="M165" s="565"/>
      <c r="N165" s="566"/>
      <c r="O165" s="566"/>
      <c r="P165" s="76"/>
      <c r="Q165" s="565">
        <v>2017</v>
      </c>
      <c r="R165" s="565">
        <v>6408</v>
      </c>
      <c r="S165" s="76"/>
      <c r="T165" s="567">
        <f>IFERROR(INDEX('UNDP Population Data'!$G$6:$G$223,MATCH($C165,'UNDP Population Data'!$D$6:$D$222,0))*100,0)</f>
        <v>6.9952594669131507E-2</v>
      </c>
      <c r="U165" s="420">
        <f t="shared" si="26"/>
        <v>20548.061447167533</v>
      </c>
      <c r="V165" s="420">
        <f t="shared" si="22"/>
        <v>6421.4570959985149</v>
      </c>
      <c r="W165" s="420">
        <f t="shared" si="27"/>
        <v>0</v>
      </c>
      <c r="X165" s="420">
        <f t="shared" si="28"/>
        <v>1110.6296711807956</v>
      </c>
      <c r="Z165" s="424">
        <f t="shared" si="23"/>
        <v>9.8691251898569128</v>
      </c>
      <c r="AA165" s="424">
        <f t="shared" si="24"/>
        <v>0</v>
      </c>
      <c r="AB165" s="424">
        <f t="shared" si="25"/>
        <v>3.0841918662083927</v>
      </c>
    </row>
    <row r="166" spans="2:28" x14ac:dyDescent="0.35">
      <c r="B166" s="557" t="s">
        <v>255</v>
      </c>
      <c r="C166" s="557" t="s">
        <v>128</v>
      </c>
      <c r="D166" s="568" t="str">
        <f>INDEX('HCW, Staff, Beds Summary'!$E$7:$E$270,MATCH($C166,'HCW, Staff, Beds Summary'!$C$7:$C$270,0))</f>
        <v>Lower middle income</v>
      </c>
      <c r="E166" s="423">
        <f>VLOOKUP($C166,'UNDP Population Data'!$D$6:$E$269,2,FALSE)</f>
        <v>647297</v>
      </c>
      <c r="F166" s="558"/>
      <c r="G166" s="559">
        <v>2018</v>
      </c>
      <c r="H166" s="564">
        <v>21.641999999999999</v>
      </c>
      <c r="I166" s="565">
        <v>1413</v>
      </c>
      <c r="J166" s="565">
        <v>1413</v>
      </c>
      <c r="K166" s="565" t="s">
        <v>748</v>
      </c>
      <c r="L166" s="76"/>
      <c r="M166" s="565">
        <v>2013</v>
      </c>
      <c r="N166" s="566"/>
      <c r="O166" s="566">
        <v>42</v>
      </c>
      <c r="P166" s="76"/>
      <c r="Q166" s="565">
        <v>2016</v>
      </c>
      <c r="R166" s="565">
        <v>120</v>
      </c>
      <c r="S166" s="76"/>
      <c r="T166" s="567">
        <f>IFERROR(INDEX('UNDP Population Data'!$G$6:$G$223,MATCH($C166,'UNDP Population Data'!$D$6:$D$222,0))*100,0)</f>
        <v>1.9581169396492237</v>
      </c>
      <c r="U166" s="420">
        <f t="shared" si="26"/>
        <v>1468.8781602759291</v>
      </c>
      <c r="V166" s="420">
        <f t="shared" si="22"/>
        <v>129.67864670255412</v>
      </c>
      <c r="W166" s="420">
        <f t="shared" si="27"/>
        <v>48.106297389380885</v>
      </c>
      <c r="X166" s="420">
        <f t="shared" si="28"/>
        <v>48.106297389380885</v>
      </c>
      <c r="Z166" s="424">
        <f t="shared" si="23"/>
        <v>2.2692491395386187</v>
      </c>
      <c r="AA166" s="424">
        <f t="shared" si="24"/>
        <v>7.4318739912869802E-2</v>
      </c>
      <c r="AB166" s="424">
        <f t="shared" si="25"/>
        <v>0.20033871113654803</v>
      </c>
    </row>
    <row r="167" spans="2:28" x14ac:dyDescent="0.35">
      <c r="B167" s="557" t="s">
        <v>232</v>
      </c>
      <c r="C167" s="557" t="s">
        <v>171</v>
      </c>
      <c r="D167" s="568" t="str">
        <f>INDEX('HCW, Staff, Beds Summary'!$E$7:$E$270,MATCH($C167,'HCW, Staff, Beds Summary'!$C$7:$C$270,0))</f>
        <v>Low income</v>
      </c>
      <c r="E167" s="423">
        <f>VLOOKUP($C167,'UNDP Population Data'!$D$6:$E$269,2,FALSE)</f>
        <v>16105174</v>
      </c>
      <c r="F167" s="558"/>
      <c r="G167" s="559">
        <v>2014</v>
      </c>
      <c r="H167" s="564">
        <v>1.119</v>
      </c>
      <c r="I167" s="565">
        <v>1502</v>
      </c>
      <c r="J167" s="565">
        <v>825</v>
      </c>
      <c r="K167" s="565">
        <v>677</v>
      </c>
      <c r="L167" s="76"/>
      <c r="M167" s="565">
        <v>2005</v>
      </c>
      <c r="N167" s="566"/>
      <c r="O167" s="566">
        <v>149</v>
      </c>
      <c r="P167" s="76"/>
      <c r="Q167" s="565">
        <v>2014</v>
      </c>
      <c r="R167" s="565">
        <v>309</v>
      </c>
      <c r="S167" s="76"/>
      <c r="T167" s="567">
        <f>IFERROR(INDEX('UNDP Population Data'!$G$6:$G$223,MATCH($C167,'UNDP Population Data'!$D$6:$D$222,0))*100,0)</f>
        <v>2.9767881931400009</v>
      </c>
      <c r="U167" s="420">
        <f t="shared" si="26"/>
        <v>983.76190697154516</v>
      </c>
      <c r="V167" s="420">
        <f t="shared" si="22"/>
        <v>368.46355061116054</v>
      </c>
      <c r="W167" s="420">
        <f t="shared" si="27"/>
        <v>231.35367457084297</v>
      </c>
      <c r="X167" s="420">
        <f t="shared" si="28"/>
        <v>231.35367457084297</v>
      </c>
      <c r="Z167" s="424">
        <f t="shared" si="23"/>
        <v>6.1083593817213351E-2</v>
      </c>
      <c r="AA167" s="424">
        <f t="shared" si="24"/>
        <v>1.4365176965541817E-2</v>
      </c>
      <c r="AB167" s="424">
        <f t="shared" si="25"/>
        <v>2.287858241153809E-2</v>
      </c>
    </row>
    <row r="168" spans="2:28" x14ac:dyDescent="0.35">
      <c r="B168" s="557" t="s">
        <v>178</v>
      </c>
      <c r="C168" s="557" t="s">
        <v>154</v>
      </c>
      <c r="D168" s="568" t="str">
        <f>INDEX('HCW, Staff, Beds Summary'!$E$7:$E$270,MATCH($C168,'HCW, Staff, Beds Summary'!$C$7:$C$270,0))</f>
        <v>Upper middle income</v>
      </c>
      <c r="E168" s="423">
        <f>VLOOKUP($C168,'UNDP Population Data'!$D$6:$E$269,2,FALSE)</f>
        <v>58721229</v>
      </c>
      <c r="F168" s="558"/>
      <c r="G168" s="559">
        <v>2017</v>
      </c>
      <c r="H168" s="564">
        <v>13.077999999999999</v>
      </c>
      <c r="I168" s="565">
        <v>74556</v>
      </c>
      <c r="J168" s="565">
        <v>74556</v>
      </c>
      <c r="K168" s="565" t="s">
        <v>748</v>
      </c>
      <c r="L168" s="76"/>
      <c r="M168" s="565">
        <v>2015</v>
      </c>
      <c r="N168" s="566">
        <v>149</v>
      </c>
      <c r="O168" s="566">
        <v>453</v>
      </c>
      <c r="P168" s="76"/>
      <c r="Q168" s="565">
        <v>2017</v>
      </c>
      <c r="R168" s="565">
        <v>51616</v>
      </c>
      <c r="S168" s="76"/>
      <c r="T168" s="567">
        <f>IFERROR(INDEX('UNDP Population Data'!$G$6:$G$223,MATCH($C168,'UNDP Population Data'!$D$6:$D$222,0))*100,0)</f>
        <v>1.2110160897487399</v>
      </c>
      <c r="U168" s="420">
        <f t="shared" si="26"/>
        <v>77297.590134670609</v>
      </c>
      <c r="V168" s="420">
        <f t="shared" ref="V168:V201" si="29">IFERROR(R168*(1+$T168/100)^(2020-$Q168),R168)</f>
        <v>53514.035253918642</v>
      </c>
      <c r="W168" s="420">
        <f t="shared" si="27"/>
        <v>639.34520998585185</v>
      </c>
      <c r="X168" s="420">
        <f t="shared" si="28"/>
        <v>639.34520998585185</v>
      </c>
      <c r="Z168" s="424">
        <f t="shared" ref="Z168:Z201" si="30">IFERROR(U168/E168*1000,0)</f>
        <v>1.3163483028373026</v>
      </c>
      <c r="AA168" s="424">
        <f t="shared" ref="AA168:AA201" si="31">IFERROR(W168/E168*1000,0)</f>
        <v>1.0887803625258794E-2</v>
      </c>
      <c r="AB168" s="424">
        <f t="shared" ref="AB168:AB201" si="32">IFERROR(V168/E168*1000,0)</f>
        <v>0.91132348837451349</v>
      </c>
    </row>
    <row r="169" spans="2:28" x14ac:dyDescent="0.35">
      <c r="B169" s="557" t="s">
        <v>529</v>
      </c>
      <c r="C169" s="557" t="s">
        <v>40</v>
      </c>
      <c r="D169" s="568" t="str">
        <f>INDEX('HCW, Staff, Beds Summary'!$E$7:$E$270,MATCH($C169,'HCW, Staff, Beds Summary'!$C$7:$C$270,0))</f>
        <v>High income</v>
      </c>
      <c r="E169" s="423">
        <f>VLOOKUP($C169,'UNDP Population Data'!$D$6:$E$269,2,FALSE)</f>
        <v>46459219</v>
      </c>
      <c r="F169" s="558"/>
      <c r="G169" s="559">
        <v>2017</v>
      </c>
      <c r="H169" s="564">
        <v>57.295000000000002</v>
      </c>
      <c r="I169" s="565">
        <v>267266</v>
      </c>
      <c r="J169" s="565">
        <v>267266</v>
      </c>
      <c r="K169" s="565" t="s">
        <v>748</v>
      </c>
      <c r="L169" s="76"/>
      <c r="M169" s="565"/>
      <c r="N169" s="566"/>
      <c r="O169" s="566"/>
      <c r="P169" s="76"/>
      <c r="Q169" s="565">
        <v>2017</v>
      </c>
      <c r="R169" s="565">
        <v>180633</v>
      </c>
      <c r="S169" s="76"/>
      <c r="T169" s="567">
        <f>IFERROR(INDEX('UNDP Population Data'!$G$6:$G$223,MATCH($C169,'UNDP Population Data'!$D$6:$D$222,0))*100,0)</f>
        <v>2.6519593911000783E-2</v>
      </c>
      <c r="U169" s="420">
        <f t="shared" si="26"/>
        <v>267478.68996813148</v>
      </c>
      <c r="V169" s="420">
        <f t="shared" si="29"/>
        <v>180776.74752872979</v>
      </c>
      <c r="W169" s="420">
        <f t="shared" si="27"/>
        <v>0</v>
      </c>
      <c r="X169" s="420">
        <f t="shared" si="28"/>
        <v>24782.720495513604</v>
      </c>
      <c r="Z169" s="424">
        <f t="shared" si="30"/>
        <v>5.7572790874536972</v>
      </c>
      <c r="AA169" s="424">
        <f t="shared" si="31"/>
        <v>0</v>
      </c>
      <c r="AB169" s="424">
        <f t="shared" si="32"/>
        <v>3.8910845128225207</v>
      </c>
    </row>
    <row r="170" spans="2:28" x14ac:dyDescent="0.35">
      <c r="B170" s="557" t="s">
        <v>245</v>
      </c>
      <c r="C170" s="557" t="s">
        <v>81</v>
      </c>
      <c r="D170" s="568" t="str">
        <f>INDEX('HCW, Staff, Beds Summary'!$E$7:$E$270,MATCH($C170,'HCW, Staff, Beds Summary'!$C$7:$C$270,0))</f>
        <v>Upper middle income</v>
      </c>
      <c r="E170" s="423">
        <f>VLOOKUP($C170,'UNDP Population Data'!$D$6:$E$269,2,FALSE)</f>
        <v>21084042</v>
      </c>
      <c r="F170" s="558"/>
      <c r="G170" s="559">
        <v>2018</v>
      </c>
      <c r="H170" s="564">
        <v>21.803000000000001</v>
      </c>
      <c r="I170" s="565">
        <v>46286</v>
      </c>
      <c r="J170" s="565">
        <v>37000</v>
      </c>
      <c r="K170" s="565">
        <v>9286</v>
      </c>
      <c r="L170" s="76"/>
      <c r="M170" s="565">
        <v>2018</v>
      </c>
      <c r="N170" s="566"/>
      <c r="O170" s="566">
        <v>1850</v>
      </c>
      <c r="P170" s="76"/>
      <c r="Q170" s="565">
        <v>2018</v>
      </c>
      <c r="R170" s="565">
        <v>21316</v>
      </c>
      <c r="S170" s="76"/>
      <c r="T170" s="567">
        <f>IFERROR(INDEX('UNDP Population Data'!$G$6:$G$223,MATCH($C170,'UNDP Population Data'!$D$6:$D$222,0))*100,0)</f>
        <v>0.35472205075586238</v>
      </c>
      <c r="U170" s="420">
        <f t="shared" si="26"/>
        <v>37262.959880172522</v>
      </c>
      <c r="V170" s="420">
        <f t="shared" si="29"/>
        <v>21467.493319074525</v>
      </c>
      <c r="W170" s="420">
        <f t="shared" si="27"/>
        <v>1863.147994008626</v>
      </c>
      <c r="X170" s="420">
        <f t="shared" si="28"/>
        <v>1863.147994008626</v>
      </c>
      <c r="Z170" s="424">
        <f t="shared" si="30"/>
        <v>1.7673537114075433</v>
      </c>
      <c r="AA170" s="424">
        <f t="shared" si="31"/>
        <v>8.8367685570377164E-2</v>
      </c>
      <c r="AB170" s="424">
        <f t="shared" si="32"/>
        <v>1.0181868030368428</v>
      </c>
    </row>
    <row r="171" spans="2:28" x14ac:dyDescent="0.35">
      <c r="B171" s="557" t="s">
        <v>233</v>
      </c>
      <c r="C171" s="557" t="s">
        <v>125</v>
      </c>
      <c r="D171" s="568" t="str">
        <f>INDEX('HCW, Staff, Beds Summary'!$E$7:$E$270,MATCH($C171,'HCW, Staff, Beds Summary'!$C$7:$C$270,0))</f>
        <v>Lower middle income</v>
      </c>
      <c r="E171" s="423">
        <f>VLOOKUP($C171,'UNDP Population Data'!$D$6:$E$269,2,FALSE)</f>
        <v>43541203</v>
      </c>
      <c r="F171" s="558"/>
      <c r="G171" s="559">
        <v>2017</v>
      </c>
      <c r="H171" s="564">
        <v>6.952</v>
      </c>
      <c r="I171" s="565">
        <v>28372</v>
      </c>
      <c r="J171" s="565">
        <v>12234</v>
      </c>
      <c r="K171" s="565">
        <v>16138</v>
      </c>
      <c r="L171" s="76"/>
      <c r="M171" s="565">
        <v>2004</v>
      </c>
      <c r="N171" s="566">
        <v>35</v>
      </c>
      <c r="O171" s="566">
        <v>2416</v>
      </c>
      <c r="P171" s="76"/>
      <c r="Q171" s="565">
        <v>2017</v>
      </c>
      <c r="R171" s="565">
        <v>10683</v>
      </c>
      <c r="S171" s="76"/>
      <c r="T171" s="567">
        <f>IFERROR(INDEX('UNDP Population Data'!$G$6:$G$223,MATCH($C171,'UNDP Population Data'!$D$6:$D$222,0))*100,0)</f>
        <v>2.4130081278528115</v>
      </c>
      <c r="U171" s="420">
        <f t="shared" si="26"/>
        <v>13141.164267504137</v>
      </c>
      <c r="V171" s="420">
        <f t="shared" si="29"/>
        <v>11475.155948156505</v>
      </c>
      <c r="W171" s="420">
        <f t="shared" si="27"/>
        <v>3589.4282260753339</v>
      </c>
      <c r="X171" s="420">
        <f t="shared" si="28"/>
        <v>3589.4282260753339</v>
      </c>
      <c r="Z171" s="424">
        <f t="shared" si="30"/>
        <v>0.30180985737817434</v>
      </c>
      <c r="AA171" s="424">
        <f t="shared" si="31"/>
        <v>8.2437506976445585E-2</v>
      </c>
      <c r="AB171" s="424">
        <f t="shared" si="32"/>
        <v>0.26354705790183391</v>
      </c>
    </row>
    <row r="172" spans="2:28" x14ac:dyDescent="0.35">
      <c r="B172" s="557" t="s">
        <v>229</v>
      </c>
      <c r="C172" s="557" t="s">
        <v>170</v>
      </c>
      <c r="D172" s="568" t="str">
        <f>INDEX('HCW, Staff, Beds Summary'!$E$7:$E$270,MATCH($C172,'HCW, Staff, Beds Summary'!$C$7:$C$270,0))</f>
        <v>Upper middle income</v>
      </c>
      <c r="E172" s="423">
        <f>VLOOKUP($C172,'UNDP Population Data'!$D$6:$E$269,2,FALSE)</f>
        <v>577752</v>
      </c>
      <c r="F172" s="558"/>
      <c r="G172" s="559">
        <v>2018</v>
      </c>
      <c r="H172" s="564">
        <v>27.568999999999999</v>
      </c>
      <c r="I172" s="565">
        <v>1588</v>
      </c>
      <c r="J172" s="565">
        <v>1588</v>
      </c>
      <c r="K172" s="565" t="s">
        <v>748</v>
      </c>
      <c r="L172" s="76"/>
      <c r="M172" s="565"/>
      <c r="N172" s="566"/>
      <c r="O172" s="566"/>
      <c r="P172" s="76"/>
      <c r="Q172" s="565">
        <v>2018</v>
      </c>
      <c r="R172" s="565">
        <v>697</v>
      </c>
      <c r="S172" s="76"/>
      <c r="T172" s="567">
        <f>IFERROR(INDEX('UNDP Population Data'!$G$6:$G$223,MATCH($C172,'UNDP Population Data'!$D$6:$D$222,0))*100,0)</f>
        <v>0.87199289734447571</v>
      </c>
      <c r="U172" s="420">
        <f t="shared" si="26"/>
        <v>1615.8152414318081</v>
      </c>
      <c r="V172" s="420">
        <f t="shared" si="29"/>
        <v>709.20857889040951</v>
      </c>
      <c r="W172" s="420">
        <f t="shared" si="27"/>
        <v>0</v>
      </c>
      <c r="X172" s="420">
        <f t="shared" si="28"/>
        <v>123.03588737659597</v>
      </c>
      <c r="Z172" s="424">
        <f t="shared" si="30"/>
        <v>2.7967280795770644</v>
      </c>
      <c r="AA172" s="424">
        <f t="shared" si="31"/>
        <v>0</v>
      </c>
      <c r="AB172" s="424">
        <f t="shared" si="32"/>
        <v>1.2275311533156259</v>
      </c>
    </row>
    <row r="173" spans="2:28" x14ac:dyDescent="0.35">
      <c r="B173" s="557" t="s">
        <v>543</v>
      </c>
      <c r="C173" s="557" t="s">
        <v>133</v>
      </c>
      <c r="D173" s="568" t="str">
        <f>INDEX('HCW, Staff, Beds Summary'!$E$7:$E$270,MATCH($C173,'HCW, Staff, Beds Summary'!$C$7:$C$270,0))</f>
        <v>High income</v>
      </c>
      <c r="E173" s="423">
        <f>VLOOKUP($C173,'UNDP Population Data'!$D$6:$E$269,2,FALSE)</f>
        <v>10121686</v>
      </c>
      <c r="F173" s="558"/>
      <c r="G173" s="559">
        <v>2017</v>
      </c>
      <c r="H173" s="564">
        <v>118.164</v>
      </c>
      <c r="I173" s="565">
        <v>117040</v>
      </c>
      <c r="J173" s="565">
        <v>109463</v>
      </c>
      <c r="K173" s="565">
        <v>7577</v>
      </c>
      <c r="L173" s="76"/>
      <c r="M173" s="565"/>
      <c r="N173" s="566"/>
      <c r="O173" s="566"/>
      <c r="P173" s="76"/>
      <c r="Q173" s="565">
        <v>2016</v>
      </c>
      <c r="R173" s="565">
        <v>39187</v>
      </c>
      <c r="S173" s="76"/>
      <c r="T173" s="567">
        <f>IFERROR(INDEX('UNDP Population Data'!$G$6:$G$223,MATCH($C173,'UNDP Population Data'!$D$6:$D$222,0))*100,0)</f>
        <v>0.72305451948178057</v>
      </c>
      <c r="U173" s="420">
        <f t="shared" si="26"/>
        <v>111854.64131934376</v>
      </c>
      <c r="V173" s="420">
        <f t="shared" si="29"/>
        <v>40332.725221413195</v>
      </c>
      <c r="W173" s="420">
        <f t="shared" si="27"/>
        <v>0</v>
      </c>
      <c r="X173" s="420">
        <f t="shared" si="28"/>
        <v>5399.2064541884165</v>
      </c>
      <c r="Z173" s="424">
        <f t="shared" si="30"/>
        <v>11.050989066381209</v>
      </c>
      <c r="AA173" s="424">
        <f t="shared" si="31"/>
        <v>0</v>
      </c>
      <c r="AB173" s="424">
        <f t="shared" si="32"/>
        <v>3.984783288220282</v>
      </c>
    </row>
    <row r="174" spans="2:28" x14ac:dyDescent="0.35">
      <c r="B174" s="557" t="s">
        <v>544</v>
      </c>
      <c r="C174" s="557" t="s">
        <v>23</v>
      </c>
      <c r="D174" s="568" t="str">
        <f>INDEX('HCW, Staff, Beds Summary'!$E$7:$E$270,MATCH($C174,'HCW, Staff, Beds Summary'!$C$7:$C$270,0))</f>
        <v>High income</v>
      </c>
      <c r="E174" s="423">
        <f>VLOOKUP($C174,'UNDP Population Data'!$D$6:$E$269,2,FALSE)</f>
        <v>8670535</v>
      </c>
      <c r="F174" s="558"/>
      <c r="G174" s="559">
        <v>2017</v>
      </c>
      <c r="H174" s="564">
        <v>175.357</v>
      </c>
      <c r="I174" s="565">
        <v>148278</v>
      </c>
      <c r="J174" s="565">
        <v>145602</v>
      </c>
      <c r="K174" s="565">
        <v>2676</v>
      </c>
      <c r="L174" s="76"/>
      <c r="M174" s="565"/>
      <c r="N174" s="566"/>
      <c r="O174" s="566"/>
      <c r="P174" s="76"/>
      <c r="Q174" s="565">
        <v>2017</v>
      </c>
      <c r="R174" s="565">
        <v>36324</v>
      </c>
      <c r="S174" s="76"/>
      <c r="T174" s="567">
        <f>IFERROR(INDEX('UNDP Population Data'!$G$6:$G$223,MATCH($C174,'UNDP Population Data'!$D$6:$D$222,0))*100,0)</f>
        <v>0.82934024756449176</v>
      </c>
      <c r="U174" s="420">
        <f t="shared" si="26"/>
        <v>149254.73476257376</v>
      </c>
      <c r="V174" s="420">
        <f t="shared" si="29"/>
        <v>37235.264526007399</v>
      </c>
      <c r="W174" s="420">
        <f t="shared" si="27"/>
        <v>0</v>
      </c>
      <c r="X174" s="420">
        <f t="shared" si="28"/>
        <v>4625.1196226860384</v>
      </c>
      <c r="Z174" s="424">
        <f t="shared" si="30"/>
        <v>17.214016754741635</v>
      </c>
      <c r="AA174" s="424">
        <f t="shared" si="31"/>
        <v>0</v>
      </c>
      <c r="AB174" s="424">
        <f t="shared" si="32"/>
        <v>4.2944598604362243</v>
      </c>
    </row>
    <row r="175" spans="2:28" x14ac:dyDescent="0.35">
      <c r="B175" s="557" t="s">
        <v>545</v>
      </c>
      <c r="C175" s="557" t="s">
        <v>136</v>
      </c>
      <c r="D175" s="568" t="str">
        <f>INDEX('HCW, Staff, Beds Summary'!$E$7:$E$270,MATCH($C175,'HCW, Staff, Beds Summary'!$C$7:$C$270,0))</f>
        <v>Low income</v>
      </c>
      <c r="E175" s="423">
        <f>VLOOKUP($C175,'UNDP Population Data'!$D$6:$E$269,2,FALSE)</f>
        <v>18924442</v>
      </c>
      <c r="F175" s="558"/>
      <c r="G175" s="559">
        <v>2016</v>
      </c>
      <c r="H175" s="564">
        <v>15.406000000000001</v>
      </c>
      <c r="I175" s="565">
        <v>26908</v>
      </c>
      <c r="J175" s="565">
        <v>26908</v>
      </c>
      <c r="K175" s="565" t="s">
        <v>748</v>
      </c>
      <c r="L175" s="76"/>
      <c r="M175" s="565"/>
      <c r="N175" s="566"/>
      <c r="O175" s="566"/>
      <c r="P175" s="76"/>
      <c r="Q175" s="565">
        <v>2016</v>
      </c>
      <c r="R175" s="565">
        <v>22485</v>
      </c>
      <c r="S175" s="76"/>
      <c r="T175" s="567">
        <f>IFERROR(INDEX('UNDP Population Data'!$G$6:$G$223,MATCH($C175,'UNDP Population Data'!$D$6:$D$222,0))*100,0)</f>
        <v>0.20143412096012003</v>
      </c>
      <c r="U175" s="420">
        <f t="shared" si="26"/>
        <v>27125.463539870307</v>
      </c>
      <c r="V175" s="420">
        <f t="shared" si="29"/>
        <v>22666.717990708483</v>
      </c>
      <c r="W175" s="420">
        <f t="shared" si="27"/>
        <v>0</v>
      </c>
      <c r="X175" s="420">
        <f t="shared" si="28"/>
        <v>1795.8574825913363</v>
      </c>
      <c r="Z175" s="424">
        <f t="shared" si="30"/>
        <v>1.4333560556168738</v>
      </c>
      <c r="AA175" s="424">
        <f t="shared" si="31"/>
        <v>0</v>
      </c>
      <c r="AB175" s="424">
        <f t="shared" si="32"/>
        <v>1.1977482871467746</v>
      </c>
    </row>
    <row r="176" spans="2:28" x14ac:dyDescent="0.35">
      <c r="B176" s="557" t="s">
        <v>238</v>
      </c>
      <c r="C176" s="557" t="s">
        <v>163</v>
      </c>
      <c r="D176" s="568" t="str">
        <f>INDEX('HCW, Staff, Beds Summary'!$E$7:$E$270,MATCH($C176,'HCW, Staff, Beds Summary'!$C$7:$C$270,0))</f>
        <v>Low income</v>
      </c>
      <c r="E176" s="423">
        <f>VLOOKUP($C176,'UNDP Population Data'!$D$6:$E$269,2,FALSE)</f>
        <v>9475246</v>
      </c>
      <c r="F176" s="558"/>
      <c r="G176" s="559">
        <v>2014</v>
      </c>
      <c r="H176" s="564">
        <v>47.533999999999999</v>
      </c>
      <c r="I176" s="565">
        <v>39229</v>
      </c>
      <c r="J176" s="565">
        <v>34696</v>
      </c>
      <c r="K176" s="565">
        <v>4533</v>
      </c>
      <c r="L176" s="76"/>
      <c r="M176" s="565"/>
      <c r="N176" s="566"/>
      <c r="O176" s="566"/>
      <c r="P176" s="76"/>
      <c r="Q176" s="565">
        <v>2014</v>
      </c>
      <c r="R176" s="565">
        <v>17352</v>
      </c>
      <c r="S176" s="76"/>
      <c r="T176" s="567">
        <f>IFERROR(INDEX('UNDP Population Data'!$G$6:$G$223,MATCH($C176,'UNDP Population Data'!$D$6:$D$222,0))*100,0)</f>
        <v>2.0795110977392728</v>
      </c>
      <c r="U176" s="420">
        <f t="shared" si="26"/>
        <v>39256.438606159347</v>
      </c>
      <c r="V176" s="420">
        <f t="shared" si="29"/>
        <v>19632.745062660739</v>
      </c>
      <c r="W176" s="420">
        <f t="shared" si="27"/>
        <v>0</v>
      </c>
      <c r="X176" s="420">
        <f t="shared" si="28"/>
        <v>899.1647641972022</v>
      </c>
      <c r="Z176" s="424">
        <f t="shared" si="30"/>
        <v>4.1430521810367082</v>
      </c>
      <c r="AA176" s="424">
        <f t="shared" si="31"/>
        <v>0</v>
      </c>
      <c r="AB176" s="424">
        <f t="shared" si="32"/>
        <v>2.0720037308435835</v>
      </c>
    </row>
    <row r="177" spans="2:28" x14ac:dyDescent="0.35">
      <c r="B177" s="557" t="s">
        <v>547</v>
      </c>
      <c r="C177" s="557" t="s">
        <v>138</v>
      </c>
      <c r="D177" s="568" t="str">
        <f>INDEX('HCW, Staff, Beds Summary'!$E$7:$E$270,MATCH($C177,'HCW, Staff, Beds Summary'!$C$7:$C$270,0))</f>
        <v>Upper middle income</v>
      </c>
      <c r="E177" s="423">
        <f>VLOOKUP($C177,'UNDP Population Data'!$D$6:$E$269,2,FALSE)</f>
        <v>69410868</v>
      </c>
      <c r="F177" s="558"/>
      <c r="G177" s="559">
        <v>2018</v>
      </c>
      <c r="H177" s="564">
        <v>27.593</v>
      </c>
      <c r="I177" s="565">
        <v>191575</v>
      </c>
      <c r="J177" s="565">
        <v>191575</v>
      </c>
      <c r="K177" s="565" t="s">
        <v>748</v>
      </c>
      <c r="L177" s="76"/>
      <c r="M177" s="565">
        <v>2016</v>
      </c>
      <c r="N177" s="566"/>
      <c r="O177" s="566">
        <v>2442</v>
      </c>
      <c r="P177" s="76"/>
      <c r="Q177" s="565">
        <v>2018</v>
      </c>
      <c r="R177" s="565">
        <v>55890</v>
      </c>
      <c r="S177" s="76"/>
      <c r="T177" s="567">
        <f>IFERROR(INDEX('UNDP Population Data'!$G$6:$G$223,MATCH($C177,'UNDP Population Data'!$D$6:$D$222,0))*100,0)</f>
        <v>0.21847074245910925</v>
      </c>
      <c r="U177" s="420">
        <f t="shared" si="26"/>
        <v>192412.98502696378</v>
      </c>
      <c r="V177" s="420">
        <f t="shared" si="29"/>
        <v>56134.473355902417</v>
      </c>
      <c r="W177" s="420">
        <f t="shared" si="27"/>
        <v>2463.4102572473498</v>
      </c>
      <c r="X177" s="420">
        <f t="shared" si="28"/>
        <v>2463.4102572473498</v>
      </c>
      <c r="Z177" s="424">
        <f t="shared" si="30"/>
        <v>2.7720872908110552</v>
      </c>
      <c r="AA177" s="424">
        <f t="shared" si="31"/>
        <v>3.5490267276982478E-2</v>
      </c>
      <c r="AB177" s="424">
        <f t="shared" si="32"/>
        <v>0.80872743668761515</v>
      </c>
    </row>
    <row r="178" spans="2:28" x14ac:dyDescent="0.35">
      <c r="B178" s="557" t="s">
        <v>1141</v>
      </c>
      <c r="C178" s="557" t="s">
        <v>484</v>
      </c>
      <c r="D178" s="568" t="str">
        <f>INDEX('HCW, Staff, Beds Summary'!$E$7:$E$270,MATCH($C178,'HCW, Staff, Beds Summary'!$C$7:$C$270,0))</f>
        <v>Upper middle income</v>
      </c>
      <c r="E178" s="423">
        <f>VLOOKUP($C178,'UNDP Population Data'!$D$6:$E$269,2,FALSE)</f>
        <v>2088034.9999999998</v>
      </c>
      <c r="F178" s="558"/>
      <c r="G178" s="559">
        <v>2015</v>
      </c>
      <c r="H178" s="564">
        <v>37.917000000000002</v>
      </c>
      <c r="I178" s="565">
        <v>7884</v>
      </c>
      <c r="J178" s="565">
        <v>7884</v>
      </c>
      <c r="K178" s="565" t="s">
        <v>748</v>
      </c>
      <c r="L178" s="76"/>
      <c r="M178" s="565"/>
      <c r="N178" s="566"/>
      <c r="O178" s="566"/>
      <c r="P178" s="76"/>
      <c r="Q178" s="565">
        <v>2015</v>
      </c>
      <c r="R178" s="565">
        <v>5975</v>
      </c>
      <c r="S178" s="76"/>
      <c r="T178" s="567">
        <f>IFERROR(INDEX('UNDP Population Data'!$G$6:$G$223,MATCH($C178,'UNDP Population Data'!$D$6:$D$222,0))*100,0)</f>
        <v>8.3800818898782659E-2</v>
      </c>
      <c r="U178" s="420">
        <f t="shared" si="26"/>
        <v>7917.0896952255307</v>
      </c>
      <c r="V178" s="420">
        <f t="shared" si="29"/>
        <v>6000.0774897225447</v>
      </c>
      <c r="W178" s="420">
        <f t="shared" si="27"/>
        <v>0</v>
      </c>
      <c r="X178" s="420">
        <f t="shared" si="28"/>
        <v>444.66006019605391</v>
      </c>
      <c r="Z178" s="424">
        <f t="shared" si="30"/>
        <v>3.7916460668645553</v>
      </c>
      <c r="AA178" s="424">
        <f t="shared" si="31"/>
        <v>0</v>
      </c>
      <c r="AB178" s="424">
        <f t="shared" si="32"/>
        <v>2.8735521625463871</v>
      </c>
    </row>
    <row r="179" spans="2:28" x14ac:dyDescent="0.35">
      <c r="B179" s="557" t="s">
        <v>246</v>
      </c>
      <c r="C179" s="557" t="s">
        <v>140</v>
      </c>
      <c r="D179" s="568" t="str">
        <f>INDEX('HCW, Staff, Beds Summary'!$E$7:$E$270,MATCH($C179,'HCW, Staff, Beds Summary'!$C$7:$C$270,0))</f>
        <v>Lower middle income</v>
      </c>
      <c r="E179" s="423">
        <f>VLOOKUP($C179,'UNDP Population Data'!$D$6:$E$269,2,FALSE)</f>
        <v>1381400</v>
      </c>
      <c r="F179" s="558"/>
      <c r="G179" s="559">
        <v>2018</v>
      </c>
      <c r="H179" s="564">
        <v>16.68</v>
      </c>
      <c r="I179" s="565">
        <v>2115</v>
      </c>
      <c r="J179" s="565">
        <v>1497</v>
      </c>
      <c r="K179" s="565">
        <v>618</v>
      </c>
      <c r="L179" s="76"/>
      <c r="M179" s="565">
        <v>2011</v>
      </c>
      <c r="N179" s="566"/>
      <c r="O179" s="566">
        <v>132</v>
      </c>
      <c r="P179" s="76"/>
      <c r="Q179" s="565">
        <v>2018</v>
      </c>
      <c r="R179" s="565">
        <v>916</v>
      </c>
      <c r="S179" s="76"/>
      <c r="T179" s="567">
        <f>IFERROR(INDEX('UNDP Population Data'!$G$6:$G$223,MATCH($C179,'UNDP Population Data'!$D$6:$D$222,0))*100,0)</f>
        <v>2.1671182742143857</v>
      </c>
      <c r="U179" s="420">
        <f t="shared" si="26"/>
        <v>1562.5865724516595</v>
      </c>
      <c r="V179" s="420">
        <f t="shared" si="29"/>
        <v>956.13179717148978</v>
      </c>
      <c r="W179" s="420">
        <f t="shared" si="27"/>
        <v>160.09369405683518</v>
      </c>
      <c r="X179" s="420">
        <f t="shared" si="28"/>
        <v>160.09369405683518</v>
      </c>
      <c r="Z179" s="424">
        <f t="shared" si="30"/>
        <v>1.1311615552712173</v>
      </c>
      <c r="AA179" s="424">
        <f t="shared" si="31"/>
        <v>0.11589235127901779</v>
      </c>
      <c r="AB179" s="424">
        <f t="shared" si="32"/>
        <v>0.69214695031959594</v>
      </c>
    </row>
    <row r="180" spans="2:28" x14ac:dyDescent="0.35">
      <c r="B180" s="557" t="s">
        <v>215</v>
      </c>
      <c r="C180" s="557" t="s">
        <v>137</v>
      </c>
      <c r="D180" s="568" t="str">
        <f>INDEX('HCW, Staff, Beds Summary'!$E$7:$E$270,MATCH($C180,'HCW, Staff, Beds Summary'!$C$7:$C$270,0))</f>
        <v>Low income</v>
      </c>
      <c r="E180" s="423">
        <f>VLOOKUP($C180,'UNDP Population Data'!$D$6:$E$269,2,FALSE)</f>
        <v>8384290.9999999991</v>
      </c>
      <c r="F180" s="558"/>
      <c r="G180" s="559">
        <v>2018</v>
      </c>
      <c r="H180" s="564">
        <v>4.1020000000000003</v>
      </c>
      <c r="I180" s="565">
        <v>3236</v>
      </c>
      <c r="J180" s="565">
        <v>1951</v>
      </c>
      <c r="K180" s="565">
        <v>1285</v>
      </c>
      <c r="L180" s="76"/>
      <c r="M180" s="565">
        <v>2018</v>
      </c>
      <c r="N180" s="566">
        <v>460</v>
      </c>
      <c r="O180" s="566">
        <v>183</v>
      </c>
      <c r="P180" s="76"/>
      <c r="Q180" s="565">
        <v>2018</v>
      </c>
      <c r="R180" s="565">
        <v>611</v>
      </c>
      <c r="S180" s="76"/>
      <c r="T180" s="567">
        <f>IFERROR(INDEX('UNDP Population Data'!$G$6:$G$223,MATCH($C180,'UNDP Population Data'!$D$6:$D$222,0))*100,0)</f>
        <v>2.4825520087228714</v>
      </c>
      <c r="U180" s="420">
        <f t="shared" si="26"/>
        <v>2049.0715932596368</v>
      </c>
      <c r="V180" s="420">
        <f t="shared" si="29"/>
        <v>641.71334878607797</v>
      </c>
      <c r="W180" s="420">
        <f t="shared" si="27"/>
        <v>675.32190387798391</v>
      </c>
      <c r="X180" s="420">
        <f t="shared" si="28"/>
        <v>675.32190387798391</v>
      </c>
      <c r="Z180" s="424">
        <f t="shared" si="30"/>
        <v>0.24439414057308328</v>
      </c>
      <c r="AA180" s="424">
        <f t="shared" si="31"/>
        <v>8.0546095534850121E-2</v>
      </c>
      <c r="AB180" s="424">
        <f t="shared" si="32"/>
        <v>7.6537580671529423E-2</v>
      </c>
    </row>
    <row r="181" spans="2:28" x14ac:dyDescent="0.35">
      <c r="B181" s="557" t="s">
        <v>256</v>
      </c>
      <c r="C181" s="557" t="s">
        <v>141</v>
      </c>
      <c r="D181" s="568" t="str">
        <f>INDEX('HCW, Staff, Beds Summary'!$E$7:$E$270,MATCH($C181,'HCW, Staff, Beds Summary'!$C$7:$C$270,0))</f>
        <v>Upper middle income</v>
      </c>
      <c r="E181" s="423">
        <f>VLOOKUP($C181,'UNDP Population Data'!$D$6:$E$269,2,FALSE)</f>
        <v>111037</v>
      </c>
      <c r="F181" s="558"/>
      <c r="G181" s="559">
        <v>2018</v>
      </c>
      <c r="H181" s="564">
        <v>41.57</v>
      </c>
      <c r="I181" s="565">
        <v>429</v>
      </c>
      <c r="J181" s="565">
        <v>429</v>
      </c>
      <c r="K181" s="565" t="s">
        <v>748</v>
      </c>
      <c r="L181" s="76"/>
      <c r="M181" s="565">
        <v>2013</v>
      </c>
      <c r="N181" s="566"/>
      <c r="O181" s="566">
        <v>25</v>
      </c>
      <c r="P181" s="76"/>
      <c r="Q181" s="565">
        <v>2013</v>
      </c>
      <c r="R181" s="565">
        <v>55</v>
      </c>
      <c r="S181" s="76"/>
      <c r="T181" s="567">
        <f>IFERROR(INDEX('UNDP Population Data'!$G$6:$G$223,MATCH($C181,'UNDP Population Data'!$D$6:$D$222,0))*100,0)</f>
        <v>0.86363409179424089</v>
      </c>
      <c r="U181" s="420">
        <f t="shared" si="26"/>
        <v>436.44197806652403</v>
      </c>
      <c r="V181" s="420">
        <f t="shared" si="29"/>
        <v>58.412389287503096</v>
      </c>
      <c r="W181" s="420">
        <f t="shared" si="27"/>
        <v>26.551086039774134</v>
      </c>
      <c r="X181" s="420">
        <f t="shared" si="28"/>
        <v>26.551086039774134</v>
      </c>
      <c r="Z181" s="424">
        <f t="shared" si="30"/>
        <v>3.9305995124735356</v>
      </c>
      <c r="AA181" s="424">
        <f t="shared" si="31"/>
        <v>0.23911926690899551</v>
      </c>
      <c r="AB181" s="424">
        <f t="shared" si="32"/>
        <v>0.52606238719979015</v>
      </c>
    </row>
    <row r="182" spans="2:28" x14ac:dyDescent="0.35">
      <c r="B182" s="557" t="s">
        <v>548</v>
      </c>
      <c r="C182" s="557" t="s">
        <v>142</v>
      </c>
      <c r="D182" s="568" t="str">
        <f>INDEX('HCW, Staff, Beds Summary'!$E$7:$E$270,MATCH($C182,'HCW, Staff, Beds Summary'!$C$7:$C$270,0))</f>
        <v>High income</v>
      </c>
      <c r="E182" s="423">
        <f>VLOOKUP($C182,'UNDP Population Data'!$D$6:$E$269,2,FALSE)</f>
        <v>1377729</v>
      </c>
      <c r="F182" s="558"/>
      <c r="G182" s="559">
        <v>2018</v>
      </c>
      <c r="H182" s="564">
        <v>40.933999999999997</v>
      </c>
      <c r="I182" s="565">
        <v>5689</v>
      </c>
      <c r="J182" s="565">
        <v>5689</v>
      </c>
      <c r="K182" s="565" t="s">
        <v>748</v>
      </c>
      <c r="L182" s="76"/>
      <c r="M182" s="565">
        <v>2018</v>
      </c>
      <c r="N182" s="566">
        <v>348</v>
      </c>
      <c r="O182" s="566"/>
      <c r="P182" s="76"/>
      <c r="Q182" s="565">
        <v>2018</v>
      </c>
      <c r="R182" s="565">
        <v>5792</v>
      </c>
      <c r="S182" s="76"/>
      <c r="T182" s="567">
        <f>IFERROR(INDEX('UNDP Population Data'!$G$6:$G$223,MATCH($C182,'UNDP Population Data'!$D$6:$D$222,0))*100,0)</f>
        <v>0.25801522590653825</v>
      </c>
      <c r="U182" s="420">
        <f t="shared" si="26"/>
        <v>5718.3948451329798</v>
      </c>
      <c r="V182" s="420">
        <f t="shared" si="29"/>
        <v>5821.9270421884721</v>
      </c>
      <c r="W182" s="420">
        <f t="shared" si="27"/>
        <v>349.79810267292618</v>
      </c>
      <c r="X182" s="420">
        <f t="shared" si="28"/>
        <v>349.79810267292618</v>
      </c>
      <c r="Z182" s="424">
        <f t="shared" si="30"/>
        <v>4.1505948159129842</v>
      </c>
      <c r="AA182" s="424">
        <f t="shared" si="31"/>
        <v>0.25389470837365419</v>
      </c>
      <c r="AB182" s="424">
        <f t="shared" si="32"/>
        <v>4.2257418129316227</v>
      </c>
    </row>
    <row r="183" spans="2:28" x14ac:dyDescent="0.35">
      <c r="B183" s="557" t="s">
        <v>549</v>
      </c>
      <c r="C183" s="557" t="s">
        <v>143</v>
      </c>
      <c r="D183" s="568" t="str">
        <f>INDEX('HCW, Staff, Beds Summary'!$E$7:$E$270,MATCH($C183,'HCW, Staff, Beds Summary'!$C$7:$C$270,0))</f>
        <v>Lower middle income</v>
      </c>
      <c r="E183" s="423">
        <f>VLOOKUP($C183,'UNDP Population Data'!$D$6:$E$269,2,FALSE)</f>
        <v>11903136</v>
      </c>
      <c r="F183" s="558"/>
      <c r="G183" s="559">
        <v>2017</v>
      </c>
      <c r="H183" s="564">
        <v>25.135999999999999</v>
      </c>
      <c r="I183" s="565">
        <v>28739</v>
      </c>
      <c r="J183" s="565">
        <v>28739</v>
      </c>
      <c r="K183" s="565" t="s">
        <v>748</v>
      </c>
      <c r="L183" s="76"/>
      <c r="M183" s="565">
        <v>2004</v>
      </c>
      <c r="N183" s="566">
        <v>358</v>
      </c>
      <c r="O183" s="566">
        <v>1942</v>
      </c>
      <c r="P183" s="76"/>
      <c r="Q183" s="565">
        <v>2017</v>
      </c>
      <c r="R183" s="565">
        <v>14892</v>
      </c>
      <c r="S183" s="76"/>
      <c r="T183" s="567">
        <f>IFERROR(INDEX('UNDP Population Data'!$G$6:$G$223,MATCH($C183,'UNDP Population Data'!$D$6:$D$222,0))*100,0)</f>
        <v>1.0925810406002379</v>
      </c>
      <c r="U183" s="420">
        <f t="shared" si="26"/>
        <v>29691.320089280336</v>
      </c>
      <c r="V183" s="420">
        <f t="shared" si="29"/>
        <v>15385.474051621934</v>
      </c>
      <c r="W183" s="420">
        <f t="shared" si="27"/>
        <v>2736.7579838237616</v>
      </c>
      <c r="X183" s="420">
        <f t="shared" si="28"/>
        <v>2736.7579838237616</v>
      </c>
      <c r="Z183" s="424">
        <f t="shared" si="30"/>
        <v>2.494411564253348</v>
      </c>
      <c r="AA183" s="424">
        <f t="shared" si="31"/>
        <v>0.2299190720683828</v>
      </c>
      <c r="AB183" s="424">
        <f t="shared" si="32"/>
        <v>1.2925563525126433</v>
      </c>
    </row>
    <row r="184" spans="2:28" x14ac:dyDescent="0.35">
      <c r="B184" s="557" t="s">
        <v>550</v>
      </c>
      <c r="C184" s="557" t="s">
        <v>144</v>
      </c>
      <c r="D184" s="568" t="str">
        <f>INDEX('HCW, Staff, Beds Summary'!$E$7:$E$270,MATCH($C184,'HCW, Staff, Beds Summary'!$C$7:$C$270,0))</f>
        <v>Upper middle income</v>
      </c>
      <c r="E184" s="423">
        <f>VLOOKUP($C184,'UNDP Population Data'!$D$6:$E$269,2,FALSE)</f>
        <v>83835750</v>
      </c>
      <c r="F184" s="558"/>
      <c r="G184" s="559">
        <v>2017</v>
      </c>
      <c r="H184" s="564">
        <v>27.106999999999999</v>
      </c>
      <c r="I184" s="565">
        <v>219883</v>
      </c>
      <c r="J184" s="565">
        <v>166142</v>
      </c>
      <c r="K184" s="565">
        <v>53741</v>
      </c>
      <c r="L184" s="76"/>
      <c r="M184" s="565"/>
      <c r="N184" s="566"/>
      <c r="O184" s="566"/>
      <c r="P184" s="76"/>
      <c r="Q184" s="565">
        <v>2017</v>
      </c>
      <c r="R184" s="565">
        <v>149997</v>
      </c>
      <c r="S184" s="76"/>
      <c r="T184" s="567">
        <f>IFERROR(INDEX('UNDP Population Data'!$G$6:$G$223,MATCH($C184,'UNDP Population Data'!$D$6:$D$222,0))*100,0)</f>
        <v>1.3830028770608571</v>
      </c>
      <c r="U184" s="420">
        <f t="shared" si="26"/>
        <v>173131.01919909951</v>
      </c>
      <c r="V184" s="420">
        <f t="shared" si="29"/>
        <v>156306.85490006939</v>
      </c>
      <c r="W184" s="420">
        <f t="shared" si="27"/>
        <v>0</v>
      </c>
      <c r="X184" s="420">
        <f t="shared" si="28"/>
        <v>17853.345198515028</v>
      </c>
      <c r="Z184" s="424">
        <f t="shared" si="30"/>
        <v>2.065121612189305</v>
      </c>
      <c r="AA184" s="424">
        <f t="shared" si="31"/>
        <v>0</v>
      </c>
      <c r="AB184" s="424">
        <f t="shared" si="32"/>
        <v>1.864441540751641</v>
      </c>
    </row>
    <row r="185" spans="2:28" ht="15.75" customHeight="1" x14ac:dyDescent="0.35">
      <c r="B185" s="557" t="s">
        <v>551</v>
      </c>
      <c r="C185" s="557" t="s">
        <v>139</v>
      </c>
      <c r="D185" s="568" t="str">
        <f>INDEX('HCW, Staff, Beds Summary'!$E$7:$E$270,MATCH($C185,'HCW, Staff, Beds Summary'!$C$7:$C$270,0))</f>
        <v>Upper middle income</v>
      </c>
      <c r="E185" s="423">
        <f>VLOOKUP($C185,'UNDP Population Data'!$D$6:$E$269,2,FALSE)</f>
        <v>6031195</v>
      </c>
      <c r="F185" s="558"/>
      <c r="G185" s="559">
        <v>2014</v>
      </c>
      <c r="H185" s="564">
        <v>44.273000000000003</v>
      </c>
      <c r="I185" s="565">
        <v>24201</v>
      </c>
      <c r="J185" s="565">
        <v>23090</v>
      </c>
      <c r="K185" s="565">
        <v>1111</v>
      </c>
      <c r="L185" s="76"/>
      <c r="M185" s="565"/>
      <c r="N185" s="566"/>
      <c r="O185" s="566"/>
      <c r="P185" s="76"/>
      <c r="Q185" s="565">
        <v>2014</v>
      </c>
      <c r="R185" s="565">
        <v>12161</v>
      </c>
      <c r="S185" s="76"/>
      <c r="T185" s="567">
        <f>IFERROR(INDEX('UNDP Population Data'!$G$6:$G$223,MATCH($C185,'UNDP Population Data'!$D$6:$D$222,0))*100,0)</f>
        <v>1.6209399758578602</v>
      </c>
      <c r="U185" s="420">
        <f t="shared" si="26"/>
        <v>25428.642689652406</v>
      </c>
      <c r="V185" s="420">
        <f t="shared" si="29"/>
        <v>13392.712158894021</v>
      </c>
      <c r="W185" s="420">
        <f t="shared" si="27"/>
        <v>0</v>
      </c>
      <c r="X185" s="420">
        <f t="shared" si="28"/>
        <v>1284.3805452275176</v>
      </c>
      <c r="Z185" s="424">
        <f t="shared" si="30"/>
        <v>4.2161864588447902</v>
      </c>
      <c r="AA185" s="424">
        <f t="shared" si="31"/>
        <v>0</v>
      </c>
      <c r="AB185" s="424">
        <f t="shared" si="32"/>
        <v>2.2205735611092035</v>
      </c>
    </row>
    <row r="186" spans="2:28" x14ac:dyDescent="0.35">
      <c r="B186" s="557" t="s">
        <v>257</v>
      </c>
      <c r="C186" s="557" t="s">
        <v>145</v>
      </c>
      <c r="D186" s="568" t="str">
        <f>INDEX('HCW, Staff, Beds Summary'!$E$7:$E$270,MATCH($C186,'HCW, Staff, Beds Summary'!$C$7:$C$270,0))</f>
        <v>Upper middle income</v>
      </c>
      <c r="E186" s="423">
        <f>VLOOKUP($C186,'UNDP Population Data'!$D$6:$E$269,2,FALSE)</f>
        <v>11499</v>
      </c>
      <c r="F186" s="558"/>
      <c r="G186" s="559">
        <v>2018</v>
      </c>
      <c r="H186" s="564">
        <v>42.609000000000002</v>
      </c>
      <c r="I186" s="565">
        <v>49</v>
      </c>
      <c r="J186" s="565">
        <v>49</v>
      </c>
      <c r="K186" s="565" t="s">
        <v>748</v>
      </c>
      <c r="L186" s="76"/>
      <c r="M186" s="565"/>
      <c r="N186" s="566"/>
      <c r="O186" s="566"/>
      <c r="P186" s="76"/>
      <c r="Q186" s="565" t="s">
        <v>748</v>
      </c>
      <c r="R186" s="565" t="s">
        <v>748</v>
      </c>
      <c r="S186" s="76"/>
      <c r="T186" s="567">
        <f>IFERROR(INDEX('UNDP Population Data'!$G$6:$G$223,MATCH($C186,'UNDP Population Data'!$D$6:$D$222,0))*100,0)</f>
        <v>0.88940989910706314</v>
      </c>
      <c r="U186" s="420">
        <f t="shared" si="26"/>
        <v>49.875497845971204</v>
      </c>
      <c r="V186" s="420" t="str">
        <f t="shared" si="29"/>
        <v/>
      </c>
      <c r="W186" s="420">
        <f t="shared" si="27"/>
        <v>0</v>
      </c>
      <c r="X186" s="420">
        <f t="shared" si="28"/>
        <v>2.4487836804432992</v>
      </c>
      <c r="Z186" s="424">
        <f t="shared" si="30"/>
        <v>4.3373769759084446</v>
      </c>
      <c r="AA186" s="424">
        <f t="shared" si="31"/>
        <v>0</v>
      </c>
      <c r="AB186" s="424">
        <f t="shared" si="32"/>
        <v>0</v>
      </c>
    </row>
    <row r="187" spans="2:28" x14ac:dyDescent="0.35">
      <c r="B187" s="557" t="s">
        <v>216</v>
      </c>
      <c r="C187" s="557" t="s">
        <v>147</v>
      </c>
      <c r="D187" s="568" t="str">
        <f>INDEX('HCW, Staff, Beds Summary'!$E$7:$E$270,MATCH($C187,'HCW, Staff, Beds Summary'!$C$7:$C$270,0))</f>
        <v>Low income</v>
      </c>
      <c r="E187" s="423">
        <f>VLOOKUP($C187,'UNDP Population Data'!$D$6:$E$269,2,FALSE)</f>
        <v>47187703</v>
      </c>
      <c r="F187" s="558"/>
      <c r="G187" s="559">
        <v>2018</v>
      </c>
      <c r="H187" s="564">
        <v>12.382</v>
      </c>
      <c r="I187" s="565">
        <v>52907</v>
      </c>
      <c r="J187" s="565">
        <v>52907</v>
      </c>
      <c r="K187" s="565" t="s">
        <v>748</v>
      </c>
      <c r="L187" s="76"/>
      <c r="M187" s="565">
        <v>2015</v>
      </c>
      <c r="N187" s="566"/>
      <c r="O187" s="566">
        <v>2447</v>
      </c>
      <c r="P187" s="76"/>
      <c r="Q187" s="565">
        <v>2017</v>
      </c>
      <c r="R187" s="565">
        <v>6918</v>
      </c>
      <c r="S187" s="76"/>
      <c r="T187" s="567">
        <f>IFERROR(INDEX('UNDP Population Data'!$G$6:$G$223,MATCH($C187,'UNDP Population Data'!$D$6:$D$222,0))*100,0)</f>
        <v>3.2855951362060543</v>
      </c>
      <c r="U187" s="420">
        <f t="shared" si="26"/>
        <v>56440.733460280877</v>
      </c>
      <c r="V187" s="420">
        <f t="shared" si="29"/>
        <v>7622.5420092735094</v>
      </c>
      <c r="W187" s="420">
        <f t="shared" si="27"/>
        <v>2876.2905258131345</v>
      </c>
      <c r="X187" s="420">
        <f t="shared" si="28"/>
        <v>2876.2905258131345</v>
      </c>
      <c r="Z187" s="424">
        <f t="shared" si="30"/>
        <v>1.196089868165036</v>
      </c>
      <c r="AA187" s="424">
        <f t="shared" si="31"/>
        <v>6.0954238984956201E-2</v>
      </c>
      <c r="AB187" s="424">
        <f t="shared" si="32"/>
        <v>0.16153661917541332</v>
      </c>
    </row>
    <row r="188" spans="2:28" x14ac:dyDescent="0.35">
      <c r="B188" s="557" t="s">
        <v>239</v>
      </c>
      <c r="C188" s="557" t="s">
        <v>148</v>
      </c>
      <c r="D188" s="568" t="str">
        <f>INDEX('HCW, Staff, Beds Summary'!$E$7:$E$270,MATCH($C188,'HCW, Staff, Beds Summary'!$C$7:$C$270,0))</f>
        <v>Lower middle income</v>
      </c>
      <c r="E188" s="423">
        <f>VLOOKUP($C188,'UNDP Population Data'!$D$6:$E$269,2,FALSE)</f>
        <v>43579234</v>
      </c>
      <c r="F188" s="558"/>
      <c r="G188" s="559">
        <v>2014</v>
      </c>
      <c r="H188" s="564">
        <v>66.61</v>
      </c>
      <c r="I188" s="565">
        <v>300489</v>
      </c>
      <c r="J188" s="565">
        <v>284207</v>
      </c>
      <c r="K188" s="565">
        <v>16282</v>
      </c>
      <c r="L188" s="76"/>
      <c r="M188" s="565"/>
      <c r="N188" s="566"/>
      <c r="O188" s="566"/>
      <c r="P188" s="76"/>
      <c r="Q188" s="565">
        <v>2014</v>
      </c>
      <c r="R188" s="565">
        <v>134986</v>
      </c>
      <c r="S188" s="76"/>
      <c r="T188" s="567">
        <f>IFERROR(INDEX('UNDP Population Data'!$G$6:$G$223,MATCH($C188,'UNDP Population Data'!$D$6:$D$222,0))*100,0)</f>
        <v>-0.48772836248148765</v>
      </c>
      <c r="U188" s="420">
        <f t="shared" si="26"/>
        <v>275990.80434547196</v>
      </c>
      <c r="V188" s="420">
        <f t="shared" si="29"/>
        <v>131083.66336993067</v>
      </c>
      <c r="W188" s="420">
        <f t="shared" si="27"/>
        <v>0</v>
      </c>
      <c r="X188" s="420">
        <f t="shared" si="28"/>
        <v>11223.347885297519</v>
      </c>
      <c r="Z188" s="424">
        <f t="shared" si="30"/>
        <v>6.3330806673993383</v>
      </c>
      <c r="AA188" s="424">
        <f t="shared" si="31"/>
        <v>0</v>
      </c>
      <c r="AB188" s="424">
        <f t="shared" si="32"/>
        <v>3.007938674872777</v>
      </c>
    </row>
    <row r="189" spans="2:28" x14ac:dyDescent="0.35">
      <c r="B189" s="557" t="s">
        <v>554</v>
      </c>
      <c r="C189" s="557" t="s">
        <v>2</v>
      </c>
      <c r="D189" s="568" t="str">
        <f>INDEX('HCW, Staff, Beds Summary'!$E$7:$E$270,MATCH($C189,'HCW, Staff, Beds Summary'!$C$7:$C$270,0))</f>
        <v>High income</v>
      </c>
      <c r="E189" s="423">
        <f>VLOOKUP($C189,'UNDP Population Data'!$D$6:$E$269,2,FALSE)</f>
        <v>9813170</v>
      </c>
      <c r="F189" s="558"/>
      <c r="G189" s="559">
        <v>2018</v>
      </c>
      <c r="H189" s="564">
        <v>57.271000000000001</v>
      </c>
      <c r="I189" s="565">
        <v>55158</v>
      </c>
      <c r="J189" s="565">
        <v>55158</v>
      </c>
      <c r="K189" s="565" t="s">
        <v>748</v>
      </c>
      <c r="L189" s="76"/>
      <c r="M189" s="565"/>
      <c r="N189" s="566"/>
      <c r="O189" s="566"/>
      <c r="P189" s="76"/>
      <c r="Q189" s="565">
        <v>2018</v>
      </c>
      <c r="R189" s="565">
        <v>24345</v>
      </c>
      <c r="S189" s="76"/>
      <c r="T189" s="567">
        <f>IFERROR(INDEX('UNDP Population Data'!$G$6:$G$223,MATCH($C189,'UNDP Population Data'!$D$6:$D$222,0))*100,0)</f>
        <v>1.3997343821947394</v>
      </c>
      <c r="U189" s="420">
        <f t="shared" si="26"/>
        <v>56712.937847185967</v>
      </c>
      <c r="V189" s="420">
        <f t="shared" si="29"/>
        <v>25031.300480252048</v>
      </c>
      <c r="W189" s="420">
        <f t="shared" si="27"/>
        <v>0</v>
      </c>
      <c r="X189" s="420">
        <f t="shared" si="28"/>
        <v>5234.6349017395069</v>
      </c>
      <c r="Z189" s="424">
        <f t="shared" si="30"/>
        <v>5.7792678458832336</v>
      </c>
      <c r="AA189" s="424">
        <f t="shared" si="31"/>
        <v>0</v>
      </c>
      <c r="AB189" s="424">
        <f t="shared" si="32"/>
        <v>2.5507863901524228</v>
      </c>
    </row>
    <row r="190" spans="2:28" ht="29" x14ac:dyDescent="0.35">
      <c r="B190" s="557" t="s">
        <v>1142</v>
      </c>
      <c r="C190" s="557" t="s">
        <v>47</v>
      </c>
      <c r="D190" s="568" t="str">
        <f>INDEX('HCW, Staff, Beds Summary'!$E$7:$E$270,MATCH($C190,'HCW, Staff, Beds Summary'!$C$7:$C$270,0))</f>
        <v>High income</v>
      </c>
      <c r="E190" s="423">
        <f>VLOOKUP($C190,'UNDP Population Data'!$D$6:$E$269,2,FALSE)</f>
        <v>67334208</v>
      </c>
      <c r="F190" s="558"/>
      <c r="G190" s="559">
        <v>2018</v>
      </c>
      <c r="H190" s="569">
        <v>81.722999999999999</v>
      </c>
      <c r="I190" s="565">
        <v>548700</v>
      </c>
      <c r="J190" s="565">
        <v>517200</v>
      </c>
      <c r="K190" s="565">
        <v>31500</v>
      </c>
      <c r="L190" s="76"/>
      <c r="M190" s="565"/>
      <c r="N190" s="566"/>
      <c r="O190" s="566"/>
      <c r="P190" s="76"/>
      <c r="Q190" s="565">
        <v>2018</v>
      </c>
      <c r="R190" s="565">
        <v>188783</v>
      </c>
      <c r="S190" s="76"/>
      <c r="T190" s="567">
        <f>IFERROR(INDEX('UNDP Population Data'!$G$6:$G$223,MATCH($C190,'UNDP Population Data'!$D$6:$D$222,0))*100,0)</f>
        <v>0.58552331770032051</v>
      </c>
      <c r="U190" s="420">
        <f t="shared" si="26"/>
        <v>523274.38475666626</v>
      </c>
      <c r="V190" s="420">
        <f t="shared" si="29"/>
        <v>191000.20915993373</v>
      </c>
      <c r="W190" s="420">
        <f t="shared" si="27"/>
        <v>0</v>
      </c>
      <c r="X190" s="420">
        <f t="shared" si="28"/>
        <v>35918.05657884125</v>
      </c>
      <c r="Z190" s="424">
        <f t="shared" si="30"/>
        <v>7.7713008038449978</v>
      </c>
      <c r="AA190" s="424">
        <f t="shared" si="31"/>
        <v>0</v>
      </c>
      <c r="AB190" s="424">
        <f t="shared" si="32"/>
        <v>2.8365999219881481</v>
      </c>
    </row>
    <row r="191" spans="2:28" x14ac:dyDescent="0.35">
      <c r="B191" s="557" t="s">
        <v>1143</v>
      </c>
      <c r="C191" s="557" t="s">
        <v>146</v>
      </c>
      <c r="D191" s="568" t="str">
        <f>INDEX('HCW, Staff, Beds Summary'!$E$7:$E$270,MATCH($C191,'HCW, Staff, Beds Summary'!$C$7:$C$270,0))</f>
        <v>Low income</v>
      </c>
      <c r="E191" s="423">
        <f>VLOOKUP($C191,'UNDP Population Data'!$D$6:$E$269,2,FALSE)</f>
        <v>62774619</v>
      </c>
      <c r="F191" s="558"/>
      <c r="G191" s="559">
        <v>2017</v>
      </c>
      <c r="H191" s="569">
        <v>5.843</v>
      </c>
      <c r="I191" s="565">
        <v>31940</v>
      </c>
      <c r="J191" s="565">
        <v>31940</v>
      </c>
      <c r="K191" s="565" t="s">
        <v>748</v>
      </c>
      <c r="L191" s="76"/>
      <c r="M191" s="565">
        <v>2014</v>
      </c>
      <c r="N191" s="566">
        <v>93</v>
      </c>
      <c r="O191" s="566">
        <v>2508</v>
      </c>
      <c r="P191" s="76"/>
      <c r="Q191" s="565">
        <v>2016</v>
      </c>
      <c r="R191" s="565">
        <v>742</v>
      </c>
      <c r="S191" s="76"/>
      <c r="T191" s="567">
        <f>IFERROR(INDEX('UNDP Population Data'!$G$6:$G$223,MATCH($C191,'UNDP Population Data'!$D$6:$D$222,0))*100,0)</f>
        <v>3.1030158651800921</v>
      </c>
      <c r="U191" s="420">
        <f t="shared" si="26"/>
        <v>35006.526381235402</v>
      </c>
      <c r="V191" s="420">
        <f t="shared" si="29"/>
        <v>838.47357736163565</v>
      </c>
      <c r="W191" s="420">
        <f t="shared" si="27"/>
        <v>3124.4139361741768</v>
      </c>
      <c r="X191" s="420">
        <f t="shared" si="28"/>
        <v>3124.4139361741768</v>
      </c>
      <c r="Z191" s="424">
        <f t="shared" si="30"/>
        <v>0.5576541433287775</v>
      </c>
      <c r="AA191" s="424">
        <f t="shared" si="31"/>
        <v>4.9771929896925013E-2</v>
      </c>
      <c r="AB191" s="424">
        <f t="shared" si="32"/>
        <v>1.3356888352626014E-2</v>
      </c>
    </row>
    <row r="192" spans="2:28" x14ac:dyDescent="0.35">
      <c r="B192" s="557" t="s">
        <v>1144</v>
      </c>
      <c r="C192" s="557" t="s">
        <v>149</v>
      </c>
      <c r="D192" s="568" t="str">
        <f>INDEX('HCW, Staff, Beds Summary'!$E$7:$E$270,MATCH($C192,'HCW, Staff, Beds Summary'!$C$7:$C$270,0))</f>
        <v>High income</v>
      </c>
      <c r="E192" s="423">
        <f>VLOOKUP($C192,'UNDP Population Data'!$D$6:$E$269,2,FALSE)</f>
        <v>331431534</v>
      </c>
      <c r="F192" s="558"/>
      <c r="G192" s="559">
        <v>2017</v>
      </c>
      <c r="H192" s="564">
        <v>145.47999999999999</v>
      </c>
      <c r="I192" s="565">
        <v>4729338</v>
      </c>
      <c r="J192" s="565">
        <v>4729338</v>
      </c>
      <c r="K192" s="565" t="s">
        <v>748</v>
      </c>
      <c r="L192" s="76"/>
      <c r="M192" s="565">
        <v>2010</v>
      </c>
      <c r="N192" s="566">
        <v>552276</v>
      </c>
      <c r="O192" s="566"/>
      <c r="P192" s="76"/>
      <c r="Q192" s="565">
        <v>2017</v>
      </c>
      <c r="R192" s="565">
        <v>849126</v>
      </c>
      <c r="S192" s="76"/>
      <c r="T192" s="567">
        <f>IFERROR(INDEX('UNDP Population Data'!$G$6:$G$223,MATCH($C192,'UNDP Population Data'!$D$6:$D$222,0))*100,0)</f>
        <v>0.70893416069726101</v>
      </c>
      <c r="U192" s="420">
        <f t="shared" si="26"/>
        <v>4830636.435094188</v>
      </c>
      <c r="V192" s="420">
        <f t="shared" si="29"/>
        <v>867313.5634597881</v>
      </c>
      <c r="W192" s="420">
        <f t="shared" si="27"/>
        <v>592701.69285150594</v>
      </c>
      <c r="X192" s="420">
        <f t="shared" si="28"/>
        <v>592701.69285150594</v>
      </c>
      <c r="Z192" s="424">
        <f t="shared" si="30"/>
        <v>14.57506585687223</v>
      </c>
      <c r="AA192" s="424">
        <f t="shared" si="31"/>
        <v>1.7883080879428508</v>
      </c>
      <c r="AB192" s="424">
        <f t="shared" si="32"/>
        <v>2.6168709808397055</v>
      </c>
    </row>
    <row r="193" spans="2:28" x14ac:dyDescent="0.35">
      <c r="B193" s="557" t="s">
        <v>559</v>
      </c>
      <c r="C193" s="557" t="s">
        <v>560</v>
      </c>
      <c r="D193" s="568" t="str">
        <f>INDEX('HCW, Staff, Beds Summary'!$E$7:$E$270,MATCH($C193,'HCW, Staff, Beds Summary'!$C$7:$C$270,0))</f>
        <v>High income</v>
      </c>
      <c r="E193" s="423">
        <f>VLOOKUP($C193,'UNDP Population Data'!$D$6:$E$269,2,FALSE)</f>
        <v>3494387</v>
      </c>
      <c r="F193" s="558"/>
      <c r="G193" s="559">
        <v>2017</v>
      </c>
      <c r="H193" s="564">
        <v>19.411999999999999</v>
      </c>
      <c r="I193" s="565">
        <v>6671</v>
      </c>
      <c r="J193" s="565">
        <v>6671</v>
      </c>
      <c r="K193" s="565" t="s">
        <v>748</v>
      </c>
      <c r="L193" s="76"/>
      <c r="M193" s="565">
        <v>2016</v>
      </c>
      <c r="N193" s="566"/>
      <c r="O193" s="566">
        <v>1420</v>
      </c>
      <c r="P193" s="76"/>
      <c r="Q193" s="565">
        <v>2017</v>
      </c>
      <c r="R193" s="565">
        <v>17456</v>
      </c>
      <c r="S193" s="76"/>
      <c r="T193" s="567">
        <f>IFERROR(INDEX('UNDP Population Data'!$G$6:$G$223,MATCH($C193,'UNDP Population Data'!$D$6:$D$222,0))*100,0)</f>
        <v>0.36356590148109991</v>
      </c>
      <c r="U193" s="420">
        <f t="shared" si="26"/>
        <v>6744.0252966099815</v>
      </c>
      <c r="V193" s="420">
        <f t="shared" si="29"/>
        <v>17647.085231243265</v>
      </c>
      <c r="W193" s="420">
        <f t="shared" si="27"/>
        <v>1440.7634339117849</v>
      </c>
      <c r="X193" s="420">
        <f t="shared" si="28"/>
        <v>1440.7634339117849</v>
      </c>
      <c r="Z193" s="424">
        <f t="shared" si="30"/>
        <v>1.9299594740393613</v>
      </c>
      <c r="AA193" s="424">
        <f t="shared" si="31"/>
        <v>0.41230791950398876</v>
      </c>
      <c r="AB193" s="424">
        <f t="shared" si="32"/>
        <v>5.0501233066753244</v>
      </c>
    </row>
    <row r="194" spans="2:28" x14ac:dyDescent="0.35">
      <c r="B194" s="557" t="s">
        <v>561</v>
      </c>
      <c r="C194" s="557" t="s">
        <v>150</v>
      </c>
      <c r="D194" s="568" t="str">
        <f>INDEX('HCW, Staff, Beds Summary'!$E$7:$E$270,MATCH($C194,'HCW, Staff, Beds Summary'!$C$7:$C$270,0))</f>
        <v>Lower middle income</v>
      </c>
      <c r="E194" s="423">
        <f>VLOOKUP($C194,'UNDP Population Data'!$D$6:$E$269,2,FALSE)</f>
        <v>33235824.999999996</v>
      </c>
      <c r="F194" s="558"/>
      <c r="G194" s="559">
        <v>2014</v>
      </c>
      <c r="H194" s="564">
        <v>112.804</v>
      </c>
      <c r="I194" s="565">
        <v>343223</v>
      </c>
      <c r="J194" s="565">
        <v>318196</v>
      </c>
      <c r="K194" s="565">
        <v>25027</v>
      </c>
      <c r="L194" s="76"/>
      <c r="M194" s="565"/>
      <c r="N194" s="566"/>
      <c r="O194" s="566"/>
      <c r="P194" s="76"/>
      <c r="Q194" s="565">
        <v>2014</v>
      </c>
      <c r="R194" s="565">
        <v>72237</v>
      </c>
      <c r="S194" s="76"/>
      <c r="T194" s="567">
        <f>IFERROR(INDEX('UNDP Population Data'!$G$6:$G$223,MATCH($C194,'UNDP Population Data'!$D$6:$D$222,0))*100,0)</f>
        <v>1.4182626797715203</v>
      </c>
      <c r="U194" s="420">
        <f t="shared" si="26"/>
        <v>346251.54194604961</v>
      </c>
      <c r="V194" s="420">
        <f t="shared" si="29"/>
        <v>78606.181836216623</v>
      </c>
      <c r="W194" s="420">
        <f t="shared" si="27"/>
        <v>0</v>
      </c>
      <c r="X194" s="420">
        <f t="shared" si="28"/>
        <v>8559.5177333743031</v>
      </c>
      <c r="Z194" s="424">
        <f t="shared" si="30"/>
        <v>10.418021575996674</v>
      </c>
      <c r="AA194" s="424">
        <f t="shared" si="31"/>
        <v>0</v>
      </c>
      <c r="AB194" s="424">
        <f t="shared" si="32"/>
        <v>2.3651039754908036</v>
      </c>
    </row>
    <row r="195" spans="2:28" x14ac:dyDescent="0.35">
      <c r="B195" s="557" t="s">
        <v>258</v>
      </c>
      <c r="C195" s="557" t="s">
        <v>151</v>
      </c>
      <c r="D195" s="568" t="str">
        <f>INDEX('HCW, Staff, Beds Summary'!$E$7:$E$270,MATCH($C195,'HCW, Staff, Beds Summary'!$C$7:$C$270,0))</f>
        <v>Lower middle income</v>
      </c>
      <c r="E195" s="423">
        <f>VLOOKUP($C195,'UNDP Population Data'!$D$6:$E$269,2,FALSE)</f>
        <v>293934</v>
      </c>
      <c r="F195" s="558"/>
      <c r="G195" s="559">
        <v>2018</v>
      </c>
      <c r="H195" s="564">
        <v>14.247</v>
      </c>
      <c r="I195" s="565">
        <v>417</v>
      </c>
      <c r="J195" s="565">
        <v>417</v>
      </c>
      <c r="K195" s="565" t="s">
        <v>748</v>
      </c>
      <c r="L195" s="76"/>
      <c r="M195" s="565">
        <v>2012</v>
      </c>
      <c r="N195" s="566">
        <v>59</v>
      </c>
      <c r="O195" s="566"/>
      <c r="P195" s="76"/>
      <c r="Q195" s="565">
        <v>2016</v>
      </c>
      <c r="R195" s="565">
        <v>46</v>
      </c>
      <c r="S195" s="76"/>
      <c r="T195" s="567">
        <f>IFERROR(INDEX('UNDP Population Data'!$G$6:$G$223,MATCH($C195,'UNDP Population Data'!$D$6:$D$222,0))*100,0)</f>
        <v>2.1247513646476701</v>
      </c>
      <c r="U195" s="420">
        <f t="shared" si="26"/>
        <v>434.90868388183907</v>
      </c>
      <c r="V195" s="420">
        <f t="shared" si="29"/>
        <v>50.03591896283455</v>
      </c>
      <c r="W195" s="420">
        <f t="shared" si="27"/>
        <v>69.807182420068727</v>
      </c>
      <c r="X195" s="420">
        <f t="shared" si="28"/>
        <v>69.807182420068727</v>
      </c>
      <c r="Z195" s="424">
        <f t="shared" si="30"/>
        <v>1.4796133958025919</v>
      </c>
      <c r="AA195" s="424">
        <f t="shared" si="31"/>
        <v>0.23749271067678027</v>
      </c>
      <c r="AB195" s="424">
        <f t="shared" si="32"/>
        <v>0.17022841509602343</v>
      </c>
    </row>
    <row r="196" spans="2:28" ht="29" x14ac:dyDescent="0.35">
      <c r="B196" s="557" t="s">
        <v>1145</v>
      </c>
      <c r="C196" s="557" t="s">
        <v>563</v>
      </c>
      <c r="D196" s="568" t="str">
        <f>INDEX('HCW, Staff, Beds Summary'!$E$7:$E$270,MATCH($C196,'HCW, Staff, Beds Summary'!$C$7:$C$270,0))</f>
        <v>Upper middle income</v>
      </c>
      <c r="E196" s="423">
        <f>VLOOKUP($C196,'UNDP Population Data'!$D$6:$E$269,2,FALSE)</f>
        <v>33172392</v>
      </c>
      <c r="F196" s="558"/>
      <c r="G196" s="559">
        <v>2018</v>
      </c>
      <c r="H196" s="564">
        <v>9.4160000000000004</v>
      </c>
      <c r="I196" s="565">
        <v>27200</v>
      </c>
      <c r="J196" s="565">
        <v>27200</v>
      </c>
      <c r="K196" s="565" t="s">
        <v>748</v>
      </c>
      <c r="L196" s="76"/>
      <c r="M196" s="565"/>
      <c r="N196" s="566"/>
      <c r="O196" s="566"/>
      <c r="P196" s="76"/>
      <c r="Q196" s="565">
        <v>2001</v>
      </c>
      <c r="R196" s="565">
        <v>48000</v>
      </c>
      <c r="S196" s="76"/>
      <c r="T196" s="567">
        <f>IFERROR(INDEX('UNDP Population Data'!$G$6:$G$223,MATCH($C196,'UNDP Population Data'!$D$6:$D$222,0))*100,0)</f>
        <v>1.262683706737322</v>
      </c>
      <c r="U196" s="420">
        <f t="shared" si="26"/>
        <v>27891.236623254772</v>
      </c>
      <c r="V196" s="420">
        <f t="shared" si="29"/>
        <v>60922.88561475325</v>
      </c>
      <c r="W196" s="420">
        <f t="shared" si="27"/>
        <v>0</v>
      </c>
      <c r="X196" s="420">
        <f t="shared" si="28"/>
        <v>7064.2675163812373</v>
      </c>
      <c r="Z196" s="424">
        <f t="shared" si="30"/>
        <v>0.84079666679613485</v>
      </c>
      <c r="AA196" s="424">
        <f t="shared" si="31"/>
        <v>0</v>
      </c>
      <c r="AB196" s="424">
        <f t="shared" si="32"/>
        <v>1.8365538914032262</v>
      </c>
    </row>
    <row r="197" spans="2:28" x14ac:dyDescent="0.35">
      <c r="B197" s="557" t="s">
        <v>1146</v>
      </c>
      <c r="C197" s="557" t="s">
        <v>160</v>
      </c>
      <c r="D197" s="568" t="str">
        <f>INDEX('HCW, Staff, Beds Summary'!$E$7:$E$270,MATCH($C197,'HCW, Staff, Beds Summary'!$C$7:$C$270,0))</f>
        <v>Lower middle income</v>
      </c>
      <c r="E197" s="423">
        <f>VLOOKUP($C197,'UNDP Population Data'!$D$6:$E$269,2,FALSE)</f>
        <v>98360145</v>
      </c>
      <c r="F197" s="558"/>
      <c r="G197" s="559">
        <v>2016</v>
      </c>
      <c r="H197" s="564">
        <v>14.462999999999999</v>
      </c>
      <c r="I197" s="565">
        <v>135432</v>
      </c>
      <c r="J197" s="565">
        <v>106654</v>
      </c>
      <c r="K197" s="565">
        <v>28778</v>
      </c>
      <c r="L197" s="76"/>
      <c r="M197" s="565"/>
      <c r="N197" s="566"/>
      <c r="O197" s="566"/>
      <c r="P197" s="76"/>
      <c r="Q197" s="565">
        <v>2016</v>
      </c>
      <c r="R197" s="565">
        <v>77539</v>
      </c>
      <c r="S197" s="76"/>
      <c r="T197" s="567">
        <f>IFERROR(INDEX('UNDP Population Data'!$G$6:$G$223,MATCH($C197,'UNDP Population Data'!$D$6:$D$222,0))*100,0)</f>
        <v>1.0031809701368077</v>
      </c>
      <c r="U197" s="420">
        <f t="shared" si="26"/>
        <v>110998.56247119492</v>
      </c>
      <c r="V197" s="420">
        <f t="shared" si="29"/>
        <v>80697.559730099034</v>
      </c>
      <c r="W197" s="420">
        <f t="shared" si="27"/>
        <v>0</v>
      </c>
      <c r="X197" s="420">
        <f t="shared" si="28"/>
        <v>25331.56331713649</v>
      </c>
      <c r="Z197" s="424">
        <f t="shared" si="30"/>
        <v>1.1284912448146038</v>
      </c>
      <c r="AA197" s="424">
        <f t="shared" si="31"/>
        <v>0</v>
      </c>
      <c r="AB197" s="424">
        <f t="shared" si="32"/>
        <v>0.82042945066926276</v>
      </c>
    </row>
    <row r="198" spans="2:28" x14ac:dyDescent="0.35">
      <c r="B198" s="557" t="s">
        <v>1147</v>
      </c>
      <c r="C198" s="557" t="s">
        <v>568</v>
      </c>
      <c r="D198" s="568" t="str">
        <f>INDEX('HCW, Staff, Beds Summary'!$E$7:$E$270,MATCH($C198,'HCW, Staff, Beds Summary'!$C$7:$C$270,0))</f>
        <v>Lower middle income</v>
      </c>
      <c r="E198" s="423">
        <f>VLOOKUP($C198,'UNDP Population Data'!$D$6:$E$269,2,FALSE)</f>
        <v>5322629</v>
      </c>
      <c r="F198" s="558"/>
      <c r="G198" s="559">
        <v>2018</v>
      </c>
      <c r="H198" s="569" t="s">
        <v>748</v>
      </c>
      <c r="I198" s="565">
        <v>9385</v>
      </c>
      <c r="J198" s="565">
        <v>8286</v>
      </c>
      <c r="K198" s="565">
        <v>1099</v>
      </c>
      <c r="L198" s="76"/>
      <c r="M198" s="565"/>
      <c r="N198" s="566"/>
      <c r="O198" s="566"/>
      <c r="P198" s="76"/>
      <c r="Q198" s="565">
        <v>2018</v>
      </c>
      <c r="R198" s="565">
        <v>10417</v>
      </c>
      <c r="S198" s="76"/>
      <c r="T198" s="567">
        <f>IFERROR(INDEX('UNDP Population Data'!$G$6:$G$223,MATCH($C198,'UNDP Population Data'!$D$6:$D$222,0))*100,0)</f>
        <v>2.6819994726169138</v>
      </c>
      <c r="U198" s="420">
        <f t="shared" si="26"/>
        <v>8736.4211728044629</v>
      </c>
      <c r="V198" s="420">
        <f t="shared" si="29"/>
        <v>10983.260844448962</v>
      </c>
      <c r="W198" s="420">
        <f t="shared" si="27"/>
        <v>0</v>
      </c>
      <c r="X198" s="420">
        <f t="shared" si="28"/>
        <v>1370.7840053217376</v>
      </c>
      <c r="Z198" s="424">
        <f t="shared" si="30"/>
        <v>1.6413733087172642</v>
      </c>
      <c r="AA198" s="424">
        <f t="shared" si="31"/>
        <v>0</v>
      </c>
      <c r="AB198" s="424">
        <f t="shared" si="32"/>
        <v>2.0635029877996307</v>
      </c>
    </row>
    <row r="199" spans="2:28" x14ac:dyDescent="0.35">
      <c r="B199" s="557" t="s">
        <v>1098</v>
      </c>
      <c r="C199" s="557" t="s">
        <v>153</v>
      </c>
      <c r="D199" s="568" t="str">
        <f>INDEX('HCW, Staff, Beds Summary'!$E$7:$E$270,MATCH($C199,'HCW, Staff, Beds Summary'!$C$7:$C$270,0))</f>
        <v>Low income</v>
      </c>
      <c r="E199" s="423">
        <f>VLOOKUP($C199,'UNDP Population Data'!$D$6:$E$269,2,FALSE)</f>
        <v>30245305</v>
      </c>
      <c r="F199" s="558"/>
      <c r="G199" s="559">
        <v>2018</v>
      </c>
      <c r="H199" s="564">
        <v>7.8520000000000003</v>
      </c>
      <c r="I199" s="565">
        <v>22377</v>
      </c>
      <c r="J199" s="565">
        <v>22377</v>
      </c>
      <c r="K199" s="565" t="s">
        <v>748</v>
      </c>
      <c r="L199" s="76"/>
      <c r="M199" s="565">
        <v>2010</v>
      </c>
      <c r="N199" s="566">
        <v>1113</v>
      </c>
      <c r="O199" s="566">
        <v>1809</v>
      </c>
      <c r="P199" s="76"/>
      <c r="Q199" s="565">
        <v>2014</v>
      </c>
      <c r="R199" s="565">
        <v>13560</v>
      </c>
      <c r="S199" s="76"/>
      <c r="T199" s="567">
        <f>IFERROR(INDEX('UNDP Population Data'!$G$6:$G$223,MATCH($C199,'UNDP Population Data'!$D$6:$D$222,0))*100,0)</f>
        <v>2.3596569597165384</v>
      </c>
      <c r="U199" s="420">
        <f t="shared" si="26"/>
        <v>23445.500346762601</v>
      </c>
      <c r="V199" s="420">
        <f t="shared" si="29"/>
        <v>15596.696459732802</v>
      </c>
      <c r="W199" s="420">
        <f t="shared" si="27"/>
        <v>3689.5077688860929</v>
      </c>
      <c r="X199" s="420">
        <f t="shared" si="28"/>
        <v>3689.5077688860929</v>
      </c>
      <c r="Z199" s="424">
        <f t="shared" si="30"/>
        <v>0.77517817548087542</v>
      </c>
      <c r="AA199" s="424">
        <f t="shared" si="31"/>
        <v>0.12198613202565135</v>
      </c>
      <c r="AB199" s="424">
        <f t="shared" si="32"/>
        <v>0.51567330730282934</v>
      </c>
    </row>
    <row r="200" spans="2:28" x14ac:dyDescent="0.35">
      <c r="B200" s="557" t="s">
        <v>217</v>
      </c>
      <c r="C200" s="557" t="s">
        <v>155</v>
      </c>
      <c r="D200" s="568" t="str">
        <f>INDEX('HCW, Staff, Beds Summary'!$E$7:$E$270,MATCH($C200,'HCW, Staff, Beds Summary'!$C$7:$C$270,0))</f>
        <v>Lower middle income</v>
      </c>
      <c r="E200" s="423">
        <f>VLOOKUP($C200,'UNDP Population Data'!$D$6:$E$269,2,FALSE)</f>
        <v>18679273</v>
      </c>
      <c r="F200" s="558"/>
      <c r="G200" s="559">
        <v>2018</v>
      </c>
      <c r="H200" s="564">
        <v>13.375999999999999</v>
      </c>
      <c r="I200" s="565">
        <v>23210</v>
      </c>
      <c r="J200" s="565">
        <v>22722</v>
      </c>
      <c r="K200" s="565">
        <v>488</v>
      </c>
      <c r="L200" s="76"/>
      <c r="M200" s="565">
        <v>2018</v>
      </c>
      <c r="N200" s="566">
        <v>441</v>
      </c>
      <c r="O200" s="566"/>
      <c r="P200" s="76"/>
      <c r="Q200" s="565">
        <v>2018</v>
      </c>
      <c r="R200" s="565">
        <v>20591</v>
      </c>
      <c r="S200" s="76"/>
      <c r="T200" s="567">
        <f>IFERROR(INDEX('UNDP Population Data'!$G$6:$G$223,MATCH($C200,'UNDP Population Data'!$D$6:$D$222,0))*100,0)</f>
        <v>3.0157554927151331</v>
      </c>
      <c r="U200" s="420">
        <f t="shared" si="26"/>
        <v>24113.145087933564</v>
      </c>
      <c r="V200" s="420">
        <f t="shared" si="29"/>
        <v>21851.675490962065</v>
      </c>
      <c r="W200" s="420">
        <f t="shared" si="27"/>
        <v>468.00004329630764</v>
      </c>
      <c r="X200" s="420">
        <f t="shared" si="28"/>
        <v>468.00004329630764</v>
      </c>
      <c r="Z200" s="424">
        <f t="shared" si="30"/>
        <v>1.2909038316391417</v>
      </c>
      <c r="AA200" s="424">
        <f t="shared" si="31"/>
        <v>2.5054510595584081E-2</v>
      </c>
      <c r="AB200" s="424">
        <f t="shared" si="32"/>
        <v>1.1698354369017501</v>
      </c>
    </row>
    <row r="201" spans="2:28" x14ac:dyDescent="0.35">
      <c r="B201" s="557" t="s">
        <v>218</v>
      </c>
      <c r="C201" s="557" t="s">
        <v>156</v>
      </c>
      <c r="D201" s="568" t="str">
        <f>INDEX('HCW, Staff, Beds Summary'!$E$7:$E$270,MATCH($C201,'HCW, Staff, Beds Summary'!$C$7:$C$270,0))</f>
        <v>Lower middle income</v>
      </c>
      <c r="E201" s="423">
        <f>VLOOKUP($C201,'UNDP Population Data'!$D$6:$E$269,2,FALSE)</f>
        <v>17680465</v>
      </c>
      <c r="F201" s="558"/>
      <c r="G201" s="559">
        <v>2018</v>
      </c>
      <c r="H201" s="564">
        <v>19.346</v>
      </c>
      <c r="I201" s="565">
        <v>27934</v>
      </c>
      <c r="J201" s="565">
        <v>27934</v>
      </c>
      <c r="K201" s="565" t="s">
        <v>748</v>
      </c>
      <c r="L201" s="76"/>
      <c r="M201" s="565">
        <v>2018</v>
      </c>
      <c r="N201" s="566">
        <v>644</v>
      </c>
      <c r="O201" s="566">
        <v>1126</v>
      </c>
      <c r="P201" s="76"/>
      <c r="Q201" s="565">
        <v>2018</v>
      </c>
      <c r="R201" s="565">
        <v>3026</v>
      </c>
      <c r="S201" s="76"/>
      <c r="T201" s="567">
        <f>IFERROR(INDEX('UNDP Population Data'!$G$6:$G$223,MATCH($C201,'UNDP Population Data'!$D$6:$D$222,0))*100,0)</f>
        <v>2.3037064808118179</v>
      </c>
      <c r="U201" s="420">
        <f>IFERROR(J201*(1+T201/100)^(2020-G201),J201)</f>
        <v>29235.859488019778</v>
      </c>
      <c r="V201" s="420">
        <f t="shared" si="29"/>
        <v>3167.0262336488813</v>
      </c>
      <c r="W201" s="420">
        <f>IFERROR(SUM(N201:O201)*(1+$T201/100)^(2020-$M201),SUM(N201:O201))</f>
        <v>1852.4905596690414</v>
      </c>
      <c r="X201" s="420">
        <f>IF(W201=0,INDEX($AG$8:$AG$12,MATCH($D201,$AD$8:$AD$12,0))*E201/1000,W201)</f>
        <v>1852.4905596690414</v>
      </c>
      <c r="Z201" s="424">
        <f t="shared" si="30"/>
        <v>1.6535684716448227</v>
      </c>
      <c r="AA201" s="424">
        <f t="shared" si="31"/>
        <v>0.1047761221025036</v>
      </c>
      <c r="AB201" s="424">
        <f t="shared" si="32"/>
        <v>0.17912573191083386</v>
      </c>
    </row>
    <row r="204" spans="2:28" ht="15.75" customHeight="1" x14ac:dyDescent="0.35">
      <c r="B204" s="556" t="s">
        <v>1345</v>
      </c>
    </row>
    <row r="205" spans="2:28" x14ac:dyDescent="0.35">
      <c r="B205" s="556" t="s">
        <v>1344</v>
      </c>
    </row>
    <row r="207" spans="2:28" x14ac:dyDescent="0.35">
      <c r="B207" s="1389" t="s">
        <v>1898</v>
      </c>
      <c r="C207" s="1389"/>
      <c r="D207" s="1389"/>
      <c r="E207" s="1389"/>
      <c r="F207" s="1389"/>
      <c r="G207" s="1389"/>
    </row>
    <row r="208" spans="2:28" x14ac:dyDescent="0.35">
      <c r="B208" s="909" t="s">
        <v>1897</v>
      </c>
      <c r="C208" s="909"/>
      <c r="D208" s="909"/>
      <c r="E208" s="909"/>
      <c r="F208" s="909"/>
      <c r="G208" s="909"/>
    </row>
  </sheetData>
  <sheetProtection algorithmName="SHA-512" hashValue="l3HnGe6LMzdo03Q6pG6pcdGg38/zuTR1Zul1bTHjbb05Hk0RRfihPaQIjTCBnxfnm3dcQt+WU+YOe/G2AhllFQ==" saltValue="EF7KDsHJEEMJ8CAzZk54UA==" spinCount="100000" sheet="1" objects="1" scenarios="1"/>
  <autoFilter ref="T7:W201" xr:uid="{00000000-0009-0000-0000-000010000000}"/>
  <mergeCells count="8">
    <mergeCell ref="B207:G207"/>
    <mergeCell ref="B6:E6"/>
    <mergeCell ref="Z6:AG6"/>
    <mergeCell ref="T6:X6"/>
    <mergeCell ref="Q5:R5"/>
    <mergeCell ref="G6:K6"/>
    <mergeCell ref="M6:O6"/>
    <mergeCell ref="Q6:R6"/>
  </mergeCells>
  <hyperlinks>
    <hyperlink ref="I7" r:id="rId1" display="http://apps.who.int/gho/data/node.wrapper.imr?x-id=5320" xr:uid="{00000000-0004-0000-1000-000000000000}"/>
    <hyperlink ref="J7" r:id="rId2" display="http://apps.who.int/gho/data/node.wrapper.imr?x-id=5321" xr:uid="{00000000-0004-0000-1000-000001000000}"/>
    <hyperlink ref="K7" r:id="rId3" display="http://apps.who.int/gho/data/node.wrapper.imr?x-id=5322" xr:uid="{00000000-0004-0000-1000-000002000000}"/>
    <hyperlink ref="H7" r:id="rId4" display="http://apps.who.int/gho/data/node.wrapper.imr?x-id=5319" xr:uid="{00000000-0004-0000-1000-000003000000}"/>
    <hyperlink ref="R7" r:id="rId5" display="http://apps.who.int/gho/data/node.wrapper.imr?x-id=5315" xr:uid="{00000000-0004-0000-1000-000004000000}"/>
    <hyperlink ref="N7" r:id="rId6" xr:uid="{00000000-0004-0000-1000-000005000000}"/>
    <hyperlink ref="O7" r:id="rId7" xr:uid="{00000000-0004-0000-1000-000006000000}"/>
    <hyperlink ref="B207" r:id="rId8" display="https://creativecommons.org/licenses/by-nc-sa/3.0/igo" xr:uid="{5BC8DB1B-7108-47AC-B723-1C8491431128}"/>
  </hyperlinks>
  <pageMargins left="0.75" right="0.75" top="1" bottom="1" header="0.5" footer="0.5"/>
  <pageSetup paperSize="9" orientation="portrait" verticalDpi="0" r:id="rId9"/>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2" tint="-0.499984740745262"/>
  </sheetPr>
  <dimension ref="A1:BS1098"/>
  <sheetViews>
    <sheetView showGridLines="0" zoomScale="80" zoomScaleNormal="80" workbookViewId="0">
      <selection activeCell="B4" sqref="B4:C6"/>
    </sheetView>
  </sheetViews>
  <sheetFormatPr defaultColWidth="9.453125" defaultRowHeight="14.5" outlineLevelRow="1" x14ac:dyDescent="0.35"/>
  <cols>
    <col min="1" max="1" width="3.453125" style="77" customWidth="1"/>
    <col min="2" max="2" width="44" style="77" bestFit="1" customWidth="1"/>
    <col min="3" max="3" width="25.453125" style="77" bestFit="1" customWidth="1"/>
    <col min="4" max="4" width="33.453125" style="77" bestFit="1" customWidth="1"/>
    <col min="5" max="5" width="16.453125" style="77" bestFit="1" customWidth="1"/>
    <col min="6" max="65" width="5.453125" style="77" customWidth="1"/>
    <col min="66" max="66" width="18" style="77" bestFit="1" customWidth="1"/>
    <col min="67" max="68" width="9.453125" style="77" customWidth="1"/>
    <col min="69" max="69" width="11.453125" style="77" customWidth="1"/>
    <col min="70" max="75" width="9.453125" style="77" customWidth="1"/>
    <col min="76" max="16384" width="9.453125" style="77"/>
  </cols>
  <sheetData>
    <row r="1" spans="1:66" ht="38.65" customHeight="1" x14ac:dyDescent="0.35"/>
    <row r="2" spans="1:66" s="23" customFormat="1" ht="18.5" x14ac:dyDescent="0.45">
      <c r="B2" s="23" t="s">
        <v>1841</v>
      </c>
      <c r="E2" s="24"/>
      <c r="F2" s="24"/>
      <c r="G2" s="24"/>
    </row>
    <row r="3" spans="1:66" ht="15" thickBot="1" x14ac:dyDescent="0.4"/>
    <row r="4" spans="1:66" ht="14.5" customHeight="1" x14ac:dyDescent="0.35">
      <c r="B4" s="1602" t="s">
        <v>1842</v>
      </c>
      <c r="C4" s="1603"/>
      <c r="D4" s="1325"/>
    </row>
    <row r="5" spans="1:66" x14ac:dyDescent="0.35">
      <c r="B5" s="1604"/>
      <c r="C5" s="1605"/>
      <c r="D5" s="1325"/>
    </row>
    <row r="6" spans="1:66" ht="15" thickBot="1" x14ac:dyDescent="0.4">
      <c r="B6" s="1606"/>
      <c r="C6" s="1607"/>
      <c r="D6" s="1325"/>
    </row>
    <row r="8" spans="1:66" s="180" customFormat="1" ht="16.399999999999999" hidden="1" customHeight="1" x14ac:dyDescent="0.35">
      <c r="A8" s="187" t="s">
        <v>861</v>
      </c>
      <c r="B8" s="181" t="s">
        <v>859</v>
      </c>
    </row>
    <row r="9" spans="1:66" s="25" customFormat="1" hidden="1" x14ac:dyDescent="0.35">
      <c r="B9" s="25" t="s">
        <v>765</v>
      </c>
      <c r="E9" s="26"/>
      <c r="F9" s="26"/>
      <c r="G9" s="26"/>
    </row>
    <row r="10" spans="1:66" s="14" customFormat="1" hidden="1" x14ac:dyDescent="0.35">
      <c r="B10" s="14" t="s">
        <v>764</v>
      </c>
      <c r="E10" s="74"/>
      <c r="F10" s="74"/>
      <c r="G10" s="74"/>
    </row>
    <row r="11" spans="1:66" hidden="1" x14ac:dyDescent="0.35"/>
    <row r="12" spans="1:66" hidden="1" x14ac:dyDescent="0.35">
      <c r="B12" s="182" t="s">
        <v>572</v>
      </c>
      <c r="C12" s="182" t="s">
        <v>573</v>
      </c>
      <c r="D12" s="182" t="s">
        <v>625</v>
      </c>
      <c r="E12" s="182" t="s">
        <v>626</v>
      </c>
      <c r="F12" s="182">
        <v>1960</v>
      </c>
      <c r="G12" s="182">
        <v>1961</v>
      </c>
      <c r="H12" s="182">
        <v>1962</v>
      </c>
      <c r="I12" s="182">
        <v>1963</v>
      </c>
      <c r="J12" s="182">
        <v>1964</v>
      </c>
      <c r="K12" s="182">
        <v>1965</v>
      </c>
      <c r="L12" s="182">
        <v>1966</v>
      </c>
      <c r="M12" s="182">
        <v>1967</v>
      </c>
      <c r="N12" s="182">
        <v>1968</v>
      </c>
      <c r="O12" s="182">
        <v>1969</v>
      </c>
      <c r="P12" s="182">
        <v>1970</v>
      </c>
      <c r="Q12" s="182">
        <v>1971</v>
      </c>
      <c r="R12" s="182">
        <v>1972</v>
      </c>
      <c r="S12" s="182">
        <v>1973</v>
      </c>
      <c r="T12" s="182">
        <v>1974</v>
      </c>
      <c r="U12" s="182">
        <v>1975</v>
      </c>
      <c r="V12" s="182">
        <v>1976</v>
      </c>
      <c r="W12" s="182">
        <v>1977</v>
      </c>
      <c r="X12" s="182">
        <v>1978</v>
      </c>
      <c r="Y12" s="182">
        <v>1979</v>
      </c>
      <c r="Z12" s="182">
        <v>1980</v>
      </c>
      <c r="AA12" s="182">
        <v>1981</v>
      </c>
      <c r="AB12" s="182">
        <v>1982</v>
      </c>
      <c r="AC12" s="182">
        <v>1983</v>
      </c>
      <c r="AD12" s="182">
        <v>1984</v>
      </c>
      <c r="AE12" s="182">
        <v>1985</v>
      </c>
      <c r="AF12" s="182">
        <v>1986</v>
      </c>
      <c r="AG12" s="182">
        <v>1987</v>
      </c>
      <c r="AH12" s="182">
        <v>1988</v>
      </c>
      <c r="AI12" s="182">
        <v>1989</v>
      </c>
      <c r="AJ12" s="182">
        <v>1990</v>
      </c>
      <c r="AK12" s="182">
        <v>1991</v>
      </c>
      <c r="AL12" s="182">
        <v>1992</v>
      </c>
      <c r="AM12" s="182">
        <v>1993</v>
      </c>
      <c r="AN12" s="182">
        <v>1994</v>
      </c>
      <c r="AO12" s="182">
        <v>1995</v>
      </c>
      <c r="AP12" s="182">
        <v>1996</v>
      </c>
      <c r="AQ12" s="182">
        <v>1997</v>
      </c>
      <c r="AR12" s="182">
        <v>1998</v>
      </c>
      <c r="AS12" s="182">
        <v>1999</v>
      </c>
      <c r="AT12" s="182">
        <v>2000</v>
      </c>
      <c r="AU12" s="182">
        <v>2001</v>
      </c>
      <c r="AV12" s="182">
        <v>2002</v>
      </c>
      <c r="AW12" s="182">
        <v>2003</v>
      </c>
      <c r="AX12" s="182">
        <v>2004</v>
      </c>
      <c r="AY12" s="182">
        <v>2005</v>
      </c>
      <c r="AZ12" s="182">
        <v>2006</v>
      </c>
      <c r="BA12" s="182">
        <v>2007</v>
      </c>
      <c r="BB12" s="182">
        <v>2008</v>
      </c>
      <c r="BC12" s="182">
        <v>2009</v>
      </c>
      <c r="BD12" s="182">
        <v>2010</v>
      </c>
      <c r="BE12" s="182">
        <v>2011</v>
      </c>
      <c r="BF12" s="182">
        <v>2012</v>
      </c>
      <c r="BG12" s="182">
        <v>2013</v>
      </c>
      <c r="BH12" s="182">
        <v>2014</v>
      </c>
      <c r="BI12" s="182">
        <v>2015</v>
      </c>
      <c r="BJ12" s="182">
        <v>2016</v>
      </c>
      <c r="BK12" s="182">
        <v>2017</v>
      </c>
      <c r="BL12" s="182">
        <v>2018</v>
      </c>
      <c r="BM12" s="182">
        <v>2019</v>
      </c>
      <c r="BN12" s="183" t="s">
        <v>758</v>
      </c>
    </row>
    <row r="13" spans="1:66" hidden="1" x14ac:dyDescent="0.35">
      <c r="B13" s="77" t="s">
        <v>322</v>
      </c>
      <c r="C13" s="77" t="s">
        <v>323</v>
      </c>
      <c r="D13" s="77" t="s">
        <v>763</v>
      </c>
      <c r="E13" s="77" t="s">
        <v>762</v>
      </c>
      <c r="BN13" s="78" t="str">
        <f t="shared" ref="BN13:BN76" si="0">IFERROR(LOOKUP(2,1/(ISNUMBER(F13:BM13)),F13:BM13),"No reported value")</f>
        <v>No reported value</v>
      </c>
    </row>
    <row r="14" spans="1:66" hidden="1" x14ac:dyDescent="0.35">
      <c r="B14" s="77" t="s">
        <v>230</v>
      </c>
      <c r="C14" s="77" t="s">
        <v>0</v>
      </c>
      <c r="D14" s="77" t="s">
        <v>763</v>
      </c>
      <c r="E14" s="77" t="s">
        <v>762</v>
      </c>
      <c r="AY14" s="77">
        <v>0.59550000000000003</v>
      </c>
      <c r="AZ14" s="77">
        <v>0.44919999999999999</v>
      </c>
      <c r="BA14" s="77">
        <v>0.50460000000000005</v>
      </c>
      <c r="BB14" s="77">
        <v>0.50490000000000002</v>
      </c>
      <c r="BC14" s="77">
        <v>0.61619999999999997</v>
      </c>
      <c r="BH14" s="77">
        <v>0.32</v>
      </c>
      <c r="BN14" s="78">
        <f t="shared" si="0"/>
        <v>0.32</v>
      </c>
    </row>
    <row r="15" spans="1:66" hidden="1" x14ac:dyDescent="0.35">
      <c r="B15" s="77" t="s">
        <v>182</v>
      </c>
      <c r="C15" s="77" t="s">
        <v>165</v>
      </c>
      <c r="D15" s="77" t="s">
        <v>763</v>
      </c>
      <c r="E15" s="77" t="s">
        <v>762</v>
      </c>
      <c r="AQ15" s="77">
        <v>0.90310000000000001</v>
      </c>
      <c r="AX15" s="77">
        <v>0.9798</v>
      </c>
      <c r="BC15" s="77">
        <v>1.3123</v>
      </c>
      <c r="BN15" s="78">
        <f t="shared" si="0"/>
        <v>1.3123</v>
      </c>
    </row>
    <row r="16" spans="1:66" hidden="1" x14ac:dyDescent="0.35">
      <c r="B16" s="77" t="s">
        <v>311</v>
      </c>
      <c r="C16" s="77" t="s">
        <v>312</v>
      </c>
      <c r="D16" s="77" t="s">
        <v>763</v>
      </c>
      <c r="E16" s="77" t="s">
        <v>762</v>
      </c>
      <c r="AN16" s="77">
        <v>5.1609999999999996</v>
      </c>
      <c r="BA16" s="77">
        <v>4.03</v>
      </c>
      <c r="BC16" s="77">
        <v>3.8959999999999999</v>
      </c>
      <c r="BG16" s="77">
        <v>4.5679999999999996</v>
      </c>
      <c r="BJ16" s="77">
        <v>3.5998000000000001</v>
      </c>
      <c r="BN16" s="78">
        <f t="shared" si="0"/>
        <v>3.5998000000000001</v>
      </c>
    </row>
    <row r="17" spans="2:66" hidden="1" x14ac:dyDescent="0.35">
      <c r="B17" s="77" t="s">
        <v>315</v>
      </c>
      <c r="C17" s="77" t="s">
        <v>1</v>
      </c>
      <c r="D17" s="77" t="s">
        <v>763</v>
      </c>
      <c r="E17" s="77" t="s">
        <v>762</v>
      </c>
      <c r="AZ17" s="77">
        <v>3.87</v>
      </c>
      <c r="BA17" s="77">
        <v>4.18</v>
      </c>
      <c r="BC17" s="77">
        <v>3.6389999999999998</v>
      </c>
      <c r="BD17" s="77">
        <v>4.7649999999999997</v>
      </c>
      <c r="BI17" s="77">
        <v>4.0128000000000004</v>
      </c>
      <c r="BN17" s="78">
        <f t="shared" si="0"/>
        <v>4.0128000000000004</v>
      </c>
    </row>
    <row r="18" spans="2:66" hidden="1" x14ac:dyDescent="0.35">
      <c r="B18" s="77" t="s">
        <v>318</v>
      </c>
      <c r="C18" s="77" t="s">
        <v>319</v>
      </c>
      <c r="D18" s="77" t="s">
        <v>763</v>
      </c>
      <c r="E18" s="77" t="s">
        <v>762</v>
      </c>
      <c r="BI18" s="77">
        <v>2.0922347500097929</v>
      </c>
      <c r="BN18" s="78">
        <f t="shared" si="0"/>
        <v>2.0922347500097929</v>
      </c>
    </row>
    <row r="19" spans="2:66" hidden="1" x14ac:dyDescent="0.35">
      <c r="B19" s="77" t="s">
        <v>554</v>
      </c>
      <c r="C19" s="77" t="s">
        <v>2</v>
      </c>
      <c r="D19" s="77" t="s">
        <v>763</v>
      </c>
      <c r="E19" s="77" t="s">
        <v>762</v>
      </c>
      <c r="AJ19" s="77">
        <v>2.7835999999999999</v>
      </c>
      <c r="AK19" s="77">
        <v>3.7679999999999998</v>
      </c>
      <c r="AL19" s="77">
        <v>3.9369999999999998</v>
      </c>
      <c r="AM19" s="77">
        <v>3.7505999999999999</v>
      </c>
      <c r="AN19" s="77">
        <v>3.6526999999999998</v>
      </c>
      <c r="AO19" s="77">
        <v>3.5314999999999999</v>
      </c>
      <c r="AP19" s="77">
        <v>3.52</v>
      </c>
      <c r="AQ19" s="77">
        <v>3.5133000000000001</v>
      </c>
      <c r="AR19" s="77">
        <v>4.3296999999999999</v>
      </c>
      <c r="AS19" s="77">
        <v>3.6139000000000001</v>
      </c>
      <c r="AT19" s="77">
        <v>3.3786</v>
      </c>
      <c r="AU19" s="77">
        <v>3.6920999999999999</v>
      </c>
      <c r="AV19" s="77">
        <v>3.7667999999999999</v>
      </c>
      <c r="AW19" s="77">
        <v>3.9230999999999998</v>
      </c>
      <c r="AX19" s="77">
        <v>3.3357000000000001</v>
      </c>
      <c r="AY19" s="77">
        <v>3.0055000000000001</v>
      </c>
      <c r="AZ19" s="77">
        <v>2.831</v>
      </c>
      <c r="BA19" s="77">
        <v>3.0415999999999999</v>
      </c>
      <c r="BB19" s="77">
        <v>2.8978999999999999</v>
      </c>
      <c r="BC19" s="77">
        <v>3.0200999999999998</v>
      </c>
      <c r="BD19" s="77">
        <v>2.7425000000000002</v>
      </c>
      <c r="BE19" s="77">
        <v>2.9460999999999999</v>
      </c>
      <c r="BF19" s="77">
        <v>3.0914000000000001</v>
      </c>
      <c r="BG19" s="77">
        <v>3.4113000000000002</v>
      </c>
      <c r="BH19" s="77">
        <v>4.0213999999999999</v>
      </c>
      <c r="BI19" s="77">
        <v>5.0419</v>
      </c>
      <c r="BJ19" s="77">
        <v>5.5857000000000001</v>
      </c>
      <c r="BN19" s="78">
        <f t="shared" si="0"/>
        <v>5.5857000000000001</v>
      </c>
    </row>
    <row r="20" spans="2:66" hidden="1" x14ac:dyDescent="0.35">
      <c r="B20" s="77" t="s">
        <v>320</v>
      </c>
      <c r="C20" s="77" t="s">
        <v>321</v>
      </c>
      <c r="D20" s="77" t="s">
        <v>763</v>
      </c>
      <c r="E20" s="77" t="s">
        <v>762</v>
      </c>
      <c r="AL20" s="77">
        <v>2.0501999999999998</v>
      </c>
      <c r="AN20" s="77">
        <v>2.1413000000000002</v>
      </c>
      <c r="AR20" s="77">
        <v>0.80020000000000002</v>
      </c>
      <c r="AU20" s="77">
        <v>0.443</v>
      </c>
      <c r="AX20" s="77">
        <v>0.48249999999999998</v>
      </c>
      <c r="BG20" s="77">
        <v>4.2119</v>
      </c>
      <c r="BK20" s="77">
        <v>2.58</v>
      </c>
      <c r="BN20" s="78">
        <f t="shared" si="0"/>
        <v>2.58</v>
      </c>
    </row>
    <row r="21" spans="2:66" hidden="1" x14ac:dyDescent="0.35">
      <c r="B21" s="77" t="s">
        <v>234</v>
      </c>
      <c r="C21" s="77" t="s">
        <v>3</v>
      </c>
      <c r="D21" s="77" t="s">
        <v>763</v>
      </c>
      <c r="E21" s="77" t="s">
        <v>762</v>
      </c>
      <c r="AZ21" s="77">
        <v>4.92</v>
      </c>
      <c r="BA21" s="77">
        <v>4.87</v>
      </c>
      <c r="BC21" s="77">
        <v>5.01</v>
      </c>
      <c r="BD21" s="77">
        <v>5.6948999999999996</v>
      </c>
      <c r="BE21" s="77">
        <v>5.7577999999999996</v>
      </c>
      <c r="BF21" s="77">
        <v>5.7434000000000003</v>
      </c>
      <c r="BG21" s="77">
        <v>5.6513</v>
      </c>
      <c r="BH21" s="77">
        <v>5.6093999999999999</v>
      </c>
      <c r="BN21" s="78">
        <f t="shared" si="0"/>
        <v>5.6093999999999999</v>
      </c>
    </row>
    <row r="22" spans="2:66" hidden="1" x14ac:dyDescent="0.35">
      <c r="B22" s="77" t="s">
        <v>314</v>
      </c>
      <c r="C22" s="77" t="s">
        <v>193</v>
      </c>
      <c r="D22" s="77" t="s">
        <v>763</v>
      </c>
      <c r="E22" s="77" t="s">
        <v>762</v>
      </c>
      <c r="BN22" s="78" t="str">
        <f t="shared" si="0"/>
        <v>No reported value</v>
      </c>
    </row>
    <row r="23" spans="2:66" hidden="1" x14ac:dyDescent="0.35">
      <c r="B23" s="77" t="s">
        <v>316</v>
      </c>
      <c r="C23" s="77" t="s">
        <v>317</v>
      </c>
      <c r="D23" s="77" t="s">
        <v>763</v>
      </c>
      <c r="E23" s="77" t="s">
        <v>762</v>
      </c>
      <c r="AS23" s="77">
        <v>2.8483999999999998</v>
      </c>
      <c r="BA23" s="77">
        <v>3.0306000000000002</v>
      </c>
      <c r="BK23" s="77">
        <v>3.1175999999999999</v>
      </c>
      <c r="BN23" s="78">
        <f t="shared" si="0"/>
        <v>3.1175999999999999</v>
      </c>
    </row>
    <row r="24" spans="2:66" hidden="1" x14ac:dyDescent="0.35">
      <c r="B24" s="77" t="s">
        <v>324</v>
      </c>
      <c r="C24" s="77" t="s">
        <v>4</v>
      </c>
      <c r="D24" s="77" t="s">
        <v>763</v>
      </c>
      <c r="E24" s="77" t="s">
        <v>762</v>
      </c>
      <c r="AP24" s="77">
        <v>10.3597</v>
      </c>
      <c r="AU24" s="77">
        <v>9.7484000000000002</v>
      </c>
      <c r="AZ24" s="77">
        <v>10.797000000000001</v>
      </c>
      <c r="BC24" s="77">
        <v>9.2599</v>
      </c>
      <c r="BD24" s="77">
        <v>10.417899999999999</v>
      </c>
      <c r="BE24" s="77">
        <v>10.3775</v>
      </c>
      <c r="BF24" s="77">
        <v>10.1797</v>
      </c>
      <c r="BG24" s="77">
        <v>12.374700000000001</v>
      </c>
      <c r="BH24" s="77">
        <v>12.374700000000001</v>
      </c>
      <c r="BI24" s="77">
        <v>12.466699999999999</v>
      </c>
      <c r="BJ24" s="77">
        <v>12.661199999999999</v>
      </c>
      <c r="BN24" s="78">
        <f t="shared" si="0"/>
        <v>12.661199999999999</v>
      </c>
    </row>
    <row r="25" spans="2:66" hidden="1" x14ac:dyDescent="0.35">
      <c r="B25" s="77" t="s">
        <v>325</v>
      </c>
      <c r="C25" s="77" t="s">
        <v>5</v>
      </c>
      <c r="D25" s="77" t="s">
        <v>763</v>
      </c>
      <c r="E25" s="77" t="s">
        <v>762</v>
      </c>
      <c r="AW25" s="77">
        <v>9.3840000000000003</v>
      </c>
      <c r="AZ25" s="77">
        <v>6.55</v>
      </c>
      <c r="BA25" s="77">
        <v>6.6420000000000003</v>
      </c>
      <c r="BB25" s="77">
        <v>7.84</v>
      </c>
      <c r="BD25" s="77">
        <v>7.8120000000000003</v>
      </c>
      <c r="BE25" s="77">
        <v>7.8708</v>
      </c>
      <c r="BF25" s="77">
        <v>8.0608000000000004</v>
      </c>
      <c r="BG25" s="77">
        <v>8.0975000000000001</v>
      </c>
      <c r="BH25" s="77">
        <v>8.2478999999999996</v>
      </c>
      <c r="BI25" s="77">
        <v>8.1758000000000006</v>
      </c>
      <c r="BJ25" s="77">
        <v>8.1777999999999995</v>
      </c>
      <c r="BN25" s="78">
        <f t="shared" si="0"/>
        <v>8.1777999999999995</v>
      </c>
    </row>
    <row r="26" spans="2:66" hidden="1" x14ac:dyDescent="0.35">
      <c r="B26" s="77" t="s">
        <v>235</v>
      </c>
      <c r="C26" s="77" t="s">
        <v>6</v>
      </c>
      <c r="D26" s="77" t="s">
        <v>763</v>
      </c>
      <c r="E26" s="77" t="s">
        <v>762</v>
      </c>
      <c r="AZ26" s="77">
        <v>8.41</v>
      </c>
      <c r="BA26" s="77">
        <v>8.42</v>
      </c>
      <c r="BC26" s="77">
        <v>8.3439999999999994</v>
      </c>
      <c r="BD26" s="77">
        <v>8.0505999999999993</v>
      </c>
      <c r="BE26" s="77">
        <v>7.5968999999999998</v>
      </c>
      <c r="BF26" s="77">
        <v>7.3933</v>
      </c>
      <c r="BG26" s="77">
        <v>7.2167000000000003</v>
      </c>
      <c r="BH26" s="77">
        <v>6.9621000000000004</v>
      </c>
      <c r="BN26" s="78">
        <f t="shared" si="0"/>
        <v>6.9621000000000004</v>
      </c>
    </row>
    <row r="27" spans="2:66" hidden="1" x14ac:dyDescent="0.35">
      <c r="B27" s="77" t="s">
        <v>186</v>
      </c>
      <c r="C27" s="77" t="s">
        <v>7</v>
      </c>
      <c r="D27" s="77" t="s">
        <v>763</v>
      </c>
      <c r="E27" s="77" t="s">
        <v>762</v>
      </c>
      <c r="AX27" s="77">
        <v>0.18770000000000001</v>
      </c>
      <c r="BD27" s="77">
        <v>0.68130000000000002</v>
      </c>
      <c r="BJ27" s="77">
        <v>0.68</v>
      </c>
      <c r="BN27" s="78">
        <f t="shared" si="0"/>
        <v>0.68</v>
      </c>
    </row>
    <row r="28" spans="2:66" hidden="1" x14ac:dyDescent="0.35">
      <c r="B28" s="77" t="s">
        <v>331</v>
      </c>
      <c r="C28" s="77" t="s">
        <v>8</v>
      </c>
      <c r="D28" s="77" t="s">
        <v>763</v>
      </c>
      <c r="E28" s="77" t="s">
        <v>762</v>
      </c>
      <c r="AW28" s="77">
        <v>5.8289999999999997</v>
      </c>
      <c r="AX28" s="77">
        <v>14.2</v>
      </c>
      <c r="BC28" s="77">
        <v>14.1082</v>
      </c>
      <c r="BD28" s="77">
        <v>10.585100000000001</v>
      </c>
      <c r="BE28" s="77">
        <v>10.257</v>
      </c>
      <c r="BF28" s="77">
        <v>10.627700000000001</v>
      </c>
      <c r="BG28" s="77">
        <v>10.910600000000001</v>
      </c>
      <c r="BH28" s="77">
        <v>11.014900000000001</v>
      </c>
      <c r="BI28" s="77">
        <v>10.8193</v>
      </c>
      <c r="BJ28" s="77">
        <v>11.101100000000001</v>
      </c>
      <c r="BN28" s="78">
        <f t="shared" si="0"/>
        <v>11.101100000000001</v>
      </c>
    </row>
    <row r="29" spans="2:66" hidden="1" x14ac:dyDescent="0.35">
      <c r="B29" s="77" t="s">
        <v>183</v>
      </c>
      <c r="C29" s="77" t="s">
        <v>9</v>
      </c>
      <c r="D29" s="77" t="s">
        <v>763</v>
      </c>
      <c r="E29" s="77" t="s">
        <v>762</v>
      </c>
      <c r="AX29" s="77">
        <v>0.747</v>
      </c>
      <c r="BB29" s="77">
        <v>0.81969999999999998</v>
      </c>
      <c r="BD29" s="77">
        <v>0.77100000000000002</v>
      </c>
      <c r="BF29" s="77">
        <v>0.68020000000000003</v>
      </c>
      <c r="BG29" s="77">
        <v>0.63170000000000004</v>
      </c>
      <c r="BJ29" s="77">
        <v>0.61450000000000005</v>
      </c>
      <c r="BN29" s="78">
        <f t="shared" si="0"/>
        <v>0.61450000000000005</v>
      </c>
    </row>
    <row r="30" spans="2:66" hidden="1" x14ac:dyDescent="0.35">
      <c r="B30" s="77" t="s">
        <v>185</v>
      </c>
      <c r="C30" s="77" t="s">
        <v>10</v>
      </c>
      <c r="D30" s="77" t="s">
        <v>763</v>
      </c>
      <c r="E30" s="77" t="s">
        <v>762</v>
      </c>
      <c r="AX30" s="77">
        <v>0.50319999999999998</v>
      </c>
      <c r="AZ30" s="77">
        <v>0.42399999999999999</v>
      </c>
      <c r="BB30" s="77">
        <v>0.3705</v>
      </c>
      <c r="BC30" s="77">
        <v>0.40450000000000003</v>
      </c>
      <c r="BD30" s="77">
        <v>0.55400000000000005</v>
      </c>
      <c r="BE30" s="77">
        <v>0.45639999999999997</v>
      </c>
      <c r="BF30" s="77">
        <v>0.63119999999999998</v>
      </c>
      <c r="BI30" s="77">
        <v>0.24</v>
      </c>
      <c r="BJ30" s="77">
        <v>0.5696</v>
      </c>
      <c r="BN30" s="78">
        <f t="shared" si="0"/>
        <v>0.5696</v>
      </c>
    </row>
    <row r="31" spans="2:66" hidden="1" x14ac:dyDescent="0.35">
      <c r="B31" s="77" t="s">
        <v>240</v>
      </c>
      <c r="C31" s="77" t="s">
        <v>11</v>
      </c>
      <c r="D31" s="77" t="s">
        <v>763</v>
      </c>
      <c r="E31" s="77" t="s">
        <v>762</v>
      </c>
      <c r="AW31" s="77">
        <v>0.26700000000000002</v>
      </c>
      <c r="AY31" s="77">
        <v>0.2752</v>
      </c>
      <c r="AZ31" s="77">
        <v>0.27539999999999998</v>
      </c>
      <c r="BA31" s="77">
        <v>0.15759999999999999</v>
      </c>
      <c r="BB31" s="77">
        <v>0.15740000000000001</v>
      </c>
      <c r="BC31" s="77">
        <v>0.16619999999999999</v>
      </c>
      <c r="BD31" s="77">
        <v>0.17749999999999999</v>
      </c>
      <c r="BE31" s="77">
        <v>0.18740000000000001</v>
      </c>
      <c r="BF31" s="77">
        <v>0.20050000000000001</v>
      </c>
      <c r="BG31" s="77">
        <v>0.19370000000000001</v>
      </c>
      <c r="BH31" s="77">
        <v>0.24809999999999999</v>
      </c>
      <c r="BI31" s="77">
        <v>0.26650000000000001</v>
      </c>
      <c r="BJ31" s="77">
        <v>0.25590000000000002</v>
      </c>
      <c r="BK31" s="77">
        <v>0.30669999999999997</v>
      </c>
      <c r="BN31" s="78">
        <f t="shared" si="0"/>
        <v>0.30669999999999997</v>
      </c>
    </row>
    <row r="32" spans="2:66" hidden="1" x14ac:dyDescent="0.35">
      <c r="B32" s="77" t="s">
        <v>340</v>
      </c>
      <c r="C32" s="77" t="s">
        <v>12</v>
      </c>
      <c r="D32" s="77" t="s">
        <v>763</v>
      </c>
      <c r="E32" s="77" t="s">
        <v>762</v>
      </c>
      <c r="AZ32" s="77">
        <v>4.57</v>
      </c>
      <c r="BA32" s="77">
        <v>4.68</v>
      </c>
      <c r="BB32" s="77">
        <v>4.72</v>
      </c>
      <c r="BD32" s="77">
        <v>5.1698000000000004</v>
      </c>
      <c r="BE32" s="77">
        <v>5.1859999999999999</v>
      </c>
      <c r="BF32" s="77">
        <v>5.2858000000000001</v>
      </c>
      <c r="BG32" s="77">
        <v>5.3684000000000003</v>
      </c>
      <c r="BH32" s="77">
        <v>5.3029000000000002</v>
      </c>
      <c r="BN32" s="78">
        <f t="shared" si="0"/>
        <v>5.3029000000000002</v>
      </c>
    </row>
    <row r="33" spans="2:66" hidden="1" x14ac:dyDescent="0.35">
      <c r="B33" s="77" t="s">
        <v>327</v>
      </c>
      <c r="C33" s="77" t="s">
        <v>13</v>
      </c>
      <c r="D33" s="77" t="s">
        <v>763</v>
      </c>
      <c r="E33" s="77" t="s">
        <v>762</v>
      </c>
      <c r="AT33" s="77">
        <v>2.9807000000000001</v>
      </c>
      <c r="AU33" s="77">
        <v>3.1049000000000002</v>
      </c>
      <c r="AV33" s="77">
        <v>2.8717000000000001</v>
      </c>
      <c r="AW33" s="77">
        <v>2.8252000000000002</v>
      </c>
      <c r="AY33" s="77">
        <v>2.6867000000000001</v>
      </c>
      <c r="AZ33" s="77">
        <v>2.7181000000000002</v>
      </c>
      <c r="BB33" s="77">
        <v>2.5623999999999998</v>
      </c>
      <c r="BC33" s="77">
        <v>2.5232000000000001</v>
      </c>
      <c r="BD33" s="77">
        <v>2.4594999999999998</v>
      </c>
      <c r="BE33" s="77">
        <v>2.4971000000000001</v>
      </c>
      <c r="BF33" s="77">
        <v>2.4796</v>
      </c>
      <c r="BG33" s="77">
        <v>2.5034000000000001</v>
      </c>
      <c r="BH33" s="77">
        <v>2.4918</v>
      </c>
      <c r="BI33" s="77">
        <v>2.4944000000000002</v>
      </c>
      <c r="BN33" s="78">
        <f t="shared" si="0"/>
        <v>2.4944000000000002</v>
      </c>
    </row>
    <row r="34" spans="2:66" hidden="1" x14ac:dyDescent="0.35">
      <c r="B34" s="77" t="s">
        <v>326</v>
      </c>
      <c r="C34" s="77" t="s">
        <v>14</v>
      </c>
      <c r="D34" s="77" t="s">
        <v>763</v>
      </c>
      <c r="E34" s="77" t="s">
        <v>762</v>
      </c>
      <c r="AR34" s="77">
        <v>4.5605000000000002</v>
      </c>
      <c r="BB34" s="77">
        <v>3.9891000000000001</v>
      </c>
      <c r="BE34" s="77">
        <v>3.9771000000000001</v>
      </c>
      <c r="BK34" s="77">
        <v>3.1385999999999998</v>
      </c>
      <c r="BN34" s="78">
        <f t="shared" si="0"/>
        <v>3.1385999999999998</v>
      </c>
    </row>
    <row r="35" spans="2:66" hidden="1" x14ac:dyDescent="0.35">
      <c r="B35" s="77" t="s">
        <v>335</v>
      </c>
      <c r="C35" s="77" t="s">
        <v>15</v>
      </c>
      <c r="D35" s="77" t="s">
        <v>763</v>
      </c>
      <c r="E35" s="77" t="s">
        <v>762</v>
      </c>
      <c r="AY35" s="77">
        <v>4.6900000000000004</v>
      </c>
      <c r="BC35" s="77">
        <v>5.0419999999999998</v>
      </c>
      <c r="BD35" s="77">
        <v>5.7923999999999998</v>
      </c>
      <c r="BE35" s="77">
        <v>5.8996000000000004</v>
      </c>
      <c r="BF35" s="77">
        <v>6.1680000000000001</v>
      </c>
      <c r="BG35" s="77">
        <v>6.1170999999999998</v>
      </c>
      <c r="BH35" s="77">
        <v>6.2998000000000003</v>
      </c>
      <c r="BN35" s="78">
        <f t="shared" si="0"/>
        <v>6.2998000000000003</v>
      </c>
    </row>
    <row r="36" spans="2:66" hidden="1" x14ac:dyDescent="0.35">
      <c r="B36" s="77" t="s">
        <v>330</v>
      </c>
      <c r="C36" s="77" t="s">
        <v>16</v>
      </c>
      <c r="D36" s="77" t="s">
        <v>763</v>
      </c>
      <c r="E36" s="77" t="s">
        <v>762</v>
      </c>
      <c r="AZ36" s="77">
        <v>12.51</v>
      </c>
      <c r="BA36" s="77">
        <v>12.56</v>
      </c>
      <c r="BC36" s="77">
        <v>9.1006</v>
      </c>
      <c r="BD36" s="77">
        <v>11.070499999999999</v>
      </c>
      <c r="BE36" s="77">
        <v>11.061999999999999</v>
      </c>
      <c r="BF36" s="77">
        <v>11.371700000000001</v>
      </c>
      <c r="BG36" s="77">
        <v>11.305</v>
      </c>
      <c r="BH36" s="77">
        <v>11.4383</v>
      </c>
      <c r="BN36" s="78">
        <f t="shared" si="0"/>
        <v>11.4383</v>
      </c>
    </row>
    <row r="37" spans="2:66" hidden="1" x14ac:dyDescent="0.35">
      <c r="B37" s="77" t="s">
        <v>332</v>
      </c>
      <c r="C37" s="77" t="s">
        <v>17</v>
      </c>
      <c r="D37" s="77" t="s">
        <v>763</v>
      </c>
      <c r="E37" s="77" t="s">
        <v>762</v>
      </c>
      <c r="AT37" s="77">
        <v>1.2252000000000001</v>
      </c>
      <c r="BC37" s="77">
        <v>1.8159000000000001</v>
      </c>
      <c r="BD37" s="77">
        <v>1.9590000000000001</v>
      </c>
      <c r="BF37" s="77">
        <v>1.1077999999999999</v>
      </c>
      <c r="BK37" s="77">
        <v>1.6947000000000001</v>
      </c>
      <c r="BN37" s="78">
        <f t="shared" si="0"/>
        <v>1.6947000000000001</v>
      </c>
    </row>
    <row r="38" spans="2:66" hidden="1" x14ac:dyDescent="0.35">
      <c r="B38" s="77" t="s">
        <v>333</v>
      </c>
      <c r="C38" s="77" t="s">
        <v>334</v>
      </c>
      <c r="D38" s="77" t="s">
        <v>763</v>
      </c>
      <c r="E38" s="77" t="s">
        <v>762</v>
      </c>
      <c r="BN38" s="78" t="str">
        <f t="shared" si="0"/>
        <v>No reported value</v>
      </c>
    </row>
    <row r="39" spans="2:66" hidden="1" x14ac:dyDescent="0.35">
      <c r="B39" s="77" t="s">
        <v>219</v>
      </c>
      <c r="C39" s="77" t="s">
        <v>18</v>
      </c>
      <c r="D39" s="77" t="s">
        <v>763</v>
      </c>
      <c r="E39" s="77" t="s">
        <v>762</v>
      </c>
      <c r="AU39" s="77">
        <v>2.1293000000000002</v>
      </c>
      <c r="BA39" s="77">
        <v>0.6159</v>
      </c>
      <c r="BD39" s="77">
        <v>0.84350000000000003</v>
      </c>
      <c r="BE39" s="77">
        <v>1.006</v>
      </c>
      <c r="BJ39" s="77">
        <v>0.73570000000000002</v>
      </c>
      <c r="BN39" s="78">
        <f t="shared" si="0"/>
        <v>0.73570000000000002</v>
      </c>
    </row>
    <row r="40" spans="2:66" hidden="1" x14ac:dyDescent="0.35">
      <c r="B40" s="77" t="s">
        <v>336</v>
      </c>
      <c r="C40" s="77" t="s">
        <v>19</v>
      </c>
      <c r="D40" s="77" t="s">
        <v>763</v>
      </c>
      <c r="E40" s="77" t="s">
        <v>762</v>
      </c>
      <c r="AJ40" s="77">
        <v>0.94730000000000003</v>
      </c>
      <c r="AK40" s="77">
        <v>3.1850000000000001</v>
      </c>
      <c r="AL40" s="77">
        <v>1.1429</v>
      </c>
      <c r="AM40" s="77">
        <v>1.2619</v>
      </c>
      <c r="AN40" s="77">
        <v>1.4141999999999999</v>
      </c>
      <c r="AO40" s="77">
        <v>1.5734999999999999</v>
      </c>
      <c r="AP40" s="77">
        <v>1.8411</v>
      </c>
      <c r="AQ40" s="77">
        <v>2.0512999999999999</v>
      </c>
      <c r="AR40" s="77">
        <v>2.2692000000000001</v>
      </c>
      <c r="AS40" s="77">
        <v>2.5352999999999999</v>
      </c>
      <c r="AT40" s="77">
        <v>3.7602000000000002</v>
      </c>
      <c r="AU40" s="77">
        <v>2.9803999999999999</v>
      </c>
      <c r="AV40" s="77">
        <v>3.3654999999999999</v>
      </c>
      <c r="AW40" s="77">
        <v>3.6461000000000001</v>
      </c>
      <c r="AX40" s="77">
        <v>3.7138</v>
      </c>
      <c r="AY40" s="77">
        <v>3.7654000000000001</v>
      </c>
      <c r="AZ40" s="77">
        <v>3.7603</v>
      </c>
      <c r="BA40" s="77">
        <v>6.5111999999999997</v>
      </c>
      <c r="BB40" s="77">
        <v>6.4452999999999996</v>
      </c>
      <c r="BD40" s="77">
        <v>7.3497000000000003</v>
      </c>
      <c r="BG40" s="77">
        <v>7.5122</v>
      </c>
      <c r="BK40" s="77">
        <v>5.9551999999999996</v>
      </c>
      <c r="BL40" s="77">
        <v>9.7082999999999995</v>
      </c>
      <c r="BN40" s="78">
        <f t="shared" si="0"/>
        <v>9.7082999999999995</v>
      </c>
    </row>
    <row r="41" spans="2:66" hidden="1" x14ac:dyDescent="0.35">
      <c r="B41" s="77" t="s">
        <v>328</v>
      </c>
      <c r="C41" s="77" t="s">
        <v>329</v>
      </c>
      <c r="D41" s="77" t="s">
        <v>763</v>
      </c>
      <c r="E41" s="77" t="s">
        <v>762</v>
      </c>
      <c r="AO41" s="77">
        <v>5.1321000000000003</v>
      </c>
      <c r="AS41" s="77">
        <v>3.7</v>
      </c>
      <c r="AT41" s="77">
        <v>5.8635999999999999</v>
      </c>
      <c r="AU41" s="77">
        <v>5.8367000000000004</v>
      </c>
      <c r="AY41" s="77">
        <v>4.7847</v>
      </c>
      <c r="BD41" s="77">
        <v>4.8559999999999999</v>
      </c>
      <c r="BK41" s="77">
        <v>6.0273000000000003</v>
      </c>
      <c r="BN41" s="78">
        <f t="shared" si="0"/>
        <v>6.0273000000000003</v>
      </c>
    </row>
    <row r="42" spans="2:66" hidden="1" x14ac:dyDescent="0.35">
      <c r="B42" s="77" t="s">
        <v>339</v>
      </c>
      <c r="C42" s="77" t="s">
        <v>20</v>
      </c>
      <c r="D42" s="77" t="s">
        <v>763</v>
      </c>
      <c r="E42" s="77" t="s">
        <v>762</v>
      </c>
      <c r="AT42" s="77">
        <v>3.8896000000000002</v>
      </c>
      <c r="AV42" s="77">
        <v>6.1113</v>
      </c>
      <c r="AX42" s="77">
        <v>5.3547000000000002</v>
      </c>
      <c r="AY42" s="77">
        <v>5.4928999999999997</v>
      </c>
      <c r="AZ42" s="77">
        <v>5.32</v>
      </c>
      <c r="BA42" s="77">
        <v>5.1079999999999997</v>
      </c>
      <c r="BB42" s="77">
        <v>5.1173000000000002</v>
      </c>
      <c r="BC42" s="77">
        <v>5.1224999999999996</v>
      </c>
      <c r="BD42" s="77">
        <v>7.4787999999999997</v>
      </c>
      <c r="BE42" s="77">
        <v>7.9645000000000001</v>
      </c>
      <c r="BF42" s="77">
        <v>8.2887000000000004</v>
      </c>
      <c r="BG42" s="77">
        <v>7.508</v>
      </c>
      <c r="BH42" s="77">
        <v>6.4852999999999996</v>
      </c>
      <c r="BI42" s="77">
        <v>6.6012000000000004</v>
      </c>
      <c r="BN42" s="78">
        <f t="shared" si="0"/>
        <v>6.6012000000000004</v>
      </c>
    </row>
    <row r="43" spans="2:66" hidden="1" x14ac:dyDescent="0.35">
      <c r="B43" s="77" t="s">
        <v>241</v>
      </c>
      <c r="C43" s="77" t="s">
        <v>21</v>
      </c>
      <c r="D43" s="77" t="s">
        <v>763</v>
      </c>
      <c r="E43" s="77" t="s">
        <v>762</v>
      </c>
      <c r="AX43" s="77">
        <v>0.80430000000000001</v>
      </c>
      <c r="BA43" s="77">
        <v>0.79330000000000001</v>
      </c>
      <c r="BB43" s="77">
        <v>0.95009999999999994</v>
      </c>
      <c r="BD43" s="77">
        <v>0.24099999999999999</v>
      </c>
      <c r="BF43" s="77">
        <v>0.97740000000000005</v>
      </c>
      <c r="BG43" s="77">
        <v>1.0444</v>
      </c>
      <c r="BH43" s="77">
        <v>1.2324999999999999</v>
      </c>
      <c r="BI43" s="77">
        <v>1.3589</v>
      </c>
      <c r="BJ43" s="77">
        <v>1.4151</v>
      </c>
      <c r="BK43" s="77">
        <v>1.5094000000000001</v>
      </c>
      <c r="BN43" s="78">
        <f t="shared" si="0"/>
        <v>1.5094000000000001</v>
      </c>
    </row>
    <row r="44" spans="2:66" hidden="1" x14ac:dyDescent="0.35">
      <c r="B44" s="77" t="s">
        <v>184</v>
      </c>
      <c r="C44" s="77" t="s">
        <v>22</v>
      </c>
      <c r="D44" s="77" t="s">
        <v>763</v>
      </c>
      <c r="E44" s="77" t="s">
        <v>762</v>
      </c>
      <c r="AR44" s="77">
        <v>2.5545</v>
      </c>
      <c r="AS44" s="77">
        <v>2.9365999999999999</v>
      </c>
      <c r="AT44" s="77">
        <v>2.4990000000000001</v>
      </c>
      <c r="AU44" s="77">
        <v>2.2759</v>
      </c>
      <c r="AV44" s="77">
        <v>2.3292000000000002</v>
      </c>
      <c r="AW44" s="77">
        <v>2.4662999999999999</v>
      </c>
      <c r="AX44" s="77">
        <v>2.5983000000000001</v>
      </c>
      <c r="AY44" s="77">
        <v>2.4076</v>
      </c>
      <c r="AZ44" s="77">
        <v>2.6568000000000001</v>
      </c>
      <c r="BA44" s="77">
        <v>3.0114000000000001</v>
      </c>
      <c r="BB44" s="77">
        <v>2.8853</v>
      </c>
      <c r="BC44" s="77">
        <v>2.9375</v>
      </c>
      <c r="BD44" s="77">
        <v>2.8864999999999998</v>
      </c>
      <c r="BE44" s="77">
        <v>2.8353000000000002</v>
      </c>
      <c r="BF44" s="77">
        <v>2.7837000000000001</v>
      </c>
      <c r="BJ44" s="77">
        <v>3.3003999999999998</v>
      </c>
      <c r="BN44" s="78">
        <f t="shared" si="0"/>
        <v>3.3003999999999998</v>
      </c>
    </row>
    <row r="45" spans="2:66" hidden="1" x14ac:dyDescent="0.35">
      <c r="B45" s="77" t="s">
        <v>188</v>
      </c>
      <c r="C45" s="77" t="s">
        <v>173</v>
      </c>
      <c r="D45" s="77" t="s">
        <v>763</v>
      </c>
      <c r="E45" s="77" t="s">
        <v>762</v>
      </c>
      <c r="AX45" s="77">
        <v>0.39779999999999999</v>
      </c>
      <c r="BB45" s="77">
        <v>0.19220000000000001</v>
      </c>
      <c r="BC45" s="77">
        <v>0.24909999999999999</v>
      </c>
      <c r="BI45" s="77">
        <v>0.2039</v>
      </c>
      <c r="BN45" s="78">
        <f t="shared" si="0"/>
        <v>0.2039</v>
      </c>
    </row>
    <row r="46" spans="2:66" hidden="1" x14ac:dyDescent="0.35">
      <c r="B46" s="77" t="s">
        <v>342</v>
      </c>
      <c r="C46" s="77" t="s">
        <v>159</v>
      </c>
      <c r="D46" s="77" t="s">
        <v>763</v>
      </c>
      <c r="E46" s="77" t="s">
        <v>762</v>
      </c>
      <c r="AR46" s="77">
        <v>10.1846</v>
      </c>
      <c r="AU46" s="77">
        <v>10.0115</v>
      </c>
      <c r="AV46" s="77">
        <v>9.4707000000000008</v>
      </c>
      <c r="AX46" s="77">
        <v>9.9067000000000007</v>
      </c>
      <c r="AY46" s="77">
        <v>9.9466999999999999</v>
      </c>
      <c r="AZ46" s="77">
        <v>10.0236</v>
      </c>
      <c r="BA46" s="77">
        <v>10.120799999999999</v>
      </c>
      <c r="BB46" s="77">
        <v>10.289</v>
      </c>
      <c r="BC46" s="77">
        <v>10.3743</v>
      </c>
      <c r="BD46" s="77">
        <v>9.3232999999999997</v>
      </c>
      <c r="BE46" s="77">
        <v>9.2368000000000006</v>
      </c>
      <c r="BF46" s="77">
        <v>9.3473000000000006</v>
      </c>
      <c r="BG46" s="77">
        <v>9.4899000000000004</v>
      </c>
      <c r="BH46" s="77">
        <v>9.7637999999999998</v>
      </c>
      <c r="BI46" s="77">
        <v>9.8398000000000003</v>
      </c>
      <c r="BJ46" s="77">
        <v>9.9055999999999997</v>
      </c>
      <c r="BN46" s="78">
        <f t="shared" si="0"/>
        <v>9.9055999999999997</v>
      </c>
    </row>
    <row r="47" spans="2:66" hidden="1" x14ac:dyDescent="0.35">
      <c r="B47" s="77" t="s">
        <v>347</v>
      </c>
      <c r="C47" s="77" t="s">
        <v>348</v>
      </c>
      <c r="D47" s="77" t="s">
        <v>763</v>
      </c>
      <c r="E47" s="77" t="s">
        <v>762</v>
      </c>
      <c r="BI47" s="77">
        <v>6.538384862419675</v>
      </c>
      <c r="BN47" s="78">
        <f t="shared" si="0"/>
        <v>6.538384862419675</v>
      </c>
    </row>
    <row r="48" spans="2:66" hidden="1" x14ac:dyDescent="0.35">
      <c r="B48" s="77" t="s">
        <v>544</v>
      </c>
      <c r="C48" s="77" t="s">
        <v>23</v>
      </c>
      <c r="D48" s="77" t="s">
        <v>763</v>
      </c>
      <c r="E48" s="77" t="s">
        <v>762</v>
      </c>
      <c r="BB48" s="77">
        <v>15.96</v>
      </c>
      <c r="BD48" s="77">
        <v>16.584700000000002</v>
      </c>
      <c r="BE48" s="77">
        <v>17.151700000000002</v>
      </c>
      <c r="BF48" s="77">
        <v>17.1995</v>
      </c>
      <c r="BG48" s="77">
        <v>16.131499999999999</v>
      </c>
      <c r="BH48" s="77">
        <v>16.373899999999999</v>
      </c>
      <c r="BI48" s="77">
        <v>16.815200000000001</v>
      </c>
      <c r="BJ48" s="77">
        <v>17.282800000000002</v>
      </c>
      <c r="BN48" s="78">
        <f t="shared" si="0"/>
        <v>17.282800000000002</v>
      </c>
    </row>
    <row r="49" spans="2:66" hidden="1" x14ac:dyDescent="0.35">
      <c r="B49" s="77" t="s">
        <v>349</v>
      </c>
      <c r="C49" s="77" t="s">
        <v>350</v>
      </c>
      <c r="D49" s="77" t="s">
        <v>763</v>
      </c>
      <c r="E49" s="77" t="s">
        <v>762</v>
      </c>
      <c r="BN49" s="78" t="str">
        <f t="shared" si="0"/>
        <v>No reported value</v>
      </c>
    </row>
    <row r="50" spans="2:66" hidden="1" x14ac:dyDescent="0.35">
      <c r="B50" s="77" t="s">
        <v>220</v>
      </c>
      <c r="C50" s="77" t="s">
        <v>24</v>
      </c>
      <c r="D50" s="77" t="s">
        <v>763</v>
      </c>
      <c r="E50" s="77" t="s">
        <v>762</v>
      </c>
      <c r="AL50" s="77">
        <v>4.5419999999999998</v>
      </c>
      <c r="AV50" s="77">
        <v>0.1142</v>
      </c>
      <c r="AW50" s="77">
        <v>0.13020000000000001</v>
      </c>
      <c r="AX50" s="77">
        <v>0.13070000000000001</v>
      </c>
      <c r="AY50" s="77">
        <v>0.13020000000000001</v>
      </c>
      <c r="AZ50" s="77">
        <v>0.14280000000000001</v>
      </c>
      <c r="BA50" s="77">
        <v>0.14119999999999999</v>
      </c>
      <c r="BB50" s="77">
        <v>0.1467</v>
      </c>
      <c r="BC50" s="77">
        <v>0.1452</v>
      </c>
      <c r="BJ50" s="77">
        <v>0.86</v>
      </c>
      <c r="BN50" s="78">
        <f t="shared" si="0"/>
        <v>0.86</v>
      </c>
    </row>
    <row r="51" spans="2:66" hidden="1" x14ac:dyDescent="0.35">
      <c r="B51" s="77" t="s">
        <v>351</v>
      </c>
      <c r="C51" s="77" t="s">
        <v>25</v>
      </c>
      <c r="D51" s="77" t="s">
        <v>763</v>
      </c>
      <c r="E51" s="77" t="s">
        <v>762</v>
      </c>
      <c r="AJ51" s="77">
        <v>0.82689999999999997</v>
      </c>
      <c r="AO51" s="77">
        <v>0.90310000000000001</v>
      </c>
      <c r="AP51" s="77">
        <v>0.92520000000000002</v>
      </c>
      <c r="AQ51" s="77">
        <v>0.9466</v>
      </c>
      <c r="AR51" s="77">
        <v>0.95650000000000002</v>
      </c>
      <c r="AS51" s="77">
        <v>0.97070000000000001</v>
      </c>
      <c r="AT51" s="77">
        <v>0.98180000000000001</v>
      </c>
      <c r="AU51" s="77">
        <v>1.083</v>
      </c>
      <c r="AV51" s="77">
        <v>0.9546</v>
      </c>
      <c r="AW51" s="77">
        <v>0.9637</v>
      </c>
      <c r="AX51" s="77">
        <v>0.99029999999999996</v>
      </c>
      <c r="AY51" s="77">
        <v>1.0155000000000001</v>
      </c>
      <c r="AZ51" s="77">
        <v>1.0671999999999999</v>
      </c>
      <c r="BA51" s="77">
        <v>1.1597</v>
      </c>
      <c r="BB51" s="77">
        <v>1.2413000000000001</v>
      </c>
      <c r="BC51" s="77">
        <v>1.3643000000000001</v>
      </c>
      <c r="BD51" s="77">
        <v>1.4979</v>
      </c>
      <c r="BE51" s="77">
        <v>1.6318999999999999</v>
      </c>
      <c r="BF51" s="77">
        <v>1.8053999999999999</v>
      </c>
      <c r="BG51" s="77">
        <v>2.0015000000000001</v>
      </c>
      <c r="BH51" s="77">
        <v>2.1490999999999998</v>
      </c>
      <c r="BI51" s="77">
        <v>2.3073000000000001</v>
      </c>
      <c r="BN51" s="78">
        <f t="shared" si="0"/>
        <v>2.3073000000000001</v>
      </c>
    </row>
    <row r="52" spans="2:66" hidden="1" x14ac:dyDescent="0.35">
      <c r="B52" s="77" t="s">
        <v>357</v>
      </c>
      <c r="C52" s="77" t="s">
        <v>26</v>
      </c>
      <c r="D52" s="77" t="s">
        <v>763</v>
      </c>
      <c r="E52" s="77" t="s">
        <v>762</v>
      </c>
      <c r="AX52" s="77">
        <v>0.56559999999999999</v>
      </c>
      <c r="AY52" s="77">
        <v>0.49020000000000002</v>
      </c>
      <c r="BB52" s="77">
        <v>0.47339999999999999</v>
      </c>
      <c r="BD52" s="77">
        <v>0.48299999999999998</v>
      </c>
      <c r="BE52" s="77">
        <v>0.46489999999999998</v>
      </c>
      <c r="BH52" s="77">
        <v>0.85170000000000001</v>
      </c>
      <c r="BN52" s="78">
        <f t="shared" si="0"/>
        <v>0.85170000000000001</v>
      </c>
    </row>
    <row r="53" spans="2:66" hidden="1" x14ac:dyDescent="0.35">
      <c r="B53" s="77" t="s">
        <v>187</v>
      </c>
      <c r="C53" s="77" t="s">
        <v>27</v>
      </c>
      <c r="D53" s="77" t="s">
        <v>763</v>
      </c>
      <c r="E53" s="77" t="s">
        <v>762</v>
      </c>
      <c r="AX53" s="77">
        <v>1.5356000000000001</v>
      </c>
      <c r="AY53" s="77">
        <v>0.38490000000000002</v>
      </c>
      <c r="BA53" s="77">
        <v>0.44719999999999999</v>
      </c>
      <c r="BC53" s="77">
        <v>0.39240000000000003</v>
      </c>
      <c r="BD53" s="77">
        <v>0.53649999999999998</v>
      </c>
      <c r="BE53" s="77">
        <v>0.93369999999999997</v>
      </c>
      <c r="BN53" s="78">
        <f t="shared" si="0"/>
        <v>0.93369999999999997</v>
      </c>
    </row>
    <row r="54" spans="2:66" hidden="1" x14ac:dyDescent="0.35">
      <c r="B54" s="77" t="s">
        <v>354</v>
      </c>
      <c r="C54" s="77" t="s">
        <v>28</v>
      </c>
      <c r="D54" s="77" t="s">
        <v>763</v>
      </c>
      <c r="E54" s="77" t="s">
        <v>762</v>
      </c>
      <c r="AX54" s="77">
        <v>0.52900000000000003</v>
      </c>
      <c r="BC54" s="77">
        <v>0.41</v>
      </c>
      <c r="BG54" s="77">
        <v>0.47</v>
      </c>
      <c r="BN54" s="78">
        <f t="shared" si="0"/>
        <v>0.47</v>
      </c>
    </row>
    <row r="55" spans="2:66" hidden="1" x14ac:dyDescent="0.35">
      <c r="B55" s="77" t="s">
        <v>355</v>
      </c>
      <c r="C55" s="77" t="s">
        <v>29</v>
      </c>
      <c r="D55" s="77" t="s">
        <v>763</v>
      </c>
      <c r="E55" s="77" t="s">
        <v>762</v>
      </c>
      <c r="AX55" s="77">
        <v>1.0185</v>
      </c>
      <c r="AZ55" s="77">
        <v>1.3666</v>
      </c>
      <c r="BA55" s="77">
        <v>0.87819999999999998</v>
      </c>
      <c r="BD55" s="77">
        <v>0.82399999999999995</v>
      </c>
      <c r="BE55" s="77">
        <v>1.7431000000000001</v>
      </c>
      <c r="BN55" s="78">
        <f t="shared" si="0"/>
        <v>1.7431000000000001</v>
      </c>
    </row>
    <row r="56" spans="2:66" hidden="1" x14ac:dyDescent="0.35">
      <c r="B56" s="77" t="s">
        <v>352</v>
      </c>
      <c r="C56" s="77" t="s">
        <v>353</v>
      </c>
      <c r="D56" s="77" t="s">
        <v>763</v>
      </c>
      <c r="E56" s="77" t="s">
        <v>762</v>
      </c>
      <c r="AJ56" s="77">
        <v>0.40910000000000002</v>
      </c>
      <c r="AK56" s="77">
        <v>0.42080000000000001</v>
      </c>
      <c r="AL56" s="77">
        <v>0.43149999999999999</v>
      </c>
      <c r="AM56" s="77">
        <v>0.44219999999999998</v>
      </c>
      <c r="AN56" s="77">
        <v>0.45450000000000002</v>
      </c>
      <c r="AO56" s="77">
        <v>0.46629999999999999</v>
      </c>
      <c r="AP56" s="77">
        <v>0.4778</v>
      </c>
      <c r="AQ56" s="77">
        <v>0.48649999999999999</v>
      </c>
      <c r="AR56" s="77">
        <v>0.50960000000000005</v>
      </c>
      <c r="AS56" s="77">
        <v>0.52600000000000002</v>
      </c>
      <c r="AU56" s="77">
        <v>0.55130000000000001</v>
      </c>
      <c r="AV56" s="77">
        <v>0.57589999999999997</v>
      </c>
      <c r="AW56" s="77">
        <v>0.57420000000000004</v>
      </c>
      <c r="AX56" s="77">
        <v>0.58560000000000001</v>
      </c>
      <c r="AY56" s="77">
        <v>0.59709999999999996</v>
      </c>
      <c r="AZ56" s="77">
        <v>0.60870000000000002</v>
      </c>
      <c r="BA56" s="77">
        <v>0.62029999999999996</v>
      </c>
      <c r="BB56" s="77">
        <v>0.6321</v>
      </c>
      <c r="BC56" s="77">
        <v>0.64400000000000002</v>
      </c>
      <c r="BD56" s="77">
        <v>0.65590000000000004</v>
      </c>
      <c r="BE56" s="77">
        <v>0.91139999999999999</v>
      </c>
      <c r="BF56" s="77">
        <v>0.96709999999999996</v>
      </c>
      <c r="BG56" s="77">
        <v>1.0239</v>
      </c>
      <c r="BH56" s="77">
        <v>1.0794999999999999</v>
      </c>
      <c r="BI56" s="77">
        <v>1.1399999999999999</v>
      </c>
      <c r="BJ56" s="77">
        <v>1.2018</v>
      </c>
      <c r="BK56" s="77">
        <v>1.2626999999999999</v>
      </c>
      <c r="BN56" s="78">
        <f t="shared" si="0"/>
        <v>1.2626999999999999</v>
      </c>
    </row>
    <row r="57" spans="2:66" hidden="1" x14ac:dyDescent="0.35">
      <c r="B57" s="77" t="s">
        <v>190</v>
      </c>
      <c r="C57" s="77" t="s">
        <v>157</v>
      </c>
      <c r="D57" s="77" t="s">
        <v>763</v>
      </c>
      <c r="E57" s="77" t="s">
        <v>762</v>
      </c>
      <c r="AX57" s="77">
        <v>0.98460000000000003</v>
      </c>
      <c r="AY57" s="77">
        <v>0.5625</v>
      </c>
      <c r="BC57" s="77">
        <v>0.70250000000000001</v>
      </c>
      <c r="BF57" s="77">
        <v>0.9214</v>
      </c>
      <c r="BN57" s="78">
        <f t="shared" si="0"/>
        <v>0.9214</v>
      </c>
    </row>
    <row r="58" spans="2:66" hidden="1" x14ac:dyDescent="0.35">
      <c r="B58" s="77" t="s">
        <v>341</v>
      </c>
      <c r="C58" s="77" t="s">
        <v>30</v>
      </c>
      <c r="D58" s="77" t="s">
        <v>763</v>
      </c>
      <c r="E58" s="77" t="s">
        <v>762</v>
      </c>
      <c r="AX58" s="77">
        <v>0.874</v>
      </c>
      <c r="BC58" s="77">
        <v>0.998</v>
      </c>
      <c r="BD58" s="77">
        <v>1.0808</v>
      </c>
      <c r="BE58" s="77">
        <v>1.0687</v>
      </c>
      <c r="BF58" s="77">
        <v>1.0720000000000001</v>
      </c>
      <c r="BG58" s="77">
        <v>1.1420999999999999</v>
      </c>
      <c r="BI58" s="77">
        <v>1.2272000000000001</v>
      </c>
      <c r="BN58" s="78">
        <f t="shared" si="0"/>
        <v>1.2272000000000001</v>
      </c>
    </row>
    <row r="59" spans="2:66" hidden="1" x14ac:dyDescent="0.35">
      <c r="B59" s="77" t="s">
        <v>356</v>
      </c>
      <c r="C59" s="77" t="s">
        <v>31</v>
      </c>
      <c r="D59" s="77" t="s">
        <v>763</v>
      </c>
      <c r="E59" s="77" t="s">
        <v>762</v>
      </c>
      <c r="AT59" s="77">
        <v>0.93059999999999998</v>
      </c>
      <c r="BG59" s="77">
        <v>0.79569999999999996</v>
      </c>
      <c r="BN59" s="78">
        <f t="shared" si="0"/>
        <v>0.79569999999999996</v>
      </c>
    </row>
    <row r="60" spans="2:66" hidden="1" x14ac:dyDescent="0.35">
      <c r="B60" s="77" t="s">
        <v>343</v>
      </c>
      <c r="C60" s="77" t="s">
        <v>344</v>
      </c>
      <c r="D60" s="77" t="s">
        <v>763</v>
      </c>
      <c r="E60" s="77" t="s">
        <v>762</v>
      </c>
      <c r="BI60" s="77">
        <v>2.3199774630542551</v>
      </c>
      <c r="BN60" s="78">
        <f t="shared" si="0"/>
        <v>2.3199774630542551</v>
      </c>
    </row>
    <row r="61" spans="2:66" hidden="1" x14ac:dyDescent="0.35">
      <c r="B61" s="77" t="s">
        <v>221</v>
      </c>
      <c r="C61" s="77" t="s">
        <v>161</v>
      </c>
      <c r="D61" s="77" t="s">
        <v>763</v>
      </c>
      <c r="E61" s="77" t="s">
        <v>762</v>
      </c>
      <c r="AV61" s="77">
        <v>7.4772999999999996</v>
      </c>
      <c r="BA61" s="77">
        <v>8.6519999999999992</v>
      </c>
      <c r="BD61" s="77">
        <v>9.0897000000000006</v>
      </c>
      <c r="BF61" s="77">
        <v>8.0943000000000005</v>
      </c>
      <c r="BG61" s="77">
        <v>7.7428999999999997</v>
      </c>
      <c r="BH61" s="77">
        <v>7.9340999999999999</v>
      </c>
      <c r="BK61" s="77">
        <v>7.79</v>
      </c>
      <c r="BN61" s="78">
        <f t="shared" si="0"/>
        <v>7.79</v>
      </c>
    </row>
    <row r="62" spans="2:66" hidden="1" x14ac:dyDescent="0.35">
      <c r="B62" s="77" t="s">
        <v>359</v>
      </c>
      <c r="C62" s="77" t="s">
        <v>360</v>
      </c>
      <c r="D62" s="77" t="s">
        <v>763</v>
      </c>
      <c r="E62" s="77" t="s">
        <v>762</v>
      </c>
      <c r="BN62" s="78" t="str">
        <f t="shared" si="0"/>
        <v>No reported value</v>
      </c>
    </row>
    <row r="63" spans="2:66" hidden="1" x14ac:dyDescent="0.35">
      <c r="B63" s="77" t="s">
        <v>345</v>
      </c>
      <c r="C63" s="77" t="s">
        <v>346</v>
      </c>
      <c r="D63" s="77" t="s">
        <v>763</v>
      </c>
      <c r="E63" s="77" t="s">
        <v>762</v>
      </c>
      <c r="BN63" s="78" t="str">
        <f t="shared" si="0"/>
        <v>No reported value</v>
      </c>
    </row>
    <row r="64" spans="2:66" hidden="1" x14ac:dyDescent="0.35">
      <c r="B64" s="77" t="s">
        <v>361</v>
      </c>
      <c r="C64" s="77" t="s">
        <v>32</v>
      </c>
      <c r="D64" s="77" t="s">
        <v>763</v>
      </c>
      <c r="E64" s="77" t="s">
        <v>762</v>
      </c>
      <c r="AJ64" s="77">
        <v>3.2324999999999999</v>
      </c>
      <c r="AO64" s="77">
        <v>3.2978999999999998</v>
      </c>
      <c r="AV64" s="77">
        <v>3.0644999999999998</v>
      </c>
      <c r="BA64" s="77">
        <v>3.3957000000000002</v>
      </c>
      <c r="BB64" s="77">
        <v>3.4300999999999999</v>
      </c>
      <c r="BC64" s="77">
        <v>3.4660000000000002</v>
      </c>
      <c r="BG64" s="77">
        <v>4.0773000000000001</v>
      </c>
      <c r="BH64" s="77">
        <v>4.1222000000000003</v>
      </c>
      <c r="BJ64" s="77">
        <v>5.2516999999999996</v>
      </c>
      <c r="BN64" s="78">
        <f t="shared" si="0"/>
        <v>5.2516999999999996</v>
      </c>
    </row>
    <row r="65" spans="2:66" hidden="1" x14ac:dyDescent="0.35">
      <c r="B65" s="77" t="s">
        <v>362</v>
      </c>
      <c r="C65" s="77" t="s">
        <v>33</v>
      </c>
      <c r="D65" s="77" t="s">
        <v>763</v>
      </c>
      <c r="E65" s="77" t="s">
        <v>762</v>
      </c>
      <c r="AZ65" s="77">
        <v>8.93</v>
      </c>
      <c r="BA65" s="77">
        <v>8.9540000000000006</v>
      </c>
      <c r="BB65" s="77">
        <v>8.5500000000000007</v>
      </c>
      <c r="BD65" s="77">
        <v>8.4690999999999992</v>
      </c>
      <c r="BE65" s="77">
        <v>8.4027999999999992</v>
      </c>
      <c r="BF65" s="77">
        <v>8.4220000000000006</v>
      </c>
      <c r="BG65" s="77">
        <v>8.3462999999999994</v>
      </c>
      <c r="BH65" s="77">
        <v>8.6873000000000005</v>
      </c>
      <c r="BI65" s="77">
        <v>8.3690999999999995</v>
      </c>
      <c r="BJ65" s="77">
        <v>8.4070999999999998</v>
      </c>
      <c r="BN65" s="78">
        <f t="shared" si="0"/>
        <v>8.4070999999999998</v>
      </c>
    </row>
    <row r="66" spans="2:66" hidden="1" x14ac:dyDescent="0.35">
      <c r="B66" s="77" t="s">
        <v>399</v>
      </c>
      <c r="C66" s="77" t="s">
        <v>34</v>
      </c>
      <c r="D66" s="77" t="s">
        <v>763</v>
      </c>
      <c r="E66" s="77" t="s">
        <v>762</v>
      </c>
      <c r="AW66" s="77">
        <v>9.7200000000000006</v>
      </c>
      <c r="AY66" s="77">
        <v>8.01</v>
      </c>
      <c r="AZ66" s="77">
        <v>7.9909999999999997</v>
      </c>
      <c r="BB66" s="77">
        <v>10.82</v>
      </c>
      <c r="BD66" s="77">
        <v>12.534800000000001</v>
      </c>
      <c r="BE66" s="77">
        <v>12.689399999999999</v>
      </c>
      <c r="BF66" s="77">
        <v>12.7797</v>
      </c>
      <c r="BG66" s="77">
        <v>13.1914</v>
      </c>
      <c r="BH66" s="77">
        <v>13.4373</v>
      </c>
      <c r="BI66" s="77">
        <v>12.924099999999999</v>
      </c>
      <c r="BJ66" s="77">
        <v>13.1967</v>
      </c>
      <c r="BN66" s="78">
        <f t="shared" si="0"/>
        <v>13.1967</v>
      </c>
    </row>
    <row r="67" spans="2:66" hidden="1" x14ac:dyDescent="0.35">
      <c r="B67" s="77" t="s">
        <v>231</v>
      </c>
      <c r="C67" s="77" t="s">
        <v>35</v>
      </c>
      <c r="D67" s="77" t="s">
        <v>763</v>
      </c>
      <c r="E67" s="77" t="s">
        <v>762</v>
      </c>
      <c r="AS67" s="77">
        <v>0.70420000000000005</v>
      </c>
      <c r="AV67" s="77">
        <v>0.73709999999999998</v>
      </c>
      <c r="AX67" s="77">
        <v>0.3841</v>
      </c>
      <c r="AY67" s="77">
        <v>0.5746</v>
      </c>
      <c r="BD67" s="77">
        <v>0.8</v>
      </c>
      <c r="BH67" s="77">
        <v>0.53500000000000003</v>
      </c>
      <c r="BN67" s="78">
        <f t="shared" si="0"/>
        <v>0.53500000000000003</v>
      </c>
    </row>
    <row r="68" spans="2:66" hidden="1" x14ac:dyDescent="0.35">
      <c r="B68" s="77" t="s">
        <v>364</v>
      </c>
      <c r="C68" s="77" t="s">
        <v>365</v>
      </c>
      <c r="D68" s="77" t="s">
        <v>763</v>
      </c>
      <c r="E68" s="77" t="s">
        <v>762</v>
      </c>
      <c r="AQ68" s="77">
        <v>4.4774000000000003</v>
      </c>
      <c r="AU68" s="77">
        <v>6.2840999999999996</v>
      </c>
      <c r="BK68" s="77">
        <v>5.8998999999999997</v>
      </c>
      <c r="BN68" s="78">
        <f t="shared" si="0"/>
        <v>5.8998999999999997</v>
      </c>
    </row>
    <row r="69" spans="2:66" hidden="1" x14ac:dyDescent="0.35">
      <c r="B69" s="77" t="s">
        <v>363</v>
      </c>
      <c r="C69" s="77" t="s">
        <v>36</v>
      </c>
      <c r="D69" s="77" t="s">
        <v>763</v>
      </c>
      <c r="E69" s="77" t="s">
        <v>762</v>
      </c>
      <c r="AN69" s="77">
        <v>14.3329</v>
      </c>
      <c r="AP69" s="77">
        <v>7.2279999999999998</v>
      </c>
      <c r="AQ69" s="77">
        <v>14.188800000000001</v>
      </c>
      <c r="AR69" s="77">
        <v>7.9829999999999997</v>
      </c>
      <c r="AS69" s="77">
        <v>14.2662</v>
      </c>
      <c r="AU69" s="77">
        <v>17.188600000000001</v>
      </c>
      <c r="AW69" s="77">
        <v>14.8559</v>
      </c>
      <c r="AX69" s="77">
        <v>14.5016</v>
      </c>
      <c r="AY69" s="77">
        <v>14.980399999999999</v>
      </c>
      <c r="AZ69" s="77">
        <v>9.7560000000000002</v>
      </c>
      <c r="BA69" s="77">
        <v>14.54</v>
      </c>
      <c r="BB69" s="77">
        <v>15.468400000000001</v>
      </c>
      <c r="BC69" s="77">
        <v>15.9842</v>
      </c>
      <c r="BD69" s="77">
        <v>16.099799999999998</v>
      </c>
      <c r="BE69" s="77">
        <v>16.269500000000001</v>
      </c>
      <c r="BF69" s="77">
        <v>16.560099999999998</v>
      </c>
      <c r="BG69" s="77">
        <v>16.7698</v>
      </c>
      <c r="BH69" s="77">
        <v>16.963200000000001</v>
      </c>
      <c r="BI69" s="77">
        <v>17.213799999999999</v>
      </c>
      <c r="BJ69" s="77">
        <v>10.3004</v>
      </c>
      <c r="BN69" s="78">
        <f t="shared" si="0"/>
        <v>10.3004</v>
      </c>
    </row>
    <row r="70" spans="2:66" hidden="1" x14ac:dyDescent="0.35">
      <c r="B70" s="77" t="s">
        <v>366</v>
      </c>
      <c r="C70" s="77" t="s">
        <v>367</v>
      </c>
      <c r="D70" s="77" t="s">
        <v>763</v>
      </c>
      <c r="E70" s="77" t="s">
        <v>762</v>
      </c>
      <c r="AT70" s="77">
        <v>1.7928999999999999</v>
      </c>
      <c r="BC70" s="77">
        <v>1.2988</v>
      </c>
      <c r="BE70" s="77">
        <v>1.3338000000000001</v>
      </c>
      <c r="BK70" s="77">
        <v>0.30990000000000001</v>
      </c>
      <c r="BN70" s="78">
        <f t="shared" si="0"/>
        <v>0.30990000000000001</v>
      </c>
    </row>
    <row r="71" spans="2:66" hidden="1" x14ac:dyDescent="0.35">
      <c r="B71" s="77" t="s">
        <v>313</v>
      </c>
      <c r="C71" s="77" t="s">
        <v>37</v>
      </c>
      <c r="D71" s="77" t="s">
        <v>763</v>
      </c>
      <c r="E71" s="77" t="s">
        <v>762</v>
      </c>
      <c r="AV71" s="77">
        <v>2.1800000000000002</v>
      </c>
      <c r="BA71" s="77">
        <v>1.9218</v>
      </c>
      <c r="BD71" s="77">
        <v>1.9470000000000001</v>
      </c>
      <c r="BJ71" s="77">
        <v>2.2400000000000002</v>
      </c>
      <c r="BN71" s="78">
        <f t="shared" si="0"/>
        <v>2.2400000000000002</v>
      </c>
    </row>
    <row r="72" spans="2:66" hidden="1" x14ac:dyDescent="0.35">
      <c r="B72" s="77" t="s">
        <v>372</v>
      </c>
      <c r="C72" s="77" t="s">
        <v>373</v>
      </c>
      <c r="D72" s="77" t="s">
        <v>763</v>
      </c>
      <c r="E72" s="77" t="s">
        <v>762</v>
      </c>
      <c r="AJ72" s="77">
        <v>0.79562089861553364</v>
      </c>
      <c r="AT72" s="77">
        <v>1.2276099795450628</v>
      </c>
      <c r="BI72" s="77">
        <v>2.1533786853858357</v>
      </c>
      <c r="BN72" s="78">
        <f t="shared" si="0"/>
        <v>2.1533786853858357</v>
      </c>
    </row>
    <row r="73" spans="2:66" hidden="1" x14ac:dyDescent="0.35">
      <c r="B73" s="77" t="s">
        <v>368</v>
      </c>
      <c r="C73" s="77" t="s">
        <v>369</v>
      </c>
      <c r="D73" s="77" t="s">
        <v>763</v>
      </c>
      <c r="E73" s="77" t="s">
        <v>762</v>
      </c>
      <c r="AT73" s="77">
        <v>1.3660961216617917</v>
      </c>
      <c r="BI73" s="77">
        <v>1.9290074393430101</v>
      </c>
      <c r="BN73" s="78">
        <f t="shared" si="0"/>
        <v>1.9290074393430101</v>
      </c>
    </row>
    <row r="74" spans="2:66" hidden="1" x14ac:dyDescent="0.35">
      <c r="B74" s="77" t="s">
        <v>370</v>
      </c>
      <c r="C74" s="77" t="s">
        <v>371</v>
      </c>
      <c r="D74" s="77" t="s">
        <v>763</v>
      </c>
      <c r="E74" s="77" t="s">
        <v>762</v>
      </c>
      <c r="AJ74" s="77">
        <v>1.2559691849126837</v>
      </c>
      <c r="AT74" s="77">
        <v>1.905664504172645</v>
      </c>
      <c r="BI74" s="77">
        <v>2.9341161379957588</v>
      </c>
      <c r="BN74" s="78">
        <f t="shared" si="0"/>
        <v>2.9341161379957588</v>
      </c>
    </row>
    <row r="75" spans="2:66" hidden="1" x14ac:dyDescent="0.35">
      <c r="B75" s="77" t="s">
        <v>384</v>
      </c>
      <c r="C75" s="77" t="s">
        <v>385</v>
      </c>
      <c r="D75" s="77" t="s">
        <v>763</v>
      </c>
      <c r="E75" s="77" t="s">
        <v>762</v>
      </c>
      <c r="BI75" s="77">
        <v>7.0208190546653384</v>
      </c>
      <c r="BN75" s="78">
        <f t="shared" si="0"/>
        <v>7.0208190546653384</v>
      </c>
    </row>
    <row r="76" spans="2:66" hidden="1" x14ac:dyDescent="0.35">
      <c r="B76" s="77" t="s">
        <v>382</v>
      </c>
      <c r="C76" s="77" t="s">
        <v>383</v>
      </c>
      <c r="D76" s="77" t="s">
        <v>763</v>
      </c>
      <c r="E76" s="77" t="s">
        <v>762</v>
      </c>
      <c r="BI76" s="77">
        <v>8.0933931210326051</v>
      </c>
      <c r="BN76" s="78">
        <f t="shared" si="0"/>
        <v>8.0933931210326051</v>
      </c>
    </row>
    <row r="77" spans="2:66" hidden="1" x14ac:dyDescent="0.35">
      <c r="B77" s="77" t="s">
        <v>376</v>
      </c>
      <c r="C77" s="77" t="s">
        <v>38</v>
      </c>
      <c r="D77" s="77" t="s">
        <v>763</v>
      </c>
      <c r="E77" s="77" t="s">
        <v>762</v>
      </c>
      <c r="AJ77" s="77">
        <v>1.6004</v>
      </c>
      <c r="AK77" s="77">
        <v>1.667</v>
      </c>
      <c r="AL77" s="77">
        <v>1.6895</v>
      </c>
      <c r="AM77" s="77">
        <v>1.444</v>
      </c>
      <c r="AN77" s="77">
        <v>1.6406000000000001</v>
      </c>
      <c r="AO77" s="77">
        <v>1.6055999999999999</v>
      </c>
      <c r="AP77" s="77">
        <v>1.7022999999999999</v>
      </c>
      <c r="AQ77" s="77">
        <v>1.7107000000000001</v>
      </c>
      <c r="AR77" s="77">
        <v>1.6375999999999999</v>
      </c>
      <c r="AS77" s="77">
        <v>1.6588000000000001</v>
      </c>
      <c r="AT77" s="77">
        <v>1.6301000000000001</v>
      </c>
      <c r="AU77" s="77">
        <v>1.5909</v>
      </c>
      <c r="AV77" s="77">
        <v>1.6362000000000001</v>
      </c>
      <c r="AW77" s="77">
        <v>1.5328999999999999</v>
      </c>
      <c r="BC77" s="77">
        <v>1.8897999999999999</v>
      </c>
      <c r="BD77" s="77">
        <v>1.6678999999999999</v>
      </c>
      <c r="BE77" s="77">
        <v>2.0842999999999998</v>
      </c>
      <c r="BI77" s="77">
        <v>2.4882</v>
      </c>
      <c r="BJ77" s="77">
        <v>1.2</v>
      </c>
      <c r="BN77" s="78">
        <f t="shared" ref="BN77:BN140" si="1">IFERROR(LOOKUP(2,1/(ISNUMBER(F77:BM77)),F77:BM77),"No reported value")</f>
        <v>1.2</v>
      </c>
    </row>
    <row r="78" spans="2:66" hidden="1" x14ac:dyDescent="0.35">
      <c r="B78" s="77" t="s">
        <v>377</v>
      </c>
      <c r="C78" s="77" t="s">
        <v>39</v>
      </c>
      <c r="D78" s="77" t="s">
        <v>763</v>
      </c>
      <c r="E78" s="77" t="s">
        <v>762</v>
      </c>
      <c r="AX78" s="77">
        <v>1.9469000000000001</v>
      </c>
      <c r="AZ78" s="77">
        <v>2.2978000000000001</v>
      </c>
      <c r="BD78" s="77">
        <v>3.52</v>
      </c>
      <c r="BG78" s="77">
        <v>1.4741</v>
      </c>
      <c r="BH78" s="77">
        <v>1.399</v>
      </c>
      <c r="BI78" s="77">
        <v>1.5</v>
      </c>
      <c r="BJ78" s="77">
        <v>1.3835</v>
      </c>
      <c r="BK78" s="77">
        <v>1.3989</v>
      </c>
      <c r="BN78" s="78">
        <f t="shared" si="1"/>
        <v>1.3989</v>
      </c>
    </row>
    <row r="79" spans="2:66" hidden="1" x14ac:dyDescent="0.35">
      <c r="B79" s="77" t="s">
        <v>380</v>
      </c>
      <c r="C79" s="77" t="s">
        <v>381</v>
      </c>
      <c r="D79" s="77" t="s">
        <v>763</v>
      </c>
      <c r="E79" s="77" t="s">
        <v>762</v>
      </c>
      <c r="BI79" s="77">
        <v>9.1263260403644342</v>
      </c>
      <c r="BN79" s="78">
        <f t="shared" si="1"/>
        <v>9.1263260403644342</v>
      </c>
    </row>
    <row r="80" spans="2:66" hidden="1" x14ac:dyDescent="0.35">
      <c r="B80" s="77" t="s">
        <v>192</v>
      </c>
      <c r="C80" s="77" t="s">
        <v>168</v>
      </c>
      <c r="D80" s="77" t="s">
        <v>763</v>
      </c>
      <c r="E80" s="77" t="s">
        <v>762</v>
      </c>
      <c r="AX80" s="77">
        <v>0.6492</v>
      </c>
      <c r="BN80" s="78">
        <f t="shared" si="1"/>
        <v>0.6492</v>
      </c>
    </row>
    <row r="81" spans="2:66" hidden="1" x14ac:dyDescent="0.35">
      <c r="B81" s="77" t="s">
        <v>529</v>
      </c>
      <c r="C81" s="77" t="s">
        <v>40</v>
      </c>
      <c r="D81" s="77" t="s">
        <v>763</v>
      </c>
      <c r="E81" s="77" t="s">
        <v>762</v>
      </c>
      <c r="AJ81" s="77">
        <v>4.0324</v>
      </c>
      <c r="AK81" s="77">
        <v>4.0932000000000004</v>
      </c>
      <c r="AL81" s="77">
        <v>4.1727999999999996</v>
      </c>
      <c r="AM81" s="77">
        <v>4.2355999999999998</v>
      </c>
      <c r="AN81" s="77">
        <v>4.2237999999999998</v>
      </c>
      <c r="AO81" s="77">
        <v>4.3151000000000002</v>
      </c>
      <c r="AP81" s="77">
        <v>4.4248000000000003</v>
      </c>
      <c r="AQ81" s="77">
        <v>4.532</v>
      </c>
      <c r="AR81" s="77">
        <v>4.78</v>
      </c>
      <c r="AS81" s="77">
        <v>4.8677999999999999</v>
      </c>
      <c r="AT81" s="77">
        <v>4.9992000000000001</v>
      </c>
      <c r="AU81" s="77">
        <v>5.0384000000000002</v>
      </c>
      <c r="AV81" s="77">
        <v>5.0819000000000001</v>
      </c>
      <c r="AW81" s="77">
        <v>5.1759000000000004</v>
      </c>
      <c r="AX81" s="77">
        <v>5.2012999999999998</v>
      </c>
      <c r="AY81" s="77">
        <v>5.2449000000000003</v>
      </c>
      <c r="AZ81" s="77">
        <v>5.3000999999999996</v>
      </c>
      <c r="BA81" s="77">
        <v>5.3529</v>
      </c>
      <c r="BB81" s="77">
        <v>5.4355000000000002</v>
      </c>
      <c r="BC81" s="77">
        <v>5.4962999999999997</v>
      </c>
      <c r="BD81" s="77">
        <v>5.1265999999999998</v>
      </c>
      <c r="BE81" s="77">
        <v>5.2008000000000001</v>
      </c>
      <c r="BF81" s="77">
        <v>5.2350000000000003</v>
      </c>
      <c r="BG81" s="77">
        <v>5.4897999999999998</v>
      </c>
      <c r="BH81" s="77">
        <v>5.5113000000000003</v>
      </c>
      <c r="BI81" s="77">
        <v>5.2919</v>
      </c>
      <c r="BJ81" s="77">
        <v>5.5307000000000004</v>
      </c>
      <c r="BN81" s="78">
        <f t="shared" si="1"/>
        <v>5.5307000000000004</v>
      </c>
    </row>
    <row r="82" spans="2:66" hidden="1" x14ac:dyDescent="0.35">
      <c r="B82" s="77" t="s">
        <v>378</v>
      </c>
      <c r="C82" s="77" t="s">
        <v>41</v>
      </c>
      <c r="D82" s="77" t="s">
        <v>763</v>
      </c>
      <c r="E82" s="77" t="s">
        <v>762</v>
      </c>
      <c r="AT82" s="77">
        <v>8.6390999999999991</v>
      </c>
      <c r="AZ82" s="77">
        <v>6.98</v>
      </c>
      <c r="BB82" s="77">
        <v>6.82</v>
      </c>
      <c r="BD82" s="77">
        <v>6.6767000000000003</v>
      </c>
      <c r="BE82" s="77">
        <v>6.8089000000000004</v>
      </c>
      <c r="BF82" s="77">
        <v>6.4494999999999996</v>
      </c>
      <c r="BG82" s="77">
        <v>6.1750999999999996</v>
      </c>
      <c r="BH82" s="77">
        <v>6.2811000000000003</v>
      </c>
      <c r="BI82" s="77">
        <v>6.3521999999999998</v>
      </c>
      <c r="BJ82" s="77">
        <v>6.4526000000000003</v>
      </c>
      <c r="BN82" s="78">
        <f t="shared" si="1"/>
        <v>6.4526000000000003</v>
      </c>
    </row>
    <row r="83" spans="2:66" hidden="1" x14ac:dyDescent="0.35">
      <c r="B83" s="77" t="s">
        <v>194</v>
      </c>
      <c r="C83" s="77" t="s">
        <v>42</v>
      </c>
      <c r="D83" s="77" t="s">
        <v>763</v>
      </c>
      <c r="E83" s="77" t="s">
        <v>762</v>
      </c>
      <c r="AW83" s="77">
        <v>0.21429999999999999</v>
      </c>
      <c r="AX83" s="77">
        <v>0.20830000000000001</v>
      </c>
      <c r="AY83" s="77">
        <v>0.24510000000000001</v>
      </c>
      <c r="AZ83" s="77">
        <v>0.2263</v>
      </c>
      <c r="BA83" s="77">
        <v>0.224</v>
      </c>
      <c r="BB83" s="77">
        <v>0.20150000000000001</v>
      </c>
      <c r="BC83" s="77">
        <v>0.25159999999999999</v>
      </c>
      <c r="BD83" s="77">
        <v>0.23599999999999999</v>
      </c>
      <c r="BK83" s="77">
        <v>0.84</v>
      </c>
      <c r="BN83" s="78">
        <f t="shared" si="1"/>
        <v>0.84</v>
      </c>
    </row>
    <row r="84" spans="2:66" hidden="1" x14ac:dyDescent="0.35">
      <c r="B84" s="77" t="s">
        <v>388</v>
      </c>
      <c r="C84" s="77" t="s">
        <v>389</v>
      </c>
      <c r="D84" s="77" t="s">
        <v>763</v>
      </c>
      <c r="E84" s="77" t="s">
        <v>762</v>
      </c>
      <c r="BI84" s="77">
        <v>8.5822719417618902</v>
      </c>
      <c r="BN84" s="78">
        <f t="shared" si="1"/>
        <v>8.5822719417618902</v>
      </c>
    </row>
    <row r="85" spans="2:66" hidden="1" x14ac:dyDescent="0.35">
      <c r="B85" s="77" t="s">
        <v>393</v>
      </c>
      <c r="C85" s="77" t="s">
        <v>394</v>
      </c>
      <c r="D85" s="77" t="s">
        <v>763</v>
      </c>
      <c r="E85" s="77" t="s">
        <v>762</v>
      </c>
      <c r="BI85" s="77">
        <v>0.86253797717014757</v>
      </c>
      <c r="BN85" s="78">
        <f t="shared" si="1"/>
        <v>0.86253797717014757</v>
      </c>
    </row>
    <row r="86" spans="2:66" hidden="1" x14ac:dyDescent="0.35">
      <c r="B86" s="77" t="s">
        <v>392</v>
      </c>
      <c r="C86" s="77" t="s">
        <v>43</v>
      </c>
      <c r="D86" s="77" t="s">
        <v>763</v>
      </c>
      <c r="E86" s="77" t="s">
        <v>762</v>
      </c>
      <c r="AV86" s="77">
        <v>15.038600000000001</v>
      </c>
      <c r="AZ86" s="77">
        <v>8.92</v>
      </c>
      <c r="BA86" s="77">
        <v>15.52</v>
      </c>
      <c r="BC86" s="77">
        <v>23.746700000000001</v>
      </c>
      <c r="BD86" s="77">
        <v>14.660600000000001</v>
      </c>
      <c r="BE86" s="77">
        <v>14.904400000000001</v>
      </c>
      <c r="BF86" s="77">
        <v>14.965999999999999</v>
      </c>
      <c r="BG86" s="77">
        <v>14.8538</v>
      </c>
      <c r="BH86" s="77">
        <v>15.086499999999999</v>
      </c>
      <c r="BJ86" s="77">
        <v>14.723000000000001</v>
      </c>
      <c r="BN86" s="78">
        <f t="shared" si="1"/>
        <v>14.723000000000001</v>
      </c>
    </row>
    <row r="87" spans="2:66" hidden="1" x14ac:dyDescent="0.35">
      <c r="B87" s="77" t="s">
        <v>248</v>
      </c>
      <c r="C87" s="77" t="s">
        <v>44</v>
      </c>
      <c r="D87" s="77" t="s">
        <v>763</v>
      </c>
      <c r="E87" s="77" t="s">
        <v>762</v>
      </c>
      <c r="AS87" s="77">
        <v>1.9540999999999999</v>
      </c>
      <c r="AW87" s="77">
        <v>2.0327999999999999</v>
      </c>
      <c r="BB87" s="77">
        <v>2.1154999999999999</v>
      </c>
      <c r="BC87" s="77">
        <v>2.2968999999999999</v>
      </c>
      <c r="BD87" s="77">
        <v>2.242</v>
      </c>
      <c r="BG87" s="77">
        <v>2.8567</v>
      </c>
      <c r="BI87" s="77">
        <v>2.9380000000000002</v>
      </c>
      <c r="BN87" s="78">
        <f t="shared" si="1"/>
        <v>2.9380000000000002</v>
      </c>
    </row>
    <row r="88" spans="2:66" hidden="1" x14ac:dyDescent="0.35">
      <c r="B88" s="77" t="s">
        <v>395</v>
      </c>
      <c r="C88" s="77" t="s">
        <v>45</v>
      </c>
      <c r="D88" s="77" t="s">
        <v>763</v>
      </c>
      <c r="E88" s="77" t="s">
        <v>762</v>
      </c>
      <c r="AK88" s="77">
        <v>5.5735000000000001</v>
      </c>
      <c r="AP88" s="77">
        <v>6.0909000000000004</v>
      </c>
      <c r="AS88" s="77">
        <v>6.4240000000000004</v>
      </c>
      <c r="AT88" s="77">
        <v>6.6647999999999996</v>
      </c>
      <c r="AU88" s="77">
        <v>6.8807</v>
      </c>
      <c r="AV88" s="77">
        <v>7.0731000000000002</v>
      </c>
      <c r="AW88" s="77">
        <v>7.2521000000000004</v>
      </c>
      <c r="AX88" s="77">
        <v>7.4508999999999999</v>
      </c>
      <c r="AY88" s="77">
        <v>7.6597</v>
      </c>
      <c r="AZ88" s="77">
        <v>7.8906000000000001</v>
      </c>
      <c r="BA88" s="77">
        <v>8.0835000000000008</v>
      </c>
      <c r="BB88" s="77">
        <v>7.94</v>
      </c>
      <c r="BE88" s="77">
        <v>9.5762999999999998</v>
      </c>
      <c r="BF88" s="77">
        <v>9.9940999999999995</v>
      </c>
      <c r="BG88" s="77">
        <v>10.3056</v>
      </c>
      <c r="BH88" s="77">
        <v>10.616300000000001</v>
      </c>
      <c r="BI88" s="77">
        <v>10.940300000000001</v>
      </c>
      <c r="BJ88" s="77">
        <v>9.6887000000000008</v>
      </c>
      <c r="BN88" s="78">
        <f t="shared" si="1"/>
        <v>9.6887000000000008</v>
      </c>
    </row>
    <row r="89" spans="2:66" hidden="1" x14ac:dyDescent="0.35">
      <c r="B89" s="77" t="s">
        <v>390</v>
      </c>
      <c r="C89" s="77" t="s">
        <v>391</v>
      </c>
      <c r="D89" s="77" t="s">
        <v>763</v>
      </c>
      <c r="E89" s="77" t="s">
        <v>762</v>
      </c>
      <c r="BN89" s="78" t="str">
        <f t="shared" si="1"/>
        <v>No reported value</v>
      </c>
    </row>
    <row r="90" spans="2:66" hidden="1" x14ac:dyDescent="0.35">
      <c r="B90" s="77" t="s">
        <v>463</v>
      </c>
      <c r="C90" s="77" t="s">
        <v>464</v>
      </c>
      <c r="D90" s="77" t="s">
        <v>763</v>
      </c>
      <c r="E90" s="77" t="s">
        <v>762</v>
      </c>
      <c r="AT90" s="77">
        <v>3.8826999999999998</v>
      </c>
      <c r="AW90" s="77">
        <v>2.3408000000000002</v>
      </c>
      <c r="AY90" s="77">
        <v>2.3445999999999998</v>
      </c>
      <c r="BB90" s="77">
        <v>2.6793999999999998</v>
      </c>
      <c r="BC90" s="77">
        <v>3.6057999999999999</v>
      </c>
      <c r="BD90" s="77">
        <v>3.319</v>
      </c>
      <c r="BN90" s="78">
        <f t="shared" si="1"/>
        <v>3.319</v>
      </c>
    </row>
    <row r="91" spans="2:66" hidden="1" x14ac:dyDescent="0.35">
      <c r="B91" s="77" t="s">
        <v>195</v>
      </c>
      <c r="C91" s="77" t="s">
        <v>46</v>
      </c>
      <c r="D91" s="77" t="s">
        <v>763</v>
      </c>
      <c r="E91" s="77" t="s">
        <v>762</v>
      </c>
      <c r="AX91" s="77">
        <v>4.9684999999999997</v>
      </c>
      <c r="BJ91" s="77">
        <v>2.5806</v>
      </c>
      <c r="BN91" s="78">
        <f t="shared" si="1"/>
        <v>2.5806</v>
      </c>
    </row>
    <row r="92" spans="2:66" hidden="1" x14ac:dyDescent="0.35">
      <c r="B92" s="77" t="s">
        <v>555</v>
      </c>
      <c r="C92" s="77" t="s">
        <v>47</v>
      </c>
      <c r="D92" s="77" t="s">
        <v>763</v>
      </c>
      <c r="E92" s="77" t="s">
        <v>762</v>
      </c>
      <c r="AQ92" s="77">
        <v>12.155099999999999</v>
      </c>
      <c r="AW92" s="77">
        <v>0.628</v>
      </c>
      <c r="BD92" s="77">
        <v>9.9578000000000007</v>
      </c>
      <c r="BE92" s="77">
        <v>9.2668999999999997</v>
      </c>
      <c r="BF92" s="77">
        <v>9.1179000000000006</v>
      </c>
      <c r="BG92" s="77">
        <v>9.0977999999999994</v>
      </c>
      <c r="BH92" s="77">
        <v>8.6354000000000006</v>
      </c>
      <c r="BI92" s="77">
        <v>8.8270999999999997</v>
      </c>
      <c r="BJ92" s="77">
        <v>8.3340999999999994</v>
      </c>
      <c r="BK92" s="77">
        <v>8.2878000000000007</v>
      </c>
      <c r="BN92" s="78">
        <f t="shared" si="1"/>
        <v>8.2878000000000007</v>
      </c>
    </row>
    <row r="93" spans="2:66" hidden="1" x14ac:dyDescent="0.35">
      <c r="B93" s="77" t="s">
        <v>236</v>
      </c>
      <c r="C93" s="77" t="s">
        <v>48</v>
      </c>
      <c r="D93" s="77" t="s">
        <v>763</v>
      </c>
      <c r="E93" s="77" t="s">
        <v>762</v>
      </c>
      <c r="AZ93" s="77">
        <v>4.03</v>
      </c>
      <c r="BA93" s="77">
        <v>3.89</v>
      </c>
      <c r="BB93" s="77">
        <v>3.3167</v>
      </c>
      <c r="BC93" s="77">
        <v>3.2477</v>
      </c>
      <c r="BD93" s="77">
        <v>4.0419</v>
      </c>
      <c r="BE93" s="77">
        <v>4.0095000000000001</v>
      </c>
      <c r="BF93" s="77">
        <v>3.8369</v>
      </c>
      <c r="BG93" s="77">
        <v>3.9331</v>
      </c>
      <c r="BH93" s="77">
        <v>4.0133999999999999</v>
      </c>
      <c r="BI93" s="77">
        <v>4.0914000000000001</v>
      </c>
      <c r="BN93" s="78">
        <f t="shared" si="1"/>
        <v>4.0914000000000001</v>
      </c>
    </row>
    <row r="94" spans="2:66" hidden="1" x14ac:dyDescent="0.35">
      <c r="B94" s="77" t="s">
        <v>196</v>
      </c>
      <c r="C94" s="77" t="s">
        <v>162</v>
      </c>
      <c r="D94" s="77" t="s">
        <v>763</v>
      </c>
      <c r="E94" s="77" t="s">
        <v>762</v>
      </c>
      <c r="AX94" s="77">
        <v>0.93899999999999995</v>
      </c>
      <c r="BB94" s="77">
        <v>0.98009999999999997</v>
      </c>
      <c r="BC94" s="77">
        <v>1.0448</v>
      </c>
      <c r="BD94" s="77">
        <v>0.91820000000000002</v>
      </c>
      <c r="BG94" s="77">
        <v>1.5911999999999999</v>
      </c>
      <c r="BJ94" s="77">
        <v>1.5492999999999999</v>
      </c>
      <c r="BK94" s="77">
        <v>1.2</v>
      </c>
      <c r="BN94" s="78">
        <f t="shared" si="1"/>
        <v>1.2</v>
      </c>
    </row>
    <row r="95" spans="2:66" hidden="1" x14ac:dyDescent="0.35">
      <c r="B95" s="77" t="s">
        <v>400</v>
      </c>
      <c r="C95" s="77" t="s">
        <v>401</v>
      </c>
      <c r="D95" s="77" t="s">
        <v>763</v>
      </c>
      <c r="E95" s="77" t="s">
        <v>762</v>
      </c>
      <c r="BN95" s="78" t="str">
        <f t="shared" si="1"/>
        <v>No reported value</v>
      </c>
    </row>
    <row r="96" spans="2:66" hidden="1" x14ac:dyDescent="0.35">
      <c r="B96" s="77" t="s">
        <v>197</v>
      </c>
      <c r="C96" s="77" t="s">
        <v>49</v>
      </c>
      <c r="D96" s="77" t="s">
        <v>763</v>
      </c>
      <c r="E96" s="77" t="s">
        <v>762</v>
      </c>
      <c r="AT96" s="77">
        <v>0.432</v>
      </c>
      <c r="AX96" s="77">
        <v>0.46450000000000002</v>
      </c>
      <c r="BJ96" s="77">
        <v>0.38440000000000002</v>
      </c>
      <c r="BN96" s="78">
        <f t="shared" si="1"/>
        <v>0.38440000000000002</v>
      </c>
    </row>
    <row r="97" spans="2:66" hidden="1" x14ac:dyDescent="0.35">
      <c r="B97" s="77" t="s">
        <v>398</v>
      </c>
      <c r="C97" s="77" t="s">
        <v>50</v>
      </c>
      <c r="D97" s="77" t="s">
        <v>763</v>
      </c>
      <c r="E97" s="77" t="s">
        <v>762</v>
      </c>
      <c r="AW97" s="77">
        <v>1.389</v>
      </c>
      <c r="AX97" s="77">
        <v>0.49690000000000001</v>
      </c>
      <c r="AY97" s="77">
        <v>0.50690000000000002</v>
      </c>
      <c r="AZ97" s="77">
        <v>0.505</v>
      </c>
      <c r="BA97" s="77">
        <v>0.8206</v>
      </c>
      <c r="BB97" s="77">
        <v>0.88819999999999999</v>
      </c>
      <c r="BD97" s="77">
        <v>0.56799999999999995</v>
      </c>
      <c r="BF97" s="77">
        <v>1.3801000000000001</v>
      </c>
      <c r="BI97" s="77">
        <v>1.6292</v>
      </c>
      <c r="BN97" s="78">
        <f t="shared" si="1"/>
        <v>1.6292</v>
      </c>
    </row>
    <row r="98" spans="2:66" hidden="1" x14ac:dyDescent="0.35">
      <c r="B98" s="77" t="s">
        <v>198</v>
      </c>
      <c r="C98" s="77" t="s">
        <v>172</v>
      </c>
      <c r="D98" s="77" t="s">
        <v>763</v>
      </c>
      <c r="E98" s="77" t="s">
        <v>762</v>
      </c>
      <c r="AX98" s="77">
        <v>0.79390000000000005</v>
      </c>
      <c r="BB98" s="77">
        <v>0.64359999999999995</v>
      </c>
      <c r="BC98" s="77">
        <v>0.68669999999999998</v>
      </c>
      <c r="BD98" s="77">
        <v>0.55100000000000005</v>
      </c>
      <c r="BE98" s="77">
        <v>0.55069999999999997</v>
      </c>
      <c r="BI98" s="77">
        <v>1.4</v>
      </c>
      <c r="BN98" s="78">
        <f t="shared" si="1"/>
        <v>1.4</v>
      </c>
    </row>
    <row r="99" spans="2:66" hidden="1" x14ac:dyDescent="0.35">
      <c r="B99" s="77" t="s">
        <v>191</v>
      </c>
      <c r="C99" s="77" t="s">
        <v>174</v>
      </c>
      <c r="D99" s="77" t="s">
        <v>763</v>
      </c>
      <c r="E99" s="77" t="s">
        <v>762</v>
      </c>
      <c r="AX99" s="77">
        <v>0.37390000000000001</v>
      </c>
      <c r="BK99" s="77">
        <v>0.5</v>
      </c>
      <c r="BN99" s="78">
        <f t="shared" si="1"/>
        <v>0.5</v>
      </c>
    </row>
    <row r="100" spans="2:66" hidden="1" x14ac:dyDescent="0.35">
      <c r="B100" s="77" t="s">
        <v>402</v>
      </c>
      <c r="C100" s="77" t="s">
        <v>51</v>
      </c>
      <c r="D100" s="77" t="s">
        <v>763</v>
      </c>
      <c r="E100" s="77" t="s">
        <v>762</v>
      </c>
      <c r="AT100" s="77">
        <v>3.8639999999999999</v>
      </c>
      <c r="AY100" s="77">
        <v>3.6</v>
      </c>
      <c r="AZ100" s="77">
        <v>3.476</v>
      </c>
      <c r="BB100" s="77">
        <v>3.66</v>
      </c>
      <c r="BD100" s="77">
        <v>3.5800999999999998</v>
      </c>
      <c r="BE100" s="77">
        <v>3.6042000000000001</v>
      </c>
      <c r="BF100" s="77">
        <v>3.7119</v>
      </c>
      <c r="BG100" s="77">
        <v>3.6621999999999999</v>
      </c>
      <c r="BH100" s="77">
        <v>3.5918000000000001</v>
      </c>
      <c r="BI100" s="77">
        <v>3.3269000000000002</v>
      </c>
      <c r="BJ100" s="77">
        <v>3.3727999999999998</v>
      </c>
      <c r="BN100" s="78">
        <f t="shared" si="1"/>
        <v>3.3727999999999998</v>
      </c>
    </row>
    <row r="101" spans="2:66" hidden="1" x14ac:dyDescent="0.35">
      <c r="B101" s="77" t="s">
        <v>405</v>
      </c>
      <c r="C101" s="77" t="s">
        <v>52</v>
      </c>
      <c r="D101" s="77" t="s">
        <v>763</v>
      </c>
      <c r="E101" s="77" t="s">
        <v>762</v>
      </c>
      <c r="AS101" s="77">
        <v>3.8856000000000002</v>
      </c>
      <c r="AT101" s="77">
        <v>3.6023999999999998</v>
      </c>
      <c r="AU101" s="77">
        <v>3.5952999999999999</v>
      </c>
      <c r="AV101" s="77">
        <v>3.5847000000000002</v>
      </c>
      <c r="AW101" s="77">
        <v>3.5741999999999998</v>
      </c>
      <c r="AZ101" s="77">
        <v>3.8529</v>
      </c>
      <c r="BK101" s="77">
        <v>3.1446999999999998</v>
      </c>
      <c r="BN101" s="78">
        <f t="shared" si="1"/>
        <v>3.1446999999999998</v>
      </c>
    </row>
    <row r="102" spans="2:66" hidden="1" x14ac:dyDescent="0.35">
      <c r="B102" s="77" t="s">
        <v>403</v>
      </c>
      <c r="C102" s="77" t="s">
        <v>404</v>
      </c>
      <c r="D102" s="77" t="s">
        <v>763</v>
      </c>
      <c r="E102" s="77" t="s">
        <v>762</v>
      </c>
      <c r="BN102" s="78" t="str">
        <f t="shared" si="1"/>
        <v>No reported value</v>
      </c>
    </row>
    <row r="103" spans="2:66" hidden="1" x14ac:dyDescent="0.35">
      <c r="B103" s="77" t="s">
        <v>223</v>
      </c>
      <c r="C103" s="77" t="s">
        <v>53</v>
      </c>
      <c r="D103" s="77" t="s">
        <v>763</v>
      </c>
      <c r="E103" s="77" t="s">
        <v>762</v>
      </c>
      <c r="BC103" s="77">
        <v>0.86980000000000002</v>
      </c>
      <c r="BL103" s="77">
        <v>0.94699999999999995</v>
      </c>
      <c r="BN103" s="78">
        <f t="shared" si="1"/>
        <v>0.94699999999999995</v>
      </c>
    </row>
    <row r="104" spans="2:66" hidden="1" x14ac:dyDescent="0.35">
      <c r="B104" s="77" t="s">
        <v>406</v>
      </c>
      <c r="C104" s="77" t="s">
        <v>407</v>
      </c>
      <c r="D104" s="77" t="s">
        <v>763</v>
      </c>
      <c r="E104" s="77" t="s">
        <v>762</v>
      </c>
      <c r="BN104" s="78" t="str">
        <f t="shared" si="1"/>
        <v>No reported value</v>
      </c>
    </row>
    <row r="105" spans="2:66" hidden="1" x14ac:dyDescent="0.35">
      <c r="B105" s="77" t="s">
        <v>224</v>
      </c>
      <c r="C105" s="77" t="s">
        <v>54</v>
      </c>
      <c r="D105" s="77" t="s">
        <v>763</v>
      </c>
      <c r="E105" s="77" t="s">
        <v>762</v>
      </c>
      <c r="AT105" s="77">
        <v>2.3071999999999999</v>
      </c>
      <c r="BC105" s="77">
        <v>1.3263</v>
      </c>
      <c r="BD105" s="77">
        <v>1.0099</v>
      </c>
      <c r="BL105" s="77">
        <v>1.3398000000000001</v>
      </c>
      <c r="BN105" s="78">
        <f t="shared" si="1"/>
        <v>1.3398000000000001</v>
      </c>
    </row>
    <row r="106" spans="2:66" hidden="1" x14ac:dyDescent="0.35">
      <c r="B106" s="77" t="s">
        <v>410</v>
      </c>
      <c r="C106" s="77" t="s">
        <v>411</v>
      </c>
      <c r="D106" s="77" t="s">
        <v>763</v>
      </c>
      <c r="E106" s="77" t="s">
        <v>762</v>
      </c>
      <c r="BI106" s="77">
        <v>8.788130990114821</v>
      </c>
      <c r="BN106" s="78">
        <f t="shared" si="1"/>
        <v>8.788130990114821</v>
      </c>
    </row>
    <row r="107" spans="2:66" hidden="1" x14ac:dyDescent="0.35">
      <c r="B107" s="77" t="s">
        <v>412</v>
      </c>
      <c r="C107" s="77" t="s">
        <v>413</v>
      </c>
      <c r="D107" s="77" t="s">
        <v>763</v>
      </c>
      <c r="E107" s="77" t="s">
        <v>762</v>
      </c>
      <c r="BN107" s="78" t="str">
        <f t="shared" si="1"/>
        <v>No reported value</v>
      </c>
    </row>
    <row r="108" spans="2:66" hidden="1" x14ac:dyDescent="0.35">
      <c r="B108" s="77" t="s">
        <v>226</v>
      </c>
      <c r="C108" s="77" t="s">
        <v>166</v>
      </c>
      <c r="D108" s="77" t="s">
        <v>763</v>
      </c>
      <c r="E108" s="77" t="s">
        <v>762</v>
      </c>
      <c r="AT108" s="77">
        <v>1.3070999999999999</v>
      </c>
      <c r="AY108" s="77">
        <v>1.0572999999999999</v>
      </c>
      <c r="BG108" s="77">
        <v>0.37990000000000002</v>
      </c>
      <c r="BJ108" s="77">
        <v>1.7030000000000001</v>
      </c>
      <c r="BK108" s="77">
        <v>0.88149999999999995</v>
      </c>
      <c r="BN108" s="78">
        <f t="shared" si="1"/>
        <v>0.88149999999999995</v>
      </c>
    </row>
    <row r="109" spans="2:66" hidden="1" x14ac:dyDescent="0.35">
      <c r="B109" s="77" t="s">
        <v>408</v>
      </c>
      <c r="C109" s="77" t="s">
        <v>409</v>
      </c>
      <c r="D109" s="77" t="s">
        <v>763</v>
      </c>
      <c r="E109" s="77" t="s">
        <v>762</v>
      </c>
      <c r="BI109" s="77">
        <v>0.61916121624459475</v>
      </c>
      <c r="BN109" s="78">
        <f t="shared" si="1"/>
        <v>0.61916121624459475</v>
      </c>
    </row>
    <row r="110" spans="2:66" hidden="1" x14ac:dyDescent="0.35">
      <c r="B110" s="77" t="s">
        <v>358</v>
      </c>
      <c r="C110" s="77" t="s">
        <v>55</v>
      </c>
      <c r="D110" s="77" t="s">
        <v>763</v>
      </c>
      <c r="E110" s="77" t="s">
        <v>762</v>
      </c>
      <c r="AZ110" s="77">
        <v>5.46</v>
      </c>
      <c r="BA110" s="77">
        <v>5.58</v>
      </c>
      <c r="BD110" s="77">
        <v>6.1349</v>
      </c>
      <c r="BE110" s="77">
        <v>6.2775999999999996</v>
      </c>
      <c r="BF110" s="77">
        <v>6.3944999999999999</v>
      </c>
      <c r="BG110" s="77">
        <v>6.9272</v>
      </c>
      <c r="BH110" s="77">
        <v>6.5095000000000001</v>
      </c>
      <c r="BJ110" s="77">
        <v>8.1134000000000004</v>
      </c>
      <c r="BN110" s="78">
        <f t="shared" si="1"/>
        <v>8.1134000000000004</v>
      </c>
    </row>
    <row r="111" spans="2:66" hidden="1" x14ac:dyDescent="0.35">
      <c r="B111" s="77" t="s">
        <v>225</v>
      </c>
      <c r="C111" s="77" t="s">
        <v>56</v>
      </c>
      <c r="D111" s="77" t="s">
        <v>763</v>
      </c>
      <c r="E111" s="77" t="s">
        <v>762</v>
      </c>
      <c r="AR111" s="77">
        <v>0.10100000000000001</v>
      </c>
      <c r="BE111" s="77">
        <v>1.1811</v>
      </c>
      <c r="BL111" s="77">
        <v>0.6804</v>
      </c>
      <c r="BN111" s="78">
        <f t="shared" si="1"/>
        <v>0.6804</v>
      </c>
    </row>
    <row r="112" spans="2:66" hidden="1" x14ac:dyDescent="0.35">
      <c r="B112" s="77" t="s">
        <v>414</v>
      </c>
      <c r="C112" s="77" t="s">
        <v>57</v>
      </c>
      <c r="D112" s="77" t="s">
        <v>763</v>
      </c>
      <c r="E112" s="77" t="s">
        <v>762</v>
      </c>
      <c r="BD112" s="77">
        <v>6.6135999999999999</v>
      </c>
      <c r="BE112" s="77">
        <v>6.6079999999999997</v>
      </c>
      <c r="BF112" s="77">
        <v>6.5308999999999999</v>
      </c>
      <c r="BG112" s="77">
        <v>6.6310000000000002</v>
      </c>
      <c r="BH112" s="77">
        <v>6.6192000000000002</v>
      </c>
      <c r="BI112" s="77">
        <v>6.6810999999999998</v>
      </c>
      <c r="BJ112" s="77">
        <v>6.6425000000000001</v>
      </c>
      <c r="BN112" s="78">
        <f t="shared" si="1"/>
        <v>6.6425000000000001</v>
      </c>
    </row>
    <row r="113" spans="2:66" hidden="1" x14ac:dyDescent="0.35">
      <c r="B113" s="77" t="s">
        <v>630</v>
      </c>
      <c r="C113" s="77" t="s">
        <v>631</v>
      </c>
      <c r="D113" s="77" t="s">
        <v>763</v>
      </c>
      <c r="E113" s="77" t="s">
        <v>762</v>
      </c>
      <c r="AJ113" s="77">
        <v>0.70770905831749209</v>
      </c>
      <c r="AT113" s="77">
        <v>1.3854678163452225</v>
      </c>
      <c r="BI113" s="77">
        <v>2.8470624862975038</v>
      </c>
      <c r="BN113" s="78">
        <f t="shared" si="1"/>
        <v>2.8470624862975038</v>
      </c>
    </row>
    <row r="114" spans="2:66" hidden="1" x14ac:dyDescent="0.35">
      <c r="B114" s="77" t="s">
        <v>632</v>
      </c>
      <c r="C114" s="77" t="s">
        <v>633</v>
      </c>
      <c r="D114" s="77" t="s">
        <v>763</v>
      </c>
      <c r="E114" s="77" t="s">
        <v>762</v>
      </c>
      <c r="AT114" s="77">
        <v>1.3244409481533135</v>
      </c>
      <c r="BI114" s="77">
        <v>2.4086901567696866</v>
      </c>
      <c r="BN114" s="78">
        <f t="shared" si="1"/>
        <v>2.4086901567696866</v>
      </c>
    </row>
    <row r="115" spans="2:66" hidden="1" x14ac:dyDescent="0.35">
      <c r="B115" s="77" t="s">
        <v>634</v>
      </c>
      <c r="C115" s="77" t="s">
        <v>635</v>
      </c>
      <c r="D115" s="77" t="s">
        <v>763</v>
      </c>
      <c r="E115" s="77" t="s">
        <v>762</v>
      </c>
      <c r="BI115" s="77">
        <v>1.0762708382933868</v>
      </c>
      <c r="BN115" s="78">
        <f t="shared" si="1"/>
        <v>1.0762708382933868</v>
      </c>
    </row>
    <row r="116" spans="2:66" hidden="1" x14ac:dyDescent="0.35">
      <c r="B116" s="77" t="s">
        <v>636</v>
      </c>
      <c r="C116" s="77" t="s">
        <v>637</v>
      </c>
      <c r="D116" s="77" t="s">
        <v>763</v>
      </c>
      <c r="E116" s="77" t="s">
        <v>762</v>
      </c>
      <c r="BI116" s="77">
        <v>1.7315909698221195</v>
      </c>
      <c r="BN116" s="78">
        <f t="shared" si="1"/>
        <v>1.7315909698221195</v>
      </c>
    </row>
    <row r="117" spans="2:66" hidden="1" x14ac:dyDescent="0.35">
      <c r="B117" s="77" t="s">
        <v>242</v>
      </c>
      <c r="C117" s="77" t="s">
        <v>58</v>
      </c>
      <c r="D117" s="77" t="s">
        <v>763</v>
      </c>
      <c r="E117" s="77" t="s">
        <v>762</v>
      </c>
      <c r="AL117" s="77">
        <v>0.62639999999999996</v>
      </c>
      <c r="AW117" s="77">
        <v>0.81599999999999995</v>
      </c>
      <c r="BA117" s="77">
        <v>2.0409999999999999</v>
      </c>
      <c r="BC117" s="77">
        <v>0.81220000000000003</v>
      </c>
      <c r="BD117" s="77">
        <v>1.0581</v>
      </c>
      <c r="BF117" s="77">
        <v>1.3601000000000001</v>
      </c>
      <c r="BG117" s="77">
        <v>1.1443000000000001</v>
      </c>
      <c r="BI117" s="77">
        <v>1.3001</v>
      </c>
      <c r="BK117" s="77">
        <v>2.0583</v>
      </c>
      <c r="BN117" s="78">
        <f t="shared" si="1"/>
        <v>2.0583</v>
      </c>
    </row>
    <row r="118" spans="2:66" hidden="1" x14ac:dyDescent="0.35">
      <c r="B118" s="77" t="s">
        <v>638</v>
      </c>
      <c r="C118" s="77" t="s">
        <v>639</v>
      </c>
      <c r="D118" s="77" t="s">
        <v>763</v>
      </c>
      <c r="E118" s="77" t="s">
        <v>762</v>
      </c>
      <c r="BI118" s="77">
        <v>0.73536496745056712</v>
      </c>
      <c r="BN118" s="78">
        <f t="shared" si="1"/>
        <v>0.73536496745056712</v>
      </c>
    </row>
    <row r="119" spans="2:66" hidden="1" x14ac:dyDescent="0.35">
      <c r="B119" s="77" t="s">
        <v>420</v>
      </c>
      <c r="C119" s="77" t="s">
        <v>421</v>
      </c>
      <c r="D119" s="77" t="s">
        <v>763</v>
      </c>
      <c r="E119" s="77" t="s">
        <v>762</v>
      </c>
      <c r="BD119" s="77">
        <v>2.2730000000000001</v>
      </c>
      <c r="BN119" s="78">
        <f t="shared" si="1"/>
        <v>2.2730000000000001</v>
      </c>
    </row>
    <row r="120" spans="2:66" hidden="1" x14ac:dyDescent="0.35">
      <c r="B120" s="77" t="s">
        <v>416</v>
      </c>
      <c r="C120" s="77" t="s">
        <v>59</v>
      </c>
      <c r="D120" s="77" t="s">
        <v>763</v>
      </c>
      <c r="E120" s="77" t="s">
        <v>762</v>
      </c>
      <c r="AK120" s="77">
        <v>0.37669999999999998</v>
      </c>
      <c r="AT120" s="77">
        <v>1.1693</v>
      </c>
      <c r="AU120" s="77">
        <v>1.1856</v>
      </c>
      <c r="AW120" s="77">
        <v>1.2481</v>
      </c>
      <c r="AX120" s="77">
        <v>1.2630999999999999</v>
      </c>
      <c r="AY120" s="77">
        <v>1.2947</v>
      </c>
      <c r="BA120" s="77">
        <v>1.3329</v>
      </c>
      <c r="BB120" s="77">
        <v>1.3801000000000001</v>
      </c>
      <c r="BC120" s="77">
        <v>1.4020999999999999</v>
      </c>
      <c r="BD120" s="77">
        <v>1.5394000000000001</v>
      </c>
      <c r="BE120" s="77">
        <v>1.7035</v>
      </c>
      <c r="BF120" s="77">
        <v>1.1132</v>
      </c>
      <c r="BG120" s="77">
        <v>1.2218</v>
      </c>
      <c r="BH120" s="77">
        <v>1.3756999999999999</v>
      </c>
      <c r="BJ120" s="77">
        <v>2.0981000000000001</v>
      </c>
      <c r="BK120" s="77">
        <v>2.1071</v>
      </c>
      <c r="BN120" s="78">
        <f t="shared" si="1"/>
        <v>2.1071</v>
      </c>
    </row>
    <row r="121" spans="2:66" hidden="1" x14ac:dyDescent="0.35">
      <c r="B121" s="77" t="s">
        <v>488</v>
      </c>
      <c r="C121" s="77" t="s">
        <v>489</v>
      </c>
      <c r="D121" s="77" t="s">
        <v>763</v>
      </c>
      <c r="E121" s="77" t="s">
        <v>762</v>
      </c>
      <c r="BN121" s="78" t="str">
        <f t="shared" si="1"/>
        <v>No reported value</v>
      </c>
    </row>
    <row r="122" spans="2:66" hidden="1" x14ac:dyDescent="0.35">
      <c r="B122" s="77" t="s">
        <v>419</v>
      </c>
      <c r="C122" s="77" t="s">
        <v>60</v>
      </c>
      <c r="D122" s="77" t="s">
        <v>763</v>
      </c>
      <c r="E122" s="77" t="s">
        <v>762</v>
      </c>
      <c r="AX122" s="77">
        <v>15.196999999999999</v>
      </c>
      <c r="AZ122" s="77">
        <v>15.102</v>
      </c>
      <c r="BA122" s="77">
        <v>15.759</v>
      </c>
      <c r="BE122" s="77">
        <v>12.819000000000001</v>
      </c>
      <c r="BI122" s="77">
        <v>13.8727</v>
      </c>
      <c r="BJ122" s="77">
        <v>14.2949</v>
      </c>
      <c r="BN122" s="78">
        <f t="shared" si="1"/>
        <v>14.2949</v>
      </c>
    </row>
    <row r="123" spans="2:66" hidden="1" x14ac:dyDescent="0.35">
      <c r="B123" s="77" t="s">
        <v>417</v>
      </c>
      <c r="C123" s="77" t="s">
        <v>61</v>
      </c>
      <c r="D123" s="77" t="s">
        <v>763</v>
      </c>
      <c r="E123" s="77" t="s">
        <v>762</v>
      </c>
      <c r="AX123" s="77">
        <v>1.3827</v>
      </c>
      <c r="AY123" s="77">
        <v>1.3918999999999999</v>
      </c>
      <c r="AZ123" s="77">
        <v>1.6731</v>
      </c>
      <c r="BD123" s="77">
        <v>1.41</v>
      </c>
      <c r="BE123" s="77">
        <v>1.9744999999999999</v>
      </c>
      <c r="BH123" s="77">
        <v>1.5452999999999999</v>
      </c>
      <c r="BI123" s="77">
        <v>1.87</v>
      </c>
      <c r="BN123" s="78">
        <f t="shared" si="1"/>
        <v>1.87</v>
      </c>
    </row>
    <row r="124" spans="2:66" hidden="1" x14ac:dyDescent="0.35">
      <c r="B124" s="77" t="s">
        <v>418</v>
      </c>
      <c r="C124" s="77" t="s">
        <v>62</v>
      </c>
      <c r="D124" s="77" t="s">
        <v>763</v>
      </c>
      <c r="E124" s="77" t="s">
        <v>762</v>
      </c>
      <c r="AY124" s="77">
        <v>1.32</v>
      </c>
      <c r="BA124" s="77">
        <v>1.0489999999999999</v>
      </c>
      <c r="BH124" s="77">
        <v>1.8240000000000001</v>
      </c>
      <c r="BJ124" s="77">
        <v>1.94</v>
      </c>
      <c r="BK124" s="77">
        <v>1.6798999999999999</v>
      </c>
      <c r="BN124" s="78">
        <f t="shared" si="1"/>
        <v>1.6798999999999999</v>
      </c>
    </row>
    <row r="125" spans="2:66" hidden="1" x14ac:dyDescent="0.35">
      <c r="B125" s="77" t="s">
        <v>415</v>
      </c>
      <c r="C125" s="77" t="s">
        <v>63</v>
      </c>
      <c r="D125" s="77" t="s">
        <v>763</v>
      </c>
      <c r="E125" s="77" t="s">
        <v>762</v>
      </c>
      <c r="AT125" s="77">
        <v>14.03</v>
      </c>
      <c r="AU125" s="77">
        <v>14.012</v>
      </c>
      <c r="AV125" s="77">
        <v>14.1045</v>
      </c>
      <c r="AW125" s="77">
        <v>14.458299999999999</v>
      </c>
      <c r="AX125" s="77">
        <v>14.507</v>
      </c>
      <c r="AY125" s="77">
        <v>14.8407</v>
      </c>
      <c r="AZ125" s="77">
        <v>14.704700000000001</v>
      </c>
      <c r="BA125" s="77">
        <v>15.091699999999999</v>
      </c>
      <c r="BB125" s="77">
        <v>16.005099999999999</v>
      </c>
      <c r="BC125" s="77">
        <v>16.200600000000001</v>
      </c>
      <c r="BD125" s="77">
        <v>15.2201</v>
      </c>
      <c r="BE125" s="77">
        <v>15.4793</v>
      </c>
      <c r="BF125" s="77">
        <v>15.726599999999999</v>
      </c>
      <c r="BG125" s="77">
        <v>16.106999999999999</v>
      </c>
      <c r="BH125" s="77">
        <v>16.1005</v>
      </c>
      <c r="BI125" s="77">
        <v>16.314399999999999</v>
      </c>
      <c r="BJ125" s="77">
        <v>15.142899999999999</v>
      </c>
      <c r="BK125" s="77">
        <v>15.6806</v>
      </c>
      <c r="BN125" s="78">
        <f t="shared" si="1"/>
        <v>15.6806</v>
      </c>
    </row>
    <row r="126" spans="2:66" hidden="1" x14ac:dyDescent="0.35">
      <c r="B126" s="77" t="s">
        <v>422</v>
      </c>
      <c r="C126" s="77" t="s">
        <v>64</v>
      </c>
      <c r="D126" s="77" t="s">
        <v>763</v>
      </c>
      <c r="E126" s="77" t="s">
        <v>762</v>
      </c>
      <c r="AO126" s="77">
        <v>8.1349</v>
      </c>
      <c r="AZ126" s="77">
        <v>6.22</v>
      </c>
      <c r="BA126" s="77">
        <v>6.15</v>
      </c>
      <c r="BD126" s="77">
        <v>5.2633999999999999</v>
      </c>
      <c r="BE126" s="77">
        <v>5.375</v>
      </c>
      <c r="BF126" s="77">
        <v>4.9528999999999996</v>
      </c>
      <c r="BG126" s="77">
        <v>5.0121000000000002</v>
      </c>
      <c r="BH126" s="77">
        <v>5.0327999999999999</v>
      </c>
      <c r="BI126" s="77">
        <v>5.0715000000000003</v>
      </c>
      <c r="BJ126" s="77">
        <v>5.2043999999999997</v>
      </c>
      <c r="BN126" s="78">
        <f t="shared" si="1"/>
        <v>5.2043999999999997</v>
      </c>
    </row>
    <row r="127" spans="2:66" hidden="1" x14ac:dyDescent="0.35">
      <c r="B127" s="77" t="s">
        <v>423</v>
      </c>
      <c r="C127" s="77" t="s">
        <v>65</v>
      </c>
      <c r="D127" s="77" t="s">
        <v>763</v>
      </c>
      <c r="E127" s="77" t="s">
        <v>762</v>
      </c>
      <c r="AW127" s="77">
        <v>5.44</v>
      </c>
      <c r="AZ127" s="77">
        <v>6.9320000000000004</v>
      </c>
      <c r="BE127" s="77">
        <v>6.9413999999999998</v>
      </c>
      <c r="BF127" s="77">
        <v>6.8861999999999997</v>
      </c>
      <c r="BG127" s="77">
        <v>6.6079999999999997</v>
      </c>
      <c r="BH127" s="77">
        <v>5.6445999999999996</v>
      </c>
      <c r="BI127" s="77">
        <v>5.8183999999999996</v>
      </c>
      <c r="BJ127" s="77">
        <v>5.9569999999999999</v>
      </c>
      <c r="BK127" s="77">
        <v>5.8693</v>
      </c>
      <c r="BN127" s="78">
        <f t="shared" si="1"/>
        <v>5.8693</v>
      </c>
    </row>
    <row r="128" spans="2:66" hidden="1" x14ac:dyDescent="0.35">
      <c r="B128" s="77" t="s">
        <v>424</v>
      </c>
      <c r="C128" s="77" t="s">
        <v>66</v>
      </c>
      <c r="D128" s="77" t="s">
        <v>763</v>
      </c>
      <c r="E128" s="77" t="s">
        <v>762</v>
      </c>
      <c r="AW128" s="77">
        <v>1.6125</v>
      </c>
      <c r="BB128" s="77">
        <v>1.0501</v>
      </c>
      <c r="BF128" s="77">
        <v>1.5125</v>
      </c>
      <c r="BG128" s="77">
        <v>1.4383999999999999</v>
      </c>
      <c r="BH128" s="77">
        <v>1.4336</v>
      </c>
      <c r="BI128" s="77">
        <v>1.4582999999999999</v>
      </c>
      <c r="BJ128" s="77">
        <v>1.6204000000000001</v>
      </c>
      <c r="BK128" s="77">
        <v>1.1396999999999999</v>
      </c>
      <c r="BN128" s="78">
        <f t="shared" si="1"/>
        <v>1.1396999999999999</v>
      </c>
    </row>
    <row r="129" spans="2:66" hidden="1" x14ac:dyDescent="0.35">
      <c r="B129" s="77" t="s">
        <v>426</v>
      </c>
      <c r="C129" s="77" t="s">
        <v>67</v>
      </c>
      <c r="D129" s="77" t="s">
        <v>763</v>
      </c>
      <c r="E129" s="77" t="s">
        <v>762</v>
      </c>
      <c r="AR129" s="77">
        <v>2.8186</v>
      </c>
      <c r="AS129" s="77">
        <v>2.9268999999999998</v>
      </c>
      <c r="AT129" s="77">
        <v>3.0507</v>
      </c>
      <c r="AU129" s="77">
        <v>3.0638000000000001</v>
      </c>
      <c r="AV129" s="77">
        <v>2.8380000000000001</v>
      </c>
      <c r="AW129" s="77">
        <v>2.9994000000000001</v>
      </c>
      <c r="AX129" s="77">
        <v>3.2871000000000001</v>
      </c>
      <c r="AY129" s="77">
        <v>3.05</v>
      </c>
      <c r="AZ129" s="77">
        <v>3.339</v>
      </c>
      <c r="BA129" s="77">
        <v>3.0478999999999998</v>
      </c>
      <c r="BB129" s="77">
        <v>2.9870999999999999</v>
      </c>
      <c r="BC129" s="77">
        <v>3.5362</v>
      </c>
      <c r="BD129" s="77">
        <v>3.5728</v>
      </c>
      <c r="BG129" s="77">
        <v>3.4775999999999998</v>
      </c>
      <c r="BH129" s="77">
        <v>3.4466999999999999</v>
      </c>
      <c r="BI129" s="77">
        <v>2.5821999999999998</v>
      </c>
      <c r="BJ129" s="77">
        <v>1.89</v>
      </c>
      <c r="BK129" s="77">
        <v>3.3885999999999998</v>
      </c>
      <c r="BN129" s="78">
        <f t="shared" si="1"/>
        <v>3.3885999999999998</v>
      </c>
    </row>
    <row r="130" spans="2:66" hidden="1" x14ac:dyDescent="0.35">
      <c r="B130" s="77" t="s">
        <v>425</v>
      </c>
      <c r="C130" s="77" t="s">
        <v>68</v>
      </c>
      <c r="D130" s="77" t="s">
        <v>763</v>
      </c>
      <c r="E130" s="77" t="s">
        <v>762</v>
      </c>
      <c r="AJ130" s="77">
        <v>6.3728999999999996</v>
      </c>
      <c r="AL130" s="77">
        <v>6.7447999999999997</v>
      </c>
      <c r="AN130" s="77">
        <v>7.2508999999999997</v>
      </c>
      <c r="AP130" s="77">
        <v>7.7698999999999998</v>
      </c>
      <c r="AR130" s="77">
        <v>8.2161000000000008</v>
      </c>
      <c r="AT130" s="77">
        <v>8.6546000000000003</v>
      </c>
      <c r="AV130" s="77">
        <v>9.0696999999999992</v>
      </c>
      <c r="AX130" s="77">
        <v>9.4422999999999995</v>
      </c>
      <c r="AZ130" s="77">
        <v>9.8111999999999995</v>
      </c>
      <c r="BB130" s="77">
        <v>10.295199999999999</v>
      </c>
      <c r="BD130" s="77">
        <v>10.273099999999999</v>
      </c>
      <c r="BE130" s="77">
        <v>11.638199999999999</v>
      </c>
      <c r="BF130" s="77">
        <v>10.6889</v>
      </c>
      <c r="BH130" s="77">
        <v>11.1212</v>
      </c>
      <c r="BJ130" s="77">
        <v>11.5184</v>
      </c>
      <c r="BN130" s="78">
        <f t="shared" si="1"/>
        <v>11.5184</v>
      </c>
    </row>
    <row r="131" spans="2:66" hidden="1" x14ac:dyDescent="0.35">
      <c r="B131" s="77" t="s">
        <v>427</v>
      </c>
      <c r="C131" s="77" t="s">
        <v>69</v>
      </c>
      <c r="D131" s="77" t="s">
        <v>763</v>
      </c>
      <c r="E131" s="77" t="s">
        <v>762</v>
      </c>
      <c r="AZ131" s="77">
        <v>7.64</v>
      </c>
      <c r="BA131" s="77">
        <v>7.83</v>
      </c>
      <c r="BC131" s="77">
        <v>8.2759999999999998</v>
      </c>
      <c r="BD131" s="77">
        <v>8.2398000000000007</v>
      </c>
      <c r="BE131" s="77">
        <v>8.4177999999999997</v>
      </c>
      <c r="BF131" s="77">
        <v>8.5564</v>
      </c>
      <c r="BG131" s="77">
        <v>8.4890000000000008</v>
      </c>
      <c r="BN131" s="78">
        <f t="shared" si="1"/>
        <v>8.4890000000000008</v>
      </c>
    </row>
    <row r="132" spans="2:66" hidden="1" x14ac:dyDescent="0.35">
      <c r="B132" s="77" t="s">
        <v>199</v>
      </c>
      <c r="C132" s="77" t="s">
        <v>70</v>
      </c>
      <c r="D132" s="77" t="s">
        <v>763</v>
      </c>
      <c r="E132" s="77" t="s">
        <v>762</v>
      </c>
      <c r="AX132" s="77">
        <v>0.46029999999999999</v>
      </c>
      <c r="BB132" s="77">
        <v>0.35949999999999999</v>
      </c>
      <c r="BC132" s="77">
        <v>0.39629999999999999</v>
      </c>
      <c r="BD132" s="77">
        <v>0.7177</v>
      </c>
      <c r="BE132" s="77">
        <v>1.4152</v>
      </c>
      <c r="BF132" s="77">
        <v>1.4152</v>
      </c>
      <c r="BG132" s="77">
        <v>1.4443999999999999</v>
      </c>
      <c r="BH132" s="77">
        <v>1.5421</v>
      </c>
      <c r="BN132" s="78">
        <f t="shared" si="1"/>
        <v>1.5421</v>
      </c>
    </row>
    <row r="133" spans="2:66" hidden="1" x14ac:dyDescent="0.35">
      <c r="B133" s="77" t="s">
        <v>432</v>
      </c>
      <c r="C133" s="77" t="s">
        <v>71</v>
      </c>
      <c r="D133" s="77" t="s">
        <v>763</v>
      </c>
      <c r="E133" s="77" t="s">
        <v>762</v>
      </c>
      <c r="AZ133" s="77">
        <v>5.79</v>
      </c>
      <c r="BA133" s="77">
        <v>5.6619999999999999</v>
      </c>
      <c r="BB133" s="77">
        <v>5.5155000000000003</v>
      </c>
      <c r="BC133" s="77">
        <v>5.4881000000000002</v>
      </c>
      <c r="BD133" s="77">
        <v>6.0228999999999999</v>
      </c>
      <c r="BE133" s="77">
        <v>6.2274000000000003</v>
      </c>
      <c r="BF133" s="77">
        <v>6.3700999999999999</v>
      </c>
      <c r="BG133" s="77">
        <v>6.4298999999999999</v>
      </c>
      <c r="BN133" s="78">
        <f t="shared" si="1"/>
        <v>6.4298999999999999</v>
      </c>
    </row>
    <row r="134" spans="2:66" hidden="1" x14ac:dyDescent="0.35">
      <c r="B134" s="77" t="s">
        <v>247</v>
      </c>
      <c r="C134" s="77" t="s">
        <v>72</v>
      </c>
      <c r="D134" s="77" t="s">
        <v>763</v>
      </c>
      <c r="E134" s="77" t="s">
        <v>762</v>
      </c>
      <c r="AP134" s="77">
        <v>1.0591999999999999</v>
      </c>
      <c r="AR134" s="77">
        <v>1.0079</v>
      </c>
      <c r="AT134" s="77">
        <v>0.91549999999999998</v>
      </c>
      <c r="BB134" s="77">
        <v>0.84550000000000003</v>
      </c>
      <c r="BC134" s="77">
        <v>0.85460000000000003</v>
      </c>
      <c r="BD134" s="77">
        <v>0.85619999999999996</v>
      </c>
      <c r="BE134" s="77">
        <v>0.87350000000000005</v>
      </c>
      <c r="BF134" s="77">
        <v>0.92320000000000002</v>
      </c>
      <c r="BG134" s="77">
        <v>0.95979999999999999</v>
      </c>
      <c r="BH134" s="77">
        <v>0.95469999999999999</v>
      </c>
      <c r="BN134" s="78">
        <f t="shared" si="1"/>
        <v>0.95469999999999999</v>
      </c>
    </row>
    <row r="135" spans="2:66" hidden="1" x14ac:dyDescent="0.35">
      <c r="B135" s="77" t="s">
        <v>249</v>
      </c>
      <c r="C135" s="77" t="s">
        <v>73</v>
      </c>
      <c r="D135" s="77" t="s">
        <v>763</v>
      </c>
      <c r="E135" s="77" t="s">
        <v>762</v>
      </c>
      <c r="AR135" s="77">
        <v>2.3407</v>
      </c>
      <c r="AX135" s="77">
        <v>2.8729</v>
      </c>
      <c r="BB135" s="77">
        <v>3.6686999999999999</v>
      </c>
      <c r="BC135" s="77">
        <v>3.5230000000000001</v>
      </c>
      <c r="BD135" s="77">
        <v>3.9376000000000002</v>
      </c>
      <c r="BE135" s="77">
        <v>3.9350999999999998</v>
      </c>
      <c r="BG135" s="77">
        <v>4.6174999999999997</v>
      </c>
      <c r="BJ135" s="77">
        <v>4.8287000000000004</v>
      </c>
      <c r="BN135" s="78">
        <f t="shared" si="1"/>
        <v>4.8287000000000004</v>
      </c>
    </row>
    <row r="136" spans="2:66" hidden="1" x14ac:dyDescent="0.35">
      <c r="B136" s="77" t="s">
        <v>530</v>
      </c>
      <c r="C136" s="77" t="s">
        <v>531</v>
      </c>
      <c r="D136" s="77" t="s">
        <v>763</v>
      </c>
      <c r="E136" s="77" t="s">
        <v>762</v>
      </c>
      <c r="AJ136" s="77">
        <v>6.9363000000000001</v>
      </c>
      <c r="AK136" s="77">
        <v>6.9268000000000001</v>
      </c>
      <c r="AL136" s="77">
        <v>6.9081999999999999</v>
      </c>
      <c r="AM136" s="77">
        <v>6.8421000000000003</v>
      </c>
      <c r="AN136" s="77">
        <v>5.9433999999999996</v>
      </c>
      <c r="AO136" s="77">
        <v>5.641</v>
      </c>
      <c r="AP136" s="77">
        <v>5.8525</v>
      </c>
      <c r="AQ136" s="77">
        <v>5.5479000000000003</v>
      </c>
      <c r="AR136" s="77">
        <v>5.6208</v>
      </c>
      <c r="AS136" s="77">
        <v>5.8929</v>
      </c>
      <c r="AT136" s="77">
        <v>4.7140000000000004</v>
      </c>
      <c r="AU136" s="77">
        <v>6.3913000000000002</v>
      </c>
      <c r="BI136" s="77">
        <v>3.9779</v>
      </c>
      <c r="BN136" s="78">
        <f t="shared" si="1"/>
        <v>3.9779</v>
      </c>
    </row>
    <row r="137" spans="2:66" hidden="1" x14ac:dyDescent="0.35">
      <c r="B137" s="77" t="s">
        <v>429</v>
      </c>
      <c r="C137" s="77" t="s">
        <v>74</v>
      </c>
      <c r="D137" s="77" t="s">
        <v>763</v>
      </c>
      <c r="E137" s="77" t="s">
        <v>762</v>
      </c>
      <c r="AW137" s="77">
        <v>1.7470000000000001</v>
      </c>
      <c r="AX137" s="77">
        <v>4.3433000000000002</v>
      </c>
      <c r="AY137" s="77">
        <v>4.5639000000000003</v>
      </c>
      <c r="AZ137" s="77">
        <v>4.7519999999999998</v>
      </c>
      <c r="BA137" s="77">
        <v>4.9787999999999997</v>
      </c>
      <c r="BB137" s="77">
        <v>5.1891999999999996</v>
      </c>
      <c r="BC137" s="77">
        <v>5.4105999999999996</v>
      </c>
      <c r="BD137" s="77">
        <v>5.6242999999999999</v>
      </c>
      <c r="BE137" s="77">
        <v>4.7499000000000002</v>
      </c>
      <c r="BF137" s="77">
        <v>4.8727</v>
      </c>
      <c r="BG137" s="77">
        <v>5.2442000000000002</v>
      </c>
      <c r="BH137" s="77">
        <v>5.6345000000000001</v>
      </c>
      <c r="BI137" s="77">
        <v>6.0114999999999998</v>
      </c>
      <c r="BJ137" s="77">
        <v>6.8593999999999999</v>
      </c>
      <c r="BK137" s="77">
        <v>6.9734999999999996</v>
      </c>
      <c r="BN137" s="78">
        <f t="shared" si="1"/>
        <v>6.9734999999999996</v>
      </c>
    </row>
    <row r="138" spans="2:66" hidden="1" x14ac:dyDescent="0.35">
      <c r="B138" s="77" t="s">
        <v>431</v>
      </c>
      <c r="C138" s="77" t="s">
        <v>75</v>
      </c>
      <c r="D138" s="77" t="s">
        <v>763</v>
      </c>
      <c r="E138" s="77" t="s">
        <v>762</v>
      </c>
      <c r="AU138" s="77">
        <v>4.3600000000000003</v>
      </c>
      <c r="AY138" s="77">
        <v>3.7</v>
      </c>
      <c r="AZ138" s="77">
        <v>4.1467000000000001</v>
      </c>
      <c r="BA138" s="77">
        <v>4.3269000000000002</v>
      </c>
      <c r="BB138" s="77">
        <v>4.6826999999999996</v>
      </c>
      <c r="BC138" s="77">
        <v>4.8083</v>
      </c>
      <c r="BD138" s="77">
        <v>6.5157999999999996</v>
      </c>
      <c r="BE138" s="77">
        <v>6.4542000000000002</v>
      </c>
      <c r="BF138" s="77">
        <v>6.3323</v>
      </c>
      <c r="BG138" s="77">
        <v>6.0812999999999997</v>
      </c>
      <c r="BH138" s="77">
        <v>6.4996999999999998</v>
      </c>
      <c r="BI138" s="77">
        <v>6.9694000000000003</v>
      </c>
      <c r="BN138" s="78">
        <f t="shared" si="1"/>
        <v>6.9694000000000003</v>
      </c>
    </row>
    <row r="139" spans="2:66" hidden="1" x14ac:dyDescent="0.35">
      <c r="B139" s="77" t="s">
        <v>438</v>
      </c>
      <c r="C139" s="77" t="s">
        <v>439</v>
      </c>
      <c r="D139" s="77" t="s">
        <v>763</v>
      </c>
      <c r="E139" s="77" t="s">
        <v>762</v>
      </c>
      <c r="AT139" s="77">
        <v>2.1003765626279058</v>
      </c>
      <c r="BI139" s="77">
        <v>4.8899261545117172</v>
      </c>
      <c r="BN139" s="78">
        <f t="shared" si="1"/>
        <v>4.8899261545117172</v>
      </c>
    </row>
    <row r="140" spans="2:66" hidden="1" x14ac:dyDescent="0.35">
      <c r="B140" s="77" t="s">
        <v>433</v>
      </c>
      <c r="C140" s="77" t="s">
        <v>76</v>
      </c>
      <c r="D140" s="77" t="s">
        <v>763</v>
      </c>
      <c r="E140" s="77" t="s">
        <v>762</v>
      </c>
      <c r="AO140" s="77">
        <v>1.2552000000000001</v>
      </c>
      <c r="AT140" s="77">
        <v>1.0232000000000001</v>
      </c>
      <c r="AX140" s="77">
        <v>0.98860000000000003</v>
      </c>
      <c r="AY140" s="77">
        <v>0.99480000000000002</v>
      </c>
      <c r="BC140" s="77">
        <v>0.86509999999999998</v>
      </c>
      <c r="BD140" s="77">
        <v>0.85760000000000003</v>
      </c>
      <c r="BF140" s="77">
        <v>0.87</v>
      </c>
      <c r="BG140" s="77">
        <v>0.92800000000000005</v>
      </c>
      <c r="BH140" s="77">
        <v>0.97560000000000002</v>
      </c>
      <c r="BN140" s="78">
        <f t="shared" si="1"/>
        <v>0.97560000000000002</v>
      </c>
    </row>
    <row r="141" spans="2:66" hidden="1" x14ac:dyDescent="0.35">
      <c r="B141" s="77" t="s">
        <v>445</v>
      </c>
      <c r="C141" s="77" t="s">
        <v>77</v>
      </c>
      <c r="D141" s="77" t="s">
        <v>763</v>
      </c>
      <c r="E141" s="77" t="s">
        <v>762</v>
      </c>
      <c r="AU141" s="77">
        <v>1.2372000000000001</v>
      </c>
      <c r="AY141" s="77">
        <v>1.1839</v>
      </c>
      <c r="BA141" s="77">
        <v>1.6960999999999999</v>
      </c>
      <c r="BC141" s="77">
        <v>1.9810000000000001</v>
      </c>
      <c r="BD141" s="77">
        <v>2.0268999999999999</v>
      </c>
      <c r="BE141" s="77">
        <v>2.5247999999999999</v>
      </c>
      <c r="BG141" s="77">
        <v>2.6150000000000002</v>
      </c>
      <c r="BH141" s="77">
        <v>2.4935</v>
      </c>
      <c r="BI141" s="77">
        <v>2.4438</v>
      </c>
      <c r="BJ141" s="77">
        <v>2.4773999999999998</v>
      </c>
      <c r="BK141" s="77">
        <v>2.6448</v>
      </c>
      <c r="BN141" s="78">
        <f t="shared" ref="BN141:BN204" si="2">IFERROR(LOOKUP(2,1/(ISNUMBER(F141:BM141)),F141:BM141),"No reported value")</f>
        <v>2.6448</v>
      </c>
    </row>
    <row r="142" spans="2:66" hidden="1" x14ac:dyDescent="0.35">
      <c r="B142" s="77" t="s">
        <v>201</v>
      </c>
      <c r="C142" s="77" t="s">
        <v>78</v>
      </c>
      <c r="D142" s="77" t="s">
        <v>763</v>
      </c>
      <c r="E142" s="77" t="s">
        <v>762</v>
      </c>
      <c r="AX142" s="77">
        <v>0.32579999999999998</v>
      </c>
      <c r="BB142" s="77">
        <v>0.26700000000000002</v>
      </c>
      <c r="BD142" s="77">
        <v>0.4572</v>
      </c>
      <c r="BI142" s="77">
        <v>0.1007</v>
      </c>
      <c r="BN142" s="78">
        <f t="shared" si="2"/>
        <v>0.1007</v>
      </c>
    </row>
    <row r="143" spans="2:66" hidden="1" x14ac:dyDescent="0.35">
      <c r="B143" s="77" t="s">
        <v>446</v>
      </c>
      <c r="C143" s="77" t="s">
        <v>79</v>
      </c>
      <c r="D143" s="77" t="s">
        <v>763</v>
      </c>
      <c r="E143" s="77" t="s">
        <v>762</v>
      </c>
      <c r="AQ143" s="77">
        <v>3.4742999999999999</v>
      </c>
      <c r="AX143" s="77">
        <v>4.7609000000000004</v>
      </c>
      <c r="BB143" s="77">
        <v>5.5327000000000002</v>
      </c>
      <c r="BC143" s="77">
        <v>7.0218999999999996</v>
      </c>
      <c r="BD143" s="77">
        <v>6.8</v>
      </c>
      <c r="BG143" s="77">
        <v>7.0998999999999999</v>
      </c>
      <c r="BH143" s="77">
        <v>6.9657</v>
      </c>
      <c r="BK143" s="77">
        <v>6.7416</v>
      </c>
      <c r="BN143" s="78">
        <f t="shared" si="2"/>
        <v>6.7416</v>
      </c>
    </row>
    <row r="144" spans="2:66" hidden="1" x14ac:dyDescent="0.35">
      <c r="B144" s="77" t="s">
        <v>532</v>
      </c>
      <c r="C144" s="77" t="s">
        <v>80</v>
      </c>
      <c r="D144" s="77" t="s">
        <v>763</v>
      </c>
      <c r="E144" s="77" t="s">
        <v>762</v>
      </c>
      <c r="AS144" s="77">
        <v>2.1326999999999998</v>
      </c>
      <c r="AU144" s="77">
        <v>2.3407</v>
      </c>
      <c r="AW144" s="77">
        <v>3.0745</v>
      </c>
      <c r="AX144" s="77">
        <v>2.3119999999999998</v>
      </c>
      <c r="AY144" s="77">
        <v>1.9914000000000001</v>
      </c>
      <c r="BH144" s="77">
        <v>1.5872999999999999</v>
      </c>
      <c r="BN144" s="78">
        <f t="shared" si="2"/>
        <v>1.5872999999999999</v>
      </c>
    </row>
    <row r="145" spans="2:66" hidden="1" x14ac:dyDescent="0.35">
      <c r="B145" s="77" t="s">
        <v>436</v>
      </c>
      <c r="C145" s="77" t="s">
        <v>437</v>
      </c>
      <c r="D145" s="77" t="s">
        <v>763</v>
      </c>
      <c r="E145" s="77" t="s">
        <v>762</v>
      </c>
      <c r="AT145" s="77">
        <v>2.0400491942166994</v>
      </c>
      <c r="BI145" s="77">
        <v>4.7222119135516918</v>
      </c>
      <c r="BN145" s="78">
        <f t="shared" si="2"/>
        <v>4.7222119135516918</v>
      </c>
    </row>
    <row r="146" spans="2:66" hidden="1" x14ac:dyDescent="0.35">
      <c r="B146" s="77" t="s">
        <v>443</v>
      </c>
      <c r="C146" s="77" t="s">
        <v>444</v>
      </c>
      <c r="D146" s="77" t="s">
        <v>763</v>
      </c>
      <c r="E146" s="77" t="s">
        <v>762</v>
      </c>
      <c r="BI146" s="77">
        <v>0.63515333632387161</v>
      </c>
      <c r="BN146" s="78">
        <f t="shared" si="2"/>
        <v>0.63515333632387161</v>
      </c>
    </row>
    <row r="147" spans="2:66" hidden="1" x14ac:dyDescent="0.35">
      <c r="B147" s="77" t="s">
        <v>452</v>
      </c>
      <c r="C147" s="77" t="s">
        <v>453</v>
      </c>
      <c r="D147" s="77" t="s">
        <v>763</v>
      </c>
      <c r="E147" s="77" t="s">
        <v>762</v>
      </c>
      <c r="BI147" s="77">
        <v>0.86037058799742272</v>
      </c>
      <c r="BN147" s="78">
        <f t="shared" si="2"/>
        <v>0.86037058799742272</v>
      </c>
    </row>
    <row r="148" spans="2:66" hidden="1" x14ac:dyDescent="0.35">
      <c r="B148" s="77" t="s">
        <v>447</v>
      </c>
      <c r="C148" s="77" t="s">
        <v>448</v>
      </c>
      <c r="D148" s="77" t="s">
        <v>763</v>
      </c>
      <c r="E148" s="77" t="s">
        <v>762</v>
      </c>
      <c r="BN148" s="78" t="str">
        <f t="shared" si="2"/>
        <v>No reported value</v>
      </c>
    </row>
    <row r="149" spans="2:66" hidden="1" x14ac:dyDescent="0.35">
      <c r="B149" s="77" t="s">
        <v>245</v>
      </c>
      <c r="C149" s="77" t="s">
        <v>81</v>
      </c>
      <c r="D149" s="77" t="s">
        <v>763</v>
      </c>
      <c r="E149" s="77" t="s">
        <v>762</v>
      </c>
      <c r="AJ149" s="77">
        <v>0.73709999999999998</v>
      </c>
      <c r="AK149" s="77">
        <v>0.8014</v>
      </c>
      <c r="AL149" s="77">
        <v>0.86770000000000003</v>
      </c>
      <c r="AM149" s="77">
        <v>1.0296000000000001</v>
      </c>
      <c r="AN149" s="77">
        <v>0.9647</v>
      </c>
      <c r="AO149" s="77">
        <v>1.0846</v>
      </c>
      <c r="AP149" s="77">
        <v>0.75839999999999996</v>
      </c>
      <c r="AQ149" s="77">
        <v>0.74770000000000003</v>
      </c>
      <c r="AR149" s="77">
        <v>0.7873</v>
      </c>
      <c r="AS149" s="77">
        <v>0.75270000000000004</v>
      </c>
      <c r="AT149" s="77">
        <v>1.1916</v>
      </c>
      <c r="AU149" s="77">
        <v>0.83520000000000005</v>
      </c>
      <c r="AV149" s="77">
        <v>1.0624</v>
      </c>
      <c r="AX149" s="77">
        <v>1.7155</v>
      </c>
      <c r="AY149" s="77">
        <v>1.4092</v>
      </c>
      <c r="AZ149" s="77">
        <v>1.6737</v>
      </c>
      <c r="BA149" s="77">
        <v>2.0533000000000001</v>
      </c>
      <c r="BB149" s="77">
        <v>1.5072000000000001</v>
      </c>
      <c r="BC149" s="77">
        <v>1.5589999999999999</v>
      </c>
      <c r="BD149" s="77">
        <v>1.7509999999999999</v>
      </c>
      <c r="BG149" s="77">
        <v>2.0085000000000002</v>
      </c>
      <c r="BI149" s="77">
        <v>2.4870000000000001</v>
      </c>
      <c r="BJ149" s="77">
        <v>2.1154999999999999</v>
      </c>
      <c r="BN149" s="78">
        <f t="shared" si="2"/>
        <v>2.1154999999999999</v>
      </c>
    </row>
    <row r="150" spans="2:66" hidden="1" x14ac:dyDescent="0.35">
      <c r="B150" s="77" t="s">
        <v>454</v>
      </c>
      <c r="C150" s="77" t="s">
        <v>455</v>
      </c>
      <c r="D150" s="77" t="s">
        <v>763</v>
      </c>
      <c r="E150" s="77" t="s">
        <v>762</v>
      </c>
      <c r="BI150" s="77">
        <v>1.801820778406602</v>
      </c>
      <c r="BN150" s="78">
        <f t="shared" si="2"/>
        <v>1.801820778406602</v>
      </c>
    </row>
    <row r="151" spans="2:66" hidden="1" x14ac:dyDescent="0.35">
      <c r="B151" s="77" t="s">
        <v>450</v>
      </c>
      <c r="C151" s="77" t="s">
        <v>451</v>
      </c>
      <c r="D151" s="77" t="s">
        <v>763</v>
      </c>
      <c r="E151" s="77" t="s">
        <v>762</v>
      </c>
      <c r="AT151" s="77">
        <v>1.3481760270044507</v>
      </c>
      <c r="BI151" s="77">
        <v>2.4076816361680979</v>
      </c>
      <c r="BN151" s="78">
        <f t="shared" si="2"/>
        <v>2.4076816361680979</v>
      </c>
    </row>
    <row r="152" spans="2:66" hidden="1" x14ac:dyDescent="0.35">
      <c r="B152" s="77" t="s">
        <v>200</v>
      </c>
      <c r="C152" s="77" t="s">
        <v>167</v>
      </c>
      <c r="D152" s="77" t="s">
        <v>763</v>
      </c>
      <c r="E152" s="77" t="s">
        <v>762</v>
      </c>
      <c r="AW152" s="77">
        <v>0.58550000000000002</v>
      </c>
      <c r="BD152" s="77">
        <v>0.65080000000000005</v>
      </c>
      <c r="BN152" s="78">
        <f t="shared" si="2"/>
        <v>0.65080000000000005</v>
      </c>
    </row>
    <row r="153" spans="2:66" hidden="1" x14ac:dyDescent="0.35">
      <c r="B153" s="77" t="s">
        <v>434</v>
      </c>
      <c r="C153" s="77" t="s">
        <v>435</v>
      </c>
      <c r="D153" s="77" t="s">
        <v>763</v>
      </c>
      <c r="E153" s="77" t="s">
        <v>762</v>
      </c>
      <c r="AJ153" s="77">
        <v>0.87633686268499278</v>
      </c>
      <c r="AT153" s="77">
        <v>1.351590925517234</v>
      </c>
      <c r="BI153" s="77">
        <v>3.6438938535158214</v>
      </c>
      <c r="BN153" s="78">
        <f t="shared" si="2"/>
        <v>3.6438938535158214</v>
      </c>
    </row>
    <row r="154" spans="2:66" hidden="1" x14ac:dyDescent="0.35">
      <c r="B154" s="77" t="s">
        <v>449</v>
      </c>
      <c r="C154" s="77" t="s">
        <v>82</v>
      </c>
      <c r="D154" s="77" t="s">
        <v>763</v>
      </c>
      <c r="E154" s="77" t="s">
        <v>762</v>
      </c>
      <c r="AZ154" s="77">
        <v>7.65</v>
      </c>
      <c r="BA154" s="77">
        <v>7.5670000000000002</v>
      </c>
      <c r="BB154" s="77">
        <v>7.32</v>
      </c>
      <c r="BD154" s="77">
        <v>7.8779000000000003</v>
      </c>
      <c r="BE154" s="77">
        <v>7.6993</v>
      </c>
      <c r="BF154" s="77">
        <v>7.7651000000000003</v>
      </c>
      <c r="BG154" s="77">
        <v>7.7489999999999997</v>
      </c>
      <c r="BH154" s="77">
        <v>7.8304</v>
      </c>
      <c r="BI154" s="77">
        <v>7.9034000000000004</v>
      </c>
      <c r="BJ154" s="77">
        <v>7.9154999999999998</v>
      </c>
      <c r="BN154" s="78">
        <f t="shared" si="2"/>
        <v>7.9154999999999998</v>
      </c>
    </row>
    <row r="155" spans="2:66" hidden="1" x14ac:dyDescent="0.35">
      <c r="B155" s="77" t="s">
        <v>456</v>
      </c>
      <c r="C155" s="77" t="s">
        <v>83</v>
      </c>
      <c r="D155" s="77" t="s">
        <v>763</v>
      </c>
      <c r="E155" s="77" t="s">
        <v>762</v>
      </c>
      <c r="AX155" s="77">
        <v>9.6300000000000008</v>
      </c>
      <c r="AY155" s="77">
        <v>10.366</v>
      </c>
      <c r="AZ155" s="77">
        <v>11.32</v>
      </c>
      <c r="BD155" s="77">
        <v>11.754300000000001</v>
      </c>
      <c r="BE155" s="77">
        <v>11.9619</v>
      </c>
      <c r="BF155" s="77">
        <v>12.2539</v>
      </c>
      <c r="BG155" s="77">
        <v>12.271000000000001</v>
      </c>
      <c r="BH155" s="77">
        <v>12.3171</v>
      </c>
      <c r="BI155" s="77">
        <v>12.3346</v>
      </c>
      <c r="BJ155" s="77">
        <v>12.2408</v>
      </c>
      <c r="BK155" s="77">
        <v>12.349600000000001</v>
      </c>
      <c r="BN155" s="78">
        <f t="shared" si="2"/>
        <v>12.349600000000001</v>
      </c>
    </row>
    <row r="156" spans="2:66" hidden="1" x14ac:dyDescent="0.35">
      <c r="B156" s="77" t="s">
        <v>442</v>
      </c>
      <c r="C156" s="77" t="s">
        <v>84</v>
      </c>
      <c r="D156" s="77" t="s">
        <v>763</v>
      </c>
      <c r="E156" s="77" t="s">
        <v>762</v>
      </c>
      <c r="AJ156" s="77">
        <v>6.9917999999999996</v>
      </c>
      <c r="AK156" s="77">
        <v>6.8133999999999997</v>
      </c>
      <c r="AL156" s="77">
        <v>6.3479999999999999</v>
      </c>
      <c r="AM156" s="77">
        <v>6.0401999999999996</v>
      </c>
      <c r="AN156" s="77">
        <v>5.2823000000000002</v>
      </c>
      <c r="AO156" s="77">
        <v>5.1536999999999997</v>
      </c>
      <c r="AP156" s="77">
        <v>5.0080999999999998</v>
      </c>
      <c r="AQ156" s="77">
        <v>4.82</v>
      </c>
      <c r="AR156" s="77">
        <v>4.6052</v>
      </c>
      <c r="AS156" s="77">
        <v>4.3848000000000003</v>
      </c>
      <c r="AT156" s="77">
        <v>4.3895</v>
      </c>
      <c r="AU156" s="77">
        <v>4.3163999999999998</v>
      </c>
      <c r="AV156" s="77">
        <v>4.3087</v>
      </c>
      <c r="AW156" s="77">
        <v>4.4245000000000001</v>
      </c>
      <c r="AX156" s="77">
        <v>4.5354999999999999</v>
      </c>
      <c r="AY156" s="77">
        <v>4.5959000000000003</v>
      </c>
      <c r="AZ156" s="77">
        <v>4.5308000000000002</v>
      </c>
      <c r="BA156" s="77">
        <v>4.5818000000000003</v>
      </c>
      <c r="BB156" s="77">
        <v>4.7847999999999997</v>
      </c>
      <c r="BC156" s="77">
        <v>4.3490000000000002</v>
      </c>
      <c r="BD156" s="77">
        <v>5.1547999999999998</v>
      </c>
      <c r="BE156" s="77">
        <v>5.0709999999999997</v>
      </c>
      <c r="BF156" s="77">
        <v>4.9763000000000002</v>
      </c>
      <c r="BG156" s="77">
        <v>5.0107999999999997</v>
      </c>
      <c r="BH156" s="77">
        <v>4.9649999999999999</v>
      </c>
      <c r="BI156" s="77">
        <v>4.8482000000000003</v>
      </c>
      <c r="BJ156" s="77">
        <v>4.8155000000000001</v>
      </c>
      <c r="BN156" s="78">
        <f t="shared" si="2"/>
        <v>4.8155000000000001</v>
      </c>
    </row>
    <row r="157" spans="2:66" hidden="1" x14ac:dyDescent="0.35">
      <c r="B157" s="77" t="s">
        <v>457</v>
      </c>
      <c r="C157" s="77" t="s">
        <v>458</v>
      </c>
      <c r="D157" s="77" t="s">
        <v>763</v>
      </c>
      <c r="E157" s="77" t="s">
        <v>762</v>
      </c>
      <c r="BN157" s="78" t="str">
        <f t="shared" si="2"/>
        <v>No reported value</v>
      </c>
    </row>
    <row r="158" spans="2:66" hidden="1" x14ac:dyDescent="0.35">
      <c r="B158" s="77" t="s">
        <v>533</v>
      </c>
      <c r="C158" s="77" t="s">
        <v>534</v>
      </c>
      <c r="D158" s="77" t="s">
        <v>763</v>
      </c>
      <c r="E158" s="77" t="s">
        <v>762</v>
      </c>
      <c r="BN158" s="78" t="str">
        <f t="shared" si="2"/>
        <v>No reported value</v>
      </c>
    </row>
    <row r="159" spans="2:66" hidden="1" x14ac:dyDescent="0.35">
      <c r="B159" s="77" t="s">
        <v>476</v>
      </c>
      <c r="C159" s="77" t="s">
        <v>85</v>
      </c>
      <c r="D159" s="77" t="s">
        <v>763</v>
      </c>
      <c r="E159" s="77" t="s">
        <v>762</v>
      </c>
      <c r="AX159" s="77">
        <v>0.80610000000000004</v>
      </c>
      <c r="BC159" s="77">
        <v>0.92810000000000004</v>
      </c>
      <c r="BD159" s="77">
        <v>0.89</v>
      </c>
      <c r="BG159" s="77">
        <v>0.89</v>
      </c>
      <c r="BH159" s="77">
        <v>0.86229999999999996</v>
      </c>
      <c r="BK159" s="77">
        <v>1.0979000000000001</v>
      </c>
      <c r="BN159" s="78">
        <f t="shared" si="2"/>
        <v>1.0979000000000001</v>
      </c>
    </row>
    <row r="160" spans="2:66" hidden="1" x14ac:dyDescent="0.35">
      <c r="B160" s="77" t="s">
        <v>474</v>
      </c>
      <c r="C160" s="77" t="s">
        <v>86</v>
      </c>
      <c r="D160" s="77" t="s">
        <v>763</v>
      </c>
      <c r="E160" s="77" t="s">
        <v>762</v>
      </c>
      <c r="AO160" s="77">
        <v>14.5</v>
      </c>
      <c r="BE160" s="77">
        <v>16.773299999999999</v>
      </c>
      <c r="BF160" s="77">
        <v>17.9101</v>
      </c>
      <c r="BG160" s="77">
        <v>18.763200000000001</v>
      </c>
      <c r="BH160" s="77">
        <v>20.262499999999999</v>
      </c>
      <c r="BN160" s="78">
        <f t="shared" si="2"/>
        <v>20.262499999999999</v>
      </c>
    </row>
    <row r="161" spans="2:66" hidden="1" x14ac:dyDescent="0.35">
      <c r="B161" s="77" t="s">
        <v>473</v>
      </c>
      <c r="C161" s="77" t="s">
        <v>87</v>
      </c>
      <c r="D161" s="77" t="s">
        <v>763</v>
      </c>
      <c r="E161" s="77" t="s">
        <v>762</v>
      </c>
      <c r="AZ161" s="77">
        <v>6.2</v>
      </c>
      <c r="BA161" s="77">
        <v>6.65</v>
      </c>
      <c r="BD161" s="77">
        <v>5.8437999999999999</v>
      </c>
      <c r="BE161" s="77">
        <v>5.8368000000000002</v>
      </c>
      <c r="BF161" s="77">
        <v>5.7957000000000001</v>
      </c>
      <c r="BG161" s="77">
        <v>5.6736000000000004</v>
      </c>
      <c r="BH161" s="77">
        <v>5.5006000000000004</v>
      </c>
      <c r="BI161" s="77">
        <v>4.5113000000000003</v>
      </c>
      <c r="BN161" s="78">
        <f t="shared" si="2"/>
        <v>4.5113000000000003</v>
      </c>
    </row>
    <row r="162" spans="2:66" hidden="1" x14ac:dyDescent="0.35">
      <c r="B162" s="77" t="s">
        <v>202</v>
      </c>
      <c r="C162" s="77" t="s">
        <v>88</v>
      </c>
      <c r="D162" s="77" t="s">
        <v>763</v>
      </c>
      <c r="E162" s="77" t="s">
        <v>762</v>
      </c>
      <c r="AV162" s="77">
        <v>0.31290000000000001</v>
      </c>
      <c r="AW162" s="77">
        <v>0.30349999999999999</v>
      </c>
      <c r="AX162" s="77">
        <v>0.28539999999999999</v>
      </c>
      <c r="AY162" s="77">
        <v>0.35</v>
      </c>
      <c r="AZ162" s="77">
        <v>0.30220000000000002</v>
      </c>
      <c r="BA162" s="77">
        <v>0.29409999999999997</v>
      </c>
      <c r="BB162" s="77">
        <v>0.28110000000000002</v>
      </c>
      <c r="BC162" s="77">
        <v>0.24299999999999999</v>
      </c>
      <c r="BD162" s="77">
        <v>0.2233</v>
      </c>
      <c r="BE162" s="77">
        <v>0.21790000000000001</v>
      </c>
      <c r="BF162" s="77">
        <v>0.21740000000000001</v>
      </c>
      <c r="BH162" s="77">
        <v>0.10589999999999999</v>
      </c>
      <c r="BN162" s="78">
        <f t="shared" si="2"/>
        <v>0.10589999999999999</v>
      </c>
    </row>
    <row r="163" spans="2:66" hidden="1" x14ac:dyDescent="0.35">
      <c r="B163" s="77" t="s">
        <v>243</v>
      </c>
      <c r="C163" s="77" t="s">
        <v>89</v>
      </c>
      <c r="D163" s="77" t="s">
        <v>763</v>
      </c>
      <c r="E163" s="77" t="s">
        <v>762</v>
      </c>
      <c r="AK163" s="77">
        <v>0.65269999999999995</v>
      </c>
      <c r="AM163" s="77">
        <v>0.77529999999999999</v>
      </c>
      <c r="AP163" s="77">
        <v>1.3922000000000001</v>
      </c>
      <c r="AX163" s="77">
        <v>2.8544</v>
      </c>
      <c r="BA163" s="77">
        <v>4.5789999999999997</v>
      </c>
      <c r="BC163" s="77">
        <v>5.2073</v>
      </c>
      <c r="BD163" s="77">
        <v>5.1247999999999996</v>
      </c>
      <c r="BH163" s="77">
        <v>5.7226999999999997</v>
      </c>
      <c r="BI163" s="77">
        <v>7.1463000000000001</v>
      </c>
      <c r="BJ163" s="77">
        <v>3.9504000000000001</v>
      </c>
      <c r="BN163" s="78">
        <f t="shared" si="2"/>
        <v>3.9504000000000001</v>
      </c>
    </row>
    <row r="164" spans="2:66" hidden="1" x14ac:dyDescent="0.35">
      <c r="B164" s="77" t="s">
        <v>465</v>
      </c>
      <c r="C164" s="77" t="s">
        <v>466</v>
      </c>
      <c r="D164" s="77" t="s">
        <v>763</v>
      </c>
      <c r="E164" s="77" t="s">
        <v>762</v>
      </c>
      <c r="BI164" s="77">
        <v>2.3152418654853513</v>
      </c>
      <c r="BN164" s="78">
        <f t="shared" si="2"/>
        <v>2.3152418654853513</v>
      </c>
    </row>
    <row r="165" spans="2:66" hidden="1" x14ac:dyDescent="0.35">
      <c r="B165" s="77" t="s">
        <v>462</v>
      </c>
      <c r="C165" s="77" t="s">
        <v>90</v>
      </c>
      <c r="D165" s="77" t="s">
        <v>763</v>
      </c>
      <c r="E165" s="77" t="s">
        <v>762</v>
      </c>
      <c r="AT165" s="77">
        <v>0.87180000000000002</v>
      </c>
      <c r="AX165" s="77">
        <v>3.98</v>
      </c>
      <c r="BC165" s="77">
        <v>2.371</v>
      </c>
      <c r="BD165" s="77">
        <v>2.3454999999999999</v>
      </c>
      <c r="BE165" s="77">
        <v>2.4378000000000002</v>
      </c>
      <c r="BF165" s="77">
        <v>2.4738000000000002</v>
      </c>
      <c r="BG165" s="77">
        <v>2.5335000000000001</v>
      </c>
      <c r="BH165" s="77">
        <v>2.5964</v>
      </c>
      <c r="BI165" s="77">
        <v>2.6686000000000001</v>
      </c>
      <c r="BJ165" s="77">
        <v>2.9</v>
      </c>
      <c r="BN165" s="78">
        <f t="shared" si="2"/>
        <v>2.9</v>
      </c>
    </row>
    <row r="166" spans="2:66" hidden="1" x14ac:dyDescent="0.35">
      <c r="B166" s="77" t="s">
        <v>461</v>
      </c>
      <c r="C166" s="77" t="s">
        <v>91</v>
      </c>
      <c r="D166" s="77" t="s">
        <v>763</v>
      </c>
      <c r="E166" s="77" t="s">
        <v>762</v>
      </c>
      <c r="AT166" s="77">
        <v>2.98</v>
      </c>
      <c r="BA166" s="77">
        <v>3.6084000000000001</v>
      </c>
      <c r="BB166" s="77">
        <v>2.6030000000000002</v>
      </c>
      <c r="BD166" s="77">
        <v>2.4237000000000002</v>
      </c>
      <c r="BE166" s="77">
        <v>3.7143000000000002</v>
      </c>
      <c r="BF166" s="77">
        <v>3.5484</v>
      </c>
      <c r="BN166" s="78">
        <f t="shared" si="2"/>
        <v>3.5484</v>
      </c>
    </row>
    <row r="167" spans="2:66" hidden="1" x14ac:dyDescent="0.35">
      <c r="B167" s="77" t="s">
        <v>471</v>
      </c>
      <c r="C167" s="77" t="s">
        <v>472</v>
      </c>
      <c r="D167" s="77" t="s">
        <v>763</v>
      </c>
      <c r="E167" s="77" t="s">
        <v>762</v>
      </c>
      <c r="AJ167" s="77">
        <v>0.67583429761456226</v>
      </c>
      <c r="AT167" s="77">
        <v>1.3681970724435639</v>
      </c>
      <c r="BI167" s="77">
        <v>2.5888793548886535</v>
      </c>
      <c r="BN167" s="78">
        <f t="shared" si="2"/>
        <v>2.5888793548886535</v>
      </c>
    </row>
    <row r="168" spans="2:66" hidden="1" x14ac:dyDescent="0.35">
      <c r="B168" s="77" t="s">
        <v>483</v>
      </c>
      <c r="C168" s="77" t="s">
        <v>484</v>
      </c>
      <c r="D168" s="77" t="s">
        <v>763</v>
      </c>
      <c r="E168" s="77" t="s">
        <v>762</v>
      </c>
      <c r="AZ168" s="77">
        <v>4.34</v>
      </c>
      <c r="BB168" s="77">
        <v>0.61199999999999999</v>
      </c>
      <c r="BD168" s="77">
        <v>4.7805</v>
      </c>
      <c r="BE168" s="77">
        <v>4.7702999999999998</v>
      </c>
      <c r="BF168" s="77">
        <v>4.7237</v>
      </c>
      <c r="BG168" s="77">
        <v>4.7545000000000002</v>
      </c>
      <c r="BI168" s="77">
        <v>3.7917000000000001</v>
      </c>
      <c r="BN168" s="78">
        <f t="shared" si="2"/>
        <v>3.7917000000000001</v>
      </c>
    </row>
    <row r="169" spans="2:66" hidden="1" x14ac:dyDescent="0.35">
      <c r="B169" s="77" t="s">
        <v>204</v>
      </c>
      <c r="C169" s="77" t="s">
        <v>92</v>
      </c>
      <c r="D169" s="77" t="s">
        <v>763</v>
      </c>
      <c r="E169" s="77" t="s">
        <v>762</v>
      </c>
      <c r="AX169" s="77">
        <v>0.67290000000000005</v>
      </c>
      <c r="BA169" s="77">
        <v>0.2107</v>
      </c>
      <c r="BB169" s="77">
        <v>0.29699999999999999</v>
      </c>
      <c r="BC169" s="77">
        <v>0.443</v>
      </c>
      <c r="BD169" s="77">
        <v>0.44540000000000002</v>
      </c>
      <c r="BE169" s="77">
        <v>0.36709999999999998</v>
      </c>
      <c r="BF169" s="77">
        <v>0.3765</v>
      </c>
      <c r="BJ169" s="77">
        <v>0.38200000000000001</v>
      </c>
      <c r="BN169" s="78">
        <f t="shared" si="2"/>
        <v>0.38200000000000001</v>
      </c>
    </row>
    <row r="170" spans="2:66" hidden="1" x14ac:dyDescent="0.35">
      <c r="B170" s="77" t="s">
        <v>460</v>
      </c>
      <c r="C170" s="77" t="s">
        <v>93</v>
      </c>
      <c r="D170" s="77" t="s">
        <v>763</v>
      </c>
      <c r="E170" s="77" t="s">
        <v>762</v>
      </c>
      <c r="AZ170" s="77">
        <v>5.98</v>
      </c>
      <c r="BA170" s="77">
        <v>6.2720000000000002</v>
      </c>
      <c r="BC170" s="77">
        <v>6.6310000000000002</v>
      </c>
      <c r="BD170" s="77">
        <v>7.1858000000000004</v>
      </c>
      <c r="BE170" s="77">
        <v>7.4474</v>
      </c>
      <c r="BF170" s="77">
        <v>7.4596</v>
      </c>
      <c r="BG170" s="77">
        <v>7.8639000000000001</v>
      </c>
      <c r="BH170" s="77">
        <v>8.9145000000000003</v>
      </c>
      <c r="BI170" s="77">
        <v>8.9499999999999993</v>
      </c>
      <c r="BN170" s="78">
        <f t="shared" si="2"/>
        <v>8.9499999999999993</v>
      </c>
    </row>
    <row r="171" spans="2:66" hidden="1" x14ac:dyDescent="0.35">
      <c r="B171" s="77" t="s">
        <v>244</v>
      </c>
      <c r="C171" s="77" t="s">
        <v>94</v>
      </c>
      <c r="D171" s="77" t="s">
        <v>763</v>
      </c>
      <c r="E171" s="77" t="s">
        <v>762</v>
      </c>
      <c r="AY171" s="77">
        <v>0.75329999999999997</v>
      </c>
      <c r="AZ171" s="77">
        <v>0.79390000000000005</v>
      </c>
      <c r="BA171" s="77">
        <v>0.81599999999999995</v>
      </c>
      <c r="BB171" s="77">
        <v>0.83720000000000006</v>
      </c>
      <c r="BC171" s="77">
        <v>0.86929999999999996</v>
      </c>
      <c r="BD171" s="77">
        <v>0.9012</v>
      </c>
      <c r="BE171" s="77">
        <v>0.92920000000000003</v>
      </c>
      <c r="BF171" s="77">
        <v>0.95850000000000002</v>
      </c>
      <c r="BI171" s="77">
        <v>0.38240000000000002</v>
      </c>
      <c r="BJ171" s="77">
        <v>1.0375000000000001</v>
      </c>
      <c r="BK171" s="77">
        <v>0.97940000000000005</v>
      </c>
      <c r="BN171" s="78">
        <f t="shared" si="2"/>
        <v>0.97940000000000005</v>
      </c>
    </row>
    <row r="172" spans="2:66" hidden="1" x14ac:dyDescent="0.35">
      <c r="B172" s="77" t="s">
        <v>467</v>
      </c>
      <c r="C172" s="77" t="s">
        <v>468</v>
      </c>
      <c r="D172" s="77" t="s">
        <v>763</v>
      </c>
      <c r="E172" s="77" t="s">
        <v>762</v>
      </c>
      <c r="BI172" s="77">
        <v>1.752603675461049</v>
      </c>
      <c r="BN172" s="78">
        <f t="shared" si="2"/>
        <v>1.752603675461049</v>
      </c>
    </row>
    <row r="173" spans="2:66" hidden="1" x14ac:dyDescent="0.35">
      <c r="B173" s="77" t="s">
        <v>475</v>
      </c>
      <c r="C173" s="77" t="s">
        <v>95</v>
      </c>
      <c r="D173" s="77" t="s">
        <v>763</v>
      </c>
      <c r="E173" s="77" t="s">
        <v>762</v>
      </c>
      <c r="AZ173" s="77">
        <v>5.65</v>
      </c>
      <c r="BA173" s="77">
        <v>5.54</v>
      </c>
      <c r="BC173" s="77">
        <v>5.7930000000000001</v>
      </c>
      <c r="BD173" s="77">
        <v>5.6736000000000004</v>
      </c>
      <c r="BE173" s="77">
        <v>5.4980000000000002</v>
      </c>
      <c r="BF173" s="77">
        <v>5.3113000000000001</v>
      </c>
      <c r="BG173" s="77">
        <v>5.7821999999999996</v>
      </c>
      <c r="BH173" s="77">
        <v>5.8243999999999998</v>
      </c>
      <c r="BI173" s="77">
        <v>5.7179000000000002</v>
      </c>
      <c r="BN173" s="78">
        <f t="shared" si="2"/>
        <v>5.7179000000000002</v>
      </c>
    </row>
    <row r="174" spans="2:66" hidden="1" x14ac:dyDescent="0.35">
      <c r="B174" s="77" t="s">
        <v>250</v>
      </c>
      <c r="C174" s="77" t="s">
        <v>96</v>
      </c>
      <c r="D174" s="77" t="s">
        <v>763</v>
      </c>
      <c r="E174" s="77" t="s">
        <v>762</v>
      </c>
      <c r="AV174" s="77">
        <v>3.6116999999999999</v>
      </c>
      <c r="BB174" s="77">
        <v>3.6547000000000001</v>
      </c>
      <c r="BC174" s="77">
        <v>3.6297000000000001</v>
      </c>
      <c r="BD174" s="77">
        <v>3.6406999999999998</v>
      </c>
      <c r="BE174" s="77">
        <v>3.673</v>
      </c>
      <c r="BF174" s="77">
        <v>3.7965</v>
      </c>
      <c r="BG174" s="77">
        <v>3.8214000000000001</v>
      </c>
      <c r="BH174" s="77">
        <v>4.048</v>
      </c>
      <c r="BJ174" s="77">
        <v>3.9845999999999999</v>
      </c>
      <c r="BN174" s="78">
        <f t="shared" si="2"/>
        <v>3.9845999999999999</v>
      </c>
    </row>
    <row r="175" spans="2:66" hidden="1" x14ac:dyDescent="0.35">
      <c r="B175" s="77" t="s">
        <v>485</v>
      </c>
      <c r="C175" s="77" t="s">
        <v>486</v>
      </c>
      <c r="D175" s="77" t="s">
        <v>763</v>
      </c>
      <c r="E175" s="77" t="s">
        <v>762</v>
      </c>
      <c r="BN175" s="78" t="str">
        <f t="shared" si="2"/>
        <v>No reported value</v>
      </c>
    </row>
    <row r="176" spans="2:66" hidden="1" x14ac:dyDescent="0.35">
      <c r="B176" s="77" t="s">
        <v>207</v>
      </c>
      <c r="C176" s="77" t="s">
        <v>97</v>
      </c>
      <c r="D176" s="77" t="s">
        <v>763</v>
      </c>
      <c r="E176" s="77" t="s">
        <v>762</v>
      </c>
      <c r="AX176" s="77">
        <v>0.3044</v>
      </c>
      <c r="AZ176" s="77">
        <v>0.28839999999999999</v>
      </c>
      <c r="BA176" s="77">
        <v>0.52190000000000003</v>
      </c>
      <c r="BB176" s="77">
        <v>0.34100000000000003</v>
      </c>
      <c r="BC176" s="77">
        <v>0.38429999999999997</v>
      </c>
      <c r="BD176" s="77">
        <v>0.39250000000000002</v>
      </c>
      <c r="BE176" s="77">
        <v>0.38100000000000001</v>
      </c>
      <c r="BF176" s="77">
        <v>0.39279999999999998</v>
      </c>
      <c r="BG176" s="77">
        <v>0.4017</v>
      </c>
      <c r="BK176" s="77">
        <v>0.44359999999999999</v>
      </c>
      <c r="BN176" s="78">
        <f t="shared" si="2"/>
        <v>0.44359999999999999</v>
      </c>
    </row>
    <row r="177" spans="2:66" hidden="1" x14ac:dyDescent="0.35">
      <c r="B177" s="77" t="s">
        <v>205</v>
      </c>
      <c r="C177" s="77" t="s">
        <v>98</v>
      </c>
      <c r="D177" s="77" t="s">
        <v>763</v>
      </c>
      <c r="E177" s="77" t="s">
        <v>762</v>
      </c>
      <c r="AX177" s="77">
        <v>0.62209999999999999</v>
      </c>
      <c r="BC177" s="77">
        <v>0.65680000000000005</v>
      </c>
      <c r="BD177" s="77">
        <v>0.77659999999999996</v>
      </c>
      <c r="BG177" s="77">
        <v>0.66700000000000004</v>
      </c>
      <c r="BH177" s="77">
        <v>0.94640000000000002</v>
      </c>
      <c r="BI177" s="77">
        <v>0.98919999999999997</v>
      </c>
      <c r="BK177" s="77">
        <v>1.0341</v>
      </c>
      <c r="BN177" s="78">
        <f t="shared" si="2"/>
        <v>1.0341</v>
      </c>
    </row>
    <row r="178" spans="2:66" hidden="1" x14ac:dyDescent="0.35">
      <c r="B178" s="77" t="s">
        <v>206</v>
      </c>
      <c r="C178" s="77" t="s">
        <v>99</v>
      </c>
      <c r="D178" s="77" t="s">
        <v>763</v>
      </c>
      <c r="E178" s="77" t="s">
        <v>762</v>
      </c>
      <c r="AX178" s="77">
        <v>3.7871000000000001</v>
      </c>
      <c r="BA178" s="77">
        <v>2.6743999999999999</v>
      </c>
      <c r="BB178" s="77">
        <v>2.7435</v>
      </c>
      <c r="BC178" s="77">
        <v>2.8134999999999999</v>
      </c>
      <c r="BD178" s="77">
        <v>2.8845999999999998</v>
      </c>
      <c r="BE178" s="77">
        <v>2.9337</v>
      </c>
      <c r="BF178" s="77">
        <v>2.9815</v>
      </c>
      <c r="BG178" s="77">
        <v>3.157</v>
      </c>
      <c r="BH178" s="77">
        <v>3.2810999999999999</v>
      </c>
      <c r="BI178" s="77">
        <v>3.3831000000000002</v>
      </c>
      <c r="BN178" s="78">
        <f t="shared" si="2"/>
        <v>3.3831000000000002</v>
      </c>
    </row>
    <row r="179" spans="2:66" hidden="1" x14ac:dyDescent="0.35">
      <c r="B179" s="77" t="s">
        <v>203</v>
      </c>
      <c r="C179" s="77" t="s">
        <v>100</v>
      </c>
      <c r="D179" s="77" t="s">
        <v>763</v>
      </c>
      <c r="E179" s="77" t="s">
        <v>762</v>
      </c>
      <c r="AX179" s="77">
        <v>0.57310000000000005</v>
      </c>
      <c r="BB179" s="77">
        <v>0.27300000000000002</v>
      </c>
      <c r="BC179" s="77">
        <v>0.32700000000000001</v>
      </c>
      <c r="BD179" s="77">
        <v>0.28299999999999997</v>
      </c>
      <c r="BJ179" s="77">
        <v>0.25280000000000002</v>
      </c>
      <c r="BN179" s="78">
        <f t="shared" si="2"/>
        <v>0.25280000000000002</v>
      </c>
    </row>
    <row r="180" spans="2:66" hidden="1" x14ac:dyDescent="0.35">
      <c r="B180" s="77" t="s">
        <v>459</v>
      </c>
      <c r="C180" s="77" t="s">
        <v>101</v>
      </c>
      <c r="D180" s="77" t="s">
        <v>763</v>
      </c>
      <c r="E180" s="77" t="s">
        <v>762</v>
      </c>
      <c r="AT180" s="77">
        <v>1.6752</v>
      </c>
      <c r="AV180" s="77">
        <v>1.7927</v>
      </c>
      <c r="BB180" s="77">
        <v>2.6869999999999998</v>
      </c>
      <c r="BD180" s="77">
        <v>3.2084999999999999</v>
      </c>
      <c r="BE180" s="77">
        <v>3.3893</v>
      </c>
      <c r="BF180" s="77">
        <v>3.8008000000000002</v>
      </c>
      <c r="BI180" s="77">
        <v>4.0717999999999996</v>
      </c>
      <c r="BN180" s="78">
        <f t="shared" si="2"/>
        <v>4.0717999999999996</v>
      </c>
    </row>
    <row r="181" spans="2:66" hidden="1" x14ac:dyDescent="0.35">
      <c r="B181" s="77" t="s">
        <v>481</v>
      </c>
      <c r="C181" s="77" t="s">
        <v>482</v>
      </c>
      <c r="D181" s="77" t="s">
        <v>763</v>
      </c>
      <c r="E181" s="77" t="s">
        <v>762</v>
      </c>
      <c r="AT181" s="77">
        <v>9.5206778919466224</v>
      </c>
      <c r="BI181" s="77">
        <v>8.6857819108011327</v>
      </c>
      <c r="BN181" s="78">
        <f t="shared" si="2"/>
        <v>8.6857819108011327</v>
      </c>
    </row>
    <row r="182" spans="2:66" hidden="1" x14ac:dyDescent="0.35">
      <c r="B182" s="77" t="s">
        <v>208</v>
      </c>
      <c r="C182" s="77" t="s">
        <v>102</v>
      </c>
      <c r="D182" s="77" t="s">
        <v>763</v>
      </c>
      <c r="E182" s="77" t="s">
        <v>762</v>
      </c>
      <c r="AX182" s="77">
        <v>3.0583999999999998</v>
      </c>
      <c r="BA182" s="77">
        <v>2.7646000000000002</v>
      </c>
      <c r="BD182" s="77">
        <v>2.7749999999999999</v>
      </c>
      <c r="BN182" s="78">
        <f t="shared" si="2"/>
        <v>2.7749999999999999</v>
      </c>
    </row>
    <row r="183" spans="2:66" hidden="1" x14ac:dyDescent="0.35">
      <c r="B183" s="77" t="s">
        <v>478</v>
      </c>
      <c r="C183" s="77" t="s">
        <v>479</v>
      </c>
      <c r="D183" s="77" t="s">
        <v>763</v>
      </c>
      <c r="E183" s="77" t="s">
        <v>762</v>
      </c>
      <c r="BN183" s="78" t="str">
        <f t="shared" si="2"/>
        <v>No reported value</v>
      </c>
    </row>
    <row r="184" spans="2:66" hidden="1" x14ac:dyDescent="0.35">
      <c r="B184" s="77" t="s">
        <v>209</v>
      </c>
      <c r="C184" s="77" t="s">
        <v>103</v>
      </c>
      <c r="D184" s="77" t="s">
        <v>763</v>
      </c>
      <c r="E184" s="77" t="s">
        <v>762</v>
      </c>
      <c r="AX184" s="77">
        <v>0.2147</v>
      </c>
      <c r="BB184" s="77">
        <v>0.1389</v>
      </c>
      <c r="BC184" s="77">
        <v>0.20430000000000001</v>
      </c>
      <c r="BD184" s="77">
        <v>0.13700000000000001</v>
      </c>
      <c r="BG184" s="77">
        <v>0.24149999999999999</v>
      </c>
      <c r="BH184" s="77">
        <v>0.31090000000000001</v>
      </c>
      <c r="BN184" s="78">
        <f t="shared" si="2"/>
        <v>0.31090000000000001</v>
      </c>
    </row>
    <row r="185" spans="2:66" hidden="1" x14ac:dyDescent="0.35">
      <c r="B185" s="77" t="s">
        <v>177</v>
      </c>
      <c r="C185" s="77" t="s">
        <v>104</v>
      </c>
      <c r="D185" s="77" t="s">
        <v>763</v>
      </c>
      <c r="E185" s="77" t="s">
        <v>762</v>
      </c>
      <c r="AW185" s="77">
        <v>1.5935999999999999</v>
      </c>
      <c r="AY185" s="77">
        <v>1.5361</v>
      </c>
      <c r="AZ185" s="77">
        <v>1.5025999999999999</v>
      </c>
      <c r="BA185" s="77">
        <v>1.4984999999999999</v>
      </c>
      <c r="BB185" s="77">
        <v>1.4962</v>
      </c>
      <c r="BC185" s="77">
        <v>1.0762</v>
      </c>
      <c r="BD185" s="77">
        <v>1.3561000000000001</v>
      </c>
      <c r="BG185" s="77">
        <v>1.4523999999999999</v>
      </c>
      <c r="BN185" s="78">
        <f t="shared" si="2"/>
        <v>1.4523999999999999</v>
      </c>
    </row>
    <row r="186" spans="2:66" hidden="1" x14ac:dyDescent="0.35">
      <c r="B186" s="77" t="s">
        <v>227</v>
      </c>
      <c r="C186" s="77" t="s">
        <v>105</v>
      </c>
      <c r="D186" s="77" t="s">
        <v>763</v>
      </c>
      <c r="E186" s="77" t="s">
        <v>762</v>
      </c>
      <c r="AW186" s="77">
        <v>1.1185</v>
      </c>
      <c r="AY186" s="77">
        <v>1.17</v>
      </c>
      <c r="AZ186" s="77">
        <v>1.1713</v>
      </c>
      <c r="BA186" s="77">
        <v>1.1970000000000001</v>
      </c>
      <c r="BB186" s="77">
        <v>1.3084</v>
      </c>
      <c r="BC186" s="77">
        <v>1.3209</v>
      </c>
      <c r="BD186" s="77">
        <v>1.2838000000000001</v>
      </c>
      <c r="BE186" s="77">
        <v>1.3880999999999999</v>
      </c>
      <c r="BF186" s="77">
        <v>1.3940999999999999</v>
      </c>
      <c r="BG186" s="77">
        <v>1.3864000000000001</v>
      </c>
      <c r="BH186" s="77">
        <v>1.3838999999999999</v>
      </c>
      <c r="BL186" s="77">
        <v>1.5774999999999999</v>
      </c>
      <c r="BN186" s="78">
        <f t="shared" si="2"/>
        <v>1.5774999999999999</v>
      </c>
    </row>
    <row r="187" spans="2:66" hidden="1" x14ac:dyDescent="0.35">
      <c r="B187" s="77" t="s">
        <v>477</v>
      </c>
      <c r="C187" s="77" t="s">
        <v>106</v>
      </c>
      <c r="D187" s="77" t="s">
        <v>763</v>
      </c>
      <c r="E187" s="77" t="s">
        <v>762</v>
      </c>
      <c r="AZ187" s="77">
        <v>14.61</v>
      </c>
      <c r="BA187" s="77">
        <v>15.145</v>
      </c>
      <c r="BB187" s="77">
        <v>8.5169999999999995</v>
      </c>
      <c r="BH187" s="77">
        <v>10.5284</v>
      </c>
      <c r="BI187" s="77">
        <v>10.467499999999999</v>
      </c>
      <c r="BJ187" s="77">
        <v>11.1043</v>
      </c>
      <c r="BN187" s="78">
        <f t="shared" si="2"/>
        <v>11.1043</v>
      </c>
    </row>
    <row r="188" spans="2:66" hidden="1" x14ac:dyDescent="0.35">
      <c r="B188" s="77" t="s">
        <v>487</v>
      </c>
      <c r="C188" s="77" t="s">
        <v>107</v>
      </c>
      <c r="D188" s="77" t="s">
        <v>763</v>
      </c>
      <c r="E188" s="77" t="s">
        <v>762</v>
      </c>
      <c r="AZ188" s="77">
        <v>16.22</v>
      </c>
      <c r="BA188" s="77">
        <v>16.329000000000001</v>
      </c>
      <c r="BB188" s="77">
        <v>14.76</v>
      </c>
      <c r="BC188" s="77">
        <v>31.1431</v>
      </c>
      <c r="BD188" s="77">
        <v>17.1921</v>
      </c>
      <c r="BE188" s="77">
        <v>17.491700000000002</v>
      </c>
      <c r="BF188" s="77">
        <v>17.6343</v>
      </c>
      <c r="BG188" s="77">
        <v>17.7637</v>
      </c>
      <c r="BH188" s="77">
        <v>17.985299999999999</v>
      </c>
      <c r="BI188" s="77">
        <v>17.862200000000001</v>
      </c>
      <c r="BJ188" s="77">
        <v>17.979299999999999</v>
      </c>
      <c r="BK188" s="77">
        <v>18.124700000000001</v>
      </c>
      <c r="BN188" s="78">
        <f t="shared" si="2"/>
        <v>18.124700000000001</v>
      </c>
    </row>
    <row r="189" spans="2:66" hidden="1" x14ac:dyDescent="0.35">
      <c r="B189" s="77" t="s">
        <v>179</v>
      </c>
      <c r="C189" s="77" t="s">
        <v>108</v>
      </c>
      <c r="D189" s="77" t="s">
        <v>763</v>
      </c>
      <c r="E189" s="77" t="s">
        <v>762</v>
      </c>
      <c r="AX189" s="77">
        <v>0.4672</v>
      </c>
      <c r="BF189" s="77">
        <v>1.5599000000000001</v>
      </c>
      <c r="BG189" s="77">
        <v>1.8013999999999999</v>
      </c>
      <c r="BH189" s="77">
        <v>2.0299999999999998</v>
      </c>
      <c r="BK189" s="77">
        <v>2.6854</v>
      </c>
      <c r="BN189" s="78">
        <f t="shared" si="2"/>
        <v>2.6854</v>
      </c>
    </row>
    <row r="190" spans="2:66" hidden="1" x14ac:dyDescent="0.35">
      <c r="B190" s="77" t="s">
        <v>251</v>
      </c>
      <c r="C190" s="77" t="s">
        <v>109</v>
      </c>
      <c r="D190" s="77" t="s">
        <v>763</v>
      </c>
      <c r="E190" s="77" t="s">
        <v>762</v>
      </c>
      <c r="AO190" s="77">
        <v>6</v>
      </c>
      <c r="AX190" s="77">
        <v>6.2375999999999996</v>
      </c>
      <c r="BB190" s="77">
        <v>6.9696999999999996</v>
      </c>
      <c r="BE190" s="77">
        <v>6.8627000000000002</v>
      </c>
      <c r="BI190" s="77">
        <v>6.1947000000000001</v>
      </c>
      <c r="BN190" s="78">
        <f t="shared" si="2"/>
        <v>6.1947000000000001</v>
      </c>
    </row>
    <row r="191" spans="2:66" hidden="1" x14ac:dyDescent="0.35">
      <c r="B191" s="77" t="s">
        <v>480</v>
      </c>
      <c r="C191" s="77" t="s">
        <v>110</v>
      </c>
      <c r="D191" s="77" t="s">
        <v>763</v>
      </c>
      <c r="E191" s="77" t="s">
        <v>762</v>
      </c>
      <c r="AT191" s="77">
        <v>7.9916999999999998</v>
      </c>
      <c r="AU191" s="77">
        <v>8.5082000000000004</v>
      </c>
      <c r="AW191" s="77">
        <v>8.91</v>
      </c>
      <c r="BA191" s="77">
        <v>10.510300000000001</v>
      </c>
      <c r="BD191" s="77">
        <v>10.576000000000001</v>
      </c>
      <c r="BE191" s="77">
        <v>10.6174</v>
      </c>
      <c r="BF191" s="77">
        <v>10.5177</v>
      </c>
      <c r="BG191" s="77">
        <v>10.520899999999999</v>
      </c>
      <c r="BH191" s="77">
        <v>10.5512</v>
      </c>
      <c r="BI191" s="77">
        <v>10.7919</v>
      </c>
      <c r="BJ191" s="77">
        <v>10.9198</v>
      </c>
      <c r="BK191" s="77">
        <v>10.955</v>
      </c>
      <c r="BN191" s="78">
        <f t="shared" si="2"/>
        <v>10.955</v>
      </c>
    </row>
    <row r="192" spans="2:66" hidden="1" x14ac:dyDescent="0.35">
      <c r="B192" s="77" t="s">
        <v>490</v>
      </c>
      <c r="C192" s="77" t="s">
        <v>491</v>
      </c>
      <c r="D192" s="77" t="s">
        <v>763</v>
      </c>
      <c r="E192" s="77" t="s">
        <v>762</v>
      </c>
      <c r="AT192" s="77">
        <v>6.9594903149691767</v>
      </c>
      <c r="BI192" s="77">
        <v>8.0446854465695399</v>
      </c>
      <c r="BN192" s="78">
        <f t="shared" si="2"/>
        <v>8.0446854465695399</v>
      </c>
    </row>
    <row r="193" spans="2:66" hidden="1" x14ac:dyDescent="0.35">
      <c r="B193" s="77" t="s">
        <v>492</v>
      </c>
      <c r="C193" s="77" t="s">
        <v>111</v>
      </c>
      <c r="D193" s="77" t="s">
        <v>763</v>
      </c>
      <c r="E193" s="77" t="s">
        <v>762</v>
      </c>
      <c r="AJ193" s="77">
        <v>2.2884000000000002</v>
      </c>
      <c r="AO193" s="77">
        <v>2.7383000000000002</v>
      </c>
      <c r="AQ193" s="77">
        <v>2.5745</v>
      </c>
      <c r="AR193" s="77">
        <v>2.8264999999999998</v>
      </c>
      <c r="AS193" s="77">
        <v>2.8551000000000002</v>
      </c>
      <c r="AT193" s="77">
        <v>3.4519000000000002</v>
      </c>
      <c r="AX193" s="77">
        <v>3.5773999999999999</v>
      </c>
      <c r="AY193" s="77">
        <v>3.6941000000000002</v>
      </c>
      <c r="AZ193" s="77">
        <v>3.7223999999999999</v>
      </c>
      <c r="BA193" s="77">
        <v>3.9034</v>
      </c>
      <c r="BB193" s="77">
        <v>4.0713999999999997</v>
      </c>
      <c r="BC193" s="77">
        <v>4.1977000000000002</v>
      </c>
      <c r="BD193" s="77">
        <v>4.2298</v>
      </c>
      <c r="BE193" s="77">
        <v>4.3981000000000003</v>
      </c>
      <c r="BF193" s="77">
        <v>4.5105000000000004</v>
      </c>
      <c r="BG193" s="77">
        <v>4.5614999999999997</v>
      </c>
      <c r="BH193" s="77">
        <v>4.7450999999999999</v>
      </c>
      <c r="BI193" s="77">
        <v>4.6028000000000002</v>
      </c>
      <c r="BJ193" s="77">
        <v>4.4657</v>
      </c>
      <c r="BK193" s="77">
        <v>4.3003999999999998</v>
      </c>
      <c r="BN193" s="78">
        <f t="shared" si="2"/>
        <v>4.3003999999999998</v>
      </c>
    </row>
    <row r="194" spans="2:66" hidden="1" x14ac:dyDescent="0.35">
      <c r="B194" s="77" t="s">
        <v>493</v>
      </c>
      <c r="C194" s="77" t="s">
        <v>494</v>
      </c>
      <c r="D194" s="77" t="s">
        <v>763</v>
      </c>
      <c r="E194" s="77" t="s">
        <v>762</v>
      </c>
      <c r="BI194" s="77">
        <v>3.1396249440349466</v>
      </c>
      <c r="BN194" s="78">
        <f t="shared" si="2"/>
        <v>3.1396249440349466</v>
      </c>
    </row>
    <row r="195" spans="2:66" hidden="1" x14ac:dyDescent="0.35">
      <c r="B195" s="77" t="s">
        <v>176</v>
      </c>
      <c r="C195" s="77" t="s">
        <v>112</v>
      </c>
      <c r="D195" s="77" t="s">
        <v>763</v>
      </c>
      <c r="E195" s="77" t="s">
        <v>762</v>
      </c>
      <c r="AL195" s="77">
        <v>0.32590000000000002</v>
      </c>
      <c r="AM195" s="77">
        <v>0.33310000000000001</v>
      </c>
      <c r="AN195" s="77">
        <v>0.34379999999999999</v>
      </c>
      <c r="AO195" s="77">
        <v>0.34589999999999999</v>
      </c>
      <c r="AP195" s="77">
        <v>0.36870000000000003</v>
      </c>
      <c r="AQ195" s="77">
        <v>0.39119999999999999</v>
      </c>
      <c r="AR195" s="77">
        <v>0.41620000000000001</v>
      </c>
      <c r="AS195" s="77">
        <v>0.43109999999999998</v>
      </c>
      <c r="AT195" s="77">
        <v>0.4335</v>
      </c>
      <c r="AU195" s="77">
        <v>0.443</v>
      </c>
      <c r="AX195" s="77">
        <v>0.47599999999999998</v>
      </c>
      <c r="BB195" s="77">
        <v>0.55559999999999998</v>
      </c>
      <c r="BC195" s="77">
        <v>0.57189999999999996</v>
      </c>
      <c r="BD195" s="77">
        <v>0.58860000000000001</v>
      </c>
      <c r="BE195" s="77">
        <v>0.44600000000000001</v>
      </c>
      <c r="BH195" s="77">
        <v>0.60399999999999998</v>
      </c>
      <c r="BI195" s="77">
        <v>0.50039999999999996</v>
      </c>
      <c r="BN195" s="78">
        <f t="shared" si="2"/>
        <v>0.50039999999999996</v>
      </c>
    </row>
    <row r="196" spans="2:66" hidden="1" x14ac:dyDescent="0.35">
      <c r="B196" s="77" t="s">
        <v>499</v>
      </c>
      <c r="C196" s="77" t="s">
        <v>113</v>
      </c>
      <c r="D196" s="77" t="s">
        <v>763</v>
      </c>
      <c r="E196" s="77" t="s">
        <v>762</v>
      </c>
      <c r="AJ196" s="77">
        <v>0.99550000000000005</v>
      </c>
      <c r="AK196" s="77">
        <v>0.97419999999999995</v>
      </c>
      <c r="AL196" s="77">
        <v>0.96389999999999998</v>
      </c>
      <c r="AM196" s="77">
        <v>1.0065999999999999</v>
      </c>
      <c r="AN196" s="77">
        <v>1.0253000000000001</v>
      </c>
      <c r="AO196" s="77">
        <v>1.0443</v>
      </c>
      <c r="AP196" s="77">
        <v>1.0779000000000001</v>
      </c>
      <c r="AQ196" s="77">
        <v>1.1048</v>
      </c>
      <c r="AR196" s="77">
        <v>1.0935999999999999</v>
      </c>
      <c r="AS196" s="77">
        <v>1.1423000000000001</v>
      </c>
      <c r="AT196" s="77">
        <v>2.7650000000000001</v>
      </c>
      <c r="AU196" s="77">
        <v>1.8412999999999999</v>
      </c>
      <c r="AV196" s="77">
        <v>1.9162999999999999</v>
      </c>
      <c r="AW196" s="77">
        <v>2.1983999999999999</v>
      </c>
      <c r="AX196" s="77">
        <v>1.9907999999999999</v>
      </c>
      <c r="AY196" s="77">
        <v>2.0042</v>
      </c>
      <c r="AZ196" s="77">
        <v>2.0030000000000001</v>
      </c>
      <c r="BD196" s="77">
        <v>2.4761000000000002</v>
      </c>
      <c r="BE196" s="77">
        <v>2.3138000000000001</v>
      </c>
      <c r="BJ196" s="77">
        <v>1.41</v>
      </c>
      <c r="BN196" s="78">
        <f t="shared" si="2"/>
        <v>1.41</v>
      </c>
    </row>
    <row r="197" spans="2:66" hidden="1" x14ac:dyDescent="0.35">
      <c r="B197" s="77" t="s">
        <v>500</v>
      </c>
      <c r="C197" s="77" t="s">
        <v>114</v>
      </c>
      <c r="D197" s="77" t="s">
        <v>763</v>
      </c>
      <c r="E197" s="77" t="s">
        <v>762</v>
      </c>
      <c r="AS197" s="77">
        <v>0.66930000000000001</v>
      </c>
      <c r="BA197" s="77">
        <v>3.5920999999999998</v>
      </c>
      <c r="BC197" s="77">
        <v>1.2989999999999999</v>
      </c>
      <c r="BD197" s="77">
        <v>1.2709999999999999</v>
      </c>
      <c r="BF197" s="77">
        <v>1.4928999999999999</v>
      </c>
      <c r="BJ197" s="77">
        <v>1.35</v>
      </c>
      <c r="BN197" s="78">
        <f t="shared" si="2"/>
        <v>1.35</v>
      </c>
    </row>
    <row r="198" spans="2:66" hidden="1" x14ac:dyDescent="0.35">
      <c r="B198" s="77" t="s">
        <v>253</v>
      </c>
      <c r="C198" s="77" t="s">
        <v>115</v>
      </c>
      <c r="D198" s="77" t="s">
        <v>763</v>
      </c>
      <c r="E198" s="77" t="s">
        <v>762</v>
      </c>
      <c r="AT198" s="77">
        <v>4.3164999999999996</v>
      </c>
      <c r="AU198" s="77">
        <v>4.2984999999999998</v>
      </c>
      <c r="AV198" s="77">
        <v>4.2682000000000002</v>
      </c>
      <c r="AW198" s="77">
        <v>4.2375999999999996</v>
      </c>
      <c r="AX198" s="77">
        <v>4.2401999999999997</v>
      </c>
      <c r="AY198" s="77">
        <v>4.2778</v>
      </c>
      <c r="AZ198" s="77">
        <v>4.4088000000000003</v>
      </c>
      <c r="BA198" s="77">
        <v>4.6593999999999998</v>
      </c>
      <c r="BB198" s="77">
        <v>5.1306000000000003</v>
      </c>
      <c r="BC198" s="77">
        <v>5.6589</v>
      </c>
      <c r="BD198" s="77">
        <v>3.3348</v>
      </c>
      <c r="BI198" s="77">
        <v>0.24</v>
      </c>
      <c r="BN198" s="78">
        <f t="shared" si="2"/>
        <v>0.24</v>
      </c>
    </row>
    <row r="199" spans="2:66" hidden="1" x14ac:dyDescent="0.35">
      <c r="B199" s="77" t="s">
        <v>497</v>
      </c>
      <c r="C199" s="77" t="s">
        <v>498</v>
      </c>
      <c r="D199" s="77" t="s">
        <v>763</v>
      </c>
      <c r="E199" s="77" t="s">
        <v>762</v>
      </c>
      <c r="AR199" s="77">
        <v>6.1081000000000003</v>
      </c>
      <c r="AX199" s="77">
        <v>6.0606</v>
      </c>
      <c r="AZ199" s="77">
        <v>5.9</v>
      </c>
      <c r="BC199" s="77">
        <v>5.5171999999999999</v>
      </c>
      <c r="BD199" s="77">
        <v>5.8048999999999999</v>
      </c>
      <c r="BH199" s="77">
        <v>5.2606999999999999</v>
      </c>
      <c r="BN199" s="78">
        <f t="shared" si="2"/>
        <v>5.2606999999999999</v>
      </c>
    </row>
    <row r="200" spans="2:66" hidden="1" x14ac:dyDescent="0.35">
      <c r="B200" s="77" t="s">
        <v>252</v>
      </c>
      <c r="C200" s="77" t="s">
        <v>116</v>
      </c>
      <c r="D200" s="77" t="s">
        <v>763</v>
      </c>
      <c r="E200" s="77" t="s">
        <v>762</v>
      </c>
      <c r="AT200" s="77">
        <v>0.50990000000000002</v>
      </c>
      <c r="BB200" s="77">
        <v>0.41899999999999998</v>
      </c>
      <c r="BD200" s="77">
        <v>0.51249999999999996</v>
      </c>
      <c r="BN200" s="78">
        <f t="shared" si="2"/>
        <v>0.51249999999999996</v>
      </c>
    </row>
    <row r="201" spans="2:66" hidden="1" x14ac:dyDescent="0.35">
      <c r="B201" s="77" t="s">
        <v>501</v>
      </c>
      <c r="C201" s="77" t="s">
        <v>117</v>
      </c>
      <c r="D201" s="77" t="s">
        <v>763</v>
      </c>
      <c r="E201" s="77" t="s">
        <v>762</v>
      </c>
      <c r="AW201" s="77">
        <v>4.8949999999999996</v>
      </c>
      <c r="AY201" s="77">
        <v>5.18</v>
      </c>
      <c r="AZ201" s="77">
        <v>5.1870000000000003</v>
      </c>
      <c r="BB201" s="77">
        <v>5.73</v>
      </c>
      <c r="BD201" s="77">
        <v>6.4191000000000003</v>
      </c>
      <c r="BE201" s="77">
        <v>6.4267000000000003</v>
      </c>
      <c r="BF201" s="77">
        <v>6.7954999999999997</v>
      </c>
      <c r="BG201" s="77">
        <v>5.8319999999999999</v>
      </c>
      <c r="BH201" s="77">
        <v>5.7861000000000002</v>
      </c>
      <c r="BI201" s="77">
        <v>5.7453000000000003</v>
      </c>
      <c r="BJ201" s="77">
        <v>5.7221000000000002</v>
      </c>
      <c r="BN201" s="78">
        <f t="shared" si="2"/>
        <v>5.7221000000000002</v>
      </c>
    </row>
    <row r="202" spans="2:66" hidden="1" x14ac:dyDescent="0.35">
      <c r="B202" s="77" t="s">
        <v>505</v>
      </c>
      <c r="C202" s="77" t="s">
        <v>506</v>
      </c>
      <c r="D202" s="77" t="s">
        <v>763</v>
      </c>
      <c r="E202" s="77" t="s">
        <v>762</v>
      </c>
      <c r="BI202" s="77">
        <v>0.86118598428335402</v>
      </c>
      <c r="BN202" s="78">
        <f t="shared" si="2"/>
        <v>0.86118598428335402</v>
      </c>
    </row>
    <row r="203" spans="2:66" hidden="1" x14ac:dyDescent="0.35">
      <c r="B203" s="77" t="s">
        <v>507</v>
      </c>
      <c r="C203" s="77" t="s">
        <v>508</v>
      </c>
      <c r="D203" s="77" t="s">
        <v>763</v>
      </c>
      <c r="E203" s="77" t="s">
        <v>762</v>
      </c>
      <c r="BN203" s="78" t="str">
        <f t="shared" si="2"/>
        <v>No reported value</v>
      </c>
    </row>
    <row r="204" spans="2:66" hidden="1" x14ac:dyDescent="0.35">
      <c r="B204" s="77" t="s">
        <v>428</v>
      </c>
      <c r="C204" s="77" t="s">
        <v>158</v>
      </c>
      <c r="D204" s="77" t="s">
        <v>763</v>
      </c>
      <c r="E204" s="77" t="s">
        <v>762</v>
      </c>
      <c r="AW204" s="77">
        <v>3.9685999999999999</v>
      </c>
      <c r="BB204" s="77">
        <v>4.1409000000000002</v>
      </c>
      <c r="BE204" s="77">
        <v>4.0910000000000002</v>
      </c>
      <c r="BH204" s="77">
        <v>4.7256999999999998</v>
      </c>
      <c r="BK204" s="77">
        <v>4.4382000000000001</v>
      </c>
      <c r="BN204" s="78">
        <f t="shared" si="2"/>
        <v>4.4382000000000001</v>
      </c>
    </row>
    <row r="205" spans="2:66" hidden="1" x14ac:dyDescent="0.35">
      <c r="B205" s="77" t="s">
        <v>502</v>
      </c>
      <c r="C205" s="77" t="s">
        <v>118</v>
      </c>
      <c r="D205" s="77" t="s">
        <v>763</v>
      </c>
      <c r="E205" s="77" t="s">
        <v>762</v>
      </c>
      <c r="AV205" s="77">
        <v>4.0023</v>
      </c>
      <c r="AW205" s="77">
        <v>4.1811999999999996</v>
      </c>
      <c r="AX205" s="77">
        <v>4.3487</v>
      </c>
      <c r="AY205" s="77">
        <v>4.5576999999999996</v>
      </c>
      <c r="AZ205" s="77">
        <v>4.8071000000000002</v>
      </c>
      <c r="BA205" s="77">
        <v>5.0872999999999999</v>
      </c>
      <c r="BB205" s="77">
        <v>5.3236999999999997</v>
      </c>
      <c r="BC205" s="77">
        <v>5.5907999999999998</v>
      </c>
      <c r="BD205" s="77">
        <v>6.0793999999999997</v>
      </c>
      <c r="BE205" s="77">
        <v>6.2920999999999996</v>
      </c>
      <c r="BF205" s="77">
        <v>6.4120999999999997</v>
      </c>
      <c r="BG205" s="77">
        <v>6.4878</v>
      </c>
      <c r="BH205" s="77">
        <v>6.5788000000000002</v>
      </c>
      <c r="BJ205" s="77">
        <v>6.3724999999999996</v>
      </c>
      <c r="BN205" s="78">
        <f t="shared" ref="BN205:BN268" si="3">IFERROR(LOOKUP(2,1/(ISNUMBER(F205:BM205)),F205:BM205),"No reported value")</f>
        <v>6.3724999999999996</v>
      </c>
    </row>
    <row r="206" spans="2:66" hidden="1" x14ac:dyDescent="0.35">
      <c r="B206" s="77" t="s">
        <v>228</v>
      </c>
      <c r="C206" s="77" t="s">
        <v>119</v>
      </c>
      <c r="D206" s="77" t="s">
        <v>763</v>
      </c>
      <c r="E206" s="77" t="s">
        <v>762</v>
      </c>
      <c r="AV206" s="77">
        <v>1.8627</v>
      </c>
      <c r="BF206" s="77">
        <v>1.0486</v>
      </c>
      <c r="BK206" s="77">
        <v>0.39989999999999998</v>
      </c>
      <c r="BL206" s="77">
        <v>1.1669</v>
      </c>
      <c r="BN206" s="78">
        <f t="shared" si="3"/>
        <v>1.1669</v>
      </c>
    </row>
    <row r="207" spans="2:66" hidden="1" x14ac:dyDescent="0.35">
      <c r="B207" s="77" t="s">
        <v>567</v>
      </c>
      <c r="C207" s="77" t="s">
        <v>568</v>
      </c>
      <c r="D207" s="77" t="s">
        <v>763</v>
      </c>
      <c r="E207" s="77" t="s">
        <v>762</v>
      </c>
      <c r="BN207" s="78" t="str">
        <f t="shared" si="3"/>
        <v>No reported value</v>
      </c>
    </row>
    <row r="208" spans="2:66" hidden="1" x14ac:dyDescent="0.35">
      <c r="B208" s="77" t="s">
        <v>495</v>
      </c>
      <c r="C208" s="77" t="s">
        <v>496</v>
      </c>
      <c r="D208" s="77" t="s">
        <v>763</v>
      </c>
      <c r="E208" s="77" t="s">
        <v>762</v>
      </c>
      <c r="AT208" s="77">
        <v>2.0177303756968166</v>
      </c>
      <c r="BI208" s="77">
        <v>2.6663553305383778</v>
      </c>
      <c r="BN208" s="78">
        <f t="shared" si="3"/>
        <v>2.6663553305383778</v>
      </c>
    </row>
    <row r="209" spans="2:66" hidden="1" x14ac:dyDescent="0.35">
      <c r="B209" s="77" t="s">
        <v>503</v>
      </c>
      <c r="C209" s="77" t="s">
        <v>504</v>
      </c>
      <c r="D209" s="77" t="s">
        <v>763</v>
      </c>
      <c r="E209" s="77" t="s">
        <v>762</v>
      </c>
      <c r="BI209" s="77">
        <v>9.1628473489550117</v>
      </c>
      <c r="BN209" s="78">
        <f t="shared" si="3"/>
        <v>9.1628473489550117</v>
      </c>
    </row>
    <row r="210" spans="2:66" hidden="1" x14ac:dyDescent="0.35">
      <c r="B210" s="77" t="s">
        <v>396</v>
      </c>
      <c r="C210" s="77" t="s">
        <v>397</v>
      </c>
      <c r="D210" s="77" t="s">
        <v>763</v>
      </c>
      <c r="E210" s="77" t="s">
        <v>762</v>
      </c>
      <c r="BN210" s="78" t="str">
        <f t="shared" si="3"/>
        <v>No reported value</v>
      </c>
    </row>
    <row r="211" spans="2:66" hidden="1" x14ac:dyDescent="0.35">
      <c r="B211" s="77" t="s">
        <v>509</v>
      </c>
      <c r="C211" s="77" t="s">
        <v>120</v>
      </c>
      <c r="D211" s="77" t="s">
        <v>763</v>
      </c>
      <c r="E211" s="77" t="s">
        <v>762</v>
      </c>
      <c r="AU211" s="77">
        <v>4.9359999999999999</v>
      </c>
      <c r="AY211" s="77">
        <v>5.6422999999999996</v>
      </c>
      <c r="AZ211" s="77">
        <v>6.1212999999999997</v>
      </c>
      <c r="BB211" s="77">
        <v>6.0663999999999998</v>
      </c>
      <c r="BC211" s="77">
        <v>4.7743000000000002</v>
      </c>
      <c r="BD211" s="77">
        <v>5.9645000000000001</v>
      </c>
      <c r="BH211" s="77">
        <v>5.7998000000000003</v>
      </c>
      <c r="BJ211" s="77">
        <v>6.6028000000000002</v>
      </c>
      <c r="BN211" s="78">
        <f t="shared" si="3"/>
        <v>6.6028000000000002</v>
      </c>
    </row>
    <row r="212" spans="2:66" hidden="1" x14ac:dyDescent="0.35">
      <c r="B212" s="77" t="s">
        <v>510</v>
      </c>
      <c r="C212" s="77" t="s">
        <v>121</v>
      </c>
      <c r="D212" s="77" t="s">
        <v>763</v>
      </c>
      <c r="E212" s="77" t="s">
        <v>762</v>
      </c>
      <c r="AZ212" s="77">
        <v>4.1900000000000004</v>
      </c>
      <c r="BD212" s="77">
        <v>5.9238</v>
      </c>
      <c r="BE212" s="77">
        <v>6.0122</v>
      </c>
      <c r="BF212" s="77">
        <v>6.1369999999999996</v>
      </c>
      <c r="BG212" s="77">
        <v>6.3273000000000001</v>
      </c>
      <c r="BJ212" s="77">
        <v>6.0979000000000001</v>
      </c>
      <c r="BN212" s="78">
        <f t="shared" si="3"/>
        <v>6.0979000000000001</v>
      </c>
    </row>
    <row r="213" spans="2:66" hidden="1" x14ac:dyDescent="0.35">
      <c r="B213" s="77" t="s">
        <v>511</v>
      </c>
      <c r="C213" s="77" t="s">
        <v>122</v>
      </c>
      <c r="D213" s="77" t="s">
        <v>763</v>
      </c>
      <c r="E213" s="77" t="s">
        <v>762</v>
      </c>
      <c r="AZ213" s="77">
        <v>8.5190000000000001</v>
      </c>
      <c r="BD213" s="77">
        <v>7.2541000000000002</v>
      </c>
      <c r="BE213" s="77">
        <v>8.7461000000000002</v>
      </c>
      <c r="BF213" s="77">
        <v>8.4968000000000004</v>
      </c>
      <c r="BG213" s="77">
        <v>8.7802000000000007</v>
      </c>
      <c r="BH213" s="77">
        <v>8.9509000000000007</v>
      </c>
      <c r="BI213" s="77">
        <v>8.6567000000000007</v>
      </c>
      <c r="BJ213" s="77">
        <v>8.6212</v>
      </c>
      <c r="BN213" s="78">
        <f t="shared" si="3"/>
        <v>8.6212</v>
      </c>
    </row>
    <row r="214" spans="2:66" hidden="1" x14ac:dyDescent="0.35">
      <c r="B214" s="77" t="s">
        <v>210</v>
      </c>
      <c r="C214" s="77" t="s">
        <v>123</v>
      </c>
      <c r="D214" s="77" t="s">
        <v>763</v>
      </c>
      <c r="E214" s="77" t="s">
        <v>762</v>
      </c>
      <c r="AX214" s="77">
        <v>0.41299999999999998</v>
      </c>
      <c r="AY214" s="77">
        <v>0.44800000000000001</v>
      </c>
      <c r="BB214" s="77">
        <v>0.67500000000000004</v>
      </c>
      <c r="BC214" s="77">
        <v>0.66539999999999999</v>
      </c>
      <c r="BD214" s="77">
        <v>0.67800000000000005</v>
      </c>
      <c r="BI214" s="77">
        <v>0.83069999999999999</v>
      </c>
      <c r="BN214" s="78">
        <f t="shared" si="3"/>
        <v>0.83069999999999999</v>
      </c>
    </row>
    <row r="215" spans="2:66" hidden="1" x14ac:dyDescent="0.35">
      <c r="B215" s="77" t="s">
        <v>523</v>
      </c>
      <c r="C215" s="77" t="s">
        <v>524</v>
      </c>
      <c r="D215" s="77" t="s">
        <v>763</v>
      </c>
      <c r="E215" s="77" t="s">
        <v>762</v>
      </c>
      <c r="AJ215" s="77">
        <v>0.37753856491539367</v>
      </c>
      <c r="AT215" s="77">
        <v>1.0836319828399013</v>
      </c>
      <c r="BI215" s="77">
        <v>1.7372389586483101</v>
      </c>
      <c r="BN215" s="78">
        <f t="shared" si="3"/>
        <v>1.7372389586483101</v>
      </c>
    </row>
    <row r="216" spans="2:66" hidden="1" x14ac:dyDescent="0.35">
      <c r="B216" s="77" t="s">
        <v>513</v>
      </c>
      <c r="C216" s="77" t="s">
        <v>124</v>
      </c>
      <c r="D216" s="77" t="s">
        <v>763</v>
      </c>
      <c r="E216" s="77" t="s">
        <v>762</v>
      </c>
      <c r="AT216" s="77">
        <v>1.7576000000000001</v>
      </c>
      <c r="AX216" s="77">
        <v>2.97</v>
      </c>
      <c r="BA216" s="77">
        <v>3.6320000000000001</v>
      </c>
      <c r="BB216" s="77">
        <v>3.9049999999999998</v>
      </c>
      <c r="BC216" s="77">
        <v>4.1580000000000004</v>
      </c>
      <c r="BD216" s="77">
        <v>4.7324999999999999</v>
      </c>
      <c r="BE216" s="77">
        <v>4.7678000000000003</v>
      </c>
      <c r="BF216" s="77">
        <v>4.8029999999999999</v>
      </c>
      <c r="BH216" s="77">
        <v>5.2251000000000003</v>
      </c>
      <c r="BJ216" s="77">
        <v>5.7</v>
      </c>
      <c r="BN216" s="78">
        <f t="shared" si="3"/>
        <v>5.7</v>
      </c>
    </row>
    <row r="217" spans="2:66" hidden="1" x14ac:dyDescent="0.35">
      <c r="B217" s="77" t="s">
        <v>233</v>
      </c>
      <c r="C217" s="77" t="s">
        <v>125</v>
      </c>
      <c r="D217" s="77" t="s">
        <v>763</v>
      </c>
      <c r="E217" s="77" t="s">
        <v>762</v>
      </c>
      <c r="AX217" s="77">
        <v>1.0434000000000001</v>
      </c>
      <c r="AZ217" s="77">
        <v>1.0552999999999999</v>
      </c>
      <c r="BA217" s="77">
        <v>1.0067999999999999</v>
      </c>
      <c r="BB217" s="77">
        <v>0.98429999999999995</v>
      </c>
      <c r="BD217" s="77">
        <v>0.84</v>
      </c>
      <c r="BH217" s="77">
        <v>1.2068000000000001</v>
      </c>
      <c r="BI217" s="77">
        <v>0.83</v>
      </c>
      <c r="BN217" s="78">
        <f t="shared" si="3"/>
        <v>0.83</v>
      </c>
    </row>
    <row r="218" spans="2:66" hidden="1" x14ac:dyDescent="0.35">
      <c r="B218" s="77" t="s">
        <v>212</v>
      </c>
      <c r="C218" s="77" t="s">
        <v>126</v>
      </c>
      <c r="D218" s="77" t="s">
        <v>763</v>
      </c>
      <c r="E218" s="77" t="s">
        <v>762</v>
      </c>
      <c r="AX218" s="77">
        <v>0.3</v>
      </c>
      <c r="BB218" s="77">
        <v>0.43049999999999999</v>
      </c>
      <c r="BD218" s="77">
        <v>0.42</v>
      </c>
      <c r="BG218" s="77">
        <v>1.3851</v>
      </c>
      <c r="BI218" s="77">
        <v>0.77549999999999997</v>
      </c>
      <c r="BJ218" s="77">
        <v>0.31290000000000001</v>
      </c>
      <c r="BN218" s="78">
        <f t="shared" si="3"/>
        <v>0.31290000000000001</v>
      </c>
    </row>
    <row r="219" spans="2:66" hidden="1" x14ac:dyDescent="0.35">
      <c r="B219" s="77" t="s">
        <v>515</v>
      </c>
      <c r="C219" s="77" t="s">
        <v>127</v>
      </c>
      <c r="D219" s="77" t="s">
        <v>763</v>
      </c>
      <c r="E219" s="77" t="s">
        <v>762</v>
      </c>
      <c r="AS219" s="77">
        <v>4.1761999999999997</v>
      </c>
      <c r="AU219" s="77">
        <v>4.3292000000000002</v>
      </c>
      <c r="AX219" s="77">
        <v>4.4230999999999998</v>
      </c>
      <c r="AY219" s="77">
        <v>4.4904999999999999</v>
      </c>
      <c r="AZ219" s="77">
        <v>4.5376000000000003</v>
      </c>
      <c r="BA219" s="77">
        <v>4.7188999999999997</v>
      </c>
      <c r="BB219" s="77">
        <v>4.9904000000000002</v>
      </c>
      <c r="BC219" s="77">
        <v>5.3956</v>
      </c>
      <c r="BD219" s="77">
        <v>5.7820999999999998</v>
      </c>
      <c r="BE219" s="77">
        <v>5.2084999999999999</v>
      </c>
      <c r="BF219" s="77">
        <v>5.5803000000000003</v>
      </c>
      <c r="BG219" s="77">
        <v>5.6955999999999998</v>
      </c>
      <c r="BH219" s="77">
        <v>5.8268000000000004</v>
      </c>
      <c r="BJ219" s="77">
        <v>7.2141000000000002</v>
      </c>
      <c r="BN219" s="78">
        <f t="shared" si="3"/>
        <v>7.2141000000000002</v>
      </c>
    </row>
    <row r="220" spans="2:66" hidden="1" x14ac:dyDescent="0.35">
      <c r="B220" s="77" t="s">
        <v>255</v>
      </c>
      <c r="C220" s="77" t="s">
        <v>128</v>
      </c>
      <c r="D220" s="77" t="s">
        <v>763</v>
      </c>
      <c r="E220" s="77" t="s">
        <v>762</v>
      </c>
      <c r="AS220" s="77">
        <v>0.89910000000000001</v>
      </c>
      <c r="AW220" s="77">
        <v>1.41</v>
      </c>
      <c r="AY220" s="77">
        <v>1.4769000000000001</v>
      </c>
      <c r="BC220" s="77">
        <v>2.0926</v>
      </c>
      <c r="BD220" s="77">
        <v>2.0529999999999999</v>
      </c>
      <c r="BE220" s="77">
        <v>1.7921</v>
      </c>
      <c r="BF220" s="77">
        <v>1.7516</v>
      </c>
      <c r="BG220" s="77">
        <v>1.7710999999999999</v>
      </c>
      <c r="BJ220" s="77">
        <v>2.1307</v>
      </c>
      <c r="BN220" s="78">
        <f t="shared" si="3"/>
        <v>2.1307</v>
      </c>
    </row>
    <row r="221" spans="2:66" hidden="1" x14ac:dyDescent="0.35">
      <c r="B221" s="77" t="s">
        <v>214</v>
      </c>
      <c r="C221" s="77" t="s">
        <v>129</v>
      </c>
      <c r="D221" s="77" t="s">
        <v>763</v>
      </c>
      <c r="E221" s="77" t="s">
        <v>762</v>
      </c>
      <c r="AX221" s="77">
        <v>0.46139999999999998</v>
      </c>
      <c r="BB221" s="77">
        <v>0.16070000000000001</v>
      </c>
      <c r="BD221" s="77">
        <v>0.28520000000000001</v>
      </c>
      <c r="BE221" s="77">
        <v>0.27650000000000002</v>
      </c>
      <c r="BH221" s="77">
        <v>0.99619999999999997</v>
      </c>
      <c r="BN221" s="78">
        <f t="shared" si="3"/>
        <v>0.99619999999999997</v>
      </c>
    </row>
    <row r="222" spans="2:66" hidden="1" x14ac:dyDescent="0.35">
      <c r="B222" s="77" t="s">
        <v>222</v>
      </c>
      <c r="C222" s="77" t="s">
        <v>164</v>
      </c>
      <c r="D222" s="77" t="s">
        <v>763</v>
      </c>
      <c r="E222" s="77" t="s">
        <v>762</v>
      </c>
      <c r="AS222" s="77">
        <v>0.67549999999999999</v>
      </c>
      <c r="AV222" s="77">
        <v>0.85899999999999999</v>
      </c>
      <c r="AY222" s="77">
        <v>0.34570000000000001</v>
      </c>
      <c r="BA222" s="77">
        <v>1.3726</v>
      </c>
      <c r="BB222" s="77">
        <v>0.47939999999999999</v>
      </c>
      <c r="BD222" s="77">
        <v>0.40500000000000003</v>
      </c>
      <c r="BJ222" s="77">
        <v>2.278</v>
      </c>
      <c r="BN222" s="78">
        <f t="shared" si="3"/>
        <v>2.278</v>
      </c>
    </row>
    <row r="223" spans="2:66" hidden="1" x14ac:dyDescent="0.35">
      <c r="B223" s="77" t="s">
        <v>512</v>
      </c>
      <c r="C223" s="77" t="s">
        <v>130</v>
      </c>
      <c r="D223" s="77" t="s">
        <v>763</v>
      </c>
      <c r="E223" s="77" t="s">
        <v>762</v>
      </c>
      <c r="BE223" s="77">
        <v>8.8254000000000001</v>
      </c>
      <c r="BF223" s="77">
        <v>9.3416999999999994</v>
      </c>
      <c r="BG223" s="77">
        <v>9.2260000000000009</v>
      </c>
      <c r="BH223" s="77">
        <v>8.7767999999999997</v>
      </c>
      <c r="BN223" s="78">
        <f t="shared" si="3"/>
        <v>8.7767999999999997</v>
      </c>
    </row>
    <row r="224" spans="2:66" hidden="1" x14ac:dyDescent="0.35">
      <c r="B224" s="77" t="s">
        <v>232</v>
      </c>
      <c r="C224" s="77" t="s">
        <v>171</v>
      </c>
      <c r="D224" s="77" t="s">
        <v>763</v>
      </c>
      <c r="E224" s="77" t="s">
        <v>762</v>
      </c>
      <c r="AQ224" s="77">
        <v>0.191</v>
      </c>
      <c r="AZ224" s="77">
        <v>0.09</v>
      </c>
      <c r="BD224" s="77">
        <v>0.114</v>
      </c>
      <c r="BH224" s="77">
        <v>6.1100000000000002E-2</v>
      </c>
      <c r="BN224" s="78">
        <f t="shared" si="3"/>
        <v>6.1100000000000002E-2</v>
      </c>
    </row>
    <row r="225" spans="2:66" hidden="1" x14ac:dyDescent="0.35">
      <c r="B225" s="77" t="s">
        <v>514</v>
      </c>
      <c r="C225" s="77" t="s">
        <v>131</v>
      </c>
      <c r="D225" s="77" t="s">
        <v>763</v>
      </c>
      <c r="E225" s="77" t="s">
        <v>762</v>
      </c>
      <c r="AZ225" s="77">
        <v>4.28</v>
      </c>
      <c r="BA225" s="77">
        <v>4.43</v>
      </c>
      <c r="BD225" s="77">
        <v>5.3224</v>
      </c>
      <c r="BE225" s="77">
        <v>5.3997999999999999</v>
      </c>
      <c r="BF225" s="77">
        <v>5.3719000000000001</v>
      </c>
      <c r="BG225" s="77">
        <v>5.3863000000000003</v>
      </c>
      <c r="BH225" s="77">
        <v>5.3376999999999999</v>
      </c>
      <c r="BI225" s="77">
        <v>4.7191999999999998</v>
      </c>
      <c r="BJ225" s="77">
        <v>6.1203000000000003</v>
      </c>
      <c r="BN225" s="78">
        <f t="shared" si="3"/>
        <v>6.1203000000000003</v>
      </c>
    </row>
    <row r="226" spans="2:66" hidden="1" x14ac:dyDescent="0.35">
      <c r="B226" s="77" t="s">
        <v>539</v>
      </c>
      <c r="C226" s="77" t="s">
        <v>540</v>
      </c>
      <c r="D226" s="77" t="s">
        <v>763</v>
      </c>
      <c r="E226" s="77" t="s">
        <v>762</v>
      </c>
      <c r="BI226" s="77">
        <v>1.0283834399004534</v>
      </c>
      <c r="BN226" s="78">
        <f t="shared" si="3"/>
        <v>1.0283834399004534</v>
      </c>
    </row>
    <row r="227" spans="2:66" hidden="1" x14ac:dyDescent="0.35">
      <c r="B227" s="77" t="s">
        <v>527</v>
      </c>
      <c r="C227" s="77" t="s">
        <v>528</v>
      </c>
      <c r="D227" s="77" t="s">
        <v>763</v>
      </c>
      <c r="E227" s="77" t="s">
        <v>762</v>
      </c>
      <c r="BN227" s="78" t="str">
        <f t="shared" si="3"/>
        <v>No reported value</v>
      </c>
    </row>
    <row r="228" spans="2:66" hidden="1" x14ac:dyDescent="0.35">
      <c r="B228" s="77" t="s">
        <v>537</v>
      </c>
      <c r="C228" s="77" t="s">
        <v>538</v>
      </c>
      <c r="D228" s="77" t="s">
        <v>763</v>
      </c>
      <c r="E228" s="77" t="s">
        <v>762</v>
      </c>
      <c r="BI228" s="77">
        <v>1.0285959901671162</v>
      </c>
      <c r="BN228" s="78">
        <f t="shared" si="3"/>
        <v>1.0285959901671162</v>
      </c>
    </row>
    <row r="229" spans="2:66" hidden="1" x14ac:dyDescent="0.35">
      <c r="B229" s="77" t="s">
        <v>521</v>
      </c>
      <c r="C229" s="77" t="s">
        <v>522</v>
      </c>
      <c r="D229" s="77" t="s">
        <v>763</v>
      </c>
      <c r="E229" s="77" t="s">
        <v>762</v>
      </c>
      <c r="BI229" s="77">
        <v>2.9570366047094603</v>
      </c>
      <c r="BN229" s="78">
        <f t="shared" si="3"/>
        <v>2.9570366047094603</v>
      </c>
    </row>
    <row r="230" spans="2:66" hidden="1" x14ac:dyDescent="0.35">
      <c r="B230" s="77" t="s">
        <v>211</v>
      </c>
      <c r="C230" s="77" t="s">
        <v>175</v>
      </c>
      <c r="D230" s="77" t="s">
        <v>763</v>
      </c>
      <c r="E230" s="77" t="s">
        <v>762</v>
      </c>
      <c r="AX230" s="77">
        <v>2.0263</v>
      </c>
      <c r="BI230" s="77">
        <v>2.2599999999999998</v>
      </c>
      <c r="BN230" s="78">
        <f t="shared" si="3"/>
        <v>2.2599999999999998</v>
      </c>
    </row>
    <row r="231" spans="2:66" hidden="1" x14ac:dyDescent="0.35">
      <c r="B231" s="77" t="s">
        <v>229</v>
      </c>
      <c r="C231" s="77" t="s">
        <v>170</v>
      </c>
      <c r="D231" s="77" t="s">
        <v>763</v>
      </c>
      <c r="E231" s="77" t="s">
        <v>762</v>
      </c>
      <c r="AT231" s="77">
        <v>1.4563999999999999</v>
      </c>
      <c r="AX231" s="77">
        <v>5.2268999999999997</v>
      </c>
      <c r="BC231" s="77">
        <v>3.0771999999999999</v>
      </c>
      <c r="BK231" s="77">
        <v>4.0983000000000001</v>
      </c>
      <c r="BN231" s="78">
        <f t="shared" si="3"/>
        <v>4.0983000000000001</v>
      </c>
    </row>
    <row r="232" spans="2:66" hidden="1" x14ac:dyDescent="0.35">
      <c r="B232" s="77" t="s">
        <v>518</v>
      </c>
      <c r="C232" s="77" t="s">
        <v>519</v>
      </c>
      <c r="D232" s="77" t="s">
        <v>763</v>
      </c>
      <c r="E232" s="77" t="s">
        <v>762</v>
      </c>
      <c r="AY232" s="77">
        <v>6.62</v>
      </c>
      <c r="BB232" s="77">
        <v>6.58</v>
      </c>
      <c r="BC232" s="77">
        <v>6.3837999999999999</v>
      </c>
      <c r="BD232" s="77">
        <v>6.7526000000000002</v>
      </c>
      <c r="BE232" s="77">
        <v>6.6022999999999996</v>
      </c>
      <c r="BF232" s="77">
        <v>6.4625000000000004</v>
      </c>
      <c r="BG232" s="77">
        <v>6.3921000000000001</v>
      </c>
      <c r="BH232" s="77">
        <v>6.3974000000000002</v>
      </c>
      <c r="BI232" s="77">
        <v>6.0052000000000003</v>
      </c>
      <c r="BJ232" s="77">
        <v>9.1727000000000007</v>
      </c>
      <c r="BN232" s="78">
        <f t="shared" si="3"/>
        <v>9.1727000000000007</v>
      </c>
    </row>
    <row r="233" spans="2:66" hidden="1" x14ac:dyDescent="0.35">
      <c r="B233" s="77" t="s">
        <v>520</v>
      </c>
      <c r="C233" s="77" t="s">
        <v>132</v>
      </c>
      <c r="D233" s="77" t="s">
        <v>763</v>
      </c>
      <c r="E233" s="77" t="s">
        <v>762</v>
      </c>
      <c r="AY233" s="77">
        <v>7.99</v>
      </c>
      <c r="AZ233" s="77">
        <v>7.8129999999999997</v>
      </c>
      <c r="BB233" s="77">
        <v>8.16</v>
      </c>
      <c r="BD233" s="77">
        <v>8.2491000000000003</v>
      </c>
      <c r="BE233" s="77">
        <v>8.3832000000000004</v>
      </c>
      <c r="BF233" s="77">
        <v>8.2634000000000007</v>
      </c>
      <c r="BG233" s="77">
        <v>8.4124999999999996</v>
      </c>
      <c r="BH233" s="77">
        <v>8.6580999999999992</v>
      </c>
      <c r="BI233" s="77">
        <v>8.8089999999999993</v>
      </c>
      <c r="BJ233" s="77">
        <v>9.68</v>
      </c>
      <c r="BN233" s="78">
        <f t="shared" si="3"/>
        <v>9.68</v>
      </c>
    </row>
    <row r="234" spans="2:66" hidden="1" x14ac:dyDescent="0.35">
      <c r="B234" s="77" t="s">
        <v>543</v>
      </c>
      <c r="C234" s="77" t="s">
        <v>133</v>
      </c>
      <c r="D234" s="77" t="s">
        <v>763</v>
      </c>
      <c r="E234" s="77" t="s">
        <v>762</v>
      </c>
      <c r="AV234" s="77">
        <v>10.234999999999999</v>
      </c>
      <c r="AZ234" s="77">
        <v>11.57</v>
      </c>
      <c r="BA234" s="77">
        <v>10.9656</v>
      </c>
      <c r="BB234" s="77">
        <v>11.861000000000001</v>
      </c>
      <c r="BD234" s="77">
        <v>11.8208</v>
      </c>
      <c r="BE234" s="77">
        <v>11.8355</v>
      </c>
      <c r="BF234" s="77">
        <v>11.8672</v>
      </c>
      <c r="BG234" s="77">
        <v>11.891</v>
      </c>
      <c r="BH234" s="77">
        <v>11.8931</v>
      </c>
      <c r="BI234" s="77">
        <v>11.850300000000001</v>
      </c>
      <c r="BJ234" s="77">
        <v>11.5434</v>
      </c>
      <c r="BN234" s="78">
        <f t="shared" si="3"/>
        <v>11.5434</v>
      </c>
    </row>
    <row r="235" spans="2:66" hidden="1" x14ac:dyDescent="0.35">
      <c r="B235" s="77" t="s">
        <v>379</v>
      </c>
      <c r="C235" s="77" t="s">
        <v>134</v>
      </c>
      <c r="D235" s="77" t="s">
        <v>763</v>
      </c>
      <c r="E235" s="77" t="s">
        <v>762</v>
      </c>
      <c r="AT235" s="77">
        <v>3.1511999999999998</v>
      </c>
      <c r="AX235" s="77">
        <v>6.2350000000000003</v>
      </c>
      <c r="BC235" s="77">
        <v>1.3771</v>
      </c>
      <c r="BE235" s="77">
        <v>1.0544</v>
      </c>
      <c r="BI235" s="77">
        <v>2</v>
      </c>
      <c r="BN235" s="78">
        <f t="shared" si="3"/>
        <v>2</v>
      </c>
    </row>
    <row r="236" spans="2:66" hidden="1" x14ac:dyDescent="0.35">
      <c r="B236" s="77" t="s">
        <v>516</v>
      </c>
      <c r="C236" s="77" t="s">
        <v>517</v>
      </c>
      <c r="D236" s="77" t="s">
        <v>763</v>
      </c>
      <c r="E236" s="77" t="s">
        <v>762</v>
      </c>
      <c r="BN236" s="78" t="str">
        <f t="shared" si="3"/>
        <v>No reported value</v>
      </c>
    </row>
    <row r="237" spans="2:66" hidden="1" x14ac:dyDescent="0.35">
      <c r="B237" s="77" t="s">
        <v>213</v>
      </c>
      <c r="C237" s="77" t="s">
        <v>135</v>
      </c>
      <c r="D237" s="77" t="s">
        <v>763</v>
      </c>
      <c r="E237" s="77" t="s">
        <v>762</v>
      </c>
      <c r="AX237" s="77">
        <v>7.2457000000000003</v>
      </c>
      <c r="AY237" s="77">
        <v>4.3967999999999998</v>
      </c>
      <c r="AZ237" s="77">
        <v>4.6154000000000002</v>
      </c>
      <c r="BA237" s="77">
        <v>4.5514999999999999</v>
      </c>
      <c r="BB237" s="77">
        <v>4.4873000000000003</v>
      </c>
      <c r="BD237" s="77">
        <v>4.5076999999999998</v>
      </c>
      <c r="BF237" s="77">
        <v>4.5395000000000003</v>
      </c>
      <c r="BJ237" s="77">
        <v>3.2612999999999999</v>
      </c>
      <c r="BN237" s="78">
        <f t="shared" si="3"/>
        <v>3.2612999999999999</v>
      </c>
    </row>
    <row r="238" spans="2:66" hidden="1" x14ac:dyDescent="0.35">
      <c r="B238" s="77" t="s">
        <v>545</v>
      </c>
      <c r="C238" s="77" t="s">
        <v>136</v>
      </c>
      <c r="D238" s="77" t="s">
        <v>763</v>
      </c>
      <c r="E238" s="77" t="s">
        <v>762</v>
      </c>
      <c r="AQ238" s="77">
        <v>2.2244000000000002</v>
      </c>
      <c r="AR238" s="77">
        <v>2.3184</v>
      </c>
      <c r="AS238" s="77">
        <v>1.9051</v>
      </c>
      <c r="AT238" s="77">
        <v>1.9543999999999999</v>
      </c>
      <c r="AU238" s="77">
        <v>1.9410000000000001</v>
      </c>
      <c r="AV238" s="77">
        <v>1.9601999999999999</v>
      </c>
      <c r="AW238" s="77">
        <v>1.8506</v>
      </c>
      <c r="AX238" s="77">
        <v>1.9155</v>
      </c>
      <c r="AY238" s="77">
        <v>1.8915</v>
      </c>
      <c r="AZ238" s="77">
        <v>1.4</v>
      </c>
      <c r="BA238" s="77">
        <v>1.9139999999999999</v>
      </c>
      <c r="BB238" s="77">
        <v>1.873</v>
      </c>
      <c r="BC238" s="77">
        <v>1.8766</v>
      </c>
      <c r="BD238" s="77">
        <v>1.9056</v>
      </c>
      <c r="BH238" s="77">
        <v>2.2502</v>
      </c>
      <c r="BJ238" s="77">
        <v>1.46</v>
      </c>
      <c r="BN238" s="78">
        <f t="shared" si="3"/>
        <v>1.46</v>
      </c>
    </row>
    <row r="239" spans="2:66" hidden="1" x14ac:dyDescent="0.35">
      <c r="B239" s="77" t="s">
        <v>552</v>
      </c>
      <c r="C239" s="77" t="s">
        <v>553</v>
      </c>
      <c r="D239" s="77" t="s">
        <v>763</v>
      </c>
      <c r="E239" s="77" t="s">
        <v>762</v>
      </c>
      <c r="BN239" s="78" t="str">
        <f t="shared" si="3"/>
        <v>No reported value</v>
      </c>
    </row>
    <row r="240" spans="2:66" hidden="1" x14ac:dyDescent="0.35">
      <c r="B240" s="77" t="s">
        <v>189</v>
      </c>
      <c r="C240" s="77" t="s">
        <v>169</v>
      </c>
      <c r="D240" s="77" t="s">
        <v>763</v>
      </c>
      <c r="E240" s="77" t="s">
        <v>762</v>
      </c>
      <c r="AQ240" s="77">
        <v>4.7899999999999998E-2</v>
      </c>
      <c r="AR240" s="77">
        <v>5.62E-2</v>
      </c>
      <c r="AS240" s="77">
        <v>5.9700000000000003E-2</v>
      </c>
      <c r="AT240" s="77">
        <v>0.12479999999999999</v>
      </c>
      <c r="AX240" s="77">
        <v>0.25740000000000002</v>
      </c>
      <c r="AZ240" s="77">
        <v>0.18149999999999999</v>
      </c>
      <c r="BF240" s="77">
        <v>0.28000000000000003</v>
      </c>
      <c r="BG240" s="77">
        <v>0.30890000000000001</v>
      </c>
      <c r="BJ240" s="77">
        <v>0.36370000000000002</v>
      </c>
      <c r="BN240" s="78">
        <f t="shared" si="3"/>
        <v>0.36370000000000002</v>
      </c>
    </row>
    <row r="241" spans="2:66" hidden="1" x14ac:dyDescent="0.35">
      <c r="B241" s="77" t="s">
        <v>374</v>
      </c>
      <c r="C241" s="77" t="s">
        <v>375</v>
      </c>
      <c r="D241" s="77" t="s">
        <v>763</v>
      </c>
      <c r="E241" s="77" t="s">
        <v>762</v>
      </c>
      <c r="AJ241" s="77">
        <v>0.79562089861553364</v>
      </c>
      <c r="AT241" s="77">
        <v>1.2276707556265674</v>
      </c>
      <c r="BI241" s="77">
        <v>2.1248211972701894</v>
      </c>
      <c r="BN241" s="78">
        <f t="shared" si="3"/>
        <v>2.1248211972701894</v>
      </c>
    </row>
    <row r="242" spans="2:66" hidden="1" x14ac:dyDescent="0.35">
      <c r="B242" s="77" t="s">
        <v>386</v>
      </c>
      <c r="C242" s="77" t="s">
        <v>387</v>
      </c>
      <c r="D242" s="77" t="s">
        <v>763</v>
      </c>
      <c r="E242" s="77" t="s">
        <v>762</v>
      </c>
      <c r="BI242" s="77">
        <v>6.9216664116514464</v>
      </c>
      <c r="BN242" s="78">
        <f t="shared" si="3"/>
        <v>6.9216664116514464</v>
      </c>
    </row>
    <row r="243" spans="2:66" hidden="1" x14ac:dyDescent="0.35">
      <c r="B243" s="77" t="s">
        <v>215</v>
      </c>
      <c r="C243" s="77" t="s">
        <v>137</v>
      </c>
      <c r="D243" s="77" t="s">
        <v>763</v>
      </c>
      <c r="E243" s="77" t="s">
        <v>762</v>
      </c>
      <c r="AX243" s="77">
        <v>0.35</v>
      </c>
      <c r="BA243" s="77">
        <v>0.41220000000000001</v>
      </c>
      <c r="BB243" s="77">
        <v>0.29470000000000002</v>
      </c>
      <c r="BD243" s="77">
        <v>1.4434</v>
      </c>
      <c r="BI243" s="77">
        <v>0.29799999999999999</v>
      </c>
      <c r="BN243" s="78">
        <f t="shared" si="3"/>
        <v>0.29799999999999999</v>
      </c>
    </row>
    <row r="244" spans="2:66" hidden="1" x14ac:dyDescent="0.35">
      <c r="B244" s="77" t="s">
        <v>547</v>
      </c>
      <c r="C244" s="77" t="s">
        <v>138</v>
      </c>
      <c r="D244" s="77" t="s">
        <v>763</v>
      </c>
      <c r="E244" s="77" t="s">
        <v>762</v>
      </c>
      <c r="AK244" s="77">
        <v>0.71060000000000001</v>
      </c>
      <c r="AM244" s="77">
        <v>0.79959999999999998</v>
      </c>
      <c r="AO244" s="77">
        <v>0.91210000000000002</v>
      </c>
      <c r="AQ244" s="77">
        <v>0.92610000000000003</v>
      </c>
      <c r="AR244" s="77">
        <v>1.0343</v>
      </c>
      <c r="AS244" s="77">
        <v>1.0914999999999999</v>
      </c>
      <c r="AT244" s="77">
        <v>2.831</v>
      </c>
      <c r="AU244" s="77">
        <v>1.2282</v>
      </c>
      <c r="AV244" s="77">
        <v>1.3217000000000001</v>
      </c>
      <c r="AX244" s="77">
        <v>1.4877</v>
      </c>
      <c r="AZ244" s="77">
        <v>1.5445</v>
      </c>
      <c r="BA244" s="77">
        <v>1.5279</v>
      </c>
      <c r="BB244" s="77">
        <v>1.5838000000000001</v>
      </c>
      <c r="BC244" s="77">
        <v>1.6416999999999999</v>
      </c>
      <c r="BD244" s="77">
        <v>2.0638999999999998</v>
      </c>
      <c r="BI244" s="77">
        <v>2.3702000000000001</v>
      </c>
      <c r="BJ244" s="77">
        <v>2.7786</v>
      </c>
      <c r="BK244" s="77">
        <v>2.9647000000000001</v>
      </c>
      <c r="BN244" s="78">
        <f t="shared" si="3"/>
        <v>2.9647000000000001</v>
      </c>
    </row>
    <row r="245" spans="2:66" hidden="1" x14ac:dyDescent="0.35">
      <c r="B245" s="77" t="s">
        <v>238</v>
      </c>
      <c r="C245" s="77" t="s">
        <v>163</v>
      </c>
      <c r="D245" s="77" t="s">
        <v>763</v>
      </c>
      <c r="E245" s="77" t="s">
        <v>762</v>
      </c>
      <c r="BC245" s="77">
        <v>3.3927999999999998</v>
      </c>
      <c r="BD245" s="77">
        <v>4.4184000000000001</v>
      </c>
      <c r="BE245" s="77">
        <v>4.5274000000000001</v>
      </c>
      <c r="BF245" s="77">
        <v>4.8765999999999998</v>
      </c>
      <c r="BG245" s="77">
        <v>4.9379999999999997</v>
      </c>
      <c r="BH245" s="77">
        <v>5.2329999999999997</v>
      </c>
      <c r="BN245" s="78">
        <f t="shared" si="3"/>
        <v>5.2329999999999997</v>
      </c>
    </row>
    <row r="246" spans="2:66" hidden="1" x14ac:dyDescent="0.35">
      <c r="B246" s="77" t="s">
        <v>551</v>
      </c>
      <c r="C246" s="77" t="s">
        <v>139</v>
      </c>
      <c r="D246" s="77" t="s">
        <v>763</v>
      </c>
      <c r="E246" s="77" t="s">
        <v>762</v>
      </c>
      <c r="AV246" s="77">
        <v>9.4054000000000002</v>
      </c>
      <c r="AZ246" s="77">
        <v>4.7</v>
      </c>
      <c r="BA246" s="77">
        <v>4.5199999999999996</v>
      </c>
      <c r="BD246" s="77">
        <v>4.7164999999999999</v>
      </c>
      <c r="BE246" s="77">
        <v>4.7175000000000002</v>
      </c>
      <c r="BF246" s="77">
        <v>4.6959</v>
      </c>
      <c r="BG246" s="77">
        <v>4.6487999999999996</v>
      </c>
      <c r="BH246" s="77">
        <v>4.6306000000000003</v>
      </c>
      <c r="BN246" s="78">
        <f t="shared" si="3"/>
        <v>4.6306000000000003</v>
      </c>
    </row>
    <row r="247" spans="2:66" hidden="1" x14ac:dyDescent="0.35">
      <c r="B247" s="77" t="s">
        <v>440</v>
      </c>
      <c r="C247" s="77" t="s">
        <v>441</v>
      </c>
      <c r="D247" s="77" t="s">
        <v>763</v>
      </c>
      <c r="E247" s="77" t="s">
        <v>762</v>
      </c>
      <c r="AT247" s="77">
        <v>1.911783948832446</v>
      </c>
      <c r="BI247" s="77">
        <v>4.6623691490508543</v>
      </c>
      <c r="BN247" s="78">
        <f t="shared" si="3"/>
        <v>4.6623691490508543</v>
      </c>
    </row>
    <row r="248" spans="2:66" hidden="1" x14ac:dyDescent="0.35">
      <c r="B248" s="77" t="s">
        <v>246</v>
      </c>
      <c r="C248" s="77" t="s">
        <v>140</v>
      </c>
      <c r="D248" s="77" t="s">
        <v>763</v>
      </c>
      <c r="E248" s="77" t="s">
        <v>762</v>
      </c>
      <c r="AX248" s="77">
        <v>1.8008999999999999</v>
      </c>
      <c r="BA248" s="77">
        <v>0.99250000000000005</v>
      </c>
      <c r="BB248" s="77">
        <v>1.0230999999999999</v>
      </c>
      <c r="BC248" s="77">
        <v>1.1135999999999999</v>
      </c>
      <c r="BD248" s="77">
        <v>1.131</v>
      </c>
      <c r="BE248" s="77">
        <v>1.1338999999999999</v>
      </c>
      <c r="BG248" s="77">
        <v>0.96589999999999998</v>
      </c>
      <c r="BH248" s="77">
        <v>1.3580000000000001</v>
      </c>
      <c r="BI248" s="77">
        <v>1.4287000000000001</v>
      </c>
      <c r="BK248" s="77">
        <v>1.6700999999999999</v>
      </c>
      <c r="BN248" s="78">
        <f t="shared" si="3"/>
        <v>1.6700999999999999</v>
      </c>
    </row>
    <row r="249" spans="2:66" hidden="1" x14ac:dyDescent="0.35">
      <c r="B249" s="77" t="s">
        <v>469</v>
      </c>
      <c r="C249" s="77" t="s">
        <v>470</v>
      </c>
      <c r="D249" s="77" t="s">
        <v>763</v>
      </c>
      <c r="E249" s="77" t="s">
        <v>762</v>
      </c>
      <c r="BI249" s="77">
        <v>1.752603675461049</v>
      </c>
      <c r="BN249" s="78">
        <f t="shared" si="3"/>
        <v>1.752603675461049</v>
      </c>
    </row>
    <row r="250" spans="2:66" hidden="1" x14ac:dyDescent="0.35">
      <c r="B250" s="77" t="s">
        <v>256</v>
      </c>
      <c r="C250" s="77" t="s">
        <v>141</v>
      </c>
      <c r="D250" s="77" t="s">
        <v>763</v>
      </c>
      <c r="E250" s="77" t="s">
        <v>762</v>
      </c>
      <c r="AU250" s="77">
        <v>3.4584000000000001</v>
      </c>
      <c r="AV250" s="77">
        <v>3.5282</v>
      </c>
      <c r="BA250" s="77">
        <v>2.9319999999999999</v>
      </c>
      <c r="BB250" s="77">
        <v>3.5339999999999998</v>
      </c>
      <c r="BC250" s="77">
        <v>3.6486000000000001</v>
      </c>
      <c r="BD250" s="77">
        <v>3.8424999999999998</v>
      </c>
      <c r="BG250" s="77">
        <v>3.8746</v>
      </c>
      <c r="BJ250" s="77">
        <v>3.9319999999999999</v>
      </c>
      <c r="BN250" s="78">
        <f t="shared" si="3"/>
        <v>3.9319999999999999</v>
      </c>
    </row>
    <row r="251" spans="2:66" hidden="1" x14ac:dyDescent="0.35">
      <c r="B251" s="77" t="s">
        <v>525</v>
      </c>
      <c r="C251" s="77" t="s">
        <v>526</v>
      </c>
      <c r="D251" s="77" t="s">
        <v>763</v>
      </c>
      <c r="E251" s="77" t="s">
        <v>762</v>
      </c>
      <c r="AJ251" s="77">
        <v>0.37753856491539362</v>
      </c>
      <c r="AT251" s="77">
        <v>1.0836319828399013</v>
      </c>
      <c r="BI251" s="77">
        <v>1.7372389586483101</v>
      </c>
      <c r="BN251" s="78">
        <f t="shared" si="3"/>
        <v>1.7372389586483101</v>
      </c>
    </row>
    <row r="252" spans="2:66" hidden="1" x14ac:dyDescent="0.35">
      <c r="B252" s="77" t="s">
        <v>541</v>
      </c>
      <c r="C252" s="77" t="s">
        <v>542</v>
      </c>
      <c r="D252" s="77" t="s">
        <v>763</v>
      </c>
      <c r="E252" s="77" t="s">
        <v>762</v>
      </c>
      <c r="BI252" s="77">
        <v>1.0285959901671162</v>
      </c>
      <c r="BN252" s="78">
        <f t="shared" si="3"/>
        <v>1.0285959901671162</v>
      </c>
    </row>
    <row r="253" spans="2:66" hidden="1" x14ac:dyDescent="0.35">
      <c r="B253" s="77" t="s">
        <v>548</v>
      </c>
      <c r="C253" s="77" t="s">
        <v>142</v>
      </c>
      <c r="D253" s="77" t="s">
        <v>763</v>
      </c>
      <c r="E253" s="77" t="s">
        <v>762</v>
      </c>
      <c r="AO253" s="77">
        <v>2.9777</v>
      </c>
      <c r="AP253" s="77">
        <v>2.2656000000000001</v>
      </c>
      <c r="AQ253" s="77">
        <v>2.2932000000000001</v>
      </c>
      <c r="AR253" s="77">
        <v>2.7254999999999998</v>
      </c>
      <c r="AS253" s="77">
        <v>2.8849999999999998</v>
      </c>
      <c r="AT253" s="77">
        <v>2.5977999999999999</v>
      </c>
      <c r="AU253" s="77">
        <v>2.7759</v>
      </c>
      <c r="AV253" s="77">
        <v>2.9855999999999998</v>
      </c>
      <c r="AW253" s="77">
        <v>3.0996999999999999</v>
      </c>
      <c r="AZ253" s="77">
        <v>3.5522999999999998</v>
      </c>
      <c r="BA253" s="77">
        <v>3.5720999999999998</v>
      </c>
      <c r="BC253" s="77">
        <v>3.47</v>
      </c>
      <c r="BD253" s="77">
        <v>2.9403000000000001</v>
      </c>
      <c r="BE253" s="77">
        <v>3.2806000000000002</v>
      </c>
      <c r="BI253" s="77">
        <v>3.5093000000000001</v>
      </c>
      <c r="BN253" s="78">
        <f t="shared" si="3"/>
        <v>3.5093000000000001</v>
      </c>
    </row>
    <row r="254" spans="2:66" hidden="1" x14ac:dyDescent="0.35">
      <c r="B254" s="77" t="s">
        <v>549</v>
      </c>
      <c r="C254" s="77" t="s">
        <v>143</v>
      </c>
      <c r="D254" s="77" t="s">
        <v>763</v>
      </c>
      <c r="E254" s="77" t="s">
        <v>762</v>
      </c>
      <c r="AW254" s="77">
        <v>2.0798999999999999</v>
      </c>
      <c r="AX254" s="77">
        <v>2.8487</v>
      </c>
      <c r="BB254" s="77">
        <v>2.1772</v>
      </c>
      <c r="BC254" s="77">
        <v>2.1536</v>
      </c>
      <c r="BD254" s="77">
        <v>2.2402000000000002</v>
      </c>
      <c r="BH254" s="77">
        <v>2.4405999999999999</v>
      </c>
      <c r="BI254" s="77">
        <v>2.6478000000000002</v>
      </c>
      <c r="BJ254" s="77">
        <v>2.6351</v>
      </c>
      <c r="BN254" s="78">
        <f t="shared" si="3"/>
        <v>2.6351</v>
      </c>
    </row>
    <row r="255" spans="2:66" hidden="1" x14ac:dyDescent="0.35">
      <c r="B255" s="77" t="s">
        <v>550</v>
      </c>
      <c r="C255" s="77" t="s">
        <v>144</v>
      </c>
      <c r="D255" s="77" t="s">
        <v>763</v>
      </c>
      <c r="E255" s="77" t="s">
        <v>762</v>
      </c>
      <c r="AJ255" s="77">
        <v>1.3983000000000001</v>
      </c>
      <c r="AK255" s="77">
        <v>1.4818</v>
      </c>
      <c r="AL255" s="77">
        <v>1.5346</v>
      </c>
      <c r="AM255" s="77">
        <v>1.5980000000000001</v>
      </c>
      <c r="AN255" s="77">
        <v>1.5962000000000001</v>
      </c>
      <c r="AO255" s="77">
        <v>1.7746999999999999</v>
      </c>
      <c r="AP255" s="77">
        <v>1.7413000000000001</v>
      </c>
      <c r="AQ255" s="77">
        <v>1.7805</v>
      </c>
      <c r="AR255" s="77">
        <v>1.7986</v>
      </c>
      <c r="AS255" s="77">
        <v>1.7907999999999999</v>
      </c>
      <c r="AT255" s="77">
        <v>1.7575000000000001</v>
      </c>
      <c r="AU255" s="77">
        <v>1.7806</v>
      </c>
      <c r="AV255" s="77">
        <v>1.748</v>
      </c>
      <c r="AW255" s="77">
        <v>1.7575000000000001</v>
      </c>
      <c r="AX255" s="77">
        <v>1.7756000000000001</v>
      </c>
      <c r="AY255" s="77">
        <v>1.7926</v>
      </c>
      <c r="AZ255" s="77">
        <v>1.8485</v>
      </c>
      <c r="BA255" s="77">
        <v>2.0379999999999998</v>
      </c>
      <c r="BB255" s="77">
        <v>2.0952000000000002</v>
      </c>
      <c r="BC255" s="77">
        <v>2.1661999999999999</v>
      </c>
      <c r="BD255" s="77">
        <v>2.9788999999999999</v>
      </c>
      <c r="BE255" s="77">
        <v>3.1166999999999998</v>
      </c>
      <c r="BF255" s="77">
        <v>3.2431000000000001</v>
      </c>
      <c r="BG255" s="77">
        <v>3.2511999999999999</v>
      </c>
      <c r="BH255" s="77">
        <v>3.2208999999999999</v>
      </c>
      <c r="BI255" s="77">
        <v>2.6303999999999998</v>
      </c>
      <c r="BN255" s="78">
        <f t="shared" si="3"/>
        <v>2.6303999999999998</v>
      </c>
    </row>
    <row r="256" spans="2:66" hidden="1" x14ac:dyDescent="0.35">
      <c r="B256" s="77" t="s">
        <v>257</v>
      </c>
      <c r="C256" s="77" t="s">
        <v>145</v>
      </c>
      <c r="D256" s="77" t="s">
        <v>763</v>
      </c>
      <c r="E256" s="77" t="s">
        <v>762</v>
      </c>
      <c r="AV256" s="77">
        <v>4.0625</v>
      </c>
      <c r="AW256" s="77">
        <v>5.1020000000000003</v>
      </c>
      <c r="BB256" s="77">
        <v>6.2135999999999996</v>
      </c>
      <c r="BD256" s="77">
        <v>5.8179999999999996</v>
      </c>
      <c r="BH256" s="77">
        <v>3.7614999999999998</v>
      </c>
      <c r="BN256" s="78">
        <f t="shared" si="3"/>
        <v>3.7614999999999998</v>
      </c>
    </row>
    <row r="257" spans="2:66" hidden="1" x14ac:dyDescent="0.35">
      <c r="B257" s="77" t="s">
        <v>546</v>
      </c>
      <c r="C257" s="77" t="s">
        <v>146</v>
      </c>
      <c r="D257" s="77" t="s">
        <v>763</v>
      </c>
      <c r="E257" s="77" t="s">
        <v>762</v>
      </c>
      <c r="AV257" s="77">
        <v>0.36809999999999998</v>
      </c>
      <c r="AZ257" s="77">
        <v>0.23230000000000001</v>
      </c>
      <c r="BD257" s="77">
        <v>0.24199999999999999</v>
      </c>
      <c r="BF257" s="77">
        <v>0.42380000000000001</v>
      </c>
      <c r="BH257" s="77">
        <v>0.41260000000000002</v>
      </c>
      <c r="BN257" s="78">
        <f t="shared" si="3"/>
        <v>0.41260000000000002</v>
      </c>
    </row>
    <row r="258" spans="2:66" hidden="1" x14ac:dyDescent="0.35">
      <c r="B258" s="77" t="s">
        <v>216</v>
      </c>
      <c r="C258" s="77" t="s">
        <v>147</v>
      </c>
      <c r="D258" s="77" t="s">
        <v>763</v>
      </c>
      <c r="E258" s="77" t="s">
        <v>762</v>
      </c>
      <c r="AX258" s="77">
        <v>0.68810000000000004</v>
      </c>
      <c r="AY258" s="77">
        <v>1.3181</v>
      </c>
      <c r="BD258" s="77">
        <v>1.306</v>
      </c>
      <c r="BF258" s="77">
        <v>1.1351</v>
      </c>
      <c r="BI258" s="77">
        <v>0.63029999999999997</v>
      </c>
      <c r="BN258" s="78">
        <f t="shared" si="3"/>
        <v>0.63029999999999997</v>
      </c>
    </row>
    <row r="259" spans="2:66" hidden="1" x14ac:dyDescent="0.35">
      <c r="B259" s="77" t="s">
        <v>239</v>
      </c>
      <c r="C259" s="77" t="s">
        <v>148</v>
      </c>
      <c r="D259" s="77" t="s">
        <v>763</v>
      </c>
      <c r="E259" s="77" t="s">
        <v>762</v>
      </c>
      <c r="AZ259" s="77">
        <v>8.4499999999999993</v>
      </c>
      <c r="BD259" s="77">
        <v>7.9104000000000001</v>
      </c>
      <c r="BE259" s="77">
        <v>7.9118000000000004</v>
      </c>
      <c r="BF259" s="77">
        <v>7.9660000000000002</v>
      </c>
      <c r="BG259" s="77">
        <v>8.0038</v>
      </c>
      <c r="BH259" s="77">
        <v>7.0575999999999999</v>
      </c>
      <c r="BN259" s="78">
        <f t="shared" si="3"/>
        <v>7.0575999999999999</v>
      </c>
    </row>
    <row r="260" spans="2:66" hidden="1" x14ac:dyDescent="0.35">
      <c r="B260" s="77" t="s">
        <v>557</v>
      </c>
      <c r="C260" s="77" t="s">
        <v>558</v>
      </c>
      <c r="D260" s="77" t="s">
        <v>763</v>
      </c>
      <c r="E260" s="77" t="s">
        <v>762</v>
      </c>
      <c r="AJ260" s="77">
        <v>0.87700465242690206</v>
      </c>
      <c r="AT260" s="77">
        <v>1.453519471377172</v>
      </c>
      <c r="BI260" s="77">
        <v>3.4765419762677725</v>
      </c>
      <c r="BN260" s="78">
        <f t="shared" si="3"/>
        <v>3.4765419762677725</v>
      </c>
    </row>
    <row r="261" spans="2:66" hidden="1" x14ac:dyDescent="0.35">
      <c r="B261" s="77" t="s">
        <v>559</v>
      </c>
      <c r="C261" s="77" t="s">
        <v>560</v>
      </c>
      <c r="D261" s="77" t="s">
        <v>763</v>
      </c>
      <c r="E261" s="77" t="s">
        <v>762</v>
      </c>
      <c r="AV261" s="77">
        <v>0.86539999999999995</v>
      </c>
      <c r="AZ261" s="77">
        <v>2.9864999999999999</v>
      </c>
      <c r="BB261" s="77">
        <v>5.8479000000000001</v>
      </c>
      <c r="BD261" s="77">
        <v>5.548</v>
      </c>
      <c r="BJ261" s="77">
        <v>6.2782</v>
      </c>
      <c r="BK261" s="77">
        <v>1.9298999999999999</v>
      </c>
      <c r="BN261" s="78">
        <f t="shared" si="3"/>
        <v>1.9298999999999999</v>
      </c>
    </row>
    <row r="262" spans="2:66" hidden="1" x14ac:dyDescent="0.35">
      <c r="B262" s="77" t="s">
        <v>556</v>
      </c>
      <c r="C262" s="77" t="s">
        <v>149</v>
      </c>
      <c r="D262" s="77" t="s">
        <v>763</v>
      </c>
      <c r="E262" s="77" t="s">
        <v>762</v>
      </c>
      <c r="AO262" s="77">
        <v>8.94</v>
      </c>
      <c r="AT262" s="77">
        <v>9.4672999999999998</v>
      </c>
      <c r="AY262" s="77">
        <v>9.9177</v>
      </c>
      <c r="BD262" s="77">
        <v>12.607799999999999</v>
      </c>
      <c r="BH262" s="77">
        <v>8.8320000000000007</v>
      </c>
      <c r="BI262" s="77">
        <v>8.5500000000000007</v>
      </c>
      <c r="BN262" s="78">
        <f t="shared" si="3"/>
        <v>8.5500000000000007</v>
      </c>
    </row>
    <row r="263" spans="2:66" hidden="1" x14ac:dyDescent="0.35">
      <c r="B263" s="77" t="s">
        <v>561</v>
      </c>
      <c r="C263" s="77" t="s">
        <v>150</v>
      </c>
      <c r="D263" s="77" t="s">
        <v>763</v>
      </c>
      <c r="E263" s="77" t="s">
        <v>762</v>
      </c>
      <c r="AY263" s="77">
        <v>10.91</v>
      </c>
      <c r="BA263" s="77">
        <v>10.81</v>
      </c>
      <c r="BC263" s="77">
        <v>11.132</v>
      </c>
      <c r="BD263" s="77">
        <v>12.2281</v>
      </c>
      <c r="BE263" s="77">
        <v>12.273</v>
      </c>
      <c r="BF263" s="77">
        <v>12.217599999999999</v>
      </c>
      <c r="BG263" s="77">
        <v>12.1486</v>
      </c>
      <c r="BH263" s="77">
        <v>12.0739</v>
      </c>
      <c r="BN263" s="78">
        <f t="shared" si="3"/>
        <v>12.0739</v>
      </c>
    </row>
    <row r="264" spans="2:66" hidden="1" x14ac:dyDescent="0.35">
      <c r="B264" s="77" t="s">
        <v>535</v>
      </c>
      <c r="C264" s="77" t="s">
        <v>536</v>
      </c>
      <c r="D264" s="77" t="s">
        <v>763</v>
      </c>
      <c r="E264" s="77" t="s">
        <v>762</v>
      </c>
      <c r="AQ264" s="77">
        <v>2.5556000000000001</v>
      </c>
      <c r="AT264" s="77">
        <v>4.1426999999999996</v>
      </c>
      <c r="AU264" s="77">
        <v>4.4074</v>
      </c>
      <c r="AX264" s="77">
        <v>4.6409000000000002</v>
      </c>
      <c r="BD264" s="77">
        <v>2.5800999999999998</v>
      </c>
      <c r="BN264" s="78">
        <f t="shared" si="3"/>
        <v>2.5800999999999998</v>
      </c>
    </row>
    <row r="265" spans="2:66" hidden="1" x14ac:dyDescent="0.35">
      <c r="B265" s="77" t="s">
        <v>562</v>
      </c>
      <c r="C265" s="77" t="s">
        <v>563</v>
      </c>
      <c r="D265" s="77" t="s">
        <v>763</v>
      </c>
      <c r="E265" s="77" t="s">
        <v>762</v>
      </c>
      <c r="AQ265" s="77">
        <v>0.64990000000000003</v>
      </c>
      <c r="AU265" s="77">
        <v>1.1223000000000001</v>
      </c>
      <c r="BN265" s="78">
        <f t="shared" si="3"/>
        <v>1.1223000000000001</v>
      </c>
    </row>
    <row r="266" spans="2:66" hidden="1" x14ac:dyDescent="0.35">
      <c r="B266" s="77" t="s">
        <v>337</v>
      </c>
      <c r="C266" s="77" t="s">
        <v>338</v>
      </c>
      <c r="D266" s="77" t="s">
        <v>763</v>
      </c>
      <c r="E266" s="77" t="s">
        <v>762</v>
      </c>
      <c r="BN266" s="78" t="str">
        <f t="shared" si="3"/>
        <v>No reported value</v>
      </c>
    </row>
    <row r="267" spans="2:66" hidden="1" x14ac:dyDescent="0.35">
      <c r="B267" s="77" t="s">
        <v>565</v>
      </c>
      <c r="C267" s="77" t="s">
        <v>566</v>
      </c>
      <c r="D267" s="77" t="s">
        <v>763</v>
      </c>
      <c r="E267" s="77" t="s">
        <v>762</v>
      </c>
      <c r="BN267" s="78" t="str">
        <f t="shared" si="3"/>
        <v>No reported value</v>
      </c>
    </row>
    <row r="268" spans="2:66" hidden="1" x14ac:dyDescent="0.35">
      <c r="B268" s="77" t="s">
        <v>564</v>
      </c>
      <c r="C268" s="77" t="s">
        <v>160</v>
      </c>
      <c r="D268" s="77" t="s">
        <v>763</v>
      </c>
      <c r="E268" s="77" t="s">
        <v>762</v>
      </c>
      <c r="AU268" s="77">
        <v>0.72960000000000003</v>
      </c>
      <c r="AV268" s="77">
        <v>0.75419999999999998</v>
      </c>
      <c r="AX268" s="77">
        <v>0.66300000000000003</v>
      </c>
      <c r="AY268" s="77">
        <v>0.82630000000000003</v>
      </c>
      <c r="AZ268" s="77">
        <v>0.87480000000000002</v>
      </c>
      <c r="BA268" s="77">
        <v>0.94479999999999997</v>
      </c>
      <c r="BB268" s="77">
        <v>1.0152000000000001</v>
      </c>
      <c r="BC268" s="77">
        <v>1.1022000000000001</v>
      </c>
      <c r="BD268" s="77">
        <v>1.2256</v>
      </c>
      <c r="BE268" s="77">
        <v>1.1299999999999999</v>
      </c>
      <c r="BF268" s="77">
        <v>1.4419</v>
      </c>
      <c r="BG268" s="77">
        <v>1.226</v>
      </c>
      <c r="BH268" s="77">
        <v>1.4171</v>
      </c>
      <c r="BI268" s="77">
        <v>1.4092</v>
      </c>
      <c r="BJ268" s="77">
        <v>1.4320999999999999</v>
      </c>
      <c r="BN268" s="78">
        <f t="shared" si="3"/>
        <v>1.4320999999999999</v>
      </c>
    </row>
    <row r="269" spans="2:66" hidden="1" x14ac:dyDescent="0.35">
      <c r="B269" s="77" t="s">
        <v>258</v>
      </c>
      <c r="C269" s="77" t="s">
        <v>151</v>
      </c>
      <c r="D269" s="77" t="s">
        <v>763</v>
      </c>
      <c r="E269" s="77" t="s">
        <v>762</v>
      </c>
      <c r="AQ269" s="77">
        <v>2.4457</v>
      </c>
      <c r="AX269" s="77">
        <v>1.7638</v>
      </c>
      <c r="BA269" s="77">
        <v>1.5636000000000001</v>
      </c>
      <c r="BB269" s="77">
        <v>1.6866000000000001</v>
      </c>
      <c r="BD269" s="77">
        <v>1.696</v>
      </c>
      <c r="BF269" s="77">
        <v>1.8545</v>
      </c>
      <c r="BJ269" s="77">
        <v>1.3853</v>
      </c>
      <c r="BN269" s="78">
        <f t="shared" ref="BN269:BN276" si="4">IFERROR(LOOKUP(2,1/(ISNUMBER(F269:BM269)),F269:BM269),"No reported value")</f>
        <v>1.3853</v>
      </c>
    </row>
    <row r="270" spans="2:66" hidden="1" x14ac:dyDescent="0.35">
      <c r="B270" s="77" t="s">
        <v>569</v>
      </c>
      <c r="C270" s="77" t="s">
        <v>570</v>
      </c>
      <c r="D270" s="77" t="s">
        <v>763</v>
      </c>
      <c r="E270" s="77" t="s">
        <v>762</v>
      </c>
      <c r="AT270" s="77">
        <v>2.433415177749334</v>
      </c>
      <c r="BI270" s="77">
        <v>3.4234202979140669</v>
      </c>
      <c r="BN270" s="78">
        <f t="shared" si="4"/>
        <v>3.4234202979140669</v>
      </c>
    </row>
    <row r="271" spans="2:66" hidden="1" x14ac:dyDescent="0.35">
      <c r="B271" s="77" t="s">
        <v>254</v>
      </c>
      <c r="C271" s="77" t="s">
        <v>152</v>
      </c>
      <c r="D271" s="77" t="s">
        <v>763</v>
      </c>
      <c r="E271" s="77" t="s">
        <v>762</v>
      </c>
      <c r="AS271" s="77">
        <v>2.0081000000000002</v>
      </c>
      <c r="AW271" s="77">
        <v>1.7444999999999999</v>
      </c>
      <c r="BB271" s="77">
        <v>1.8965000000000001</v>
      </c>
      <c r="BD271" s="77">
        <v>1.536</v>
      </c>
      <c r="BF271" s="77">
        <v>1.7865</v>
      </c>
      <c r="BH271" s="77">
        <v>1.8565</v>
      </c>
      <c r="BN271" s="78">
        <f t="shared" si="4"/>
        <v>1.8565</v>
      </c>
    </row>
    <row r="272" spans="2:66" hidden="1" x14ac:dyDescent="0.35">
      <c r="B272" s="77" t="s">
        <v>237</v>
      </c>
      <c r="C272" s="77" t="s">
        <v>430</v>
      </c>
      <c r="D272" s="77" t="s">
        <v>763</v>
      </c>
      <c r="E272" s="77" t="s">
        <v>762</v>
      </c>
      <c r="BN272" s="78" t="str">
        <f t="shared" si="4"/>
        <v>No reported value</v>
      </c>
    </row>
    <row r="273" spans="1:66" hidden="1" x14ac:dyDescent="0.35">
      <c r="B273" s="77" t="s">
        <v>571</v>
      </c>
      <c r="C273" s="77" t="s">
        <v>153</v>
      </c>
      <c r="D273" s="77" t="s">
        <v>763</v>
      </c>
      <c r="E273" s="77" t="s">
        <v>762</v>
      </c>
      <c r="AQ273" s="77">
        <v>0.40389999999999998</v>
      </c>
      <c r="AX273" s="77">
        <v>0.68669999999999998</v>
      </c>
      <c r="BD273" s="77">
        <v>0.70279999999999998</v>
      </c>
      <c r="BH273" s="77">
        <v>0.73</v>
      </c>
      <c r="BN273" s="78">
        <f t="shared" si="4"/>
        <v>0.73</v>
      </c>
    </row>
    <row r="274" spans="1:66" hidden="1" x14ac:dyDescent="0.35">
      <c r="B274" s="77" t="s">
        <v>178</v>
      </c>
      <c r="C274" s="77" t="s">
        <v>154</v>
      </c>
      <c r="D274" s="77" t="s">
        <v>763</v>
      </c>
      <c r="E274" s="77" t="s">
        <v>762</v>
      </c>
      <c r="AR274" s="77">
        <v>3.9146999999999998</v>
      </c>
      <c r="AS274" s="77">
        <v>3.8371</v>
      </c>
      <c r="AT274" s="77">
        <v>3.7536</v>
      </c>
      <c r="AU274" s="77">
        <v>3.7153999999999998</v>
      </c>
      <c r="AV274" s="77">
        <v>3.6760000000000002</v>
      </c>
      <c r="AW274" s="77">
        <v>3.7298</v>
      </c>
      <c r="AX274" s="77">
        <v>3.8231999999999999</v>
      </c>
      <c r="AY274" s="77">
        <v>3.9178000000000002</v>
      </c>
      <c r="AZ274" s="77">
        <v>3.9889999999999999</v>
      </c>
      <c r="BA274" s="77">
        <v>4.0881999999999996</v>
      </c>
      <c r="BB274" s="77">
        <v>4.2213000000000003</v>
      </c>
      <c r="BC274" s="77">
        <v>4.3517999999999999</v>
      </c>
      <c r="BD274" s="77">
        <v>4.4797000000000002</v>
      </c>
      <c r="BE274" s="77">
        <v>4.5575999999999999</v>
      </c>
      <c r="BF274" s="77">
        <v>4.6932999999999998</v>
      </c>
      <c r="BG274" s="77">
        <v>4.8486000000000002</v>
      </c>
      <c r="BH274" s="77">
        <v>4.9584999999999999</v>
      </c>
      <c r="BI274" s="77">
        <v>5.0391000000000004</v>
      </c>
      <c r="BJ274" s="77">
        <v>5.1318000000000001</v>
      </c>
      <c r="BK274" s="77">
        <v>3.5171000000000001</v>
      </c>
      <c r="BN274" s="78">
        <f t="shared" si="4"/>
        <v>3.5171000000000001</v>
      </c>
    </row>
    <row r="275" spans="1:66" hidden="1" x14ac:dyDescent="0.35">
      <c r="B275" s="77" t="s">
        <v>217</v>
      </c>
      <c r="C275" s="77" t="s">
        <v>155</v>
      </c>
      <c r="D275" s="77" t="s">
        <v>763</v>
      </c>
      <c r="E275" s="77" t="s">
        <v>762</v>
      </c>
      <c r="AY275" s="77">
        <v>0.69440000000000002</v>
      </c>
      <c r="AZ275" s="77">
        <v>0.67579999999999996</v>
      </c>
      <c r="BB275" s="77">
        <v>0.69489999999999996</v>
      </c>
      <c r="BC275" s="77">
        <v>0.70579999999999998</v>
      </c>
      <c r="BD275" s="77">
        <v>0.71709999999999996</v>
      </c>
      <c r="BJ275" s="77">
        <v>0.89249999999999996</v>
      </c>
      <c r="BN275" s="78">
        <f t="shared" si="4"/>
        <v>0.89249999999999996</v>
      </c>
    </row>
    <row r="276" spans="1:66" hidden="1" x14ac:dyDescent="0.35">
      <c r="B276" s="77" t="s">
        <v>218</v>
      </c>
      <c r="C276" s="77" t="s">
        <v>156</v>
      </c>
      <c r="D276" s="77" t="s">
        <v>763</v>
      </c>
      <c r="E276" s="77" t="s">
        <v>762</v>
      </c>
      <c r="AJ276" s="77">
        <v>1.4896</v>
      </c>
      <c r="AO276" s="77">
        <v>1.5388999999999999</v>
      </c>
      <c r="BC276" s="77">
        <v>1.2069000000000001</v>
      </c>
      <c r="BD276" s="77">
        <v>1.2089000000000001</v>
      </c>
      <c r="BE276" s="77">
        <v>1.1832</v>
      </c>
      <c r="BF276" s="77">
        <v>1.0561</v>
      </c>
      <c r="BG276" s="77">
        <v>1.2436</v>
      </c>
      <c r="BH276" s="77">
        <v>1.1546000000000001</v>
      </c>
      <c r="BN276" s="78">
        <f t="shared" si="4"/>
        <v>1.1546000000000001</v>
      </c>
    </row>
    <row r="277" spans="1:66" hidden="1" x14ac:dyDescent="0.35"/>
    <row r="278" spans="1:66" s="180" customFormat="1" ht="16.399999999999999" hidden="1" customHeight="1" x14ac:dyDescent="0.35">
      <c r="A278" s="187" t="s">
        <v>861</v>
      </c>
      <c r="B278" s="181" t="s">
        <v>858</v>
      </c>
    </row>
    <row r="279" spans="1:66" s="25" customFormat="1" hidden="1" x14ac:dyDescent="0.35">
      <c r="B279" s="25" t="s">
        <v>760</v>
      </c>
      <c r="E279" s="26"/>
      <c r="F279" s="26"/>
      <c r="G279" s="26"/>
    </row>
    <row r="280" spans="1:66" s="14" customFormat="1" hidden="1" x14ac:dyDescent="0.35">
      <c r="B280" s="14" t="s">
        <v>759</v>
      </c>
      <c r="E280" s="74"/>
      <c r="F280" s="74"/>
      <c r="G280" s="74"/>
    </row>
    <row r="281" spans="1:66" s="186" customFormat="1" hidden="1" x14ac:dyDescent="0.35">
      <c r="B281" s="185" t="s">
        <v>794</v>
      </c>
    </row>
    <row r="282" spans="1:66" s="129" customFormat="1" ht="14.15" hidden="1" customHeight="1" x14ac:dyDescent="0.35">
      <c r="B282" s="189" t="s">
        <v>857</v>
      </c>
    </row>
    <row r="283" spans="1:66" hidden="1" x14ac:dyDescent="0.35">
      <c r="B283"/>
    </row>
    <row r="284" spans="1:66" hidden="1" x14ac:dyDescent="0.35">
      <c r="B284" s="4" t="s">
        <v>572</v>
      </c>
      <c r="C284" s="4" t="s">
        <v>573</v>
      </c>
      <c r="D284" s="4" t="s">
        <v>625</v>
      </c>
      <c r="E284" s="4" t="s">
        <v>626</v>
      </c>
      <c r="F284" s="4">
        <v>1960</v>
      </c>
      <c r="G284" s="4">
        <v>1961</v>
      </c>
      <c r="H284" s="4">
        <v>1962</v>
      </c>
      <c r="I284" s="4">
        <v>1963</v>
      </c>
      <c r="J284" s="4">
        <v>1964</v>
      </c>
      <c r="K284" s="4">
        <v>1965</v>
      </c>
      <c r="L284" s="4">
        <v>1966</v>
      </c>
      <c r="M284" s="4">
        <v>1967</v>
      </c>
      <c r="N284" s="4">
        <v>1968</v>
      </c>
      <c r="O284" s="4">
        <v>1969</v>
      </c>
      <c r="P284" s="4">
        <v>1970</v>
      </c>
      <c r="Q284" s="4">
        <v>1971</v>
      </c>
      <c r="R284" s="4">
        <v>1972</v>
      </c>
      <c r="S284" s="4">
        <v>1973</v>
      </c>
      <c r="T284" s="4">
        <v>1974</v>
      </c>
      <c r="U284" s="4">
        <v>1975</v>
      </c>
      <c r="V284" s="4">
        <v>1976</v>
      </c>
      <c r="W284" s="4">
        <v>1977</v>
      </c>
      <c r="X284" s="4">
        <v>1978</v>
      </c>
      <c r="Y284" s="4">
        <v>1979</v>
      </c>
      <c r="Z284" s="4">
        <v>1980</v>
      </c>
      <c r="AA284" s="4">
        <v>1981</v>
      </c>
      <c r="AB284" s="4">
        <v>1982</v>
      </c>
      <c r="AC284" s="4">
        <v>1983</v>
      </c>
      <c r="AD284" s="4">
        <v>1984</v>
      </c>
      <c r="AE284" s="4">
        <v>1985</v>
      </c>
      <c r="AF284" s="4">
        <v>1986</v>
      </c>
      <c r="AG284" s="4">
        <v>1987</v>
      </c>
      <c r="AH284" s="4">
        <v>1988</v>
      </c>
      <c r="AI284" s="4">
        <v>1989</v>
      </c>
      <c r="AJ284" s="4">
        <v>1990</v>
      </c>
      <c r="AK284" s="4">
        <v>1991</v>
      </c>
      <c r="AL284" s="4">
        <v>1992</v>
      </c>
      <c r="AM284" s="4">
        <v>1993</v>
      </c>
      <c r="AN284" s="4">
        <v>1994</v>
      </c>
      <c r="AO284" s="4">
        <v>1995</v>
      </c>
      <c r="AP284" s="4">
        <v>1996</v>
      </c>
      <c r="AQ284" s="4">
        <v>1997</v>
      </c>
      <c r="AR284" s="4">
        <v>1998</v>
      </c>
      <c r="AS284" s="4">
        <v>1999</v>
      </c>
      <c r="AT284" s="4">
        <v>2000</v>
      </c>
      <c r="AU284" s="4">
        <v>2001</v>
      </c>
      <c r="AV284" s="4">
        <v>2002</v>
      </c>
      <c r="AW284" s="4">
        <v>2003</v>
      </c>
      <c r="AX284" s="4">
        <v>2004</v>
      </c>
      <c r="AY284" s="4">
        <v>2005</v>
      </c>
      <c r="AZ284" s="4">
        <v>2006</v>
      </c>
      <c r="BA284" s="4">
        <v>2007</v>
      </c>
      <c r="BB284" s="4">
        <v>2008</v>
      </c>
      <c r="BC284" s="4">
        <v>2009</v>
      </c>
      <c r="BD284" s="4">
        <v>2010</v>
      </c>
      <c r="BE284" s="4">
        <v>2011</v>
      </c>
      <c r="BF284" s="4">
        <v>2012</v>
      </c>
      <c r="BG284" s="4">
        <v>2013</v>
      </c>
      <c r="BH284" s="4">
        <v>2014</v>
      </c>
      <c r="BI284" s="4">
        <v>2015</v>
      </c>
      <c r="BJ284" s="4">
        <v>2016</v>
      </c>
      <c r="BK284" s="4">
        <v>2017</v>
      </c>
      <c r="BL284" s="4">
        <v>2018</v>
      </c>
      <c r="BM284" s="4">
        <v>2019</v>
      </c>
      <c r="BN284" s="184" t="s">
        <v>758</v>
      </c>
    </row>
    <row r="285" spans="1:66" hidden="1" x14ac:dyDescent="0.35">
      <c r="B285" s="41" t="s">
        <v>322</v>
      </c>
      <c r="C285" s="41" t="s">
        <v>323</v>
      </c>
      <c r="D285" s="41" t="s">
        <v>757</v>
      </c>
      <c r="E285" s="41" t="s">
        <v>756</v>
      </c>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t="str">
        <f t="shared" ref="BN285:BN348" si="5">IFERROR(LOOKUP(2,1/(ISNUMBER(F285:BM285)),F285:BM285),"No reported value")</f>
        <v>No reported value</v>
      </c>
    </row>
    <row r="286" spans="1:66" hidden="1" x14ac:dyDescent="0.35">
      <c r="B286" s="41" t="s">
        <v>230</v>
      </c>
      <c r="C286" s="41" t="s">
        <v>0</v>
      </c>
      <c r="D286" s="41" t="s">
        <v>757</v>
      </c>
      <c r="E286" s="41" t="s">
        <v>756</v>
      </c>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t="str">
        <f t="shared" si="5"/>
        <v>No reported value</v>
      </c>
    </row>
    <row r="287" spans="1:66" hidden="1" x14ac:dyDescent="0.35">
      <c r="B287" s="41" t="s">
        <v>182</v>
      </c>
      <c r="C287" s="41" t="s">
        <v>165</v>
      </c>
      <c r="D287" s="41" t="s">
        <v>757</v>
      </c>
      <c r="E287" s="41" t="s">
        <v>756</v>
      </c>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t="str">
        <f t="shared" si="5"/>
        <v>No reported value</v>
      </c>
    </row>
    <row r="288" spans="1:66" hidden="1" x14ac:dyDescent="0.35">
      <c r="B288" s="41" t="s">
        <v>311</v>
      </c>
      <c r="C288" s="41" t="s">
        <v>312</v>
      </c>
      <c r="D288" s="41" t="s">
        <v>757</v>
      </c>
      <c r="E288" s="41" t="s">
        <v>756</v>
      </c>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t="str">
        <f t="shared" si="5"/>
        <v>No reported value</v>
      </c>
    </row>
    <row r="289" spans="2:66" hidden="1" x14ac:dyDescent="0.35">
      <c r="B289" s="41" t="s">
        <v>315</v>
      </c>
      <c r="C289" s="41" t="s">
        <v>1</v>
      </c>
      <c r="D289" s="41" t="s">
        <v>757</v>
      </c>
      <c r="E289" s="41" t="s">
        <v>756</v>
      </c>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t="str">
        <f t="shared" si="5"/>
        <v>No reported value</v>
      </c>
    </row>
    <row r="290" spans="2:66" hidden="1" x14ac:dyDescent="0.35">
      <c r="B290" s="41" t="s">
        <v>318</v>
      </c>
      <c r="C290" s="41" t="s">
        <v>319</v>
      </c>
      <c r="D290" s="41" t="s">
        <v>757</v>
      </c>
      <c r="E290" s="41" t="s">
        <v>756</v>
      </c>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t="str">
        <f t="shared" si="5"/>
        <v>No reported value</v>
      </c>
    </row>
    <row r="291" spans="2:66" hidden="1" x14ac:dyDescent="0.35">
      <c r="B291" s="41" t="s">
        <v>554</v>
      </c>
      <c r="C291" s="41" t="s">
        <v>2</v>
      </c>
      <c r="D291" s="41" t="s">
        <v>757</v>
      </c>
      <c r="E291" s="41" t="s">
        <v>756</v>
      </c>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t="str">
        <f t="shared" si="5"/>
        <v>No reported value</v>
      </c>
    </row>
    <row r="292" spans="2:66" hidden="1" x14ac:dyDescent="0.35">
      <c r="B292" s="41" t="s">
        <v>320</v>
      </c>
      <c r="C292" s="41" t="s">
        <v>321</v>
      </c>
      <c r="D292" s="41" t="s">
        <v>757</v>
      </c>
      <c r="E292" s="41" t="s">
        <v>756</v>
      </c>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t="str">
        <f t="shared" si="5"/>
        <v>No reported value</v>
      </c>
    </row>
    <row r="293" spans="2:66" hidden="1" x14ac:dyDescent="0.35">
      <c r="B293" s="41" t="s">
        <v>234</v>
      </c>
      <c r="C293" s="41" t="s">
        <v>3</v>
      </c>
      <c r="D293" s="41" t="s">
        <v>757</v>
      </c>
      <c r="E293" s="41" t="s">
        <v>756</v>
      </c>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t="str">
        <f t="shared" si="5"/>
        <v>No reported value</v>
      </c>
    </row>
    <row r="294" spans="2:66" hidden="1" x14ac:dyDescent="0.35">
      <c r="B294" s="41" t="s">
        <v>314</v>
      </c>
      <c r="C294" s="41" t="s">
        <v>193</v>
      </c>
      <c r="D294" s="41" t="s">
        <v>757</v>
      </c>
      <c r="E294" s="41" t="s">
        <v>756</v>
      </c>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t="str">
        <f t="shared" si="5"/>
        <v>No reported value</v>
      </c>
    </row>
    <row r="295" spans="2:66" hidden="1" x14ac:dyDescent="0.35">
      <c r="B295" s="41" t="s">
        <v>316</v>
      </c>
      <c r="C295" s="41" t="s">
        <v>317</v>
      </c>
      <c r="D295" s="41" t="s">
        <v>757</v>
      </c>
      <c r="E295" s="41" t="s">
        <v>756</v>
      </c>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t="str">
        <f t="shared" si="5"/>
        <v>No reported value</v>
      </c>
    </row>
    <row r="296" spans="2:66" hidden="1" x14ac:dyDescent="0.35">
      <c r="B296" s="41" t="s">
        <v>324</v>
      </c>
      <c r="C296" s="41" t="s">
        <v>4</v>
      </c>
      <c r="D296" s="41" t="s">
        <v>757</v>
      </c>
      <c r="E296" s="41" t="s">
        <v>756</v>
      </c>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v>3.9E-2</v>
      </c>
      <c r="AQ296" s="41"/>
      <c r="AR296" s="41"/>
      <c r="AS296" s="41"/>
      <c r="AT296" s="41"/>
      <c r="AU296" s="41">
        <v>0.19700000000000001</v>
      </c>
      <c r="AV296" s="41"/>
      <c r="AW296" s="41"/>
      <c r="AX296" s="41"/>
      <c r="AY296" s="41"/>
      <c r="AZ296" s="41">
        <v>4.9000000000000002E-2</v>
      </c>
      <c r="BA296" s="41"/>
      <c r="BB296" s="41"/>
      <c r="BC296" s="41"/>
      <c r="BD296" s="41"/>
      <c r="BE296" s="41"/>
      <c r="BF296" s="41"/>
      <c r="BG296" s="41"/>
      <c r="BH296" s="41"/>
      <c r="BI296" s="41"/>
      <c r="BJ296" s="41"/>
      <c r="BK296" s="41"/>
      <c r="BL296" s="41"/>
      <c r="BM296" s="41"/>
      <c r="BN296" s="41">
        <f t="shared" si="5"/>
        <v>4.9000000000000002E-2</v>
      </c>
    </row>
    <row r="297" spans="2:66" hidden="1" x14ac:dyDescent="0.35">
      <c r="B297" s="41" t="s">
        <v>325</v>
      </c>
      <c r="C297" s="41" t="s">
        <v>5</v>
      </c>
      <c r="D297" s="41" t="s">
        <v>757</v>
      </c>
      <c r="E297" s="41" t="s">
        <v>756</v>
      </c>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t="str">
        <f t="shared" si="5"/>
        <v>No reported value</v>
      </c>
    </row>
    <row r="298" spans="2:66" hidden="1" x14ac:dyDescent="0.35">
      <c r="B298" s="41" t="s">
        <v>235</v>
      </c>
      <c r="C298" s="41" t="s">
        <v>6</v>
      </c>
      <c r="D298" s="41" t="s">
        <v>757</v>
      </c>
      <c r="E298" s="41" t="s">
        <v>756</v>
      </c>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t="str">
        <f t="shared" si="5"/>
        <v>No reported value</v>
      </c>
    </row>
    <row r="299" spans="2:66" hidden="1" x14ac:dyDescent="0.35">
      <c r="B299" s="41" t="s">
        <v>186</v>
      </c>
      <c r="C299" s="41" t="s">
        <v>7</v>
      </c>
      <c r="D299" s="41" t="s">
        <v>757</v>
      </c>
      <c r="E299" s="41" t="s">
        <v>756</v>
      </c>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v>7.1999999999999995E-2</v>
      </c>
      <c r="AY299" s="41"/>
      <c r="AZ299" s="41"/>
      <c r="BA299" s="41"/>
      <c r="BB299" s="41"/>
      <c r="BC299" s="41"/>
      <c r="BD299" s="41"/>
      <c r="BE299" s="41"/>
      <c r="BF299" s="41"/>
      <c r="BG299" s="41"/>
      <c r="BH299" s="41"/>
      <c r="BI299" s="41"/>
      <c r="BJ299" s="41"/>
      <c r="BK299" s="41"/>
      <c r="BL299" s="41"/>
      <c r="BM299" s="41"/>
      <c r="BN299" s="41">
        <f t="shared" si="5"/>
        <v>7.1999999999999995E-2</v>
      </c>
    </row>
    <row r="300" spans="2:66" hidden="1" x14ac:dyDescent="0.35">
      <c r="B300" s="41" t="s">
        <v>331</v>
      </c>
      <c r="C300" s="41" t="s">
        <v>8</v>
      </c>
      <c r="D300" s="41" t="s">
        <v>757</v>
      </c>
      <c r="E300" s="41" t="s">
        <v>756</v>
      </c>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t="str">
        <f t="shared" si="5"/>
        <v>No reported value</v>
      </c>
    </row>
    <row r="301" spans="2:66" hidden="1" x14ac:dyDescent="0.35">
      <c r="B301" s="41" t="s">
        <v>183</v>
      </c>
      <c r="C301" s="41" t="s">
        <v>9</v>
      </c>
      <c r="D301" s="41" t="s">
        <v>757</v>
      </c>
      <c r="E301" s="41" t="s">
        <v>756</v>
      </c>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t="str">
        <f t="shared" si="5"/>
        <v>No reported value</v>
      </c>
    </row>
    <row r="302" spans="2:66" hidden="1" x14ac:dyDescent="0.35">
      <c r="B302" s="41" t="s">
        <v>185</v>
      </c>
      <c r="C302" s="41" t="s">
        <v>10</v>
      </c>
      <c r="D302" s="41" t="s">
        <v>757</v>
      </c>
      <c r="E302" s="41" t="s">
        <v>756</v>
      </c>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v>9.1999999999999998E-2</v>
      </c>
      <c r="AY302" s="41"/>
      <c r="AZ302" s="41">
        <v>9.0999999999999998E-2</v>
      </c>
      <c r="BA302" s="41"/>
      <c r="BB302" s="41"/>
      <c r="BC302" s="41"/>
      <c r="BD302" s="41">
        <v>0.126</v>
      </c>
      <c r="BE302" s="41"/>
      <c r="BF302" s="41">
        <v>0.127</v>
      </c>
      <c r="BG302" s="41"/>
      <c r="BH302" s="41"/>
      <c r="BI302" s="41"/>
      <c r="BJ302" s="41"/>
      <c r="BK302" s="41"/>
      <c r="BL302" s="41"/>
      <c r="BM302" s="41"/>
      <c r="BN302" s="41">
        <f t="shared" si="5"/>
        <v>0.127</v>
      </c>
    </row>
    <row r="303" spans="2:66" hidden="1" x14ac:dyDescent="0.35">
      <c r="B303" s="41" t="s">
        <v>240</v>
      </c>
      <c r="C303" s="41" t="s">
        <v>11</v>
      </c>
      <c r="D303" s="41" t="s">
        <v>757</v>
      </c>
      <c r="E303" s="41" t="s">
        <v>756</v>
      </c>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v>0.151</v>
      </c>
      <c r="AY303" s="41">
        <v>0.14699999999999999</v>
      </c>
      <c r="AZ303" s="41"/>
      <c r="BA303" s="41"/>
      <c r="BB303" s="41"/>
      <c r="BC303" s="41"/>
      <c r="BD303" s="41"/>
      <c r="BE303" s="41">
        <v>0.39300000000000002</v>
      </c>
      <c r="BF303" s="41">
        <v>0.47599999999999998</v>
      </c>
      <c r="BG303" s="41"/>
      <c r="BH303" s="41"/>
      <c r="BI303" s="41"/>
      <c r="BJ303" s="41"/>
      <c r="BK303" s="41"/>
      <c r="BL303" s="41"/>
      <c r="BM303" s="41"/>
      <c r="BN303" s="41">
        <f t="shared" si="5"/>
        <v>0.47599999999999998</v>
      </c>
    </row>
    <row r="304" spans="2:66" hidden="1" x14ac:dyDescent="0.35">
      <c r="B304" s="41" t="s">
        <v>340</v>
      </c>
      <c r="C304" s="41" t="s">
        <v>12</v>
      </c>
      <c r="D304" s="41" t="s">
        <v>757</v>
      </c>
      <c r="E304" s="41" t="s">
        <v>756</v>
      </c>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t="str">
        <f t="shared" si="5"/>
        <v>No reported value</v>
      </c>
    </row>
    <row r="305" spans="2:66" hidden="1" x14ac:dyDescent="0.35">
      <c r="B305" s="41" t="s">
        <v>327</v>
      </c>
      <c r="C305" s="41" t="s">
        <v>13</v>
      </c>
      <c r="D305" s="41" t="s">
        <v>757</v>
      </c>
      <c r="E305" s="41" t="s">
        <v>756</v>
      </c>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t="str">
        <f t="shared" si="5"/>
        <v>No reported value</v>
      </c>
    </row>
    <row r="306" spans="2:66" hidden="1" x14ac:dyDescent="0.35">
      <c r="B306" s="41" t="s">
        <v>326</v>
      </c>
      <c r="C306" s="41" t="s">
        <v>14</v>
      </c>
      <c r="D306" s="41" t="s">
        <v>757</v>
      </c>
      <c r="E306" s="41" t="s">
        <v>756</v>
      </c>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t="str">
        <f t="shared" si="5"/>
        <v>No reported value</v>
      </c>
    </row>
    <row r="307" spans="2:66" hidden="1" x14ac:dyDescent="0.35">
      <c r="B307" s="41" t="s">
        <v>335</v>
      </c>
      <c r="C307" s="41" t="s">
        <v>15</v>
      </c>
      <c r="D307" s="41" t="s">
        <v>757</v>
      </c>
      <c r="E307" s="41" t="s">
        <v>756</v>
      </c>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t="str">
        <f t="shared" si="5"/>
        <v>No reported value</v>
      </c>
    </row>
    <row r="308" spans="2:66" hidden="1" x14ac:dyDescent="0.35">
      <c r="B308" s="41" t="s">
        <v>330</v>
      </c>
      <c r="C308" s="41" t="s">
        <v>16</v>
      </c>
      <c r="D308" s="41" t="s">
        <v>757</v>
      </c>
      <c r="E308" s="41" t="s">
        <v>756</v>
      </c>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t="str">
        <f t="shared" si="5"/>
        <v>No reported value</v>
      </c>
    </row>
    <row r="309" spans="2:66" hidden="1" x14ac:dyDescent="0.35">
      <c r="B309" s="41" t="s">
        <v>332</v>
      </c>
      <c r="C309" s="41" t="s">
        <v>17</v>
      </c>
      <c r="D309" s="41" t="s">
        <v>757</v>
      </c>
      <c r="E309" s="41" t="s">
        <v>756</v>
      </c>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v>0.503</v>
      </c>
      <c r="BD309" s="41"/>
      <c r="BE309" s="41"/>
      <c r="BF309" s="41"/>
      <c r="BG309" s="41"/>
      <c r="BH309" s="41"/>
      <c r="BI309" s="41"/>
      <c r="BJ309" s="41"/>
      <c r="BK309" s="41"/>
      <c r="BL309" s="41"/>
      <c r="BM309" s="41"/>
      <c r="BN309" s="41">
        <f t="shared" si="5"/>
        <v>0.503</v>
      </c>
    </row>
    <row r="310" spans="2:66" hidden="1" x14ac:dyDescent="0.35">
      <c r="B310" s="41" t="s">
        <v>333</v>
      </c>
      <c r="C310" s="41" t="s">
        <v>334</v>
      </c>
      <c r="D310" s="41" t="s">
        <v>757</v>
      </c>
      <c r="E310" s="41" t="s">
        <v>756</v>
      </c>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t="str">
        <f t="shared" si="5"/>
        <v>No reported value</v>
      </c>
    </row>
    <row r="311" spans="2:66" hidden="1" x14ac:dyDescent="0.35">
      <c r="B311" s="41" t="s">
        <v>219</v>
      </c>
      <c r="C311" s="41" t="s">
        <v>18</v>
      </c>
      <c r="D311" s="41" t="s">
        <v>757</v>
      </c>
      <c r="E311" s="41" t="s">
        <v>756</v>
      </c>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v>0.11799999999999999</v>
      </c>
      <c r="AV311" s="41"/>
      <c r="AW311" s="41"/>
      <c r="AX311" s="41"/>
      <c r="AY311" s="41"/>
      <c r="AZ311" s="41"/>
      <c r="BA311" s="41"/>
      <c r="BB311" s="41"/>
      <c r="BC311" s="41"/>
      <c r="BD311" s="41"/>
      <c r="BE311" s="41"/>
      <c r="BF311" s="41"/>
      <c r="BG311" s="41"/>
      <c r="BH311" s="41"/>
      <c r="BI311" s="41"/>
      <c r="BJ311" s="41"/>
      <c r="BK311" s="41"/>
      <c r="BL311" s="41"/>
      <c r="BM311" s="41"/>
      <c r="BN311" s="41">
        <f t="shared" si="5"/>
        <v>0.11799999999999999</v>
      </c>
    </row>
    <row r="312" spans="2:66" hidden="1" x14ac:dyDescent="0.35">
      <c r="B312" s="41" t="s">
        <v>336</v>
      </c>
      <c r="C312" s="41" t="s">
        <v>19</v>
      </c>
      <c r="D312" s="41" t="s">
        <v>757</v>
      </c>
      <c r="E312" s="41" t="s">
        <v>756</v>
      </c>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t="str">
        <f t="shared" si="5"/>
        <v>No reported value</v>
      </c>
    </row>
    <row r="313" spans="2:66" hidden="1" x14ac:dyDescent="0.35">
      <c r="B313" s="41" t="s">
        <v>328</v>
      </c>
      <c r="C313" s="41" t="s">
        <v>329</v>
      </c>
      <c r="D313" s="41" t="s">
        <v>757</v>
      </c>
      <c r="E313" s="41" t="s">
        <v>756</v>
      </c>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t="str">
        <f t="shared" si="5"/>
        <v>No reported value</v>
      </c>
    </row>
    <row r="314" spans="2:66" hidden="1" x14ac:dyDescent="0.35">
      <c r="B314" s="41" t="s">
        <v>339</v>
      </c>
      <c r="C314" s="41" t="s">
        <v>20</v>
      </c>
      <c r="D314" s="41" t="s">
        <v>757</v>
      </c>
      <c r="E314" s="41" t="s">
        <v>756</v>
      </c>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t="str">
        <f t="shared" si="5"/>
        <v>No reported value</v>
      </c>
    </row>
    <row r="315" spans="2:66" hidden="1" x14ac:dyDescent="0.35">
      <c r="B315" s="41" t="s">
        <v>241</v>
      </c>
      <c r="C315" s="41" t="s">
        <v>21</v>
      </c>
      <c r="D315" s="41" t="s">
        <v>757</v>
      </c>
      <c r="E315" s="41" t="s">
        <v>756</v>
      </c>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v>0.73199999999999998</v>
      </c>
      <c r="AY315" s="41"/>
      <c r="AZ315" s="41"/>
      <c r="BA315" s="41">
        <v>0.72799999999999998</v>
      </c>
      <c r="BB315" s="41">
        <v>0.129</v>
      </c>
      <c r="BC315" s="41"/>
      <c r="BD315" s="41"/>
      <c r="BE315" s="41"/>
      <c r="BF315" s="41">
        <v>0.90900000000000003</v>
      </c>
      <c r="BG315" s="41">
        <v>0.155</v>
      </c>
      <c r="BH315" s="41">
        <v>0.17799999999999999</v>
      </c>
      <c r="BI315" s="41">
        <v>0.19</v>
      </c>
      <c r="BJ315" s="41">
        <v>6.9000000000000006E-2</v>
      </c>
      <c r="BK315" s="41"/>
      <c r="BL315" s="41"/>
      <c r="BM315" s="41"/>
      <c r="BN315" s="41">
        <f t="shared" si="5"/>
        <v>6.9000000000000006E-2</v>
      </c>
    </row>
    <row r="316" spans="2:66" hidden="1" x14ac:dyDescent="0.35">
      <c r="B316" s="41" t="s">
        <v>184</v>
      </c>
      <c r="C316" s="41" t="s">
        <v>22</v>
      </c>
      <c r="D316" s="41" t="s">
        <v>757</v>
      </c>
      <c r="E316" s="41" t="s">
        <v>756</v>
      </c>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v>0.442</v>
      </c>
      <c r="AS316" s="41">
        <v>0.45400000000000001</v>
      </c>
      <c r="AT316" s="41">
        <v>0.73099999999999998</v>
      </c>
      <c r="AU316" s="41">
        <v>0.46600000000000003</v>
      </c>
      <c r="AV316" s="41">
        <v>0.48199999999999998</v>
      </c>
      <c r="AW316" s="41">
        <v>0.47899999999999998</v>
      </c>
      <c r="AX316" s="41"/>
      <c r="AY316" s="41">
        <v>0.49399999999999999</v>
      </c>
      <c r="AZ316" s="41">
        <v>0.48499999999999999</v>
      </c>
      <c r="BA316" s="41"/>
      <c r="BB316" s="41">
        <v>0.22900000000000001</v>
      </c>
      <c r="BC316" s="41">
        <v>8.3000000000000004E-2</v>
      </c>
      <c r="BD316" s="41"/>
      <c r="BE316" s="41"/>
      <c r="BF316" s="41"/>
      <c r="BG316" s="41"/>
      <c r="BH316" s="41"/>
      <c r="BI316" s="41"/>
      <c r="BJ316" s="41"/>
      <c r="BK316" s="41"/>
      <c r="BL316" s="41"/>
      <c r="BM316" s="41"/>
      <c r="BN316" s="41">
        <f t="shared" si="5"/>
        <v>8.3000000000000004E-2</v>
      </c>
    </row>
    <row r="317" spans="2:66" hidden="1" x14ac:dyDescent="0.35">
      <c r="B317" s="41" t="s">
        <v>188</v>
      </c>
      <c r="C317" s="41" t="s">
        <v>173</v>
      </c>
      <c r="D317" s="41" t="s">
        <v>757</v>
      </c>
      <c r="E317" s="41" t="s">
        <v>756</v>
      </c>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v>2.5000000000000001E-2</v>
      </c>
      <c r="AY317" s="41"/>
      <c r="AZ317" s="41"/>
      <c r="BA317" s="41"/>
      <c r="BB317" s="41">
        <v>0.40799999999999997</v>
      </c>
      <c r="BC317" s="41">
        <v>0.39300000000000002</v>
      </c>
      <c r="BD317" s="41"/>
      <c r="BE317" s="41"/>
      <c r="BF317" s="41"/>
      <c r="BG317" s="41"/>
      <c r="BH317" s="41"/>
      <c r="BI317" s="41"/>
      <c r="BJ317" s="41"/>
      <c r="BK317" s="41"/>
      <c r="BL317" s="41"/>
      <c r="BM317" s="41"/>
      <c r="BN317" s="41">
        <f t="shared" si="5"/>
        <v>0.39300000000000002</v>
      </c>
    </row>
    <row r="318" spans="2:66" hidden="1" x14ac:dyDescent="0.35">
      <c r="B318" s="41" t="s">
        <v>342</v>
      </c>
      <c r="C318" s="41" t="s">
        <v>159</v>
      </c>
      <c r="D318" s="41" t="s">
        <v>757</v>
      </c>
      <c r="E318" s="41" t="s">
        <v>756</v>
      </c>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t="str">
        <f t="shared" si="5"/>
        <v>No reported value</v>
      </c>
    </row>
    <row r="319" spans="2:66" hidden="1" x14ac:dyDescent="0.35">
      <c r="B319" s="41" t="s">
        <v>347</v>
      </c>
      <c r="C319" s="41" t="s">
        <v>348</v>
      </c>
      <c r="D319" s="41" t="s">
        <v>757</v>
      </c>
      <c r="E319" s="41" t="s">
        <v>756</v>
      </c>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t="str">
        <f t="shared" si="5"/>
        <v>No reported value</v>
      </c>
    </row>
    <row r="320" spans="2:66" hidden="1" x14ac:dyDescent="0.35">
      <c r="B320" s="41" t="s">
        <v>544</v>
      </c>
      <c r="C320" s="41" t="s">
        <v>23</v>
      </c>
      <c r="D320" s="41" t="s">
        <v>757</v>
      </c>
      <c r="E320" s="41" t="s">
        <v>756</v>
      </c>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t="str">
        <f t="shared" si="5"/>
        <v>No reported value</v>
      </c>
    </row>
    <row r="321" spans="2:66" hidden="1" x14ac:dyDescent="0.35">
      <c r="B321" s="41" t="s">
        <v>349</v>
      </c>
      <c r="C321" s="41" t="s">
        <v>350</v>
      </c>
      <c r="D321" s="41" t="s">
        <v>757</v>
      </c>
      <c r="E321" s="41" t="s">
        <v>756</v>
      </c>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t="str">
        <f t="shared" si="5"/>
        <v>No reported value</v>
      </c>
    </row>
    <row r="322" spans="2:66" hidden="1" x14ac:dyDescent="0.35">
      <c r="B322" s="41" t="s">
        <v>220</v>
      </c>
      <c r="C322" s="41" t="s">
        <v>24</v>
      </c>
      <c r="D322" s="41" t="s">
        <v>757</v>
      </c>
      <c r="E322" s="41" t="s">
        <v>756</v>
      </c>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v>2.1000000000000001E-2</v>
      </c>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f t="shared" si="5"/>
        <v>2.1000000000000001E-2</v>
      </c>
    </row>
    <row r="323" spans="2:66" hidden="1" x14ac:dyDescent="0.35">
      <c r="B323" s="41" t="s">
        <v>351</v>
      </c>
      <c r="C323" s="41" t="s">
        <v>25</v>
      </c>
      <c r="D323" s="41" t="s">
        <v>757</v>
      </c>
      <c r="E323" s="41" t="s">
        <v>756</v>
      </c>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v>1.0609999999999999</v>
      </c>
      <c r="AK323" s="41"/>
      <c r="AL323" s="41"/>
      <c r="AM323" s="41"/>
      <c r="AN323" s="41"/>
      <c r="AO323" s="41">
        <v>1.0780000000000001</v>
      </c>
      <c r="AP323" s="41">
        <v>1.0569999999999999</v>
      </c>
      <c r="AQ323" s="41">
        <v>1.0509999999999999</v>
      </c>
      <c r="AR323" s="41">
        <v>1.052</v>
      </c>
      <c r="AS323" s="41">
        <v>1.0429999999999999</v>
      </c>
      <c r="AT323" s="41">
        <v>1.0329999999999999</v>
      </c>
      <c r="AU323" s="41">
        <v>8.4000000000000005E-2</v>
      </c>
      <c r="AV323" s="41"/>
      <c r="AW323" s="41">
        <v>0.66800000000000004</v>
      </c>
      <c r="AX323" s="41">
        <v>0.67600000000000005</v>
      </c>
      <c r="AY323" s="41">
        <v>0.69799999999999995</v>
      </c>
      <c r="AZ323" s="41">
        <v>0.72499999999999998</v>
      </c>
      <c r="BA323" s="41">
        <v>0.70199999999999996</v>
      </c>
      <c r="BB323" s="41">
        <v>0.70299999999999996</v>
      </c>
      <c r="BC323" s="41">
        <v>0.83</v>
      </c>
      <c r="BD323" s="41">
        <v>0.81</v>
      </c>
      <c r="BE323" s="41">
        <v>0.83099999999999996</v>
      </c>
      <c r="BF323" s="41"/>
      <c r="BG323" s="41"/>
      <c r="BH323" s="41"/>
      <c r="BI323" s="41"/>
      <c r="BJ323" s="41"/>
      <c r="BK323" s="41"/>
      <c r="BL323" s="41"/>
      <c r="BM323" s="41"/>
      <c r="BN323" s="41">
        <f t="shared" si="5"/>
        <v>0.83099999999999996</v>
      </c>
    </row>
    <row r="324" spans="2:66" hidden="1" x14ac:dyDescent="0.35">
      <c r="B324" s="41" t="s">
        <v>357</v>
      </c>
      <c r="C324" s="41" t="s">
        <v>26</v>
      </c>
      <c r="D324" s="41" t="s">
        <v>757</v>
      </c>
      <c r="E324" s="41" t="s">
        <v>756</v>
      </c>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t="str">
        <f t="shared" si="5"/>
        <v>No reported value</v>
      </c>
    </row>
    <row r="325" spans="2:66" hidden="1" x14ac:dyDescent="0.35">
      <c r="B325" s="41" t="s">
        <v>187</v>
      </c>
      <c r="C325" s="41" t="s">
        <v>27</v>
      </c>
      <c r="D325" s="41" t="s">
        <v>757</v>
      </c>
      <c r="E325" s="41" t="s">
        <v>756</v>
      </c>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t="str">
        <f t="shared" si="5"/>
        <v>No reported value</v>
      </c>
    </row>
    <row r="326" spans="2:66" hidden="1" x14ac:dyDescent="0.35">
      <c r="B326" s="41" t="s">
        <v>354</v>
      </c>
      <c r="C326" s="41" t="s">
        <v>28</v>
      </c>
      <c r="D326" s="41" t="s">
        <v>757</v>
      </c>
      <c r="E326" s="41" t="s">
        <v>756</v>
      </c>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t="str">
        <f t="shared" si="5"/>
        <v>No reported value</v>
      </c>
    </row>
    <row r="327" spans="2:66" hidden="1" x14ac:dyDescent="0.35">
      <c r="B327" s="41" t="s">
        <v>355</v>
      </c>
      <c r="C327" s="41" t="s">
        <v>29</v>
      </c>
      <c r="D327" s="41" t="s">
        <v>757</v>
      </c>
      <c r="E327" s="41" t="s">
        <v>756</v>
      </c>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t="str">
        <f t="shared" si="5"/>
        <v>No reported value</v>
      </c>
    </row>
    <row r="328" spans="2:66" hidden="1" x14ac:dyDescent="0.35">
      <c r="B328" s="41" t="s">
        <v>352</v>
      </c>
      <c r="C328" s="41" t="s">
        <v>353</v>
      </c>
      <c r="D328" s="41" t="s">
        <v>757</v>
      </c>
      <c r="E328" s="41" t="s">
        <v>756</v>
      </c>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t="str">
        <f t="shared" si="5"/>
        <v>No reported value</v>
      </c>
    </row>
    <row r="329" spans="2:66" hidden="1" x14ac:dyDescent="0.35">
      <c r="B329" s="41" t="s">
        <v>190</v>
      </c>
      <c r="C329" s="41" t="s">
        <v>157</v>
      </c>
      <c r="D329" s="41" t="s">
        <v>757</v>
      </c>
      <c r="E329" s="41" t="s">
        <v>756</v>
      </c>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t="str">
        <f t="shared" si="5"/>
        <v>No reported value</v>
      </c>
    </row>
    <row r="330" spans="2:66" hidden="1" x14ac:dyDescent="0.35">
      <c r="B330" s="41" t="s">
        <v>341</v>
      </c>
      <c r="C330" s="41" t="s">
        <v>30</v>
      </c>
      <c r="D330" s="41" t="s">
        <v>757</v>
      </c>
      <c r="E330" s="41" t="s">
        <v>756</v>
      </c>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v>0.13900000000000001</v>
      </c>
      <c r="AY330" s="41"/>
      <c r="AZ330" s="41"/>
      <c r="BA330" s="41"/>
      <c r="BB330" s="41"/>
      <c r="BC330" s="41"/>
      <c r="BD330" s="41"/>
      <c r="BE330" s="41"/>
      <c r="BF330" s="41"/>
      <c r="BG330" s="41"/>
      <c r="BH330" s="41"/>
      <c r="BI330" s="41"/>
      <c r="BJ330" s="41"/>
      <c r="BK330" s="41"/>
      <c r="BL330" s="41"/>
      <c r="BM330" s="41"/>
      <c r="BN330" s="41">
        <f t="shared" si="5"/>
        <v>0.13900000000000001</v>
      </c>
    </row>
    <row r="331" spans="2:66" hidden="1" x14ac:dyDescent="0.35">
      <c r="B331" s="41" t="s">
        <v>356</v>
      </c>
      <c r="C331" s="41" t="s">
        <v>31</v>
      </c>
      <c r="D331" s="41" t="s">
        <v>757</v>
      </c>
      <c r="E331" s="41" t="s">
        <v>756</v>
      </c>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t="str">
        <f t="shared" si="5"/>
        <v>No reported value</v>
      </c>
    </row>
    <row r="332" spans="2:66" hidden="1" x14ac:dyDescent="0.35">
      <c r="B332" s="41" t="s">
        <v>343</v>
      </c>
      <c r="C332" s="41" t="s">
        <v>344</v>
      </c>
      <c r="D332" s="41" t="s">
        <v>757</v>
      </c>
      <c r="E332" s="41" t="s">
        <v>756</v>
      </c>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t="str">
        <f t="shared" si="5"/>
        <v>No reported value</v>
      </c>
    </row>
    <row r="333" spans="2:66" hidden="1" x14ac:dyDescent="0.35">
      <c r="B333" s="41" t="s">
        <v>221</v>
      </c>
      <c r="C333" s="41" t="s">
        <v>161</v>
      </c>
      <c r="D333" s="41" t="s">
        <v>757</v>
      </c>
      <c r="E333" s="41" t="s">
        <v>756</v>
      </c>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t="str">
        <f t="shared" si="5"/>
        <v>No reported value</v>
      </c>
    </row>
    <row r="334" spans="2:66" hidden="1" x14ac:dyDescent="0.35">
      <c r="B334" s="41" t="s">
        <v>359</v>
      </c>
      <c r="C334" s="41" t="s">
        <v>360</v>
      </c>
      <c r="D334" s="41" t="s">
        <v>757</v>
      </c>
      <c r="E334" s="41" t="s">
        <v>756</v>
      </c>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t="str">
        <f t="shared" si="5"/>
        <v>No reported value</v>
      </c>
    </row>
    <row r="335" spans="2:66" hidden="1" x14ac:dyDescent="0.35">
      <c r="B335" s="41" t="s">
        <v>345</v>
      </c>
      <c r="C335" s="41" t="s">
        <v>346</v>
      </c>
      <c r="D335" s="41" t="s">
        <v>757</v>
      </c>
      <c r="E335" s="41" t="s">
        <v>756</v>
      </c>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t="str">
        <f t="shared" si="5"/>
        <v>No reported value</v>
      </c>
    </row>
    <row r="336" spans="2:66" hidden="1" x14ac:dyDescent="0.35">
      <c r="B336" s="41" t="s">
        <v>361</v>
      </c>
      <c r="C336" s="41" t="s">
        <v>32</v>
      </c>
      <c r="D336" s="41" t="s">
        <v>757</v>
      </c>
      <c r="E336" s="41" t="s">
        <v>756</v>
      </c>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t="str">
        <f t="shared" si="5"/>
        <v>No reported value</v>
      </c>
    </row>
    <row r="337" spans="2:66" hidden="1" x14ac:dyDescent="0.35">
      <c r="B337" s="41" t="s">
        <v>362</v>
      </c>
      <c r="C337" s="41" t="s">
        <v>33</v>
      </c>
      <c r="D337" s="41" t="s">
        <v>757</v>
      </c>
      <c r="E337" s="41" t="s">
        <v>756</v>
      </c>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t="str">
        <f t="shared" si="5"/>
        <v>No reported value</v>
      </c>
    </row>
    <row r="338" spans="2:66" hidden="1" x14ac:dyDescent="0.35">
      <c r="B338" s="41" t="s">
        <v>399</v>
      </c>
      <c r="C338" s="41" t="s">
        <v>34</v>
      </c>
      <c r="D338" s="41" t="s">
        <v>757</v>
      </c>
      <c r="E338" s="41" t="s">
        <v>756</v>
      </c>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t="str">
        <f t="shared" si="5"/>
        <v>No reported value</v>
      </c>
    </row>
    <row r="339" spans="2:66" hidden="1" x14ac:dyDescent="0.35">
      <c r="B339" s="41" t="s">
        <v>231</v>
      </c>
      <c r="C339" s="41" t="s">
        <v>35</v>
      </c>
      <c r="D339" s="41" t="s">
        <v>757</v>
      </c>
      <c r="E339" s="41" t="s">
        <v>756</v>
      </c>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t="str">
        <f t="shared" si="5"/>
        <v>No reported value</v>
      </c>
    </row>
    <row r="340" spans="2:66" hidden="1" x14ac:dyDescent="0.35">
      <c r="B340" s="41" t="s">
        <v>364</v>
      </c>
      <c r="C340" s="41" t="s">
        <v>365</v>
      </c>
      <c r="D340" s="41" t="s">
        <v>757</v>
      </c>
      <c r="E340" s="41" t="s">
        <v>756</v>
      </c>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t="str">
        <f t="shared" si="5"/>
        <v>No reported value</v>
      </c>
    </row>
    <row r="341" spans="2:66" hidden="1" x14ac:dyDescent="0.35">
      <c r="B341" s="41" t="s">
        <v>363</v>
      </c>
      <c r="C341" s="41" t="s">
        <v>36</v>
      </c>
      <c r="D341" s="41" t="s">
        <v>757</v>
      </c>
      <c r="E341" s="41" t="s">
        <v>756</v>
      </c>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t="str">
        <f t="shared" si="5"/>
        <v>No reported value</v>
      </c>
    </row>
    <row r="342" spans="2:66" hidden="1" x14ac:dyDescent="0.35">
      <c r="B342" s="41" t="s">
        <v>366</v>
      </c>
      <c r="C342" s="41" t="s">
        <v>367</v>
      </c>
      <c r="D342" s="41" t="s">
        <v>757</v>
      </c>
      <c r="E342" s="41" t="s">
        <v>756</v>
      </c>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t="str">
        <f t="shared" si="5"/>
        <v>No reported value</v>
      </c>
    </row>
    <row r="343" spans="2:66" hidden="1" x14ac:dyDescent="0.35">
      <c r="B343" s="41" t="s">
        <v>313</v>
      </c>
      <c r="C343" s="41" t="s">
        <v>37</v>
      </c>
      <c r="D343" s="41" t="s">
        <v>757</v>
      </c>
      <c r="E343" s="41" t="s">
        <v>756</v>
      </c>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t="str">
        <f t="shared" si="5"/>
        <v>No reported value</v>
      </c>
    </row>
    <row r="344" spans="2:66" hidden="1" x14ac:dyDescent="0.35">
      <c r="B344" s="41" t="s">
        <v>372</v>
      </c>
      <c r="C344" s="41" t="s">
        <v>373</v>
      </c>
      <c r="D344" s="41" t="s">
        <v>757</v>
      </c>
      <c r="E344" s="41" t="s">
        <v>756</v>
      </c>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v>1.0609999999999999</v>
      </c>
      <c r="AK344" s="41"/>
      <c r="AL344" s="41"/>
      <c r="AM344" s="41"/>
      <c r="AN344" s="41"/>
      <c r="AO344" s="41"/>
      <c r="AP344" s="41"/>
      <c r="AQ344" s="41"/>
      <c r="AR344" s="41"/>
      <c r="AS344" s="41"/>
      <c r="AT344" s="41">
        <v>0.98674473266602269</v>
      </c>
      <c r="AU344" s="41"/>
      <c r="AV344" s="41"/>
      <c r="AW344" s="41"/>
      <c r="AX344" s="41"/>
      <c r="AY344" s="41"/>
      <c r="AZ344" s="41"/>
      <c r="BA344" s="41"/>
      <c r="BB344" s="41"/>
      <c r="BC344" s="41"/>
      <c r="BD344" s="41"/>
      <c r="BE344" s="41">
        <v>0.6814814941465519</v>
      </c>
      <c r="BF344" s="41"/>
      <c r="BG344" s="41"/>
      <c r="BH344" s="41"/>
      <c r="BI344" s="41"/>
      <c r="BJ344" s="41"/>
      <c r="BK344" s="41"/>
      <c r="BL344" s="41"/>
      <c r="BM344" s="41"/>
      <c r="BN344" s="41">
        <f t="shared" si="5"/>
        <v>0.6814814941465519</v>
      </c>
    </row>
    <row r="345" spans="2:66" hidden="1" x14ac:dyDescent="0.35">
      <c r="B345" s="41" t="s">
        <v>368</v>
      </c>
      <c r="C345" s="41" t="s">
        <v>369</v>
      </c>
      <c r="D345" s="41" t="s">
        <v>757</v>
      </c>
      <c r="E345" s="41" t="s">
        <v>756</v>
      </c>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v>0.42702452919143652</v>
      </c>
      <c r="BF345" s="41"/>
      <c r="BG345" s="41"/>
      <c r="BH345" s="41"/>
      <c r="BI345" s="41"/>
      <c r="BJ345" s="41"/>
      <c r="BK345" s="41"/>
      <c r="BL345" s="41"/>
      <c r="BM345" s="41"/>
      <c r="BN345" s="41">
        <f t="shared" si="5"/>
        <v>0.42702452919143652</v>
      </c>
    </row>
    <row r="346" spans="2:66" hidden="1" x14ac:dyDescent="0.35">
      <c r="B346" s="41" t="s">
        <v>370</v>
      </c>
      <c r="C346" s="41" t="s">
        <v>371</v>
      </c>
      <c r="D346" s="41" t="s">
        <v>757</v>
      </c>
      <c r="E346" s="41" t="s">
        <v>756</v>
      </c>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v>0.67218257158545569</v>
      </c>
      <c r="BF346" s="41"/>
      <c r="BG346" s="41"/>
      <c r="BH346" s="41"/>
      <c r="BI346" s="41"/>
      <c r="BJ346" s="41"/>
      <c r="BK346" s="41"/>
      <c r="BL346" s="41"/>
      <c r="BM346" s="41"/>
      <c r="BN346" s="41">
        <f t="shared" si="5"/>
        <v>0.67218257158545569</v>
      </c>
    </row>
    <row r="347" spans="2:66" hidden="1" x14ac:dyDescent="0.35">
      <c r="B347" s="41" t="s">
        <v>384</v>
      </c>
      <c r="C347" s="41" t="s">
        <v>385</v>
      </c>
      <c r="D347" s="41" t="s">
        <v>757</v>
      </c>
      <c r="E347" s="41" t="s">
        <v>756</v>
      </c>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t="str">
        <f t="shared" si="5"/>
        <v>No reported value</v>
      </c>
    </row>
    <row r="348" spans="2:66" hidden="1" x14ac:dyDescent="0.35">
      <c r="B348" s="41" t="s">
        <v>382</v>
      </c>
      <c r="C348" s="41" t="s">
        <v>383</v>
      </c>
      <c r="D348" s="41" t="s">
        <v>757</v>
      </c>
      <c r="E348" s="41" t="s">
        <v>756</v>
      </c>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t="str">
        <f t="shared" si="5"/>
        <v>No reported value</v>
      </c>
    </row>
    <row r="349" spans="2:66" hidden="1" x14ac:dyDescent="0.35">
      <c r="B349" s="41" t="s">
        <v>376</v>
      </c>
      <c r="C349" s="41" t="s">
        <v>38</v>
      </c>
      <c r="D349" s="41" t="s">
        <v>757</v>
      </c>
      <c r="E349" s="41" t="s">
        <v>756</v>
      </c>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t="str">
        <f t="shared" ref="BN349:BN412" si="6">IFERROR(LOOKUP(2,1/(ISNUMBER(F349:BM349)),F349:BM349),"No reported value")</f>
        <v>No reported value</v>
      </c>
    </row>
    <row r="350" spans="2:66" hidden="1" x14ac:dyDescent="0.35">
      <c r="B350" s="41" t="s">
        <v>377</v>
      </c>
      <c r="C350" s="41" t="s">
        <v>39</v>
      </c>
      <c r="D350" s="41" t="s">
        <v>757</v>
      </c>
      <c r="E350" s="41" t="s">
        <v>756</v>
      </c>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t="str">
        <f t="shared" si="6"/>
        <v>No reported value</v>
      </c>
    </row>
    <row r="351" spans="2:66" hidden="1" x14ac:dyDescent="0.35">
      <c r="B351" s="41" t="s">
        <v>380</v>
      </c>
      <c r="C351" s="41" t="s">
        <v>381</v>
      </c>
      <c r="D351" s="41" t="s">
        <v>757</v>
      </c>
      <c r="E351" s="41" t="s">
        <v>756</v>
      </c>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t="str">
        <f t="shared" si="6"/>
        <v>No reported value</v>
      </c>
    </row>
    <row r="352" spans="2:66" hidden="1" x14ac:dyDescent="0.35">
      <c r="B352" s="41" t="s">
        <v>192</v>
      </c>
      <c r="C352" s="41" t="s">
        <v>168</v>
      </c>
      <c r="D352" s="41" t="s">
        <v>757</v>
      </c>
      <c r="E352" s="41" t="s">
        <v>756</v>
      </c>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t="str">
        <f t="shared" si="6"/>
        <v>No reported value</v>
      </c>
    </row>
    <row r="353" spans="2:66" hidden="1" x14ac:dyDescent="0.35">
      <c r="B353" s="41" t="s">
        <v>529</v>
      </c>
      <c r="C353" s="41" t="s">
        <v>40</v>
      </c>
      <c r="D353" s="41" t="s">
        <v>757</v>
      </c>
      <c r="E353" s="41" t="s">
        <v>756</v>
      </c>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t="str">
        <f t="shared" si="6"/>
        <v>No reported value</v>
      </c>
    </row>
    <row r="354" spans="2:66" hidden="1" x14ac:dyDescent="0.35">
      <c r="B354" s="41" t="s">
        <v>378</v>
      </c>
      <c r="C354" s="41" t="s">
        <v>41</v>
      </c>
      <c r="D354" s="41" t="s">
        <v>757</v>
      </c>
      <c r="E354" s="41" t="s">
        <v>756</v>
      </c>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v>3.1E-2</v>
      </c>
      <c r="AU354" s="41"/>
      <c r="AV354" s="41"/>
      <c r="AW354" s="41"/>
      <c r="AX354" s="41"/>
      <c r="AY354" s="41"/>
      <c r="AZ354" s="41"/>
      <c r="BA354" s="41"/>
      <c r="BB354" s="41"/>
      <c r="BC354" s="41"/>
      <c r="BD354" s="41"/>
      <c r="BE354" s="41"/>
      <c r="BF354" s="41"/>
      <c r="BG354" s="41"/>
      <c r="BH354" s="41"/>
      <c r="BI354" s="41"/>
      <c r="BJ354" s="41"/>
      <c r="BK354" s="41"/>
      <c r="BL354" s="41"/>
      <c r="BM354" s="41"/>
      <c r="BN354" s="41">
        <f t="shared" si="6"/>
        <v>3.1E-2</v>
      </c>
    </row>
    <row r="355" spans="2:66" hidden="1" x14ac:dyDescent="0.35">
      <c r="B355" s="41" t="s">
        <v>194</v>
      </c>
      <c r="C355" s="41" t="s">
        <v>42</v>
      </c>
      <c r="D355" s="41" t="s">
        <v>757</v>
      </c>
      <c r="E355" s="41" t="s">
        <v>756</v>
      </c>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v>0.185</v>
      </c>
      <c r="AX355" s="41">
        <v>0.21099999999999999</v>
      </c>
      <c r="AY355" s="41"/>
      <c r="AZ355" s="41"/>
      <c r="BA355" s="41">
        <v>0.218</v>
      </c>
      <c r="BB355" s="41">
        <v>0.29599999999999999</v>
      </c>
      <c r="BC355" s="41">
        <v>0.36299999999999999</v>
      </c>
      <c r="BD355" s="41"/>
      <c r="BE355" s="41"/>
      <c r="BF355" s="41"/>
      <c r="BG355" s="41"/>
      <c r="BH355" s="41"/>
      <c r="BI355" s="41"/>
      <c r="BJ355" s="41"/>
      <c r="BK355" s="41"/>
      <c r="BL355" s="41"/>
      <c r="BM355" s="41"/>
      <c r="BN355" s="41">
        <f t="shared" si="6"/>
        <v>0.36299999999999999</v>
      </c>
    </row>
    <row r="356" spans="2:66" hidden="1" x14ac:dyDescent="0.35">
      <c r="B356" s="41" t="s">
        <v>388</v>
      </c>
      <c r="C356" s="41" t="s">
        <v>389</v>
      </c>
      <c r="D356" s="41" t="s">
        <v>757</v>
      </c>
      <c r="E356" s="41" t="s">
        <v>756</v>
      </c>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t="str">
        <f t="shared" si="6"/>
        <v>No reported value</v>
      </c>
    </row>
    <row r="357" spans="2:66" hidden="1" x14ac:dyDescent="0.35">
      <c r="B357" s="41" t="s">
        <v>393</v>
      </c>
      <c r="C357" s="41" t="s">
        <v>394</v>
      </c>
      <c r="D357" s="41" t="s">
        <v>757</v>
      </c>
      <c r="E357" s="41" t="s">
        <v>756</v>
      </c>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t="str">
        <f t="shared" si="6"/>
        <v>No reported value</v>
      </c>
    </row>
    <row r="358" spans="2:66" hidden="1" x14ac:dyDescent="0.35">
      <c r="B358" s="41" t="s">
        <v>392</v>
      </c>
      <c r="C358" s="41" t="s">
        <v>43</v>
      </c>
      <c r="D358" s="41" t="s">
        <v>757</v>
      </c>
      <c r="E358" s="41" t="s">
        <v>756</v>
      </c>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t="str">
        <f t="shared" si="6"/>
        <v>No reported value</v>
      </c>
    </row>
    <row r="359" spans="2:66" hidden="1" x14ac:dyDescent="0.35">
      <c r="B359" s="41" t="s">
        <v>248</v>
      </c>
      <c r="C359" s="41" t="s">
        <v>44</v>
      </c>
      <c r="D359" s="41" t="s">
        <v>757</v>
      </c>
      <c r="E359" s="41" t="s">
        <v>756</v>
      </c>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t="str">
        <f t="shared" si="6"/>
        <v>No reported value</v>
      </c>
    </row>
    <row r="360" spans="2:66" hidden="1" x14ac:dyDescent="0.35">
      <c r="B360" s="41" t="s">
        <v>395</v>
      </c>
      <c r="C360" s="41" t="s">
        <v>45</v>
      </c>
      <c r="D360" s="41" t="s">
        <v>757</v>
      </c>
      <c r="E360" s="41" t="s">
        <v>756</v>
      </c>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v>2.8000000000000001E-2</v>
      </c>
      <c r="BB360" s="41"/>
      <c r="BC360" s="41"/>
      <c r="BD360" s="41"/>
      <c r="BE360" s="41"/>
      <c r="BF360" s="41"/>
      <c r="BG360" s="41"/>
      <c r="BH360" s="41"/>
      <c r="BI360" s="41"/>
      <c r="BJ360" s="41"/>
      <c r="BK360" s="41"/>
      <c r="BL360" s="41"/>
      <c r="BM360" s="41"/>
      <c r="BN360" s="41">
        <f t="shared" si="6"/>
        <v>2.8000000000000001E-2</v>
      </c>
    </row>
    <row r="361" spans="2:66" hidden="1" x14ac:dyDescent="0.35">
      <c r="B361" s="41" t="s">
        <v>390</v>
      </c>
      <c r="C361" s="41" t="s">
        <v>391</v>
      </c>
      <c r="D361" s="41" t="s">
        <v>757</v>
      </c>
      <c r="E361" s="41" t="s">
        <v>756</v>
      </c>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t="str">
        <f t="shared" si="6"/>
        <v>No reported value</v>
      </c>
    </row>
    <row r="362" spans="2:66" hidden="1" x14ac:dyDescent="0.35">
      <c r="B362" s="41" t="s">
        <v>463</v>
      </c>
      <c r="C362" s="41" t="s">
        <v>464</v>
      </c>
      <c r="D362" s="41" t="s">
        <v>757</v>
      </c>
      <c r="E362" s="41" t="s">
        <v>756</v>
      </c>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v>0.29699999999999999</v>
      </c>
      <c r="BC362" s="41"/>
      <c r="BD362" s="41"/>
      <c r="BE362" s="41"/>
      <c r="BF362" s="41"/>
      <c r="BG362" s="41"/>
      <c r="BH362" s="41"/>
      <c r="BI362" s="41"/>
      <c r="BJ362" s="41"/>
      <c r="BK362" s="41"/>
      <c r="BL362" s="41"/>
      <c r="BM362" s="41"/>
      <c r="BN362" s="41">
        <f t="shared" si="6"/>
        <v>0.29699999999999999</v>
      </c>
    </row>
    <row r="363" spans="2:66" hidden="1" x14ac:dyDescent="0.35">
      <c r="B363" s="41" t="s">
        <v>195</v>
      </c>
      <c r="C363" s="41" t="s">
        <v>46</v>
      </c>
      <c r="D363" s="41" t="s">
        <v>757</v>
      </c>
      <c r="E363" s="41" t="s">
        <v>756</v>
      </c>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t="str">
        <f t="shared" si="6"/>
        <v>No reported value</v>
      </c>
    </row>
    <row r="364" spans="2:66" hidden="1" x14ac:dyDescent="0.35">
      <c r="B364" s="41" t="s">
        <v>555</v>
      </c>
      <c r="C364" s="41" t="s">
        <v>47</v>
      </c>
      <c r="D364" s="41" t="s">
        <v>757</v>
      </c>
      <c r="E364" s="41" t="s">
        <v>756</v>
      </c>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t="str">
        <f t="shared" si="6"/>
        <v>No reported value</v>
      </c>
    </row>
    <row r="365" spans="2:66" hidden="1" x14ac:dyDescent="0.35">
      <c r="B365" s="41" t="s">
        <v>236</v>
      </c>
      <c r="C365" s="41" t="s">
        <v>48</v>
      </c>
      <c r="D365" s="41" t="s">
        <v>757</v>
      </c>
      <c r="E365" s="41" t="s">
        <v>756</v>
      </c>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t="str">
        <f t="shared" si="6"/>
        <v>No reported value</v>
      </c>
    </row>
    <row r="366" spans="2:66" hidden="1" x14ac:dyDescent="0.35">
      <c r="B366" s="41" t="s">
        <v>196</v>
      </c>
      <c r="C366" s="41" t="s">
        <v>162</v>
      </c>
      <c r="D366" s="41" t="s">
        <v>757</v>
      </c>
      <c r="E366" s="41" t="s">
        <v>756</v>
      </c>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v>0.48799999999999999</v>
      </c>
      <c r="AS366" s="41">
        <v>0.55600000000000005</v>
      </c>
      <c r="AT366" s="41">
        <v>0.55600000000000005</v>
      </c>
      <c r="AU366" s="41">
        <v>0.55600000000000005</v>
      </c>
      <c r="AV366" s="41">
        <v>0.55600000000000005</v>
      </c>
      <c r="AW366" s="41">
        <v>0.56299999999999994</v>
      </c>
      <c r="AX366" s="41"/>
      <c r="AY366" s="41"/>
      <c r="AZ366" s="41"/>
      <c r="BA366" s="41"/>
      <c r="BB366" s="41">
        <v>0.19500000000000001</v>
      </c>
      <c r="BC366" s="41"/>
      <c r="BD366" s="41"/>
      <c r="BE366" s="41"/>
      <c r="BF366" s="41"/>
      <c r="BG366" s="41"/>
      <c r="BH366" s="41"/>
      <c r="BI366" s="41"/>
      <c r="BJ366" s="41"/>
      <c r="BK366" s="41"/>
      <c r="BL366" s="41"/>
      <c r="BM366" s="41"/>
      <c r="BN366" s="41">
        <f t="shared" si="6"/>
        <v>0.19500000000000001</v>
      </c>
    </row>
    <row r="367" spans="2:66" hidden="1" x14ac:dyDescent="0.35">
      <c r="B367" s="41" t="s">
        <v>400</v>
      </c>
      <c r="C367" s="41" t="s">
        <v>401</v>
      </c>
      <c r="D367" s="41" t="s">
        <v>757</v>
      </c>
      <c r="E367" s="41" t="s">
        <v>756</v>
      </c>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t="str">
        <f t="shared" si="6"/>
        <v>No reported value</v>
      </c>
    </row>
    <row r="368" spans="2:66" hidden="1" x14ac:dyDescent="0.35">
      <c r="B368" s="41" t="s">
        <v>197</v>
      </c>
      <c r="C368" s="41" t="s">
        <v>49</v>
      </c>
      <c r="D368" s="41" t="s">
        <v>757</v>
      </c>
      <c r="E368" s="41" t="s">
        <v>756</v>
      </c>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v>0.51700000000000002</v>
      </c>
      <c r="BK368" s="41"/>
      <c r="BL368" s="41"/>
      <c r="BM368" s="41"/>
      <c r="BN368" s="41">
        <f t="shared" si="6"/>
        <v>0.51700000000000002</v>
      </c>
    </row>
    <row r="369" spans="2:66" hidden="1" x14ac:dyDescent="0.35">
      <c r="B369" s="41" t="s">
        <v>398</v>
      </c>
      <c r="C369" s="41" t="s">
        <v>50</v>
      </c>
      <c r="D369" s="41" t="s">
        <v>757</v>
      </c>
      <c r="E369" s="41" t="s">
        <v>756</v>
      </c>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v>0.30499999999999999</v>
      </c>
      <c r="AX369" s="41"/>
      <c r="AY369" s="41"/>
      <c r="AZ369" s="41"/>
      <c r="BA369" s="41">
        <v>0.752</v>
      </c>
      <c r="BB369" s="41">
        <v>0.72499999999999998</v>
      </c>
      <c r="BC369" s="41"/>
      <c r="BD369" s="41"/>
      <c r="BE369" s="41"/>
      <c r="BF369" s="41"/>
      <c r="BG369" s="41"/>
      <c r="BH369" s="41"/>
      <c r="BI369" s="41"/>
      <c r="BJ369" s="41"/>
      <c r="BK369" s="41"/>
      <c r="BL369" s="41"/>
      <c r="BM369" s="41"/>
      <c r="BN369" s="41">
        <f t="shared" si="6"/>
        <v>0.72499999999999998</v>
      </c>
    </row>
    <row r="370" spans="2:66" hidden="1" x14ac:dyDescent="0.35">
      <c r="B370" s="41" t="s">
        <v>198</v>
      </c>
      <c r="C370" s="41" t="s">
        <v>172</v>
      </c>
      <c r="D370" s="41" t="s">
        <v>757</v>
      </c>
      <c r="E370" s="41" t="s">
        <v>756</v>
      </c>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v>1.645</v>
      </c>
      <c r="AY370" s="41"/>
      <c r="AZ370" s="41"/>
      <c r="BA370" s="41"/>
      <c r="BB370" s="41"/>
      <c r="BC370" s="41"/>
      <c r="BD370" s="41"/>
      <c r="BE370" s="41"/>
      <c r="BF370" s="41"/>
      <c r="BG370" s="41"/>
      <c r="BH370" s="41"/>
      <c r="BI370" s="41"/>
      <c r="BJ370" s="41"/>
      <c r="BK370" s="41"/>
      <c r="BL370" s="41"/>
      <c r="BM370" s="41"/>
      <c r="BN370" s="41">
        <f t="shared" si="6"/>
        <v>1.645</v>
      </c>
    </row>
    <row r="371" spans="2:66" hidden="1" x14ac:dyDescent="0.35">
      <c r="B371" s="41" t="s">
        <v>191</v>
      </c>
      <c r="C371" s="41" t="s">
        <v>174</v>
      </c>
      <c r="D371" s="41" t="s">
        <v>757</v>
      </c>
      <c r="E371" s="41" t="s">
        <v>756</v>
      </c>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v>0.50800000000000001</v>
      </c>
      <c r="AY371" s="41"/>
      <c r="AZ371" s="41"/>
      <c r="BA371" s="41"/>
      <c r="BB371" s="41"/>
      <c r="BC371" s="41"/>
      <c r="BD371" s="41"/>
      <c r="BE371" s="41"/>
      <c r="BF371" s="41"/>
      <c r="BG371" s="41"/>
      <c r="BH371" s="41"/>
      <c r="BI371" s="41"/>
      <c r="BJ371" s="41"/>
      <c r="BK371" s="41"/>
      <c r="BL371" s="41"/>
      <c r="BM371" s="41"/>
      <c r="BN371" s="41">
        <f t="shared" si="6"/>
        <v>0.50800000000000001</v>
      </c>
    </row>
    <row r="372" spans="2:66" hidden="1" x14ac:dyDescent="0.35">
      <c r="B372" s="41" t="s">
        <v>402</v>
      </c>
      <c r="C372" s="41" t="s">
        <v>51</v>
      </c>
      <c r="D372" s="41" t="s">
        <v>757</v>
      </c>
      <c r="E372" s="41" t="s">
        <v>756</v>
      </c>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t="str">
        <f t="shared" si="6"/>
        <v>No reported value</v>
      </c>
    </row>
    <row r="373" spans="2:66" hidden="1" x14ac:dyDescent="0.35">
      <c r="B373" s="41" t="s">
        <v>405</v>
      </c>
      <c r="C373" s="41" t="s">
        <v>52</v>
      </c>
      <c r="D373" s="41" t="s">
        <v>757</v>
      </c>
      <c r="E373" s="41" t="s">
        <v>756</v>
      </c>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v>0.39500000000000002</v>
      </c>
      <c r="AS373" s="41">
        <v>0.44400000000000001</v>
      </c>
      <c r="AT373" s="41">
        <v>0.443</v>
      </c>
      <c r="AU373" s="41">
        <v>0.442</v>
      </c>
      <c r="AV373" s="41">
        <v>0.441</v>
      </c>
      <c r="AW373" s="41">
        <v>0.44</v>
      </c>
      <c r="AX373" s="41"/>
      <c r="AY373" s="41"/>
      <c r="AZ373" s="41"/>
      <c r="BA373" s="41"/>
      <c r="BB373" s="41"/>
      <c r="BC373" s="41"/>
      <c r="BD373" s="41"/>
      <c r="BE373" s="41"/>
      <c r="BF373" s="41"/>
      <c r="BG373" s="41"/>
      <c r="BH373" s="41"/>
      <c r="BI373" s="41"/>
      <c r="BJ373" s="41"/>
      <c r="BK373" s="41"/>
      <c r="BL373" s="41"/>
      <c r="BM373" s="41"/>
      <c r="BN373" s="41">
        <f t="shared" si="6"/>
        <v>0.44</v>
      </c>
    </row>
    <row r="374" spans="2:66" hidden="1" x14ac:dyDescent="0.35">
      <c r="B374" s="41" t="s">
        <v>403</v>
      </c>
      <c r="C374" s="41" t="s">
        <v>404</v>
      </c>
      <c r="D374" s="41" t="s">
        <v>757</v>
      </c>
      <c r="E374" s="41" t="s">
        <v>756</v>
      </c>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t="str">
        <f t="shared" si="6"/>
        <v>No reported value</v>
      </c>
    </row>
    <row r="375" spans="2:66" hidden="1" x14ac:dyDescent="0.35">
      <c r="B375" s="41" t="s">
        <v>223</v>
      </c>
      <c r="C375" s="41" t="s">
        <v>53</v>
      </c>
      <c r="D375" s="41" t="s">
        <v>757</v>
      </c>
      <c r="E375" s="41" t="s">
        <v>756</v>
      </c>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t="str">
        <f t="shared" si="6"/>
        <v>No reported value</v>
      </c>
    </row>
    <row r="376" spans="2:66" hidden="1" x14ac:dyDescent="0.35">
      <c r="B376" s="41" t="s">
        <v>406</v>
      </c>
      <c r="C376" s="41" t="s">
        <v>407</v>
      </c>
      <c r="D376" s="41" t="s">
        <v>757</v>
      </c>
      <c r="E376" s="41" t="s">
        <v>756</v>
      </c>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t="str">
        <f t="shared" si="6"/>
        <v>No reported value</v>
      </c>
    </row>
    <row r="377" spans="2:66" hidden="1" x14ac:dyDescent="0.35">
      <c r="B377" s="41" t="s">
        <v>224</v>
      </c>
      <c r="C377" s="41" t="s">
        <v>54</v>
      </c>
      <c r="D377" s="41" t="s">
        <v>757</v>
      </c>
      <c r="E377" s="41" t="s">
        <v>756</v>
      </c>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v>0.32600000000000001</v>
      </c>
      <c r="BD377" s="41">
        <v>0.32500000000000001</v>
      </c>
      <c r="BE377" s="41"/>
      <c r="BF377" s="41"/>
      <c r="BG377" s="41"/>
      <c r="BH377" s="41"/>
      <c r="BI377" s="41"/>
      <c r="BJ377" s="41"/>
      <c r="BK377" s="41"/>
      <c r="BL377" s="41"/>
      <c r="BM377" s="41"/>
      <c r="BN377" s="41">
        <f t="shared" si="6"/>
        <v>0.32500000000000001</v>
      </c>
    </row>
    <row r="378" spans="2:66" hidden="1" x14ac:dyDescent="0.35">
      <c r="B378" s="41" t="s">
        <v>410</v>
      </c>
      <c r="C378" s="41" t="s">
        <v>411</v>
      </c>
      <c r="D378" s="41" t="s">
        <v>757</v>
      </c>
      <c r="E378" s="41" t="s">
        <v>756</v>
      </c>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t="str">
        <f t="shared" si="6"/>
        <v>No reported value</v>
      </c>
    </row>
    <row r="379" spans="2:66" hidden="1" x14ac:dyDescent="0.35">
      <c r="B379" s="41" t="s">
        <v>412</v>
      </c>
      <c r="C379" s="41" t="s">
        <v>413</v>
      </c>
      <c r="D379" s="41" t="s">
        <v>757</v>
      </c>
      <c r="E379" s="41" t="s">
        <v>756</v>
      </c>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t="str">
        <f t="shared" si="6"/>
        <v>No reported value</v>
      </c>
    </row>
    <row r="380" spans="2:66" hidden="1" x14ac:dyDescent="0.35">
      <c r="B380" s="41" t="s">
        <v>226</v>
      </c>
      <c r="C380" s="41" t="s">
        <v>166</v>
      </c>
      <c r="D380" s="41" t="s">
        <v>757</v>
      </c>
      <c r="E380" s="41" t="s">
        <v>756</v>
      </c>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t="str">
        <f t="shared" si="6"/>
        <v>No reported value</v>
      </c>
    </row>
    <row r="381" spans="2:66" hidden="1" x14ac:dyDescent="0.35">
      <c r="B381" s="41" t="s">
        <v>408</v>
      </c>
      <c r="C381" s="41" t="s">
        <v>409</v>
      </c>
      <c r="D381" s="41" t="s">
        <v>757</v>
      </c>
      <c r="E381" s="41" t="s">
        <v>756</v>
      </c>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t="str">
        <f t="shared" si="6"/>
        <v>No reported value</v>
      </c>
    </row>
    <row r="382" spans="2:66" hidden="1" x14ac:dyDescent="0.35">
      <c r="B382" s="41" t="s">
        <v>358</v>
      </c>
      <c r="C382" s="41" t="s">
        <v>55</v>
      </c>
      <c r="D382" s="41" t="s">
        <v>757</v>
      </c>
      <c r="E382" s="41" t="s">
        <v>756</v>
      </c>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t="str">
        <f t="shared" si="6"/>
        <v>No reported value</v>
      </c>
    </row>
    <row r="383" spans="2:66" hidden="1" x14ac:dyDescent="0.35">
      <c r="B383" s="41" t="s">
        <v>225</v>
      </c>
      <c r="C383" s="41" t="s">
        <v>56</v>
      </c>
      <c r="D383" s="41" t="s">
        <v>757</v>
      </c>
      <c r="E383" s="41" t="s">
        <v>756</v>
      </c>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t="str">
        <f t="shared" si="6"/>
        <v>No reported value</v>
      </c>
    </row>
    <row r="384" spans="2:66" hidden="1" x14ac:dyDescent="0.35">
      <c r="B384" s="41" t="s">
        <v>414</v>
      </c>
      <c r="C384" s="41" t="s">
        <v>57</v>
      </c>
      <c r="D384" s="41" t="s">
        <v>757</v>
      </c>
      <c r="E384" s="41" t="s">
        <v>756</v>
      </c>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t="str">
        <f t="shared" si="6"/>
        <v>No reported value</v>
      </c>
    </row>
    <row r="385" spans="2:66" hidden="1" x14ac:dyDescent="0.35">
      <c r="B385" s="41" t="s">
        <v>630</v>
      </c>
      <c r="C385" s="41" t="s">
        <v>631</v>
      </c>
      <c r="D385" s="41" t="s">
        <v>757</v>
      </c>
      <c r="E385" s="41" t="s">
        <v>756</v>
      </c>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t="str">
        <f t="shared" si="6"/>
        <v>No reported value</v>
      </c>
    </row>
    <row r="386" spans="2:66" hidden="1" x14ac:dyDescent="0.35">
      <c r="B386" s="41" t="s">
        <v>632</v>
      </c>
      <c r="C386" s="41" t="s">
        <v>633</v>
      </c>
      <c r="D386" s="41" t="s">
        <v>757</v>
      </c>
      <c r="E386" s="41" t="s">
        <v>756</v>
      </c>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t="str">
        <f t="shared" si="6"/>
        <v>No reported value</v>
      </c>
    </row>
    <row r="387" spans="2:66" hidden="1" x14ac:dyDescent="0.35">
      <c r="B387" s="41" t="s">
        <v>634</v>
      </c>
      <c r="C387" s="41" t="s">
        <v>635</v>
      </c>
      <c r="D387" s="41" t="s">
        <v>757</v>
      </c>
      <c r="E387" s="41" t="s">
        <v>756</v>
      </c>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t="str">
        <f t="shared" si="6"/>
        <v>No reported value</v>
      </c>
    </row>
    <row r="388" spans="2:66" hidden="1" x14ac:dyDescent="0.35">
      <c r="B388" s="41" t="s">
        <v>636</v>
      </c>
      <c r="C388" s="41" t="s">
        <v>637</v>
      </c>
      <c r="D388" s="41" t="s">
        <v>757</v>
      </c>
      <c r="E388" s="41" t="s">
        <v>756</v>
      </c>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v>0.11693482767002192</v>
      </c>
      <c r="BF388" s="41"/>
      <c r="BG388" s="41"/>
      <c r="BH388" s="41"/>
      <c r="BI388" s="41"/>
      <c r="BJ388" s="41"/>
      <c r="BK388" s="41"/>
      <c r="BL388" s="41"/>
      <c r="BM388" s="41"/>
      <c r="BN388" s="41">
        <f t="shared" si="6"/>
        <v>0.11693482767002192</v>
      </c>
    </row>
    <row r="389" spans="2:66" hidden="1" x14ac:dyDescent="0.35">
      <c r="B389" s="41" t="s">
        <v>242</v>
      </c>
      <c r="C389" s="41" t="s">
        <v>58</v>
      </c>
      <c r="D389" s="41" t="s">
        <v>757</v>
      </c>
      <c r="E389" s="41" t="s">
        <v>756</v>
      </c>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v>0</v>
      </c>
      <c r="BJ389" s="41"/>
      <c r="BK389" s="41"/>
      <c r="BL389" s="41"/>
      <c r="BM389" s="41"/>
      <c r="BN389" s="41">
        <f t="shared" si="6"/>
        <v>0</v>
      </c>
    </row>
    <row r="390" spans="2:66" hidden="1" x14ac:dyDescent="0.35">
      <c r="B390" s="41" t="s">
        <v>638</v>
      </c>
      <c r="C390" s="41" t="s">
        <v>639</v>
      </c>
      <c r="D390" s="41" t="s">
        <v>757</v>
      </c>
      <c r="E390" s="41" t="s">
        <v>756</v>
      </c>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t="str">
        <f t="shared" si="6"/>
        <v>No reported value</v>
      </c>
    </row>
    <row r="391" spans="2:66" hidden="1" x14ac:dyDescent="0.35">
      <c r="B391" s="41" t="s">
        <v>420</v>
      </c>
      <c r="C391" s="41" t="s">
        <v>421</v>
      </c>
      <c r="D391" s="41" t="s">
        <v>757</v>
      </c>
      <c r="E391" s="41" t="s">
        <v>756</v>
      </c>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t="str">
        <f t="shared" si="6"/>
        <v>No reported value</v>
      </c>
    </row>
    <row r="392" spans="2:66" hidden="1" x14ac:dyDescent="0.35">
      <c r="B392" s="41" t="s">
        <v>416</v>
      </c>
      <c r="C392" s="41" t="s">
        <v>59</v>
      </c>
      <c r="D392" s="41" t="s">
        <v>757</v>
      </c>
      <c r="E392" s="41" t="s">
        <v>756</v>
      </c>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v>0.154</v>
      </c>
      <c r="AL392" s="41"/>
      <c r="AM392" s="41"/>
      <c r="AN392" s="41"/>
      <c r="AO392" s="41"/>
      <c r="AP392" s="41"/>
      <c r="AQ392" s="41"/>
      <c r="AR392" s="41"/>
      <c r="AS392" s="41"/>
      <c r="AT392" s="41"/>
      <c r="AU392" s="41"/>
      <c r="AV392" s="41"/>
      <c r="AW392" s="41">
        <v>0.627</v>
      </c>
      <c r="AX392" s="41">
        <v>0.621</v>
      </c>
      <c r="AY392" s="41">
        <v>0.627</v>
      </c>
      <c r="AZ392" s="41">
        <v>0.61399999999999999</v>
      </c>
      <c r="BA392" s="41">
        <v>0.61399999999999999</v>
      </c>
      <c r="BB392" s="41">
        <v>0.63</v>
      </c>
      <c r="BC392" s="41">
        <v>0.62</v>
      </c>
      <c r="BD392" s="41">
        <v>0.57799999999999996</v>
      </c>
      <c r="BE392" s="41">
        <v>0.504</v>
      </c>
      <c r="BF392" s="41"/>
      <c r="BG392" s="41"/>
      <c r="BH392" s="41"/>
      <c r="BI392" s="41"/>
      <c r="BJ392" s="41">
        <v>0.58099999999999996</v>
      </c>
      <c r="BK392" s="41"/>
      <c r="BL392" s="41"/>
      <c r="BM392" s="41"/>
      <c r="BN392" s="41">
        <f t="shared" si="6"/>
        <v>0.58099999999999996</v>
      </c>
    </row>
    <row r="393" spans="2:66" hidden="1" x14ac:dyDescent="0.35">
      <c r="B393" s="41" t="s">
        <v>488</v>
      </c>
      <c r="C393" s="41" t="s">
        <v>489</v>
      </c>
      <c r="D393" s="41" t="s">
        <v>757</v>
      </c>
      <c r="E393" s="41" t="s">
        <v>756</v>
      </c>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t="str">
        <f t="shared" si="6"/>
        <v>No reported value</v>
      </c>
    </row>
    <row r="394" spans="2:66" hidden="1" x14ac:dyDescent="0.35">
      <c r="B394" s="41" t="s">
        <v>419</v>
      </c>
      <c r="C394" s="41" t="s">
        <v>60</v>
      </c>
      <c r="D394" s="41" t="s">
        <v>757</v>
      </c>
      <c r="E394" s="41" t="s">
        <v>756</v>
      </c>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t="str">
        <f t="shared" si="6"/>
        <v>No reported value</v>
      </c>
    </row>
    <row r="395" spans="2:66" hidden="1" x14ac:dyDescent="0.35">
      <c r="B395" s="41" t="s">
        <v>417</v>
      </c>
      <c r="C395" s="41" t="s">
        <v>61</v>
      </c>
      <c r="D395" s="41" t="s">
        <v>757</v>
      </c>
      <c r="E395" s="41" t="s">
        <v>756</v>
      </c>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v>0.36399999999999999</v>
      </c>
      <c r="AY395" s="41"/>
      <c r="AZ395" s="41"/>
      <c r="BA395" s="41"/>
      <c r="BB395" s="41"/>
      <c r="BC395" s="41"/>
      <c r="BD395" s="41"/>
      <c r="BE395" s="41"/>
      <c r="BF395" s="41"/>
      <c r="BG395" s="41"/>
      <c r="BH395" s="41"/>
      <c r="BI395" s="41"/>
      <c r="BJ395" s="41"/>
      <c r="BK395" s="41"/>
      <c r="BL395" s="41"/>
      <c r="BM395" s="41"/>
      <c r="BN395" s="41">
        <f t="shared" si="6"/>
        <v>0.36399999999999999</v>
      </c>
    </row>
    <row r="396" spans="2:66" hidden="1" x14ac:dyDescent="0.35">
      <c r="B396" s="41" t="s">
        <v>418</v>
      </c>
      <c r="C396" s="41" t="s">
        <v>62</v>
      </c>
      <c r="D396" s="41" t="s">
        <v>757</v>
      </c>
      <c r="E396" s="41" t="s">
        <v>756</v>
      </c>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v>6.0000000000000001E-3</v>
      </c>
      <c r="AY396" s="41"/>
      <c r="AZ396" s="41"/>
      <c r="BA396" s="41"/>
      <c r="BB396" s="41"/>
      <c r="BC396" s="41"/>
      <c r="BD396" s="41"/>
      <c r="BE396" s="41"/>
      <c r="BF396" s="41"/>
      <c r="BG396" s="41"/>
      <c r="BH396" s="41"/>
      <c r="BI396" s="41"/>
      <c r="BJ396" s="41"/>
      <c r="BK396" s="41"/>
      <c r="BL396" s="41"/>
      <c r="BM396" s="41"/>
      <c r="BN396" s="41">
        <f t="shared" si="6"/>
        <v>6.0000000000000001E-3</v>
      </c>
    </row>
    <row r="397" spans="2:66" hidden="1" x14ac:dyDescent="0.35">
      <c r="B397" s="41" t="s">
        <v>415</v>
      </c>
      <c r="C397" s="41" t="s">
        <v>63</v>
      </c>
      <c r="D397" s="41" t="s">
        <v>757</v>
      </c>
      <c r="E397" s="41" t="s">
        <v>756</v>
      </c>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t="str">
        <f t="shared" si="6"/>
        <v>No reported value</v>
      </c>
    </row>
    <row r="398" spans="2:66" hidden="1" x14ac:dyDescent="0.35">
      <c r="B398" s="41" t="s">
        <v>422</v>
      </c>
      <c r="C398" s="41" t="s">
        <v>64</v>
      </c>
      <c r="D398" s="41" t="s">
        <v>757</v>
      </c>
      <c r="E398" s="41" t="s">
        <v>756</v>
      </c>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t="str">
        <f t="shared" si="6"/>
        <v>No reported value</v>
      </c>
    </row>
    <row r="399" spans="2:66" hidden="1" x14ac:dyDescent="0.35">
      <c r="B399" s="41" t="s">
        <v>423</v>
      </c>
      <c r="C399" s="41" t="s">
        <v>65</v>
      </c>
      <c r="D399" s="41" t="s">
        <v>757</v>
      </c>
      <c r="E399" s="41" t="s">
        <v>756</v>
      </c>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t="str">
        <f t="shared" si="6"/>
        <v>No reported value</v>
      </c>
    </row>
    <row r="400" spans="2:66" hidden="1" x14ac:dyDescent="0.35">
      <c r="B400" s="41" t="s">
        <v>424</v>
      </c>
      <c r="C400" s="41" t="s">
        <v>66</v>
      </c>
      <c r="D400" s="41" t="s">
        <v>757</v>
      </c>
      <c r="E400" s="41" t="s">
        <v>756</v>
      </c>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v>0.26800000000000002</v>
      </c>
      <c r="BC400" s="41"/>
      <c r="BD400" s="41"/>
      <c r="BE400" s="41"/>
      <c r="BF400" s="41">
        <v>0.23300000000000001</v>
      </c>
      <c r="BG400" s="41">
        <v>0.251</v>
      </c>
      <c r="BH400" s="41">
        <v>0.255</v>
      </c>
      <c r="BI400" s="41">
        <v>0.307</v>
      </c>
      <c r="BJ400" s="41">
        <v>0.31900000000000001</v>
      </c>
      <c r="BK400" s="41"/>
      <c r="BL400" s="41"/>
      <c r="BM400" s="41"/>
      <c r="BN400" s="41">
        <f t="shared" si="6"/>
        <v>0.31900000000000001</v>
      </c>
    </row>
    <row r="401" spans="2:66" hidden="1" x14ac:dyDescent="0.35">
      <c r="B401" s="41" t="s">
        <v>426</v>
      </c>
      <c r="C401" s="41" t="s">
        <v>67</v>
      </c>
      <c r="D401" s="41" t="s">
        <v>757</v>
      </c>
      <c r="E401" s="41" t="s">
        <v>756</v>
      </c>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v>0.193</v>
      </c>
      <c r="AY401" s="41"/>
      <c r="AZ401" s="41"/>
      <c r="BA401" s="41"/>
      <c r="BB401" s="41"/>
      <c r="BC401" s="41"/>
      <c r="BD401" s="41"/>
      <c r="BE401" s="41"/>
      <c r="BF401" s="41"/>
      <c r="BG401" s="41"/>
      <c r="BH401" s="41"/>
      <c r="BI401" s="41"/>
      <c r="BJ401" s="41"/>
      <c r="BK401" s="41"/>
      <c r="BL401" s="41"/>
      <c r="BM401" s="41"/>
      <c r="BN401" s="41">
        <f t="shared" si="6"/>
        <v>0.193</v>
      </c>
    </row>
    <row r="402" spans="2:66" hidden="1" x14ac:dyDescent="0.35">
      <c r="B402" s="41" t="s">
        <v>425</v>
      </c>
      <c r="C402" s="41" t="s">
        <v>68</v>
      </c>
      <c r="D402" s="41" t="s">
        <v>757</v>
      </c>
      <c r="E402" s="41" t="s">
        <v>756</v>
      </c>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t="str">
        <f t="shared" si="6"/>
        <v>No reported value</v>
      </c>
    </row>
    <row r="403" spans="2:66" hidden="1" x14ac:dyDescent="0.35">
      <c r="B403" s="41" t="s">
        <v>427</v>
      </c>
      <c r="C403" s="41" t="s">
        <v>69</v>
      </c>
      <c r="D403" s="41" t="s">
        <v>757</v>
      </c>
      <c r="E403" s="41" t="s">
        <v>756</v>
      </c>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t="str">
        <f t="shared" si="6"/>
        <v>No reported value</v>
      </c>
    </row>
    <row r="404" spans="2:66" hidden="1" x14ac:dyDescent="0.35">
      <c r="B404" s="41" t="s">
        <v>199</v>
      </c>
      <c r="C404" s="41" t="s">
        <v>70</v>
      </c>
      <c r="D404" s="41" t="s">
        <v>757</v>
      </c>
      <c r="E404" s="41" t="s">
        <v>756</v>
      </c>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t="str">
        <f t="shared" si="6"/>
        <v>No reported value</v>
      </c>
    </row>
    <row r="405" spans="2:66" hidden="1" x14ac:dyDescent="0.35">
      <c r="B405" s="41" t="s">
        <v>432</v>
      </c>
      <c r="C405" s="41" t="s">
        <v>71</v>
      </c>
      <c r="D405" s="41" t="s">
        <v>757</v>
      </c>
      <c r="E405" s="41" t="s">
        <v>756</v>
      </c>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t="str">
        <f t="shared" si="6"/>
        <v>No reported value</v>
      </c>
    </row>
    <row r="406" spans="2:66" hidden="1" x14ac:dyDescent="0.35">
      <c r="B406" s="41" t="s">
        <v>247</v>
      </c>
      <c r="C406" s="41" t="s">
        <v>72</v>
      </c>
      <c r="D406" s="41" t="s">
        <v>757</v>
      </c>
      <c r="E406" s="41" t="s">
        <v>756</v>
      </c>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v>0.125</v>
      </c>
      <c r="AY406" s="41"/>
      <c r="AZ406" s="41"/>
      <c r="BA406" s="41"/>
      <c r="BB406" s="41"/>
      <c r="BC406" s="41"/>
      <c r="BD406" s="41"/>
      <c r="BE406" s="41"/>
      <c r="BF406" s="41"/>
      <c r="BG406" s="41"/>
      <c r="BH406" s="41"/>
      <c r="BI406" s="41"/>
      <c r="BJ406" s="41"/>
      <c r="BK406" s="41"/>
      <c r="BL406" s="41"/>
      <c r="BM406" s="41"/>
      <c r="BN406" s="41">
        <f t="shared" si="6"/>
        <v>0.125</v>
      </c>
    </row>
    <row r="407" spans="2:66" hidden="1" x14ac:dyDescent="0.35">
      <c r="B407" s="41" t="s">
        <v>249</v>
      </c>
      <c r="C407" s="41" t="s">
        <v>73</v>
      </c>
      <c r="D407" s="41" t="s">
        <v>757</v>
      </c>
      <c r="E407" s="41" t="s">
        <v>756</v>
      </c>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t="str">
        <f t="shared" si="6"/>
        <v>No reported value</v>
      </c>
    </row>
    <row r="408" spans="2:66" hidden="1" x14ac:dyDescent="0.35">
      <c r="B408" s="41" t="s">
        <v>530</v>
      </c>
      <c r="C408" s="41" t="s">
        <v>531</v>
      </c>
      <c r="D408" s="41" t="s">
        <v>757</v>
      </c>
      <c r="E408" s="41" t="s">
        <v>756</v>
      </c>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v>0.41599999999999998</v>
      </c>
      <c r="AK408" s="41">
        <v>0.41499999999999998</v>
      </c>
      <c r="AL408" s="41">
        <v>0.41099999999999998</v>
      </c>
      <c r="AM408" s="41">
        <v>0.40600000000000003</v>
      </c>
      <c r="AN408" s="41">
        <v>0.40100000000000002</v>
      </c>
      <c r="AO408" s="41">
        <v>0.39600000000000002</v>
      </c>
      <c r="AP408" s="41">
        <v>0.39200000000000002</v>
      </c>
      <c r="AQ408" s="41">
        <v>0.38700000000000001</v>
      </c>
      <c r="AR408" s="41">
        <v>0.72099999999999997</v>
      </c>
      <c r="AS408" s="41">
        <v>0.71199999999999997</v>
      </c>
      <c r="AT408" s="41"/>
      <c r="AU408" s="41">
        <v>1.0389999999999999</v>
      </c>
      <c r="AV408" s="41"/>
      <c r="AW408" s="41"/>
      <c r="AX408" s="41"/>
      <c r="AY408" s="41"/>
      <c r="AZ408" s="41"/>
      <c r="BA408" s="41"/>
      <c r="BB408" s="41"/>
      <c r="BC408" s="41"/>
      <c r="BD408" s="41"/>
      <c r="BE408" s="41"/>
      <c r="BF408" s="41"/>
      <c r="BG408" s="41"/>
      <c r="BH408" s="41"/>
      <c r="BI408" s="41"/>
      <c r="BJ408" s="41"/>
      <c r="BK408" s="41"/>
      <c r="BL408" s="41"/>
      <c r="BM408" s="41"/>
      <c r="BN408" s="41">
        <f t="shared" si="6"/>
        <v>1.0389999999999999</v>
      </c>
    </row>
    <row r="409" spans="2:66" hidden="1" x14ac:dyDescent="0.35">
      <c r="B409" s="41" t="s">
        <v>429</v>
      </c>
      <c r="C409" s="41" t="s">
        <v>74</v>
      </c>
      <c r="D409" s="41" t="s">
        <v>757</v>
      </c>
      <c r="E409" s="41" t="s">
        <v>756</v>
      </c>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v>0.32600000000000001</v>
      </c>
      <c r="AY409" s="41">
        <v>0.32100000000000001</v>
      </c>
      <c r="AZ409" s="41">
        <v>0.33200000000000002</v>
      </c>
      <c r="BA409" s="41">
        <v>0.34699999999999998</v>
      </c>
      <c r="BB409" s="41">
        <v>0.36199999999999999</v>
      </c>
      <c r="BC409" s="41">
        <v>0.377</v>
      </c>
      <c r="BD409" s="41"/>
      <c r="BE409" s="41"/>
      <c r="BF409" s="41"/>
      <c r="BG409" s="41"/>
      <c r="BH409" s="41"/>
      <c r="BI409" s="41"/>
      <c r="BJ409" s="41"/>
      <c r="BK409" s="41"/>
      <c r="BL409" s="41"/>
      <c r="BM409" s="41"/>
      <c r="BN409" s="41">
        <f t="shared" si="6"/>
        <v>0.377</v>
      </c>
    </row>
    <row r="410" spans="2:66" hidden="1" x14ac:dyDescent="0.35">
      <c r="B410" s="41" t="s">
        <v>431</v>
      </c>
      <c r="C410" s="41" t="s">
        <v>75</v>
      </c>
      <c r="D410" s="41" t="s">
        <v>757</v>
      </c>
      <c r="E410" s="41" t="s">
        <v>756</v>
      </c>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t="str">
        <f t="shared" si="6"/>
        <v>No reported value</v>
      </c>
    </row>
    <row r="411" spans="2:66" hidden="1" x14ac:dyDescent="0.35">
      <c r="B411" s="41" t="s">
        <v>438</v>
      </c>
      <c r="C411" s="41" t="s">
        <v>439</v>
      </c>
      <c r="D411" s="41" t="s">
        <v>757</v>
      </c>
      <c r="E411" s="41" t="s">
        <v>756</v>
      </c>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t="str">
        <f t="shared" si="6"/>
        <v>No reported value</v>
      </c>
    </row>
    <row r="412" spans="2:66" hidden="1" x14ac:dyDescent="0.35">
      <c r="B412" s="41" t="s">
        <v>433</v>
      </c>
      <c r="C412" s="41" t="s">
        <v>76</v>
      </c>
      <c r="D412" s="41" t="s">
        <v>757</v>
      </c>
      <c r="E412" s="41" t="s">
        <v>756</v>
      </c>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t="str">
        <f t="shared" si="6"/>
        <v>No reported value</v>
      </c>
    </row>
    <row r="413" spans="2:66" hidden="1" x14ac:dyDescent="0.35">
      <c r="B413" s="41" t="s">
        <v>445</v>
      </c>
      <c r="C413" s="41" t="s">
        <v>77</v>
      </c>
      <c r="D413" s="41" t="s">
        <v>757</v>
      </c>
      <c r="E413" s="41" t="s">
        <v>756</v>
      </c>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t="str">
        <f t="shared" ref="BN413:BN476" si="7">IFERROR(LOOKUP(2,1/(ISNUMBER(F413:BM413)),F413:BM413),"No reported value")</f>
        <v>No reported value</v>
      </c>
    </row>
    <row r="414" spans="2:66" hidden="1" x14ac:dyDescent="0.35">
      <c r="B414" s="41" t="s">
        <v>201</v>
      </c>
      <c r="C414" s="41" t="s">
        <v>78</v>
      </c>
      <c r="D414" s="41" t="s">
        <v>757</v>
      </c>
      <c r="E414" s="41" t="s">
        <v>756</v>
      </c>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v>6.0999999999999999E-2</v>
      </c>
      <c r="BE414" s="41"/>
      <c r="BF414" s="41"/>
      <c r="BG414" s="41"/>
      <c r="BH414" s="41"/>
      <c r="BI414" s="41"/>
      <c r="BJ414" s="41"/>
      <c r="BK414" s="41"/>
      <c r="BL414" s="41"/>
      <c r="BM414" s="41"/>
      <c r="BN414" s="41">
        <f t="shared" si="7"/>
        <v>6.0999999999999999E-2</v>
      </c>
    </row>
    <row r="415" spans="2:66" hidden="1" x14ac:dyDescent="0.35">
      <c r="B415" s="41" t="s">
        <v>446</v>
      </c>
      <c r="C415" s="41" t="s">
        <v>79</v>
      </c>
      <c r="D415" s="41" t="s">
        <v>757</v>
      </c>
      <c r="E415" s="41" t="s">
        <v>756</v>
      </c>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t="str">
        <f t="shared" si="7"/>
        <v>No reported value</v>
      </c>
    </row>
    <row r="416" spans="2:66" hidden="1" x14ac:dyDescent="0.35">
      <c r="B416" s="41" t="s">
        <v>532</v>
      </c>
      <c r="C416" s="41" t="s">
        <v>80</v>
      </c>
      <c r="D416" s="41" t="s">
        <v>757</v>
      </c>
      <c r="E416" s="41" t="s">
        <v>756</v>
      </c>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t="str">
        <f t="shared" si="7"/>
        <v>No reported value</v>
      </c>
    </row>
    <row r="417" spans="2:66" hidden="1" x14ac:dyDescent="0.35">
      <c r="B417" s="41" t="s">
        <v>436</v>
      </c>
      <c r="C417" s="41" t="s">
        <v>437</v>
      </c>
      <c r="D417" s="41" t="s">
        <v>757</v>
      </c>
      <c r="E417" s="41" t="s">
        <v>756</v>
      </c>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t="str">
        <f t="shared" si="7"/>
        <v>No reported value</v>
      </c>
    </row>
    <row r="418" spans="2:66" hidden="1" x14ac:dyDescent="0.35">
      <c r="B418" s="41" t="s">
        <v>443</v>
      </c>
      <c r="C418" s="41" t="s">
        <v>444</v>
      </c>
      <c r="D418" s="41" t="s">
        <v>757</v>
      </c>
      <c r="E418" s="41" t="s">
        <v>756</v>
      </c>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t="str">
        <f t="shared" si="7"/>
        <v>No reported value</v>
      </c>
    </row>
    <row r="419" spans="2:66" hidden="1" x14ac:dyDescent="0.35">
      <c r="B419" s="41" t="s">
        <v>452</v>
      </c>
      <c r="C419" s="41" t="s">
        <v>453</v>
      </c>
      <c r="D419" s="41" t="s">
        <v>757</v>
      </c>
      <c r="E419" s="41" t="s">
        <v>756</v>
      </c>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t="str">
        <f t="shared" si="7"/>
        <v>No reported value</v>
      </c>
    </row>
    <row r="420" spans="2:66" hidden="1" x14ac:dyDescent="0.35">
      <c r="B420" s="41" t="s">
        <v>447</v>
      </c>
      <c r="C420" s="41" t="s">
        <v>448</v>
      </c>
      <c r="D420" s="41" t="s">
        <v>757</v>
      </c>
      <c r="E420" s="41" t="s">
        <v>756</v>
      </c>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t="str">
        <f t="shared" si="7"/>
        <v>No reported value</v>
      </c>
    </row>
    <row r="421" spans="2:66" hidden="1" x14ac:dyDescent="0.35">
      <c r="B421" s="41" t="s">
        <v>245</v>
      </c>
      <c r="C421" s="41" t="s">
        <v>81</v>
      </c>
      <c r="D421" s="41" t="s">
        <v>757</v>
      </c>
      <c r="E421" s="41" t="s">
        <v>756</v>
      </c>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t="str">
        <f t="shared" si="7"/>
        <v>No reported value</v>
      </c>
    </row>
    <row r="422" spans="2:66" hidden="1" x14ac:dyDescent="0.35">
      <c r="B422" s="41" t="s">
        <v>454</v>
      </c>
      <c r="C422" s="41" t="s">
        <v>455</v>
      </c>
      <c r="D422" s="41" t="s">
        <v>757</v>
      </c>
      <c r="E422" s="41" t="s">
        <v>756</v>
      </c>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v>0.40748886297282155</v>
      </c>
      <c r="BF422" s="41"/>
      <c r="BG422" s="41"/>
      <c r="BH422" s="41"/>
      <c r="BI422" s="41"/>
      <c r="BJ422" s="41"/>
      <c r="BK422" s="41"/>
      <c r="BL422" s="41"/>
      <c r="BM422" s="41"/>
      <c r="BN422" s="41">
        <f t="shared" si="7"/>
        <v>0.40748886297282155</v>
      </c>
    </row>
    <row r="423" spans="2:66" hidden="1" x14ac:dyDescent="0.35">
      <c r="B423" s="41" t="s">
        <v>450</v>
      </c>
      <c r="C423" s="41" t="s">
        <v>451</v>
      </c>
      <c r="D423" s="41" t="s">
        <v>757</v>
      </c>
      <c r="E423" s="41" t="s">
        <v>756</v>
      </c>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t="str">
        <f t="shared" si="7"/>
        <v>No reported value</v>
      </c>
    </row>
    <row r="424" spans="2:66" hidden="1" x14ac:dyDescent="0.35">
      <c r="B424" s="41" t="s">
        <v>200</v>
      </c>
      <c r="C424" s="41" t="s">
        <v>167</v>
      </c>
      <c r="D424" s="41" t="s">
        <v>757</v>
      </c>
      <c r="E424" s="41" t="s">
        <v>756</v>
      </c>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t="str">
        <f t="shared" si="7"/>
        <v>No reported value</v>
      </c>
    </row>
    <row r="425" spans="2:66" hidden="1" x14ac:dyDescent="0.35">
      <c r="B425" s="41" t="s">
        <v>434</v>
      </c>
      <c r="C425" s="41" t="s">
        <v>435</v>
      </c>
      <c r="D425" s="41" t="s">
        <v>757</v>
      </c>
      <c r="E425" s="41" t="s">
        <v>756</v>
      </c>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t="str">
        <f t="shared" si="7"/>
        <v>No reported value</v>
      </c>
    </row>
    <row r="426" spans="2:66" hidden="1" x14ac:dyDescent="0.35">
      <c r="B426" s="41" t="s">
        <v>449</v>
      </c>
      <c r="C426" s="41" t="s">
        <v>82</v>
      </c>
      <c r="D426" s="41" t="s">
        <v>757</v>
      </c>
      <c r="E426" s="41" t="s">
        <v>756</v>
      </c>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t="str">
        <f t="shared" si="7"/>
        <v>No reported value</v>
      </c>
    </row>
    <row r="427" spans="2:66" hidden="1" x14ac:dyDescent="0.35">
      <c r="B427" s="41" t="s">
        <v>456</v>
      </c>
      <c r="C427" s="41" t="s">
        <v>83</v>
      </c>
      <c r="D427" s="41" t="s">
        <v>757</v>
      </c>
      <c r="E427" s="41" t="s">
        <v>756</v>
      </c>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t="str">
        <f t="shared" si="7"/>
        <v>No reported value</v>
      </c>
    </row>
    <row r="428" spans="2:66" hidden="1" x14ac:dyDescent="0.35">
      <c r="B428" s="41" t="s">
        <v>442</v>
      </c>
      <c r="C428" s="41" t="s">
        <v>84</v>
      </c>
      <c r="D428" s="41" t="s">
        <v>757</v>
      </c>
      <c r="E428" s="41" t="s">
        <v>756</v>
      </c>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t="str">
        <f t="shared" si="7"/>
        <v>No reported value</v>
      </c>
    </row>
    <row r="429" spans="2:66" hidden="1" x14ac:dyDescent="0.35">
      <c r="B429" s="41" t="s">
        <v>457</v>
      </c>
      <c r="C429" s="41" t="s">
        <v>458</v>
      </c>
      <c r="D429" s="41" t="s">
        <v>757</v>
      </c>
      <c r="E429" s="41" t="s">
        <v>756</v>
      </c>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t="str">
        <f t="shared" si="7"/>
        <v>No reported value</v>
      </c>
    </row>
    <row r="430" spans="2:66" hidden="1" x14ac:dyDescent="0.35">
      <c r="B430" s="41" t="s">
        <v>533</v>
      </c>
      <c r="C430" s="41" t="s">
        <v>534</v>
      </c>
      <c r="D430" s="41" t="s">
        <v>757</v>
      </c>
      <c r="E430" s="41" t="s">
        <v>756</v>
      </c>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t="str">
        <f t="shared" si="7"/>
        <v>No reported value</v>
      </c>
    </row>
    <row r="431" spans="2:66" hidden="1" x14ac:dyDescent="0.35">
      <c r="B431" s="41" t="s">
        <v>476</v>
      </c>
      <c r="C431" s="41" t="s">
        <v>85</v>
      </c>
      <c r="D431" s="41" t="s">
        <v>757</v>
      </c>
      <c r="E431" s="41" t="s">
        <v>756</v>
      </c>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t="str">
        <f t="shared" si="7"/>
        <v>No reported value</v>
      </c>
    </row>
    <row r="432" spans="2:66" hidden="1" x14ac:dyDescent="0.35">
      <c r="B432" s="41" t="s">
        <v>474</v>
      </c>
      <c r="C432" s="41" t="s">
        <v>86</v>
      </c>
      <c r="D432" s="41" t="s">
        <v>757</v>
      </c>
      <c r="E432" s="41" t="s">
        <v>756</v>
      </c>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t="str">
        <f t="shared" si="7"/>
        <v>No reported value</v>
      </c>
    </row>
    <row r="433" spans="2:66" hidden="1" x14ac:dyDescent="0.35">
      <c r="B433" s="41" t="s">
        <v>473</v>
      </c>
      <c r="C433" s="41" t="s">
        <v>87</v>
      </c>
      <c r="D433" s="41" t="s">
        <v>757</v>
      </c>
      <c r="E433" s="41" t="s">
        <v>756</v>
      </c>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t="str">
        <f t="shared" si="7"/>
        <v>No reported value</v>
      </c>
    </row>
    <row r="434" spans="2:66" hidden="1" x14ac:dyDescent="0.35">
      <c r="B434" s="41" t="s">
        <v>202</v>
      </c>
      <c r="C434" s="41" t="s">
        <v>88</v>
      </c>
      <c r="D434" s="41" t="s">
        <v>757</v>
      </c>
      <c r="E434" s="41" t="s">
        <v>756</v>
      </c>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t="str">
        <f t="shared" si="7"/>
        <v>No reported value</v>
      </c>
    </row>
    <row r="435" spans="2:66" hidden="1" x14ac:dyDescent="0.35">
      <c r="B435" s="41" t="s">
        <v>243</v>
      </c>
      <c r="C435" s="41" t="s">
        <v>89</v>
      </c>
      <c r="D435" s="41" t="s">
        <v>757</v>
      </c>
      <c r="E435" s="41" t="s">
        <v>756</v>
      </c>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v>1.0189999999999999</v>
      </c>
      <c r="AL435" s="41"/>
      <c r="AM435" s="41">
        <v>1.181</v>
      </c>
      <c r="AN435" s="41"/>
      <c r="AO435" s="41"/>
      <c r="AP435" s="41">
        <v>1.244</v>
      </c>
      <c r="AQ435" s="41"/>
      <c r="AR435" s="41"/>
      <c r="AS435" s="41"/>
      <c r="AT435" s="41"/>
      <c r="AU435" s="41"/>
      <c r="AV435" s="41"/>
      <c r="AW435" s="41"/>
      <c r="AX435" s="41">
        <v>1.7170000000000001</v>
      </c>
      <c r="AY435" s="41"/>
      <c r="AZ435" s="41"/>
      <c r="BA435" s="41">
        <v>1.5149999999999999</v>
      </c>
      <c r="BB435" s="41"/>
      <c r="BC435" s="41">
        <v>1.57</v>
      </c>
      <c r="BD435" s="41">
        <v>1.7769999999999999</v>
      </c>
      <c r="BE435" s="41"/>
      <c r="BF435" s="41"/>
      <c r="BG435" s="41"/>
      <c r="BH435" s="41">
        <v>1.4239999999999999</v>
      </c>
      <c r="BI435" s="41"/>
      <c r="BJ435" s="41"/>
      <c r="BK435" s="41"/>
      <c r="BL435" s="41"/>
      <c r="BM435" s="41"/>
      <c r="BN435" s="41">
        <f t="shared" si="7"/>
        <v>1.4239999999999999</v>
      </c>
    </row>
    <row r="436" spans="2:66" hidden="1" x14ac:dyDescent="0.35">
      <c r="B436" s="41" t="s">
        <v>465</v>
      </c>
      <c r="C436" s="41" t="s">
        <v>466</v>
      </c>
      <c r="D436" s="41" t="s">
        <v>757</v>
      </c>
      <c r="E436" s="41" t="s">
        <v>756</v>
      </c>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t="str">
        <f t="shared" si="7"/>
        <v>No reported value</v>
      </c>
    </row>
    <row r="437" spans="2:66" hidden="1" x14ac:dyDescent="0.35">
      <c r="B437" s="41" t="s">
        <v>462</v>
      </c>
      <c r="C437" s="41" t="s">
        <v>90</v>
      </c>
      <c r="D437" s="41" t="s">
        <v>757</v>
      </c>
      <c r="E437" s="41" t="s">
        <v>756</v>
      </c>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t="str">
        <f t="shared" si="7"/>
        <v>No reported value</v>
      </c>
    </row>
    <row r="438" spans="2:66" hidden="1" x14ac:dyDescent="0.35">
      <c r="B438" s="41" t="s">
        <v>461</v>
      </c>
      <c r="C438" s="41" t="s">
        <v>91</v>
      </c>
      <c r="D438" s="41" t="s">
        <v>757</v>
      </c>
      <c r="E438" s="41" t="s">
        <v>756</v>
      </c>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t="str">
        <f t="shared" si="7"/>
        <v>No reported value</v>
      </c>
    </row>
    <row r="439" spans="2:66" hidden="1" x14ac:dyDescent="0.35">
      <c r="B439" s="41" t="s">
        <v>471</v>
      </c>
      <c r="C439" s="41" t="s">
        <v>472</v>
      </c>
      <c r="D439" s="41" t="s">
        <v>757</v>
      </c>
      <c r="E439" s="41" t="s">
        <v>756</v>
      </c>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t="str">
        <f t="shared" si="7"/>
        <v>No reported value</v>
      </c>
    </row>
    <row r="440" spans="2:66" hidden="1" x14ac:dyDescent="0.35">
      <c r="B440" s="41" t="s">
        <v>483</v>
      </c>
      <c r="C440" s="41" t="s">
        <v>484</v>
      </c>
      <c r="D440" s="41" t="s">
        <v>757</v>
      </c>
      <c r="E440" s="41" t="s">
        <v>756</v>
      </c>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t="str">
        <f t="shared" si="7"/>
        <v>No reported value</v>
      </c>
    </row>
    <row r="441" spans="2:66" hidden="1" x14ac:dyDescent="0.35">
      <c r="B441" s="41" t="s">
        <v>204</v>
      </c>
      <c r="C441" s="41" t="s">
        <v>92</v>
      </c>
      <c r="D441" s="41" t="s">
        <v>757</v>
      </c>
      <c r="E441" s="41" t="s">
        <v>756</v>
      </c>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v>8.0000000000000002E-3</v>
      </c>
      <c r="BD441" s="41">
        <v>7.0000000000000001E-3</v>
      </c>
      <c r="BE441" s="41"/>
      <c r="BF441" s="41"/>
      <c r="BG441" s="41"/>
      <c r="BH441" s="41"/>
      <c r="BI441" s="41"/>
      <c r="BJ441" s="41"/>
      <c r="BK441" s="41"/>
      <c r="BL441" s="41"/>
      <c r="BM441" s="41"/>
      <c r="BN441" s="41">
        <f t="shared" si="7"/>
        <v>7.0000000000000001E-3</v>
      </c>
    </row>
    <row r="442" spans="2:66" hidden="1" x14ac:dyDescent="0.35">
      <c r="B442" s="41" t="s">
        <v>460</v>
      </c>
      <c r="C442" s="41" t="s">
        <v>93</v>
      </c>
      <c r="D442" s="41" t="s">
        <v>757</v>
      </c>
      <c r="E442" s="41" t="s">
        <v>756</v>
      </c>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t="str">
        <f t="shared" si="7"/>
        <v>No reported value</v>
      </c>
    </row>
    <row r="443" spans="2:66" hidden="1" x14ac:dyDescent="0.35">
      <c r="B443" s="41" t="s">
        <v>244</v>
      </c>
      <c r="C443" s="41" t="s">
        <v>94</v>
      </c>
      <c r="D443" s="41" t="s">
        <v>757</v>
      </c>
      <c r="E443" s="41" t="s">
        <v>756</v>
      </c>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v>0.999</v>
      </c>
      <c r="AY443" s="41">
        <v>7.6999999999999999E-2</v>
      </c>
      <c r="AZ443" s="41">
        <v>0.08</v>
      </c>
      <c r="BA443" s="41">
        <v>8.2000000000000003E-2</v>
      </c>
      <c r="BB443" s="41">
        <v>8.2000000000000003E-2</v>
      </c>
      <c r="BC443" s="41">
        <v>0.193</v>
      </c>
      <c r="BD443" s="41">
        <v>0.193</v>
      </c>
      <c r="BE443" s="41">
        <v>0.19400000000000001</v>
      </c>
      <c r="BF443" s="41">
        <v>0.19500000000000001</v>
      </c>
      <c r="BG443" s="41"/>
      <c r="BH443" s="41"/>
      <c r="BI443" s="41"/>
      <c r="BJ443" s="41"/>
      <c r="BK443" s="41"/>
      <c r="BL443" s="41"/>
      <c r="BM443" s="41"/>
      <c r="BN443" s="41">
        <f t="shared" si="7"/>
        <v>0.19500000000000001</v>
      </c>
    </row>
    <row r="444" spans="2:66" hidden="1" x14ac:dyDescent="0.35">
      <c r="B444" s="41" t="s">
        <v>467</v>
      </c>
      <c r="C444" s="41" t="s">
        <v>468</v>
      </c>
      <c r="D444" s="41" t="s">
        <v>757</v>
      </c>
      <c r="E444" s="41" t="s">
        <v>756</v>
      </c>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t="str">
        <f t="shared" si="7"/>
        <v>No reported value</v>
      </c>
    </row>
    <row r="445" spans="2:66" hidden="1" x14ac:dyDescent="0.35">
      <c r="B445" s="41" t="s">
        <v>475</v>
      </c>
      <c r="C445" s="41" t="s">
        <v>95</v>
      </c>
      <c r="D445" s="41" t="s">
        <v>757</v>
      </c>
      <c r="E445" s="41" t="s">
        <v>756</v>
      </c>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t="str">
        <f t="shared" si="7"/>
        <v>No reported value</v>
      </c>
    </row>
    <row r="446" spans="2:66" hidden="1" x14ac:dyDescent="0.35">
      <c r="B446" s="41" t="s">
        <v>250</v>
      </c>
      <c r="C446" s="41" t="s">
        <v>96</v>
      </c>
      <c r="D446" s="41" t="s">
        <v>757</v>
      </c>
      <c r="E446" s="41" t="s">
        <v>756</v>
      </c>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v>2.3E-2</v>
      </c>
      <c r="BC446" s="41">
        <v>0.123</v>
      </c>
      <c r="BD446" s="41">
        <v>0.161</v>
      </c>
      <c r="BE446" s="41"/>
      <c r="BF446" s="41"/>
      <c r="BG446" s="41"/>
      <c r="BH446" s="41"/>
      <c r="BI446" s="41"/>
      <c r="BJ446" s="41"/>
      <c r="BK446" s="41"/>
      <c r="BL446" s="41"/>
      <c r="BM446" s="41"/>
      <c r="BN446" s="41">
        <f t="shared" si="7"/>
        <v>0.161</v>
      </c>
    </row>
    <row r="447" spans="2:66" hidden="1" x14ac:dyDescent="0.35">
      <c r="B447" s="41" t="s">
        <v>485</v>
      </c>
      <c r="C447" s="41" t="s">
        <v>486</v>
      </c>
      <c r="D447" s="41" t="s">
        <v>757</v>
      </c>
      <c r="E447" s="41" t="s">
        <v>756</v>
      </c>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t="str">
        <f t="shared" si="7"/>
        <v>No reported value</v>
      </c>
    </row>
    <row r="448" spans="2:66" hidden="1" x14ac:dyDescent="0.35">
      <c r="B448" s="41" t="s">
        <v>207</v>
      </c>
      <c r="C448" s="41" t="s">
        <v>97</v>
      </c>
      <c r="D448" s="41" t="s">
        <v>757</v>
      </c>
      <c r="E448" s="41" t="s">
        <v>756</v>
      </c>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v>4.7E-2</v>
      </c>
      <c r="BG448" s="41">
        <v>4.4999999999999998E-2</v>
      </c>
      <c r="BH448" s="41"/>
      <c r="BI448" s="41"/>
      <c r="BJ448" s="41"/>
      <c r="BK448" s="41"/>
      <c r="BL448" s="41"/>
      <c r="BM448" s="41"/>
      <c r="BN448" s="41">
        <f t="shared" si="7"/>
        <v>4.4999999999999998E-2</v>
      </c>
    </row>
    <row r="449" spans="2:66" hidden="1" x14ac:dyDescent="0.35">
      <c r="B449" s="41" t="s">
        <v>205</v>
      </c>
      <c r="C449" s="41" t="s">
        <v>98</v>
      </c>
      <c r="D449" s="41" t="s">
        <v>757</v>
      </c>
      <c r="E449" s="41" t="s">
        <v>756</v>
      </c>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v>0.3</v>
      </c>
      <c r="BH449" s="41"/>
      <c r="BI449" s="41"/>
      <c r="BJ449" s="41"/>
      <c r="BK449" s="41"/>
      <c r="BL449" s="41"/>
      <c r="BM449" s="41"/>
      <c r="BN449" s="41">
        <f t="shared" si="7"/>
        <v>0.3</v>
      </c>
    </row>
    <row r="450" spans="2:66" hidden="1" x14ac:dyDescent="0.35">
      <c r="B450" s="41" t="s">
        <v>206</v>
      </c>
      <c r="C450" s="41" t="s">
        <v>99</v>
      </c>
      <c r="D450" s="41" t="s">
        <v>757</v>
      </c>
      <c r="E450" s="41" t="s">
        <v>756</v>
      </c>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v>0.19400000000000001</v>
      </c>
      <c r="AY450" s="41"/>
      <c r="AZ450" s="41"/>
      <c r="BA450" s="41"/>
      <c r="BB450" s="41"/>
      <c r="BC450" s="41"/>
      <c r="BD450" s="41"/>
      <c r="BE450" s="41"/>
      <c r="BF450" s="41"/>
      <c r="BG450" s="41"/>
      <c r="BH450" s="41"/>
      <c r="BI450" s="41"/>
      <c r="BJ450" s="41"/>
      <c r="BK450" s="41"/>
      <c r="BL450" s="41"/>
      <c r="BM450" s="41"/>
      <c r="BN450" s="41">
        <f t="shared" si="7"/>
        <v>0.19400000000000001</v>
      </c>
    </row>
    <row r="451" spans="2:66" hidden="1" x14ac:dyDescent="0.35">
      <c r="B451" s="41" t="s">
        <v>203</v>
      </c>
      <c r="C451" s="41" t="s">
        <v>100</v>
      </c>
      <c r="D451" s="41" t="s">
        <v>757</v>
      </c>
      <c r="E451" s="41" t="s">
        <v>756</v>
      </c>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v>0.72299999999999998</v>
      </c>
      <c r="BC451" s="41"/>
      <c r="BD451" s="41"/>
      <c r="BE451" s="41"/>
      <c r="BF451" s="41"/>
      <c r="BG451" s="41"/>
      <c r="BH451" s="41"/>
      <c r="BI451" s="41"/>
      <c r="BJ451" s="41"/>
      <c r="BK451" s="41"/>
      <c r="BL451" s="41"/>
      <c r="BM451" s="41"/>
      <c r="BN451" s="41">
        <f t="shared" si="7"/>
        <v>0.72299999999999998</v>
      </c>
    </row>
    <row r="452" spans="2:66" hidden="1" x14ac:dyDescent="0.35">
      <c r="B452" s="41" t="s">
        <v>459</v>
      </c>
      <c r="C452" s="41" t="s">
        <v>101</v>
      </c>
      <c r="D452" s="41" t="s">
        <v>757</v>
      </c>
      <c r="E452" s="41" t="s">
        <v>756</v>
      </c>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v>0.435</v>
      </c>
      <c r="BE452" s="41"/>
      <c r="BF452" s="41"/>
      <c r="BG452" s="41"/>
      <c r="BH452" s="41"/>
      <c r="BI452" s="41"/>
      <c r="BJ452" s="41"/>
      <c r="BK452" s="41"/>
      <c r="BL452" s="41"/>
      <c r="BM452" s="41"/>
      <c r="BN452" s="41">
        <f t="shared" si="7"/>
        <v>0.435</v>
      </c>
    </row>
    <row r="453" spans="2:66" hidden="1" x14ac:dyDescent="0.35">
      <c r="B453" s="41" t="s">
        <v>481</v>
      </c>
      <c r="C453" s="41" t="s">
        <v>482</v>
      </c>
      <c r="D453" s="41" t="s">
        <v>757</v>
      </c>
      <c r="E453" s="41" t="s">
        <v>756</v>
      </c>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t="str">
        <f t="shared" si="7"/>
        <v>No reported value</v>
      </c>
    </row>
    <row r="454" spans="2:66" hidden="1" x14ac:dyDescent="0.35">
      <c r="B454" s="41" t="s">
        <v>208</v>
      </c>
      <c r="C454" s="41" t="s">
        <v>102</v>
      </c>
      <c r="D454" s="41" t="s">
        <v>757</v>
      </c>
      <c r="E454" s="41" t="s">
        <v>756</v>
      </c>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t="str">
        <f t="shared" si="7"/>
        <v>No reported value</v>
      </c>
    </row>
    <row r="455" spans="2:66" hidden="1" x14ac:dyDescent="0.35">
      <c r="B455" s="41" t="s">
        <v>478</v>
      </c>
      <c r="C455" s="41" t="s">
        <v>479</v>
      </c>
      <c r="D455" s="41" t="s">
        <v>757</v>
      </c>
      <c r="E455" s="41" t="s">
        <v>756</v>
      </c>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t="str">
        <f t="shared" si="7"/>
        <v>No reported value</v>
      </c>
    </row>
    <row r="456" spans="2:66" hidden="1" x14ac:dyDescent="0.35">
      <c r="B456" s="41" t="s">
        <v>209</v>
      </c>
      <c r="C456" s="41" t="s">
        <v>103</v>
      </c>
      <c r="D456" s="41" t="s">
        <v>757</v>
      </c>
      <c r="E456" s="41" t="s">
        <v>756</v>
      </c>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t="str">
        <f t="shared" si="7"/>
        <v>No reported value</v>
      </c>
    </row>
    <row r="457" spans="2:66" hidden="1" x14ac:dyDescent="0.35">
      <c r="B457" s="41" t="s">
        <v>177</v>
      </c>
      <c r="C457" s="41" t="s">
        <v>104</v>
      </c>
      <c r="D457" s="41" t="s">
        <v>757</v>
      </c>
      <c r="E457" s="41" t="s">
        <v>756</v>
      </c>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v>0.13100000000000001</v>
      </c>
      <c r="BB457" s="41">
        <v>0.128</v>
      </c>
      <c r="BC457" s="41"/>
      <c r="BD457" s="41"/>
      <c r="BE457" s="41"/>
      <c r="BF457" s="41"/>
      <c r="BG457" s="41"/>
      <c r="BH457" s="41"/>
      <c r="BI457" s="41"/>
      <c r="BJ457" s="41"/>
      <c r="BK457" s="41"/>
      <c r="BL457" s="41"/>
      <c r="BM457" s="41"/>
      <c r="BN457" s="41">
        <f t="shared" si="7"/>
        <v>0.128</v>
      </c>
    </row>
    <row r="458" spans="2:66" hidden="1" x14ac:dyDescent="0.35">
      <c r="B458" s="41" t="s">
        <v>227</v>
      </c>
      <c r="C458" s="41" t="s">
        <v>105</v>
      </c>
      <c r="D458" s="41" t="s">
        <v>757</v>
      </c>
      <c r="E458" s="41" t="s">
        <v>756</v>
      </c>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t="str">
        <f t="shared" si="7"/>
        <v>No reported value</v>
      </c>
    </row>
    <row r="459" spans="2:66" hidden="1" x14ac:dyDescent="0.35">
      <c r="B459" s="41" t="s">
        <v>477</v>
      </c>
      <c r="C459" s="41" t="s">
        <v>106</v>
      </c>
      <c r="D459" s="41" t="s">
        <v>757</v>
      </c>
      <c r="E459" s="41" t="s">
        <v>756</v>
      </c>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t="str">
        <f t="shared" si="7"/>
        <v>No reported value</v>
      </c>
    </row>
    <row r="460" spans="2:66" hidden="1" x14ac:dyDescent="0.35">
      <c r="B460" s="41" t="s">
        <v>487</v>
      </c>
      <c r="C460" s="41" t="s">
        <v>107</v>
      </c>
      <c r="D460" s="41" t="s">
        <v>757</v>
      </c>
      <c r="E460" s="41" t="s">
        <v>756</v>
      </c>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t="str">
        <f t="shared" si="7"/>
        <v>No reported value</v>
      </c>
    </row>
    <row r="461" spans="2:66" hidden="1" x14ac:dyDescent="0.35">
      <c r="B461" s="41" t="s">
        <v>179</v>
      </c>
      <c r="C461" s="41" t="s">
        <v>108</v>
      </c>
      <c r="D461" s="41" t="s">
        <v>757</v>
      </c>
      <c r="E461" s="41" t="s">
        <v>756</v>
      </c>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v>0.68400000000000005</v>
      </c>
      <c r="AY461" s="41"/>
      <c r="AZ461" s="41"/>
      <c r="BA461" s="41"/>
      <c r="BB461" s="41"/>
      <c r="BC461" s="41"/>
      <c r="BD461" s="41"/>
      <c r="BE461" s="41"/>
      <c r="BF461" s="41"/>
      <c r="BG461" s="41"/>
      <c r="BH461" s="41"/>
      <c r="BI461" s="41"/>
      <c r="BJ461" s="41"/>
      <c r="BK461" s="41"/>
      <c r="BL461" s="41"/>
      <c r="BM461" s="41"/>
      <c r="BN461" s="41">
        <f t="shared" si="7"/>
        <v>0.68400000000000005</v>
      </c>
    </row>
    <row r="462" spans="2:66" hidden="1" x14ac:dyDescent="0.35">
      <c r="B462" s="41" t="s">
        <v>251</v>
      </c>
      <c r="C462" s="41" t="s">
        <v>109</v>
      </c>
      <c r="D462" s="41" t="s">
        <v>757</v>
      </c>
      <c r="E462" s="41" t="s">
        <v>756</v>
      </c>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v>1.393</v>
      </c>
      <c r="BC462" s="41">
        <v>0.29899999999999999</v>
      </c>
      <c r="BD462" s="41"/>
      <c r="BE462" s="41">
        <v>1.6930000000000001</v>
      </c>
      <c r="BF462" s="41"/>
      <c r="BG462" s="41"/>
      <c r="BH462" s="41"/>
      <c r="BI462" s="41"/>
      <c r="BJ462" s="41"/>
      <c r="BK462" s="41"/>
      <c r="BL462" s="41"/>
      <c r="BM462" s="41"/>
      <c r="BN462" s="41">
        <f t="shared" si="7"/>
        <v>1.6930000000000001</v>
      </c>
    </row>
    <row r="463" spans="2:66" hidden="1" x14ac:dyDescent="0.35">
      <c r="B463" s="41" t="s">
        <v>480</v>
      </c>
      <c r="C463" s="41" t="s">
        <v>110</v>
      </c>
      <c r="D463" s="41" t="s">
        <v>757</v>
      </c>
      <c r="E463" s="41" t="s">
        <v>756</v>
      </c>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t="str">
        <f t="shared" si="7"/>
        <v>No reported value</v>
      </c>
    </row>
    <row r="464" spans="2:66" hidden="1" x14ac:dyDescent="0.35">
      <c r="B464" s="41" t="s">
        <v>490</v>
      </c>
      <c r="C464" s="41" t="s">
        <v>491</v>
      </c>
      <c r="D464" s="41" t="s">
        <v>757</v>
      </c>
      <c r="E464" s="41" t="s">
        <v>756</v>
      </c>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t="str">
        <f t="shared" si="7"/>
        <v>No reported value</v>
      </c>
    </row>
    <row r="465" spans="2:66" hidden="1" x14ac:dyDescent="0.35">
      <c r="B465" s="41" t="s">
        <v>492</v>
      </c>
      <c r="C465" s="41" t="s">
        <v>111</v>
      </c>
      <c r="D465" s="41" t="s">
        <v>757</v>
      </c>
      <c r="E465" s="41" t="s">
        <v>756</v>
      </c>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t="str">
        <f t="shared" si="7"/>
        <v>No reported value</v>
      </c>
    </row>
    <row r="466" spans="2:66" hidden="1" x14ac:dyDescent="0.35">
      <c r="B466" s="41" t="s">
        <v>493</v>
      </c>
      <c r="C466" s="41" t="s">
        <v>494</v>
      </c>
      <c r="D466" s="41" t="s">
        <v>757</v>
      </c>
      <c r="E466" s="41" t="s">
        <v>756</v>
      </c>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t="str">
        <f t="shared" si="7"/>
        <v>No reported value</v>
      </c>
    </row>
    <row r="467" spans="2:66" hidden="1" x14ac:dyDescent="0.35">
      <c r="B467" s="41" t="s">
        <v>176</v>
      </c>
      <c r="C467" s="41" t="s">
        <v>112</v>
      </c>
      <c r="D467" s="41" t="s">
        <v>757</v>
      </c>
      <c r="E467" s="41" t="s">
        <v>756</v>
      </c>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v>3.3000000000000002E-2</v>
      </c>
      <c r="AM467" s="41">
        <v>3.4000000000000002E-2</v>
      </c>
      <c r="AN467" s="41">
        <v>3.4000000000000002E-2</v>
      </c>
      <c r="AO467" s="41">
        <v>3.4000000000000002E-2</v>
      </c>
      <c r="AP467" s="41">
        <v>3.5000000000000003E-2</v>
      </c>
      <c r="AQ467" s="41">
        <v>3.5999999999999997E-2</v>
      </c>
      <c r="AR467" s="41">
        <v>3.7999999999999999E-2</v>
      </c>
      <c r="AS467" s="41">
        <v>3.9E-2</v>
      </c>
      <c r="AT467" s="41">
        <v>3.9E-2</v>
      </c>
      <c r="AU467" s="41">
        <v>0.04</v>
      </c>
      <c r="AV467" s="41"/>
      <c r="AW467" s="41"/>
      <c r="AX467" s="41"/>
      <c r="AY467" s="41"/>
      <c r="AZ467" s="41"/>
      <c r="BA467" s="41"/>
      <c r="BB467" s="41">
        <v>6.0999999999999999E-2</v>
      </c>
      <c r="BC467" s="41">
        <v>6.4000000000000001E-2</v>
      </c>
      <c r="BD467" s="41">
        <v>6.8000000000000005E-2</v>
      </c>
      <c r="BE467" s="41">
        <v>7.2999999999999995E-2</v>
      </c>
      <c r="BF467" s="41"/>
      <c r="BG467" s="41"/>
      <c r="BH467" s="41"/>
      <c r="BI467" s="41">
        <v>8.6999999999999994E-2</v>
      </c>
      <c r="BJ467" s="41"/>
      <c r="BK467" s="41"/>
      <c r="BL467" s="41"/>
      <c r="BM467" s="41"/>
      <c r="BN467" s="41">
        <f t="shared" si="7"/>
        <v>8.6999999999999994E-2</v>
      </c>
    </row>
    <row r="468" spans="2:66" hidden="1" x14ac:dyDescent="0.35">
      <c r="B468" s="41" t="s">
        <v>499</v>
      </c>
      <c r="C468" s="41" t="s">
        <v>113</v>
      </c>
      <c r="D468" s="41" t="s">
        <v>757</v>
      </c>
      <c r="E468" s="41" t="s">
        <v>756</v>
      </c>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v>0.46</v>
      </c>
      <c r="AU468" s="41"/>
      <c r="AV468" s="41"/>
      <c r="AW468" s="41"/>
      <c r="AX468" s="41"/>
      <c r="AY468" s="41"/>
      <c r="AZ468" s="41"/>
      <c r="BA468" s="41"/>
      <c r="BB468" s="41"/>
      <c r="BC468" s="41"/>
      <c r="BD468" s="41"/>
      <c r="BE468" s="41"/>
      <c r="BF468" s="41"/>
      <c r="BG468" s="41"/>
      <c r="BH468" s="41"/>
      <c r="BI468" s="41"/>
      <c r="BJ468" s="41"/>
      <c r="BK468" s="41"/>
      <c r="BL468" s="41"/>
      <c r="BM468" s="41"/>
      <c r="BN468" s="41">
        <f t="shared" si="7"/>
        <v>0.46</v>
      </c>
    </row>
    <row r="469" spans="2:66" hidden="1" x14ac:dyDescent="0.35">
      <c r="B469" s="41" t="s">
        <v>500</v>
      </c>
      <c r="C469" s="41" t="s">
        <v>114</v>
      </c>
      <c r="D469" s="41" t="s">
        <v>757</v>
      </c>
      <c r="E469" s="41" t="s">
        <v>756</v>
      </c>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t="str">
        <f t="shared" si="7"/>
        <v>No reported value</v>
      </c>
    </row>
    <row r="470" spans="2:66" hidden="1" x14ac:dyDescent="0.35">
      <c r="B470" s="41" t="s">
        <v>253</v>
      </c>
      <c r="C470" s="41" t="s">
        <v>115</v>
      </c>
      <c r="D470" s="41" t="s">
        <v>757</v>
      </c>
      <c r="E470" s="41" t="s">
        <v>756</v>
      </c>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t="str">
        <f t="shared" si="7"/>
        <v>No reported value</v>
      </c>
    </row>
    <row r="471" spans="2:66" hidden="1" x14ac:dyDescent="0.35">
      <c r="B471" s="41" t="s">
        <v>497</v>
      </c>
      <c r="C471" s="41" t="s">
        <v>498</v>
      </c>
      <c r="D471" s="41" t="s">
        <v>757</v>
      </c>
      <c r="E471" s="41" t="s">
        <v>756</v>
      </c>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t="str">
        <f t="shared" si="7"/>
        <v>No reported value</v>
      </c>
    </row>
    <row r="472" spans="2:66" hidden="1" x14ac:dyDescent="0.35">
      <c r="B472" s="41" t="s">
        <v>252</v>
      </c>
      <c r="C472" s="41" t="s">
        <v>116</v>
      </c>
      <c r="D472" s="41" t="s">
        <v>757</v>
      </c>
      <c r="E472" s="41" t="s">
        <v>756</v>
      </c>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v>0.59399999999999997</v>
      </c>
      <c r="BC472" s="41"/>
      <c r="BD472" s="41"/>
      <c r="BE472" s="41"/>
      <c r="BF472" s="41"/>
      <c r="BG472" s="41"/>
      <c r="BH472" s="41"/>
      <c r="BI472" s="41"/>
      <c r="BJ472" s="41"/>
      <c r="BK472" s="41"/>
      <c r="BL472" s="41"/>
      <c r="BM472" s="41"/>
      <c r="BN472" s="41">
        <f t="shared" si="7"/>
        <v>0.59399999999999997</v>
      </c>
    </row>
    <row r="473" spans="2:66" hidden="1" x14ac:dyDescent="0.35">
      <c r="B473" s="41" t="s">
        <v>501</v>
      </c>
      <c r="C473" s="41" t="s">
        <v>117</v>
      </c>
      <c r="D473" s="41" t="s">
        <v>757</v>
      </c>
      <c r="E473" s="41" t="s">
        <v>756</v>
      </c>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t="str">
        <f t="shared" si="7"/>
        <v>No reported value</v>
      </c>
    </row>
    <row r="474" spans="2:66" hidden="1" x14ac:dyDescent="0.35">
      <c r="B474" s="41" t="s">
        <v>505</v>
      </c>
      <c r="C474" s="41" t="s">
        <v>506</v>
      </c>
      <c r="D474" s="41" t="s">
        <v>757</v>
      </c>
      <c r="E474" s="41" t="s">
        <v>756</v>
      </c>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t="str">
        <f t="shared" si="7"/>
        <v>No reported value</v>
      </c>
    </row>
    <row r="475" spans="2:66" hidden="1" x14ac:dyDescent="0.35">
      <c r="B475" s="41" t="s">
        <v>507</v>
      </c>
      <c r="C475" s="41" t="s">
        <v>508</v>
      </c>
      <c r="D475" s="41" t="s">
        <v>757</v>
      </c>
      <c r="E475" s="41" t="s">
        <v>756</v>
      </c>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t="str">
        <f t="shared" si="7"/>
        <v>No reported value</v>
      </c>
    </row>
    <row r="476" spans="2:66" hidden="1" x14ac:dyDescent="0.35">
      <c r="B476" s="41" t="s">
        <v>428</v>
      </c>
      <c r="C476" s="41" t="s">
        <v>158</v>
      </c>
      <c r="D476" s="41" t="s">
        <v>757</v>
      </c>
      <c r="E476" s="41" t="s">
        <v>756</v>
      </c>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t="str">
        <f t="shared" si="7"/>
        <v>No reported value</v>
      </c>
    </row>
    <row r="477" spans="2:66" hidden="1" x14ac:dyDescent="0.35">
      <c r="B477" s="41" t="s">
        <v>502</v>
      </c>
      <c r="C477" s="41" t="s">
        <v>118</v>
      </c>
      <c r="D477" s="41" t="s">
        <v>757</v>
      </c>
      <c r="E477" s="41" t="s">
        <v>756</v>
      </c>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t="str">
        <f t="shared" ref="BN477:BN540" si="8">IFERROR(LOOKUP(2,1/(ISNUMBER(F477:BM477)),F477:BM477),"No reported value")</f>
        <v>No reported value</v>
      </c>
    </row>
    <row r="478" spans="2:66" hidden="1" x14ac:dyDescent="0.35">
      <c r="B478" s="41" t="s">
        <v>228</v>
      </c>
      <c r="C478" s="41" t="s">
        <v>119</v>
      </c>
      <c r="D478" s="41" t="s">
        <v>757</v>
      </c>
      <c r="E478" s="41" t="s">
        <v>756</v>
      </c>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t="str">
        <f t="shared" si="8"/>
        <v>No reported value</v>
      </c>
    </row>
    <row r="479" spans="2:66" hidden="1" x14ac:dyDescent="0.35">
      <c r="B479" s="41" t="s">
        <v>567</v>
      </c>
      <c r="C479" s="41" t="s">
        <v>568</v>
      </c>
      <c r="D479" s="41" t="s">
        <v>757</v>
      </c>
      <c r="E479" s="41" t="s">
        <v>756</v>
      </c>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t="str">
        <f t="shared" si="8"/>
        <v>No reported value</v>
      </c>
    </row>
    <row r="480" spans="2:66" hidden="1" x14ac:dyDescent="0.35">
      <c r="B480" s="41" t="s">
        <v>495</v>
      </c>
      <c r="C480" s="41" t="s">
        <v>496</v>
      </c>
      <c r="D480" s="41" t="s">
        <v>757</v>
      </c>
      <c r="E480" s="41" t="s">
        <v>756</v>
      </c>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t="str">
        <f t="shared" si="8"/>
        <v>No reported value</v>
      </c>
    </row>
    <row r="481" spans="2:66" hidden="1" x14ac:dyDescent="0.35">
      <c r="B481" s="41" t="s">
        <v>503</v>
      </c>
      <c r="C481" s="41" t="s">
        <v>504</v>
      </c>
      <c r="D481" s="41" t="s">
        <v>757</v>
      </c>
      <c r="E481" s="41" t="s">
        <v>756</v>
      </c>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t="str">
        <f t="shared" si="8"/>
        <v>No reported value</v>
      </c>
    </row>
    <row r="482" spans="2:66" hidden="1" x14ac:dyDescent="0.35">
      <c r="B482" s="41" t="s">
        <v>396</v>
      </c>
      <c r="C482" s="41" t="s">
        <v>397</v>
      </c>
      <c r="D482" s="41" t="s">
        <v>757</v>
      </c>
      <c r="E482" s="41" t="s">
        <v>756</v>
      </c>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t="str">
        <f t="shared" si="8"/>
        <v>No reported value</v>
      </c>
    </row>
    <row r="483" spans="2:66" hidden="1" x14ac:dyDescent="0.35">
      <c r="B483" s="41" t="s">
        <v>509</v>
      </c>
      <c r="C483" s="41" t="s">
        <v>120</v>
      </c>
      <c r="D483" s="41" t="s">
        <v>757</v>
      </c>
      <c r="E483" s="41" t="s">
        <v>756</v>
      </c>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t="str">
        <f t="shared" si="8"/>
        <v>No reported value</v>
      </c>
    </row>
    <row r="484" spans="2:66" hidden="1" x14ac:dyDescent="0.35">
      <c r="B484" s="41" t="s">
        <v>510</v>
      </c>
      <c r="C484" s="41" t="s">
        <v>121</v>
      </c>
      <c r="D484" s="41" t="s">
        <v>757</v>
      </c>
      <c r="E484" s="41" t="s">
        <v>756</v>
      </c>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t="str">
        <f t="shared" si="8"/>
        <v>No reported value</v>
      </c>
    </row>
    <row r="485" spans="2:66" hidden="1" x14ac:dyDescent="0.35">
      <c r="B485" s="41" t="s">
        <v>511</v>
      </c>
      <c r="C485" s="41" t="s">
        <v>122</v>
      </c>
      <c r="D485" s="41" t="s">
        <v>757</v>
      </c>
      <c r="E485" s="41" t="s">
        <v>756</v>
      </c>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t="str">
        <f t="shared" si="8"/>
        <v>No reported value</v>
      </c>
    </row>
    <row r="486" spans="2:66" hidden="1" x14ac:dyDescent="0.35">
      <c r="B486" s="41" t="s">
        <v>210</v>
      </c>
      <c r="C486" s="41" t="s">
        <v>123</v>
      </c>
      <c r="D486" s="41" t="s">
        <v>757</v>
      </c>
      <c r="E486" s="41" t="s">
        <v>756</v>
      </c>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v>1.359</v>
      </c>
      <c r="AY486" s="41"/>
      <c r="AZ486" s="41"/>
      <c r="BA486" s="41"/>
      <c r="BB486" s="41"/>
      <c r="BC486" s="41"/>
      <c r="BD486" s="41"/>
      <c r="BE486" s="41"/>
      <c r="BF486" s="41"/>
      <c r="BG486" s="41"/>
      <c r="BH486" s="41"/>
      <c r="BI486" s="41"/>
      <c r="BJ486" s="41"/>
      <c r="BK486" s="41"/>
      <c r="BL486" s="41"/>
      <c r="BM486" s="41"/>
      <c r="BN486" s="41">
        <f t="shared" si="8"/>
        <v>1.359</v>
      </c>
    </row>
    <row r="487" spans="2:66" hidden="1" x14ac:dyDescent="0.35">
      <c r="B487" s="41" t="s">
        <v>523</v>
      </c>
      <c r="C487" s="41" t="s">
        <v>524</v>
      </c>
      <c r="D487" s="41" t="s">
        <v>757</v>
      </c>
      <c r="E487" s="41" t="s">
        <v>756</v>
      </c>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v>0.14092108091665279</v>
      </c>
      <c r="AK487" s="41"/>
      <c r="AL487" s="41"/>
      <c r="AM487" s="41"/>
      <c r="AN487" s="41"/>
      <c r="AO487" s="41"/>
      <c r="AP487" s="41"/>
      <c r="AQ487" s="41"/>
      <c r="AR487" s="41"/>
      <c r="AS487" s="41"/>
      <c r="AT487" s="41"/>
      <c r="AU487" s="41"/>
      <c r="AV487" s="41"/>
      <c r="AW487" s="41"/>
      <c r="AX487" s="41"/>
      <c r="AY487" s="41"/>
      <c r="AZ487" s="41"/>
      <c r="BA487" s="41"/>
      <c r="BB487" s="41"/>
      <c r="BC487" s="41"/>
      <c r="BD487" s="41"/>
      <c r="BE487" s="41">
        <v>0.51390419136430165</v>
      </c>
      <c r="BF487" s="41"/>
      <c r="BG487" s="41"/>
      <c r="BH487" s="41"/>
      <c r="BI487" s="41"/>
      <c r="BJ487" s="41"/>
      <c r="BK487" s="41"/>
      <c r="BL487" s="41"/>
      <c r="BM487" s="41"/>
      <c r="BN487" s="41">
        <f t="shared" si="8"/>
        <v>0.51390419136430165</v>
      </c>
    </row>
    <row r="488" spans="2:66" hidden="1" x14ac:dyDescent="0.35">
      <c r="B488" s="41" t="s">
        <v>513</v>
      </c>
      <c r="C488" s="41" t="s">
        <v>124</v>
      </c>
      <c r="D488" s="41" t="s">
        <v>757</v>
      </c>
      <c r="E488" s="41" t="s">
        <v>756</v>
      </c>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t="str">
        <f t="shared" si="8"/>
        <v>No reported value</v>
      </c>
    </row>
    <row r="489" spans="2:66" hidden="1" x14ac:dyDescent="0.35">
      <c r="B489" s="41" t="s">
        <v>233</v>
      </c>
      <c r="C489" s="41" t="s">
        <v>125</v>
      </c>
      <c r="D489" s="41" t="s">
        <v>757</v>
      </c>
      <c r="E489" s="41" t="s">
        <v>756</v>
      </c>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v>0.151</v>
      </c>
      <c r="AY489" s="41"/>
      <c r="AZ489" s="41"/>
      <c r="BA489" s="41"/>
      <c r="BB489" s="41"/>
      <c r="BC489" s="41"/>
      <c r="BD489" s="41"/>
      <c r="BE489" s="41"/>
      <c r="BF489" s="41"/>
      <c r="BG489" s="41"/>
      <c r="BH489" s="41"/>
      <c r="BI489" s="41"/>
      <c r="BJ489" s="41"/>
      <c r="BK489" s="41"/>
      <c r="BL489" s="41"/>
      <c r="BM489" s="41"/>
      <c r="BN489" s="41">
        <f t="shared" si="8"/>
        <v>0.151</v>
      </c>
    </row>
    <row r="490" spans="2:66" hidden="1" x14ac:dyDescent="0.35">
      <c r="B490" s="41" t="s">
        <v>212</v>
      </c>
      <c r="C490" s="41" t="s">
        <v>126</v>
      </c>
      <c r="D490" s="41" t="s">
        <v>757</v>
      </c>
      <c r="E490" s="41" t="s">
        <v>756</v>
      </c>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v>0</v>
      </c>
      <c r="BK490" s="41"/>
      <c r="BL490" s="41"/>
      <c r="BM490" s="41"/>
      <c r="BN490" s="41">
        <f t="shared" si="8"/>
        <v>0</v>
      </c>
    </row>
    <row r="491" spans="2:66" hidden="1" x14ac:dyDescent="0.35">
      <c r="B491" s="41" t="s">
        <v>515</v>
      </c>
      <c r="C491" s="41" t="s">
        <v>127</v>
      </c>
      <c r="D491" s="41" t="s">
        <v>757</v>
      </c>
      <c r="E491" s="41" t="s">
        <v>756</v>
      </c>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v>0.40200000000000002</v>
      </c>
      <c r="BG491" s="41">
        <v>0.39900000000000002</v>
      </c>
      <c r="BH491" s="41"/>
      <c r="BI491" s="41"/>
      <c r="BJ491" s="41">
        <v>0.503</v>
      </c>
      <c r="BK491" s="41"/>
      <c r="BL491" s="41"/>
      <c r="BM491" s="41"/>
      <c r="BN491" s="41">
        <f t="shared" si="8"/>
        <v>0.503</v>
      </c>
    </row>
    <row r="492" spans="2:66" hidden="1" x14ac:dyDescent="0.35">
      <c r="B492" s="41" t="s">
        <v>255</v>
      </c>
      <c r="C492" s="41" t="s">
        <v>128</v>
      </c>
      <c r="D492" s="41" t="s">
        <v>757</v>
      </c>
      <c r="E492" s="41" t="s">
        <v>756</v>
      </c>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t="str">
        <f t="shared" si="8"/>
        <v>No reported value</v>
      </c>
    </row>
    <row r="493" spans="2:66" hidden="1" x14ac:dyDescent="0.35">
      <c r="B493" s="41" t="s">
        <v>214</v>
      </c>
      <c r="C493" s="41" t="s">
        <v>129</v>
      </c>
      <c r="D493" s="41" t="s">
        <v>757</v>
      </c>
      <c r="E493" s="41" t="s">
        <v>756</v>
      </c>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v>0.115</v>
      </c>
      <c r="AY493" s="41"/>
      <c r="AZ493" s="41"/>
      <c r="BA493" s="41"/>
      <c r="BB493" s="41">
        <v>2.4E-2</v>
      </c>
      <c r="BC493" s="41"/>
      <c r="BD493" s="41">
        <v>2.3E-2</v>
      </c>
      <c r="BE493" s="41"/>
      <c r="BF493" s="41"/>
      <c r="BG493" s="41"/>
      <c r="BH493" s="41"/>
      <c r="BI493" s="41"/>
      <c r="BJ493" s="41"/>
      <c r="BK493" s="41"/>
      <c r="BL493" s="41"/>
      <c r="BM493" s="41"/>
      <c r="BN493" s="41">
        <f t="shared" si="8"/>
        <v>2.3E-2</v>
      </c>
    </row>
    <row r="494" spans="2:66" hidden="1" x14ac:dyDescent="0.35">
      <c r="B494" s="41" t="s">
        <v>222</v>
      </c>
      <c r="C494" s="41" t="s">
        <v>164</v>
      </c>
      <c r="D494" s="41" t="s">
        <v>757</v>
      </c>
      <c r="E494" s="41" t="s">
        <v>756</v>
      </c>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t="str">
        <f t="shared" si="8"/>
        <v>No reported value</v>
      </c>
    </row>
    <row r="495" spans="2:66" hidden="1" x14ac:dyDescent="0.35">
      <c r="B495" s="41" t="s">
        <v>512</v>
      </c>
      <c r="C495" s="41" t="s">
        <v>130</v>
      </c>
      <c r="D495" s="41" t="s">
        <v>757</v>
      </c>
      <c r="E495" s="41" t="s">
        <v>756</v>
      </c>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t="str">
        <f t="shared" si="8"/>
        <v>No reported value</v>
      </c>
    </row>
    <row r="496" spans="2:66" hidden="1" x14ac:dyDescent="0.35">
      <c r="B496" s="41" t="s">
        <v>232</v>
      </c>
      <c r="C496" s="41" t="s">
        <v>171</v>
      </c>
      <c r="D496" s="41" t="s">
        <v>757</v>
      </c>
      <c r="E496" s="41" t="s">
        <v>756</v>
      </c>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t="str">
        <f t="shared" si="8"/>
        <v>No reported value</v>
      </c>
    </row>
    <row r="497" spans="2:66" hidden="1" x14ac:dyDescent="0.35">
      <c r="B497" s="41" t="s">
        <v>514</v>
      </c>
      <c r="C497" s="41" t="s">
        <v>131</v>
      </c>
      <c r="D497" s="41" t="s">
        <v>757</v>
      </c>
      <c r="E497" s="41" t="s">
        <v>756</v>
      </c>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t="str">
        <f t="shared" si="8"/>
        <v>No reported value</v>
      </c>
    </row>
    <row r="498" spans="2:66" hidden="1" x14ac:dyDescent="0.35">
      <c r="B498" s="41" t="s">
        <v>539</v>
      </c>
      <c r="C498" s="41" t="s">
        <v>540</v>
      </c>
      <c r="D498" s="41" t="s">
        <v>757</v>
      </c>
      <c r="E498" s="41" t="s">
        <v>756</v>
      </c>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t="str">
        <f t="shared" si="8"/>
        <v>No reported value</v>
      </c>
    </row>
    <row r="499" spans="2:66" hidden="1" x14ac:dyDescent="0.35">
      <c r="B499" s="41" t="s">
        <v>527</v>
      </c>
      <c r="C499" s="41" t="s">
        <v>528</v>
      </c>
      <c r="D499" s="41" t="s">
        <v>757</v>
      </c>
      <c r="E499" s="41" t="s">
        <v>756</v>
      </c>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t="str">
        <f t="shared" si="8"/>
        <v>No reported value</v>
      </c>
    </row>
    <row r="500" spans="2:66" hidden="1" x14ac:dyDescent="0.35">
      <c r="B500" s="41" t="s">
        <v>537</v>
      </c>
      <c r="C500" s="41" t="s">
        <v>538</v>
      </c>
      <c r="D500" s="41" t="s">
        <v>757</v>
      </c>
      <c r="E500" s="41" t="s">
        <v>756</v>
      </c>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t="str">
        <f t="shared" si="8"/>
        <v>No reported value</v>
      </c>
    </row>
    <row r="501" spans="2:66" hidden="1" x14ac:dyDescent="0.35">
      <c r="B501" s="41" t="s">
        <v>521</v>
      </c>
      <c r="C501" s="41" t="s">
        <v>522</v>
      </c>
      <c r="D501" s="41" t="s">
        <v>757</v>
      </c>
      <c r="E501" s="41" t="s">
        <v>756</v>
      </c>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t="str">
        <f t="shared" si="8"/>
        <v>No reported value</v>
      </c>
    </row>
    <row r="502" spans="2:66" hidden="1" x14ac:dyDescent="0.35">
      <c r="B502" s="41" t="s">
        <v>211</v>
      </c>
      <c r="C502" s="41" t="s">
        <v>175</v>
      </c>
      <c r="D502" s="41" t="s">
        <v>757</v>
      </c>
      <c r="E502" s="41" t="s">
        <v>756</v>
      </c>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v>1.002</v>
      </c>
      <c r="AY502" s="41"/>
      <c r="AZ502" s="41"/>
      <c r="BA502" s="41"/>
      <c r="BB502" s="41"/>
      <c r="BC502" s="41"/>
      <c r="BD502" s="41"/>
      <c r="BE502" s="41"/>
      <c r="BF502" s="41"/>
      <c r="BG502" s="41"/>
      <c r="BH502" s="41"/>
      <c r="BI502" s="41"/>
      <c r="BJ502" s="41"/>
      <c r="BK502" s="41"/>
      <c r="BL502" s="41"/>
      <c r="BM502" s="41"/>
      <c r="BN502" s="41">
        <f t="shared" si="8"/>
        <v>1.002</v>
      </c>
    </row>
    <row r="503" spans="2:66" hidden="1" x14ac:dyDescent="0.35">
      <c r="B503" s="41" t="s">
        <v>229</v>
      </c>
      <c r="C503" s="41" t="s">
        <v>170</v>
      </c>
      <c r="D503" s="41" t="s">
        <v>757</v>
      </c>
      <c r="E503" s="41" t="s">
        <v>756</v>
      </c>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t="str">
        <f t="shared" si="8"/>
        <v>No reported value</v>
      </c>
    </row>
    <row r="504" spans="2:66" hidden="1" x14ac:dyDescent="0.35">
      <c r="B504" s="41" t="s">
        <v>518</v>
      </c>
      <c r="C504" s="41" t="s">
        <v>519</v>
      </c>
      <c r="D504" s="41" t="s">
        <v>757</v>
      </c>
      <c r="E504" s="41" t="s">
        <v>756</v>
      </c>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v>1.7999999999999999E-2</v>
      </c>
      <c r="BH504" s="41"/>
      <c r="BI504" s="41"/>
      <c r="BJ504" s="41"/>
      <c r="BK504" s="41"/>
      <c r="BL504" s="41"/>
      <c r="BM504" s="41"/>
      <c r="BN504" s="41">
        <f t="shared" si="8"/>
        <v>1.7999999999999999E-2</v>
      </c>
    </row>
    <row r="505" spans="2:66" hidden="1" x14ac:dyDescent="0.35">
      <c r="B505" s="41" t="s">
        <v>520</v>
      </c>
      <c r="C505" s="41" t="s">
        <v>132</v>
      </c>
      <c r="D505" s="41" t="s">
        <v>757</v>
      </c>
      <c r="E505" s="41" t="s">
        <v>756</v>
      </c>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t="str">
        <f t="shared" si="8"/>
        <v>No reported value</v>
      </c>
    </row>
    <row r="506" spans="2:66" hidden="1" x14ac:dyDescent="0.35">
      <c r="B506" s="41" t="s">
        <v>543</v>
      </c>
      <c r="C506" s="41" t="s">
        <v>133</v>
      </c>
      <c r="D506" s="41" t="s">
        <v>757</v>
      </c>
      <c r="E506" s="41" t="s">
        <v>756</v>
      </c>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t="str">
        <f t="shared" si="8"/>
        <v>No reported value</v>
      </c>
    </row>
    <row r="507" spans="2:66" hidden="1" x14ac:dyDescent="0.35">
      <c r="B507" s="41" t="s">
        <v>379</v>
      </c>
      <c r="C507" s="41" t="s">
        <v>134</v>
      </c>
      <c r="D507" s="41" t="s">
        <v>757</v>
      </c>
      <c r="E507" s="41" t="s">
        <v>756</v>
      </c>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v>3.6539999999999999</v>
      </c>
      <c r="AY507" s="41"/>
      <c r="AZ507" s="41"/>
      <c r="BA507" s="41"/>
      <c r="BB507" s="41"/>
      <c r="BC507" s="41"/>
      <c r="BD507" s="41"/>
      <c r="BE507" s="41"/>
      <c r="BF507" s="41"/>
      <c r="BG507" s="41"/>
      <c r="BH507" s="41"/>
      <c r="BI507" s="41"/>
      <c r="BJ507" s="41"/>
      <c r="BK507" s="41"/>
      <c r="BL507" s="41"/>
      <c r="BM507" s="41"/>
      <c r="BN507" s="41">
        <f t="shared" si="8"/>
        <v>3.6539999999999999</v>
      </c>
    </row>
    <row r="508" spans="2:66" hidden="1" x14ac:dyDescent="0.35">
      <c r="B508" s="41" t="s">
        <v>516</v>
      </c>
      <c r="C508" s="41" t="s">
        <v>517</v>
      </c>
      <c r="D508" s="41" t="s">
        <v>757</v>
      </c>
      <c r="E508" s="41" t="s">
        <v>756</v>
      </c>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t="str">
        <f t="shared" si="8"/>
        <v>No reported value</v>
      </c>
    </row>
    <row r="509" spans="2:66" hidden="1" x14ac:dyDescent="0.35">
      <c r="B509" s="41" t="s">
        <v>213</v>
      </c>
      <c r="C509" s="41" t="s">
        <v>135</v>
      </c>
      <c r="D509" s="41" t="s">
        <v>757</v>
      </c>
      <c r="E509" s="41" t="s">
        <v>756</v>
      </c>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t="str">
        <f t="shared" si="8"/>
        <v>No reported value</v>
      </c>
    </row>
    <row r="510" spans="2:66" hidden="1" x14ac:dyDescent="0.35">
      <c r="B510" s="41" t="s">
        <v>545</v>
      </c>
      <c r="C510" s="41" t="s">
        <v>136</v>
      </c>
      <c r="D510" s="41" t="s">
        <v>757</v>
      </c>
      <c r="E510" s="41" t="s">
        <v>756</v>
      </c>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t="str">
        <f t="shared" si="8"/>
        <v>No reported value</v>
      </c>
    </row>
    <row r="511" spans="2:66" hidden="1" x14ac:dyDescent="0.35">
      <c r="B511" s="41" t="s">
        <v>552</v>
      </c>
      <c r="C511" s="41" t="s">
        <v>553</v>
      </c>
      <c r="D511" s="41" t="s">
        <v>757</v>
      </c>
      <c r="E511" s="41" t="s">
        <v>756</v>
      </c>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t="str">
        <f t="shared" si="8"/>
        <v>No reported value</v>
      </c>
    </row>
    <row r="512" spans="2:66" hidden="1" x14ac:dyDescent="0.35">
      <c r="B512" s="41" t="s">
        <v>189</v>
      </c>
      <c r="C512" s="41" t="s">
        <v>169</v>
      </c>
      <c r="D512" s="41" t="s">
        <v>757</v>
      </c>
      <c r="E512" s="41" t="s">
        <v>756</v>
      </c>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v>1.6E-2</v>
      </c>
      <c r="AY512" s="41"/>
      <c r="AZ512" s="41"/>
      <c r="BA512" s="41"/>
      <c r="BB512" s="41"/>
      <c r="BC512" s="41"/>
      <c r="BD512" s="41"/>
      <c r="BE512" s="41"/>
      <c r="BF512" s="41"/>
      <c r="BG512" s="41"/>
      <c r="BH512" s="41"/>
      <c r="BI512" s="41"/>
      <c r="BJ512" s="41"/>
      <c r="BK512" s="41"/>
      <c r="BL512" s="41"/>
      <c r="BM512" s="41"/>
      <c r="BN512" s="41">
        <f t="shared" si="8"/>
        <v>1.6E-2</v>
      </c>
    </row>
    <row r="513" spans="2:66" hidden="1" x14ac:dyDescent="0.35">
      <c r="B513" s="41" t="s">
        <v>374</v>
      </c>
      <c r="C513" s="41" t="s">
        <v>375</v>
      </c>
      <c r="D513" s="41" t="s">
        <v>757</v>
      </c>
      <c r="E513" s="41" t="s">
        <v>756</v>
      </c>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v>1.0609999999999999</v>
      </c>
      <c r="AK513" s="41"/>
      <c r="AL513" s="41"/>
      <c r="AM513" s="41"/>
      <c r="AN513" s="41"/>
      <c r="AO513" s="41"/>
      <c r="AP513" s="41"/>
      <c r="AQ513" s="41"/>
      <c r="AR513" s="41"/>
      <c r="AS513" s="41"/>
      <c r="AT513" s="41">
        <v>0.98674473266602269</v>
      </c>
      <c r="AU513" s="41"/>
      <c r="AV513" s="41"/>
      <c r="AW513" s="41"/>
      <c r="AX513" s="41"/>
      <c r="AY513" s="41"/>
      <c r="AZ513" s="41"/>
      <c r="BA513" s="41"/>
      <c r="BB513" s="41"/>
      <c r="BC513" s="41"/>
      <c r="BD513" s="41"/>
      <c r="BE513" s="41">
        <v>0.6814814941465519</v>
      </c>
      <c r="BF513" s="41"/>
      <c r="BG513" s="41"/>
      <c r="BH513" s="41"/>
      <c r="BI513" s="41"/>
      <c r="BJ513" s="41"/>
      <c r="BK513" s="41"/>
      <c r="BL513" s="41"/>
      <c r="BM513" s="41"/>
      <c r="BN513" s="41">
        <f t="shared" si="8"/>
        <v>0.6814814941465519</v>
      </c>
    </row>
    <row r="514" spans="2:66" hidden="1" x14ac:dyDescent="0.35">
      <c r="B514" s="41" t="s">
        <v>386</v>
      </c>
      <c r="C514" s="41" t="s">
        <v>387</v>
      </c>
      <c r="D514" s="41" t="s">
        <v>757</v>
      </c>
      <c r="E514" s="41" t="s">
        <v>756</v>
      </c>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t="str">
        <f t="shared" si="8"/>
        <v>No reported value</v>
      </c>
    </row>
    <row r="515" spans="2:66" hidden="1" x14ac:dyDescent="0.35">
      <c r="B515" s="41" t="s">
        <v>215</v>
      </c>
      <c r="C515" s="41" t="s">
        <v>137</v>
      </c>
      <c r="D515" s="41" t="s">
        <v>757</v>
      </c>
      <c r="E515" s="41" t="s">
        <v>756</v>
      </c>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t="str">
        <f t="shared" si="8"/>
        <v>No reported value</v>
      </c>
    </row>
    <row r="516" spans="2:66" hidden="1" x14ac:dyDescent="0.35">
      <c r="B516" s="41" t="s">
        <v>547</v>
      </c>
      <c r="C516" s="41" t="s">
        <v>138</v>
      </c>
      <c r="D516" s="41" t="s">
        <v>757</v>
      </c>
      <c r="E516" s="41" t="s">
        <v>756</v>
      </c>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v>5.8999999999999997E-2</v>
      </c>
      <c r="AU516" s="41"/>
      <c r="AV516" s="41"/>
      <c r="AW516" s="41"/>
      <c r="AX516" s="41"/>
      <c r="AY516" s="41"/>
      <c r="AZ516" s="41"/>
      <c r="BA516" s="41"/>
      <c r="BB516" s="41"/>
      <c r="BC516" s="41"/>
      <c r="BD516" s="41"/>
      <c r="BE516" s="41"/>
      <c r="BF516" s="41"/>
      <c r="BG516" s="41"/>
      <c r="BH516" s="41"/>
      <c r="BI516" s="41"/>
      <c r="BJ516" s="41"/>
      <c r="BK516" s="41"/>
      <c r="BL516" s="41"/>
      <c r="BM516" s="41"/>
      <c r="BN516" s="41">
        <f t="shared" si="8"/>
        <v>5.8999999999999997E-2</v>
      </c>
    </row>
    <row r="517" spans="2:66" hidden="1" x14ac:dyDescent="0.35">
      <c r="B517" s="41" t="s">
        <v>238</v>
      </c>
      <c r="C517" s="41" t="s">
        <v>163</v>
      </c>
      <c r="D517" s="41" t="s">
        <v>757</v>
      </c>
      <c r="E517" s="41" t="s">
        <v>756</v>
      </c>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t="str">
        <f t="shared" si="8"/>
        <v>No reported value</v>
      </c>
    </row>
    <row r="518" spans="2:66" hidden="1" x14ac:dyDescent="0.35">
      <c r="B518" s="41" t="s">
        <v>551</v>
      </c>
      <c r="C518" s="41" t="s">
        <v>139</v>
      </c>
      <c r="D518" s="41" t="s">
        <v>757</v>
      </c>
      <c r="E518" s="41" t="s">
        <v>756</v>
      </c>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t="str">
        <f t="shared" si="8"/>
        <v>No reported value</v>
      </c>
    </row>
    <row r="519" spans="2:66" hidden="1" x14ac:dyDescent="0.35">
      <c r="B519" s="41" t="s">
        <v>440</v>
      </c>
      <c r="C519" s="41" t="s">
        <v>441</v>
      </c>
      <c r="D519" s="41" t="s">
        <v>757</v>
      </c>
      <c r="E519" s="41" t="s">
        <v>756</v>
      </c>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t="str">
        <f t="shared" si="8"/>
        <v>No reported value</v>
      </c>
    </row>
    <row r="520" spans="2:66" hidden="1" x14ac:dyDescent="0.35">
      <c r="B520" s="41" t="s">
        <v>246</v>
      </c>
      <c r="C520" s="41" t="s">
        <v>140</v>
      </c>
      <c r="D520" s="41" t="s">
        <v>757</v>
      </c>
      <c r="E520" s="41" t="s">
        <v>756</v>
      </c>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v>0.01</v>
      </c>
      <c r="AY520" s="41"/>
      <c r="AZ520" s="41"/>
      <c r="BA520" s="41"/>
      <c r="BB520" s="41"/>
      <c r="BC520" s="41"/>
      <c r="BD520" s="41"/>
      <c r="BE520" s="41"/>
      <c r="BF520" s="41"/>
      <c r="BG520" s="41"/>
      <c r="BH520" s="41"/>
      <c r="BI520" s="41"/>
      <c r="BJ520" s="41"/>
      <c r="BK520" s="41"/>
      <c r="BL520" s="41"/>
      <c r="BM520" s="41"/>
      <c r="BN520" s="41">
        <f t="shared" si="8"/>
        <v>0.01</v>
      </c>
    </row>
    <row r="521" spans="2:66" hidden="1" x14ac:dyDescent="0.35">
      <c r="B521" s="41" t="s">
        <v>469</v>
      </c>
      <c r="C521" s="41" t="s">
        <v>470</v>
      </c>
      <c r="D521" s="41" t="s">
        <v>757</v>
      </c>
      <c r="E521" s="41" t="s">
        <v>756</v>
      </c>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t="str">
        <f t="shared" si="8"/>
        <v>No reported value</v>
      </c>
    </row>
    <row r="522" spans="2:66" hidden="1" x14ac:dyDescent="0.35">
      <c r="B522" s="41" t="s">
        <v>256</v>
      </c>
      <c r="C522" s="41" t="s">
        <v>141</v>
      </c>
      <c r="D522" s="41" t="s">
        <v>757</v>
      </c>
      <c r="E522" s="41" t="s">
        <v>756</v>
      </c>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t="str">
        <f t="shared" si="8"/>
        <v>No reported value</v>
      </c>
    </row>
    <row r="523" spans="2:66" hidden="1" x14ac:dyDescent="0.35">
      <c r="B523" s="41" t="s">
        <v>525</v>
      </c>
      <c r="C523" s="41" t="s">
        <v>526</v>
      </c>
      <c r="D523" s="41" t="s">
        <v>757</v>
      </c>
      <c r="E523" s="41" t="s">
        <v>756</v>
      </c>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v>0.14092108091665279</v>
      </c>
      <c r="AK523" s="41"/>
      <c r="AL523" s="41"/>
      <c r="AM523" s="41"/>
      <c r="AN523" s="41"/>
      <c r="AO523" s="41"/>
      <c r="AP523" s="41"/>
      <c r="AQ523" s="41"/>
      <c r="AR523" s="41"/>
      <c r="AS523" s="41"/>
      <c r="AT523" s="41"/>
      <c r="AU523" s="41"/>
      <c r="AV523" s="41"/>
      <c r="AW523" s="41"/>
      <c r="AX523" s="41"/>
      <c r="AY523" s="41"/>
      <c r="AZ523" s="41"/>
      <c r="BA523" s="41"/>
      <c r="BB523" s="41"/>
      <c r="BC523" s="41"/>
      <c r="BD523" s="41"/>
      <c r="BE523" s="41">
        <v>0.51390419136430177</v>
      </c>
      <c r="BF523" s="41"/>
      <c r="BG523" s="41"/>
      <c r="BH523" s="41"/>
      <c r="BI523" s="41"/>
      <c r="BJ523" s="41"/>
      <c r="BK523" s="41"/>
      <c r="BL523" s="41"/>
      <c r="BM523" s="41"/>
      <c r="BN523" s="41">
        <f t="shared" si="8"/>
        <v>0.51390419136430177</v>
      </c>
    </row>
    <row r="524" spans="2:66" hidden="1" x14ac:dyDescent="0.35">
      <c r="B524" s="41" t="s">
        <v>541</v>
      </c>
      <c r="C524" s="41" t="s">
        <v>542</v>
      </c>
      <c r="D524" s="41" t="s">
        <v>757</v>
      </c>
      <c r="E524" s="41" t="s">
        <v>756</v>
      </c>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t="str">
        <f t="shared" si="8"/>
        <v>No reported value</v>
      </c>
    </row>
    <row r="525" spans="2:66" hidden="1" x14ac:dyDescent="0.35">
      <c r="B525" s="41" t="s">
        <v>548</v>
      </c>
      <c r="C525" s="41" t="s">
        <v>142</v>
      </c>
      <c r="D525" s="41" t="s">
        <v>757</v>
      </c>
      <c r="E525" s="41" t="s">
        <v>756</v>
      </c>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t="str">
        <f t="shared" si="8"/>
        <v>No reported value</v>
      </c>
    </row>
    <row r="526" spans="2:66" hidden="1" x14ac:dyDescent="0.35">
      <c r="B526" s="41" t="s">
        <v>549</v>
      </c>
      <c r="C526" s="41" t="s">
        <v>143</v>
      </c>
      <c r="D526" s="41" t="s">
        <v>757</v>
      </c>
      <c r="E526" s="41" t="s">
        <v>756</v>
      </c>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t="str">
        <f t="shared" si="8"/>
        <v>No reported value</v>
      </c>
    </row>
    <row r="527" spans="2:66" hidden="1" x14ac:dyDescent="0.35">
      <c r="B527" s="41" t="s">
        <v>550</v>
      </c>
      <c r="C527" s="41" t="s">
        <v>144</v>
      </c>
      <c r="D527" s="41" t="s">
        <v>757</v>
      </c>
      <c r="E527" s="41" t="s">
        <v>756</v>
      </c>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t="str">
        <f t="shared" si="8"/>
        <v>No reported value</v>
      </c>
    </row>
    <row r="528" spans="2:66" hidden="1" x14ac:dyDescent="0.35">
      <c r="B528" s="41" t="s">
        <v>257</v>
      </c>
      <c r="C528" s="41" t="s">
        <v>145</v>
      </c>
      <c r="D528" s="41" t="s">
        <v>757</v>
      </c>
      <c r="E528" s="41" t="s">
        <v>756</v>
      </c>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t="str">
        <f t="shared" si="8"/>
        <v>No reported value</v>
      </c>
    </row>
    <row r="529" spans="2:66" hidden="1" x14ac:dyDescent="0.35">
      <c r="B529" s="41" t="s">
        <v>546</v>
      </c>
      <c r="C529" s="41" t="s">
        <v>146</v>
      </c>
      <c r="D529" s="41" t="s">
        <v>757</v>
      </c>
      <c r="E529" s="41" t="s">
        <v>756</v>
      </c>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c r="BN529" s="41" t="str">
        <f t="shared" si="8"/>
        <v>No reported value</v>
      </c>
    </row>
    <row r="530" spans="2:66" hidden="1" x14ac:dyDescent="0.35">
      <c r="B530" s="41" t="s">
        <v>216</v>
      </c>
      <c r="C530" s="41" t="s">
        <v>147</v>
      </c>
      <c r="D530" s="41" t="s">
        <v>757</v>
      </c>
      <c r="E530" s="41" t="s">
        <v>756</v>
      </c>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v>0.19400000000000001</v>
      </c>
      <c r="AZ530" s="41"/>
      <c r="BA530" s="41"/>
      <c r="BB530" s="41"/>
      <c r="BC530" s="41"/>
      <c r="BD530" s="41"/>
      <c r="BE530" s="41"/>
      <c r="BF530" s="41"/>
      <c r="BG530" s="41"/>
      <c r="BH530" s="41"/>
      <c r="BI530" s="41"/>
      <c r="BJ530" s="41"/>
      <c r="BK530" s="41"/>
      <c r="BL530" s="41"/>
      <c r="BM530" s="41"/>
      <c r="BN530" s="41">
        <f t="shared" si="8"/>
        <v>0.19400000000000001</v>
      </c>
    </row>
    <row r="531" spans="2:66" hidden="1" x14ac:dyDescent="0.35">
      <c r="B531" s="41" t="s">
        <v>239</v>
      </c>
      <c r="C531" s="41" t="s">
        <v>148</v>
      </c>
      <c r="D531" s="41" t="s">
        <v>757</v>
      </c>
      <c r="E531" s="41" t="s">
        <v>756</v>
      </c>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t="str">
        <f t="shared" si="8"/>
        <v>No reported value</v>
      </c>
    </row>
    <row r="532" spans="2:66" hidden="1" x14ac:dyDescent="0.35">
      <c r="B532" s="41" t="s">
        <v>557</v>
      </c>
      <c r="C532" s="41" t="s">
        <v>558</v>
      </c>
      <c r="D532" s="41" t="s">
        <v>757</v>
      </c>
      <c r="E532" s="41" t="s">
        <v>756</v>
      </c>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t="str">
        <f t="shared" si="8"/>
        <v>No reported value</v>
      </c>
    </row>
    <row r="533" spans="2:66" hidden="1" x14ac:dyDescent="0.35">
      <c r="B533" s="41" t="s">
        <v>559</v>
      </c>
      <c r="C533" s="41" t="s">
        <v>560</v>
      </c>
      <c r="D533" s="41" t="s">
        <v>757</v>
      </c>
      <c r="E533" s="41" t="s">
        <v>756</v>
      </c>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t="str">
        <f t="shared" si="8"/>
        <v>No reported value</v>
      </c>
    </row>
    <row r="534" spans="2:66" hidden="1" x14ac:dyDescent="0.35">
      <c r="B534" s="41" t="s">
        <v>556</v>
      </c>
      <c r="C534" s="41" t="s">
        <v>149</v>
      </c>
      <c r="D534" s="41" t="s">
        <v>757</v>
      </c>
      <c r="E534" s="41" t="s">
        <v>756</v>
      </c>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t="str">
        <f t="shared" si="8"/>
        <v>No reported value</v>
      </c>
    </row>
    <row r="535" spans="2:66" hidden="1" x14ac:dyDescent="0.35">
      <c r="B535" s="41" t="s">
        <v>561</v>
      </c>
      <c r="C535" s="41" t="s">
        <v>150</v>
      </c>
      <c r="D535" s="41" t="s">
        <v>757</v>
      </c>
      <c r="E535" s="41" t="s">
        <v>756</v>
      </c>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t="str">
        <f t="shared" si="8"/>
        <v>No reported value</v>
      </c>
    </row>
    <row r="536" spans="2:66" hidden="1" x14ac:dyDescent="0.35">
      <c r="B536" s="41" t="s">
        <v>535</v>
      </c>
      <c r="C536" s="41" t="s">
        <v>536</v>
      </c>
      <c r="D536" s="41" t="s">
        <v>757</v>
      </c>
      <c r="E536" s="41" t="s">
        <v>756</v>
      </c>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v>0.41699999999999998</v>
      </c>
      <c r="AU536" s="41"/>
      <c r="AV536" s="41"/>
      <c r="AW536" s="41"/>
      <c r="AX536" s="41"/>
      <c r="AY536" s="41"/>
      <c r="AZ536" s="41"/>
      <c r="BA536" s="41"/>
      <c r="BB536" s="41"/>
      <c r="BC536" s="41"/>
      <c r="BD536" s="41"/>
      <c r="BE536" s="41"/>
      <c r="BF536" s="41"/>
      <c r="BG536" s="41"/>
      <c r="BH536" s="41"/>
      <c r="BI536" s="41"/>
      <c r="BJ536" s="41"/>
      <c r="BK536" s="41"/>
      <c r="BL536" s="41"/>
      <c r="BM536" s="41"/>
      <c r="BN536" s="41">
        <f t="shared" si="8"/>
        <v>0.41699999999999998</v>
      </c>
    </row>
    <row r="537" spans="2:66" hidden="1" x14ac:dyDescent="0.35">
      <c r="B537" s="41" t="s">
        <v>562</v>
      </c>
      <c r="C537" s="41" t="s">
        <v>563</v>
      </c>
      <c r="D537" s="41" t="s">
        <v>757</v>
      </c>
      <c r="E537" s="41" t="s">
        <v>756</v>
      </c>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t="str">
        <f t="shared" si="8"/>
        <v>No reported value</v>
      </c>
    </row>
    <row r="538" spans="2:66" hidden="1" x14ac:dyDescent="0.35">
      <c r="B538" s="41" t="s">
        <v>337</v>
      </c>
      <c r="C538" s="41" t="s">
        <v>338</v>
      </c>
      <c r="D538" s="41" t="s">
        <v>757</v>
      </c>
      <c r="E538" s="41" t="s">
        <v>756</v>
      </c>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t="str">
        <f t="shared" si="8"/>
        <v>No reported value</v>
      </c>
    </row>
    <row r="539" spans="2:66" hidden="1" x14ac:dyDescent="0.35">
      <c r="B539" s="41" t="s">
        <v>565</v>
      </c>
      <c r="C539" s="41" t="s">
        <v>566</v>
      </c>
      <c r="D539" s="41" t="s">
        <v>757</v>
      </c>
      <c r="E539" s="41" t="s">
        <v>756</v>
      </c>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t="str">
        <f t="shared" si="8"/>
        <v>No reported value</v>
      </c>
    </row>
    <row r="540" spans="2:66" hidden="1" x14ac:dyDescent="0.35">
      <c r="B540" s="41" t="s">
        <v>564</v>
      </c>
      <c r="C540" s="41" t="s">
        <v>160</v>
      </c>
      <c r="D540" s="41" t="s">
        <v>757</v>
      </c>
      <c r="E540" s="41" t="s">
        <v>756</v>
      </c>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t="str">
        <f t="shared" si="8"/>
        <v>No reported value</v>
      </c>
    </row>
    <row r="541" spans="2:66" hidden="1" x14ac:dyDescent="0.35">
      <c r="B541" s="41" t="s">
        <v>258</v>
      </c>
      <c r="C541" s="41" t="s">
        <v>151</v>
      </c>
      <c r="D541" s="41" t="s">
        <v>757</v>
      </c>
      <c r="E541" s="41" t="s">
        <v>756</v>
      </c>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v>0.51400000000000001</v>
      </c>
      <c r="BB541" s="41">
        <v>0.94099999999999995</v>
      </c>
      <c r="BC541" s="41"/>
      <c r="BD541" s="41"/>
      <c r="BE541" s="41"/>
      <c r="BF541" s="41"/>
      <c r="BG541" s="41"/>
      <c r="BH541" s="41"/>
      <c r="BI541" s="41"/>
      <c r="BJ541" s="41"/>
      <c r="BK541" s="41"/>
      <c r="BL541" s="41"/>
      <c r="BM541" s="41"/>
      <c r="BN541" s="41">
        <f t="shared" ref="BN541:BN548" si="9">IFERROR(LOOKUP(2,1/(ISNUMBER(F541:BM541)),F541:BM541),"No reported value")</f>
        <v>0.94099999999999995</v>
      </c>
    </row>
    <row r="542" spans="2:66" hidden="1" x14ac:dyDescent="0.35">
      <c r="B542" s="41" t="s">
        <v>569</v>
      </c>
      <c r="C542" s="41" t="s">
        <v>570</v>
      </c>
      <c r="D542" s="41" t="s">
        <v>757</v>
      </c>
      <c r="E542" s="41" t="s">
        <v>756</v>
      </c>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t="str">
        <f t="shared" si="9"/>
        <v>No reported value</v>
      </c>
    </row>
    <row r="543" spans="2:66" hidden="1" x14ac:dyDescent="0.35">
      <c r="B543" s="41" t="s">
        <v>254</v>
      </c>
      <c r="C543" s="41" t="s">
        <v>152</v>
      </c>
      <c r="D543" s="41" t="s">
        <v>757</v>
      </c>
      <c r="E543" s="41" t="s">
        <v>756</v>
      </c>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t="str">
        <f t="shared" si="9"/>
        <v>No reported value</v>
      </c>
    </row>
    <row r="544" spans="2:66" hidden="1" x14ac:dyDescent="0.35">
      <c r="B544" s="41" t="s">
        <v>237</v>
      </c>
      <c r="C544" s="41" t="s">
        <v>430</v>
      </c>
      <c r="D544" s="41" t="s">
        <v>757</v>
      </c>
      <c r="E544" s="41" t="s">
        <v>756</v>
      </c>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t="str">
        <f t="shared" si="9"/>
        <v>No reported value</v>
      </c>
    </row>
    <row r="545" spans="1:66" hidden="1" x14ac:dyDescent="0.35">
      <c r="B545" s="41" t="s">
        <v>571</v>
      </c>
      <c r="C545" s="41" t="s">
        <v>153</v>
      </c>
      <c r="D545" s="41" t="s">
        <v>757</v>
      </c>
      <c r="E545" s="41" t="s">
        <v>756</v>
      </c>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v>0.128</v>
      </c>
      <c r="AY545" s="41"/>
      <c r="AZ545" s="41"/>
      <c r="BA545" s="41"/>
      <c r="BB545" s="41"/>
      <c r="BC545" s="41"/>
      <c r="BD545" s="41">
        <v>1E-3</v>
      </c>
      <c r="BE545" s="41"/>
      <c r="BF545" s="41"/>
      <c r="BG545" s="41"/>
      <c r="BH545" s="41"/>
      <c r="BI545" s="41"/>
      <c r="BJ545" s="41"/>
      <c r="BK545" s="41"/>
      <c r="BL545" s="41"/>
      <c r="BM545" s="41"/>
      <c r="BN545" s="41">
        <f t="shared" si="9"/>
        <v>1E-3</v>
      </c>
    </row>
    <row r="546" spans="1:66" hidden="1" x14ac:dyDescent="0.35">
      <c r="B546" s="41" t="s">
        <v>178</v>
      </c>
      <c r="C546" s="41" t="s">
        <v>154</v>
      </c>
      <c r="D546" s="41" t="s">
        <v>757</v>
      </c>
      <c r="E546" s="41" t="s">
        <v>756</v>
      </c>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v>0.192</v>
      </c>
      <c r="AY546" s="41"/>
      <c r="AZ546" s="41"/>
      <c r="BA546" s="41"/>
      <c r="BB546" s="41"/>
      <c r="BC546" s="41"/>
      <c r="BD546" s="41"/>
      <c r="BE546" s="41"/>
      <c r="BF546" s="41"/>
      <c r="BG546" s="41"/>
      <c r="BH546" s="41"/>
      <c r="BI546" s="41"/>
      <c r="BJ546" s="41"/>
      <c r="BK546" s="41"/>
      <c r="BL546" s="41"/>
      <c r="BM546" s="41"/>
      <c r="BN546" s="41">
        <f t="shared" si="9"/>
        <v>0.192</v>
      </c>
    </row>
    <row r="547" spans="1:66" hidden="1" x14ac:dyDescent="0.35">
      <c r="B547" s="41" t="s">
        <v>217</v>
      </c>
      <c r="C547" s="41" t="s">
        <v>155</v>
      </c>
      <c r="D547" s="41" t="s">
        <v>757</v>
      </c>
      <c r="E547" s="41" t="s">
        <v>756</v>
      </c>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v>0.372</v>
      </c>
      <c r="AZ547" s="41"/>
      <c r="BA547" s="41"/>
      <c r="BB547" s="41">
        <v>0.28699999999999998</v>
      </c>
      <c r="BC547" s="41"/>
      <c r="BD547" s="41"/>
      <c r="BE547" s="41"/>
      <c r="BF547" s="41"/>
      <c r="BG547" s="41"/>
      <c r="BH547" s="41"/>
      <c r="BI547" s="41"/>
      <c r="BJ547" s="41"/>
      <c r="BK547" s="41"/>
      <c r="BL547" s="41"/>
      <c r="BM547" s="41"/>
      <c r="BN547" s="41">
        <f t="shared" si="9"/>
        <v>0.28699999999999998</v>
      </c>
    </row>
    <row r="548" spans="1:66" hidden="1" x14ac:dyDescent="0.35">
      <c r="B548" s="41" t="s">
        <v>218</v>
      </c>
      <c r="C548" s="41" t="s">
        <v>156</v>
      </c>
      <c r="D548" s="41" t="s">
        <v>757</v>
      </c>
      <c r="E548" s="41" t="s">
        <v>756</v>
      </c>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t="str">
        <f t="shared" si="9"/>
        <v>No reported value</v>
      </c>
    </row>
    <row r="549" spans="1:66" hidden="1" x14ac:dyDescent="0.35"/>
    <row r="550" spans="1:66" s="180" customFormat="1" ht="16.399999999999999" hidden="1" customHeight="1" outlineLevel="1" x14ac:dyDescent="0.35">
      <c r="A550" s="187" t="s">
        <v>861</v>
      </c>
      <c r="B550" s="181" t="s">
        <v>860</v>
      </c>
    </row>
    <row r="551" spans="1:66" s="25" customFormat="1" hidden="1" outlineLevel="1" x14ac:dyDescent="0.35">
      <c r="B551" s="25" t="s">
        <v>780</v>
      </c>
      <c r="E551" s="26"/>
      <c r="F551" s="26"/>
      <c r="G551" s="26"/>
    </row>
    <row r="552" spans="1:66" s="14" customFormat="1" hidden="1" outlineLevel="1" x14ac:dyDescent="0.35">
      <c r="B552" s="14" t="s">
        <v>779</v>
      </c>
      <c r="E552" s="74"/>
      <c r="F552" s="74"/>
      <c r="G552" s="74"/>
    </row>
    <row r="553" spans="1:66" customFormat="1" ht="14.15" hidden="1" customHeight="1" outlineLevel="1" x14ac:dyDescent="0.35">
      <c r="B553" s="189" t="s">
        <v>857</v>
      </c>
    </row>
    <row r="554" spans="1:66" s="129" customFormat="1" ht="14.15" hidden="1" customHeight="1" outlineLevel="1" x14ac:dyDescent="0.35">
      <c r="B554" s="189"/>
    </row>
    <row r="555" spans="1:66" hidden="1" outlineLevel="1" x14ac:dyDescent="0.35">
      <c r="B555" s="4" t="s">
        <v>572</v>
      </c>
      <c r="C555" s="4" t="s">
        <v>573</v>
      </c>
      <c r="D555" s="4" t="s">
        <v>625</v>
      </c>
      <c r="E555" s="4" t="s">
        <v>626</v>
      </c>
      <c r="F555" s="4">
        <v>1960</v>
      </c>
      <c r="G555" s="4">
        <v>1961</v>
      </c>
      <c r="H555" s="4">
        <v>1962</v>
      </c>
      <c r="I555" s="4">
        <v>1963</v>
      </c>
      <c r="J555" s="4">
        <v>1964</v>
      </c>
      <c r="K555" s="4">
        <v>1965</v>
      </c>
      <c r="L555" s="4">
        <v>1966</v>
      </c>
      <c r="M555" s="4">
        <v>1967</v>
      </c>
      <c r="N555" s="4">
        <v>1968</v>
      </c>
      <c r="O555" s="4">
        <v>1969</v>
      </c>
      <c r="P555" s="4">
        <v>1970</v>
      </c>
      <c r="Q555" s="4">
        <v>1971</v>
      </c>
      <c r="R555" s="4">
        <v>1972</v>
      </c>
      <c r="S555" s="4">
        <v>1973</v>
      </c>
      <c r="T555" s="4">
        <v>1974</v>
      </c>
      <c r="U555" s="4">
        <v>1975</v>
      </c>
      <c r="V555" s="4">
        <v>1976</v>
      </c>
      <c r="W555" s="4">
        <v>1977</v>
      </c>
      <c r="X555" s="4">
        <v>1978</v>
      </c>
      <c r="Y555" s="4">
        <v>1979</v>
      </c>
      <c r="Z555" s="4">
        <v>1980</v>
      </c>
      <c r="AA555" s="4">
        <v>1981</v>
      </c>
      <c r="AB555" s="4">
        <v>1982</v>
      </c>
      <c r="AC555" s="4">
        <v>1983</v>
      </c>
      <c r="AD555" s="4">
        <v>1984</v>
      </c>
      <c r="AE555" s="4">
        <v>1985</v>
      </c>
      <c r="AF555" s="4">
        <v>1986</v>
      </c>
      <c r="AG555" s="4">
        <v>1987</v>
      </c>
      <c r="AH555" s="4">
        <v>1988</v>
      </c>
      <c r="AI555" s="4">
        <v>1989</v>
      </c>
      <c r="AJ555" s="4">
        <v>1990</v>
      </c>
      <c r="AK555" s="4">
        <v>1991</v>
      </c>
      <c r="AL555" s="4">
        <v>1992</v>
      </c>
      <c r="AM555" s="4">
        <v>1993</v>
      </c>
      <c r="AN555" s="4">
        <v>1994</v>
      </c>
      <c r="AO555" s="4">
        <v>1995</v>
      </c>
      <c r="AP555" s="4">
        <v>1996</v>
      </c>
      <c r="AQ555" s="4">
        <v>1997</v>
      </c>
      <c r="AR555" s="4">
        <v>1998</v>
      </c>
      <c r="AS555" s="4">
        <v>1999</v>
      </c>
      <c r="AT555" s="4">
        <v>2000</v>
      </c>
      <c r="AU555" s="4">
        <v>2001</v>
      </c>
      <c r="AV555" s="4">
        <v>2002</v>
      </c>
      <c r="AW555" s="4">
        <v>2003</v>
      </c>
      <c r="AX555" s="4">
        <v>2004</v>
      </c>
      <c r="AY555" s="4">
        <v>2005</v>
      </c>
      <c r="AZ555" s="4">
        <v>2006</v>
      </c>
      <c r="BA555" s="4">
        <v>2007</v>
      </c>
      <c r="BB555" s="4">
        <v>2008</v>
      </c>
      <c r="BC555" s="4">
        <v>2009</v>
      </c>
      <c r="BD555" s="4">
        <v>2010</v>
      </c>
      <c r="BE555" s="4">
        <v>2011</v>
      </c>
      <c r="BF555" s="4">
        <v>2012</v>
      </c>
      <c r="BG555" s="4">
        <v>2013</v>
      </c>
      <c r="BH555" s="4">
        <v>2014</v>
      </c>
      <c r="BI555" s="4">
        <v>2015</v>
      </c>
      <c r="BJ555" s="4">
        <v>2016</v>
      </c>
      <c r="BK555" s="4">
        <v>2017</v>
      </c>
      <c r="BL555" s="4">
        <v>2018</v>
      </c>
      <c r="BM555" s="4">
        <v>2019</v>
      </c>
      <c r="BN555" s="184" t="s">
        <v>747</v>
      </c>
    </row>
    <row r="556" spans="1:66" hidden="1" outlineLevel="1" x14ac:dyDescent="0.35">
      <c r="B556" s="41" t="s">
        <v>322</v>
      </c>
      <c r="C556" s="41" t="s">
        <v>323</v>
      </c>
      <c r="D556" s="41" t="s">
        <v>746</v>
      </c>
      <c r="E556" s="41" t="s">
        <v>745</v>
      </c>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v>1.1200000000000001</v>
      </c>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f t="shared" ref="BN556:BN619" si="10">IFERROR(LOOKUP(2,1/(ISNUMBER(G556:BM556)),G556:BM556),"No reported value")</f>
        <v>1.1200000000000001</v>
      </c>
    </row>
    <row r="557" spans="1:66" hidden="1" outlineLevel="1" x14ac:dyDescent="0.35">
      <c r="B557" s="41" t="s">
        <v>230</v>
      </c>
      <c r="C557" s="41" t="s">
        <v>0</v>
      </c>
      <c r="D557" s="41" t="s">
        <v>746</v>
      </c>
      <c r="E557" s="41" t="s">
        <v>745</v>
      </c>
      <c r="F557" s="41">
        <v>3.5000000000000003E-2</v>
      </c>
      <c r="G557" s="41"/>
      <c r="H557" s="41"/>
      <c r="I557" s="41"/>
      <c r="J557" s="41"/>
      <c r="K557" s="41">
        <v>6.3E-2</v>
      </c>
      <c r="L557" s="41"/>
      <c r="M557" s="41"/>
      <c r="N557" s="41"/>
      <c r="O557" s="41"/>
      <c r="P557" s="41">
        <v>6.5000000000000002E-2</v>
      </c>
      <c r="Q557" s="41"/>
      <c r="R557" s="41"/>
      <c r="S557" s="41"/>
      <c r="T557" s="41"/>
      <c r="U557" s="41"/>
      <c r="V557" s="41"/>
      <c r="W557" s="41"/>
      <c r="X557" s="41"/>
      <c r="Y557" s="41"/>
      <c r="Z557" s="41"/>
      <c r="AA557" s="41">
        <v>7.6999999999999999E-2</v>
      </c>
      <c r="AB557" s="41"/>
      <c r="AC557" s="41"/>
      <c r="AD557" s="41"/>
      <c r="AE557" s="41"/>
      <c r="AF557" s="41">
        <v>0.183</v>
      </c>
      <c r="AG557" s="41">
        <v>0.17899999999999999</v>
      </c>
      <c r="AH557" s="41"/>
      <c r="AI557" s="41">
        <v>0.129</v>
      </c>
      <c r="AJ557" s="41">
        <v>0.109</v>
      </c>
      <c r="AK557" s="41"/>
      <c r="AL557" s="41"/>
      <c r="AM557" s="41">
        <v>0.14299999999999999</v>
      </c>
      <c r="AN557" s="41"/>
      <c r="AO557" s="41"/>
      <c r="AP557" s="41"/>
      <c r="AQ557" s="41">
        <v>0.11</v>
      </c>
      <c r="AR557" s="41"/>
      <c r="AS557" s="41"/>
      <c r="AT557" s="41"/>
      <c r="AU557" s="41">
        <v>0.19570000000000001</v>
      </c>
      <c r="AV557" s="41"/>
      <c r="AW557" s="41"/>
      <c r="AX557" s="41"/>
      <c r="AY557" s="41"/>
      <c r="AZ557" s="41">
        <v>0.16300000000000001</v>
      </c>
      <c r="BA557" s="41">
        <v>0.1774</v>
      </c>
      <c r="BB557" s="41">
        <v>0.17710000000000001</v>
      </c>
      <c r="BC557" s="41">
        <v>0.21560000000000001</v>
      </c>
      <c r="BD557" s="41">
        <v>0.23960000000000001</v>
      </c>
      <c r="BE557" s="41">
        <v>0.25530000000000003</v>
      </c>
      <c r="BF557" s="41">
        <v>0.245</v>
      </c>
      <c r="BG557" s="41">
        <v>0.28939999999999999</v>
      </c>
      <c r="BH557" s="41">
        <v>0.3039</v>
      </c>
      <c r="BI557" s="41">
        <v>0.29070000000000001</v>
      </c>
      <c r="BJ557" s="41">
        <v>0.28399999999999997</v>
      </c>
      <c r="BK557" s="41"/>
      <c r="BL557" s="41"/>
      <c r="BM557" s="41"/>
      <c r="BN557" s="41">
        <f t="shared" si="10"/>
        <v>0.28399999999999997</v>
      </c>
    </row>
    <row r="558" spans="1:66" hidden="1" outlineLevel="1" x14ac:dyDescent="0.35">
      <c r="B558" s="41" t="s">
        <v>182</v>
      </c>
      <c r="C558" s="41" t="s">
        <v>165</v>
      </c>
      <c r="D558" s="41" t="s">
        <v>746</v>
      </c>
      <c r="E558" s="41" t="s">
        <v>745</v>
      </c>
      <c r="F558" s="41">
        <v>6.7000000000000004E-2</v>
      </c>
      <c r="G558" s="41"/>
      <c r="H558" s="41"/>
      <c r="I558" s="41"/>
      <c r="J558" s="41"/>
      <c r="K558" s="41">
        <v>7.5999999999999998E-2</v>
      </c>
      <c r="L558" s="41"/>
      <c r="M558" s="41"/>
      <c r="N558" s="41"/>
      <c r="O558" s="41"/>
      <c r="P558" s="41">
        <v>0.11600000000000001</v>
      </c>
      <c r="Q558" s="41"/>
      <c r="R558" s="41"/>
      <c r="S558" s="41"/>
      <c r="T558" s="41"/>
      <c r="U558" s="41"/>
      <c r="V558" s="41"/>
      <c r="W558" s="41"/>
      <c r="X558" s="41"/>
      <c r="Y558" s="41"/>
      <c r="Z558" s="41"/>
      <c r="AA558" s="41"/>
      <c r="AB558" s="41"/>
      <c r="AC558" s="41"/>
      <c r="AD558" s="41">
        <v>5.8999999999999997E-2</v>
      </c>
      <c r="AE558" s="41"/>
      <c r="AF558" s="41"/>
      <c r="AG558" s="41"/>
      <c r="AH558" s="41"/>
      <c r="AI558" s="41"/>
      <c r="AJ558" s="41">
        <v>4.2000000000000003E-2</v>
      </c>
      <c r="AK558" s="41"/>
      <c r="AL558" s="41"/>
      <c r="AM558" s="41"/>
      <c r="AN558" s="41"/>
      <c r="AO558" s="41"/>
      <c r="AP558" s="41"/>
      <c r="AQ558" s="41">
        <v>5.8400000000000001E-2</v>
      </c>
      <c r="AR558" s="41"/>
      <c r="AS558" s="41"/>
      <c r="AT558" s="41"/>
      <c r="AU558" s="41"/>
      <c r="AV558" s="41"/>
      <c r="AW558" s="41"/>
      <c r="AX558" s="41">
        <v>6.1800000000000001E-2</v>
      </c>
      <c r="AY558" s="41"/>
      <c r="AZ558" s="41"/>
      <c r="BA558" s="41"/>
      <c r="BB558" s="41"/>
      <c r="BC558" s="41">
        <v>0.13109999999999999</v>
      </c>
      <c r="BD558" s="41"/>
      <c r="BE558" s="41"/>
      <c r="BF558" s="41"/>
      <c r="BG558" s="41"/>
      <c r="BH558" s="41"/>
      <c r="BI558" s="41"/>
      <c r="BJ558" s="41"/>
      <c r="BK558" s="41">
        <v>0.21490000000000001</v>
      </c>
      <c r="BL558" s="41"/>
      <c r="BM558" s="41"/>
      <c r="BN558" s="41">
        <f t="shared" si="10"/>
        <v>0.21490000000000001</v>
      </c>
    </row>
    <row r="559" spans="1:66" hidden="1" outlineLevel="1" x14ac:dyDescent="0.35">
      <c r="B559" s="41" t="s">
        <v>311</v>
      </c>
      <c r="C559" s="41" t="s">
        <v>312</v>
      </c>
      <c r="D559" s="41" t="s">
        <v>746</v>
      </c>
      <c r="E559" s="41" t="s">
        <v>745</v>
      </c>
      <c r="F559" s="41">
        <v>0.27600000000000002</v>
      </c>
      <c r="G559" s="41"/>
      <c r="H559" s="41"/>
      <c r="I559" s="41"/>
      <c r="J559" s="41"/>
      <c r="K559" s="41">
        <v>0.48099999999999998</v>
      </c>
      <c r="L559" s="41"/>
      <c r="M559" s="41"/>
      <c r="N559" s="41"/>
      <c r="O559" s="41"/>
      <c r="P559" s="41">
        <v>0.73899999999999999</v>
      </c>
      <c r="Q559" s="41">
        <v>0.91100000000000003</v>
      </c>
      <c r="R559" s="41">
        <v>0.84499999999999997</v>
      </c>
      <c r="S559" s="41"/>
      <c r="T559" s="41"/>
      <c r="U559" s="41"/>
      <c r="V559" s="41"/>
      <c r="W559" s="41">
        <v>1.036</v>
      </c>
      <c r="X559" s="41"/>
      <c r="Y559" s="41"/>
      <c r="Z559" s="41">
        <v>1.367</v>
      </c>
      <c r="AA559" s="41"/>
      <c r="AB559" s="41"/>
      <c r="AC559" s="41">
        <v>1.415</v>
      </c>
      <c r="AD559" s="41">
        <v>1.407</v>
      </c>
      <c r="AE559" s="41">
        <v>1.4059999999999999</v>
      </c>
      <c r="AF559" s="41"/>
      <c r="AG559" s="41"/>
      <c r="AH559" s="41"/>
      <c r="AI559" s="41">
        <v>1.403</v>
      </c>
      <c r="AJ559" s="41">
        <v>1.3740000000000001</v>
      </c>
      <c r="AK559" s="41">
        <v>1.47</v>
      </c>
      <c r="AL559" s="41">
        <v>1.65</v>
      </c>
      <c r="AM559" s="41">
        <v>1.425</v>
      </c>
      <c r="AN559" s="41"/>
      <c r="AO559" s="41">
        <v>1.306</v>
      </c>
      <c r="AP559" s="41">
        <v>1.3540000000000001</v>
      </c>
      <c r="AQ559" s="41">
        <v>1.2949999999999999</v>
      </c>
      <c r="AR559" s="41">
        <v>1.2889999999999999</v>
      </c>
      <c r="AS559" s="41">
        <v>1.282</v>
      </c>
      <c r="AT559" s="41">
        <v>1.389</v>
      </c>
      <c r="AU559" s="41"/>
      <c r="AV559" s="41">
        <v>1.3049999999999999</v>
      </c>
      <c r="AW559" s="41"/>
      <c r="AX559" s="41"/>
      <c r="AY559" s="41"/>
      <c r="AZ559" s="41"/>
      <c r="BA559" s="41">
        <v>1.1459999999999999</v>
      </c>
      <c r="BB559" s="41"/>
      <c r="BC559" s="41">
        <v>1.1439999999999999</v>
      </c>
      <c r="BD559" s="41">
        <v>1.2379</v>
      </c>
      <c r="BE559" s="41">
        <v>1.2224999999999999</v>
      </c>
      <c r="BF559" s="41">
        <v>1.2658</v>
      </c>
      <c r="BG559" s="41">
        <v>1.2706</v>
      </c>
      <c r="BH559" s="41"/>
      <c r="BI559" s="41"/>
      <c r="BJ559" s="41">
        <v>1.1998</v>
      </c>
      <c r="BK559" s="41"/>
      <c r="BL559" s="41"/>
      <c r="BM559" s="41"/>
      <c r="BN559" s="41">
        <f t="shared" si="10"/>
        <v>1.1998</v>
      </c>
    </row>
    <row r="560" spans="1:66" hidden="1" outlineLevel="1" x14ac:dyDescent="0.35">
      <c r="B560" s="41" t="s">
        <v>315</v>
      </c>
      <c r="C560" s="41" t="s">
        <v>1</v>
      </c>
      <c r="D560" s="41" t="s">
        <v>746</v>
      </c>
      <c r="E560" s="41" t="s">
        <v>745</v>
      </c>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v>2.2309999999999999</v>
      </c>
      <c r="AP560" s="41"/>
      <c r="AQ560" s="41">
        <v>2.4350000000000001</v>
      </c>
      <c r="AR560" s="41">
        <v>2.4700000000000002</v>
      </c>
      <c r="AS560" s="41">
        <v>2.5939999999999999</v>
      </c>
      <c r="AT560" s="41">
        <v>2.5489999999999999</v>
      </c>
      <c r="AU560" s="41">
        <v>2.5939999999999999</v>
      </c>
      <c r="AV560" s="41"/>
      <c r="AW560" s="41">
        <v>3.3332999999999999</v>
      </c>
      <c r="AX560" s="41"/>
      <c r="AY560" s="41"/>
      <c r="AZ560" s="41">
        <v>3.64</v>
      </c>
      <c r="BA560" s="41">
        <v>3.7160000000000002</v>
      </c>
      <c r="BB560" s="41"/>
      <c r="BC560" s="41">
        <v>3.1120000000000001</v>
      </c>
      <c r="BD560" s="41">
        <v>4</v>
      </c>
      <c r="BE560" s="41"/>
      <c r="BF560" s="41"/>
      <c r="BG560" s="41"/>
      <c r="BH560" s="41"/>
      <c r="BI560" s="41">
        <v>3.3332999999999999</v>
      </c>
      <c r="BJ560" s="41"/>
      <c r="BK560" s="41"/>
      <c r="BL560" s="41"/>
      <c r="BM560" s="41"/>
      <c r="BN560" s="41">
        <f t="shared" si="10"/>
        <v>3.3332999999999999</v>
      </c>
    </row>
    <row r="561" spans="2:66" hidden="1" outlineLevel="1" x14ac:dyDescent="0.35">
      <c r="B561" s="41" t="s">
        <v>318</v>
      </c>
      <c r="C561" s="41" t="s">
        <v>319</v>
      </c>
      <c r="D561" s="41" t="s">
        <v>746</v>
      </c>
      <c r="E561" s="41" t="s">
        <v>745</v>
      </c>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v>0.71886160379018749</v>
      </c>
      <c r="AK561" s="41"/>
      <c r="AL561" s="41"/>
      <c r="AM561" s="41"/>
      <c r="AN561" s="41"/>
      <c r="AO561" s="41"/>
      <c r="AP561" s="41"/>
      <c r="AQ561" s="41"/>
      <c r="AR561" s="41"/>
      <c r="AS561" s="41"/>
      <c r="AT561" s="41">
        <v>1.1251337627705766</v>
      </c>
      <c r="AU561" s="41"/>
      <c r="AV561" s="41"/>
      <c r="AW561" s="41"/>
      <c r="AX561" s="41"/>
      <c r="AY561" s="41"/>
      <c r="AZ561" s="41"/>
      <c r="BA561" s="41"/>
      <c r="BB561" s="41"/>
      <c r="BC561" s="41"/>
      <c r="BD561" s="41"/>
      <c r="BE561" s="41"/>
      <c r="BF561" s="41"/>
      <c r="BG561" s="41"/>
      <c r="BH561" s="41"/>
      <c r="BI561" s="41">
        <v>1.0973025743985347</v>
      </c>
      <c r="BJ561" s="41"/>
      <c r="BK561" s="41"/>
      <c r="BL561" s="41"/>
      <c r="BM561" s="41"/>
      <c r="BN561" s="41">
        <f t="shared" si="10"/>
        <v>1.0973025743985347</v>
      </c>
    </row>
    <row r="562" spans="2:66" hidden="1" outlineLevel="1" x14ac:dyDescent="0.35">
      <c r="B562" s="41" t="s">
        <v>554</v>
      </c>
      <c r="C562" s="41" t="s">
        <v>2</v>
      </c>
      <c r="D562" s="41" t="s">
        <v>746</v>
      </c>
      <c r="E562" s="41" t="s">
        <v>745</v>
      </c>
      <c r="F562" s="41"/>
      <c r="G562" s="41"/>
      <c r="H562" s="41"/>
      <c r="I562" s="41"/>
      <c r="J562" s="41"/>
      <c r="K562" s="41"/>
      <c r="L562" s="41"/>
      <c r="M562" s="41"/>
      <c r="N562" s="41"/>
      <c r="O562" s="41"/>
      <c r="P562" s="41">
        <v>0.90900000000000003</v>
      </c>
      <c r="Q562" s="41"/>
      <c r="R562" s="41"/>
      <c r="S562" s="41"/>
      <c r="T562" s="41"/>
      <c r="U562" s="41"/>
      <c r="V562" s="41"/>
      <c r="W562" s="41"/>
      <c r="X562" s="41"/>
      <c r="Y562" s="41"/>
      <c r="Z562" s="41">
        <v>1.0680000000000001</v>
      </c>
      <c r="AA562" s="41"/>
      <c r="AB562" s="41"/>
      <c r="AC562" s="41"/>
      <c r="AD562" s="41">
        <v>0.95299999999999996</v>
      </c>
      <c r="AE562" s="41"/>
      <c r="AF562" s="41"/>
      <c r="AG562" s="41"/>
      <c r="AH562" s="41"/>
      <c r="AI562" s="41"/>
      <c r="AJ562" s="41"/>
      <c r="AK562" s="41"/>
      <c r="AL562" s="41"/>
      <c r="AM562" s="41"/>
      <c r="AN562" s="41"/>
      <c r="AO562" s="41"/>
      <c r="AP562" s="41"/>
      <c r="AQ562" s="41"/>
      <c r="AR562" s="41"/>
      <c r="AS562" s="41"/>
      <c r="AT562" s="41">
        <v>1.7896000000000001</v>
      </c>
      <c r="AU562" s="41">
        <v>1.9690000000000001</v>
      </c>
      <c r="AV562" s="41">
        <v>1.9864999999999999</v>
      </c>
      <c r="AW562" s="41">
        <v>2.0596000000000001</v>
      </c>
      <c r="AX562" s="41">
        <v>1.9086000000000001</v>
      </c>
      <c r="AY562" s="41">
        <v>1.5222</v>
      </c>
      <c r="AZ562" s="41">
        <v>1.3445</v>
      </c>
      <c r="BA562" s="41">
        <v>1.4342999999999999</v>
      </c>
      <c r="BB562" s="41">
        <v>1.6869000000000001</v>
      </c>
      <c r="BC562" s="41">
        <v>1.5673999999999999</v>
      </c>
      <c r="BD562" s="41">
        <v>1.4675</v>
      </c>
      <c r="BE562" s="41">
        <v>1.4823999999999999</v>
      </c>
      <c r="BF562" s="41">
        <v>1.5166999999999999</v>
      </c>
      <c r="BG562" s="41">
        <v>1.7783</v>
      </c>
      <c r="BH562" s="41">
        <v>2.0268000000000002</v>
      </c>
      <c r="BI562" s="41">
        <v>2.2372999999999998</v>
      </c>
      <c r="BJ562" s="41">
        <v>2.3944000000000001</v>
      </c>
      <c r="BK562" s="41"/>
      <c r="BL562" s="41"/>
      <c r="BM562" s="41"/>
      <c r="BN562" s="41">
        <f t="shared" si="10"/>
        <v>2.3944000000000001</v>
      </c>
    </row>
    <row r="563" spans="2:66" hidden="1" outlineLevel="1" x14ac:dyDescent="0.35">
      <c r="B563" s="41" t="s">
        <v>320</v>
      </c>
      <c r="C563" s="41" t="s">
        <v>321</v>
      </c>
      <c r="D563" s="41" t="s">
        <v>746</v>
      </c>
      <c r="E563" s="41" t="s">
        <v>745</v>
      </c>
      <c r="F563" s="41">
        <v>1.351</v>
      </c>
      <c r="G563" s="41"/>
      <c r="H563" s="41"/>
      <c r="I563" s="41"/>
      <c r="J563" s="41"/>
      <c r="K563" s="41">
        <v>1.667</v>
      </c>
      <c r="L563" s="41"/>
      <c r="M563" s="41"/>
      <c r="N563" s="41"/>
      <c r="O563" s="41"/>
      <c r="P563" s="41">
        <v>1.8919999999999999</v>
      </c>
      <c r="Q563" s="41"/>
      <c r="R563" s="41"/>
      <c r="S563" s="41"/>
      <c r="T563" s="41"/>
      <c r="U563" s="41">
        <v>1.869</v>
      </c>
      <c r="V563" s="41"/>
      <c r="W563" s="41"/>
      <c r="X563" s="41"/>
      <c r="Y563" s="41"/>
      <c r="Z563" s="41"/>
      <c r="AA563" s="41"/>
      <c r="AB563" s="41"/>
      <c r="AC563" s="41"/>
      <c r="AD563" s="41">
        <v>2.6829999999999998</v>
      </c>
      <c r="AE563" s="41">
        <v>2.7050000000000001</v>
      </c>
      <c r="AF563" s="41">
        <v>2.984</v>
      </c>
      <c r="AG563" s="41"/>
      <c r="AH563" s="41">
        <v>3.032</v>
      </c>
      <c r="AI563" s="41"/>
      <c r="AJ563" s="41">
        <v>2.68</v>
      </c>
      <c r="AK563" s="41"/>
      <c r="AL563" s="41">
        <v>2.6385000000000001</v>
      </c>
      <c r="AM563" s="41"/>
      <c r="AN563" s="41"/>
      <c r="AO563" s="41">
        <v>2.68</v>
      </c>
      <c r="AP563" s="41"/>
      <c r="AQ563" s="41"/>
      <c r="AR563" s="41">
        <v>3.0021</v>
      </c>
      <c r="AS563" s="41"/>
      <c r="AT563" s="41"/>
      <c r="AU563" s="41">
        <v>3.2311000000000001</v>
      </c>
      <c r="AV563" s="41"/>
      <c r="AW563" s="41"/>
      <c r="AX563" s="41">
        <v>3.1661999999999999</v>
      </c>
      <c r="AY563" s="41">
        <v>3.21</v>
      </c>
      <c r="AZ563" s="41"/>
      <c r="BA563" s="41"/>
      <c r="BB563" s="41"/>
      <c r="BC563" s="41"/>
      <c r="BD563" s="41">
        <v>3.21</v>
      </c>
      <c r="BE563" s="41"/>
      <c r="BF563" s="41"/>
      <c r="BG563" s="41">
        <v>3.9066000000000001</v>
      </c>
      <c r="BH563" s="41"/>
      <c r="BI563" s="41"/>
      <c r="BJ563" s="41"/>
      <c r="BK563" s="41">
        <v>3.96</v>
      </c>
      <c r="BL563" s="41"/>
      <c r="BM563" s="41"/>
      <c r="BN563" s="41">
        <f t="shared" si="10"/>
        <v>3.96</v>
      </c>
    </row>
    <row r="564" spans="2:66" hidden="1" outlineLevel="1" x14ac:dyDescent="0.35">
      <c r="B564" s="41" t="s">
        <v>234</v>
      </c>
      <c r="C564" s="41" t="s">
        <v>3</v>
      </c>
      <c r="D564" s="41" t="s">
        <v>746</v>
      </c>
      <c r="E564" s="41" t="s">
        <v>745</v>
      </c>
      <c r="F564" s="41"/>
      <c r="G564" s="41"/>
      <c r="H564" s="41"/>
      <c r="I564" s="41"/>
      <c r="J564" s="41"/>
      <c r="K564" s="41"/>
      <c r="L564" s="41"/>
      <c r="M564" s="41"/>
      <c r="N564" s="41"/>
      <c r="O564" s="41"/>
      <c r="P564" s="41"/>
      <c r="Q564" s="41"/>
      <c r="R564" s="41"/>
      <c r="S564" s="41"/>
      <c r="T564" s="41"/>
      <c r="U564" s="41"/>
      <c r="V564" s="41"/>
      <c r="W564" s="41"/>
      <c r="X564" s="41"/>
      <c r="Y564" s="41"/>
      <c r="Z564" s="41">
        <v>3.2109999999999999</v>
      </c>
      <c r="AA564" s="41">
        <v>3.278</v>
      </c>
      <c r="AB564" s="41">
        <v>3.4060000000000001</v>
      </c>
      <c r="AC564" s="41">
        <v>3.4540000000000002</v>
      </c>
      <c r="AD564" s="41">
        <v>3.5009999999999999</v>
      </c>
      <c r="AE564" s="41">
        <v>3.577</v>
      </c>
      <c r="AF564" s="41">
        <v>3.6739999999999999</v>
      </c>
      <c r="AG564" s="41">
        <v>3.7360000000000002</v>
      </c>
      <c r="AH564" s="41">
        <v>3.7629999999999999</v>
      </c>
      <c r="AI564" s="41">
        <v>3.8809999999999998</v>
      </c>
      <c r="AJ564" s="41">
        <v>3.9239999999999999</v>
      </c>
      <c r="AK564" s="41">
        <v>3.7010000000000001</v>
      </c>
      <c r="AL564" s="41">
        <v>3.597</v>
      </c>
      <c r="AM564" s="41">
        <v>3.3450000000000002</v>
      </c>
      <c r="AN564" s="41">
        <v>3.1219999999999999</v>
      </c>
      <c r="AO564" s="41">
        <v>3.0419999999999998</v>
      </c>
      <c r="AP564" s="41">
        <v>3.5910000000000002</v>
      </c>
      <c r="AQ564" s="41">
        <v>3.1560000000000001</v>
      </c>
      <c r="AR564" s="41">
        <v>3.1560000000000001</v>
      </c>
      <c r="AS564" s="41">
        <v>3.0510000000000002</v>
      </c>
      <c r="AT564" s="41">
        <v>2.9870000000000001</v>
      </c>
      <c r="AU564" s="41">
        <v>3.5259999999999998</v>
      </c>
      <c r="AV564" s="41"/>
      <c r="AW564" s="41">
        <v>3.5880000000000001</v>
      </c>
      <c r="AX564" s="41"/>
      <c r="AY564" s="41"/>
      <c r="AZ564" s="41">
        <v>3.7</v>
      </c>
      <c r="BA564" s="41">
        <v>3.6970000000000001</v>
      </c>
      <c r="BB564" s="41"/>
      <c r="BC564" s="41">
        <v>2.677</v>
      </c>
      <c r="BD564" s="41">
        <v>2.8418999999999999</v>
      </c>
      <c r="BE564" s="41">
        <v>2.8685999999999998</v>
      </c>
      <c r="BF564" s="41">
        <v>2.8990999999999998</v>
      </c>
      <c r="BG564" s="41">
        <v>2.9072</v>
      </c>
      <c r="BH564" s="41">
        <v>2.899</v>
      </c>
      <c r="BI564" s="41"/>
      <c r="BJ564" s="41"/>
      <c r="BK564" s="41"/>
      <c r="BL564" s="41"/>
      <c r="BM564" s="41"/>
      <c r="BN564" s="41">
        <f t="shared" si="10"/>
        <v>2.899</v>
      </c>
    </row>
    <row r="565" spans="2:66" hidden="1" outlineLevel="1" x14ac:dyDescent="0.35">
      <c r="B565" s="41" t="s">
        <v>314</v>
      </c>
      <c r="C565" s="41" t="s">
        <v>193</v>
      </c>
      <c r="D565" s="41" t="s">
        <v>746</v>
      </c>
      <c r="E565" s="41" t="s">
        <v>745</v>
      </c>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v>0.77200000000000002</v>
      </c>
      <c r="AE565" s="41"/>
      <c r="AF565" s="41"/>
      <c r="AG565" s="41"/>
      <c r="AH565" s="41"/>
      <c r="AI565" s="41"/>
      <c r="AJ565" s="41"/>
      <c r="AK565" s="41"/>
      <c r="AL565" s="41"/>
      <c r="AM565" s="41"/>
      <c r="AN565" s="41"/>
      <c r="AO565" s="41"/>
      <c r="AP565" s="41"/>
      <c r="AQ565" s="41"/>
      <c r="AR565" s="41"/>
      <c r="AS565" s="41">
        <v>0.78100000000000003</v>
      </c>
      <c r="AT565" s="41"/>
      <c r="AU565" s="41"/>
      <c r="AV565" s="41"/>
      <c r="AW565" s="41"/>
      <c r="AX565" s="41"/>
      <c r="AY565" s="41"/>
      <c r="AZ565" s="41"/>
      <c r="BA565" s="41"/>
      <c r="BB565" s="41"/>
      <c r="BC565" s="41"/>
      <c r="BD565" s="41"/>
      <c r="BE565" s="41"/>
      <c r="BF565" s="41"/>
      <c r="BG565" s="41"/>
      <c r="BH565" s="41"/>
      <c r="BI565" s="41"/>
      <c r="BJ565" s="41"/>
      <c r="BK565" s="41"/>
      <c r="BL565" s="41"/>
      <c r="BM565" s="41"/>
      <c r="BN565" s="41">
        <f t="shared" si="10"/>
        <v>0.78100000000000003</v>
      </c>
    </row>
    <row r="566" spans="2:66" hidden="1" outlineLevel="1" x14ac:dyDescent="0.35">
      <c r="B566" s="41" t="s">
        <v>316</v>
      </c>
      <c r="C566" s="41" t="s">
        <v>317</v>
      </c>
      <c r="D566" s="41" t="s">
        <v>746</v>
      </c>
      <c r="E566" s="41" t="s">
        <v>745</v>
      </c>
      <c r="F566" s="41">
        <v>0.29399999999999998</v>
      </c>
      <c r="G566" s="41"/>
      <c r="H566" s="41"/>
      <c r="I566" s="41"/>
      <c r="J566" s="41"/>
      <c r="K566" s="41"/>
      <c r="L566" s="41"/>
      <c r="M566" s="41"/>
      <c r="N566" s="41"/>
      <c r="O566" s="41"/>
      <c r="P566" s="41">
        <v>0.34899999999999998</v>
      </c>
      <c r="Q566" s="41"/>
      <c r="R566" s="41"/>
      <c r="S566" s="41"/>
      <c r="T566" s="41"/>
      <c r="U566" s="41"/>
      <c r="V566" s="41"/>
      <c r="W566" s="41"/>
      <c r="X566" s="41"/>
      <c r="Y566" s="41"/>
      <c r="Z566" s="41"/>
      <c r="AA566" s="41"/>
      <c r="AB566" s="41"/>
      <c r="AC566" s="41"/>
      <c r="AD566" s="41"/>
      <c r="AE566" s="41"/>
      <c r="AF566" s="41"/>
      <c r="AG566" s="41"/>
      <c r="AH566" s="41"/>
      <c r="AI566" s="41"/>
      <c r="AJ566" s="41">
        <v>0.76</v>
      </c>
      <c r="AK566" s="41">
        <v>0.91900000000000004</v>
      </c>
      <c r="AL566" s="41"/>
      <c r="AM566" s="41">
        <v>3.03</v>
      </c>
      <c r="AN566" s="41"/>
      <c r="AO566" s="41">
        <v>0.76</v>
      </c>
      <c r="AP566" s="41">
        <v>1.141</v>
      </c>
      <c r="AQ566" s="41"/>
      <c r="AR566" s="41"/>
      <c r="AS566" s="41">
        <v>0.1467</v>
      </c>
      <c r="AT566" s="41"/>
      <c r="AU566" s="41"/>
      <c r="AV566" s="41"/>
      <c r="AW566" s="41"/>
      <c r="AX566" s="41"/>
      <c r="AY566" s="41"/>
      <c r="AZ566" s="41"/>
      <c r="BA566" s="41">
        <v>1.5754999999999999</v>
      </c>
      <c r="BB566" s="41"/>
      <c r="BC566" s="41"/>
      <c r="BD566" s="41"/>
      <c r="BE566" s="41"/>
      <c r="BF566" s="41"/>
      <c r="BG566" s="41"/>
      <c r="BH566" s="41"/>
      <c r="BI566" s="41"/>
      <c r="BJ566" s="41"/>
      <c r="BK566" s="41">
        <v>2.7646999999999999</v>
      </c>
      <c r="BL566" s="41"/>
      <c r="BM566" s="41"/>
      <c r="BN566" s="41">
        <f t="shared" si="10"/>
        <v>2.7646999999999999</v>
      </c>
    </row>
    <row r="567" spans="2:66" hidden="1" outlineLevel="1" x14ac:dyDescent="0.35">
      <c r="B567" s="41" t="s">
        <v>324</v>
      </c>
      <c r="C567" s="41" t="s">
        <v>4</v>
      </c>
      <c r="D567" s="41" t="s">
        <v>746</v>
      </c>
      <c r="E567" s="41" t="s">
        <v>745</v>
      </c>
      <c r="F567" s="41"/>
      <c r="G567" s="41">
        <v>1.1000000000000001</v>
      </c>
      <c r="H567" s="41"/>
      <c r="I567" s="41"/>
      <c r="J567" s="41"/>
      <c r="K567" s="41"/>
      <c r="L567" s="41">
        <v>1.2</v>
      </c>
      <c r="M567" s="41"/>
      <c r="N567" s="41"/>
      <c r="O567" s="41"/>
      <c r="P567" s="41"/>
      <c r="Q567" s="41">
        <v>1.2</v>
      </c>
      <c r="R567" s="41"/>
      <c r="S567" s="41"/>
      <c r="T567" s="41"/>
      <c r="U567" s="41"/>
      <c r="V567" s="41">
        <v>1.5</v>
      </c>
      <c r="W567" s="41"/>
      <c r="X567" s="41"/>
      <c r="Y567" s="41"/>
      <c r="Z567" s="41"/>
      <c r="AA567" s="41">
        <v>1.8</v>
      </c>
      <c r="AB567" s="41"/>
      <c r="AC567" s="41"/>
      <c r="AD567" s="41">
        <v>1.8</v>
      </c>
      <c r="AE567" s="41">
        <v>1.9</v>
      </c>
      <c r="AF567" s="41">
        <v>2</v>
      </c>
      <c r="AG567" s="41">
        <v>2.1</v>
      </c>
      <c r="AH567" s="41">
        <v>2.1</v>
      </c>
      <c r="AI567" s="41">
        <v>2.1</v>
      </c>
      <c r="AJ567" s="41">
        <v>2.2000000000000002</v>
      </c>
      <c r="AK567" s="41">
        <v>2.2999999999999998</v>
      </c>
      <c r="AL567" s="41">
        <v>2.4</v>
      </c>
      <c r="AM567" s="41">
        <v>2.4</v>
      </c>
      <c r="AN567" s="41">
        <v>2.4</v>
      </c>
      <c r="AO567" s="41">
        <v>2.4</v>
      </c>
      <c r="AP567" s="41">
        <v>2.5198999999999998</v>
      </c>
      <c r="AQ567" s="41">
        <v>2.4</v>
      </c>
      <c r="AR567" s="41">
        <v>2.4</v>
      </c>
      <c r="AS567" s="41">
        <v>2.4</v>
      </c>
      <c r="AT567" s="41">
        <v>2.5</v>
      </c>
      <c r="AU567" s="41">
        <v>2.4845999999999999</v>
      </c>
      <c r="AV567" s="41">
        <v>2.5</v>
      </c>
      <c r="AW567" s="41"/>
      <c r="AX567" s="41"/>
      <c r="AY567" s="41"/>
      <c r="AZ567" s="41">
        <v>2.6764999999999999</v>
      </c>
      <c r="BA567" s="41"/>
      <c r="BB567" s="41"/>
      <c r="BC567" s="41">
        <v>2.8887999999999998</v>
      </c>
      <c r="BD567" s="41">
        <v>3.3481000000000001</v>
      </c>
      <c r="BE567" s="41">
        <v>3.2963</v>
      </c>
      <c r="BF567" s="41">
        <v>3.2976000000000001</v>
      </c>
      <c r="BG567" s="41">
        <v>3.3881999999999999</v>
      </c>
      <c r="BH567" s="41">
        <v>3.4620000000000002</v>
      </c>
      <c r="BI567" s="41">
        <v>3.5213000000000001</v>
      </c>
      <c r="BJ567" s="41">
        <v>3.5874000000000001</v>
      </c>
      <c r="BK567" s="41"/>
      <c r="BL567" s="41"/>
      <c r="BM567" s="41"/>
      <c r="BN567" s="41">
        <f t="shared" si="10"/>
        <v>3.5874000000000001</v>
      </c>
    </row>
    <row r="568" spans="2:66" hidden="1" outlineLevel="1" x14ac:dyDescent="0.35">
      <c r="B568" s="41" t="s">
        <v>325</v>
      </c>
      <c r="C568" s="41" t="s">
        <v>5</v>
      </c>
      <c r="D568" s="41" t="s">
        <v>746</v>
      </c>
      <c r="E568" s="41" t="s">
        <v>745</v>
      </c>
      <c r="F568" s="41">
        <v>1.2</v>
      </c>
      <c r="G568" s="41">
        <v>1.4</v>
      </c>
      <c r="H568" s="41">
        <v>1.4</v>
      </c>
      <c r="I568" s="41">
        <v>1.4</v>
      </c>
      <c r="J568" s="41">
        <v>1.4</v>
      </c>
      <c r="K568" s="41">
        <v>1.4</v>
      </c>
      <c r="L568" s="41">
        <v>1.4</v>
      </c>
      <c r="M568" s="41">
        <v>1.4</v>
      </c>
      <c r="N568" s="41">
        <v>1.4</v>
      </c>
      <c r="O568" s="41">
        <v>1.4</v>
      </c>
      <c r="P568" s="41">
        <v>1.4</v>
      </c>
      <c r="Q568" s="41">
        <v>1.4</v>
      </c>
      <c r="R568" s="41">
        <v>1.4</v>
      </c>
      <c r="S568" s="41">
        <v>1.4</v>
      </c>
      <c r="T568" s="41">
        <v>1.4</v>
      </c>
      <c r="U568" s="41">
        <v>1.5</v>
      </c>
      <c r="V568" s="41">
        <v>1.5</v>
      </c>
      <c r="W568" s="41">
        <v>1.5</v>
      </c>
      <c r="X568" s="41">
        <v>1.5</v>
      </c>
      <c r="Y568" s="41">
        <v>1.6</v>
      </c>
      <c r="Z568" s="41">
        <v>1.6</v>
      </c>
      <c r="AA568" s="41">
        <v>1.7</v>
      </c>
      <c r="AB568" s="41">
        <v>1.7</v>
      </c>
      <c r="AC568" s="41">
        <v>1.8</v>
      </c>
      <c r="AD568" s="41">
        <v>1.8</v>
      </c>
      <c r="AE568" s="41">
        <v>1.9</v>
      </c>
      <c r="AF568" s="41">
        <v>1.9</v>
      </c>
      <c r="AG568" s="41">
        <v>2</v>
      </c>
      <c r="AH568" s="41">
        <v>2.1</v>
      </c>
      <c r="AI568" s="41">
        <v>2.2000000000000002</v>
      </c>
      <c r="AJ568" s="41">
        <v>2.2000000000000002</v>
      </c>
      <c r="AK568" s="41">
        <v>2.2999999999999998</v>
      </c>
      <c r="AL568" s="41">
        <v>2.4</v>
      </c>
      <c r="AM568" s="41">
        <v>2.5</v>
      </c>
      <c r="AN568" s="41">
        <v>2.6</v>
      </c>
      <c r="AO568" s="41">
        <v>2.7</v>
      </c>
      <c r="AP568" s="41">
        <v>2.8</v>
      </c>
      <c r="AQ568" s="41">
        <v>2.9</v>
      </c>
      <c r="AR568" s="41">
        <v>3.1</v>
      </c>
      <c r="AS568" s="41">
        <v>3.1</v>
      </c>
      <c r="AT568" s="41">
        <v>3.2</v>
      </c>
      <c r="AU568" s="41">
        <v>3.3</v>
      </c>
      <c r="AV568" s="41">
        <v>3.3</v>
      </c>
      <c r="AW568" s="41">
        <v>3.3780000000000001</v>
      </c>
      <c r="AX568" s="41"/>
      <c r="AY568" s="41"/>
      <c r="AZ568" s="41">
        <v>3.66</v>
      </c>
      <c r="BA568" s="41">
        <v>3.794</v>
      </c>
      <c r="BB568" s="41"/>
      <c r="BC568" s="41"/>
      <c r="BD568" s="41">
        <v>4.7687999999999997</v>
      </c>
      <c r="BE568" s="41">
        <v>4.8030999999999997</v>
      </c>
      <c r="BF568" s="41">
        <v>4.8449999999999998</v>
      </c>
      <c r="BG568" s="41">
        <v>4.9316000000000004</v>
      </c>
      <c r="BH568" s="41">
        <v>4.9954000000000001</v>
      </c>
      <c r="BI568" s="41">
        <v>5.0701000000000001</v>
      </c>
      <c r="BJ568" s="41">
        <v>5.1440999999999999</v>
      </c>
      <c r="BK568" s="41"/>
      <c r="BL568" s="41"/>
      <c r="BM568" s="41"/>
      <c r="BN568" s="41">
        <f t="shared" si="10"/>
        <v>5.1440999999999999</v>
      </c>
    </row>
    <row r="569" spans="2:66" hidden="1" outlineLevel="1" x14ac:dyDescent="0.35">
      <c r="B569" s="41" t="s">
        <v>235</v>
      </c>
      <c r="C569" s="41" t="s">
        <v>6</v>
      </c>
      <c r="D569" s="41" t="s">
        <v>746</v>
      </c>
      <c r="E569" s="41" t="s">
        <v>745</v>
      </c>
      <c r="F569" s="41"/>
      <c r="G569" s="41"/>
      <c r="H569" s="41"/>
      <c r="I569" s="41"/>
      <c r="J569" s="41"/>
      <c r="K569" s="41"/>
      <c r="L569" s="41"/>
      <c r="M569" s="41"/>
      <c r="N569" s="41"/>
      <c r="O569" s="41"/>
      <c r="P569" s="41"/>
      <c r="Q569" s="41"/>
      <c r="R569" s="41"/>
      <c r="S569" s="41"/>
      <c r="T569" s="41"/>
      <c r="U569" s="41"/>
      <c r="V569" s="41"/>
      <c r="W569" s="41"/>
      <c r="X569" s="41"/>
      <c r="Y569" s="41"/>
      <c r="Z569" s="41">
        <v>3.3620000000000001</v>
      </c>
      <c r="AA569" s="41"/>
      <c r="AB569" s="41"/>
      <c r="AC569" s="41"/>
      <c r="AD569" s="41"/>
      <c r="AE569" s="41">
        <v>3.7989999999999999</v>
      </c>
      <c r="AF569" s="41">
        <v>3.8769999999999998</v>
      </c>
      <c r="AG569" s="41">
        <v>3.9060000000000001</v>
      </c>
      <c r="AH569" s="41">
        <v>3.964</v>
      </c>
      <c r="AI569" s="41">
        <v>3.99</v>
      </c>
      <c r="AJ569" s="41">
        <v>3.9169999999999998</v>
      </c>
      <c r="AK569" s="41">
        <v>3.9159999999999999</v>
      </c>
      <c r="AL569" s="41">
        <v>3.8809999999999998</v>
      </c>
      <c r="AM569" s="41">
        <v>3.9279999999999999</v>
      </c>
      <c r="AN569" s="41">
        <v>3.8959999999999999</v>
      </c>
      <c r="AO569" s="41">
        <v>3.9249999999999998</v>
      </c>
      <c r="AP569" s="41">
        <v>3.899</v>
      </c>
      <c r="AQ569" s="41">
        <v>3.831</v>
      </c>
      <c r="AR569" s="41">
        <v>3.6019999999999999</v>
      </c>
      <c r="AS569" s="41">
        <v>3.5209999999999999</v>
      </c>
      <c r="AT569" s="41">
        <v>3.6070000000000002</v>
      </c>
      <c r="AU569" s="41">
        <v>3.536</v>
      </c>
      <c r="AV569" s="41"/>
      <c r="AW569" s="41">
        <v>3.5470000000000002</v>
      </c>
      <c r="AX569" s="41"/>
      <c r="AY569" s="41"/>
      <c r="AZ569" s="41">
        <v>3.63</v>
      </c>
      <c r="BA569" s="41">
        <v>3.794</v>
      </c>
      <c r="BB569" s="41"/>
      <c r="BC569" s="41">
        <v>3.782</v>
      </c>
      <c r="BD569" s="41">
        <v>3.6629</v>
      </c>
      <c r="BE569" s="41">
        <v>3.4375</v>
      </c>
      <c r="BF569" s="41">
        <v>3.4901</v>
      </c>
      <c r="BG569" s="41">
        <v>3.4558</v>
      </c>
      <c r="BH569" s="41">
        <v>3.4466000000000001</v>
      </c>
      <c r="BI569" s="41"/>
      <c r="BJ569" s="41"/>
      <c r="BK569" s="41"/>
      <c r="BL569" s="41"/>
      <c r="BM569" s="41"/>
      <c r="BN569" s="41">
        <f t="shared" si="10"/>
        <v>3.4466000000000001</v>
      </c>
    </row>
    <row r="570" spans="2:66" hidden="1" outlineLevel="1" x14ac:dyDescent="0.35">
      <c r="B570" s="41" t="s">
        <v>186</v>
      </c>
      <c r="C570" s="41" t="s">
        <v>7</v>
      </c>
      <c r="D570" s="41" t="s">
        <v>746</v>
      </c>
      <c r="E570" s="41" t="s">
        <v>745</v>
      </c>
      <c r="F570" s="41">
        <v>0.01</v>
      </c>
      <c r="G570" s="41"/>
      <c r="H570" s="41"/>
      <c r="I570" s="41"/>
      <c r="J570" s="41"/>
      <c r="K570" s="41">
        <v>1.7000000000000001E-2</v>
      </c>
      <c r="L570" s="41"/>
      <c r="M570" s="41"/>
      <c r="N570" s="41"/>
      <c r="O570" s="41"/>
      <c r="P570" s="41">
        <v>1.7000000000000001E-2</v>
      </c>
      <c r="Q570" s="41"/>
      <c r="R570" s="41"/>
      <c r="S570" s="41"/>
      <c r="T570" s="41"/>
      <c r="U570" s="41">
        <v>1.2E-2</v>
      </c>
      <c r="V570" s="41"/>
      <c r="W570" s="41"/>
      <c r="X570" s="41"/>
      <c r="Y570" s="41"/>
      <c r="Z570" s="41"/>
      <c r="AA570" s="41"/>
      <c r="AB570" s="41"/>
      <c r="AC570" s="41"/>
      <c r="AD570" s="41">
        <v>4.7E-2</v>
      </c>
      <c r="AE570" s="41"/>
      <c r="AF570" s="41">
        <v>5.8000000000000003E-2</v>
      </c>
      <c r="AG570" s="41"/>
      <c r="AH570" s="41"/>
      <c r="AI570" s="41"/>
      <c r="AJ570" s="41">
        <v>5.8000000000000003E-2</v>
      </c>
      <c r="AK570" s="41">
        <v>5.8999999999999997E-2</v>
      </c>
      <c r="AL570" s="41"/>
      <c r="AM570" s="41">
        <v>5.6000000000000001E-2</v>
      </c>
      <c r="AN570" s="41"/>
      <c r="AO570" s="41">
        <v>5.5E-2</v>
      </c>
      <c r="AP570" s="41"/>
      <c r="AQ570" s="41"/>
      <c r="AR570" s="41"/>
      <c r="AS570" s="41"/>
      <c r="AT570" s="41">
        <v>5.1999999999999998E-2</v>
      </c>
      <c r="AU570" s="41"/>
      <c r="AV570" s="41"/>
      <c r="AW570" s="41"/>
      <c r="AX570" s="41">
        <v>2.7799999999999998E-2</v>
      </c>
      <c r="AY570" s="41"/>
      <c r="AZ570" s="41"/>
      <c r="BA570" s="41"/>
      <c r="BB570" s="41"/>
      <c r="BC570" s="41"/>
      <c r="BD570" s="41">
        <v>4.7699999999999999E-2</v>
      </c>
      <c r="BE570" s="41"/>
      <c r="BF570" s="41"/>
      <c r="BG570" s="41"/>
      <c r="BH570" s="41"/>
      <c r="BI570" s="41"/>
      <c r="BJ570" s="41">
        <v>0.05</v>
      </c>
      <c r="BK570" s="41"/>
      <c r="BL570" s="41"/>
      <c r="BM570" s="41"/>
      <c r="BN570" s="41">
        <f t="shared" si="10"/>
        <v>0.05</v>
      </c>
    </row>
    <row r="571" spans="2:66" hidden="1" outlineLevel="1" x14ac:dyDescent="0.35">
      <c r="B571" s="41" t="s">
        <v>331</v>
      </c>
      <c r="C571" s="41" t="s">
        <v>8</v>
      </c>
      <c r="D571" s="41" t="s">
        <v>746</v>
      </c>
      <c r="E571" s="41" t="s">
        <v>745</v>
      </c>
      <c r="F571" s="41">
        <v>1.3</v>
      </c>
      <c r="G571" s="41">
        <v>1.3</v>
      </c>
      <c r="H571" s="41">
        <v>1.4</v>
      </c>
      <c r="I571" s="41">
        <v>1.4</v>
      </c>
      <c r="J571" s="41">
        <v>1.4</v>
      </c>
      <c r="K571" s="41">
        <v>1.5</v>
      </c>
      <c r="L571" s="41">
        <v>1.5</v>
      </c>
      <c r="M571" s="41">
        <v>1.5</v>
      </c>
      <c r="N571" s="41">
        <v>1.6</v>
      </c>
      <c r="O571" s="41">
        <v>1.6</v>
      </c>
      <c r="P571" s="41"/>
      <c r="Q571" s="41">
        <v>1.5</v>
      </c>
      <c r="R571" s="41">
        <v>1.6</v>
      </c>
      <c r="S571" s="41">
        <v>1.7</v>
      </c>
      <c r="T571" s="41">
        <v>1.8</v>
      </c>
      <c r="U571" s="41">
        <v>1.9</v>
      </c>
      <c r="V571" s="41">
        <v>1.9</v>
      </c>
      <c r="W571" s="41">
        <v>2</v>
      </c>
      <c r="X571" s="41">
        <v>2.1</v>
      </c>
      <c r="Y571" s="41">
        <v>2.2000000000000002</v>
      </c>
      <c r="Z571" s="41">
        <v>2.2999999999999998</v>
      </c>
      <c r="AA571" s="41">
        <v>2.4</v>
      </c>
      <c r="AB571" s="41">
        <v>2.5</v>
      </c>
      <c r="AC571" s="41">
        <v>2.8</v>
      </c>
      <c r="AD571" s="41">
        <v>2.7</v>
      </c>
      <c r="AE571" s="41">
        <v>2.8</v>
      </c>
      <c r="AF571" s="41">
        <v>2.9</v>
      </c>
      <c r="AG571" s="41">
        <v>3</v>
      </c>
      <c r="AH571" s="41">
        <v>3.1</v>
      </c>
      <c r="AI571" s="41">
        <v>3.2</v>
      </c>
      <c r="AJ571" s="41">
        <v>3.3</v>
      </c>
      <c r="AK571" s="41">
        <v>3.3</v>
      </c>
      <c r="AL571" s="41">
        <v>3.4</v>
      </c>
      <c r="AM571" s="41">
        <v>3.4</v>
      </c>
      <c r="AN571" s="41">
        <v>3.5</v>
      </c>
      <c r="AO571" s="41">
        <v>3.5</v>
      </c>
      <c r="AP571" s="41">
        <v>3.6</v>
      </c>
      <c r="AQ571" s="41">
        <v>3.7</v>
      </c>
      <c r="AR571" s="41">
        <v>3.7</v>
      </c>
      <c r="AS571" s="41">
        <v>3.8</v>
      </c>
      <c r="AT571" s="41">
        <v>3.9</v>
      </c>
      <c r="AU571" s="41">
        <v>3.9</v>
      </c>
      <c r="AV571" s="41">
        <v>3.9</v>
      </c>
      <c r="AW571" s="41"/>
      <c r="AX571" s="41"/>
      <c r="AY571" s="41">
        <v>2.0478999999999998</v>
      </c>
      <c r="AZ571" s="41">
        <v>2.0956999999999999</v>
      </c>
      <c r="BA571" s="41"/>
      <c r="BB571" s="41"/>
      <c r="BC571" s="41"/>
      <c r="BD571" s="41">
        <v>2.9085000000000001</v>
      </c>
      <c r="BE571" s="41">
        <v>2.9222000000000001</v>
      </c>
      <c r="BF571" s="41">
        <v>2.9397000000000002</v>
      </c>
      <c r="BG571" s="41">
        <v>2.9592000000000001</v>
      </c>
      <c r="BH571" s="41">
        <v>2.9729000000000001</v>
      </c>
      <c r="BI571" s="41">
        <v>3.0137999999999998</v>
      </c>
      <c r="BJ571" s="41">
        <v>3.3233999999999999</v>
      </c>
      <c r="BK571" s="41"/>
      <c r="BL571" s="41"/>
      <c r="BM571" s="41"/>
      <c r="BN571" s="41">
        <f t="shared" si="10"/>
        <v>3.3233999999999999</v>
      </c>
    </row>
    <row r="572" spans="2:66" hidden="1" outlineLevel="1" x14ac:dyDescent="0.35">
      <c r="B572" s="41" t="s">
        <v>183</v>
      </c>
      <c r="C572" s="41" t="s">
        <v>9</v>
      </c>
      <c r="D572" s="41" t="s">
        <v>746</v>
      </c>
      <c r="E572" s="41" t="s">
        <v>745</v>
      </c>
      <c r="F572" s="41">
        <v>0.04</v>
      </c>
      <c r="G572" s="41"/>
      <c r="H572" s="41"/>
      <c r="I572" s="41"/>
      <c r="J572" s="41"/>
      <c r="K572" s="41">
        <v>0.03</v>
      </c>
      <c r="L572" s="41"/>
      <c r="M572" s="41"/>
      <c r="N572" s="41"/>
      <c r="O572" s="41"/>
      <c r="P572" s="41">
        <v>3.4000000000000002E-2</v>
      </c>
      <c r="Q572" s="41"/>
      <c r="R572" s="41"/>
      <c r="S572" s="41"/>
      <c r="T572" s="41"/>
      <c r="U572" s="41"/>
      <c r="V572" s="41"/>
      <c r="W572" s="41"/>
      <c r="X572" s="41"/>
      <c r="Y572" s="41"/>
      <c r="Z572" s="41">
        <v>5.8999999999999997E-2</v>
      </c>
      <c r="AA572" s="41">
        <v>5.8999999999999997E-2</v>
      </c>
      <c r="AB572" s="41"/>
      <c r="AC572" s="41">
        <v>7.4999999999999997E-2</v>
      </c>
      <c r="AD572" s="41"/>
      <c r="AE572" s="41">
        <v>7.2999999999999995E-2</v>
      </c>
      <c r="AF572" s="41"/>
      <c r="AG572" s="41"/>
      <c r="AH572" s="41"/>
      <c r="AI572" s="41">
        <v>7.0999999999999994E-2</v>
      </c>
      <c r="AJ572" s="41">
        <v>5.0999999999999997E-2</v>
      </c>
      <c r="AK572" s="41">
        <v>4.2000000000000003E-2</v>
      </c>
      <c r="AL572" s="41">
        <v>5.5E-2</v>
      </c>
      <c r="AM572" s="41">
        <v>5.7000000000000002E-2</v>
      </c>
      <c r="AN572" s="41">
        <v>6.0999999999999999E-2</v>
      </c>
      <c r="AO572" s="41">
        <v>5.8000000000000003E-2</v>
      </c>
      <c r="AP572" s="41"/>
      <c r="AQ572" s="41"/>
      <c r="AR572" s="41"/>
      <c r="AS572" s="41"/>
      <c r="AT572" s="41"/>
      <c r="AU572" s="41"/>
      <c r="AV572" s="41"/>
      <c r="AW572" s="41"/>
      <c r="AX572" s="41">
        <v>4.0099999999999997E-2</v>
      </c>
      <c r="AY572" s="41"/>
      <c r="AZ572" s="41"/>
      <c r="BA572" s="41"/>
      <c r="BB572" s="41">
        <v>6.2300000000000001E-2</v>
      </c>
      <c r="BC572" s="41"/>
      <c r="BD572" s="41">
        <v>5.8999999999999997E-2</v>
      </c>
      <c r="BE572" s="41"/>
      <c r="BF572" s="41">
        <v>0.1646</v>
      </c>
      <c r="BG572" s="41">
        <v>0.15060000000000001</v>
      </c>
      <c r="BH572" s="41"/>
      <c r="BI572" s="41"/>
      <c r="BJ572" s="41">
        <v>0.15720000000000001</v>
      </c>
      <c r="BK572" s="41"/>
      <c r="BL572" s="41"/>
      <c r="BM572" s="41"/>
      <c r="BN572" s="41">
        <f t="shared" si="10"/>
        <v>0.15720000000000001</v>
      </c>
    </row>
    <row r="573" spans="2:66" hidden="1" outlineLevel="1" x14ac:dyDescent="0.35">
      <c r="B573" s="41" t="s">
        <v>185</v>
      </c>
      <c r="C573" s="41" t="s">
        <v>10</v>
      </c>
      <c r="D573" s="41" t="s">
        <v>746</v>
      </c>
      <c r="E573" s="41" t="s">
        <v>745</v>
      </c>
      <c r="F573" s="41">
        <v>1.0999999999999999E-2</v>
      </c>
      <c r="G573" s="41"/>
      <c r="H573" s="41"/>
      <c r="I573" s="41"/>
      <c r="J573" s="41"/>
      <c r="K573" s="41">
        <v>1.4E-2</v>
      </c>
      <c r="L573" s="41"/>
      <c r="M573" s="41"/>
      <c r="N573" s="41"/>
      <c r="O573" s="41"/>
      <c r="P573" s="41">
        <v>0.01</v>
      </c>
      <c r="Q573" s="41"/>
      <c r="R573" s="41"/>
      <c r="S573" s="41"/>
      <c r="T573" s="41"/>
      <c r="U573" s="41"/>
      <c r="V573" s="41"/>
      <c r="W573" s="41"/>
      <c r="X573" s="41"/>
      <c r="Y573" s="41"/>
      <c r="Z573" s="41">
        <v>1.7999999999999999E-2</v>
      </c>
      <c r="AA573" s="41">
        <v>1.7999999999999999E-2</v>
      </c>
      <c r="AB573" s="41"/>
      <c r="AC573" s="41">
        <v>1.7999999999999999E-2</v>
      </c>
      <c r="AD573" s="41"/>
      <c r="AE573" s="41"/>
      <c r="AF573" s="41">
        <v>4.0000000000000001E-3</v>
      </c>
      <c r="AG573" s="41"/>
      <c r="AH573" s="41"/>
      <c r="AI573" s="41">
        <v>2.9000000000000001E-2</v>
      </c>
      <c r="AJ573" s="41"/>
      <c r="AK573" s="41"/>
      <c r="AL573" s="41"/>
      <c r="AM573" s="41"/>
      <c r="AN573" s="41"/>
      <c r="AO573" s="41">
        <v>3.4000000000000002E-2</v>
      </c>
      <c r="AP573" s="41">
        <v>3.5000000000000003E-2</v>
      </c>
      <c r="AQ573" s="41">
        <v>3.7999999999999999E-2</v>
      </c>
      <c r="AR573" s="41"/>
      <c r="AS573" s="41"/>
      <c r="AT573" s="41"/>
      <c r="AU573" s="41">
        <v>0.04</v>
      </c>
      <c r="AV573" s="41"/>
      <c r="AW573" s="41"/>
      <c r="AX573" s="41">
        <v>5.4300000000000001E-2</v>
      </c>
      <c r="AY573" s="41"/>
      <c r="AZ573" s="41">
        <v>2.8000000000000001E-2</v>
      </c>
      <c r="BA573" s="41"/>
      <c r="BB573" s="41">
        <v>3.2199999999999999E-2</v>
      </c>
      <c r="BC573" s="41">
        <v>4.4600000000000001E-2</v>
      </c>
      <c r="BD573" s="41">
        <v>4.5699999999999998E-2</v>
      </c>
      <c r="BE573" s="41">
        <v>3.8600000000000002E-2</v>
      </c>
      <c r="BF573" s="41">
        <v>4.7500000000000001E-2</v>
      </c>
      <c r="BG573" s="41"/>
      <c r="BH573" s="41"/>
      <c r="BI573" s="41"/>
      <c r="BJ573" s="41">
        <v>0.06</v>
      </c>
      <c r="BK573" s="41"/>
      <c r="BL573" s="41"/>
      <c r="BM573" s="41"/>
      <c r="BN573" s="41">
        <f t="shared" si="10"/>
        <v>0.06</v>
      </c>
    </row>
    <row r="574" spans="2:66" hidden="1" outlineLevel="1" x14ac:dyDescent="0.35">
      <c r="B574" s="41" t="s">
        <v>240</v>
      </c>
      <c r="C574" s="41" t="s">
        <v>11</v>
      </c>
      <c r="D574" s="41" t="s">
        <v>746</v>
      </c>
      <c r="E574" s="41" t="s">
        <v>745</v>
      </c>
      <c r="F574" s="41"/>
      <c r="G574" s="41"/>
      <c r="H574" s="41"/>
      <c r="I574" s="41"/>
      <c r="J574" s="41"/>
      <c r="K574" s="41">
        <v>0.123</v>
      </c>
      <c r="L574" s="41"/>
      <c r="M574" s="41"/>
      <c r="N574" s="41"/>
      <c r="O574" s="41"/>
      <c r="P574" s="41">
        <v>0.11899999999999999</v>
      </c>
      <c r="Q574" s="41"/>
      <c r="R574" s="41"/>
      <c r="S574" s="41"/>
      <c r="T574" s="41"/>
      <c r="U574" s="41"/>
      <c r="V574" s="41"/>
      <c r="W574" s="41"/>
      <c r="X574" s="41"/>
      <c r="Y574" s="41"/>
      <c r="Z574" s="41">
        <v>0.12</v>
      </c>
      <c r="AA574" s="41"/>
      <c r="AB574" s="41"/>
      <c r="AC574" s="41"/>
      <c r="AD574" s="41"/>
      <c r="AE574" s="41">
        <v>0.154</v>
      </c>
      <c r="AF574" s="41">
        <v>0.14399999999999999</v>
      </c>
      <c r="AG574" s="41"/>
      <c r="AH574" s="41"/>
      <c r="AI574" s="41"/>
      <c r="AJ574" s="41">
        <v>0.17699999999999999</v>
      </c>
      <c r="AK574" s="41">
        <v>0.188</v>
      </c>
      <c r="AL574" s="41"/>
      <c r="AM574" s="41"/>
      <c r="AN574" s="41"/>
      <c r="AO574" s="41">
        <v>0.20100000000000001</v>
      </c>
      <c r="AP574" s="41"/>
      <c r="AQ574" s="41">
        <v>0.2</v>
      </c>
      <c r="AR574" s="41"/>
      <c r="AS574" s="41"/>
      <c r="AT574" s="41"/>
      <c r="AU574" s="41">
        <v>0.24229999999999999</v>
      </c>
      <c r="AV574" s="41"/>
      <c r="AW574" s="41">
        <v>0.2631</v>
      </c>
      <c r="AX574" s="41">
        <v>0.27229999999999999</v>
      </c>
      <c r="AY574" s="41">
        <v>0.29899999999999999</v>
      </c>
      <c r="AZ574" s="41">
        <v>0.307</v>
      </c>
      <c r="BA574" s="41">
        <v>0.31929999999999997</v>
      </c>
      <c r="BB574" s="41">
        <v>0.33169999999999999</v>
      </c>
      <c r="BC574" s="41">
        <v>0.34379999999999999</v>
      </c>
      <c r="BD574" s="41">
        <v>0.35260000000000002</v>
      </c>
      <c r="BE574" s="41">
        <v>0.37240000000000001</v>
      </c>
      <c r="BF574" s="41">
        <v>0.38790000000000002</v>
      </c>
      <c r="BG574" s="41">
        <v>0.40889999999999999</v>
      </c>
      <c r="BH574" s="41">
        <v>0.47370000000000001</v>
      </c>
      <c r="BI574" s="41">
        <v>0.47089999999999999</v>
      </c>
      <c r="BJ574" s="41">
        <v>0.48220000000000002</v>
      </c>
      <c r="BK574" s="41">
        <v>0.52680000000000005</v>
      </c>
      <c r="BL574" s="41"/>
      <c r="BM574" s="41"/>
      <c r="BN574" s="41">
        <f t="shared" si="10"/>
        <v>0.52680000000000005</v>
      </c>
    </row>
    <row r="575" spans="2:66" hidden="1" outlineLevel="1" x14ac:dyDescent="0.35">
      <c r="B575" s="41" t="s">
        <v>340</v>
      </c>
      <c r="C575" s="41" t="s">
        <v>12</v>
      </c>
      <c r="D575" s="41" t="s">
        <v>746</v>
      </c>
      <c r="E575" s="41" t="s">
        <v>745</v>
      </c>
      <c r="F575" s="41">
        <v>1.405</v>
      </c>
      <c r="G575" s="41"/>
      <c r="H575" s="41"/>
      <c r="I575" s="41"/>
      <c r="J575" s="41"/>
      <c r="K575" s="41">
        <v>1.667</v>
      </c>
      <c r="L575" s="41"/>
      <c r="M575" s="41"/>
      <c r="N575" s="41"/>
      <c r="O575" s="41"/>
      <c r="P575" s="41">
        <v>1.863</v>
      </c>
      <c r="Q575" s="41">
        <v>1.8959999999999999</v>
      </c>
      <c r="R575" s="41">
        <v>1.9850000000000001</v>
      </c>
      <c r="S575" s="41">
        <v>2.0419999999999998</v>
      </c>
      <c r="T575" s="41">
        <v>2.1019999999999999</v>
      </c>
      <c r="U575" s="41">
        <v>2.1520000000000001</v>
      </c>
      <c r="V575" s="41">
        <v>2.2050000000000001</v>
      </c>
      <c r="W575" s="41">
        <v>2.258</v>
      </c>
      <c r="X575" s="41">
        <v>2.3210000000000002</v>
      </c>
      <c r="Y575" s="41">
        <v>2.4079999999999999</v>
      </c>
      <c r="Z575" s="41">
        <v>2.46</v>
      </c>
      <c r="AA575" s="41">
        <v>2.484</v>
      </c>
      <c r="AB575" s="41">
        <v>2.5880000000000001</v>
      </c>
      <c r="AC575" s="41">
        <v>2.6880000000000002</v>
      </c>
      <c r="AD575" s="41">
        <v>2.7589999999999999</v>
      </c>
      <c r="AE575" s="41">
        <v>2.8650000000000002</v>
      </c>
      <c r="AF575" s="41">
        <v>2.9529999999999998</v>
      </c>
      <c r="AG575" s="41">
        <v>3.0219999999999998</v>
      </c>
      <c r="AH575" s="41">
        <v>3.09</v>
      </c>
      <c r="AI575" s="41">
        <v>3.1389999999999998</v>
      </c>
      <c r="AJ575" s="41">
        <v>3.17</v>
      </c>
      <c r="AK575" s="41">
        <v>2.9790000000000001</v>
      </c>
      <c r="AL575" s="41">
        <v>3.1659999999999999</v>
      </c>
      <c r="AM575" s="41">
        <v>3.359</v>
      </c>
      <c r="AN575" s="41">
        <v>3.327</v>
      </c>
      <c r="AO575" s="41">
        <v>3.4580000000000002</v>
      </c>
      <c r="AP575" s="41">
        <v>3.5390000000000001</v>
      </c>
      <c r="AQ575" s="41">
        <v>3.4470000000000001</v>
      </c>
      <c r="AR575" s="41">
        <v>3.4489999999999998</v>
      </c>
      <c r="AS575" s="41"/>
      <c r="AT575" s="41">
        <v>3.399</v>
      </c>
      <c r="AU575" s="41"/>
      <c r="AV575" s="41"/>
      <c r="AW575" s="41">
        <v>3.5619999999999998</v>
      </c>
      <c r="AX575" s="41"/>
      <c r="AY575" s="41"/>
      <c r="AZ575" s="41">
        <v>3.66</v>
      </c>
      <c r="BA575" s="41">
        <v>3.665</v>
      </c>
      <c r="BB575" s="41">
        <v>3.6349999999999998</v>
      </c>
      <c r="BC575" s="41"/>
      <c r="BD575" s="41">
        <v>3.7764000000000002</v>
      </c>
      <c r="BE575" s="41">
        <v>3.8584999999999998</v>
      </c>
      <c r="BF575" s="41">
        <v>3.9121000000000001</v>
      </c>
      <c r="BG575" s="41">
        <v>3.9761000000000002</v>
      </c>
      <c r="BH575" s="41">
        <v>3.9878999999999998</v>
      </c>
      <c r="BI575" s="41"/>
      <c r="BJ575" s="41"/>
      <c r="BK575" s="41"/>
      <c r="BL575" s="41"/>
      <c r="BM575" s="41"/>
      <c r="BN575" s="41">
        <f t="shared" si="10"/>
        <v>3.9878999999999998</v>
      </c>
    </row>
    <row r="576" spans="2:66" hidden="1" outlineLevel="1" x14ac:dyDescent="0.35">
      <c r="B576" s="41" t="s">
        <v>327</v>
      </c>
      <c r="C576" s="41" t="s">
        <v>13</v>
      </c>
      <c r="D576" s="41" t="s">
        <v>746</v>
      </c>
      <c r="E576" s="41" t="s">
        <v>745</v>
      </c>
      <c r="F576" s="41">
        <v>0.45</v>
      </c>
      <c r="G576" s="41"/>
      <c r="H576" s="41"/>
      <c r="I576" s="41"/>
      <c r="J576" s="41"/>
      <c r="K576" s="41"/>
      <c r="L576" s="41"/>
      <c r="M576" s="41"/>
      <c r="N576" s="41"/>
      <c r="O576" s="41"/>
      <c r="P576" s="41">
        <v>0.42899999999999999</v>
      </c>
      <c r="Q576" s="41"/>
      <c r="R576" s="41"/>
      <c r="S576" s="41"/>
      <c r="T576" s="41"/>
      <c r="U576" s="41"/>
      <c r="V576" s="41"/>
      <c r="W576" s="41"/>
      <c r="X576" s="41"/>
      <c r="Y576" s="41"/>
      <c r="Z576" s="41">
        <v>1.087</v>
      </c>
      <c r="AA576" s="41"/>
      <c r="AB576" s="41"/>
      <c r="AC576" s="41"/>
      <c r="AD576" s="41"/>
      <c r="AE576" s="41">
        <v>1.2190000000000001</v>
      </c>
      <c r="AF576" s="41"/>
      <c r="AG576" s="41"/>
      <c r="AH576" s="41"/>
      <c r="AI576" s="41"/>
      <c r="AJ576" s="41"/>
      <c r="AK576" s="41">
        <v>1.3149999999999999</v>
      </c>
      <c r="AL576" s="41"/>
      <c r="AM576" s="41">
        <v>0.11</v>
      </c>
      <c r="AN576" s="41"/>
      <c r="AO576" s="41"/>
      <c r="AP576" s="41"/>
      <c r="AQ576" s="41">
        <v>1</v>
      </c>
      <c r="AR576" s="41"/>
      <c r="AS576" s="41"/>
      <c r="AT576" s="41">
        <v>1.0202</v>
      </c>
      <c r="AU576" s="41">
        <v>1.0636000000000001</v>
      </c>
      <c r="AV576" s="41">
        <v>1.0773999999999999</v>
      </c>
      <c r="AW576" s="41">
        <v>1.0479000000000001</v>
      </c>
      <c r="AX576" s="41">
        <v>0.9677</v>
      </c>
      <c r="AY576" s="41">
        <v>1.0436000000000001</v>
      </c>
      <c r="AZ576" s="41">
        <v>1.0142</v>
      </c>
      <c r="BA576" s="41">
        <v>1.0155000000000001</v>
      </c>
      <c r="BB576" s="41">
        <v>0.98960000000000004</v>
      </c>
      <c r="BC576" s="41">
        <v>0.96960000000000002</v>
      </c>
      <c r="BD576" s="41">
        <v>0.94930000000000003</v>
      </c>
      <c r="BE576" s="41">
        <v>0.94499999999999995</v>
      </c>
      <c r="BF576" s="41">
        <v>0.95679999999999998</v>
      </c>
      <c r="BG576" s="41">
        <v>0.95330000000000004</v>
      </c>
      <c r="BH576" s="41">
        <v>0.95699999999999996</v>
      </c>
      <c r="BI576" s="41">
        <v>0.92569999999999997</v>
      </c>
      <c r="BJ576" s="41"/>
      <c r="BK576" s="41"/>
      <c r="BL576" s="41"/>
      <c r="BM576" s="41"/>
      <c r="BN576" s="41">
        <f t="shared" si="10"/>
        <v>0.92569999999999997</v>
      </c>
    </row>
    <row r="577" spans="2:66" hidden="1" outlineLevel="1" x14ac:dyDescent="0.35">
      <c r="B577" s="41" t="s">
        <v>326</v>
      </c>
      <c r="C577" s="41" t="s">
        <v>14</v>
      </c>
      <c r="D577" s="41" t="s">
        <v>746</v>
      </c>
      <c r="E577" s="41" t="s">
        <v>745</v>
      </c>
      <c r="F577" s="41">
        <v>0.496</v>
      </c>
      <c r="G577" s="41"/>
      <c r="H577" s="41"/>
      <c r="I577" s="41"/>
      <c r="J577" s="41"/>
      <c r="K577" s="41"/>
      <c r="L577" s="41"/>
      <c r="M577" s="41"/>
      <c r="N577" s="41"/>
      <c r="O577" s="41"/>
      <c r="P577" s="41">
        <v>0.76</v>
      </c>
      <c r="Q577" s="41"/>
      <c r="R577" s="41"/>
      <c r="S577" s="41"/>
      <c r="T577" s="41"/>
      <c r="U577" s="41"/>
      <c r="V577" s="41"/>
      <c r="W577" s="41"/>
      <c r="X577" s="41"/>
      <c r="Y577" s="41"/>
      <c r="Z577" s="41">
        <v>0.93799999999999994</v>
      </c>
      <c r="AA577" s="41"/>
      <c r="AB577" s="41"/>
      <c r="AC577" s="41"/>
      <c r="AD577" s="41">
        <v>0.94299999999999995</v>
      </c>
      <c r="AE577" s="41"/>
      <c r="AF577" s="41"/>
      <c r="AG577" s="41"/>
      <c r="AH577" s="41"/>
      <c r="AI577" s="41"/>
      <c r="AJ577" s="41">
        <v>1.29</v>
      </c>
      <c r="AK577" s="41"/>
      <c r="AL577" s="41"/>
      <c r="AM577" s="41">
        <v>1.446</v>
      </c>
      <c r="AN577" s="41"/>
      <c r="AO577" s="41">
        <v>1.49</v>
      </c>
      <c r="AP577" s="41">
        <v>1.518</v>
      </c>
      <c r="AQ577" s="41"/>
      <c r="AR577" s="41">
        <v>1.0754999999999999</v>
      </c>
      <c r="AS577" s="41"/>
      <c r="AT577" s="41"/>
      <c r="AU577" s="41"/>
      <c r="AV577" s="41"/>
      <c r="AW577" s="41"/>
      <c r="AX577" s="41"/>
      <c r="AY577" s="41"/>
      <c r="AZ577" s="41"/>
      <c r="BA577" s="41"/>
      <c r="BB577" s="41">
        <v>2.7158000000000002</v>
      </c>
      <c r="BC577" s="41"/>
      <c r="BD577" s="41"/>
      <c r="BE577" s="41">
        <v>2.2639999999999998</v>
      </c>
      <c r="BF577" s="41"/>
      <c r="BG577" s="41"/>
      <c r="BH577" s="41"/>
      <c r="BI577" s="41"/>
      <c r="BJ577" s="41"/>
      <c r="BK577" s="41">
        <v>1.9373</v>
      </c>
      <c r="BL577" s="41"/>
      <c r="BM577" s="41"/>
      <c r="BN577" s="41">
        <f t="shared" si="10"/>
        <v>1.9373</v>
      </c>
    </row>
    <row r="578" spans="2:66" hidden="1" outlineLevel="1" x14ac:dyDescent="0.35">
      <c r="B578" s="41" t="s">
        <v>335</v>
      </c>
      <c r="C578" s="41" t="s">
        <v>15</v>
      </c>
      <c r="D578" s="41" t="s">
        <v>746</v>
      </c>
      <c r="E578" s="41" t="s">
        <v>745</v>
      </c>
      <c r="F578" s="41"/>
      <c r="G578" s="41"/>
      <c r="H578" s="41"/>
      <c r="I578" s="41"/>
      <c r="J578" s="41"/>
      <c r="K578" s="41"/>
      <c r="L578" s="41"/>
      <c r="M578" s="41"/>
      <c r="N578" s="41"/>
      <c r="O578" s="41"/>
      <c r="P578" s="41"/>
      <c r="Q578" s="41"/>
      <c r="R578" s="41"/>
      <c r="S578" s="41"/>
      <c r="T578" s="41"/>
      <c r="U578" s="41"/>
      <c r="V578" s="41"/>
      <c r="W578" s="41"/>
      <c r="X578" s="41"/>
      <c r="Y578" s="41"/>
      <c r="Z578" s="41">
        <v>1.0329999999999999</v>
      </c>
      <c r="AA578" s="41">
        <v>1.089</v>
      </c>
      <c r="AB578" s="41">
        <v>1.17</v>
      </c>
      <c r="AC578" s="41">
        <v>1.2070000000000001</v>
      </c>
      <c r="AD578" s="41">
        <v>1.28</v>
      </c>
      <c r="AE578" s="41">
        <v>1.3620000000000001</v>
      </c>
      <c r="AF578" s="41">
        <v>1.419</v>
      </c>
      <c r="AG578" s="41">
        <v>1.4850000000000001</v>
      </c>
      <c r="AH578" s="41">
        <v>1.52</v>
      </c>
      <c r="AI578" s="41">
        <v>1.5569999999999999</v>
      </c>
      <c r="AJ578" s="41">
        <v>1.57</v>
      </c>
      <c r="AK578" s="41">
        <v>1.5549999999999999</v>
      </c>
      <c r="AL578" s="41"/>
      <c r="AM578" s="41"/>
      <c r="AN578" s="41"/>
      <c r="AO578" s="41"/>
      <c r="AP578" s="41"/>
      <c r="AQ578" s="41"/>
      <c r="AR578" s="41">
        <v>1.427</v>
      </c>
      <c r="AS578" s="41">
        <v>1.401</v>
      </c>
      <c r="AT578" s="41">
        <v>1.4219999999999999</v>
      </c>
      <c r="AU578" s="41">
        <v>1.3380000000000001</v>
      </c>
      <c r="AV578" s="41"/>
      <c r="AW578" s="41">
        <v>1.34</v>
      </c>
      <c r="AX578" s="41"/>
      <c r="AY578" s="41">
        <v>1.4179999999999999</v>
      </c>
      <c r="AZ578" s="41"/>
      <c r="BA578" s="41"/>
      <c r="BB578" s="41"/>
      <c r="BC578" s="41">
        <v>1.65</v>
      </c>
      <c r="BD578" s="41">
        <v>1.7907</v>
      </c>
      <c r="BE578" s="41">
        <v>1.8653</v>
      </c>
      <c r="BF578" s="41">
        <v>1.9258999999999999</v>
      </c>
      <c r="BG578" s="41">
        <v>2.0003000000000002</v>
      </c>
      <c r="BH578" s="41"/>
      <c r="BI578" s="41"/>
      <c r="BJ578" s="41"/>
      <c r="BK578" s="41"/>
      <c r="BL578" s="41"/>
      <c r="BM578" s="41"/>
      <c r="BN578" s="41">
        <f t="shared" si="10"/>
        <v>2.0003000000000002</v>
      </c>
    </row>
    <row r="579" spans="2:66" hidden="1" outlineLevel="1" x14ac:dyDescent="0.35">
      <c r="B579" s="41" t="s">
        <v>330</v>
      </c>
      <c r="C579" s="41" t="s">
        <v>16</v>
      </c>
      <c r="D579" s="41" t="s">
        <v>746</v>
      </c>
      <c r="E579" s="41" t="s">
        <v>745</v>
      </c>
      <c r="F579" s="41"/>
      <c r="G579" s="41"/>
      <c r="H579" s="41"/>
      <c r="I579" s="41"/>
      <c r="J579" s="41"/>
      <c r="K579" s="41"/>
      <c r="L579" s="41"/>
      <c r="M579" s="41"/>
      <c r="N579" s="41"/>
      <c r="O579" s="41"/>
      <c r="P579" s="41"/>
      <c r="Q579" s="41"/>
      <c r="R579" s="41"/>
      <c r="S579" s="41"/>
      <c r="T579" s="41"/>
      <c r="U579" s="41"/>
      <c r="V579" s="41"/>
      <c r="W579" s="41"/>
      <c r="X579" s="41"/>
      <c r="Y579" s="41"/>
      <c r="Z579" s="41">
        <v>2.9620000000000002</v>
      </c>
      <c r="AA579" s="41"/>
      <c r="AB579" s="41"/>
      <c r="AC579" s="41"/>
      <c r="AD579" s="41"/>
      <c r="AE579" s="41">
        <v>3.3290000000000002</v>
      </c>
      <c r="AF579" s="41">
        <v>3.375</v>
      </c>
      <c r="AG579" s="41">
        <v>3.4449999999999998</v>
      </c>
      <c r="AH579" s="41">
        <v>3.512</v>
      </c>
      <c r="AI579" s="41">
        <v>3.5760000000000001</v>
      </c>
      <c r="AJ579" s="41">
        <v>3.56</v>
      </c>
      <c r="AK579" s="41">
        <v>3.5760000000000001</v>
      </c>
      <c r="AL579" s="41">
        <v>3.6379999999999999</v>
      </c>
      <c r="AM579" s="41">
        <v>4.0759999999999996</v>
      </c>
      <c r="AN579" s="41">
        <v>4.1420000000000003</v>
      </c>
      <c r="AO579" s="41">
        <v>4.1550000000000002</v>
      </c>
      <c r="AP579" s="41">
        <v>4.2859999999999996</v>
      </c>
      <c r="AQ579" s="41">
        <v>4.3650000000000002</v>
      </c>
      <c r="AR579" s="41">
        <v>4.431</v>
      </c>
      <c r="AS579" s="41">
        <v>4.5510000000000002</v>
      </c>
      <c r="AT579" s="41">
        <v>4.5789999999999997</v>
      </c>
      <c r="AU579" s="41">
        <v>4.4969999999999999</v>
      </c>
      <c r="AV579" s="41">
        <v>4.5259999999999998</v>
      </c>
      <c r="AW579" s="41">
        <v>4.55</v>
      </c>
      <c r="AX579" s="41">
        <v>4.6219999999999999</v>
      </c>
      <c r="AY579" s="41">
        <v>4.68</v>
      </c>
      <c r="AZ579" s="41">
        <v>4.78</v>
      </c>
      <c r="BA579" s="41">
        <v>4.8689999999999998</v>
      </c>
      <c r="BB579" s="41">
        <v>4.9800000000000004</v>
      </c>
      <c r="BC579" s="41">
        <v>3.702</v>
      </c>
      <c r="BD579" s="41">
        <v>3.5179</v>
      </c>
      <c r="BE579" s="41">
        <v>3.7953000000000001</v>
      </c>
      <c r="BF579" s="41">
        <v>3.8809</v>
      </c>
      <c r="BG579" s="41">
        <v>3.9331</v>
      </c>
      <c r="BH579" s="41">
        <v>4.0772000000000004</v>
      </c>
      <c r="BI579" s="41"/>
      <c r="BJ579" s="41"/>
      <c r="BK579" s="41"/>
      <c r="BL579" s="41"/>
      <c r="BM579" s="41"/>
      <c r="BN579" s="41">
        <f t="shared" si="10"/>
        <v>4.0772000000000004</v>
      </c>
    </row>
    <row r="580" spans="2:66" hidden="1" outlineLevel="1" x14ac:dyDescent="0.35">
      <c r="B580" s="41" t="s">
        <v>332</v>
      </c>
      <c r="C580" s="41" t="s">
        <v>17</v>
      </c>
      <c r="D580" s="41" t="s">
        <v>746</v>
      </c>
      <c r="E580" s="41" t="s">
        <v>745</v>
      </c>
      <c r="F580" s="41">
        <v>0.24199999999999999</v>
      </c>
      <c r="G580" s="41"/>
      <c r="H580" s="41"/>
      <c r="I580" s="41"/>
      <c r="J580" s="41"/>
      <c r="K580" s="41"/>
      <c r="L580" s="41"/>
      <c r="M580" s="41"/>
      <c r="N580" s="41"/>
      <c r="O580" s="41"/>
      <c r="P580" s="41">
        <v>0.34200000000000003</v>
      </c>
      <c r="Q580" s="41"/>
      <c r="R580" s="41"/>
      <c r="S580" s="41"/>
      <c r="T580" s="41"/>
      <c r="U580" s="41"/>
      <c r="V580" s="41"/>
      <c r="W580" s="41"/>
      <c r="X580" s="41"/>
      <c r="Y580" s="41"/>
      <c r="Z580" s="41"/>
      <c r="AA580" s="41"/>
      <c r="AB580" s="41"/>
      <c r="AC580" s="41"/>
      <c r="AD580" s="41">
        <v>0.27200000000000002</v>
      </c>
      <c r="AE580" s="41"/>
      <c r="AF580" s="41">
        <v>0.45100000000000001</v>
      </c>
      <c r="AG580" s="41"/>
      <c r="AH580" s="41">
        <v>0.47199999999999998</v>
      </c>
      <c r="AI580" s="41"/>
      <c r="AJ580" s="41">
        <v>0.63900000000000001</v>
      </c>
      <c r="AK580" s="41"/>
      <c r="AL580" s="41"/>
      <c r="AM580" s="41">
        <v>0.49299999999999999</v>
      </c>
      <c r="AN580" s="41"/>
      <c r="AO580" s="41">
        <v>0.6</v>
      </c>
      <c r="AP580" s="41">
        <v>0.54800000000000004</v>
      </c>
      <c r="AQ580" s="41"/>
      <c r="AR580" s="41"/>
      <c r="AS580" s="41"/>
      <c r="AT580" s="41">
        <v>1.0149999999999999</v>
      </c>
      <c r="AU580" s="41"/>
      <c r="AV580" s="41"/>
      <c r="AW580" s="41"/>
      <c r="AX580" s="41"/>
      <c r="AY580" s="41"/>
      <c r="AZ580" s="41"/>
      <c r="BA580" s="41"/>
      <c r="BB580" s="41"/>
      <c r="BC580" s="41">
        <v>0.76780000000000004</v>
      </c>
      <c r="BD580" s="41">
        <v>0.82799999999999996</v>
      </c>
      <c r="BE580" s="41"/>
      <c r="BF580" s="41">
        <v>1.1494</v>
      </c>
      <c r="BG580" s="41"/>
      <c r="BH580" s="41"/>
      <c r="BI580" s="41"/>
      <c r="BJ580" s="41"/>
      <c r="BK580" s="41">
        <v>1.1262000000000001</v>
      </c>
      <c r="BL580" s="41"/>
      <c r="BM580" s="41"/>
      <c r="BN580" s="41">
        <f t="shared" si="10"/>
        <v>1.1262000000000001</v>
      </c>
    </row>
    <row r="581" spans="2:66" hidden="1" outlineLevel="1" x14ac:dyDescent="0.35">
      <c r="B581" s="41" t="s">
        <v>333</v>
      </c>
      <c r="C581" s="41" t="s">
        <v>334</v>
      </c>
      <c r="D581" s="41" t="s">
        <v>746</v>
      </c>
      <c r="E581" s="41" t="s">
        <v>745</v>
      </c>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v>1.2</v>
      </c>
      <c r="AP581" s="41"/>
      <c r="AQ581" s="41">
        <v>1.766</v>
      </c>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f t="shared" si="10"/>
        <v>1.766</v>
      </c>
    </row>
    <row r="582" spans="2:66" hidden="1" outlineLevel="1" x14ac:dyDescent="0.35">
      <c r="B582" s="41" t="s">
        <v>219</v>
      </c>
      <c r="C582" s="41" t="s">
        <v>18</v>
      </c>
      <c r="D582" s="41" t="s">
        <v>746</v>
      </c>
      <c r="E582" s="41" t="s">
        <v>745</v>
      </c>
      <c r="F582" s="41">
        <v>0.26700000000000002</v>
      </c>
      <c r="G582" s="41"/>
      <c r="H582" s="41"/>
      <c r="I582" s="41"/>
      <c r="J582" s="41"/>
      <c r="K582" s="41">
        <v>0.311</v>
      </c>
      <c r="L582" s="41"/>
      <c r="M582" s="41"/>
      <c r="N582" s="41"/>
      <c r="O582" s="41"/>
      <c r="P582" s="41">
        <v>0.50900000000000001</v>
      </c>
      <c r="Q582" s="41"/>
      <c r="R582" s="41"/>
      <c r="S582" s="41"/>
      <c r="T582" s="41"/>
      <c r="U582" s="41">
        <v>0.49</v>
      </c>
      <c r="V582" s="41"/>
      <c r="W582" s="41"/>
      <c r="X582" s="41"/>
      <c r="Y582" s="41"/>
      <c r="Z582" s="41"/>
      <c r="AA582" s="41">
        <v>0.52300000000000002</v>
      </c>
      <c r="AB582" s="41"/>
      <c r="AC582" s="41"/>
      <c r="AD582" s="41">
        <v>0.69699999999999995</v>
      </c>
      <c r="AE582" s="41"/>
      <c r="AF582" s="41"/>
      <c r="AG582" s="41"/>
      <c r="AH582" s="41"/>
      <c r="AI582" s="41"/>
      <c r="AJ582" s="41">
        <v>0.45</v>
      </c>
      <c r="AK582" s="41"/>
      <c r="AL582" s="41"/>
      <c r="AM582" s="41">
        <v>0.42599999999999999</v>
      </c>
      <c r="AN582" s="41"/>
      <c r="AO582" s="41">
        <v>0.34</v>
      </c>
      <c r="AP582" s="41"/>
      <c r="AQ582" s="41">
        <v>1.2989999999999999</v>
      </c>
      <c r="AR582" s="41"/>
      <c r="AS582" s="41"/>
      <c r="AT582" s="41"/>
      <c r="AU582" s="41">
        <v>1.2157</v>
      </c>
      <c r="AV582" s="41"/>
      <c r="AW582" s="41"/>
      <c r="AX582" s="41"/>
      <c r="AY582" s="41"/>
      <c r="AZ582" s="41"/>
      <c r="BA582" s="41">
        <v>0.33579999999999999</v>
      </c>
      <c r="BB582" s="41"/>
      <c r="BC582" s="41"/>
      <c r="BD582" s="41">
        <v>0.44419999999999998</v>
      </c>
      <c r="BE582" s="41">
        <v>0.47339999999999999</v>
      </c>
      <c r="BF582" s="41"/>
      <c r="BG582" s="41"/>
      <c r="BH582" s="41"/>
      <c r="BI582" s="41"/>
      <c r="BJ582" s="41">
        <v>1.6111</v>
      </c>
      <c r="BK582" s="41"/>
      <c r="BL582" s="41"/>
      <c r="BM582" s="41"/>
      <c r="BN582" s="41">
        <f t="shared" si="10"/>
        <v>1.6111</v>
      </c>
    </row>
    <row r="583" spans="2:66" hidden="1" outlineLevel="1" x14ac:dyDescent="0.35">
      <c r="B583" s="41" t="s">
        <v>336</v>
      </c>
      <c r="C583" s="41" t="s">
        <v>19</v>
      </c>
      <c r="D583" s="41" t="s">
        <v>746</v>
      </c>
      <c r="E583" s="41" t="s">
        <v>745</v>
      </c>
      <c r="F583" s="41">
        <v>0.374</v>
      </c>
      <c r="G583" s="41"/>
      <c r="H583" s="41"/>
      <c r="I583" s="41"/>
      <c r="J583" s="41"/>
      <c r="K583" s="41">
        <v>0.4</v>
      </c>
      <c r="L583" s="41"/>
      <c r="M583" s="41"/>
      <c r="N583" s="41"/>
      <c r="O583" s="41"/>
      <c r="P583" s="41">
        <v>0.49199999999999999</v>
      </c>
      <c r="Q583" s="41"/>
      <c r="R583" s="41"/>
      <c r="S583" s="41"/>
      <c r="T583" s="41"/>
      <c r="U583" s="41">
        <v>0.624</v>
      </c>
      <c r="V583" s="41"/>
      <c r="W583" s="41"/>
      <c r="X583" s="41"/>
      <c r="Y583" s="41"/>
      <c r="Z583" s="41"/>
      <c r="AA583" s="41">
        <v>0.76700000000000002</v>
      </c>
      <c r="AB583" s="41"/>
      <c r="AC583" s="41"/>
      <c r="AD583" s="41">
        <v>0.92700000000000005</v>
      </c>
      <c r="AE583" s="41">
        <v>1.4670000000000001</v>
      </c>
      <c r="AF583" s="41"/>
      <c r="AG583" s="41"/>
      <c r="AH583" s="41">
        <v>1.1850000000000001</v>
      </c>
      <c r="AI583" s="41"/>
      <c r="AJ583" s="41">
        <v>1.0839000000000001</v>
      </c>
      <c r="AK583" s="41">
        <v>0.998</v>
      </c>
      <c r="AL583" s="41">
        <v>1.1376999999999999</v>
      </c>
      <c r="AM583" s="41">
        <v>1.1651</v>
      </c>
      <c r="AN583" s="41">
        <v>1.1932</v>
      </c>
      <c r="AO583" s="41">
        <v>1.2229000000000001</v>
      </c>
      <c r="AP583" s="41">
        <v>1.2532000000000001</v>
      </c>
      <c r="AQ583" s="41">
        <v>1.2885</v>
      </c>
      <c r="AR583" s="41">
        <v>1.2729999999999999</v>
      </c>
      <c r="AS583" s="41">
        <v>1.3698999999999999</v>
      </c>
      <c r="AT583" s="41">
        <v>1.1304000000000001</v>
      </c>
      <c r="AU583" s="41">
        <v>1.3852</v>
      </c>
      <c r="AV583" s="41">
        <v>1.4133</v>
      </c>
      <c r="AW583" s="41">
        <v>1.4696</v>
      </c>
      <c r="AX583" s="41">
        <v>1.5807</v>
      </c>
      <c r="AY583" s="41">
        <v>1.6592</v>
      </c>
      <c r="AZ583" s="41">
        <v>1.6931</v>
      </c>
      <c r="BA583" s="41">
        <v>1.7224999999999999</v>
      </c>
      <c r="BB583" s="41">
        <v>1.7714000000000001</v>
      </c>
      <c r="BC583" s="41">
        <v>1.8077000000000001</v>
      </c>
      <c r="BD583" s="41">
        <v>1.8039000000000001</v>
      </c>
      <c r="BE583" s="41">
        <v>1.8382000000000001</v>
      </c>
      <c r="BF583" s="41"/>
      <c r="BG583" s="41">
        <v>1.8693</v>
      </c>
      <c r="BH583" s="41"/>
      <c r="BI583" s="41"/>
      <c r="BJ583" s="41"/>
      <c r="BK583" s="41">
        <v>2.1501999999999999</v>
      </c>
      <c r="BL583" s="41">
        <v>2.1499000000000001</v>
      </c>
      <c r="BM583" s="41"/>
      <c r="BN583" s="41">
        <f t="shared" si="10"/>
        <v>2.1499000000000001</v>
      </c>
    </row>
    <row r="584" spans="2:66" hidden="1" outlineLevel="1" x14ac:dyDescent="0.35">
      <c r="B584" s="41" t="s">
        <v>328</v>
      </c>
      <c r="C584" s="41" t="s">
        <v>329</v>
      </c>
      <c r="D584" s="41" t="s">
        <v>746</v>
      </c>
      <c r="E584" s="41" t="s">
        <v>745</v>
      </c>
      <c r="F584" s="41">
        <v>0.32900000000000001</v>
      </c>
      <c r="G584" s="41"/>
      <c r="H584" s="41"/>
      <c r="I584" s="41"/>
      <c r="J584" s="41"/>
      <c r="K584" s="41"/>
      <c r="L584" s="41"/>
      <c r="M584" s="41"/>
      <c r="N584" s="41"/>
      <c r="O584" s="41"/>
      <c r="P584" s="41">
        <v>0.52300000000000002</v>
      </c>
      <c r="Q584" s="41"/>
      <c r="R584" s="41"/>
      <c r="S584" s="41"/>
      <c r="T584" s="41"/>
      <c r="U584" s="41"/>
      <c r="V584" s="41"/>
      <c r="W584" s="41"/>
      <c r="X584" s="41"/>
      <c r="Y584" s="41"/>
      <c r="Z584" s="41"/>
      <c r="AA584" s="41"/>
      <c r="AB584" s="41"/>
      <c r="AC584" s="41"/>
      <c r="AD584" s="41">
        <v>0.89100000000000001</v>
      </c>
      <c r="AE584" s="41"/>
      <c r="AF584" s="41"/>
      <c r="AG584" s="41"/>
      <c r="AH584" s="41"/>
      <c r="AI584" s="41"/>
      <c r="AJ584" s="41">
        <v>1.1399999999999999</v>
      </c>
      <c r="AK584" s="41"/>
      <c r="AL584" s="41"/>
      <c r="AM584" s="41">
        <v>1.254</v>
      </c>
      <c r="AN584" s="41"/>
      <c r="AO584" s="41">
        <v>1.3509</v>
      </c>
      <c r="AP584" s="41"/>
      <c r="AQ584" s="41"/>
      <c r="AR584" s="41"/>
      <c r="AS584" s="41">
        <v>1.21</v>
      </c>
      <c r="AT584" s="41">
        <v>1.3529</v>
      </c>
      <c r="AU584" s="41">
        <v>1.5515000000000001</v>
      </c>
      <c r="AV584" s="41"/>
      <c r="AW584" s="41"/>
      <c r="AX584" s="41"/>
      <c r="AY584" s="41">
        <v>1.7847</v>
      </c>
      <c r="AZ584" s="41"/>
      <c r="BA584" s="41"/>
      <c r="BB584" s="41"/>
      <c r="BC584" s="41"/>
      <c r="BD584" s="41">
        <v>1.8109999999999999</v>
      </c>
      <c r="BE584" s="41"/>
      <c r="BF584" s="41"/>
      <c r="BG584" s="41"/>
      <c r="BH584" s="41"/>
      <c r="BI584" s="41"/>
      <c r="BJ584" s="41"/>
      <c r="BK584" s="41">
        <v>2.4885999999999999</v>
      </c>
      <c r="BL584" s="41"/>
      <c r="BM584" s="41"/>
      <c r="BN584" s="41">
        <f t="shared" si="10"/>
        <v>2.4885999999999999</v>
      </c>
    </row>
    <row r="585" spans="2:66" hidden="1" outlineLevel="1" x14ac:dyDescent="0.35">
      <c r="B585" s="41" t="s">
        <v>339</v>
      </c>
      <c r="C585" s="41" t="s">
        <v>20</v>
      </c>
      <c r="D585" s="41" t="s">
        <v>746</v>
      </c>
      <c r="E585" s="41" t="s">
        <v>745</v>
      </c>
      <c r="F585" s="41">
        <v>0.14599999999999999</v>
      </c>
      <c r="G585" s="41"/>
      <c r="H585" s="41"/>
      <c r="I585" s="41"/>
      <c r="J585" s="41"/>
      <c r="K585" s="41"/>
      <c r="L585" s="41"/>
      <c r="M585" s="41"/>
      <c r="N585" s="41"/>
      <c r="O585" s="41"/>
      <c r="P585" s="41">
        <v>0.3</v>
      </c>
      <c r="Q585" s="41"/>
      <c r="R585" s="41"/>
      <c r="S585" s="41"/>
      <c r="T585" s="41"/>
      <c r="U585" s="41"/>
      <c r="V585" s="41"/>
      <c r="W585" s="41"/>
      <c r="X585" s="41"/>
      <c r="Y585" s="41"/>
      <c r="Z585" s="41">
        <v>0.435</v>
      </c>
      <c r="AA585" s="41">
        <v>0.48699999999999999</v>
      </c>
      <c r="AB585" s="41"/>
      <c r="AC585" s="41"/>
      <c r="AD585" s="41">
        <v>0.53400000000000003</v>
      </c>
      <c r="AE585" s="41"/>
      <c r="AF585" s="41"/>
      <c r="AG585" s="41"/>
      <c r="AH585" s="41"/>
      <c r="AI585" s="41"/>
      <c r="AJ585" s="41"/>
      <c r="AK585" s="41">
        <v>0.746</v>
      </c>
      <c r="AL585" s="41"/>
      <c r="AM585" s="41"/>
      <c r="AN585" s="41"/>
      <c r="AO585" s="41"/>
      <c r="AP585" s="41">
        <v>0.84799999999999998</v>
      </c>
      <c r="AQ585" s="41"/>
      <c r="AR585" s="41"/>
      <c r="AS585" s="41"/>
      <c r="AT585" s="41">
        <v>1.0084</v>
      </c>
      <c r="AU585" s="41"/>
      <c r="AV585" s="41">
        <v>1.1531</v>
      </c>
      <c r="AW585" s="41"/>
      <c r="AX585" s="41">
        <v>1.2879</v>
      </c>
      <c r="AY585" s="41">
        <v>1.0679000000000001</v>
      </c>
      <c r="AZ585" s="41">
        <v>1.0774999999999999</v>
      </c>
      <c r="BA585" s="41">
        <v>1.0483</v>
      </c>
      <c r="BB585" s="41">
        <v>1.4869000000000001</v>
      </c>
      <c r="BC585" s="41">
        <v>1.1595</v>
      </c>
      <c r="BD585" s="41">
        <v>1.4483999999999999</v>
      </c>
      <c r="BE585" s="41">
        <v>1.5430999999999999</v>
      </c>
      <c r="BF585" s="41">
        <v>1.4911000000000001</v>
      </c>
      <c r="BG585" s="41">
        <v>1.617</v>
      </c>
      <c r="BH585" s="41">
        <v>1.5035000000000001</v>
      </c>
      <c r="BI585" s="41">
        <v>1.7701</v>
      </c>
      <c r="BJ585" s="41"/>
      <c r="BK585" s="41"/>
      <c r="BL585" s="41"/>
      <c r="BM585" s="41"/>
      <c r="BN585" s="41">
        <f t="shared" si="10"/>
        <v>1.7701</v>
      </c>
    </row>
    <row r="586" spans="2:66" hidden="1" outlineLevel="1" x14ac:dyDescent="0.35">
      <c r="B586" s="41" t="s">
        <v>241</v>
      </c>
      <c r="C586" s="41" t="s">
        <v>21</v>
      </c>
      <c r="D586" s="41" t="s">
        <v>746</v>
      </c>
      <c r="E586" s="41" t="s">
        <v>745</v>
      </c>
      <c r="F586" s="41"/>
      <c r="G586" s="41"/>
      <c r="H586" s="41"/>
      <c r="I586" s="41"/>
      <c r="J586" s="41"/>
      <c r="K586" s="41"/>
      <c r="L586" s="41"/>
      <c r="M586" s="41"/>
      <c r="N586" s="41"/>
      <c r="O586" s="41"/>
      <c r="P586" s="41"/>
      <c r="Q586" s="41"/>
      <c r="R586" s="41"/>
      <c r="S586" s="41"/>
      <c r="T586" s="41"/>
      <c r="U586" s="41"/>
      <c r="V586" s="41"/>
      <c r="W586" s="41"/>
      <c r="X586" s="41"/>
      <c r="Y586" s="41"/>
      <c r="Z586" s="41"/>
      <c r="AA586" s="41">
        <v>0.125</v>
      </c>
      <c r="AB586" s="41">
        <v>0.10199999999999999</v>
      </c>
      <c r="AC586" s="41"/>
      <c r="AD586" s="41"/>
      <c r="AE586" s="41"/>
      <c r="AF586" s="41"/>
      <c r="AG586" s="41"/>
      <c r="AH586" s="41"/>
      <c r="AI586" s="41"/>
      <c r="AJ586" s="41">
        <v>0.33300000000000002</v>
      </c>
      <c r="AK586" s="41"/>
      <c r="AL586" s="41"/>
      <c r="AM586" s="41"/>
      <c r="AN586" s="41">
        <v>0.17</v>
      </c>
      <c r="AO586" s="41">
        <v>0.16</v>
      </c>
      <c r="AP586" s="41"/>
      <c r="AQ586" s="41"/>
      <c r="AR586" s="41"/>
      <c r="AS586" s="41">
        <v>5.0999999999999997E-2</v>
      </c>
      <c r="AT586" s="41"/>
      <c r="AU586" s="41"/>
      <c r="AV586" s="41"/>
      <c r="AW586" s="41"/>
      <c r="AX586" s="41">
        <v>0.18429999999999999</v>
      </c>
      <c r="AY586" s="41"/>
      <c r="AZ586" s="41"/>
      <c r="BA586" s="41">
        <v>0.20960000000000001</v>
      </c>
      <c r="BB586" s="41">
        <v>0.24390000000000001</v>
      </c>
      <c r="BC586" s="41"/>
      <c r="BD586" s="41">
        <v>2.3E-2</v>
      </c>
      <c r="BE586" s="41"/>
      <c r="BF586" s="41">
        <v>0.2576</v>
      </c>
      <c r="BG586" s="41">
        <v>0.26540000000000002</v>
      </c>
      <c r="BH586" s="41">
        <v>0.31419999999999998</v>
      </c>
      <c r="BI586" s="41">
        <v>0.31879999999999997</v>
      </c>
      <c r="BJ586" s="41">
        <v>0.37480000000000002</v>
      </c>
      <c r="BK586" s="41">
        <v>0.3715</v>
      </c>
      <c r="BL586" s="41"/>
      <c r="BM586" s="41"/>
      <c r="BN586" s="41">
        <f t="shared" si="10"/>
        <v>0.3715</v>
      </c>
    </row>
    <row r="587" spans="2:66" hidden="1" outlineLevel="1" x14ac:dyDescent="0.35">
      <c r="B587" s="41" t="s">
        <v>184</v>
      </c>
      <c r="C587" s="41" t="s">
        <v>22</v>
      </c>
      <c r="D587" s="41" t="s">
        <v>746</v>
      </c>
      <c r="E587" s="41" t="s">
        <v>745</v>
      </c>
      <c r="F587" s="41">
        <v>4.2000000000000003E-2</v>
      </c>
      <c r="G587" s="41"/>
      <c r="H587" s="41"/>
      <c r="I587" s="41"/>
      <c r="J587" s="41"/>
      <c r="K587" s="41">
        <v>3.5999999999999997E-2</v>
      </c>
      <c r="L587" s="41"/>
      <c r="M587" s="41"/>
      <c r="N587" s="41"/>
      <c r="O587" s="41"/>
      <c r="P587" s="41">
        <v>6.4000000000000001E-2</v>
      </c>
      <c r="Q587" s="41"/>
      <c r="R587" s="41"/>
      <c r="S587" s="41"/>
      <c r="T587" s="41"/>
      <c r="U587" s="41">
        <v>0.13300000000000001</v>
      </c>
      <c r="V587" s="41"/>
      <c r="W587" s="41"/>
      <c r="X587" s="41"/>
      <c r="Y587" s="41"/>
      <c r="Z587" s="41">
        <v>0.123</v>
      </c>
      <c r="AA587" s="41">
        <v>0.13400000000000001</v>
      </c>
      <c r="AB587" s="41"/>
      <c r="AC587" s="41">
        <v>0.14399999999999999</v>
      </c>
      <c r="AD587" s="41"/>
      <c r="AE587" s="41"/>
      <c r="AF587" s="41"/>
      <c r="AG587" s="41"/>
      <c r="AH587" s="41">
        <v>0.2</v>
      </c>
      <c r="AI587" s="41">
        <v>0.19400000000000001</v>
      </c>
      <c r="AJ587" s="41"/>
      <c r="AK587" s="41"/>
      <c r="AL587" s="41"/>
      <c r="AM587" s="41">
        <v>0.19400000000000001</v>
      </c>
      <c r="AN587" s="41">
        <v>0.23799999999999999</v>
      </c>
      <c r="AO587" s="41"/>
      <c r="AP587" s="41"/>
      <c r="AQ587" s="41"/>
      <c r="AR587" s="41">
        <v>0.254</v>
      </c>
      <c r="AS587" s="41">
        <v>0.29830000000000001</v>
      </c>
      <c r="AT587" s="41">
        <v>0.28870000000000001</v>
      </c>
      <c r="AU587" s="41">
        <v>0.29060000000000002</v>
      </c>
      <c r="AV587" s="41">
        <v>0.30109999999999998</v>
      </c>
      <c r="AW587" s="41">
        <v>0.29149999999999998</v>
      </c>
      <c r="AX587" s="41">
        <v>0.39090000000000003</v>
      </c>
      <c r="AY587" s="41">
        <v>0.25109999999999999</v>
      </c>
      <c r="AZ587" s="41">
        <v>0.31369999999999998</v>
      </c>
      <c r="BA587" s="41">
        <v>0.37040000000000001</v>
      </c>
      <c r="BB587" s="41">
        <v>0.3679</v>
      </c>
      <c r="BC587" s="41">
        <v>0.35</v>
      </c>
      <c r="BD587" s="41">
        <v>0.40649999999999997</v>
      </c>
      <c r="BE587" s="41">
        <v>0.39929999999999999</v>
      </c>
      <c r="BF587" s="41">
        <v>0.39200000000000002</v>
      </c>
      <c r="BG587" s="41"/>
      <c r="BH587" s="41"/>
      <c r="BI587" s="41"/>
      <c r="BJ587" s="41">
        <v>0.36880000000000002</v>
      </c>
      <c r="BK587" s="41"/>
      <c r="BL587" s="41"/>
      <c r="BM587" s="41"/>
      <c r="BN587" s="41">
        <f t="shared" si="10"/>
        <v>0.36880000000000002</v>
      </c>
    </row>
    <row r="588" spans="2:66" hidden="1" outlineLevel="1" x14ac:dyDescent="0.35">
      <c r="B588" s="41" t="s">
        <v>188</v>
      </c>
      <c r="C588" s="41" t="s">
        <v>173</v>
      </c>
      <c r="D588" s="41" t="s">
        <v>746</v>
      </c>
      <c r="E588" s="41" t="s">
        <v>745</v>
      </c>
      <c r="F588" s="41">
        <v>0.02</v>
      </c>
      <c r="G588" s="41"/>
      <c r="H588" s="41"/>
      <c r="I588" s="41"/>
      <c r="J588" s="41"/>
      <c r="K588" s="41">
        <v>0.03</v>
      </c>
      <c r="L588" s="41"/>
      <c r="M588" s="41"/>
      <c r="N588" s="41"/>
      <c r="O588" s="41"/>
      <c r="P588" s="41">
        <v>2.3E-2</v>
      </c>
      <c r="Q588" s="41"/>
      <c r="R588" s="41"/>
      <c r="S588" s="41"/>
      <c r="T588" s="41"/>
      <c r="U588" s="41"/>
      <c r="V588" s="41"/>
      <c r="W588" s="41"/>
      <c r="X588" s="41"/>
      <c r="Y588" s="41"/>
      <c r="Z588" s="41">
        <v>4.2999999999999997E-2</v>
      </c>
      <c r="AA588" s="41">
        <v>4.3999999999999997E-2</v>
      </c>
      <c r="AB588" s="41">
        <v>4.2999999999999997E-2</v>
      </c>
      <c r="AC588" s="41"/>
      <c r="AD588" s="41"/>
      <c r="AE588" s="41"/>
      <c r="AF588" s="41"/>
      <c r="AG588" s="41"/>
      <c r="AH588" s="41"/>
      <c r="AI588" s="41">
        <v>3.9E-2</v>
      </c>
      <c r="AJ588" s="41">
        <v>3.7999999999999999E-2</v>
      </c>
      <c r="AK588" s="41"/>
      <c r="AL588" s="41"/>
      <c r="AM588" s="41">
        <v>5.5E-2</v>
      </c>
      <c r="AN588" s="41"/>
      <c r="AO588" s="41">
        <v>3.5000000000000003E-2</v>
      </c>
      <c r="AP588" s="41"/>
      <c r="AQ588" s="41"/>
      <c r="AR588" s="41"/>
      <c r="AS588" s="41"/>
      <c r="AT588" s="41"/>
      <c r="AU588" s="41"/>
      <c r="AV588" s="41"/>
      <c r="AW588" s="41"/>
      <c r="AX588" s="41">
        <v>8.1600000000000006E-2</v>
      </c>
      <c r="AY588" s="41"/>
      <c r="AZ588" s="41"/>
      <c r="BA588" s="41"/>
      <c r="BB588" s="41">
        <v>3.9800000000000002E-2</v>
      </c>
      <c r="BC588" s="41">
        <v>4.65E-2</v>
      </c>
      <c r="BD588" s="41"/>
      <c r="BE588" s="41"/>
      <c r="BF588" s="41"/>
      <c r="BG588" s="41"/>
      <c r="BH588" s="41"/>
      <c r="BI588" s="41">
        <v>6.2899999999999998E-2</v>
      </c>
      <c r="BJ588" s="41"/>
      <c r="BK588" s="41"/>
      <c r="BL588" s="41"/>
      <c r="BM588" s="41"/>
      <c r="BN588" s="41">
        <f t="shared" si="10"/>
        <v>6.2899999999999998E-2</v>
      </c>
    </row>
    <row r="589" spans="2:66" hidden="1" outlineLevel="1" x14ac:dyDescent="0.35">
      <c r="B589" s="41" t="s">
        <v>342</v>
      </c>
      <c r="C589" s="41" t="s">
        <v>159</v>
      </c>
      <c r="D589" s="41" t="s">
        <v>746</v>
      </c>
      <c r="E589" s="41" t="s">
        <v>745</v>
      </c>
      <c r="F589" s="41"/>
      <c r="G589" s="41">
        <v>1.1000000000000001</v>
      </c>
      <c r="H589" s="41">
        <v>1.2</v>
      </c>
      <c r="I589" s="41">
        <v>1.3</v>
      </c>
      <c r="J589" s="41">
        <v>1.3</v>
      </c>
      <c r="K589" s="41">
        <v>1.3</v>
      </c>
      <c r="L589" s="41">
        <v>1.3</v>
      </c>
      <c r="M589" s="41">
        <v>1.3</v>
      </c>
      <c r="N589" s="41">
        <v>1.3</v>
      </c>
      <c r="O589" s="41">
        <v>1.4</v>
      </c>
      <c r="P589" s="41">
        <v>1.4</v>
      </c>
      <c r="Q589" s="41">
        <v>1.5</v>
      </c>
      <c r="R589" s="41">
        <v>1.6</v>
      </c>
      <c r="S589" s="41">
        <v>1.6</v>
      </c>
      <c r="T589" s="41">
        <v>1.6</v>
      </c>
      <c r="U589" s="41">
        <v>1.7</v>
      </c>
      <c r="V589" s="41">
        <v>1.7</v>
      </c>
      <c r="W589" s="41">
        <v>1.7</v>
      </c>
      <c r="X589" s="41">
        <v>1.8</v>
      </c>
      <c r="Y589" s="41">
        <v>1.8</v>
      </c>
      <c r="Z589" s="41">
        <v>1.8</v>
      </c>
      <c r="AA589" s="41">
        <v>1.8</v>
      </c>
      <c r="AB589" s="41">
        <v>1.9</v>
      </c>
      <c r="AC589" s="41">
        <v>1.9</v>
      </c>
      <c r="AD589" s="41">
        <v>1.9</v>
      </c>
      <c r="AE589" s="41">
        <v>2</v>
      </c>
      <c r="AF589" s="41">
        <v>2</v>
      </c>
      <c r="AG589" s="41">
        <v>2.1</v>
      </c>
      <c r="AH589" s="41">
        <v>2.1</v>
      </c>
      <c r="AI589" s="41">
        <v>2.1</v>
      </c>
      <c r="AJ589" s="41">
        <v>2.1</v>
      </c>
      <c r="AK589" s="41">
        <v>2.1</v>
      </c>
      <c r="AL589" s="41">
        <v>2.1</v>
      </c>
      <c r="AM589" s="41">
        <v>2.2000000000000002</v>
      </c>
      <c r="AN589" s="41">
        <v>2.1</v>
      </c>
      <c r="AO589" s="41">
        <v>2.1</v>
      </c>
      <c r="AP589" s="41">
        <v>2.1</v>
      </c>
      <c r="AQ589" s="41">
        <v>2.1</v>
      </c>
      <c r="AR589" s="41">
        <v>1.8611</v>
      </c>
      <c r="AS589" s="41">
        <v>2.1</v>
      </c>
      <c r="AT589" s="41"/>
      <c r="AU589" s="41">
        <v>1.8871</v>
      </c>
      <c r="AV589" s="41">
        <v>1.8969</v>
      </c>
      <c r="AW589" s="41"/>
      <c r="AX589" s="41">
        <v>1.8971</v>
      </c>
      <c r="AY589" s="41"/>
      <c r="AZ589" s="41">
        <v>1.9086000000000001</v>
      </c>
      <c r="BA589" s="41"/>
      <c r="BB589" s="41">
        <v>1.9590000000000001</v>
      </c>
      <c r="BC589" s="41"/>
      <c r="BD589" s="41">
        <v>2.0384000000000002</v>
      </c>
      <c r="BE589" s="41"/>
      <c r="BF589" s="41">
        <v>2.3961999999999999</v>
      </c>
      <c r="BG589" s="41">
        <v>2.4508999999999999</v>
      </c>
      <c r="BH589" s="41">
        <v>2.4961000000000002</v>
      </c>
      <c r="BI589" s="41">
        <v>2.5388000000000002</v>
      </c>
      <c r="BJ589" s="41">
        <v>2.5668000000000002</v>
      </c>
      <c r="BK589" s="41">
        <v>2.6101999999999999</v>
      </c>
      <c r="BL589" s="41"/>
      <c r="BM589" s="41"/>
      <c r="BN589" s="41">
        <f t="shared" si="10"/>
        <v>2.6101999999999999</v>
      </c>
    </row>
    <row r="590" spans="2:66" hidden="1" outlineLevel="1" x14ac:dyDescent="0.35">
      <c r="B590" s="41" t="s">
        <v>347</v>
      </c>
      <c r="C590" s="41" t="s">
        <v>348</v>
      </c>
      <c r="D590" s="41" t="s">
        <v>746</v>
      </c>
      <c r="E590" s="41" t="s">
        <v>745</v>
      </c>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v>2.439883080384865</v>
      </c>
      <c r="AK590" s="41"/>
      <c r="AL590" s="41"/>
      <c r="AM590" s="41"/>
      <c r="AN590" s="41"/>
      <c r="AO590" s="41"/>
      <c r="AP590" s="41"/>
      <c r="AQ590" s="41"/>
      <c r="AR590" s="41"/>
      <c r="AS590" s="41"/>
      <c r="AT590" s="41">
        <v>2.6360752814542412</v>
      </c>
      <c r="AU590" s="41"/>
      <c r="AV590" s="41"/>
      <c r="AW590" s="41"/>
      <c r="AX590" s="41"/>
      <c r="AY590" s="41"/>
      <c r="AZ590" s="41"/>
      <c r="BA590" s="41"/>
      <c r="BB590" s="41"/>
      <c r="BC590" s="41"/>
      <c r="BD590" s="41"/>
      <c r="BE590" s="41"/>
      <c r="BF590" s="41"/>
      <c r="BG590" s="41"/>
      <c r="BH590" s="41"/>
      <c r="BI590" s="41">
        <v>2.8807160689176738</v>
      </c>
      <c r="BJ590" s="41"/>
      <c r="BK590" s="41"/>
      <c r="BL590" s="41"/>
      <c r="BM590" s="41"/>
      <c r="BN590" s="41">
        <f t="shared" si="10"/>
        <v>2.8807160689176738</v>
      </c>
    </row>
    <row r="591" spans="2:66" hidden="1" outlineLevel="1" x14ac:dyDescent="0.35">
      <c r="B591" s="41" t="s">
        <v>544</v>
      </c>
      <c r="C591" s="41" t="s">
        <v>23</v>
      </c>
      <c r="D591" s="41" t="s">
        <v>746</v>
      </c>
      <c r="E591" s="41" t="s">
        <v>745</v>
      </c>
      <c r="F591" s="41">
        <v>1.4</v>
      </c>
      <c r="G591" s="41">
        <v>1.4</v>
      </c>
      <c r="H591" s="41">
        <v>1.4</v>
      </c>
      <c r="I591" s="41">
        <v>1.4</v>
      </c>
      <c r="J591" s="41">
        <v>1.4</v>
      </c>
      <c r="K591" s="41">
        <v>1.4</v>
      </c>
      <c r="L591" s="41">
        <v>1.4</v>
      </c>
      <c r="M591" s="41">
        <v>1.4</v>
      </c>
      <c r="N591" s="41">
        <v>1.4</v>
      </c>
      <c r="O591" s="41">
        <v>1.5</v>
      </c>
      <c r="P591" s="41">
        <v>1.5</v>
      </c>
      <c r="Q591" s="41">
        <v>1.6</v>
      </c>
      <c r="R591" s="41">
        <v>1.6</v>
      </c>
      <c r="S591" s="41">
        <v>1.7</v>
      </c>
      <c r="T591" s="41">
        <v>1.8</v>
      </c>
      <c r="U591" s="41">
        <v>1.9</v>
      </c>
      <c r="V591" s="41">
        <v>2</v>
      </c>
      <c r="W591" s="41">
        <v>2.1</v>
      </c>
      <c r="X591" s="41">
        <v>2.2000000000000002</v>
      </c>
      <c r="Y591" s="41">
        <v>2.4</v>
      </c>
      <c r="Z591" s="41">
        <v>2.5</v>
      </c>
      <c r="AA591" s="41">
        <v>2.6</v>
      </c>
      <c r="AB591" s="41">
        <v>2.6</v>
      </c>
      <c r="AC591" s="41">
        <v>2.6</v>
      </c>
      <c r="AD591" s="41">
        <v>2.6</v>
      </c>
      <c r="AE591" s="41">
        <v>2.7</v>
      </c>
      <c r="AF591" s="41">
        <v>2.8</v>
      </c>
      <c r="AG591" s="41">
        <v>2.9</v>
      </c>
      <c r="AH591" s="41">
        <v>3</v>
      </c>
      <c r="AI591" s="41">
        <v>2.9</v>
      </c>
      <c r="AJ591" s="41">
        <v>3</v>
      </c>
      <c r="AK591" s="41">
        <v>3</v>
      </c>
      <c r="AL591" s="41">
        <v>3</v>
      </c>
      <c r="AM591" s="41">
        <v>3.1</v>
      </c>
      <c r="AN591" s="41">
        <v>3.1</v>
      </c>
      <c r="AO591" s="41">
        <v>3.2</v>
      </c>
      <c r="AP591" s="41">
        <v>3.2</v>
      </c>
      <c r="AQ591" s="41">
        <v>3.3</v>
      </c>
      <c r="AR591" s="41">
        <v>3.3</v>
      </c>
      <c r="AS591" s="41">
        <v>3.4</v>
      </c>
      <c r="AT591" s="41">
        <v>3.5</v>
      </c>
      <c r="AU591" s="41">
        <v>3.5</v>
      </c>
      <c r="AV591" s="41">
        <v>3.6150000000000002</v>
      </c>
      <c r="AW591" s="41"/>
      <c r="AX591" s="41"/>
      <c r="AY591" s="41"/>
      <c r="AZ591" s="41">
        <v>3.97</v>
      </c>
      <c r="BA591" s="41"/>
      <c r="BB591" s="41"/>
      <c r="BC591" s="41"/>
      <c r="BD591" s="41">
        <v>3.8052999999999999</v>
      </c>
      <c r="BE591" s="41">
        <v>3.8241000000000001</v>
      </c>
      <c r="BF591" s="41">
        <v>3.8986999999999998</v>
      </c>
      <c r="BG591" s="41">
        <v>4.0185000000000004</v>
      </c>
      <c r="BH591" s="41">
        <v>4.1052999999999997</v>
      </c>
      <c r="BI591" s="41">
        <v>4.1782000000000004</v>
      </c>
      <c r="BJ591" s="41">
        <v>4.2363</v>
      </c>
      <c r="BK591" s="41"/>
      <c r="BL591" s="41"/>
      <c r="BM591" s="41"/>
      <c r="BN591" s="41">
        <f t="shared" si="10"/>
        <v>4.2363</v>
      </c>
    </row>
    <row r="592" spans="2:66" hidden="1" outlineLevel="1" x14ac:dyDescent="0.35">
      <c r="B592" s="41" t="s">
        <v>349</v>
      </c>
      <c r="C592" s="41" t="s">
        <v>350</v>
      </c>
      <c r="D592" s="41" t="s">
        <v>746</v>
      </c>
      <c r="E592" s="41" t="s">
        <v>745</v>
      </c>
      <c r="F592" s="41">
        <v>1.0189999999999999</v>
      </c>
      <c r="G592" s="41"/>
      <c r="H592" s="41"/>
      <c r="I592" s="41"/>
      <c r="J592" s="41"/>
      <c r="K592" s="41"/>
      <c r="L592" s="41"/>
      <c r="M592" s="41"/>
      <c r="N592" s="41"/>
      <c r="O592" s="41"/>
      <c r="P592" s="41">
        <v>1.2</v>
      </c>
      <c r="Q592" s="41"/>
      <c r="R592" s="41"/>
      <c r="S592" s="41"/>
      <c r="T592" s="41"/>
      <c r="U592" s="41"/>
      <c r="V592" s="41"/>
      <c r="W592" s="41"/>
      <c r="X592" s="41"/>
      <c r="Y592" s="41"/>
      <c r="Z592" s="41">
        <v>1.4570000000000001</v>
      </c>
      <c r="AA592" s="41">
        <v>1.522</v>
      </c>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f t="shared" si="10"/>
        <v>1.522</v>
      </c>
    </row>
    <row r="593" spans="2:66" hidden="1" outlineLevel="1" x14ac:dyDescent="0.35">
      <c r="B593" s="41" t="s">
        <v>220</v>
      </c>
      <c r="C593" s="41" t="s">
        <v>24</v>
      </c>
      <c r="D593" s="41" t="s">
        <v>746</v>
      </c>
      <c r="E593" s="41" t="s">
        <v>745</v>
      </c>
      <c r="F593" s="41">
        <v>0.55900000000000005</v>
      </c>
      <c r="G593" s="41"/>
      <c r="H593" s="41"/>
      <c r="I593" s="41"/>
      <c r="J593" s="41"/>
      <c r="K593" s="41">
        <v>0.47299999999999998</v>
      </c>
      <c r="L593" s="41"/>
      <c r="M593" s="41"/>
      <c r="N593" s="41"/>
      <c r="O593" s="41"/>
      <c r="P593" s="41">
        <v>0.46300000000000002</v>
      </c>
      <c r="Q593" s="41"/>
      <c r="R593" s="41"/>
      <c r="S593" s="41"/>
      <c r="T593" s="41"/>
      <c r="U593" s="41"/>
      <c r="V593" s="41"/>
      <c r="W593" s="41"/>
      <c r="X593" s="41"/>
      <c r="Y593" s="41">
        <v>0.51600000000000001</v>
      </c>
      <c r="Z593" s="41"/>
      <c r="AA593" s="41"/>
      <c r="AB593" s="41"/>
      <c r="AC593" s="41"/>
      <c r="AD593" s="41">
        <v>0.81699999999999995</v>
      </c>
      <c r="AE593" s="41"/>
      <c r="AF593" s="41"/>
      <c r="AG593" s="41"/>
      <c r="AH593" s="41"/>
      <c r="AI593" s="41"/>
      <c r="AJ593" s="41">
        <v>1.1000000000000001</v>
      </c>
      <c r="AK593" s="41">
        <v>1.0660000000000001</v>
      </c>
      <c r="AL593" s="41">
        <v>0.99850000000000005</v>
      </c>
      <c r="AM593" s="41"/>
      <c r="AN593" s="41">
        <v>1.103</v>
      </c>
      <c r="AO593" s="41">
        <v>1.08</v>
      </c>
      <c r="AP593" s="41"/>
      <c r="AQ593" s="41"/>
      <c r="AR593" s="41">
        <v>1.153</v>
      </c>
      <c r="AS593" s="41"/>
      <c r="AT593" s="41"/>
      <c r="AU593" s="41"/>
      <c r="AV593" s="41">
        <v>0.89559999999999995</v>
      </c>
      <c r="AW593" s="41">
        <v>0.9496</v>
      </c>
      <c r="AX593" s="41">
        <v>0.98670000000000002</v>
      </c>
      <c r="AY593" s="41">
        <v>0.98250000000000004</v>
      </c>
      <c r="AZ593" s="41">
        <v>1.0427</v>
      </c>
      <c r="BA593" s="41">
        <v>1.0388999999999999</v>
      </c>
      <c r="BB593" s="41">
        <v>1.0418000000000001</v>
      </c>
      <c r="BC593" s="41">
        <v>1.0327999999999999</v>
      </c>
      <c r="BD593" s="41"/>
      <c r="BE593" s="41"/>
      <c r="BF593" s="41"/>
      <c r="BG593" s="41"/>
      <c r="BH593" s="41"/>
      <c r="BI593" s="41"/>
      <c r="BJ593" s="41">
        <v>1.08</v>
      </c>
      <c r="BK593" s="41"/>
      <c r="BL593" s="41"/>
      <c r="BM593" s="41"/>
      <c r="BN593" s="41">
        <f t="shared" si="10"/>
        <v>1.08</v>
      </c>
    </row>
    <row r="594" spans="2:66" hidden="1" outlineLevel="1" x14ac:dyDescent="0.35">
      <c r="B594" s="41" t="s">
        <v>351</v>
      </c>
      <c r="C594" s="41" t="s">
        <v>25</v>
      </c>
      <c r="D594" s="41" t="s">
        <v>746</v>
      </c>
      <c r="E594" s="41" t="s">
        <v>745</v>
      </c>
      <c r="F594" s="41"/>
      <c r="G594" s="41"/>
      <c r="H594" s="41"/>
      <c r="I594" s="41"/>
      <c r="J594" s="41"/>
      <c r="K594" s="41">
        <v>1.07</v>
      </c>
      <c r="L594" s="41">
        <v>0.96</v>
      </c>
      <c r="M594" s="41">
        <v>0.94</v>
      </c>
      <c r="N594" s="41">
        <v>0.91</v>
      </c>
      <c r="O594" s="41">
        <v>0.88</v>
      </c>
      <c r="P594" s="41">
        <v>0.86</v>
      </c>
      <c r="Q594" s="41">
        <v>0.85</v>
      </c>
      <c r="R594" s="41">
        <v>0.86</v>
      </c>
      <c r="S594" s="41">
        <v>0.89</v>
      </c>
      <c r="T594" s="41">
        <v>0.92</v>
      </c>
      <c r="U594" s="41">
        <v>0.96</v>
      </c>
      <c r="V594" s="41">
        <v>1</v>
      </c>
      <c r="W594" s="41">
        <v>1.03</v>
      </c>
      <c r="X594" s="41"/>
      <c r="Y594" s="41">
        <v>1.1200000000000001</v>
      </c>
      <c r="Z594" s="41"/>
      <c r="AA594" s="41">
        <v>1.25</v>
      </c>
      <c r="AB594" s="41">
        <v>1.3</v>
      </c>
      <c r="AC594" s="41">
        <v>1.32</v>
      </c>
      <c r="AD594" s="41">
        <v>1.33</v>
      </c>
      <c r="AE594" s="41"/>
      <c r="AF594" s="41">
        <v>1.35</v>
      </c>
      <c r="AG594" s="41">
        <v>1.37</v>
      </c>
      <c r="AH594" s="41">
        <v>1.47</v>
      </c>
      <c r="AI594" s="41">
        <v>1.54</v>
      </c>
      <c r="AJ594" s="41">
        <v>1.1055999999999999</v>
      </c>
      <c r="AK594" s="41">
        <v>1.55</v>
      </c>
      <c r="AL594" s="41">
        <v>1.55</v>
      </c>
      <c r="AM594" s="41">
        <v>1.55</v>
      </c>
      <c r="AN594" s="41">
        <v>1.58</v>
      </c>
      <c r="AO594" s="41">
        <v>1.1672</v>
      </c>
      <c r="AP594" s="41">
        <v>1.1739999999999999</v>
      </c>
      <c r="AQ594" s="41">
        <v>1.1892</v>
      </c>
      <c r="AR594" s="41">
        <v>1.1880999999999999</v>
      </c>
      <c r="AS594" s="41">
        <v>1.2177</v>
      </c>
      <c r="AT594" s="41">
        <v>1.2425999999999999</v>
      </c>
      <c r="AU594" s="41">
        <v>1.0549999999999999</v>
      </c>
      <c r="AV594" s="41">
        <v>1.1208</v>
      </c>
      <c r="AW594" s="41"/>
      <c r="AX594" s="41"/>
      <c r="AY594" s="41"/>
      <c r="AZ594" s="41"/>
      <c r="BA594" s="41"/>
      <c r="BB594" s="41"/>
      <c r="BC594" s="41">
        <v>1.4015</v>
      </c>
      <c r="BD594" s="41">
        <v>1.4626999999999999</v>
      </c>
      <c r="BE594" s="41">
        <v>1.4733000000000001</v>
      </c>
      <c r="BF594" s="41">
        <v>1.5467</v>
      </c>
      <c r="BG594" s="41">
        <v>1.6437999999999999</v>
      </c>
      <c r="BH594" s="41">
        <v>1.6989000000000001</v>
      </c>
      <c r="BI594" s="41">
        <v>1.7855000000000001</v>
      </c>
      <c r="BJ594" s="41"/>
      <c r="BK594" s="41"/>
      <c r="BL594" s="41"/>
      <c r="BM594" s="41"/>
      <c r="BN594" s="41">
        <f t="shared" si="10"/>
        <v>1.7855000000000001</v>
      </c>
    </row>
    <row r="595" spans="2:66" hidden="1" outlineLevel="1" x14ac:dyDescent="0.35">
      <c r="B595" s="41" t="s">
        <v>357</v>
      </c>
      <c r="C595" s="41" t="s">
        <v>26</v>
      </c>
      <c r="D595" s="41" t="s">
        <v>746</v>
      </c>
      <c r="E595" s="41" t="s">
        <v>745</v>
      </c>
      <c r="F595" s="41">
        <v>3.3000000000000002E-2</v>
      </c>
      <c r="G595" s="41"/>
      <c r="H595" s="41"/>
      <c r="I595" s="41"/>
      <c r="J595" s="41"/>
      <c r="K595" s="41">
        <v>4.8000000000000001E-2</v>
      </c>
      <c r="L595" s="41"/>
      <c r="M595" s="41"/>
      <c r="N595" s="41"/>
      <c r="O595" s="41"/>
      <c r="P595" s="41">
        <v>6.4000000000000001E-2</v>
      </c>
      <c r="Q595" s="41"/>
      <c r="R595" s="41"/>
      <c r="S595" s="41"/>
      <c r="T595" s="41"/>
      <c r="U595" s="41"/>
      <c r="V595" s="41"/>
      <c r="W595" s="41"/>
      <c r="X595" s="41"/>
      <c r="Y595" s="41"/>
      <c r="Z595" s="41"/>
      <c r="AA595" s="41"/>
      <c r="AB595" s="41"/>
      <c r="AC595" s="41"/>
      <c r="AD595" s="41"/>
      <c r="AE595" s="41">
        <v>7.0999999999999994E-2</v>
      </c>
      <c r="AF595" s="41"/>
      <c r="AG595" s="41"/>
      <c r="AH595" s="41"/>
      <c r="AI595" s="41"/>
      <c r="AJ595" s="41">
        <v>8.7999999999999995E-2</v>
      </c>
      <c r="AK595" s="41"/>
      <c r="AL595" s="41"/>
      <c r="AM595" s="41"/>
      <c r="AN595" s="41"/>
      <c r="AO595" s="41"/>
      <c r="AP595" s="41">
        <v>0.09</v>
      </c>
      <c r="AQ595" s="41"/>
      <c r="AR595" s="41"/>
      <c r="AS595" s="41"/>
      <c r="AT595" s="41"/>
      <c r="AU595" s="41"/>
      <c r="AV595" s="41"/>
      <c r="AW595" s="41"/>
      <c r="AX595" s="41">
        <v>0.11559999999999999</v>
      </c>
      <c r="AY595" s="41">
        <v>9.2600000000000002E-2</v>
      </c>
      <c r="AZ595" s="41"/>
      <c r="BA595" s="41"/>
      <c r="BB595" s="41">
        <v>0.14080000000000001</v>
      </c>
      <c r="BC595" s="41"/>
      <c r="BD595" s="41">
        <v>0.14399999999999999</v>
      </c>
      <c r="BE595" s="41">
        <v>0.15409999999999999</v>
      </c>
      <c r="BF595" s="41"/>
      <c r="BG595" s="41"/>
      <c r="BH595" s="41">
        <v>0.2326</v>
      </c>
      <c r="BI595" s="41"/>
      <c r="BJ595" s="41"/>
      <c r="BK595" s="41"/>
      <c r="BL595" s="41"/>
      <c r="BM595" s="41"/>
      <c r="BN595" s="41">
        <f t="shared" si="10"/>
        <v>0.2326</v>
      </c>
    </row>
    <row r="596" spans="2:66" hidden="1" outlineLevel="1" x14ac:dyDescent="0.35">
      <c r="B596" s="41" t="s">
        <v>187</v>
      </c>
      <c r="C596" s="41" t="s">
        <v>27</v>
      </c>
      <c r="D596" s="41" t="s">
        <v>746</v>
      </c>
      <c r="E596" s="41" t="s">
        <v>745</v>
      </c>
      <c r="F596" s="41">
        <v>3.4000000000000002E-2</v>
      </c>
      <c r="G596" s="41"/>
      <c r="H596" s="41"/>
      <c r="I596" s="41"/>
      <c r="J596" s="41"/>
      <c r="K596" s="41">
        <v>3.6999999999999998E-2</v>
      </c>
      <c r="L596" s="41"/>
      <c r="M596" s="41"/>
      <c r="N596" s="41"/>
      <c r="O596" s="41"/>
      <c r="P596" s="41">
        <v>3.4000000000000002E-2</v>
      </c>
      <c r="Q596" s="41"/>
      <c r="R596" s="41"/>
      <c r="S596" s="41"/>
      <c r="T596" s="41"/>
      <c r="U596" s="41">
        <v>7.1999999999999995E-2</v>
      </c>
      <c r="V596" s="41"/>
      <c r="W596" s="41"/>
      <c r="X596" s="41"/>
      <c r="Y596" s="41">
        <v>7.0999999999999994E-2</v>
      </c>
      <c r="Z596" s="41"/>
      <c r="AA596" s="41"/>
      <c r="AB596" s="41"/>
      <c r="AC596" s="41"/>
      <c r="AD596" s="41"/>
      <c r="AE596" s="41"/>
      <c r="AF596" s="41"/>
      <c r="AG596" s="41"/>
      <c r="AH596" s="41"/>
      <c r="AI596" s="41">
        <v>8.4000000000000005E-2</v>
      </c>
      <c r="AJ596" s="41">
        <v>8.2000000000000003E-2</v>
      </c>
      <c r="AK596" s="41"/>
      <c r="AL596" s="41">
        <v>8.4000000000000005E-2</v>
      </c>
      <c r="AM596" s="41">
        <v>7.2999999999999995E-2</v>
      </c>
      <c r="AN596" s="41"/>
      <c r="AO596" s="41"/>
      <c r="AP596" s="41">
        <v>7.3999999999999996E-2</v>
      </c>
      <c r="AQ596" s="41"/>
      <c r="AR596" s="41"/>
      <c r="AS596" s="41"/>
      <c r="AT596" s="41"/>
      <c r="AU596" s="41"/>
      <c r="AV596" s="41"/>
      <c r="AW596" s="41"/>
      <c r="AX596" s="41">
        <v>0.1842</v>
      </c>
      <c r="AY596" s="41">
        <v>6.0199999999999997E-2</v>
      </c>
      <c r="AZ596" s="41"/>
      <c r="BA596" s="41">
        <v>7.17E-2</v>
      </c>
      <c r="BB596" s="41"/>
      <c r="BC596" s="41">
        <v>6.93E-2</v>
      </c>
      <c r="BD596" s="41">
        <v>8.5699999999999998E-2</v>
      </c>
      <c r="BE596" s="41">
        <v>8.9800000000000005E-2</v>
      </c>
      <c r="BF596" s="41"/>
      <c r="BG596" s="41"/>
      <c r="BH596" s="41"/>
      <c r="BI596" s="41"/>
      <c r="BJ596" s="41"/>
      <c r="BK596" s="41"/>
      <c r="BL596" s="41"/>
      <c r="BM596" s="41"/>
      <c r="BN596" s="41">
        <f t="shared" si="10"/>
        <v>8.9800000000000005E-2</v>
      </c>
    </row>
    <row r="597" spans="2:66" hidden="1" outlineLevel="1" x14ac:dyDescent="0.35">
      <c r="B597" s="41" t="s">
        <v>354</v>
      </c>
      <c r="C597" s="41" t="s">
        <v>28</v>
      </c>
      <c r="D597" s="41" t="s">
        <v>746</v>
      </c>
      <c r="E597" s="41" t="s">
        <v>745</v>
      </c>
      <c r="F597" s="41">
        <v>1.4999999999999999E-2</v>
      </c>
      <c r="G597" s="41"/>
      <c r="H597" s="41"/>
      <c r="I597" s="41"/>
      <c r="J597" s="41"/>
      <c r="K597" s="41">
        <v>2.8000000000000001E-2</v>
      </c>
      <c r="L597" s="41"/>
      <c r="M597" s="41"/>
      <c r="N597" s="41"/>
      <c r="O597" s="41"/>
      <c r="P597" s="41">
        <v>3.5000000000000003E-2</v>
      </c>
      <c r="Q597" s="41"/>
      <c r="R597" s="41"/>
      <c r="S597" s="41"/>
      <c r="T597" s="41"/>
      <c r="U597" s="41">
        <v>3.5999999999999997E-2</v>
      </c>
      <c r="V597" s="41"/>
      <c r="W597" s="41"/>
      <c r="X597" s="41"/>
      <c r="Y597" s="41">
        <v>7.2999999999999995E-2</v>
      </c>
      <c r="Z597" s="41"/>
      <c r="AA597" s="41"/>
      <c r="AB597" s="41"/>
      <c r="AC597" s="41"/>
      <c r="AD597" s="41"/>
      <c r="AE597" s="41"/>
      <c r="AF597" s="41"/>
      <c r="AG597" s="41">
        <v>7.4999999999999997E-2</v>
      </c>
      <c r="AH597" s="41"/>
      <c r="AI597" s="41"/>
      <c r="AJ597" s="41">
        <v>6.6000000000000003E-2</v>
      </c>
      <c r="AK597" s="41"/>
      <c r="AL597" s="41"/>
      <c r="AM597" s="41"/>
      <c r="AN597" s="41"/>
      <c r="AO597" s="41"/>
      <c r="AP597" s="41">
        <v>6.9000000000000006E-2</v>
      </c>
      <c r="AQ597" s="41"/>
      <c r="AR597" s="41"/>
      <c r="AS597" s="41"/>
      <c r="AT597" s="41"/>
      <c r="AU597" s="41"/>
      <c r="AV597" s="41"/>
      <c r="AW597" s="41"/>
      <c r="AX597" s="41">
        <v>0.107</v>
      </c>
      <c r="AY597" s="41"/>
      <c r="AZ597" s="41"/>
      <c r="BA597" s="41"/>
      <c r="BB597" s="41"/>
      <c r="BC597" s="41">
        <v>9.3399999999999997E-2</v>
      </c>
      <c r="BD597" s="41"/>
      <c r="BE597" s="41"/>
      <c r="BF597" s="41"/>
      <c r="BG597" s="41">
        <v>0.09</v>
      </c>
      <c r="BH597" s="41"/>
      <c r="BI597" s="41"/>
      <c r="BJ597" s="41"/>
      <c r="BK597" s="41"/>
      <c r="BL597" s="41"/>
      <c r="BM597" s="41"/>
      <c r="BN597" s="41">
        <f t="shared" si="10"/>
        <v>0.09</v>
      </c>
    </row>
    <row r="598" spans="2:66" hidden="1" outlineLevel="1" x14ac:dyDescent="0.35">
      <c r="B598" s="41" t="s">
        <v>355</v>
      </c>
      <c r="C598" s="41" t="s">
        <v>29</v>
      </c>
      <c r="D598" s="41" t="s">
        <v>746</v>
      </c>
      <c r="E598" s="41" t="s">
        <v>745</v>
      </c>
      <c r="F598" s="41">
        <v>0.06</v>
      </c>
      <c r="G598" s="41"/>
      <c r="H598" s="41"/>
      <c r="I598" s="41"/>
      <c r="J598" s="41"/>
      <c r="K598" s="41">
        <v>6.8000000000000005E-2</v>
      </c>
      <c r="L598" s="41"/>
      <c r="M598" s="41"/>
      <c r="N598" s="41"/>
      <c r="O598" s="41"/>
      <c r="P598" s="41">
        <v>0.10100000000000001</v>
      </c>
      <c r="Q598" s="41"/>
      <c r="R598" s="41"/>
      <c r="S598" s="41"/>
      <c r="T598" s="41"/>
      <c r="U598" s="41"/>
      <c r="V598" s="41"/>
      <c r="W598" s="41"/>
      <c r="X598" s="41">
        <v>0.17399999999999999</v>
      </c>
      <c r="Y598" s="41"/>
      <c r="Z598" s="41"/>
      <c r="AA598" s="41"/>
      <c r="AB598" s="41">
        <v>0.11899999999999999</v>
      </c>
      <c r="AC598" s="41"/>
      <c r="AD598" s="41"/>
      <c r="AE598" s="41">
        <v>0.252</v>
      </c>
      <c r="AF598" s="41">
        <v>0.252</v>
      </c>
      <c r="AG598" s="41"/>
      <c r="AH598" s="41"/>
      <c r="AI598" s="41"/>
      <c r="AJ598" s="41">
        <v>0.27600000000000002</v>
      </c>
      <c r="AK598" s="41"/>
      <c r="AL598" s="41"/>
      <c r="AM598" s="41"/>
      <c r="AN598" s="41"/>
      <c r="AO598" s="41">
        <v>0.251</v>
      </c>
      <c r="AP598" s="41"/>
      <c r="AQ598" s="41"/>
      <c r="AR598" s="41">
        <v>0.70689999999999997</v>
      </c>
      <c r="AS598" s="41"/>
      <c r="AT598" s="41"/>
      <c r="AU598" s="41"/>
      <c r="AV598" s="41"/>
      <c r="AW598" s="41"/>
      <c r="AX598" s="41">
        <v>0.2097</v>
      </c>
      <c r="AY598" s="41"/>
      <c r="AZ598" s="41">
        <v>0.20349999999999999</v>
      </c>
      <c r="BA598" s="41">
        <v>0.1008</v>
      </c>
      <c r="BB598" s="41"/>
      <c r="BC598" s="41"/>
      <c r="BD598" s="41">
        <v>9.5000000000000001E-2</v>
      </c>
      <c r="BE598" s="41">
        <v>0.1159</v>
      </c>
      <c r="BF598" s="41"/>
      <c r="BG598" s="41"/>
      <c r="BH598" s="41"/>
      <c r="BI598" s="41"/>
      <c r="BJ598" s="41"/>
      <c r="BK598" s="41"/>
      <c r="BL598" s="41"/>
      <c r="BM598" s="41"/>
      <c r="BN598" s="41">
        <f t="shared" si="10"/>
        <v>0.1159</v>
      </c>
    </row>
    <row r="599" spans="2:66" hidden="1" outlineLevel="1" x14ac:dyDescent="0.35">
      <c r="B599" s="41" t="s">
        <v>352</v>
      </c>
      <c r="C599" s="41" t="s">
        <v>353</v>
      </c>
      <c r="D599" s="41" t="s">
        <v>746</v>
      </c>
      <c r="E599" s="41" t="s">
        <v>745</v>
      </c>
      <c r="F599" s="41">
        <v>0.35399999999999998</v>
      </c>
      <c r="G599" s="41"/>
      <c r="H599" s="41"/>
      <c r="I599" s="41"/>
      <c r="J599" s="41"/>
      <c r="K599" s="41">
        <v>0.377</v>
      </c>
      <c r="L599" s="41"/>
      <c r="M599" s="41"/>
      <c r="N599" s="41"/>
      <c r="O599" s="41"/>
      <c r="P599" s="41">
        <v>0.42</v>
      </c>
      <c r="Q599" s="41"/>
      <c r="R599" s="41"/>
      <c r="S599" s="41"/>
      <c r="T599" s="41"/>
      <c r="U599" s="41"/>
      <c r="V599" s="41"/>
      <c r="W599" s="41">
        <v>0.47799999999999998</v>
      </c>
      <c r="X599" s="41"/>
      <c r="Y599" s="41"/>
      <c r="Z599" s="41"/>
      <c r="AA599" s="41"/>
      <c r="AB599" s="41"/>
      <c r="AC599" s="41"/>
      <c r="AD599" s="41"/>
      <c r="AE599" s="41"/>
      <c r="AF599" s="41"/>
      <c r="AG599" s="41"/>
      <c r="AH599" s="41"/>
      <c r="AI599" s="41"/>
      <c r="AJ599" s="41">
        <v>0.97989999999999999</v>
      </c>
      <c r="AK599" s="41">
        <v>1.026</v>
      </c>
      <c r="AL599" s="41">
        <v>1.0704</v>
      </c>
      <c r="AM599" s="41">
        <v>1.1119000000000001</v>
      </c>
      <c r="AN599" s="41">
        <v>1.1403000000000001</v>
      </c>
      <c r="AO599" s="41"/>
      <c r="AP599" s="41">
        <v>1.1992</v>
      </c>
      <c r="AQ599" s="41">
        <v>1.2330000000000001</v>
      </c>
      <c r="AR599" s="41">
        <v>1.2677</v>
      </c>
      <c r="AS599" s="41">
        <v>1.3003</v>
      </c>
      <c r="AT599" s="41"/>
      <c r="AU599" s="41"/>
      <c r="AV599" s="41">
        <v>1.4135</v>
      </c>
      <c r="AW599" s="41"/>
      <c r="AX599" s="41"/>
      <c r="AY599" s="41">
        <v>1.4510000000000001</v>
      </c>
      <c r="AZ599" s="41">
        <v>1.4742</v>
      </c>
      <c r="BA599" s="41">
        <v>1.4974000000000001</v>
      </c>
      <c r="BB599" s="41">
        <v>1.5206</v>
      </c>
      <c r="BC599" s="41">
        <v>1.5438000000000001</v>
      </c>
      <c r="BD599" s="41">
        <v>1.5676000000000001</v>
      </c>
      <c r="BE599" s="41">
        <v>1.6694</v>
      </c>
      <c r="BF599" s="41">
        <v>1.74</v>
      </c>
      <c r="BG599" s="41">
        <v>1.8064</v>
      </c>
      <c r="BH599" s="41">
        <v>1.8213999999999999</v>
      </c>
      <c r="BI599" s="41">
        <v>1.9379</v>
      </c>
      <c r="BJ599" s="41">
        <v>2.0036</v>
      </c>
      <c r="BK599" s="41">
        <v>2.0834999999999999</v>
      </c>
      <c r="BL599" s="41"/>
      <c r="BM599" s="41"/>
      <c r="BN599" s="41">
        <f t="shared" si="10"/>
        <v>2.0834999999999999</v>
      </c>
    </row>
    <row r="600" spans="2:66" hidden="1" outlineLevel="1" x14ac:dyDescent="0.35">
      <c r="B600" s="41" t="s">
        <v>190</v>
      </c>
      <c r="C600" s="41" t="s">
        <v>157</v>
      </c>
      <c r="D600" s="41" t="s">
        <v>746</v>
      </c>
      <c r="E600" s="41" t="s">
        <v>745</v>
      </c>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v>8.4000000000000005E-2</v>
      </c>
      <c r="AE600" s="41"/>
      <c r="AF600" s="41"/>
      <c r="AG600" s="41"/>
      <c r="AH600" s="41">
        <v>0.16300000000000001</v>
      </c>
      <c r="AI600" s="41"/>
      <c r="AJ600" s="41">
        <v>0.113</v>
      </c>
      <c r="AK600" s="41"/>
      <c r="AL600" s="41">
        <v>0.127</v>
      </c>
      <c r="AM600" s="41"/>
      <c r="AN600" s="41"/>
      <c r="AO600" s="41"/>
      <c r="AP600" s="41"/>
      <c r="AQ600" s="41">
        <v>7.3999999999999996E-2</v>
      </c>
      <c r="AR600" s="41"/>
      <c r="AS600" s="41"/>
      <c r="AT600" s="41"/>
      <c r="AU600" s="41"/>
      <c r="AV600" s="41"/>
      <c r="AW600" s="41"/>
      <c r="AX600" s="41">
        <v>0.19259999999999999</v>
      </c>
      <c r="AY600" s="41">
        <v>0.18970000000000001</v>
      </c>
      <c r="AZ600" s="41"/>
      <c r="BA600" s="41"/>
      <c r="BB600" s="41"/>
      <c r="BC600" s="41">
        <v>0.19009999999999999</v>
      </c>
      <c r="BD600" s="41"/>
      <c r="BE600" s="41"/>
      <c r="BF600" s="41">
        <v>0.1699</v>
      </c>
      <c r="BG600" s="41"/>
      <c r="BH600" s="41"/>
      <c r="BI600" s="41"/>
      <c r="BJ600" s="41"/>
      <c r="BK600" s="41"/>
      <c r="BL600" s="41"/>
      <c r="BM600" s="41"/>
      <c r="BN600" s="41">
        <f t="shared" si="10"/>
        <v>0.1699</v>
      </c>
    </row>
    <row r="601" spans="2:66" hidden="1" outlineLevel="1" x14ac:dyDescent="0.35">
      <c r="B601" s="41" t="s">
        <v>341</v>
      </c>
      <c r="C601" s="41" t="s">
        <v>30</v>
      </c>
      <c r="D601" s="41" t="s">
        <v>746</v>
      </c>
      <c r="E601" s="41" t="s">
        <v>745</v>
      </c>
      <c r="F601" s="41">
        <v>7.6999999999999999E-2</v>
      </c>
      <c r="G601" s="41"/>
      <c r="H601" s="41"/>
      <c r="I601" s="41"/>
      <c r="J601" s="41"/>
      <c r="K601" s="41"/>
      <c r="L601" s="41"/>
      <c r="M601" s="41"/>
      <c r="N601" s="41"/>
      <c r="O601" s="41"/>
      <c r="P601" s="41">
        <v>8.2000000000000003E-2</v>
      </c>
      <c r="Q601" s="41"/>
      <c r="R601" s="41"/>
      <c r="S601" s="41"/>
      <c r="T601" s="41"/>
      <c r="U601" s="41"/>
      <c r="V601" s="41"/>
      <c r="W601" s="41"/>
      <c r="X601" s="41"/>
      <c r="Y601" s="41"/>
      <c r="Z601" s="41">
        <v>0.17599999999999999</v>
      </c>
      <c r="AA601" s="41"/>
      <c r="AB601" s="41"/>
      <c r="AC601" s="41">
        <v>0.2</v>
      </c>
      <c r="AD601" s="41"/>
      <c r="AE601" s="41"/>
      <c r="AF601" s="41">
        <v>0.32900000000000001</v>
      </c>
      <c r="AG601" s="41"/>
      <c r="AH601" s="41">
        <v>0.34200000000000003</v>
      </c>
      <c r="AI601" s="41"/>
      <c r="AJ601" s="41"/>
      <c r="AK601" s="41"/>
      <c r="AL601" s="41">
        <v>0.23400000000000001</v>
      </c>
      <c r="AM601" s="41"/>
      <c r="AN601" s="41"/>
      <c r="AO601" s="41"/>
      <c r="AP601" s="41">
        <v>0.17100000000000001</v>
      </c>
      <c r="AQ601" s="41"/>
      <c r="AR601" s="41"/>
      <c r="AS601" s="41"/>
      <c r="AT601" s="41"/>
      <c r="AU601" s="41"/>
      <c r="AV601" s="41"/>
      <c r="AW601" s="41"/>
      <c r="AX601" s="41">
        <v>0.49299999999999999</v>
      </c>
      <c r="AY601" s="41"/>
      <c r="AZ601" s="41"/>
      <c r="BA601" s="41"/>
      <c r="BB601" s="41"/>
      <c r="BC601" s="41">
        <v>0.505</v>
      </c>
      <c r="BD601" s="41">
        <v>0.58120000000000005</v>
      </c>
      <c r="BE601" s="41">
        <v>0.57469999999999999</v>
      </c>
      <c r="BF601" s="41">
        <v>0.50580000000000003</v>
      </c>
      <c r="BG601" s="41">
        <v>0.59219999999999995</v>
      </c>
      <c r="BH601" s="41"/>
      <c r="BI601" s="41">
        <v>0.76939999999999997</v>
      </c>
      <c r="BJ601" s="41"/>
      <c r="BK601" s="41"/>
      <c r="BL601" s="41"/>
      <c r="BM601" s="41"/>
      <c r="BN601" s="41">
        <f t="shared" si="10"/>
        <v>0.76939999999999997</v>
      </c>
    </row>
    <row r="602" spans="2:66" hidden="1" outlineLevel="1" x14ac:dyDescent="0.35">
      <c r="B602" s="41" t="s">
        <v>356</v>
      </c>
      <c r="C602" s="41" t="s">
        <v>31</v>
      </c>
      <c r="D602" s="41" t="s">
        <v>746</v>
      </c>
      <c r="E602" s="41" t="s">
        <v>745</v>
      </c>
      <c r="F602" s="41">
        <v>0.39100000000000001</v>
      </c>
      <c r="G602" s="41"/>
      <c r="H602" s="41"/>
      <c r="I602" s="41"/>
      <c r="J602" s="41"/>
      <c r="K602" s="41">
        <v>0.51700000000000002</v>
      </c>
      <c r="L602" s="41"/>
      <c r="M602" s="41"/>
      <c r="N602" s="41"/>
      <c r="O602" s="41"/>
      <c r="P602" s="41">
        <v>0.61399999999999999</v>
      </c>
      <c r="Q602" s="41"/>
      <c r="R602" s="41"/>
      <c r="S602" s="41"/>
      <c r="T602" s="41"/>
      <c r="U602" s="41"/>
      <c r="V602" s="41"/>
      <c r="W602" s="41"/>
      <c r="X602" s="41"/>
      <c r="Y602" s="41">
        <v>0.67900000000000005</v>
      </c>
      <c r="Z602" s="41"/>
      <c r="AA602" s="41"/>
      <c r="AB602" s="41"/>
      <c r="AC602" s="41"/>
      <c r="AD602" s="41">
        <v>0.99</v>
      </c>
      <c r="AE602" s="41"/>
      <c r="AF602" s="41"/>
      <c r="AG602" s="41">
        <v>0.96799999999999997</v>
      </c>
      <c r="AH602" s="41">
        <v>0.88100000000000001</v>
      </c>
      <c r="AI602" s="41"/>
      <c r="AJ602" s="41">
        <v>1.26</v>
      </c>
      <c r="AK602" s="41"/>
      <c r="AL602" s="41"/>
      <c r="AM602" s="41">
        <v>0.88300000000000001</v>
      </c>
      <c r="AN602" s="41">
        <v>0.84499999999999997</v>
      </c>
      <c r="AO602" s="41">
        <v>0.85399999999999998</v>
      </c>
      <c r="AP602" s="41">
        <v>0.86399999999999999</v>
      </c>
      <c r="AQ602" s="41">
        <v>0.872</v>
      </c>
      <c r="AR602" s="41">
        <v>0.90100000000000002</v>
      </c>
      <c r="AS602" s="41">
        <v>1.7190000000000001</v>
      </c>
      <c r="AT602" s="41">
        <v>1.3257000000000001</v>
      </c>
      <c r="AU602" s="41"/>
      <c r="AV602" s="41"/>
      <c r="AW602" s="41"/>
      <c r="AX602" s="41"/>
      <c r="AY602" s="41"/>
      <c r="AZ602" s="41"/>
      <c r="BA602" s="41"/>
      <c r="BB602" s="41"/>
      <c r="BC602" s="41"/>
      <c r="BD602" s="41"/>
      <c r="BE602" s="41"/>
      <c r="BF602" s="41"/>
      <c r="BG602" s="41">
        <v>1.1496999999999999</v>
      </c>
      <c r="BH602" s="41"/>
      <c r="BI602" s="41"/>
      <c r="BJ602" s="41"/>
      <c r="BK602" s="41"/>
      <c r="BL602" s="41"/>
      <c r="BM602" s="41"/>
      <c r="BN602" s="41">
        <f t="shared" si="10"/>
        <v>1.1496999999999999</v>
      </c>
    </row>
    <row r="603" spans="2:66" hidden="1" outlineLevel="1" x14ac:dyDescent="0.35">
      <c r="B603" s="41" t="s">
        <v>343</v>
      </c>
      <c r="C603" s="41" t="s">
        <v>344</v>
      </c>
      <c r="D603" s="41" t="s">
        <v>746</v>
      </c>
      <c r="E603" s="41" t="s">
        <v>745</v>
      </c>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v>0.61406784634224798</v>
      </c>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v>1.5686275654605542</v>
      </c>
      <c r="BJ603" s="41"/>
      <c r="BK603" s="41"/>
      <c r="BL603" s="41"/>
      <c r="BM603" s="41"/>
      <c r="BN603" s="41">
        <f t="shared" si="10"/>
        <v>1.5686275654605542</v>
      </c>
    </row>
    <row r="604" spans="2:66" hidden="1" outlineLevel="1" x14ac:dyDescent="0.35">
      <c r="B604" s="41" t="s">
        <v>221</v>
      </c>
      <c r="C604" s="41" t="s">
        <v>161</v>
      </c>
      <c r="D604" s="41" t="s">
        <v>746</v>
      </c>
      <c r="E604" s="41" t="s">
        <v>745</v>
      </c>
      <c r="F604" s="41">
        <v>0.94599999999999995</v>
      </c>
      <c r="G604" s="41"/>
      <c r="H604" s="41"/>
      <c r="I604" s="41"/>
      <c r="J604" s="41"/>
      <c r="K604" s="41">
        <v>0.876</v>
      </c>
      <c r="L604" s="41"/>
      <c r="M604" s="41"/>
      <c r="N604" s="41"/>
      <c r="O604" s="41"/>
      <c r="P604" s="41">
        <v>0.82199999999999995</v>
      </c>
      <c r="Q604" s="41"/>
      <c r="R604" s="41"/>
      <c r="S604" s="41"/>
      <c r="T604" s="41"/>
      <c r="U604" s="41"/>
      <c r="V604" s="41"/>
      <c r="W604" s="41"/>
      <c r="X604" s="41"/>
      <c r="Y604" s="41"/>
      <c r="Z604" s="41"/>
      <c r="AA604" s="41">
        <v>1.3879999999999999</v>
      </c>
      <c r="AB604" s="41"/>
      <c r="AC604" s="41"/>
      <c r="AD604" s="41">
        <v>1.8859999999999999</v>
      </c>
      <c r="AE604" s="41"/>
      <c r="AF604" s="41"/>
      <c r="AG604" s="41"/>
      <c r="AH604" s="41">
        <v>3</v>
      </c>
      <c r="AI604" s="41"/>
      <c r="AJ604" s="41">
        <v>3.6562000000000001</v>
      </c>
      <c r="AK604" s="41">
        <v>3.9981</v>
      </c>
      <c r="AL604" s="41">
        <v>4.3658000000000001</v>
      </c>
      <c r="AM604" s="41">
        <v>4.7290000000000001</v>
      </c>
      <c r="AN604" s="41">
        <v>4.9827000000000004</v>
      </c>
      <c r="AO604" s="41">
        <v>5.2114000000000003</v>
      </c>
      <c r="AP604" s="41">
        <v>5.4856999999999996</v>
      </c>
      <c r="AQ604" s="41">
        <v>5.6859000000000002</v>
      </c>
      <c r="AR604" s="41">
        <v>5.7377000000000002</v>
      </c>
      <c r="AS604" s="41">
        <v>5.8383000000000003</v>
      </c>
      <c r="AT604" s="41">
        <v>5.9185999999999996</v>
      </c>
      <c r="AU604" s="41">
        <v>5.9290000000000003</v>
      </c>
      <c r="AV604" s="41">
        <v>5.9795999999999996</v>
      </c>
      <c r="AW604" s="41">
        <v>6.0487000000000002</v>
      </c>
      <c r="AX604" s="41">
        <v>6.1874000000000002</v>
      </c>
      <c r="AY604" s="41">
        <v>6.2558999999999996</v>
      </c>
      <c r="AZ604" s="41">
        <v>6.3285999999999998</v>
      </c>
      <c r="BA604" s="41">
        <v>6.4063999999999997</v>
      </c>
      <c r="BB604" s="41">
        <v>6.5918000000000001</v>
      </c>
      <c r="BC604" s="41">
        <v>6.6157000000000004</v>
      </c>
      <c r="BD604" s="41">
        <v>6.7507000000000001</v>
      </c>
      <c r="BE604" s="41">
        <v>6.9241999999999999</v>
      </c>
      <c r="BF604" s="41">
        <v>7.2099000000000002</v>
      </c>
      <c r="BG604" s="41">
        <v>7.3341000000000003</v>
      </c>
      <c r="BH604" s="41">
        <v>7.4794</v>
      </c>
      <c r="BI604" s="41"/>
      <c r="BJ604" s="41"/>
      <c r="BK604" s="41">
        <v>8.19</v>
      </c>
      <c r="BL604" s="41"/>
      <c r="BM604" s="41"/>
      <c r="BN604" s="41">
        <f t="shared" si="10"/>
        <v>8.19</v>
      </c>
    </row>
    <row r="605" spans="2:66" hidden="1" outlineLevel="1" x14ac:dyDescent="0.35">
      <c r="B605" s="41" t="s">
        <v>359</v>
      </c>
      <c r="C605" s="41" t="s">
        <v>360</v>
      </c>
      <c r="D605" s="41" t="s">
        <v>746</v>
      </c>
      <c r="E605" s="41" t="s">
        <v>745</v>
      </c>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t="str">
        <f t="shared" si="10"/>
        <v>No reported value</v>
      </c>
    </row>
    <row r="606" spans="2:66" hidden="1" outlineLevel="1" x14ac:dyDescent="0.35">
      <c r="B606" s="41" t="s">
        <v>345</v>
      </c>
      <c r="C606" s="41" t="s">
        <v>346</v>
      </c>
      <c r="D606" s="41" t="s">
        <v>746</v>
      </c>
      <c r="E606" s="41" t="s">
        <v>745</v>
      </c>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v>1.7</v>
      </c>
      <c r="AK606" s="41"/>
      <c r="AL606" s="41"/>
      <c r="AM606" s="41"/>
      <c r="AN606" s="41"/>
      <c r="AO606" s="41">
        <v>1.7</v>
      </c>
      <c r="AP606" s="41"/>
      <c r="AQ606" s="41">
        <v>1.9390000000000001</v>
      </c>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c r="BN606" s="41">
        <f t="shared" si="10"/>
        <v>1.9390000000000001</v>
      </c>
    </row>
    <row r="607" spans="2:66" hidden="1" outlineLevel="1" x14ac:dyDescent="0.35">
      <c r="B607" s="41" t="s">
        <v>361</v>
      </c>
      <c r="C607" s="41" t="s">
        <v>32</v>
      </c>
      <c r="D607" s="41" t="s">
        <v>746</v>
      </c>
      <c r="E607" s="41" t="s">
        <v>745</v>
      </c>
      <c r="F607" s="41"/>
      <c r="G607" s="41"/>
      <c r="H607" s="41"/>
      <c r="I607" s="41"/>
      <c r="J607" s="41"/>
      <c r="K607" s="41"/>
      <c r="L607" s="41"/>
      <c r="M607" s="41"/>
      <c r="N607" s="41"/>
      <c r="O607" s="41"/>
      <c r="P607" s="41"/>
      <c r="Q607" s="41"/>
      <c r="R607" s="41"/>
      <c r="S607" s="41"/>
      <c r="T607" s="41"/>
      <c r="U607" s="41"/>
      <c r="V607" s="41"/>
      <c r="W607" s="41"/>
      <c r="X607" s="41"/>
      <c r="Y607" s="41"/>
      <c r="Z607" s="41"/>
      <c r="AA607" s="41">
        <v>0.97299999999999998</v>
      </c>
      <c r="AB607" s="41"/>
      <c r="AC607" s="41"/>
      <c r="AD607" s="41"/>
      <c r="AE607" s="41"/>
      <c r="AF607" s="41">
        <v>1.393</v>
      </c>
      <c r="AG607" s="41">
        <v>1.38</v>
      </c>
      <c r="AH607" s="41"/>
      <c r="AI607" s="41"/>
      <c r="AJ607" s="41">
        <v>1.5640000000000001</v>
      </c>
      <c r="AK607" s="41"/>
      <c r="AL607" s="41"/>
      <c r="AM607" s="41"/>
      <c r="AN607" s="41"/>
      <c r="AO607" s="41">
        <v>1.8787</v>
      </c>
      <c r="AP607" s="41">
        <v>2.5499999999999998</v>
      </c>
      <c r="AQ607" s="41"/>
      <c r="AR607" s="41"/>
      <c r="AS607" s="41">
        <v>2.1190000000000002</v>
      </c>
      <c r="AT607" s="41"/>
      <c r="AU607" s="41"/>
      <c r="AV607" s="41"/>
      <c r="AW607" s="41"/>
      <c r="AX607" s="41"/>
      <c r="AY607" s="41"/>
      <c r="AZ607" s="41"/>
      <c r="BA607" s="41">
        <v>2.0146999999999999</v>
      </c>
      <c r="BB607" s="41">
        <v>2.0507</v>
      </c>
      <c r="BC607" s="41">
        <v>2.1063999999999998</v>
      </c>
      <c r="BD607" s="41">
        <v>2.1562000000000001</v>
      </c>
      <c r="BE607" s="41">
        <v>2.2484000000000002</v>
      </c>
      <c r="BF607" s="41">
        <v>2.2957999999999998</v>
      </c>
      <c r="BG607" s="41">
        <v>2.4076</v>
      </c>
      <c r="BH607" s="41">
        <v>2.4992999999999999</v>
      </c>
      <c r="BI607" s="41"/>
      <c r="BJ607" s="41">
        <v>1.9511000000000001</v>
      </c>
      <c r="BK607" s="41"/>
      <c r="BL607" s="41"/>
      <c r="BM607" s="41"/>
      <c r="BN607" s="41">
        <f t="shared" si="10"/>
        <v>1.9511000000000001</v>
      </c>
    </row>
    <row r="608" spans="2:66" hidden="1" outlineLevel="1" x14ac:dyDescent="0.35">
      <c r="B608" s="41" t="s">
        <v>362</v>
      </c>
      <c r="C608" s="41" t="s">
        <v>33</v>
      </c>
      <c r="D608" s="41" t="s">
        <v>746</v>
      </c>
      <c r="E608" s="41" t="s">
        <v>745</v>
      </c>
      <c r="F608" s="41"/>
      <c r="G608" s="41"/>
      <c r="H608" s="41"/>
      <c r="I608" s="41"/>
      <c r="J608" s="41"/>
      <c r="K608" s="41"/>
      <c r="L608" s="41"/>
      <c r="M608" s="41"/>
      <c r="N608" s="41"/>
      <c r="O608" s="41"/>
      <c r="P608" s="41">
        <v>1.8</v>
      </c>
      <c r="Q608" s="41">
        <v>1.9</v>
      </c>
      <c r="R608" s="41">
        <v>1.9</v>
      </c>
      <c r="S608" s="41">
        <v>1.9</v>
      </c>
      <c r="T608" s="41">
        <v>2</v>
      </c>
      <c r="U608" s="41">
        <v>2</v>
      </c>
      <c r="V608" s="41">
        <v>2.1</v>
      </c>
      <c r="W608" s="41">
        <v>2.1</v>
      </c>
      <c r="X608" s="41">
        <v>2.1</v>
      </c>
      <c r="Y608" s="41">
        <v>2.2000000000000002</v>
      </c>
      <c r="Z608" s="41">
        <v>2.2999999999999998</v>
      </c>
      <c r="AA608" s="41">
        <v>2.2999999999999998</v>
      </c>
      <c r="AB608" s="41">
        <v>2.4</v>
      </c>
      <c r="AC608" s="41">
        <v>2.5</v>
      </c>
      <c r="AD608" s="41">
        <v>2.5</v>
      </c>
      <c r="AE608" s="41">
        <v>2.6</v>
      </c>
      <c r="AF608" s="41">
        <v>2.6</v>
      </c>
      <c r="AG608" s="41">
        <v>2.6</v>
      </c>
      <c r="AH608" s="41">
        <v>2.7</v>
      </c>
      <c r="AI608" s="41">
        <v>2.7</v>
      </c>
      <c r="AJ608" s="41">
        <v>2.7</v>
      </c>
      <c r="AK608" s="41">
        <v>2.7</v>
      </c>
      <c r="AL608" s="41">
        <v>2.7</v>
      </c>
      <c r="AM608" s="41">
        <v>2.9</v>
      </c>
      <c r="AN608" s="41">
        <v>2.9</v>
      </c>
      <c r="AO608" s="41">
        <v>3</v>
      </c>
      <c r="AP608" s="41">
        <v>3</v>
      </c>
      <c r="AQ608" s="41">
        <v>3.1</v>
      </c>
      <c r="AR608" s="41">
        <v>3</v>
      </c>
      <c r="AS608" s="41">
        <v>3.1</v>
      </c>
      <c r="AT608" s="41">
        <v>3.4</v>
      </c>
      <c r="AU608" s="41">
        <v>3.4</v>
      </c>
      <c r="AV608" s="41">
        <v>3.5</v>
      </c>
      <c r="AW608" s="41">
        <v>3.5129999999999999</v>
      </c>
      <c r="AX608" s="41"/>
      <c r="AY608" s="41"/>
      <c r="AZ608" s="41">
        <v>3.58</v>
      </c>
      <c r="BA608" s="41">
        <v>3.61</v>
      </c>
      <c r="BB608" s="41">
        <v>3.625</v>
      </c>
      <c r="BC608" s="41"/>
      <c r="BD608" s="41">
        <v>3.5743999999999998</v>
      </c>
      <c r="BE608" s="41">
        <v>3.6116999999999999</v>
      </c>
      <c r="BF608" s="41">
        <v>3.6482999999999999</v>
      </c>
      <c r="BG608" s="41">
        <v>3.66</v>
      </c>
      <c r="BH608" s="41"/>
      <c r="BI608" s="41"/>
      <c r="BJ608" s="41">
        <v>4.3140000000000001</v>
      </c>
      <c r="BK608" s="41"/>
      <c r="BL608" s="41"/>
      <c r="BM608" s="41"/>
      <c r="BN608" s="41">
        <f t="shared" si="10"/>
        <v>4.3140000000000001</v>
      </c>
    </row>
    <row r="609" spans="2:66" hidden="1" outlineLevel="1" x14ac:dyDescent="0.35">
      <c r="B609" s="41" t="s">
        <v>399</v>
      </c>
      <c r="C609" s="41" t="s">
        <v>34</v>
      </c>
      <c r="D609" s="41" t="s">
        <v>746</v>
      </c>
      <c r="E609" s="41" t="s">
        <v>745</v>
      </c>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v>2.8</v>
      </c>
      <c r="AL609" s="41">
        <v>2.8</v>
      </c>
      <c r="AM609" s="41">
        <v>2.9</v>
      </c>
      <c r="AN609" s="41">
        <v>3</v>
      </c>
      <c r="AO609" s="41">
        <v>3.1</v>
      </c>
      <c r="AP609" s="41">
        <v>3.1</v>
      </c>
      <c r="AQ609" s="41">
        <v>3.1</v>
      </c>
      <c r="AR609" s="41">
        <v>3.2</v>
      </c>
      <c r="AS609" s="41">
        <v>3.2</v>
      </c>
      <c r="AT609" s="41">
        <v>3.3</v>
      </c>
      <c r="AU609" s="41">
        <v>3.3</v>
      </c>
      <c r="AV609" s="41">
        <v>3.3</v>
      </c>
      <c r="AW609" s="41">
        <v>3.3690000000000002</v>
      </c>
      <c r="AX609" s="41"/>
      <c r="AY609" s="41"/>
      <c r="AZ609" s="41">
        <v>3.44</v>
      </c>
      <c r="BA609" s="41">
        <v>3.4830000000000001</v>
      </c>
      <c r="BB609" s="41">
        <v>3.5310000000000001</v>
      </c>
      <c r="BC609" s="41"/>
      <c r="BD609" s="41">
        <v>3.7536</v>
      </c>
      <c r="BE609" s="41">
        <v>3.8454000000000002</v>
      </c>
      <c r="BF609" s="41">
        <v>3.9152</v>
      </c>
      <c r="BG609" s="41">
        <v>4.0042999999999997</v>
      </c>
      <c r="BH609" s="41">
        <v>4.0827</v>
      </c>
      <c r="BI609" s="41">
        <v>4.1383000000000001</v>
      </c>
      <c r="BJ609" s="41">
        <v>4.2087000000000003</v>
      </c>
      <c r="BK609" s="41"/>
      <c r="BL609" s="41"/>
      <c r="BM609" s="41"/>
      <c r="BN609" s="41">
        <f t="shared" si="10"/>
        <v>4.2087000000000003</v>
      </c>
    </row>
    <row r="610" spans="2:66" hidden="1" outlineLevel="1" x14ac:dyDescent="0.35">
      <c r="B610" s="41" t="s">
        <v>231</v>
      </c>
      <c r="C610" s="41" t="s">
        <v>35</v>
      </c>
      <c r="D610" s="41" t="s">
        <v>746</v>
      </c>
      <c r="E610" s="41" t="s">
        <v>745</v>
      </c>
      <c r="F610" s="41">
        <v>0.157</v>
      </c>
      <c r="G610" s="41"/>
      <c r="H610" s="41"/>
      <c r="I610" s="41"/>
      <c r="J610" s="41"/>
      <c r="K610" s="41"/>
      <c r="L610" s="41"/>
      <c r="M610" s="41"/>
      <c r="N610" s="41"/>
      <c r="O610" s="41"/>
      <c r="P610" s="41">
        <v>0.28399999999999997</v>
      </c>
      <c r="Q610" s="41"/>
      <c r="R610" s="41"/>
      <c r="S610" s="41"/>
      <c r="T610" s="41"/>
      <c r="U610" s="41"/>
      <c r="V610" s="41"/>
      <c r="W610" s="41"/>
      <c r="X610" s="41"/>
      <c r="Y610" s="41"/>
      <c r="Z610" s="41"/>
      <c r="AA610" s="41">
        <v>0.224</v>
      </c>
      <c r="AB610" s="41"/>
      <c r="AC610" s="41"/>
      <c r="AD610" s="41">
        <v>0.23799999999999999</v>
      </c>
      <c r="AE610" s="41"/>
      <c r="AF610" s="41"/>
      <c r="AG610" s="41"/>
      <c r="AH610" s="41"/>
      <c r="AI610" s="41"/>
      <c r="AJ610" s="41">
        <v>0.16200000000000001</v>
      </c>
      <c r="AK610" s="41"/>
      <c r="AL610" s="41"/>
      <c r="AM610" s="41"/>
      <c r="AN610" s="41"/>
      <c r="AO610" s="41">
        <v>0.191</v>
      </c>
      <c r="AP610" s="41">
        <v>0.14000000000000001</v>
      </c>
      <c r="AQ610" s="41"/>
      <c r="AR610" s="41"/>
      <c r="AS610" s="41">
        <v>0.1328</v>
      </c>
      <c r="AT610" s="41"/>
      <c r="AU610" s="41"/>
      <c r="AV610" s="41"/>
      <c r="AW610" s="41"/>
      <c r="AX610" s="41">
        <v>0.16739999999999999</v>
      </c>
      <c r="AY610" s="41">
        <v>0.17879999999999999</v>
      </c>
      <c r="AZ610" s="41">
        <v>0.2324</v>
      </c>
      <c r="BA610" s="41"/>
      <c r="BB610" s="41"/>
      <c r="BC610" s="41"/>
      <c r="BD610" s="41">
        <v>0.22900000000000001</v>
      </c>
      <c r="BE610" s="41"/>
      <c r="BF610" s="41"/>
      <c r="BG610" s="41"/>
      <c r="BH610" s="41">
        <v>0.2203</v>
      </c>
      <c r="BI610" s="41"/>
      <c r="BJ610" s="41"/>
      <c r="BK610" s="41"/>
      <c r="BL610" s="41"/>
      <c r="BM610" s="41"/>
      <c r="BN610" s="41">
        <f t="shared" si="10"/>
        <v>0.2203</v>
      </c>
    </row>
    <row r="611" spans="2:66" hidden="1" outlineLevel="1" x14ac:dyDescent="0.35">
      <c r="B611" s="41" t="s">
        <v>364</v>
      </c>
      <c r="C611" s="41" t="s">
        <v>365</v>
      </c>
      <c r="D611" s="41" t="s">
        <v>746</v>
      </c>
      <c r="E611" s="41" t="s">
        <v>745</v>
      </c>
      <c r="F611" s="41">
        <v>0.13300000000000001</v>
      </c>
      <c r="G611" s="41"/>
      <c r="H611" s="41"/>
      <c r="I611" s="41"/>
      <c r="J611" s="41"/>
      <c r="K611" s="41"/>
      <c r="L611" s="41"/>
      <c r="M611" s="41"/>
      <c r="N611" s="41"/>
      <c r="O611" s="41"/>
      <c r="P611" s="41">
        <v>0.161</v>
      </c>
      <c r="Q611" s="41"/>
      <c r="R611" s="41"/>
      <c r="S611" s="41"/>
      <c r="T611" s="41"/>
      <c r="U611" s="41"/>
      <c r="V611" s="41"/>
      <c r="W611" s="41"/>
      <c r="X611" s="41"/>
      <c r="Y611" s="41"/>
      <c r="Z611" s="41"/>
      <c r="AA611" s="41"/>
      <c r="AB611" s="41"/>
      <c r="AC611" s="41"/>
      <c r="AD611" s="41">
        <v>0.33900000000000002</v>
      </c>
      <c r="AE611" s="41"/>
      <c r="AF611" s="41"/>
      <c r="AG611" s="41"/>
      <c r="AH611" s="41"/>
      <c r="AI611" s="41"/>
      <c r="AJ611" s="41">
        <v>0.46</v>
      </c>
      <c r="AK611" s="41">
        <v>0.52800000000000002</v>
      </c>
      <c r="AL611" s="41"/>
      <c r="AM611" s="41"/>
      <c r="AN611" s="41"/>
      <c r="AO611" s="41">
        <v>0.47</v>
      </c>
      <c r="AP611" s="41">
        <v>0.49299999999999999</v>
      </c>
      <c r="AQ611" s="41">
        <v>0.53669999999999995</v>
      </c>
      <c r="AR611" s="41"/>
      <c r="AS611" s="41"/>
      <c r="AT611" s="41"/>
      <c r="AU611" s="41">
        <v>1.7790999999999999</v>
      </c>
      <c r="AV611" s="41"/>
      <c r="AW611" s="41"/>
      <c r="AX611" s="41"/>
      <c r="AY611" s="41"/>
      <c r="AZ611" s="41"/>
      <c r="BA611" s="41"/>
      <c r="BB611" s="41"/>
      <c r="BC611" s="41"/>
      <c r="BD611" s="41"/>
      <c r="BE611" s="41"/>
      <c r="BF611" s="41"/>
      <c r="BG611" s="41"/>
      <c r="BH611" s="41"/>
      <c r="BI611" s="41"/>
      <c r="BJ611" s="41"/>
      <c r="BK611" s="41">
        <v>1.0825</v>
      </c>
      <c r="BL611" s="41"/>
      <c r="BM611" s="41"/>
      <c r="BN611" s="41">
        <f t="shared" si="10"/>
        <v>1.0825</v>
      </c>
    </row>
    <row r="612" spans="2:66" hidden="1" outlineLevel="1" x14ac:dyDescent="0.35">
      <c r="B612" s="41" t="s">
        <v>363</v>
      </c>
      <c r="C612" s="41" t="s">
        <v>36</v>
      </c>
      <c r="D612" s="41" t="s">
        <v>746</v>
      </c>
      <c r="E612" s="41" t="s">
        <v>745</v>
      </c>
      <c r="F612" s="41"/>
      <c r="G612" s="41"/>
      <c r="H612" s="41"/>
      <c r="I612" s="41"/>
      <c r="J612" s="41"/>
      <c r="K612" s="41"/>
      <c r="L612" s="41"/>
      <c r="M612" s="41"/>
      <c r="N612" s="41"/>
      <c r="O612" s="41"/>
      <c r="P612" s="41"/>
      <c r="Q612" s="41"/>
      <c r="R612" s="41"/>
      <c r="S612" s="41"/>
      <c r="T612" s="41"/>
      <c r="U612" s="41"/>
      <c r="V612" s="41"/>
      <c r="W612" s="41"/>
      <c r="X612" s="41"/>
      <c r="Y612" s="41"/>
      <c r="Z612" s="41">
        <v>1.8</v>
      </c>
      <c r="AA612" s="41">
        <v>1.8</v>
      </c>
      <c r="AB612" s="41">
        <v>2</v>
      </c>
      <c r="AC612" s="41">
        <v>2.1</v>
      </c>
      <c r="AD612" s="41">
        <v>2.2999999999999998</v>
      </c>
      <c r="AE612" s="41">
        <v>2.2999999999999998</v>
      </c>
      <c r="AF612" s="41">
        <v>2.2999999999999998</v>
      </c>
      <c r="AG612" s="41">
        <v>2.2999999999999998</v>
      </c>
      <c r="AH612" s="41">
        <v>2.4</v>
      </c>
      <c r="AI612" s="41">
        <v>2.5</v>
      </c>
      <c r="AJ612" s="41">
        <v>2.5</v>
      </c>
      <c r="AK612" s="41">
        <v>2.4</v>
      </c>
      <c r="AL612" s="41">
        <v>2.6</v>
      </c>
      <c r="AM612" s="41">
        <v>2.6</v>
      </c>
      <c r="AN612" s="41">
        <v>2.8978999999999999</v>
      </c>
      <c r="AO612" s="41">
        <v>2.9033000000000002</v>
      </c>
      <c r="AP612" s="41">
        <v>2.6</v>
      </c>
      <c r="AQ612" s="41">
        <v>2.9159000000000002</v>
      </c>
      <c r="AR612" s="41">
        <v>2.8</v>
      </c>
      <c r="AS612" s="41"/>
      <c r="AT612" s="41"/>
      <c r="AU612" s="41">
        <v>3.6579999999999999</v>
      </c>
      <c r="AV612" s="41">
        <v>2.9249999999999998</v>
      </c>
      <c r="AW612" s="41">
        <v>2.9983</v>
      </c>
      <c r="AX612" s="41">
        <v>3.0427</v>
      </c>
      <c r="AY612" s="41">
        <v>3.2000999999999999</v>
      </c>
      <c r="AZ612" s="41">
        <v>3.1629999999999998</v>
      </c>
      <c r="BA612" s="41">
        <v>3.419</v>
      </c>
      <c r="BB612" s="41">
        <v>3.3935</v>
      </c>
      <c r="BC612" s="41">
        <v>3.4013</v>
      </c>
      <c r="BD612" s="41">
        <v>3.5790999999999999</v>
      </c>
      <c r="BE612" s="41">
        <v>3.6183999999999998</v>
      </c>
      <c r="BF612" s="41">
        <v>3.6461000000000001</v>
      </c>
      <c r="BG612" s="41">
        <v>3.6395</v>
      </c>
      <c r="BH612" s="41">
        <v>3.6440000000000001</v>
      </c>
      <c r="BI612" s="41">
        <v>3.6743000000000001</v>
      </c>
      <c r="BJ612" s="41">
        <v>4.4566999999999997</v>
      </c>
      <c r="BK612" s="41"/>
      <c r="BL612" s="41"/>
      <c r="BM612" s="41"/>
      <c r="BN612" s="41">
        <f t="shared" si="10"/>
        <v>4.4566999999999997</v>
      </c>
    </row>
    <row r="613" spans="2:66" hidden="1" outlineLevel="1" x14ac:dyDescent="0.35">
      <c r="B613" s="41" t="s">
        <v>366</v>
      </c>
      <c r="C613" s="41" t="s">
        <v>367</v>
      </c>
      <c r="D613" s="41" t="s">
        <v>746</v>
      </c>
      <c r="E613" s="41" t="s">
        <v>745</v>
      </c>
      <c r="F613" s="41">
        <v>0.121</v>
      </c>
      <c r="G613" s="41"/>
      <c r="H613" s="41"/>
      <c r="I613" s="41"/>
      <c r="J613" s="41"/>
      <c r="K613" s="41">
        <v>0.58799999999999997</v>
      </c>
      <c r="L613" s="41"/>
      <c r="M613" s="41"/>
      <c r="N613" s="41"/>
      <c r="O613" s="41"/>
      <c r="P613" s="41"/>
      <c r="Q613" s="41"/>
      <c r="R613" s="41"/>
      <c r="S613" s="41"/>
      <c r="T613" s="41"/>
      <c r="U613" s="41">
        <v>0.435</v>
      </c>
      <c r="V613" s="41"/>
      <c r="W613" s="41"/>
      <c r="X613" s="41"/>
      <c r="Y613" s="41"/>
      <c r="Z613" s="41"/>
      <c r="AA613" s="41"/>
      <c r="AB613" s="41"/>
      <c r="AC613" s="41"/>
      <c r="AD613" s="41">
        <v>0.56399999999999995</v>
      </c>
      <c r="AE613" s="41"/>
      <c r="AF613" s="41"/>
      <c r="AG613" s="41"/>
      <c r="AH613" s="41">
        <v>1.0740000000000001</v>
      </c>
      <c r="AI613" s="41"/>
      <c r="AJ613" s="41">
        <v>1.49</v>
      </c>
      <c r="AK613" s="41"/>
      <c r="AL613" s="41"/>
      <c r="AM613" s="41">
        <v>1.054</v>
      </c>
      <c r="AN613" s="41"/>
      <c r="AO613" s="41">
        <v>1.5</v>
      </c>
      <c r="AP613" s="41"/>
      <c r="AQ613" s="41">
        <v>2.1560000000000001</v>
      </c>
      <c r="AR613" s="41"/>
      <c r="AS613" s="41"/>
      <c r="AT613" s="41">
        <v>1.8301000000000001</v>
      </c>
      <c r="AU613" s="41"/>
      <c r="AV613" s="41"/>
      <c r="AW613" s="41"/>
      <c r="AX613" s="41"/>
      <c r="AY613" s="41"/>
      <c r="AZ613" s="41"/>
      <c r="BA613" s="41"/>
      <c r="BB613" s="41">
        <v>1.0777000000000001</v>
      </c>
      <c r="BC613" s="41"/>
      <c r="BD613" s="41"/>
      <c r="BE613" s="41">
        <v>1.4943</v>
      </c>
      <c r="BF613" s="41"/>
      <c r="BG613" s="41"/>
      <c r="BH613" s="41"/>
      <c r="BI613" s="41"/>
      <c r="BJ613" s="41"/>
      <c r="BK613" s="41">
        <v>1.56</v>
      </c>
      <c r="BL613" s="41"/>
      <c r="BM613" s="41"/>
      <c r="BN613" s="41">
        <f t="shared" si="10"/>
        <v>1.56</v>
      </c>
    </row>
    <row r="614" spans="2:66" hidden="1" outlineLevel="1" x14ac:dyDescent="0.35">
      <c r="B614" s="41" t="s">
        <v>313</v>
      </c>
      <c r="C614" s="41" t="s">
        <v>37</v>
      </c>
      <c r="D614" s="41" t="s">
        <v>746</v>
      </c>
      <c r="E614" s="41" t="s">
        <v>745</v>
      </c>
      <c r="F614" s="41">
        <v>0.17299999999999999</v>
      </c>
      <c r="G614" s="41"/>
      <c r="H614" s="41"/>
      <c r="I614" s="41"/>
      <c r="J614" s="41"/>
      <c r="K614" s="41">
        <v>0.11600000000000001</v>
      </c>
      <c r="L614" s="41"/>
      <c r="M614" s="41"/>
      <c r="N614" s="41"/>
      <c r="O614" s="41"/>
      <c r="P614" s="41">
        <v>0.123</v>
      </c>
      <c r="Q614" s="41"/>
      <c r="R614" s="41"/>
      <c r="S614" s="41"/>
      <c r="T614" s="41"/>
      <c r="U614" s="41"/>
      <c r="V614" s="41"/>
      <c r="W614" s="41"/>
      <c r="X614" s="41"/>
      <c r="Y614" s="41">
        <v>0.38</v>
      </c>
      <c r="Z614" s="41"/>
      <c r="AA614" s="41"/>
      <c r="AB614" s="41"/>
      <c r="AC614" s="41"/>
      <c r="AD614" s="41">
        <v>0.42699999999999999</v>
      </c>
      <c r="AE614" s="41"/>
      <c r="AF614" s="41"/>
      <c r="AG614" s="41"/>
      <c r="AH614" s="41">
        <v>0.42899999999999999</v>
      </c>
      <c r="AI614" s="41"/>
      <c r="AJ614" s="41">
        <v>0.94199999999999995</v>
      </c>
      <c r="AK614" s="41"/>
      <c r="AL614" s="41"/>
      <c r="AM614" s="41">
        <v>0.82099999999999995</v>
      </c>
      <c r="AN614" s="41"/>
      <c r="AO614" s="41">
        <v>0.84599999999999997</v>
      </c>
      <c r="AP614" s="41"/>
      <c r="AQ614" s="41"/>
      <c r="AR614" s="41">
        <v>1</v>
      </c>
      <c r="AS614" s="41"/>
      <c r="AT614" s="41"/>
      <c r="AU614" s="41"/>
      <c r="AV614" s="41">
        <v>1.1053999999999999</v>
      </c>
      <c r="AW614" s="41"/>
      <c r="AX614" s="41"/>
      <c r="AY614" s="41">
        <v>1.0199</v>
      </c>
      <c r="AZ614" s="41"/>
      <c r="BA614" s="41">
        <v>1.1912</v>
      </c>
      <c r="BB614" s="41"/>
      <c r="BC614" s="41"/>
      <c r="BD614" s="41">
        <v>1.2070000000000001</v>
      </c>
      <c r="BE614" s="41"/>
      <c r="BF614" s="41"/>
      <c r="BG614" s="41"/>
      <c r="BH614" s="41"/>
      <c r="BI614" s="41"/>
      <c r="BJ614" s="41">
        <v>1.83</v>
      </c>
      <c r="BK614" s="41"/>
      <c r="BL614" s="41"/>
      <c r="BM614" s="41"/>
      <c r="BN614" s="41">
        <f t="shared" si="10"/>
        <v>1.83</v>
      </c>
    </row>
    <row r="615" spans="2:66" hidden="1" outlineLevel="1" x14ac:dyDescent="0.35">
      <c r="B615" s="41" t="s">
        <v>372</v>
      </c>
      <c r="C615" s="41" t="s">
        <v>373</v>
      </c>
      <c r="D615" s="41" t="s">
        <v>746</v>
      </c>
      <c r="E615" s="41" t="s">
        <v>745</v>
      </c>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v>0.85058523913436868</v>
      </c>
      <c r="AK615" s="41"/>
      <c r="AL615" s="41"/>
      <c r="AM615" s="41"/>
      <c r="AN615" s="41"/>
      <c r="AO615" s="41"/>
      <c r="AP615" s="41"/>
      <c r="AQ615" s="41"/>
      <c r="AR615" s="41"/>
      <c r="AS615" s="41"/>
      <c r="AT615" s="41">
        <v>1.0064622250608266</v>
      </c>
      <c r="AU615" s="41"/>
      <c r="AV615" s="41"/>
      <c r="AW615" s="41"/>
      <c r="AX615" s="41"/>
      <c r="AY615" s="41"/>
      <c r="AZ615" s="41"/>
      <c r="BA615" s="41"/>
      <c r="BB615" s="41"/>
      <c r="BC615" s="41"/>
      <c r="BD615" s="41"/>
      <c r="BE615" s="41"/>
      <c r="BF615" s="41"/>
      <c r="BG615" s="41"/>
      <c r="BH615" s="41"/>
      <c r="BI615" s="41">
        <v>1.4761485003558619</v>
      </c>
      <c r="BJ615" s="41"/>
      <c r="BK615" s="41"/>
      <c r="BL615" s="41"/>
      <c r="BM615" s="41"/>
      <c r="BN615" s="41">
        <f t="shared" si="10"/>
        <v>1.4761485003558619</v>
      </c>
    </row>
    <row r="616" spans="2:66" hidden="1" outlineLevel="1" x14ac:dyDescent="0.35">
      <c r="B616" s="41" t="s">
        <v>368</v>
      </c>
      <c r="C616" s="41" t="s">
        <v>369</v>
      </c>
      <c r="D616" s="41" t="s">
        <v>746</v>
      </c>
      <c r="E616" s="41" t="s">
        <v>745</v>
      </c>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v>0.87325614569788945</v>
      </c>
      <c r="AK616" s="41"/>
      <c r="AL616" s="41"/>
      <c r="AM616" s="41"/>
      <c r="AN616" s="41"/>
      <c r="AO616" s="41"/>
      <c r="AP616" s="41"/>
      <c r="AQ616" s="41"/>
      <c r="AR616" s="41"/>
      <c r="AS616" s="41"/>
      <c r="AT616" s="41">
        <v>0.75437138259027836</v>
      </c>
      <c r="AU616" s="41"/>
      <c r="AV616" s="41"/>
      <c r="AW616" s="41"/>
      <c r="AX616" s="41"/>
      <c r="AY616" s="41"/>
      <c r="AZ616" s="41"/>
      <c r="BA616" s="41"/>
      <c r="BB616" s="41"/>
      <c r="BC616" s="41"/>
      <c r="BD616" s="41"/>
      <c r="BE616" s="41"/>
      <c r="BF616" s="41"/>
      <c r="BG616" s="41"/>
      <c r="BH616" s="41"/>
      <c r="BI616" s="41">
        <v>0.94011084109972498</v>
      </c>
      <c r="BJ616" s="41"/>
      <c r="BK616" s="41"/>
      <c r="BL616" s="41"/>
      <c r="BM616" s="41"/>
      <c r="BN616" s="41">
        <f t="shared" si="10"/>
        <v>0.94011084109972498</v>
      </c>
    </row>
    <row r="617" spans="2:66" hidden="1" outlineLevel="1" x14ac:dyDescent="0.35">
      <c r="B617" s="41" t="s">
        <v>370</v>
      </c>
      <c r="C617" s="41" t="s">
        <v>371</v>
      </c>
      <c r="D617" s="41" t="s">
        <v>746</v>
      </c>
      <c r="E617" s="41" t="s">
        <v>745</v>
      </c>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v>0.92615972782662315</v>
      </c>
      <c r="AK617" s="41"/>
      <c r="AL617" s="41"/>
      <c r="AM617" s="41"/>
      <c r="AN617" s="41"/>
      <c r="AO617" s="41"/>
      <c r="AP617" s="41"/>
      <c r="AQ617" s="41"/>
      <c r="AR617" s="41"/>
      <c r="AS617" s="41"/>
      <c r="AT617" s="41">
        <v>1.094840183834624</v>
      </c>
      <c r="AU617" s="41"/>
      <c r="AV617" s="41"/>
      <c r="AW617" s="41"/>
      <c r="AX617" s="41"/>
      <c r="AY617" s="41"/>
      <c r="AZ617" s="41"/>
      <c r="BA617" s="41"/>
      <c r="BB617" s="41"/>
      <c r="BC617" s="41"/>
      <c r="BD617" s="41"/>
      <c r="BE617" s="41"/>
      <c r="BF617" s="41"/>
      <c r="BG617" s="41"/>
      <c r="BH617" s="41"/>
      <c r="BI617" s="41">
        <v>1.5767725519397087</v>
      </c>
      <c r="BJ617" s="41"/>
      <c r="BK617" s="41"/>
      <c r="BL617" s="41"/>
      <c r="BM617" s="41"/>
      <c r="BN617" s="41">
        <f t="shared" si="10"/>
        <v>1.5767725519397087</v>
      </c>
    </row>
    <row r="618" spans="2:66" hidden="1" outlineLevel="1" x14ac:dyDescent="0.35">
      <c r="B618" s="41" t="s">
        <v>384</v>
      </c>
      <c r="C618" s="41" t="s">
        <v>385</v>
      </c>
      <c r="D618" s="41" t="s">
        <v>746</v>
      </c>
      <c r="E618" s="41" t="s">
        <v>745</v>
      </c>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v>3.3384666699126808</v>
      </c>
      <c r="AK618" s="41"/>
      <c r="AL618" s="41"/>
      <c r="AM618" s="41"/>
      <c r="AN618" s="41"/>
      <c r="AO618" s="41"/>
      <c r="AP618" s="41"/>
      <c r="AQ618" s="41"/>
      <c r="AR618" s="41"/>
      <c r="AS618" s="41"/>
      <c r="AT618" s="41">
        <v>3.1658773755261795</v>
      </c>
      <c r="AU618" s="41"/>
      <c r="AV618" s="41"/>
      <c r="AW618" s="41"/>
      <c r="AX618" s="41"/>
      <c r="AY618" s="41"/>
      <c r="AZ618" s="41"/>
      <c r="BA618" s="41"/>
      <c r="BB618" s="41"/>
      <c r="BC618" s="41"/>
      <c r="BD618" s="41"/>
      <c r="BE618" s="41"/>
      <c r="BF618" s="41"/>
      <c r="BG618" s="41"/>
      <c r="BH618" s="41"/>
      <c r="BI618" s="41">
        <v>3.045276370500583</v>
      </c>
      <c r="BJ618" s="41"/>
      <c r="BK618" s="41"/>
      <c r="BL618" s="41"/>
      <c r="BM618" s="41"/>
      <c r="BN618" s="41">
        <f t="shared" si="10"/>
        <v>3.045276370500583</v>
      </c>
    </row>
    <row r="619" spans="2:66" hidden="1" outlineLevel="1" x14ac:dyDescent="0.35">
      <c r="B619" s="41" t="s">
        <v>382</v>
      </c>
      <c r="C619" s="41" t="s">
        <v>383</v>
      </c>
      <c r="D619" s="41" t="s">
        <v>746</v>
      </c>
      <c r="E619" s="41" t="s">
        <v>745</v>
      </c>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v>3.0138411222447261</v>
      </c>
      <c r="AK619" s="41"/>
      <c r="AL619" s="41"/>
      <c r="AM619" s="41"/>
      <c r="AN619" s="41"/>
      <c r="AO619" s="41"/>
      <c r="AP619" s="41"/>
      <c r="AQ619" s="41"/>
      <c r="AR619" s="41"/>
      <c r="AS619" s="41"/>
      <c r="AT619" s="41">
        <v>3.2039927181533172</v>
      </c>
      <c r="AU619" s="41"/>
      <c r="AV619" s="41"/>
      <c r="AW619" s="41"/>
      <c r="AX619" s="41"/>
      <c r="AY619" s="41"/>
      <c r="AZ619" s="41"/>
      <c r="BA619" s="41"/>
      <c r="BB619" s="41"/>
      <c r="BC619" s="41"/>
      <c r="BD619" s="41"/>
      <c r="BE619" s="41"/>
      <c r="BF619" s="41"/>
      <c r="BG619" s="41"/>
      <c r="BH619" s="41"/>
      <c r="BI619" s="41">
        <v>3.3729252519521515</v>
      </c>
      <c r="BJ619" s="41"/>
      <c r="BK619" s="41"/>
      <c r="BL619" s="41"/>
      <c r="BM619" s="41"/>
      <c r="BN619" s="41">
        <f t="shared" si="10"/>
        <v>3.3729252519521515</v>
      </c>
    </row>
    <row r="620" spans="2:66" hidden="1" outlineLevel="1" x14ac:dyDescent="0.35">
      <c r="B620" s="41" t="s">
        <v>376</v>
      </c>
      <c r="C620" s="41" t="s">
        <v>38</v>
      </c>
      <c r="D620" s="41" t="s">
        <v>746</v>
      </c>
      <c r="E620" s="41" t="s">
        <v>745</v>
      </c>
      <c r="F620" s="41">
        <v>0.39600000000000002</v>
      </c>
      <c r="G620" s="41"/>
      <c r="H620" s="41"/>
      <c r="I620" s="41"/>
      <c r="J620" s="41"/>
      <c r="K620" s="41">
        <v>0.33500000000000002</v>
      </c>
      <c r="L620" s="41"/>
      <c r="M620" s="41"/>
      <c r="N620" s="41"/>
      <c r="O620" s="41"/>
      <c r="P620" s="41">
        <v>0.34799999999999998</v>
      </c>
      <c r="Q620" s="41"/>
      <c r="R620" s="41"/>
      <c r="S620" s="41"/>
      <c r="T620" s="41"/>
      <c r="U620" s="41">
        <v>0.35099999999999998</v>
      </c>
      <c r="V620" s="41"/>
      <c r="W620" s="41">
        <v>0.63700000000000001</v>
      </c>
      <c r="X620" s="41"/>
      <c r="Y620" s="41"/>
      <c r="Z620" s="41"/>
      <c r="AA620" s="41"/>
      <c r="AB620" s="41"/>
      <c r="AC620" s="41"/>
      <c r="AD620" s="41"/>
      <c r="AE620" s="41"/>
      <c r="AF620" s="41"/>
      <c r="AG620" s="41"/>
      <c r="AH620" s="41"/>
      <c r="AI620" s="41"/>
      <c r="AJ620" s="41">
        <v>0.95760000000000001</v>
      </c>
      <c r="AK620" s="41">
        <v>1.1667000000000001</v>
      </c>
      <c r="AL620" s="41">
        <v>1.2005999999999999</v>
      </c>
      <c r="AM620" s="41">
        <v>1.1093999999999999</v>
      </c>
      <c r="AN620" s="41">
        <v>1.2746</v>
      </c>
      <c r="AO620" s="41">
        <v>1.2474000000000001</v>
      </c>
      <c r="AP620" s="41">
        <v>1.3170999999999999</v>
      </c>
      <c r="AQ620" s="41">
        <v>1.3305</v>
      </c>
      <c r="AR620" s="41">
        <v>1.3167</v>
      </c>
      <c r="AS620" s="41">
        <v>1.3772</v>
      </c>
      <c r="AT620" s="41">
        <v>1.4519</v>
      </c>
      <c r="AU620" s="41">
        <v>1.5512999999999999</v>
      </c>
      <c r="AV620" s="41">
        <v>1.5752999999999999</v>
      </c>
      <c r="AW620" s="41">
        <v>1.5064</v>
      </c>
      <c r="AX620" s="41"/>
      <c r="AY620" s="41"/>
      <c r="AZ620" s="41"/>
      <c r="BA620" s="41"/>
      <c r="BB620" s="41"/>
      <c r="BC620" s="41">
        <v>1.6073</v>
      </c>
      <c r="BD620" s="41">
        <v>2.1219000000000001</v>
      </c>
      <c r="BE620" s="41">
        <v>1.6654</v>
      </c>
      <c r="BF620" s="41"/>
      <c r="BG620" s="41"/>
      <c r="BH620" s="41"/>
      <c r="BI620" s="41">
        <v>2.0733999999999999</v>
      </c>
      <c r="BJ620" s="41">
        <v>2.0499999999999998</v>
      </c>
      <c r="BK620" s="41"/>
      <c r="BL620" s="41"/>
      <c r="BM620" s="41"/>
      <c r="BN620" s="41">
        <f t="shared" ref="BN620:BN683" si="11">IFERROR(LOOKUP(2,1/(ISNUMBER(G620:BM620)),G620:BM620),"No reported value")</f>
        <v>2.0499999999999998</v>
      </c>
    </row>
    <row r="621" spans="2:66" hidden="1" outlineLevel="1" x14ac:dyDescent="0.35">
      <c r="B621" s="41" t="s">
        <v>377</v>
      </c>
      <c r="C621" s="41" t="s">
        <v>39</v>
      </c>
      <c r="D621" s="41" t="s">
        <v>746</v>
      </c>
      <c r="E621" s="41" t="s">
        <v>745</v>
      </c>
      <c r="F621" s="41">
        <v>0.39100000000000001</v>
      </c>
      <c r="G621" s="41"/>
      <c r="H621" s="41"/>
      <c r="I621" s="41"/>
      <c r="J621" s="41"/>
      <c r="K621" s="41">
        <v>0.435</v>
      </c>
      <c r="L621" s="41"/>
      <c r="M621" s="41"/>
      <c r="N621" s="41"/>
      <c r="O621" s="41"/>
      <c r="P621" s="41">
        <v>0.52700000000000002</v>
      </c>
      <c r="Q621" s="41"/>
      <c r="R621" s="41"/>
      <c r="S621" s="41"/>
      <c r="T621" s="41"/>
      <c r="U621" s="41">
        <v>0.53600000000000003</v>
      </c>
      <c r="V621" s="41"/>
      <c r="W621" s="41"/>
      <c r="X621" s="41"/>
      <c r="Y621" s="41"/>
      <c r="Z621" s="41">
        <v>1.0649999999999999</v>
      </c>
      <c r="AA621" s="41">
        <v>1.3640000000000001</v>
      </c>
      <c r="AB621" s="41">
        <v>1.365</v>
      </c>
      <c r="AC621" s="41"/>
      <c r="AD621" s="41"/>
      <c r="AE621" s="41"/>
      <c r="AF621" s="41">
        <v>1.304</v>
      </c>
      <c r="AG621" s="41"/>
      <c r="AH621" s="41"/>
      <c r="AI621" s="41"/>
      <c r="AJ621" s="41">
        <v>0.76</v>
      </c>
      <c r="AK621" s="41"/>
      <c r="AL621" s="41"/>
      <c r="AM621" s="41"/>
      <c r="AN621" s="41">
        <v>1.84</v>
      </c>
      <c r="AO621" s="41"/>
      <c r="AP621" s="41">
        <v>2.02</v>
      </c>
      <c r="AQ621" s="41">
        <v>1.6</v>
      </c>
      <c r="AR621" s="41"/>
      <c r="AS621" s="41"/>
      <c r="AT621" s="41">
        <v>2.1179999999999999</v>
      </c>
      <c r="AU621" s="41"/>
      <c r="AV621" s="41"/>
      <c r="AW621" s="41">
        <v>0.5202</v>
      </c>
      <c r="AX621" s="41"/>
      <c r="AY621" s="41">
        <v>2.4009999999999998</v>
      </c>
      <c r="AZ621" s="41"/>
      <c r="BA621" s="41">
        <v>2.6040000000000001</v>
      </c>
      <c r="BB621" s="41"/>
      <c r="BC621" s="41">
        <v>2.8039999999999998</v>
      </c>
      <c r="BD621" s="41">
        <v>2.83</v>
      </c>
      <c r="BE621" s="41"/>
      <c r="BF621" s="41"/>
      <c r="BG621" s="41"/>
      <c r="BH621" s="41">
        <v>0.79400000000000004</v>
      </c>
      <c r="BI621" s="41">
        <v>0.81</v>
      </c>
      <c r="BJ621" s="41">
        <v>0.81069999999999998</v>
      </c>
      <c r="BK621" s="41">
        <v>0.79020000000000001</v>
      </c>
      <c r="BL621" s="41"/>
      <c r="BM621" s="41"/>
      <c r="BN621" s="41">
        <f t="shared" si="11"/>
        <v>0.79020000000000001</v>
      </c>
    </row>
    <row r="622" spans="2:66" hidden="1" outlineLevel="1" x14ac:dyDescent="0.35">
      <c r="B622" s="41" t="s">
        <v>380</v>
      </c>
      <c r="C622" s="41" t="s">
        <v>381</v>
      </c>
      <c r="D622" s="41" t="s">
        <v>746</v>
      </c>
      <c r="E622" s="41" t="s">
        <v>745</v>
      </c>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v>3.0348344201515713</v>
      </c>
      <c r="AK622" s="41"/>
      <c r="AL622" s="41"/>
      <c r="AM622" s="41"/>
      <c r="AN622" s="41"/>
      <c r="AO622" s="41"/>
      <c r="AP622" s="41"/>
      <c r="AQ622" s="41"/>
      <c r="AR622" s="41"/>
      <c r="AS622" s="41"/>
      <c r="AT622" s="41">
        <v>3.6855896341408787</v>
      </c>
      <c r="AU622" s="41"/>
      <c r="AV622" s="41"/>
      <c r="AW622" s="41"/>
      <c r="AX622" s="41"/>
      <c r="AY622" s="41"/>
      <c r="AZ622" s="41"/>
      <c r="BA622" s="41"/>
      <c r="BB622" s="41"/>
      <c r="BC622" s="41"/>
      <c r="BD622" s="41"/>
      <c r="BE622" s="41"/>
      <c r="BF622" s="41"/>
      <c r="BG622" s="41"/>
      <c r="BH622" s="41"/>
      <c r="BI622" s="41">
        <v>3.8477576041724832</v>
      </c>
      <c r="BJ622" s="41"/>
      <c r="BK622" s="41"/>
      <c r="BL622" s="41"/>
      <c r="BM622" s="41"/>
      <c r="BN622" s="41">
        <f t="shared" si="11"/>
        <v>3.8477576041724832</v>
      </c>
    </row>
    <row r="623" spans="2:66" hidden="1" outlineLevel="1" x14ac:dyDescent="0.35">
      <c r="B623" s="41" t="s">
        <v>192</v>
      </c>
      <c r="C623" s="41" t="s">
        <v>168</v>
      </c>
      <c r="D623" s="41" t="s">
        <v>746</v>
      </c>
      <c r="E623" s="41" t="s">
        <v>745</v>
      </c>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v>1.9E-2</v>
      </c>
      <c r="AN623" s="41"/>
      <c r="AO623" s="41"/>
      <c r="AP623" s="41">
        <v>0.03</v>
      </c>
      <c r="AQ623" s="41"/>
      <c r="AR623" s="41"/>
      <c r="AS623" s="41"/>
      <c r="AT623" s="41"/>
      <c r="AU623" s="41"/>
      <c r="AV623" s="41"/>
      <c r="AW623" s="41"/>
      <c r="AX623" s="41">
        <v>5.57E-2</v>
      </c>
      <c r="AY623" s="41"/>
      <c r="AZ623" s="41"/>
      <c r="BA623" s="41"/>
      <c r="BB623" s="41"/>
      <c r="BC623" s="41"/>
      <c r="BD623" s="41"/>
      <c r="BE623" s="41"/>
      <c r="BF623" s="41"/>
      <c r="BG623" s="41"/>
      <c r="BH623" s="41"/>
      <c r="BI623" s="41"/>
      <c r="BJ623" s="41"/>
      <c r="BK623" s="41"/>
      <c r="BL623" s="41"/>
      <c r="BM623" s="41"/>
      <c r="BN623" s="41">
        <f t="shared" si="11"/>
        <v>5.57E-2</v>
      </c>
    </row>
    <row r="624" spans="2:66" hidden="1" outlineLevel="1" x14ac:dyDescent="0.35">
      <c r="B624" s="41" t="s">
        <v>529</v>
      </c>
      <c r="C624" s="41" t="s">
        <v>40</v>
      </c>
      <c r="D624" s="41" t="s">
        <v>746</v>
      </c>
      <c r="E624" s="41" t="s">
        <v>745</v>
      </c>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v>3.7835999999999999</v>
      </c>
      <c r="AK624" s="41">
        <v>3.8906999999999998</v>
      </c>
      <c r="AL624" s="41">
        <v>3.9502999999999999</v>
      </c>
      <c r="AM624" s="41">
        <v>4.0186000000000002</v>
      </c>
      <c r="AN624" s="41">
        <v>4.0762</v>
      </c>
      <c r="AO624" s="41">
        <v>4.0773999999999999</v>
      </c>
      <c r="AP624" s="41">
        <v>4.1379999999999999</v>
      </c>
      <c r="AQ624" s="41">
        <v>4.1921999999999997</v>
      </c>
      <c r="AR624" s="41">
        <v>4.2561999999999998</v>
      </c>
      <c r="AS624" s="41">
        <v>4.3147000000000002</v>
      </c>
      <c r="AT624" s="41">
        <v>4.3769</v>
      </c>
      <c r="AU624" s="41">
        <v>4.3586999999999998</v>
      </c>
      <c r="AV624" s="41">
        <v>4.4279000000000002</v>
      </c>
      <c r="AW624" s="41">
        <v>4.4701000000000004</v>
      </c>
      <c r="AX624" s="41">
        <v>4.4904000000000002</v>
      </c>
      <c r="AY624" s="41">
        <v>4.5210999999999997</v>
      </c>
      <c r="AZ624" s="41">
        <v>4.5407999999999999</v>
      </c>
      <c r="BA624" s="41">
        <v>4.5842999999999998</v>
      </c>
      <c r="BB624" s="41">
        <v>4.6519000000000004</v>
      </c>
      <c r="BC624" s="41">
        <v>4.7127999999999997</v>
      </c>
      <c r="BD624" s="41">
        <v>3.7408999999999999</v>
      </c>
      <c r="BE624" s="41">
        <v>3.8216000000000001</v>
      </c>
      <c r="BF624" s="41">
        <v>3.8165</v>
      </c>
      <c r="BG624" s="41">
        <v>3.8046000000000002</v>
      </c>
      <c r="BH624" s="41">
        <v>3.7974999999999999</v>
      </c>
      <c r="BI624" s="41">
        <v>3.8492999999999999</v>
      </c>
      <c r="BJ624" s="41">
        <v>4.0690999999999997</v>
      </c>
      <c r="BK624" s="41"/>
      <c r="BL624" s="41"/>
      <c r="BM624" s="41"/>
      <c r="BN624" s="41">
        <f t="shared" si="11"/>
        <v>4.0690999999999997</v>
      </c>
    </row>
    <row r="625" spans="2:66" hidden="1" outlineLevel="1" x14ac:dyDescent="0.35">
      <c r="B625" s="41" t="s">
        <v>378</v>
      </c>
      <c r="C625" s="41" t="s">
        <v>41</v>
      </c>
      <c r="D625" s="41" t="s">
        <v>746</v>
      </c>
      <c r="E625" s="41" t="s">
        <v>745</v>
      </c>
      <c r="F625" s="41"/>
      <c r="G625" s="41"/>
      <c r="H625" s="41"/>
      <c r="I625" s="41"/>
      <c r="J625" s="41"/>
      <c r="K625" s="41"/>
      <c r="L625" s="41"/>
      <c r="M625" s="41"/>
      <c r="N625" s="41"/>
      <c r="O625" s="41"/>
      <c r="P625" s="41"/>
      <c r="Q625" s="41"/>
      <c r="R625" s="41"/>
      <c r="S625" s="41"/>
      <c r="T625" s="41"/>
      <c r="U625" s="41"/>
      <c r="V625" s="41"/>
      <c r="W625" s="41"/>
      <c r="X625" s="41"/>
      <c r="Y625" s="41"/>
      <c r="Z625" s="41">
        <v>2.9380000000000002</v>
      </c>
      <c r="AA625" s="41"/>
      <c r="AB625" s="41"/>
      <c r="AC625" s="41"/>
      <c r="AD625" s="41"/>
      <c r="AE625" s="41">
        <v>3.35</v>
      </c>
      <c r="AF625" s="41">
        <v>3.4079999999999999</v>
      </c>
      <c r="AG625" s="41">
        <v>3.484</v>
      </c>
      <c r="AH625" s="41">
        <v>3.4849999999999999</v>
      </c>
      <c r="AI625" s="41">
        <v>3.49</v>
      </c>
      <c r="AJ625" s="41">
        <v>3.504</v>
      </c>
      <c r="AK625" s="41">
        <v>3.536</v>
      </c>
      <c r="AL625" s="41">
        <v>3.2639999999999998</v>
      </c>
      <c r="AM625" s="41">
        <v>3.2069999999999999</v>
      </c>
      <c r="AN625" s="41">
        <v>3.2</v>
      </c>
      <c r="AO625" s="41">
        <v>3.1909999999999998</v>
      </c>
      <c r="AP625" s="41">
        <v>3.1480000000000001</v>
      </c>
      <c r="AQ625" s="41">
        <v>3.1139999999999999</v>
      </c>
      <c r="AR625" s="41">
        <v>3.11</v>
      </c>
      <c r="AS625" s="41">
        <v>3.206</v>
      </c>
      <c r="AT625" s="41">
        <v>4.3727999999999998</v>
      </c>
      <c r="AU625" s="41">
        <v>3.16</v>
      </c>
      <c r="AV625" s="41"/>
      <c r="AW625" s="41"/>
      <c r="AX625" s="41"/>
      <c r="AY625" s="41"/>
      <c r="AZ625" s="41">
        <v>3.33</v>
      </c>
      <c r="BA625" s="41"/>
      <c r="BB625" s="41">
        <v>3.4089999999999998</v>
      </c>
      <c r="BC625" s="41"/>
      <c r="BD625" s="41">
        <v>3.2422</v>
      </c>
      <c r="BE625" s="41">
        <v>3.2911999999999999</v>
      </c>
      <c r="BF625" s="41">
        <v>3.278</v>
      </c>
      <c r="BG625" s="41">
        <v>3.3254999999999999</v>
      </c>
      <c r="BH625" s="41">
        <v>3.3100999999999998</v>
      </c>
      <c r="BI625" s="41">
        <v>3.4152</v>
      </c>
      <c r="BJ625" s="41">
        <v>3.4651000000000001</v>
      </c>
      <c r="BK625" s="41"/>
      <c r="BL625" s="41"/>
      <c r="BM625" s="41"/>
      <c r="BN625" s="41">
        <f t="shared" si="11"/>
        <v>3.4651000000000001</v>
      </c>
    </row>
    <row r="626" spans="2:66" hidden="1" outlineLevel="1" x14ac:dyDescent="0.35">
      <c r="B626" s="41" t="s">
        <v>194</v>
      </c>
      <c r="C626" s="41" t="s">
        <v>42</v>
      </c>
      <c r="D626" s="41" t="s">
        <v>746</v>
      </c>
      <c r="E626" s="41" t="s">
        <v>745</v>
      </c>
      <c r="F626" s="41">
        <v>8.9999999999999993E-3</v>
      </c>
      <c r="G626" s="41"/>
      <c r="H626" s="41"/>
      <c r="I626" s="41"/>
      <c r="J626" s="41"/>
      <c r="K626" s="41">
        <v>1.4E-2</v>
      </c>
      <c r="L626" s="41"/>
      <c r="M626" s="41"/>
      <c r="N626" s="41"/>
      <c r="O626" s="41"/>
      <c r="P626" s="41">
        <v>1.2E-2</v>
      </c>
      <c r="Q626" s="41"/>
      <c r="R626" s="41"/>
      <c r="S626" s="41"/>
      <c r="T626" s="41"/>
      <c r="U626" s="41">
        <v>1.2E-2</v>
      </c>
      <c r="V626" s="41"/>
      <c r="W626" s="41"/>
      <c r="X626" s="41"/>
      <c r="Y626" s="41"/>
      <c r="Z626" s="41">
        <v>1.0999999999999999E-2</v>
      </c>
      <c r="AA626" s="41">
        <v>1.0999999999999999E-2</v>
      </c>
      <c r="AB626" s="41"/>
      <c r="AC626" s="41"/>
      <c r="AD626" s="41">
        <v>1.2999999999999999E-2</v>
      </c>
      <c r="AE626" s="41"/>
      <c r="AF626" s="41"/>
      <c r="AG626" s="41"/>
      <c r="AH626" s="41">
        <v>3.1E-2</v>
      </c>
      <c r="AI626" s="41"/>
      <c r="AJ626" s="41"/>
      <c r="AK626" s="41"/>
      <c r="AL626" s="41"/>
      <c r="AM626" s="41"/>
      <c r="AN626" s="41">
        <v>2.9000000000000001E-2</v>
      </c>
      <c r="AO626" s="41"/>
      <c r="AP626" s="41">
        <v>2.5000000000000001E-2</v>
      </c>
      <c r="AQ626" s="41">
        <v>2.3E-2</v>
      </c>
      <c r="AR626" s="41">
        <v>2.1000000000000001E-2</v>
      </c>
      <c r="AS626" s="41">
        <v>0.02</v>
      </c>
      <c r="AT626" s="41">
        <v>2.1000000000000001E-2</v>
      </c>
      <c r="AU626" s="41">
        <v>2.8000000000000001E-2</v>
      </c>
      <c r="AV626" s="41">
        <v>2.9000000000000001E-2</v>
      </c>
      <c r="AW626" s="41">
        <v>2.6700000000000002E-2</v>
      </c>
      <c r="AX626" s="41">
        <v>2.6700000000000002E-2</v>
      </c>
      <c r="AY626" s="41">
        <v>3.2000000000000001E-2</v>
      </c>
      <c r="AZ626" s="41">
        <v>2.6800000000000001E-2</v>
      </c>
      <c r="BA626" s="41">
        <v>2.23E-2</v>
      </c>
      <c r="BB626" s="41">
        <v>2.5100000000000001E-2</v>
      </c>
      <c r="BC626" s="41">
        <v>2.52E-2</v>
      </c>
      <c r="BD626" s="41">
        <v>2.1999999999999999E-2</v>
      </c>
      <c r="BE626" s="41"/>
      <c r="BF626" s="41"/>
      <c r="BG626" s="41"/>
      <c r="BH626" s="41"/>
      <c r="BI626" s="41"/>
      <c r="BJ626" s="41"/>
      <c r="BK626" s="41">
        <v>0.1</v>
      </c>
      <c r="BL626" s="41"/>
      <c r="BM626" s="41"/>
      <c r="BN626" s="41">
        <f t="shared" si="11"/>
        <v>0.1</v>
      </c>
    </row>
    <row r="627" spans="2:66" hidden="1" outlineLevel="1" x14ac:dyDescent="0.35">
      <c r="B627" s="41" t="s">
        <v>388</v>
      </c>
      <c r="C627" s="41" t="s">
        <v>389</v>
      </c>
      <c r="D627" s="41" t="s">
        <v>746</v>
      </c>
      <c r="E627" s="41" t="s">
        <v>745</v>
      </c>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v>2.6607423815373603</v>
      </c>
      <c r="AK627" s="41"/>
      <c r="AL627" s="41"/>
      <c r="AM627" s="41"/>
      <c r="AN627" s="41"/>
      <c r="AO627" s="41"/>
      <c r="AP627" s="41"/>
      <c r="AQ627" s="41"/>
      <c r="AR627" s="41"/>
      <c r="AS627" s="41"/>
      <c r="AT627" s="41">
        <v>3.1704253691017117</v>
      </c>
      <c r="AU627" s="41"/>
      <c r="AV627" s="41"/>
      <c r="AW627" s="41"/>
      <c r="AX627" s="41"/>
      <c r="AY627" s="41"/>
      <c r="AZ627" s="41"/>
      <c r="BA627" s="41"/>
      <c r="BB627" s="41"/>
      <c r="BC627" s="41"/>
      <c r="BD627" s="41"/>
      <c r="BE627" s="41"/>
      <c r="BF627" s="41"/>
      <c r="BG627" s="41"/>
      <c r="BH627" s="41"/>
      <c r="BI627" s="41">
        <v>3.5742495045037481</v>
      </c>
      <c r="BJ627" s="41"/>
      <c r="BK627" s="41"/>
      <c r="BL627" s="41"/>
      <c r="BM627" s="41"/>
      <c r="BN627" s="41">
        <f t="shared" si="11"/>
        <v>3.5742495045037481</v>
      </c>
    </row>
    <row r="628" spans="2:66" hidden="1" outlineLevel="1" x14ac:dyDescent="0.35">
      <c r="B628" s="41" t="s">
        <v>393</v>
      </c>
      <c r="C628" s="41" t="s">
        <v>394</v>
      </c>
      <c r="D628" s="41" t="s">
        <v>746</v>
      </c>
      <c r="E628" s="41" t="s">
        <v>745</v>
      </c>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v>0.19575425362731189</v>
      </c>
      <c r="AK628" s="41"/>
      <c r="AL628" s="41"/>
      <c r="AM628" s="41"/>
      <c r="AN628" s="41"/>
      <c r="AO628" s="41"/>
      <c r="AP628" s="41"/>
      <c r="AQ628" s="41"/>
      <c r="AR628" s="41"/>
      <c r="AS628" s="41"/>
      <c r="AT628" s="41">
        <v>0.35426913358995793</v>
      </c>
      <c r="AU628" s="41"/>
      <c r="AV628" s="41"/>
      <c r="AW628" s="41"/>
      <c r="AX628" s="41"/>
      <c r="AY628" s="41"/>
      <c r="AZ628" s="41"/>
      <c r="BA628" s="41"/>
      <c r="BB628" s="41"/>
      <c r="BC628" s="41"/>
      <c r="BD628" s="41"/>
      <c r="BE628" s="41"/>
      <c r="BF628" s="41"/>
      <c r="BG628" s="41"/>
      <c r="BH628" s="41"/>
      <c r="BI628" s="41">
        <v>0.39973797980833775</v>
      </c>
      <c r="BJ628" s="41"/>
      <c r="BK628" s="41"/>
      <c r="BL628" s="41"/>
      <c r="BM628" s="41"/>
      <c r="BN628" s="41">
        <f t="shared" si="11"/>
        <v>0.39973797980833775</v>
      </c>
    </row>
    <row r="629" spans="2:66" hidden="1" outlineLevel="1" x14ac:dyDescent="0.35">
      <c r="B629" s="41" t="s">
        <v>392</v>
      </c>
      <c r="C629" s="41" t="s">
        <v>43</v>
      </c>
      <c r="D629" s="41" t="s">
        <v>746</v>
      </c>
      <c r="E629" s="41" t="s">
        <v>745</v>
      </c>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v>2</v>
      </c>
      <c r="AK629" s="41">
        <v>2</v>
      </c>
      <c r="AL629" s="41">
        <v>2.1</v>
      </c>
      <c r="AM629" s="41">
        <v>2.1</v>
      </c>
      <c r="AN629" s="41">
        <v>2.2000000000000002</v>
      </c>
      <c r="AO629" s="41">
        <v>2.2000000000000002</v>
      </c>
      <c r="AP629" s="41">
        <v>2.2999999999999998</v>
      </c>
      <c r="AQ629" s="41">
        <v>2.4</v>
      </c>
      <c r="AR629" s="41">
        <v>2.4</v>
      </c>
      <c r="AS629" s="41">
        <v>2.5</v>
      </c>
      <c r="AT629" s="41">
        <v>2.6</v>
      </c>
      <c r="AU629" s="41">
        <v>2.6</v>
      </c>
      <c r="AV629" s="41">
        <v>3.1545999999999998</v>
      </c>
      <c r="AW629" s="41">
        <v>2.6</v>
      </c>
      <c r="AX629" s="41"/>
      <c r="AY629" s="41"/>
      <c r="AZ629" s="41">
        <v>3.3</v>
      </c>
      <c r="BA629" s="41">
        <v>3.319</v>
      </c>
      <c r="BB629" s="41">
        <v>2.7349999999999999</v>
      </c>
      <c r="BC629" s="41">
        <v>2.8795000000000002</v>
      </c>
      <c r="BD629" s="41">
        <v>2.9874000000000001</v>
      </c>
      <c r="BE629" s="41">
        <v>2.9855999999999998</v>
      </c>
      <c r="BF629" s="41">
        <v>3.0693000000000001</v>
      </c>
      <c r="BG629" s="41">
        <v>3.1482999999999999</v>
      </c>
      <c r="BH629" s="41">
        <v>3.2073</v>
      </c>
      <c r="BI629" s="41"/>
      <c r="BJ629" s="41">
        <v>3.8079999999999998</v>
      </c>
      <c r="BK629" s="41"/>
      <c r="BL629" s="41"/>
      <c r="BM629" s="41"/>
      <c r="BN629" s="41">
        <f t="shared" si="11"/>
        <v>3.8079999999999998</v>
      </c>
    </row>
    <row r="630" spans="2:66" hidden="1" outlineLevel="1" x14ac:dyDescent="0.35">
      <c r="B630" s="41" t="s">
        <v>248</v>
      </c>
      <c r="C630" s="41" t="s">
        <v>44</v>
      </c>
      <c r="D630" s="41" t="s">
        <v>746</v>
      </c>
      <c r="E630" s="41" t="s">
        <v>745</v>
      </c>
      <c r="F630" s="41">
        <v>0.495</v>
      </c>
      <c r="G630" s="41"/>
      <c r="H630" s="41"/>
      <c r="I630" s="41"/>
      <c r="J630" s="41"/>
      <c r="K630" s="41"/>
      <c r="L630" s="41"/>
      <c r="M630" s="41"/>
      <c r="N630" s="41"/>
      <c r="O630" s="41"/>
      <c r="P630" s="41">
        <v>0.47099999999999997</v>
      </c>
      <c r="Q630" s="41"/>
      <c r="R630" s="41"/>
      <c r="S630" s="41"/>
      <c r="T630" s="41"/>
      <c r="U630" s="41">
        <v>0.47599999999999998</v>
      </c>
      <c r="V630" s="41"/>
      <c r="W630" s="41"/>
      <c r="X630" s="41"/>
      <c r="Y630" s="41"/>
      <c r="Z630" s="41">
        <v>0.44800000000000001</v>
      </c>
      <c r="AA630" s="41"/>
      <c r="AB630" s="41">
        <v>0.49399999999999999</v>
      </c>
      <c r="AC630" s="41"/>
      <c r="AD630" s="41"/>
      <c r="AE630" s="41"/>
      <c r="AF630" s="41"/>
      <c r="AG630" s="41"/>
      <c r="AH630" s="41"/>
      <c r="AI630" s="41">
        <v>0.35799999999999998</v>
      </c>
      <c r="AJ630" s="41"/>
      <c r="AK630" s="41"/>
      <c r="AL630" s="41">
        <v>0.47199999999999998</v>
      </c>
      <c r="AM630" s="41"/>
      <c r="AN630" s="41">
        <v>0.376</v>
      </c>
      <c r="AO630" s="41"/>
      <c r="AP630" s="41"/>
      <c r="AQ630" s="41">
        <v>0.47599999999999998</v>
      </c>
      <c r="AR630" s="41">
        <v>0.35699999999999998</v>
      </c>
      <c r="AS630" s="41">
        <v>0.33600000000000002</v>
      </c>
      <c r="AT630" s="41"/>
      <c r="AU630" s="41"/>
      <c r="AV630" s="41"/>
      <c r="AW630" s="41">
        <v>0.46529999999999999</v>
      </c>
      <c r="AX630" s="41"/>
      <c r="AY630" s="41"/>
      <c r="AZ630" s="41"/>
      <c r="BA630" s="41"/>
      <c r="BB630" s="41">
        <v>0.39960000000000001</v>
      </c>
      <c r="BC630" s="41">
        <v>0.43659999999999999</v>
      </c>
      <c r="BD630" s="41">
        <v>0.42599999999999999</v>
      </c>
      <c r="BE630" s="41"/>
      <c r="BF630" s="41"/>
      <c r="BG630" s="41">
        <v>0.80249999999999999</v>
      </c>
      <c r="BH630" s="41"/>
      <c r="BI630" s="41">
        <v>0.83740000000000003</v>
      </c>
      <c r="BJ630" s="41"/>
      <c r="BK630" s="41"/>
      <c r="BL630" s="41"/>
      <c r="BM630" s="41"/>
      <c r="BN630" s="41">
        <f t="shared" si="11"/>
        <v>0.83740000000000003</v>
      </c>
    </row>
    <row r="631" spans="2:66" hidden="1" outlineLevel="1" x14ac:dyDescent="0.35">
      <c r="B631" s="41" t="s">
        <v>395</v>
      </c>
      <c r="C631" s="41" t="s">
        <v>45</v>
      </c>
      <c r="D631" s="41" t="s">
        <v>746</v>
      </c>
      <c r="E631" s="41" t="s">
        <v>745</v>
      </c>
      <c r="F631" s="41"/>
      <c r="G631" s="41"/>
      <c r="H631" s="41"/>
      <c r="I631" s="41"/>
      <c r="J631" s="41"/>
      <c r="K631" s="41"/>
      <c r="L631" s="41"/>
      <c r="M631" s="41"/>
      <c r="N631" s="41"/>
      <c r="O631" s="41"/>
      <c r="P631" s="41">
        <v>1.2</v>
      </c>
      <c r="Q631" s="41">
        <v>1.3</v>
      </c>
      <c r="R631" s="41">
        <v>1.3</v>
      </c>
      <c r="S631" s="41">
        <v>1.4</v>
      </c>
      <c r="T631" s="41">
        <v>1.4</v>
      </c>
      <c r="U631" s="41">
        <v>1.5</v>
      </c>
      <c r="V631" s="41">
        <v>1.5</v>
      </c>
      <c r="W631" s="41">
        <v>1.6</v>
      </c>
      <c r="X631" s="41">
        <v>1.7</v>
      </c>
      <c r="Y631" s="41">
        <v>1.8</v>
      </c>
      <c r="Z631" s="41">
        <v>1.9</v>
      </c>
      <c r="AA631" s="41">
        <v>2</v>
      </c>
      <c r="AB631" s="41">
        <v>2.1</v>
      </c>
      <c r="AC631" s="41">
        <v>2.1</v>
      </c>
      <c r="AD631" s="41">
        <v>2.5</v>
      </c>
      <c r="AE631" s="41">
        <v>2.7</v>
      </c>
      <c r="AF631" s="41">
        <v>2.8</v>
      </c>
      <c r="AG631" s="41">
        <v>2.8</v>
      </c>
      <c r="AH631" s="41">
        <v>2.9</v>
      </c>
      <c r="AI631" s="41">
        <v>3</v>
      </c>
      <c r="AJ631" s="41">
        <v>3.1</v>
      </c>
      <c r="AK631" s="41">
        <v>3.0661999999999998</v>
      </c>
      <c r="AL631" s="41"/>
      <c r="AM631" s="41"/>
      <c r="AN631" s="41"/>
      <c r="AO631" s="41"/>
      <c r="AP631" s="41">
        <v>3.2222</v>
      </c>
      <c r="AQ631" s="41"/>
      <c r="AR631" s="41"/>
      <c r="AS631" s="41"/>
      <c r="AT631" s="41"/>
      <c r="AU631" s="41"/>
      <c r="AV631" s="41"/>
      <c r="AW631" s="41"/>
      <c r="AX631" s="41"/>
      <c r="AY631" s="41"/>
      <c r="AZ631" s="41"/>
      <c r="BA631" s="41">
        <v>3.6745999999999999</v>
      </c>
      <c r="BB631" s="41"/>
      <c r="BC631" s="41"/>
      <c r="BD631" s="41"/>
      <c r="BE631" s="41">
        <v>3.1560999999999999</v>
      </c>
      <c r="BF631" s="41">
        <v>3.1711</v>
      </c>
      <c r="BG631" s="41">
        <v>3.1835</v>
      </c>
      <c r="BH631" s="41">
        <v>3.2117</v>
      </c>
      <c r="BI631" s="41">
        <v>3.2237</v>
      </c>
      <c r="BJ631" s="41">
        <v>3.2349000000000001</v>
      </c>
      <c r="BK631" s="41"/>
      <c r="BL631" s="41"/>
      <c r="BM631" s="41"/>
      <c r="BN631" s="41">
        <f t="shared" si="11"/>
        <v>3.2349000000000001</v>
      </c>
    </row>
    <row r="632" spans="2:66" hidden="1" outlineLevel="1" x14ac:dyDescent="0.35">
      <c r="B632" s="41" t="s">
        <v>390</v>
      </c>
      <c r="C632" s="41" t="s">
        <v>391</v>
      </c>
      <c r="D632" s="41" t="s">
        <v>746</v>
      </c>
      <c r="E632" s="41" t="s">
        <v>745</v>
      </c>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t="str">
        <f t="shared" si="11"/>
        <v>No reported value</v>
      </c>
    </row>
    <row r="633" spans="2:66" hidden="1" outlineLevel="1" x14ac:dyDescent="0.35">
      <c r="B633" s="41" t="s">
        <v>463</v>
      </c>
      <c r="C633" s="41" t="s">
        <v>464</v>
      </c>
      <c r="D633" s="41" t="s">
        <v>746</v>
      </c>
      <c r="E633" s="41" t="s">
        <v>745</v>
      </c>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v>0.45100000000000001</v>
      </c>
      <c r="AN633" s="41"/>
      <c r="AO633" s="41"/>
      <c r="AP633" s="41"/>
      <c r="AQ633" s="41"/>
      <c r="AR633" s="41"/>
      <c r="AS633" s="41">
        <v>0.57299999999999995</v>
      </c>
      <c r="AT633" s="41">
        <v>0.59589999999999999</v>
      </c>
      <c r="AU633" s="41"/>
      <c r="AV633" s="41"/>
      <c r="AW633" s="41">
        <v>0.56179999999999997</v>
      </c>
      <c r="AX633" s="41"/>
      <c r="AY633" s="41">
        <v>0.58379999999999999</v>
      </c>
      <c r="AZ633" s="41"/>
      <c r="BA633" s="41"/>
      <c r="BB633" s="41">
        <v>0.61240000000000006</v>
      </c>
      <c r="BC633" s="41">
        <v>0.1923</v>
      </c>
      <c r="BD633" s="41">
        <v>0.17699999999999999</v>
      </c>
      <c r="BE633" s="41"/>
      <c r="BF633" s="41"/>
      <c r="BG633" s="41"/>
      <c r="BH633" s="41"/>
      <c r="BI633" s="41"/>
      <c r="BJ633" s="41"/>
      <c r="BK633" s="41"/>
      <c r="BL633" s="41"/>
      <c r="BM633" s="41"/>
      <c r="BN633" s="41">
        <f t="shared" si="11"/>
        <v>0.17699999999999999</v>
      </c>
    </row>
    <row r="634" spans="2:66" hidden="1" outlineLevel="1" x14ac:dyDescent="0.35">
      <c r="B634" s="41" t="s">
        <v>195</v>
      </c>
      <c r="C634" s="41" t="s">
        <v>46</v>
      </c>
      <c r="D634" s="41" t="s">
        <v>746</v>
      </c>
      <c r="E634" s="41" t="s">
        <v>745</v>
      </c>
      <c r="F634" s="41">
        <v>0.11700000000000001</v>
      </c>
      <c r="G634" s="41"/>
      <c r="H634" s="41"/>
      <c r="I634" s="41"/>
      <c r="J634" s="41"/>
      <c r="K634" s="41"/>
      <c r="L634" s="41"/>
      <c r="M634" s="41"/>
      <c r="N634" s="41"/>
      <c r="O634" s="41"/>
      <c r="P634" s="41">
        <v>0.191</v>
      </c>
      <c r="Q634" s="41"/>
      <c r="R634" s="41"/>
      <c r="S634" s="41"/>
      <c r="T634" s="41"/>
      <c r="U634" s="41"/>
      <c r="V634" s="41"/>
      <c r="W634" s="41"/>
      <c r="X634" s="41"/>
      <c r="Y634" s="41"/>
      <c r="Z634" s="41"/>
      <c r="AA634" s="41">
        <v>0.45700000000000002</v>
      </c>
      <c r="AB634" s="41"/>
      <c r="AC634" s="41">
        <v>0.433</v>
      </c>
      <c r="AD634" s="41"/>
      <c r="AE634" s="41">
        <v>0.51800000000000002</v>
      </c>
      <c r="AF634" s="41"/>
      <c r="AG634" s="41"/>
      <c r="AH634" s="41">
        <v>0.246</v>
      </c>
      <c r="AI634" s="41">
        <v>0.49399999999999999</v>
      </c>
      <c r="AJ634" s="41"/>
      <c r="AK634" s="41">
        <v>0.19320000000000001</v>
      </c>
      <c r="AL634" s="41"/>
      <c r="AM634" s="41">
        <v>0.21809999999999999</v>
      </c>
      <c r="AN634" s="41">
        <v>0.2616</v>
      </c>
      <c r="AO634" s="41">
        <v>0.29559999999999997</v>
      </c>
      <c r="AP634" s="41"/>
      <c r="AQ634" s="41"/>
      <c r="AR634" s="41"/>
      <c r="AS634" s="41"/>
      <c r="AT634" s="41"/>
      <c r="AU634" s="41"/>
      <c r="AV634" s="41"/>
      <c r="AW634" s="41"/>
      <c r="AX634" s="41">
        <v>0.28949999999999998</v>
      </c>
      <c r="AY634" s="41"/>
      <c r="AZ634" s="41"/>
      <c r="BA634" s="41"/>
      <c r="BB634" s="41"/>
      <c r="BC634" s="41"/>
      <c r="BD634" s="41"/>
      <c r="BE634" s="41"/>
      <c r="BF634" s="41"/>
      <c r="BG634" s="41"/>
      <c r="BH634" s="41"/>
      <c r="BI634" s="41"/>
      <c r="BJ634" s="41">
        <v>0.36109999999999998</v>
      </c>
      <c r="BK634" s="41"/>
      <c r="BL634" s="41"/>
      <c r="BM634" s="41"/>
      <c r="BN634" s="41">
        <f t="shared" si="11"/>
        <v>0.36109999999999998</v>
      </c>
    </row>
    <row r="635" spans="2:66" hidden="1" outlineLevel="1" x14ac:dyDescent="0.35">
      <c r="B635" s="41" t="s">
        <v>555</v>
      </c>
      <c r="C635" s="41" t="s">
        <v>47</v>
      </c>
      <c r="D635" s="41" t="s">
        <v>746</v>
      </c>
      <c r="E635" s="41" t="s">
        <v>745</v>
      </c>
      <c r="F635" s="41">
        <v>0.8</v>
      </c>
      <c r="G635" s="41">
        <v>0.9</v>
      </c>
      <c r="H635" s="41">
        <v>0.9</v>
      </c>
      <c r="I635" s="41">
        <v>0.9</v>
      </c>
      <c r="J635" s="41">
        <v>0.9</v>
      </c>
      <c r="K635" s="41">
        <v>0.9</v>
      </c>
      <c r="L635" s="41">
        <v>0.9</v>
      </c>
      <c r="M635" s="41">
        <v>0.9</v>
      </c>
      <c r="N635" s="41">
        <v>0.9</v>
      </c>
      <c r="O635" s="41">
        <v>0.9</v>
      </c>
      <c r="P635" s="41">
        <v>0.9</v>
      </c>
      <c r="Q635" s="41">
        <v>1</v>
      </c>
      <c r="R635" s="41">
        <v>1</v>
      </c>
      <c r="S635" s="41">
        <v>1.1000000000000001</v>
      </c>
      <c r="T635" s="41">
        <v>1.1000000000000001</v>
      </c>
      <c r="U635" s="41">
        <v>1.1000000000000001</v>
      </c>
      <c r="V635" s="41">
        <v>1.2</v>
      </c>
      <c r="W635" s="41">
        <v>1.2</v>
      </c>
      <c r="X635" s="41">
        <v>1.2</v>
      </c>
      <c r="Y635" s="41">
        <v>1.3</v>
      </c>
      <c r="Z635" s="41">
        <v>1.3</v>
      </c>
      <c r="AA635" s="41">
        <v>1.3</v>
      </c>
      <c r="AB635" s="41">
        <v>1.3</v>
      </c>
      <c r="AC635" s="41">
        <v>1.4</v>
      </c>
      <c r="AD635" s="41">
        <v>1.4</v>
      </c>
      <c r="AE635" s="41">
        <v>1.4</v>
      </c>
      <c r="AF635" s="41">
        <v>1.4</v>
      </c>
      <c r="AG635" s="41">
        <v>1.5</v>
      </c>
      <c r="AH635" s="41">
        <v>1.5</v>
      </c>
      <c r="AI635" s="41">
        <v>1.5</v>
      </c>
      <c r="AJ635" s="41">
        <v>1.6</v>
      </c>
      <c r="AK635" s="41">
        <v>1.6</v>
      </c>
      <c r="AL635" s="41">
        <v>1.6</v>
      </c>
      <c r="AM635" s="41">
        <v>1.7</v>
      </c>
      <c r="AN635" s="41">
        <v>1.7</v>
      </c>
      <c r="AO635" s="41">
        <v>1.7</v>
      </c>
      <c r="AP635" s="41">
        <v>1.8</v>
      </c>
      <c r="AQ635" s="41">
        <v>2.2905000000000002</v>
      </c>
      <c r="AR635" s="41">
        <v>1.9</v>
      </c>
      <c r="AS635" s="41">
        <v>1.9</v>
      </c>
      <c r="AT635" s="41">
        <v>1.9</v>
      </c>
      <c r="AU635" s="41">
        <v>2</v>
      </c>
      <c r="AV635" s="41">
        <v>2.2999999999999998</v>
      </c>
      <c r="AW635" s="41">
        <v>2.2000000000000002</v>
      </c>
      <c r="AX635" s="41"/>
      <c r="AY635" s="41"/>
      <c r="AZ635" s="41"/>
      <c r="BA635" s="41"/>
      <c r="BB635" s="41"/>
      <c r="BC635" s="41"/>
      <c r="BD635" s="41">
        <v>2.6724000000000001</v>
      </c>
      <c r="BE635" s="41">
        <v>2.7176</v>
      </c>
      <c r="BF635" s="41">
        <v>2.7279</v>
      </c>
      <c r="BG635" s="41">
        <v>2.7484999999999999</v>
      </c>
      <c r="BH635" s="41">
        <v>2.7768999999999999</v>
      </c>
      <c r="BI635" s="41">
        <v>2.778</v>
      </c>
      <c r="BJ635" s="41">
        <v>2.7959000000000001</v>
      </c>
      <c r="BK635" s="41">
        <v>2.8058000000000001</v>
      </c>
      <c r="BL635" s="41"/>
      <c r="BM635" s="41"/>
      <c r="BN635" s="41">
        <f t="shared" si="11"/>
        <v>2.8058000000000001</v>
      </c>
    </row>
    <row r="636" spans="2:66" hidden="1" outlineLevel="1" x14ac:dyDescent="0.35">
      <c r="B636" s="41" t="s">
        <v>236</v>
      </c>
      <c r="C636" s="41" t="s">
        <v>48</v>
      </c>
      <c r="D636" s="41" t="s">
        <v>746</v>
      </c>
      <c r="E636" s="41" t="s">
        <v>745</v>
      </c>
      <c r="F636" s="41"/>
      <c r="G636" s="41"/>
      <c r="H636" s="41"/>
      <c r="I636" s="41"/>
      <c r="J636" s="41"/>
      <c r="K636" s="41"/>
      <c r="L636" s="41"/>
      <c r="M636" s="41"/>
      <c r="N636" s="41"/>
      <c r="O636" s="41"/>
      <c r="P636" s="41">
        <v>3.2</v>
      </c>
      <c r="Q636" s="41">
        <v>3.3</v>
      </c>
      <c r="R636" s="41">
        <v>3.32</v>
      </c>
      <c r="S636" s="41">
        <v>3.4</v>
      </c>
      <c r="T636" s="41">
        <v>3.4750000000000001</v>
      </c>
      <c r="U636" s="41">
        <v>3.63</v>
      </c>
      <c r="V636" s="41">
        <v>3.72</v>
      </c>
      <c r="W636" s="41">
        <v>3.81</v>
      </c>
      <c r="X636" s="41">
        <v>3.95</v>
      </c>
      <c r="Y636" s="41">
        <v>4</v>
      </c>
      <c r="Z636" s="41">
        <v>4.1230000000000002</v>
      </c>
      <c r="AA636" s="41">
        <v>4.2119999999999997</v>
      </c>
      <c r="AB636" s="41">
        <v>4.319</v>
      </c>
      <c r="AC636" s="41">
        <v>4.3330000000000002</v>
      </c>
      <c r="AD636" s="41">
        <v>4.4710000000000001</v>
      </c>
      <c r="AE636" s="41">
        <v>4.6109999999999998</v>
      </c>
      <c r="AF636" s="41">
        <v>4.6989999999999998</v>
      </c>
      <c r="AG636" s="41">
        <v>4.8079999999999998</v>
      </c>
      <c r="AH636" s="41">
        <v>4.8680000000000003</v>
      </c>
      <c r="AI636" s="41">
        <v>4.9710000000000001</v>
      </c>
      <c r="AJ636" s="41">
        <v>4.9260000000000002</v>
      </c>
      <c r="AK636" s="41">
        <v>4.8979999999999997</v>
      </c>
      <c r="AL636" s="41">
        <v>4.726</v>
      </c>
      <c r="AM636" s="41">
        <v>5.0030000000000001</v>
      </c>
      <c r="AN636" s="41">
        <v>4.899</v>
      </c>
      <c r="AO636" s="41">
        <v>4.7919999999999998</v>
      </c>
      <c r="AP636" s="41">
        <v>4.4569999999999999</v>
      </c>
      <c r="AQ636" s="41">
        <v>5.1920000000000002</v>
      </c>
      <c r="AR636" s="41">
        <v>5.0419999999999998</v>
      </c>
      <c r="AS636" s="41">
        <v>3.7679999999999998</v>
      </c>
      <c r="AT636" s="41">
        <v>4.7309999999999999</v>
      </c>
      <c r="AU636" s="41">
        <v>4.2949999999999999</v>
      </c>
      <c r="AV636" s="41">
        <v>3.907</v>
      </c>
      <c r="AW636" s="41">
        <v>4.0890000000000004</v>
      </c>
      <c r="AX636" s="41"/>
      <c r="AY636" s="41"/>
      <c r="AZ636" s="41">
        <v>4.6500000000000004</v>
      </c>
      <c r="BA636" s="41">
        <v>4.5380000000000003</v>
      </c>
      <c r="BB636" s="41">
        <v>4.6661000000000001</v>
      </c>
      <c r="BC636" s="41">
        <v>4.8064999999999998</v>
      </c>
      <c r="BD636" s="41">
        <v>4.3072999999999997</v>
      </c>
      <c r="BE636" s="41">
        <v>4.4028999999999998</v>
      </c>
      <c r="BF636" s="41">
        <v>4.4391999999999996</v>
      </c>
      <c r="BG636" s="41">
        <v>4.5176999999999996</v>
      </c>
      <c r="BH636" s="41">
        <v>4.8266999999999998</v>
      </c>
      <c r="BI636" s="41">
        <v>5.0975999999999999</v>
      </c>
      <c r="BJ636" s="41"/>
      <c r="BK636" s="41"/>
      <c r="BL636" s="41"/>
      <c r="BM636" s="41"/>
      <c r="BN636" s="41">
        <f t="shared" si="11"/>
        <v>5.0975999999999999</v>
      </c>
    </row>
    <row r="637" spans="2:66" hidden="1" outlineLevel="1" x14ac:dyDescent="0.35">
      <c r="B637" s="41" t="s">
        <v>196</v>
      </c>
      <c r="C637" s="41" t="s">
        <v>162</v>
      </c>
      <c r="D637" s="41" t="s">
        <v>746</v>
      </c>
      <c r="E637" s="41" t="s">
        <v>745</v>
      </c>
      <c r="F637" s="41">
        <v>4.7E-2</v>
      </c>
      <c r="G637" s="41"/>
      <c r="H637" s="41"/>
      <c r="I637" s="41"/>
      <c r="J637" s="41"/>
      <c r="K637" s="41">
        <v>7.2999999999999995E-2</v>
      </c>
      <c r="L637" s="41"/>
      <c r="M637" s="41"/>
      <c r="N637" s="41"/>
      <c r="O637" s="41"/>
      <c r="P637" s="41">
        <v>7.8E-2</v>
      </c>
      <c r="Q637" s="41"/>
      <c r="R637" s="41"/>
      <c r="S637" s="41"/>
      <c r="T637" s="41"/>
      <c r="U637" s="41">
        <v>7.8E-2</v>
      </c>
      <c r="V637" s="41"/>
      <c r="W637" s="41"/>
      <c r="X637" s="41"/>
      <c r="Y637" s="41"/>
      <c r="Z637" s="41"/>
      <c r="AA637" s="41"/>
      <c r="AB637" s="41"/>
      <c r="AC637" s="41"/>
      <c r="AD637" s="41">
        <v>6.7000000000000004E-2</v>
      </c>
      <c r="AE637" s="41"/>
      <c r="AF637" s="41"/>
      <c r="AG637" s="41">
        <v>4.9000000000000002E-2</v>
      </c>
      <c r="AH637" s="41"/>
      <c r="AI637" s="41">
        <v>4.2999999999999997E-2</v>
      </c>
      <c r="AJ637" s="41"/>
      <c r="AK637" s="41"/>
      <c r="AL637" s="41"/>
      <c r="AM637" s="41"/>
      <c r="AN637" s="41"/>
      <c r="AO637" s="41"/>
      <c r="AP637" s="41">
        <v>6.2E-2</v>
      </c>
      <c r="AQ637" s="41"/>
      <c r="AR637" s="41"/>
      <c r="AS637" s="41"/>
      <c r="AT637" s="41"/>
      <c r="AU637" s="41"/>
      <c r="AV637" s="41">
        <v>0.09</v>
      </c>
      <c r="AW637" s="41"/>
      <c r="AX637" s="41">
        <v>0.15440000000000001</v>
      </c>
      <c r="AY637" s="41"/>
      <c r="AZ637" s="41"/>
      <c r="BA637" s="41">
        <v>7.3300000000000004E-2</v>
      </c>
      <c r="BB637" s="41">
        <v>0.111</v>
      </c>
      <c r="BC637" s="41">
        <v>8.5000000000000006E-2</v>
      </c>
      <c r="BD637" s="41">
        <v>9.4899999999999998E-2</v>
      </c>
      <c r="BE637" s="41"/>
      <c r="BF637" s="41"/>
      <c r="BG637" s="41">
        <v>0.1686</v>
      </c>
      <c r="BH637" s="41"/>
      <c r="BI637" s="41"/>
      <c r="BJ637" s="41">
        <v>0.1283</v>
      </c>
      <c r="BK637" s="41">
        <v>0.18</v>
      </c>
      <c r="BL637" s="41"/>
      <c r="BM637" s="41"/>
      <c r="BN637" s="41">
        <f t="shared" si="11"/>
        <v>0.18</v>
      </c>
    </row>
    <row r="638" spans="2:66" hidden="1" outlineLevel="1" x14ac:dyDescent="0.35">
      <c r="B638" s="41" t="s">
        <v>400</v>
      </c>
      <c r="C638" s="41" t="s">
        <v>401</v>
      </c>
      <c r="D638" s="41" t="s">
        <v>746</v>
      </c>
      <c r="E638" s="41" t="s">
        <v>745</v>
      </c>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t="str">
        <f t="shared" si="11"/>
        <v>No reported value</v>
      </c>
    </row>
    <row r="639" spans="2:66" hidden="1" outlineLevel="1" x14ac:dyDescent="0.35">
      <c r="B639" s="41" t="s">
        <v>197</v>
      </c>
      <c r="C639" s="41" t="s">
        <v>49</v>
      </c>
      <c r="D639" s="41" t="s">
        <v>746</v>
      </c>
      <c r="E639" s="41" t="s">
        <v>745</v>
      </c>
      <c r="F639" s="41">
        <v>3.5999999999999997E-2</v>
      </c>
      <c r="G639" s="41"/>
      <c r="H639" s="41"/>
      <c r="I639" s="41"/>
      <c r="J639" s="41"/>
      <c r="K639" s="41">
        <v>2.1999999999999999E-2</v>
      </c>
      <c r="L639" s="41"/>
      <c r="M639" s="41"/>
      <c r="N639" s="41"/>
      <c r="O639" s="41"/>
      <c r="P639" s="41">
        <v>0.02</v>
      </c>
      <c r="Q639" s="41"/>
      <c r="R639" s="41"/>
      <c r="S639" s="41"/>
      <c r="T639" s="41"/>
      <c r="U639" s="41"/>
      <c r="V639" s="41"/>
      <c r="W639" s="41"/>
      <c r="X639" s="41"/>
      <c r="Y639" s="41"/>
      <c r="Z639" s="41"/>
      <c r="AA639" s="41">
        <v>2.1999999999999999E-2</v>
      </c>
      <c r="AB639" s="41">
        <v>2.1999999999999999E-2</v>
      </c>
      <c r="AC639" s="41"/>
      <c r="AD639" s="41"/>
      <c r="AE639" s="41">
        <v>2.5999999999999999E-2</v>
      </c>
      <c r="AF639" s="41"/>
      <c r="AG639" s="41"/>
      <c r="AH639" s="41"/>
      <c r="AI639" s="41"/>
      <c r="AJ639" s="41">
        <v>0.13400000000000001</v>
      </c>
      <c r="AK639" s="41"/>
      <c r="AL639" s="41"/>
      <c r="AM639" s="41"/>
      <c r="AN639" s="41">
        <v>0.152</v>
      </c>
      <c r="AO639" s="41">
        <v>0.13</v>
      </c>
      <c r="AP639" s="41"/>
      <c r="AQ639" s="41"/>
      <c r="AR639" s="41"/>
      <c r="AS639" s="41"/>
      <c r="AT639" s="41">
        <v>8.6699999999999999E-2</v>
      </c>
      <c r="AU639" s="41"/>
      <c r="AV639" s="41"/>
      <c r="AW639" s="41"/>
      <c r="AX639" s="41">
        <v>0.104</v>
      </c>
      <c r="AY639" s="41">
        <v>9.7100000000000006E-2</v>
      </c>
      <c r="AZ639" s="41"/>
      <c r="BA639" s="41"/>
      <c r="BB639" s="41"/>
      <c r="BC639" s="41"/>
      <c r="BD639" s="41">
        <v>0.1</v>
      </c>
      <c r="BE639" s="41"/>
      <c r="BF639" s="41"/>
      <c r="BG639" s="41"/>
      <c r="BH639" s="41"/>
      <c r="BI639" s="41"/>
      <c r="BJ639" s="41">
        <v>7.8799999999999995E-2</v>
      </c>
      <c r="BK639" s="41"/>
      <c r="BL639" s="41"/>
      <c r="BM639" s="41"/>
      <c r="BN639" s="41">
        <f t="shared" si="11"/>
        <v>7.8799999999999995E-2</v>
      </c>
    </row>
    <row r="640" spans="2:66" hidden="1" outlineLevel="1" x14ac:dyDescent="0.35">
      <c r="B640" s="41" t="s">
        <v>398</v>
      </c>
      <c r="C640" s="41" t="s">
        <v>50</v>
      </c>
      <c r="D640" s="41" t="s">
        <v>746</v>
      </c>
      <c r="E640" s="41" t="s">
        <v>745</v>
      </c>
      <c r="F640" s="41">
        <v>4.2999999999999997E-2</v>
      </c>
      <c r="G640" s="41"/>
      <c r="H640" s="41"/>
      <c r="I640" s="41"/>
      <c r="J640" s="41"/>
      <c r="K640" s="41"/>
      <c r="L640" s="41"/>
      <c r="M640" s="41"/>
      <c r="N640" s="41"/>
      <c r="O640" s="41"/>
      <c r="P640" s="41">
        <v>4.1000000000000002E-2</v>
      </c>
      <c r="Q640" s="41"/>
      <c r="R640" s="41"/>
      <c r="S640" s="41"/>
      <c r="T640" s="41"/>
      <c r="U640" s="41">
        <v>0.04</v>
      </c>
      <c r="V640" s="41"/>
      <c r="W640" s="41"/>
      <c r="X640" s="41"/>
      <c r="Y640" s="41"/>
      <c r="Z640" s="41"/>
      <c r="AA640" s="41"/>
      <c r="AB640" s="41"/>
      <c r="AC640" s="41"/>
      <c r="AD640" s="41"/>
      <c r="AE640" s="41">
        <v>8.1000000000000003E-2</v>
      </c>
      <c r="AF640" s="41"/>
      <c r="AG640" s="41"/>
      <c r="AH640" s="41"/>
      <c r="AI640" s="41"/>
      <c r="AJ640" s="41"/>
      <c r="AK640" s="41"/>
      <c r="AL640" s="41"/>
      <c r="AM640" s="41">
        <v>1.6E-2</v>
      </c>
      <c r="AN640" s="41"/>
      <c r="AO640" s="41"/>
      <c r="AP640" s="41"/>
      <c r="AQ640" s="41">
        <v>3.5000000000000003E-2</v>
      </c>
      <c r="AR640" s="41"/>
      <c r="AS640" s="41"/>
      <c r="AT640" s="41"/>
      <c r="AU640" s="41"/>
      <c r="AV640" s="41"/>
      <c r="AW640" s="41">
        <v>0.1152</v>
      </c>
      <c r="AX640" s="41">
        <v>0.1187</v>
      </c>
      <c r="AY640" s="41">
        <v>0.1149</v>
      </c>
      <c r="AZ640" s="41">
        <v>0.1174</v>
      </c>
      <c r="BA640" s="41">
        <v>0.1033</v>
      </c>
      <c r="BB640" s="41">
        <v>0.11020000000000001</v>
      </c>
      <c r="BC640" s="41"/>
      <c r="BD640" s="41">
        <v>3.7999999999999999E-2</v>
      </c>
      <c r="BE640" s="41"/>
      <c r="BF640" s="41"/>
      <c r="BG640" s="41"/>
      <c r="BH640" s="41"/>
      <c r="BI640" s="41">
        <v>0.1077</v>
      </c>
      <c r="BJ640" s="41"/>
      <c r="BK640" s="41"/>
      <c r="BL640" s="41"/>
      <c r="BM640" s="41"/>
      <c r="BN640" s="41">
        <f t="shared" si="11"/>
        <v>0.1077</v>
      </c>
    </row>
    <row r="641" spans="2:66" hidden="1" outlineLevel="1" x14ac:dyDescent="0.35">
      <c r="B641" s="41" t="s">
        <v>198</v>
      </c>
      <c r="C641" s="41" t="s">
        <v>172</v>
      </c>
      <c r="D641" s="41" t="s">
        <v>746</v>
      </c>
      <c r="E641" s="41" t="s">
        <v>745</v>
      </c>
      <c r="F641" s="41">
        <v>4.4999999999999998E-2</v>
      </c>
      <c r="G641" s="41"/>
      <c r="H641" s="41"/>
      <c r="I641" s="41"/>
      <c r="J641" s="41"/>
      <c r="K641" s="41"/>
      <c r="L641" s="41"/>
      <c r="M641" s="41"/>
      <c r="N641" s="41"/>
      <c r="O641" s="41"/>
      <c r="P641" s="41">
        <v>5.1999999999999998E-2</v>
      </c>
      <c r="Q641" s="41"/>
      <c r="R641" s="41"/>
      <c r="S641" s="41"/>
      <c r="T641" s="41"/>
      <c r="U641" s="41"/>
      <c r="V641" s="41"/>
      <c r="W641" s="41"/>
      <c r="X641" s="41"/>
      <c r="Y641" s="41"/>
      <c r="Z641" s="41">
        <v>0.14099999999999999</v>
      </c>
      <c r="AA641" s="41"/>
      <c r="AB641" s="41"/>
      <c r="AC641" s="41"/>
      <c r="AD641" s="41"/>
      <c r="AE641" s="41">
        <v>0.14399999999999999</v>
      </c>
      <c r="AF641" s="41"/>
      <c r="AG641" s="41"/>
      <c r="AH641" s="41"/>
      <c r="AI641" s="41"/>
      <c r="AJ641" s="41"/>
      <c r="AK641" s="41"/>
      <c r="AL641" s="41"/>
      <c r="AM641" s="41"/>
      <c r="AN641" s="41">
        <v>0.17699999999999999</v>
      </c>
      <c r="AO641" s="41"/>
      <c r="AP641" s="41">
        <v>0.16600000000000001</v>
      </c>
      <c r="AQ641" s="41"/>
      <c r="AR641" s="41"/>
      <c r="AS641" s="41"/>
      <c r="AT641" s="41"/>
      <c r="AU641" s="41"/>
      <c r="AV641" s="41"/>
      <c r="AW641" s="41"/>
      <c r="AX641" s="41">
        <v>0.13919999999999999</v>
      </c>
      <c r="AY641" s="41"/>
      <c r="AZ641" s="41"/>
      <c r="BA641" s="41"/>
      <c r="BB641" s="41">
        <v>5.2699999999999997E-2</v>
      </c>
      <c r="BC641" s="41">
        <v>8.1699999999999995E-2</v>
      </c>
      <c r="BD641" s="41">
        <v>4.4999999999999998E-2</v>
      </c>
      <c r="BE641" s="41">
        <v>6.2600000000000003E-2</v>
      </c>
      <c r="BF641" s="41"/>
      <c r="BG641" s="41"/>
      <c r="BH641" s="41"/>
      <c r="BI641" s="41">
        <v>0.2</v>
      </c>
      <c r="BJ641" s="41"/>
      <c r="BK641" s="41"/>
      <c r="BL641" s="41"/>
      <c r="BM641" s="41"/>
      <c r="BN641" s="41">
        <f t="shared" si="11"/>
        <v>0.2</v>
      </c>
    </row>
    <row r="642" spans="2:66" hidden="1" outlineLevel="1" x14ac:dyDescent="0.35">
      <c r="B642" s="41" t="s">
        <v>191</v>
      </c>
      <c r="C642" s="41" t="s">
        <v>174</v>
      </c>
      <c r="D642" s="41" t="s">
        <v>746</v>
      </c>
      <c r="E642" s="41" t="s">
        <v>745</v>
      </c>
      <c r="F642" s="41">
        <v>0.16700000000000001</v>
      </c>
      <c r="G642" s="41"/>
      <c r="H642" s="41"/>
      <c r="I642" s="41"/>
      <c r="J642" s="41"/>
      <c r="K642" s="41"/>
      <c r="L642" s="41"/>
      <c r="M642" s="41"/>
      <c r="N642" s="41"/>
      <c r="O642" s="41"/>
      <c r="P642" s="41">
        <v>8.5999999999999993E-2</v>
      </c>
      <c r="Q642" s="41"/>
      <c r="R642" s="41"/>
      <c r="S642" s="41"/>
      <c r="T642" s="41"/>
      <c r="U642" s="41"/>
      <c r="V642" s="41"/>
      <c r="W642" s="41"/>
      <c r="X642" s="41"/>
      <c r="Y642" s="41"/>
      <c r="Z642" s="41"/>
      <c r="AA642" s="41"/>
      <c r="AB642" s="41"/>
      <c r="AC642" s="41"/>
      <c r="AD642" s="41"/>
      <c r="AE642" s="41"/>
      <c r="AF642" s="41"/>
      <c r="AG642" s="41"/>
      <c r="AH642" s="41"/>
      <c r="AI642" s="41"/>
      <c r="AJ642" s="41">
        <v>0.28100000000000003</v>
      </c>
      <c r="AK642" s="41"/>
      <c r="AL642" s="41"/>
      <c r="AM642" s="41"/>
      <c r="AN642" s="41"/>
      <c r="AO642" s="41">
        <v>0.20799999999999999</v>
      </c>
      <c r="AP642" s="41">
        <v>0.246</v>
      </c>
      <c r="AQ642" s="41"/>
      <c r="AR642" s="41"/>
      <c r="AS642" s="41"/>
      <c r="AT642" s="41"/>
      <c r="AU642" s="41"/>
      <c r="AV642" s="41"/>
      <c r="AW642" s="41"/>
      <c r="AX642" s="41">
        <v>0.21110000000000001</v>
      </c>
      <c r="AY642" s="41"/>
      <c r="AZ642" s="41"/>
      <c r="BA642" s="41"/>
      <c r="BB642" s="41"/>
      <c r="BC642" s="41"/>
      <c r="BD642" s="41"/>
      <c r="BE642" s="41"/>
      <c r="BF642" s="41"/>
      <c r="BG642" s="41"/>
      <c r="BH642" s="41"/>
      <c r="BI642" s="41"/>
      <c r="BJ642" s="41"/>
      <c r="BK642" s="41">
        <v>0.4</v>
      </c>
      <c r="BL642" s="41"/>
      <c r="BM642" s="41"/>
      <c r="BN642" s="41">
        <f t="shared" si="11"/>
        <v>0.4</v>
      </c>
    </row>
    <row r="643" spans="2:66" hidden="1" outlineLevel="1" x14ac:dyDescent="0.35">
      <c r="B643" s="41" t="s">
        <v>402</v>
      </c>
      <c r="C643" s="41" t="s">
        <v>51</v>
      </c>
      <c r="D643" s="41" t="s">
        <v>746</v>
      </c>
      <c r="E643" s="41" t="s">
        <v>745</v>
      </c>
      <c r="F643" s="41">
        <v>1.3</v>
      </c>
      <c r="G643" s="41">
        <v>1.2</v>
      </c>
      <c r="H643" s="41">
        <v>1.3</v>
      </c>
      <c r="I643" s="41">
        <v>1.3</v>
      </c>
      <c r="J643" s="41">
        <v>1.4</v>
      </c>
      <c r="K643" s="41">
        <v>1.4</v>
      </c>
      <c r="L643" s="41">
        <v>1.4</v>
      </c>
      <c r="M643" s="41">
        <v>1.5</v>
      </c>
      <c r="N643" s="41">
        <v>1.5</v>
      </c>
      <c r="O643" s="41">
        <v>1.6</v>
      </c>
      <c r="P643" s="41">
        <v>1.6</v>
      </c>
      <c r="Q643" s="41">
        <v>1.7</v>
      </c>
      <c r="R643" s="41">
        <v>1.7</v>
      </c>
      <c r="S643" s="41">
        <v>1.9</v>
      </c>
      <c r="T643" s="41">
        <v>2</v>
      </c>
      <c r="U643" s="41">
        <v>2</v>
      </c>
      <c r="V643" s="41">
        <v>2.1</v>
      </c>
      <c r="W643" s="41">
        <v>2.2000000000000002</v>
      </c>
      <c r="X643" s="41">
        <v>2.2999999999999998</v>
      </c>
      <c r="Y643" s="41">
        <v>2.2999999999999998</v>
      </c>
      <c r="Z643" s="41">
        <v>2.4</v>
      </c>
      <c r="AA643" s="41">
        <v>2.5</v>
      </c>
      <c r="AB643" s="41">
        <v>2.6</v>
      </c>
      <c r="AC643" s="41">
        <v>2.8</v>
      </c>
      <c r="AD643" s="41">
        <v>2.9</v>
      </c>
      <c r="AE643" s="41">
        <v>2.9</v>
      </c>
      <c r="AF643" s="41">
        <v>3.1</v>
      </c>
      <c r="AG643" s="41">
        <v>3.3</v>
      </c>
      <c r="AH643" s="41">
        <v>3.2</v>
      </c>
      <c r="AI643" s="41">
        <v>3.3</v>
      </c>
      <c r="AJ643" s="41">
        <v>3.4</v>
      </c>
      <c r="AK643" s="41">
        <v>3.6</v>
      </c>
      <c r="AL643" s="41">
        <v>3.7</v>
      </c>
      <c r="AM643" s="41">
        <v>3.8</v>
      </c>
      <c r="AN643" s="41">
        <v>3.8</v>
      </c>
      <c r="AO643" s="41">
        <v>3.9</v>
      </c>
      <c r="AP643" s="41">
        <v>3.9</v>
      </c>
      <c r="AQ643" s="41">
        <v>4</v>
      </c>
      <c r="AR643" s="41">
        <v>4.0999999999999996</v>
      </c>
      <c r="AS643" s="41">
        <v>4.2</v>
      </c>
      <c r="AT643" s="41">
        <v>4.3</v>
      </c>
      <c r="AU643" s="41">
        <v>4.38</v>
      </c>
      <c r="AV643" s="41"/>
      <c r="AW643" s="41"/>
      <c r="AX643" s="41"/>
      <c r="AY643" s="41">
        <v>5</v>
      </c>
      <c r="AZ643" s="41">
        <v>5.35</v>
      </c>
      <c r="BA643" s="41"/>
      <c r="BB643" s="41">
        <v>6.0430000000000001</v>
      </c>
      <c r="BC643" s="41"/>
      <c r="BD643" s="41">
        <v>6.0514999999999999</v>
      </c>
      <c r="BE643" s="41">
        <v>6.0785999999999998</v>
      </c>
      <c r="BF643" s="41">
        <v>6.0831</v>
      </c>
      <c r="BG643" s="41">
        <v>6.0846</v>
      </c>
      <c r="BH643" s="41">
        <v>6.1082000000000001</v>
      </c>
      <c r="BI643" s="41"/>
      <c r="BJ643" s="41">
        <v>4.5919999999999996</v>
      </c>
      <c r="BK643" s="41"/>
      <c r="BL643" s="41"/>
      <c r="BM643" s="41"/>
      <c r="BN643" s="41">
        <f t="shared" si="11"/>
        <v>4.5919999999999996</v>
      </c>
    </row>
    <row r="644" spans="2:66" hidden="1" outlineLevel="1" x14ac:dyDescent="0.35">
      <c r="B644" s="41" t="s">
        <v>405</v>
      </c>
      <c r="C644" s="41" t="s">
        <v>52</v>
      </c>
      <c r="D644" s="41" t="s">
        <v>746</v>
      </c>
      <c r="E644" s="41" t="s">
        <v>745</v>
      </c>
      <c r="F644" s="41">
        <v>0.222</v>
      </c>
      <c r="G644" s="41"/>
      <c r="H644" s="41"/>
      <c r="I644" s="41"/>
      <c r="J644" s="41"/>
      <c r="K644" s="41"/>
      <c r="L644" s="41"/>
      <c r="M644" s="41"/>
      <c r="N644" s="41"/>
      <c r="O644" s="41"/>
      <c r="P644" s="41">
        <v>0.34599999999999997</v>
      </c>
      <c r="Q644" s="41"/>
      <c r="R644" s="41"/>
      <c r="S644" s="41"/>
      <c r="T644" s="41"/>
      <c r="U644" s="41"/>
      <c r="V644" s="41"/>
      <c r="W644" s="41"/>
      <c r="X644" s="41"/>
      <c r="Y644" s="41"/>
      <c r="Z644" s="41"/>
      <c r="AA644" s="41"/>
      <c r="AB644" s="41"/>
      <c r="AC644" s="41"/>
      <c r="AD644" s="41">
        <v>0.49</v>
      </c>
      <c r="AE644" s="41"/>
      <c r="AF644" s="41"/>
      <c r="AG644" s="41"/>
      <c r="AH644" s="41">
        <v>0.55300000000000005</v>
      </c>
      <c r="AI644" s="41"/>
      <c r="AJ644" s="41">
        <v>0.5</v>
      </c>
      <c r="AK644" s="41"/>
      <c r="AL644" s="41"/>
      <c r="AM644" s="41">
        <v>0.57799999999999996</v>
      </c>
      <c r="AN644" s="41"/>
      <c r="AO644" s="41">
        <v>0.65</v>
      </c>
      <c r="AP644" s="41"/>
      <c r="AQ644" s="41">
        <v>0.40550000000000003</v>
      </c>
      <c r="AR644" s="41"/>
      <c r="AS644" s="41">
        <v>0.58189999999999997</v>
      </c>
      <c r="AT644" s="41">
        <v>0.57089999999999996</v>
      </c>
      <c r="AU644" s="41">
        <v>0.56969999999999998</v>
      </c>
      <c r="AV644" s="41">
        <v>0.56810000000000005</v>
      </c>
      <c r="AW644" s="41">
        <v>0.56640000000000001</v>
      </c>
      <c r="AX644" s="41"/>
      <c r="AY644" s="41"/>
      <c r="AZ644" s="41">
        <v>0.66800000000000004</v>
      </c>
      <c r="BA644" s="41"/>
      <c r="BB644" s="41"/>
      <c r="BC644" s="41"/>
      <c r="BD644" s="41"/>
      <c r="BE644" s="41"/>
      <c r="BF644" s="41"/>
      <c r="BG644" s="41"/>
      <c r="BH644" s="41"/>
      <c r="BI644" s="41"/>
      <c r="BJ644" s="41"/>
      <c r="BK644" s="41">
        <v>1.4471000000000001</v>
      </c>
      <c r="BL644" s="41"/>
      <c r="BM644" s="41"/>
      <c r="BN644" s="41">
        <f t="shared" si="11"/>
        <v>1.4471000000000001</v>
      </c>
    </row>
    <row r="645" spans="2:66" hidden="1" outlineLevel="1" x14ac:dyDescent="0.35">
      <c r="B645" s="41" t="s">
        <v>403</v>
      </c>
      <c r="C645" s="41" t="s">
        <v>404</v>
      </c>
      <c r="D645" s="41" t="s">
        <v>746</v>
      </c>
      <c r="E645" s="41" t="s">
        <v>745</v>
      </c>
      <c r="F645" s="41">
        <v>1.169</v>
      </c>
      <c r="G645" s="41"/>
      <c r="H645" s="41"/>
      <c r="I645" s="41"/>
      <c r="J645" s="41"/>
      <c r="K645" s="41"/>
      <c r="L645" s="41"/>
      <c r="M645" s="41"/>
      <c r="N645" s="41"/>
      <c r="O645" s="41"/>
      <c r="P645" s="41">
        <v>0.90500000000000003</v>
      </c>
      <c r="Q645" s="41"/>
      <c r="R645" s="41"/>
      <c r="S645" s="41"/>
      <c r="T645" s="41"/>
      <c r="U645" s="41"/>
      <c r="V645" s="41"/>
      <c r="W645" s="41"/>
      <c r="X645" s="41"/>
      <c r="Y645" s="41"/>
      <c r="Z645" s="41">
        <v>1.135</v>
      </c>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f t="shared" si="11"/>
        <v>1.135</v>
      </c>
    </row>
    <row r="646" spans="2:66" hidden="1" outlineLevel="1" x14ac:dyDescent="0.35">
      <c r="B646" s="41" t="s">
        <v>223</v>
      </c>
      <c r="C646" s="41" t="s">
        <v>53</v>
      </c>
      <c r="D646" s="41" t="s">
        <v>746</v>
      </c>
      <c r="E646" s="41" t="s">
        <v>745</v>
      </c>
      <c r="F646" s="41">
        <v>0.184</v>
      </c>
      <c r="G646" s="41"/>
      <c r="H646" s="41"/>
      <c r="I646" s="41"/>
      <c r="J646" s="41"/>
      <c r="K646" s="41">
        <v>0.27100000000000002</v>
      </c>
      <c r="L646" s="41"/>
      <c r="M646" s="41"/>
      <c r="N646" s="41"/>
      <c r="O646" s="41"/>
      <c r="P646" s="41">
        <v>0.27400000000000002</v>
      </c>
      <c r="Q646" s="41"/>
      <c r="R646" s="41"/>
      <c r="S646" s="41"/>
      <c r="T646" s="41"/>
      <c r="U646" s="41"/>
      <c r="V646" s="41"/>
      <c r="W646" s="41"/>
      <c r="X646" s="41"/>
      <c r="Y646" s="41"/>
      <c r="Z646" s="41"/>
      <c r="AA646" s="41"/>
      <c r="AB646" s="41"/>
      <c r="AC646" s="41"/>
      <c r="AD646" s="41">
        <v>0.47</v>
      </c>
      <c r="AE646" s="41"/>
      <c r="AF646" s="41"/>
      <c r="AG646" s="41"/>
      <c r="AH646" s="41">
        <v>0.26</v>
      </c>
      <c r="AI646" s="41"/>
      <c r="AJ646" s="41">
        <v>0.78</v>
      </c>
      <c r="AK646" s="41"/>
      <c r="AL646" s="41"/>
      <c r="AM646" s="41">
        <v>0.25</v>
      </c>
      <c r="AN646" s="41"/>
      <c r="AO646" s="41">
        <v>1.1000000000000001</v>
      </c>
      <c r="AP646" s="41"/>
      <c r="AQ646" s="41">
        <v>0.93300000000000005</v>
      </c>
      <c r="AR646" s="41"/>
      <c r="AS646" s="41">
        <v>0.87509999999999999</v>
      </c>
      <c r="AT646" s="41"/>
      <c r="AU646" s="41"/>
      <c r="AV646" s="41"/>
      <c r="AW646" s="41"/>
      <c r="AX646" s="41"/>
      <c r="AY646" s="41"/>
      <c r="AZ646" s="41"/>
      <c r="BA646" s="41"/>
      <c r="BB646" s="41"/>
      <c r="BC646" s="41">
        <v>0.90390000000000004</v>
      </c>
      <c r="BD646" s="41"/>
      <c r="BE646" s="41"/>
      <c r="BF646" s="41"/>
      <c r="BG646" s="41"/>
      <c r="BH646" s="41"/>
      <c r="BI646" s="41"/>
      <c r="BJ646" s="41"/>
      <c r="BK646" s="41"/>
      <c r="BL646" s="41">
        <v>0.35499999999999998</v>
      </c>
      <c r="BM646" s="41"/>
      <c r="BN646" s="41">
        <f t="shared" si="11"/>
        <v>0.35499999999999998</v>
      </c>
    </row>
    <row r="647" spans="2:66" hidden="1" outlineLevel="1" x14ac:dyDescent="0.35">
      <c r="B647" s="41" t="s">
        <v>406</v>
      </c>
      <c r="C647" s="41" t="s">
        <v>407</v>
      </c>
      <c r="D647" s="41" t="s">
        <v>746</v>
      </c>
      <c r="E647" s="41" t="s">
        <v>745</v>
      </c>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v>1.1870000000000001</v>
      </c>
      <c r="AG647" s="41"/>
      <c r="AH647" s="41"/>
      <c r="AI647" s="41"/>
      <c r="AJ647" s="41"/>
      <c r="AK647" s="41"/>
      <c r="AL647" s="41"/>
      <c r="AM647" s="41"/>
      <c r="AN647" s="41"/>
      <c r="AO647" s="41"/>
      <c r="AP647" s="41"/>
      <c r="AQ647" s="41"/>
      <c r="AR647" s="41"/>
      <c r="AS647" s="41">
        <v>1.0840000000000001</v>
      </c>
      <c r="AT647" s="41"/>
      <c r="AU647" s="41"/>
      <c r="AV647" s="41"/>
      <c r="AW647" s="41"/>
      <c r="AX647" s="41"/>
      <c r="AY647" s="41"/>
      <c r="AZ647" s="41"/>
      <c r="BA647" s="41"/>
      <c r="BB647" s="41"/>
      <c r="BC647" s="41"/>
      <c r="BD647" s="41"/>
      <c r="BE647" s="41"/>
      <c r="BF647" s="41"/>
      <c r="BG647" s="41"/>
      <c r="BH647" s="41"/>
      <c r="BI647" s="41"/>
      <c r="BJ647" s="41"/>
      <c r="BK647" s="41"/>
      <c r="BL647" s="41"/>
      <c r="BM647" s="41"/>
      <c r="BN647" s="41">
        <f t="shared" si="11"/>
        <v>1.0840000000000001</v>
      </c>
    </row>
    <row r="648" spans="2:66" hidden="1" outlineLevel="1" x14ac:dyDescent="0.35">
      <c r="B648" s="41" t="s">
        <v>224</v>
      </c>
      <c r="C648" s="41" t="s">
        <v>54</v>
      </c>
      <c r="D648" s="41" t="s">
        <v>746</v>
      </c>
      <c r="E648" s="41" t="s">
        <v>745</v>
      </c>
      <c r="F648" s="41">
        <v>0.255</v>
      </c>
      <c r="G648" s="41"/>
      <c r="H648" s="41"/>
      <c r="I648" s="41"/>
      <c r="J648" s="41"/>
      <c r="K648" s="41"/>
      <c r="L648" s="41"/>
      <c r="M648" s="41"/>
      <c r="N648" s="41"/>
      <c r="O648" s="41"/>
      <c r="P648" s="41">
        <v>0.23499999999999999</v>
      </c>
      <c r="Q648" s="41"/>
      <c r="R648" s="41"/>
      <c r="S648" s="41"/>
      <c r="T648" s="41"/>
      <c r="U648" s="41">
        <v>0.249</v>
      </c>
      <c r="V648" s="41"/>
      <c r="W648" s="41"/>
      <c r="X648" s="41"/>
      <c r="Y648" s="41"/>
      <c r="Z648" s="41"/>
      <c r="AA648" s="41"/>
      <c r="AB648" s="41"/>
      <c r="AC648" s="41"/>
      <c r="AD648" s="41">
        <v>0.16500000000000001</v>
      </c>
      <c r="AE648" s="41">
        <v>0.16800000000000001</v>
      </c>
      <c r="AF648" s="41"/>
      <c r="AG648" s="41"/>
      <c r="AH648" s="41"/>
      <c r="AI648" s="41"/>
      <c r="AJ648" s="41">
        <v>0.17</v>
      </c>
      <c r="AK648" s="41"/>
      <c r="AL648" s="41"/>
      <c r="AM648" s="41">
        <v>0.112</v>
      </c>
      <c r="AN648" s="41"/>
      <c r="AO648" s="41">
        <v>0.33</v>
      </c>
      <c r="AP648" s="41"/>
      <c r="AQ648" s="41">
        <v>0.18099999999999999</v>
      </c>
      <c r="AR648" s="41"/>
      <c r="AS648" s="41"/>
      <c r="AT648" s="41">
        <v>0.4859</v>
      </c>
      <c r="AU648" s="41"/>
      <c r="AV648" s="41"/>
      <c r="AW648" s="41"/>
      <c r="AX648" s="41"/>
      <c r="AY648" s="41"/>
      <c r="AZ648" s="41"/>
      <c r="BA648" s="41"/>
      <c r="BB648" s="41"/>
      <c r="BC648" s="41">
        <v>0.21590000000000001</v>
      </c>
      <c r="BD648" s="41">
        <v>0.68979999999999997</v>
      </c>
      <c r="BE648" s="41"/>
      <c r="BF648" s="41"/>
      <c r="BG648" s="41"/>
      <c r="BH648" s="41"/>
      <c r="BI648" s="41"/>
      <c r="BJ648" s="41"/>
      <c r="BK648" s="41"/>
      <c r="BL648" s="41">
        <v>0.79900000000000004</v>
      </c>
      <c r="BM648" s="41"/>
      <c r="BN648" s="41">
        <f t="shared" si="11"/>
        <v>0.79900000000000004</v>
      </c>
    </row>
    <row r="649" spans="2:66" hidden="1" outlineLevel="1" x14ac:dyDescent="0.35">
      <c r="B649" s="41" t="s">
        <v>410</v>
      </c>
      <c r="C649" s="41" t="s">
        <v>411</v>
      </c>
      <c r="D649" s="41" t="s">
        <v>746</v>
      </c>
      <c r="E649" s="41" t="s">
        <v>745</v>
      </c>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v>2.1117815575588645</v>
      </c>
      <c r="AK649" s="41"/>
      <c r="AL649" s="41"/>
      <c r="AM649" s="41"/>
      <c r="AN649" s="41"/>
      <c r="AO649" s="41"/>
      <c r="AP649" s="41"/>
      <c r="AQ649" s="41"/>
      <c r="AR649" s="41"/>
      <c r="AS649" s="41"/>
      <c r="AT649" s="41">
        <v>2.6252843015597116</v>
      </c>
      <c r="AU649" s="41"/>
      <c r="AV649" s="41"/>
      <c r="AW649" s="41"/>
      <c r="AX649" s="41"/>
      <c r="AY649" s="41"/>
      <c r="AZ649" s="41"/>
      <c r="BA649" s="41"/>
      <c r="BB649" s="41"/>
      <c r="BC649" s="41"/>
      <c r="BD649" s="41"/>
      <c r="BE649" s="41"/>
      <c r="BF649" s="41"/>
      <c r="BG649" s="41"/>
      <c r="BH649" s="41"/>
      <c r="BI649" s="41">
        <v>3.0035446137299346</v>
      </c>
      <c r="BJ649" s="41"/>
      <c r="BK649" s="41"/>
      <c r="BL649" s="41"/>
      <c r="BM649" s="41"/>
      <c r="BN649" s="41">
        <f t="shared" si="11"/>
        <v>3.0035446137299346</v>
      </c>
    </row>
    <row r="650" spans="2:66" hidden="1" outlineLevel="1" x14ac:dyDescent="0.35">
      <c r="B650" s="41" t="s">
        <v>412</v>
      </c>
      <c r="C650" s="41" t="s">
        <v>413</v>
      </c>
      <c r="D650" s="41" t="s">
        <v>746</v>
      </c>
      <c r="E650" s="41" t="s">
        <v>745</v>
      </c>
      <c r="F650" s="41">
        <v>0.32700000000000001</v>
      </c>
      <c r="G650" s="41"/>
      <c r="H650" s="41"/>
      <c r="I650" s="41"/>
      <c r="J650" s="41"/>
      <c r="K650" s="41">
        <v>0.39600000000000002</v>
      </c>
      <c r="L650" s="41"/>
      <c r="M650" s="41"/>
      <c r="N650" s="41"/>
      <c r="O650" s="41"/>
      <c r="P650" s="41">
        <v>0.66300000000000003</v>
      </c>
      <c r="Q650" s="41"/>
      <c r="R650" s="41"/>
      <c r="S650" s="41"/>
      <c r="T650" s="41"/>
      <c r="U650" s="41">
        <v>0.67200000000000004</v>
      </c>
      <c r="V650" s="41"/>
      <c r="W650" s="41"/>
      <c r="X650" s="41"/>
      <c r="Y650" s="41"/>
      <c r="Z650" s="41">
        <v>0.82599999999999996</v>
      </c>
      <c r="AA650" s="41"/>
      <c r="AB650" s="41"/>
      <c r="AC650" s="41"/>
      <c r="AD650" s="41"/>
      <c r="AE650" s="41"/>
      <c r="AF650" s="41">
        <v>0.93200000000000005</v>
      </c>
      <c r="AG650" s="41"/>
      <c r="AH650" s="41"/>
      <c r="AI650" s="41"/>
      <c r="AJ650" s="41"/>
      <c r="AK650" s="41"/>
      <c r="AL650" s="41"/>
      <c r="AM650" s="41">
        <v>1.204</v>
      </c>
      <c r="AN650" s="41">
        <v>1.2709999999999999</v>
      </c>
      <c r="AO650" s="41">
        <v>1.319</v>
      </c>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f t="shared" si="11"/>
        <v>1.319</v>
      </c>
    </row>
    <row r="651" spans="2:66" hidden="1" outlineLevel="1" x14ac:dyDescent="0.35">
      <c r="B651" s="41" t="s">
        <v>226</v>
      </c>
      <c r="C651" s="41" t="s">
        <v>166</v>
      </c>
      <c r="D651" s="41" t="s">
        <v>746</v>
      </c>
      <c r="E651" s="41" t="s">
        <v>745</v>
      </c>
      <c r="F651" s="41">
        <v>8.1000000000000003E-2</v>
      </c>
      <c r="G651" s="41"/>
      <c r="H651" s="41"/>
      <c r="I651" s="41"/>
      <c r="J651" s="41"/>
      <c r="K651" s="41">
        <v>0.19</v>
      </c>
      <c r="L651" s="41"/>
      <c r="M651" s="41"/>
      <c r="N651" s="41"/>
      <c r="O651" s="41"/>
      <c r="P651" s="41">
        <v>0.26900000000000002</v>
      </c>
      <c r="Q651" s="41"/>
      <c r="R651" s="41"/>
      <c r="S651" s="41"/>
      <c r="T651" s="41"/>
      <c r="U651" s="41">
        <v>0.26900000000000002</v>
      </c>
      <c r="V651" s="41"/>
      <c r="W651" s="41"/>
      <c r="X651" s="41"/>
      <c r="Y651" s="41">
        <v>0.33100000000000002</v>
      </c>
      <c r="Z651" s="41"/>
      <c r="AA651" s="41">
        <v>0.33200000000000002</v>
      </c>
      <c r="AB651" s="41"/>
      <c r="AC651" s="41"/>
      <c r="AD651" s="41">
        <v>0.69099999999999995</v>
      </c>
      <c r="AE651" s="41"/>
      <c r="AF651" s="41"/>
      <c r="AG651" s="41"/>
      <c r="AH651" s="41">
        <v>0.82899999999999996</v>
      </c>
      <c r="AI651" s="41"/>
      <c r="AJ651" s="41">
        <v>0.7</v>
      </c>
      <c r="AK651" s="41">
        <v>0.41099999999999998</v>
      </c>
      <c r="AL651" s="41"/>
      <c r="AM651" s="41"/>
      <c r="AN651" s="41"/>
      <c r="AO651" s="41">
        <v>0.65</v>
      </c>
      <c r="AP651" s="41"/>
      <c r="AQ651" s="41">
        <v>0.83199999999999996</v>
      </c>
      <c r="AR651" s="41"/>
      <c r="AS651" s="41"/>
      <c r="AT651" s="41">
        <v>0.56340000000000001</v>
      </c>
      <c r="AU651" s="41"/>
      <c r="AV651" s="41"/>
      <c r="AW651" s="41"/>
      <c r="AX651" s="41"/>
      <c r="AY651" s="41">
        <v>0.36349999999999999</v>
      </c>
      <c r="AZ651" s="41"/>
      <c r="BA651" s="41"/>
      <c r="BB651" s="41"/>
      <c r="BC651" s="41"/>
      <c r="BD651" s="41"/>
      <c r="BE651" s="41"/>
      <c r="BF651" s="41"/>
      <c r="BG651" s="41">
        <v>0.99990000000000001</v>
      </c>
      <c r="BH651" s="41"/>
      <c r="BI651" s="41"/>
      <c r="BJ651" s="41">
        <v>0.60860000000000003</v>
      </c>
      <c r="BK651" s="41">
        <v>0.31440000000000001</v>
      </c>
      <c r="BL651" s="41"/>
      <c r="BM651" s="41"/>
      <c r="BN651" s="41">
        <f t="shared" si="11"/>
        <v>0.31440000000000001</v>
      </c>
    </row>
    <row r="652" spans="2:66" hidden="1" outlineLevel="1" x14ac:dyDescent="0.35">
      <c r="B652" s="41" t="s">
        <v>408</v>
      </c>
      <c r="C652" s="41" t="s">
        <v>409</v>
      </c>
      <c r="D652" s="41" t="s">
        <v>746</v>
      </c>
      <c r="E652" s="41" t="s">
        <v>745</v>
      </c>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v>8.7580108337591153E-2</v>
      </c>
      <c r="AK652" s="41"/>
      <c r="AL652" s="41"/>
      <c r="AM652" s="41"/>
      <c r="AN652" s="41"/>
      <c r="AO652" s="41"/>
      <c r="AP652" s="41"/>
      <c r="AQ652" s="41"/>
      <c r="AR652" s="41"/>
      <c r="AS652" s="41"/>
      <c r="AT652" s="41">
        <v>0.11372587568850917</v>
      </c>
      <c r="AU652" s="41"/>
      <c r="AV652" s="41"/>
      <c r="AW652" s="41"/>
      <c r="AX652" s="41"/>
      <c r="AY652" s="41"/>
      <c r="AZ652" s="41"/>
      <c r="BA652" s="41"/>
      <c r="BB652" s="41"/>
      <c r="BC652" s="41"/>
      <c r="BD652" s="41"/>
      <c r="BE652" s="41"/>
      <c r="BF652" s="41"/>
      <c r="BG652" s="41"/>
      <c r="BH652" s="41"/>
      <c r="BI652" s="41">
        <v>0.15767389400786444</v>
      </c>
      <c r="BJ652" s="41"/>
      <c r="BK652" s="41"/>
      <c r="BL652" s="41"/>
      <c r="BM652" s="41"/>
      <c r="BN652" s="41">
        <f t="shared" si="11"/>
        <v>0.15767389400786444</v>
      </c>
    </row>
    <row r="653" spans="2:66" hidden="1" outlineLevel="1" x14ac:dyDescent="0.35">
      <c r="B653" s="41" t="s">
        <v>358</v>
      </c>
      <c r="C653" s="41" t="s">
        <v>55</v>
      </c>
      <c r="D653" s="41" t="s">
        <v>746</v>
      </c>
      <c r="E653" s="41" t="s">
        <v>745</v>
      </c>
      <c r="F653" s="41"/>
      <c r="G653" s="41"/>
      <c r="H653" s="41"/>
      <c r="I653" s="41"/>
      <c r="J653" s="41"/>
      <c r="K653" s="41"/>
      <c r="L653" s="41"/>
      <c r="M653" s="41"/>
      <c r="N653" s="41"/>
      <c r="O653" s="41"/>
      <c r="P653" s="41"/>
      <c r="Q653" s="41"/>
      <c r="R653" s="41"/>
      <c r="S653" s="41"/>
      <c r="T653" s="41"/>
      <c r="U653" s="41"/>
      <c r="V653" s="41"/>
      <c r="W653" s="41"/>
      <c r="X653" s="41"/>
      <c r="Y653" s="41"/>
      <c r="Z653" s="41">
        <v>1.673</v>
      </c>
      <c r="AA653" s="41">
        <v>1.738</v>
      </c>
      <c r="AB653" s="41">
        <v>1.8080000000000001</v>
      </c>
      <c r="AC653" s="41">
        <v>1.8580000000000001</v>
      </c>
      <c r="AD653" s="41">
        <v>1.88</v>
      </c>
      <c r="AE653" s="41">
        <v>1.944</v>
      </c>
      <c r="AF653" s="41"/>
      <c r="AG653" s="41"/>
      <c r="AH653" s="41"/>
      <c r="AI653" s="41"/>
      <c r="AJ653" s="41">
        <v>2.1255000000000002</v>
      </c>
      <c r="AK653" s="41">
        <v>1.9543999999999999</v>
      </c>
      <c r="AL653" s="41">
        <v>1.9958</v>
      </c>
      <c r="AM653" s="41">
        <v>1.9755</v>
      </c>
      <c r="AN653" s="41">
        <v>1.9619</v>
      </c>
      <c r="AO653" s="41">
        <v>1.9689000000000001</v>
      </c>
      <c r="AP653" s="41">
        <v>2.0596999999999999</v>
      </c>
      <c r="AQ653" s="41">
        <v>2.0552000000000001</v>
      </c>
      <c r="AR653" s="41">
        <v>1.9146000000000001</v>
      </c>
      <c r="AS653" s="41">
        <v>1.8055000000000001</v>
      </c>
      <c r="AT653" s="41">
        <v>2.383</v>
      </c>
      <c r="AU653" s="41">
        <v>2.3740000000000001</v>
      </c>
      <c r="AV653" s="41">
        <v>2.4</v>
      </c>
      <c r="AW653" s="41">
        <v>2.444</v>
      </c>
      <c r="AX653" s="41">
        <v>2.4</v>
      </c>
      <c r="AY653" s="41">
        <v>2.5</v>
      </c>
      <c r="AZ653" s="41">
        <v>2.4700000000000002</v>
      </c>
      <c r="BA653" s="41">
        <v>2.59</v>
      </c>
      <c r="BB653" s="41">
        <v>2.661</v>
      </c>
      <c r="BC653" s="41"/>
      <c r="BD653" s="41">
        <v>2.8428</v>
      </c>
      <c r="BE653" s="41">
        <v>2.8956</v>
      </c>
      <c r="BF653" s="41">
        <v>2.9727000000000001</v>
      </c>
      <c r="BG653" s="41">
        <v>3.0169999999999999</v>
      </c>
      <c r="BH653" s="41">
        <v>3.1244000000000001</v>
      </c>
      <c r="BI653" s="41"/>
      <c r="BJ653" s="41">
        <v>2.9962</v>
      </c>
      <c r="BK653" s="41"/>
      <c r="BL653" s="41"/>
      <c r="BM653" s="41"/>
      <c r="BN653" s="41">
        <f t="shared" si="11"/>
        <v>2.9962</v>
      </c>
    </row>
    <row r="654" spans="2:66" hidden="1" outlineLevel="1" x14ac:dyDescent="0.35">
      <c r="B654" s="41" t="s">
        <v>225</v>
      </c>
      <c r="C654" s="41" t="s">
        <v>56</v>
      </c>
      <c r="D654" s="41" t="s">
        <v>746</v>
      </c>
      <c r="E654" s="41" t="s">
        <v>745</v>
      </c>
      <c r="F654" s="41">
        <v>0.105</v>
      </c>
      <c r="G654" s="41"/>
      <c r="H654" s="41"/>
      <c r="I654" s="41"/>
      <c r="J654" s="41"/>
      <c r="K654" s="41">
        <v>7.0000000000000007E-2</v>
      </c>
      <c r="L654" s="41"/>
      <c r="M654" s="41"/>
      <c r="N654" s="41"/>
      <c r="O654" s="41"/>
      <c r="P654" s="41">
        <v>0.08</v>
      </c>
      <c r="Q654" s="41"/>
      <c r="R654" s="41"/>
      <c r="S654" s="41"/>
      <c r="T654" s="41"/>
      <c r="U654" s="41">
        <v>8.1000000000000003E-2</v>
      </c>
      <c r="V654" s="41"/>
      <c r="W654" s="41"/>
      <c r="X654" s="41"/>
      <c r="Y654" s="41"/>
      <c r="Z654" s="41"/>
      <c r="AA654" s="41">
        <v>0.11</v>
      </c>
      <c r="AB654" s="41"/>
      <c r="AC654" s="41"/>
      <c r="AD654" s="41">
        <v>0.14099999999999999</v>
      </c>
      <c r="AE654" s="41">
        <v>0.13700000000000001</v>
      </c>
      <c r="AF654" s="41"/>
      <c r="AG654" s="41"/>
      <c r="AH654" s="41">
        <v>0.14299999999999999</v>
      </c>
      <c r="AI654" s="41"/>
      <c r="AJ654" s="41">
        <v>0.08</v>
      </c>
      <c r="AK654" s="41"/>
      <c r="AL654" s="41">
        <v>8.4000000000000005E-2</v>
      </c>
      <c r="AM654" s="41">
        <v>9.1999999999999998E-2</v>
      </c>
      <c r="AN654" s="41"/>
      <c r="AO654" s="41">
        <v>0.16</v>
      </c>
      <c r="AP654" s="41"/>
      <c r="AQ654" s="41"/>
      <c r="AR654" s="41">
        <v>0.23599999999999999</v>
      </c>
      <c r="AS654" s="41"/>
      <c r="AT654" s="41"/>
      <c r="AU654" s="41"/>
      <c r="AV654" s="41"/>
      <c r="AW654" s="41"/>
      <c r="AX654" s="41"/>
      <c r="AY654" s="41"/>
      <c r="AZ654" s="41"/>
      <c r="BA654" s="41"/>
      <c r="BB654" s="41"/>
      <c r="BC654" s="41"/>
      <c r="BD654" s="41"/>
      <c r="BE654" s="41">
        <v>0.13719999999999999</v>
      </c>
      <c r="BF654" s="41"/>
      <c r="BG654" s="41"/>
      <c r="BH654" s="41"/>
      <c r="BI654" s="41"/>
      <c r="BJ654" s="41"/>
      <c r="BK654" s="41"/>
      <c r="BL654" s="41">
        <v>0.23449999999999999</v>
      </c>
      <c r="BM654" s="41"/>
      <c r="BN654" s="41">
        <f t="shared" si="11"/>
        <v>0.23449999999999999</v>
      </c>
    </row>
    <row r="655" spans="2:66" hidden="1" outlineLevel="1" x14ac:dyDescent="0.35">
      <c r="B655" s="41" t="s">
        <v>414</v>
      </c>
      <c r="C655" s="41" t="s">
        <v>57</v>
      </c>
      <c r="D655" s="41" t="s">
        <v>746</v>
      </c>
      <c r="E655" s="41" t="s">
        <v>745</v>
      </c>
      <c r="F655" s="41">
        <v>1.5</v>
      </c>
      <c r="G655" s="41">
        <v>1.6</v>
      </c>
      <c r="H655" s="41">
        <v>1.7</v>
      </c>
      <c r="I655" s="41">
        <v>1.7</v>
      </c>
      <c r="J655" s="41">
        <v>1.8</v>
      </c>
      <c r="K655" s="41">
        <v>1.9</v>
      </c>
      <c r="L655" s="41">
        <v>1.9</v>
      </c>
      <c r="M655" s="41">
        <v>2</v>
      </c>
      <c r="N655" s="41">
        <v>1.9</v>
      </c>
      <c r="O655" s="41">
        <v>2</v>
      </c>
      <c r="P655" s="41">
        <v>2</v>
      </c>
      <c r="Q655" s="41">
        <v>2.1</v>
      </c>
      <c r="R655" s="41">
        <v>2.1</v>
      </c>
      <c r="S655" s="41">
        <v>2.2000000000000002</v>
      </c>
      <c r="T655" s="41">
        <v>2.2000000000000002</v>
      </c>
      <c r="U655" s="41">
        <v>2.2000000000000002</v>
      </c>
      <c r="V655" s="41">
        <v>2.2999999999999998</v>
      </c>
      <c r="W655" s="41">
        <v>2.2999999999999998</v>
      </c>
      <c r="X655" s="41">
        <v>2.4</v>
      </c>
      <c r="Y655" s="41">
        <v>2.5</v>
      </c>
      <c r="Z655" s="41">
        <v>2.2999999999999998</v>
      </c>
      <c r="AA655" s="41">
        <v>2.2999999999999998</v>
      </c>
      <c r="AB655" s="41">
        <v>2.4</v>
      </c>
      <c r="AC655" s="41">
        <v>2.4</v>
      </c>
      <c r="AD655" s="41">
        <v>2.5</v>
      </c>
      <c r="AE655" s="41">
        <v>2.5</v>
      </c>
      <c r="AF655" s="41">
        <v>2.6</v>
      </c>
      <c r="AG655" s="41">
        <v>2.7</v>
      </c>
      <c r="AH655" s="41">
        <v>2.7</v>
      </c>
      <c r="AI655" s="41">
        <v>2.7</v>
      </c>
      <c r="AJ655" s="41">
        <v>3.1686999999999999</v>
      </c>
      <c r="AK655" s="41">
        <v>3.2671000000000001</v>
      </c>
      <c r="AL655" s="41">
        <v>3.3348</v>
      </c>
      <c r="AM655" s="41">
        <v>3.2909999999999999</v>
      </c>
      <c r="AN655" s="41">
        <v>3.3424999999999998</v>
      </c>
      <c r="AO655" s="41">
        <v>3.3462999999999998</v>
      </c>
      <c r="AP655" s="41">
        <v>3.3896999999999999</v>
      </c>
      <c r="AQ655" s="41">
        <v>3.4413999999999998</v>
      </c>
      <c r="AR655" s="41">
        <v>3.5158</v>
      </c>
      <c r="AS655" s="41">
        <v>3.5499000000000001</v>
      </c>
      <c r="AT655" s="41"/>
      <c r="AU655" s="41"/>
      <c r="AV655" s="41">
        <v>3.6678999999999999</v>
      </c>
      <c r="AW655" s="41">
        <v>3.7706</v>
      </c>
      <c r="AX655" s="41">
        <v>3.8435000000000001</v>
      </c>
      <c r="AY655" s="41">
        <v>3.2284000000000002</v>
      </c>
      <c r="AZ655" s="41">
        <v>3.5076000000000001</v>
      </c>
      <c r="BA655" s="41">
        <v>3.2124999999999999</v>
      </c>
      <c r="BB655" s="41">
        <v>3.6120000000000001</v>
      </c>
      <c r="BC655" s="41">
        <v>3.5341</v>
      </c>
      <c r="BD655" s="41">
        <v>2.8894000000000002</v>
      </c>
      <c r="BE655" s="41">
        <v>2.9803000000000002</v>
      </c>
      <c r="BF655" s="41">
        <v>3.1046</v>
      </c>
      <c r="BG655" s="41">
        <v>3.2259000000000002</v>
      </c>
      <c r="BH655" s="41">
        <v>3.3414999999999999</v>
      </c>
      <c r="BI655" s="41">
        <v>3.1158999999999999</v>
      </c>
      <c r="BJ655" s="41">
        <v>3.2311999999999999</v>
      </c>
      <c r="BK655" s="41"/>
      <c r="BL655" s="41"/>
      <c r="BM655" s="41"/>
      <c r="BN655" s="41">
        <f t="shared" si="11"/>
        <v>3.2311999999999999</v>
      </c>
    </row>
    <row r="656" spans="2:66" hidden="1" outlineLevel="1" x14ac:dyDescent="0.35">
      <c r="B656" s="41" t="s">
        <v>630</v>
      </c>
      <c r="C656" s="41" t="s">
        <v>631</v>
      </c>
      <c r="D656" s="41" t="s">
        <v>746</v>
      </c>
      <c r="E656" s="41" t="s">
        <v>745</v>
      </c>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v>1.236218381572145</v>
      </c>
      <c r="AK656" s="41"/>
      <c r="AL656" s="41"/>
      <c r="AM656" s="41"/>
      <c r="AN656" s="41"/>
      <c r="AO656" s="41"/>
      <c r="AP656" s="41"/>
      <c r="AQ656" s="41"/>
      <c r="AR656" s="41"/>
      <c r="AS656" s="41"/>
      <c r="AT656" s="41">
        <v>1.1762766229538242</v>
      </c>
      <c r="AU656" s="41"/>
      <c r="AV656" s="41"/>
      <c r="AW656" s="41"/>
      <c r="AX656" s="41"/>
      <c r="AY656" s="41"/>
      <c r="AZ656" s="41"/>
      <c r="BA656" s="41"/>
      <c r="BB656" s="41"/>
      <c r="BC656" s="41"/>
      <c r="BD656" s="41"/>
      <c r="BE656" s="41"/>
      <c r="BF656" s="41"/>
      <c r="BG656" s="41"/>
      <c r="BH656" s="41"/>
      <c r="BI656" s="41">
        <v>1.4561130577046284</v>
      </c>
      <c r="BJ656" s="41"/>
      <c r="BK656" s="41"/>
      <c r="BL656" s="41"/>
      <c r="BM656" s="41"/>
      <c r="BN656" s="41">
        <f t="shared" si="11"/>
        <v>1.4561130577046284</v>
      </c>
    </row>
    <row r="657" spans="2:66" hidden="1" outlineLevel="1" x14ac:dyDescent="0.35">
      <c r="B657" s="41" t="s">
        <v>632</v>
      </c>
      <c r="C657" s="41" t="s">
        <v>633</v>
      </c>
      <c r="D657" s="41" t="s">
        <v>746</v>
      </c>
      <c r="E657" s="41" t="s">
        <v>745</v>
      </c>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v>1.0697709710863452</v>
      </c>
      <c r="AK657" s="41"/>
      <c r="AL657" s="41"/>
      <c r="AM657" s="41"/>
      <c r="AN657" s="41"/>
      <c r="AO657" s="41"/>
      <c r="AP657" s="41"/>
      <c r="AQ657" s="41"/>
      <c r="AR657" s="41"/>
      <c r="AS657" s="41"/>
      <c r="AT657" s="41">
        <v>1.0228361531917838</v>
      </c>
      <c r="AU657" s="41"/>
      <c r="AV657" s="41"/>
      <c r="AW657" s="41"/>
      <c r="AX657" s="41"/>
      <c r="AY657" s="41"/>
      <c r="AZ657" s="41"/>
      <c r="BA657" s="41"/>
      <c r="BB657" s="41"/>
      <c r="BC657" s="41"/>
      <c r="BD657" s="41"/>
      <c r="BE657" s="41"/>
      <c r="BF657" s="41"/>
      <c r="BG657" s="41"/>
      <c r="BH657" s="41"/>
      <c r="BI657" s="41">
        <v>1.2057369708980019</v>
      </c>
      <c r="BJ657" s="41"/>
      <c r="BK657" s="41"/>
      <c r="BL657" s="41"/>
      <c r="BM657" s="41"/>
      <c r="BN657" s="41">
        <f t="shared" si="11"/>
        <v>1.2057369708980019</v>
      </c>
    </row>
    <row r="658" spans="2:66" hidden="1" outlineLevel="1" x14ac:dyDescent="0.35">
      <c r="B658" s="41" t="s">
        <v>634</v>
      </c>
      <c r="C658" s="41" t="s">
        <v>635</v>
      </c>
      <c r="D658" s="41" t="s">
        <v>746</v>
      </c>
      <c r="E658" s="41" t="s">
        <v>745</v>
      </c>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v>0.31975884020674478</v>
      </c>
      <c r="AK658" s="41"/>
      <c r="AL658" s="41"/>
      <c r="AM658" s="41"/>
      <c r="AN658" s="41"/>
      <c r="AO658" s="41"/>
      <c r="AP658" s="41"/>
      <c r="AQ658" s="41"/>
      <c r="AR658" s="41"/>
      <c r="AS658" s="41"/>
      <c r="AT658" s="41">
        <v>0.3808657432766584</v>
      </c>
      <c r="AU658" s="41"/>
      <c r="AV658" s="41"/>
      <c r="AW658" s="41"/>
      <c r="AX658" s="41"/>
      <c r="AY658" s="41"/>
      <c r="AZ658" s="41"/>
      <c r="BA658" s="41"/>
      <c r="BB658" s="41"/>
      <c r="BC658" s="41"/>
      <c r="BD658" s="41"/>
      <c r="BE658" s="41"/>
      <c r="BF658" s="41"/>
      <c r="BG658" s="41"/>
      <c r="BH658" s="41"/>
      <c r="BI658" s="41">
        <v>0.44472649538513387</v>
      </c>
      <c r="BJ658" s="41"/>
      <c r="BK658" s="41"/>
      <c r="BL658" s="41"/>
      <c r="BM658" s="41"/>
      <c r="BN658" s="41">
        <f t="shared" si="11"/>
        <v>0.44472649538513387</v>
      </c>
    </row>
    <row r="659" spans="2:66" hidden="1" outlineLevel="1" x14ac:dyDescent="0.35">
      <c r="B659" s="41" t="s">
        <v>636</v>
      </c>
      <c r="C659" s="41" t="s">
        <v>637</v>
      </c>
      <c r="D659" s="41" t="s">
        <v>746</v>
      </c>
      <c r="E659" s="41" t="s">
        <v>745</v>
      </c>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v>0.56782544831315251</v>
      </c>
      <c r="AK659" s="41"/>
      <c r="AL659" s="41"/>
      <c r="AM659" s="41"/>
      <c r="AN659" s="41"/>
      <c r="AO659" s="41"/>
      <c r="AP659" s="41"/>
      <c r="AQ659" s="41"/>
      <c r="AR659" s="41"/>
      <c r="AS659" s="41"/>
      <c r="AT659" s="41">
        <v>0.64606356522193331</v>
      </c>
      <c r="AU659" s="41"/>
      <c r="AV659" s="41"/>
      <c r="AW659" s="41"/>
      <c r="AX659" s="41"/>
      <c r="AY659" s="41"/>
      <c r="AZ659" s="41"/>
      <c r="BA659" s="41"/>
      <c r="BB659" s="41"/>
      <c r="BC659" s="41"/>
      <c r="BD659" s="41"/>
      <c r="BE659" s="41"/>
      <c r="BF659" s="41"/>
      <c r="BG659" s="41"/>
      <c r="BH659" s="41"/>
      <c r="BI659" s="41">
        <v>0.7199389124387725</v>
      </c>
      <c r="BJ659" s="41"/>
      <c r="BK659" s="41"/>
      <c r="BL659" s="41"/>
      <c r="BM659" s="41"/>
      <c r="BN659" s="41">
        <f t="shared" si="11"/>
        <v>0.7199389124387725</v>
      </c>
    </row>
    <row r="660" spans="2:66" hidden="1" outlineLevel="1" x14ac:dyDescent="0.35">
      <c r="B660" s="41" t="s">
        <v>242</v>
      </c>
      <c r="C660" s="41" t="s">
        <v>58</v>
      </c>
      <c r="D660" s="41" t="s">
        <v>746</v>
      </c>
      <c r="E660" s="41" t="s">
        <v>745</v>
      </c>
      <c r="F660" s="41">
        <v>2.1000000000000001E-2</v>
      </c>
      <c r="G660" s="41"/>
      <c r="H660" s="41"/>
      <c r="I660" s="41"/>
      <c r="J660" s="41"/>
      <c r="K660" s="41">
        <v>3.2000000000000001E-2</v>
      </c>
      <c r="L660" s="41"/>
      <c r="M660" s="41"/>
      <c r="N660" s="41"/>
      <c r="O660" s="41"/>
      <c r="P660" s="41">
        <v>3.6999999999999998E-2</v>
      </c>
      <c r="Q660" s="41"/>
      <c r="R660" s="41"/>
      <c r="S660" s="41"/>
      <c r="T660" s="41"/>
      <c r="U660" s="41">
        <v>3.6999999999999998E-2</v>
      </c>
      <c r="V660" s="41"/>
      <c r="W660" s="41"/>
      <c r="X660" s="41"/>
      <c r="Y660" s="41">
        <v>8.5000000000000006E-2</v>
      </c>
      <c r="Z660" s="41"/>
      <c r="AA660" s="41">
        <v>0.08</v>
      </c>
      <c r="AB660" s="41"/>
      <c r="AC660" s="41">
        <v>0.106</v>
      </c>
      <c r="AD660" s="41"/>
      <c r="AE660" s="41"/>
      <c r="AF660" s="41"/>
      <c r="AG660" s="41"/>
      <c r="AH660" s="41"/>
      <c r="AI660" s="41">
        <v>0.14199999999999999</v>
      </c>
      <c r="AJ660" s="41">
        <v>0.14399999999999999</v>
      </c>
      <c r="AK660" s="41">
        <v>0.14799999999999999</v>
      </c>
      <c r="AL660" s="41"/>
      <c r="AM660" s="41">
        <v>5.8000000000000003E-2</v>
      </c>
      <c r="AN660" s="41">
        <v>0.16</v>
      </c>
      <c r="AO660" s="41"/>
      <c r="AP660" s="41"/>
      <c r="AQ660" s="41"/>
      <c r="AR660" s="41"/>
      <c r="AS660" s="41"/>
      <c r="AT660" s="41">
        <v>0.16200000000000001</v>
      </c>
      <c r="AU660" s="41"/>
      <c r="AV660" s="41"/>
      <c r="AW660" s="41">
        <v>0.1338</v>
      </c>
      <c r="AX660" s="41"/>
      <c r="AY660" s="41"/>
      <c r="AZ660" s="41">
        <v>0.13</v>
      </c>
      <c r="BA660" s="41">
        <v>0.28799999999999998</v>
      </c>
      <c r="BB660" s="41"/>
      <c r="BC660" s="41">
        <v>0.14430000000000001</v>
      </c>
      <c r="BD660" s="41">
        <v>0.1391</v>
      </c>
      <c r="BE660" s="41"/>
      <c r="BF660" s="41">
        <v>0.3075</v>
      </c>
      <c r="BG660" s="41">
        <v>0.31180000000000002</v>
      </c>
      <c r="BH660" s="41"/>
      <c r="BI660" s="41">
        <v>0.27400000000000002</v>
      </c>
      <c r="BJ660" s="41"/>
      <c r="BK660" s="41">
        <v>0.37769999999999998</v>
      </c>
      <c r="BL660" s="41"/>
      <c r="BM660" s="41"/>
      <c r="BN660" s="41">
        <f t="shared" si="11"/>
        <v>0.37769999999999998</v>
      </c>
    </row>
    <row r="661" spans="2:66" hidden="1" outlineLevel="1" x14ac:dyDescent="0.35">
      <c r="B661" s="41" t="s">
        <v>638</v>
      </c>
      <c r="C661" s="41" t="s">
        <v>639</v>
      </c>
      <c r="D661" s="41" t="s">
        <v>746</v>
      </c>
      <c r="E661" s="41" t="s">
        <v>745</v>
      </c>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v>0.17444376399589753</v>
      </c>
      <c r="AK661" s="41"/>
      <c r="AL661" s="41"/>
      <c r="AM661" s="41"/>
      <c r="AN661" s="41"/>
      <c r="AO661" s="41"/>
      <c r="AP661" s="41"/>
      <c r="AQ661" s="41"/>
      <c r="AR661" s="41"/>
      <c r="AS661" s="41"/>
      <c r="AT661" s="41">
        <v>0.22184405454061945</v>
      </c>
      <c r="AU661" s="41"/>
      <c r="AV661" s="41"/>
      <c r="AW661" s="41"/>
      <c r="AX661" s="41"/>
      <c r="AY661" s="41"/>
      <c r="AZ661" s="41"/>
      <c r="BA661" s="41"/>
      <c r="BB661" s="41"/>
      <c r="BC661" s="41"/>
      <c r="BD661" s="41"/>
      <c r="BE661" s="41"/>
      <c r="BF661" s="41"/>
      <c r="BG661" s="41"/>
      <c r="BH661" s="41"/>
      <c r="BI661" s="41">
        <v>0.30155749417718902</v>
      </c>
      <c r="BJ661" s="41"/>
      <c r="BK661" s="41"/>
      <c r="BL661" s="41"/>
      <c r="BM661" s="41"/>
      <c r="BN661" s="41">
        <f t="shared" si="11"/>
        <v>0.30155749417718902</v>
      </c>
    </row>
    <row r="662" spans="2:66" hidden="1" outlineLevel="1" x14ac:dyDescent="0.35">
      <c r="B662" s="41" t="s">
        <v>420</v>
      </c>
      <c r="C662" s="41" t="s">
        <v>421</v>
      </c>
      <c r="D662" s="41" t="s">
        <v>746</v>
      </c>
      <c r="E662" s="41" t="s">
        <v>745</v>
      </c>
      <c r="F662" s="41">
        <v>0.248</v>
      </c>
      <c r="G662" s="41"/>
      <c r="H662" s="41"/>
      <c r="I662" s="41"/>
      <c r="J662" s="41"/>
      <c r="K662" s="41">
        <v>0.26</v>
      </c>
      <c r="L662" s="41"/>
      <c r="M662" s="41"/>
      <c r="N662" s="41"/>
      <c r="O662" s="41"/>
      <c r="P662" s="41">
        <v>0.308</v>
      </c>
      <c r="Q662" s="41"/>
      <c r="R662" s="41"/>
      <c r="S662" s="41"/>
      <c r="T662" s="41"/>
      <c r="U662" s="41"/>
      <c r="V662" s="41"/>
      <c r="W662" s="41"/>
      <c r="X662" s="41"/>
      <c r="Y662" s="41"/>
      <c r="Z662" s="41"/>
      <c r="AA662" s="41">
        <v>0.68400000000000005</v>
      </c>
      <c r="AB662" s="41"/>
      <c r="AC662" s="41"/>
      <c r="AD662" s="41"/>
      <c r="AE662" s="41"/>
      <c r="AF662" s="41">
        <v>0.78700000000000003</v>
      </c>
      <c r="AG662" s="41"/>
      <c r="AH662" s="41"/>
      <c r="AI662" s="41"/>
      <c r="AJ662" s="41">
        <v>0.57699999999999996</v>
      </c>
      <c r="AK662" s="41"/>
      <c r="AL662" s="41"/>
      <c r="AM662" s="41"/>
      <c r="AN662" s="41"/>
      <c r="AO662" s="41"/>
      <c r="AP662" s="41"/>
      <c r="AQ662" s="41"/>
      <c r="AR662" s="41"/>
      <c r="AS662" s="41"/>
      <c r="AT662" s="41"/>
      <c r="AU662" s="41"/>
      <c r="AV662" s="41"/>
      <c r="AW662" s="41"/>
      <c r="AX662" s="41"/>
      <c r="AY662" s="41"/>
      <c r="AZ662" s="41"/>
      <c r="BA662" s="41"/>
      <c r="BB662" s="41"/>
      <c r="BC662" s="41"/>
      <c r="BD662" s="41">
        <v>1.4490000000000001</v>
      </c>
      <c r="BE662" s="41"/>
      <c r="BF662" s="41"/>
      <c r="BG662" s="41"/>
      <c r="BH662" s="41"/>
      <c r="BI662" s="41"/>
      <c r="BJ662" s="41"/>
      <c r="BK662" s="41"/>
      <c r="BL662" s="41"/>
      <c r="BM662" s="41"/>
      <c r="BN662" s="41">
        <f t="shared" si="11"/>
        <v>1.4490000000000001</v>
      </c>
    </row>
    <row r="663" spans="2:66" hidden="1" outlineLevel="1" x14ac:dyDescent="0.35">
      <c r="B663" s="41" t="s">
        <v>416</v>
      </c>
      <c r="C663" s="41" t="s">
        <v>59</v>
      </c>
      <c r="D663" s="41" t="s">
        <v>746</v>
      </c>
      <c r="E663" s="41" t="s">
        <v>745</v>
      </c>
      <c r="F663" s="41">
        <v>0.21</v>
      </c>
      <c r="G663" s="41"/>
      <c r="H663" s="41"/>
      <c r="I663" s="41"/>
      <c r="J663" s="41"/>
      <c r="K663" s="41">
        <v>0.20499999999999999</v>
      </c>
      <c r="L663" s="41"/>
      <c r="M663" s="41"/>
      <c r="N663" s="41"/>
      <c r="O663" s="41"/>
      <c r="P663" s="41">
        <v>0.20499999999999999</v>
      </c>
      <c r="Q663" s="41"/>
      <c r="R663" s="41"/>
      <c r="S663" s="41"/>
      <c r="T663" s="41"/>
      <c r="U663" s="41">
        <v>0.20399999999999999</v>
      </c>
      <c r="V663" s="41"/>
      <c r="W663" s="41"/>
      <c r="X663" s="41"/>
      <c r="Y663" s="41"/>
      <c r="Z663" s="41">
        <v>0.371</v>
      </c>
      <c r="AA663" s="41">
        <v>0.27</v>
      </c>
      <c r="AB663" s="41"/>
      <c r="AC663" s="41"/>
      <c r="AD663" s="41">
        <v>0.39600000000000002</v>
      </c>
      <c r="AE663" s="41"/>
      <c r="AF663" s="41"/>
      <c r="AG663" s="41"/>
      <c r="AH663" s="41">
        <v>0.40699999999999997</v>
      </c>
      <c r="AI663" s="41"/>
      <c r="AJ663" s="41"/>
      <c r="AK663" s="41">
        <v>1.2252000000000001</v>
      </c>
      <c r="AL663" s="41">
        <v>0.48</v>
      </c>
      <c r="AM663" s="41">
        <v>0.40699999999999997</v>
      </c>
      <c r="AN663" s="41"/>
      <c r="AO663" s="41"/>
      <c r="AP663" s="41"/>
      <c r="AQ663" s="41"/>
      <c r="AR663" s="41">
        <v>0.51300000000000001</v>
      </c>
      <c r="AS663" s="41"/>
      <c r="AT663" s="41">
        <v>0.52759999999999996</v>
      </c>
      <c r="AU663" s="41">
        <v>0.53859999999999997</v>
      </c>
      <c r="AV663" s="41">
        <v>0.55700000000000005</v>
      </c>
      <c r="AW663" s="41">
        <v>0.56440000000000001</v>
      </c>
      <c r="AX663" s="41">
        <v>0.57350000000000001</v>
      </c>
      <c r="AY663" s="41">
        <v>0.5776</v>
      </c>
      <c r="AZ663" s="41">
        <v>0.58689999999999998</v>
      </c>
      <c r="BA663" s="41">
        <v>0.60019999999999996</v>
      </c>
      <c r="BB663" s="41">
        <v>0.61539999999999995</v>
      </c>
      <c r="BC663" s="41">
        <v>0.62370000000000003</v>
      </c>
      <c r="BD663" s="41">
        <v>0.66339999999999999</v>
      </c>
      <c r="BE663" s="41">
        <v>0.73939999999999995</v>
      </c>
      <c r="BF663" s="41">
        <v>0.69969999999999999</v>
      </c>
      <c r="BG663" s="41">
        <v>0.71819999999999995</v>
      </c>
      <c r="BH663" s="41">
        <v>0.72560000000000002</v>
      </c>
      <c r="BI663" s="41"/>
      <c r="BJ663" s="41">
        <v>0.75919999999999999</v>
      </c>
      <c r="BK663" s="41">
        <v>0.77759999999999996</v>
      </c>
      <c r="BL663" s="41"/>
      <c r="BM663" s="41"/>
      <c r="BN663" s="41">
        <f t="shared" si="11"/>
        <v>0.77759999999999996</v>
      </c>
    </row>
    <row r="664" spans="2:66" hidden="1" outlineLevel="1" x14ac:dyDescent="0.35">
      <c r="B664" s="41" t="s">
        <v>488</v>
      </c>
      <c r="C664" s="41" t="s">
        <v>489</v>
      </c>
      <c r="D664" s="41" t="s">
        <v>746</v>
      </c>
      <c r="E664" s="41" t="s">
        <v>745</v>
      </c>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t="str">
        <f t="shared" si="11"/>
        <v>No reported value</v>
      </c>
    </row>
    <row r="665" spans="2:66" hidden="1" outlineLevel="1" x14ac:dyDescent="0.35">
      <c r="B665" s="41" t="s">
        <v>419</v>
      </c>
      <c r="C665" s="41" t="s">
        <v>60</v>
      </c>
      <c r="D665" s="41" t="s">
        <v>746</v>
      </c>
      <c r="E665" s="41" t="s">
        <v>745</v>
      </c>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v>2</v>
      </c>
      <c r="AM665" s="41">
        <v>2</v>
      </c>
      <c r="AN665" s="41">
        <v>2</v>
      </c>
      <c r="AO665" s="41">
        <v>2.1</v>
      </c>
      <c r="AP665" s="41">
        <v>2.1</v>
      </c>
      <c r="AQ665" s="41">
        <v>2.1</v>
      </c>
      <c r="AR665" s="41">
        <v>2.2000000000000002</v>
      </c>
      <c r="AS665" s="41">
        <v>2.2999999999999998</v>
      </c>
      <c r="AT665" s="41">
        <v>2.2000000000000002</v>
      </c>
      <c r="AU665" s="41">
        <v>2.4</v>
      </c>
      <c r="AV665" s="41">
        <v>2.4</v>
      </c>
      <c r="AW665" s="41">
        <v>2.6</v>
      </c>
      <c r="AX665" s="41">
        <v>2.786</v>
      </c>
      <c r="AY665" s="41"/>
      <c r="AZ665" s="41">
        <v>2.347</v>
      </c>
      <c r="BA665" s="41">
        <v>3.08</v>
      </c>
      <c r="BB665" s="41">
        <v>3.1869999999999998</v>
      </c>
      <c r="BC665" s="41"/>
      <c r="BD665" s="41"/>
      <c r="BE665" s="41">
        <v>2.6198000000000001</v>
      </c>
      <c r="BF665" s="41">
        <v>2.6613000000000002</v>
      </c>
      <c r="BG665" s="41">
        <v>2.6414</v>
      </c>
      <c r="BH665" s="41">
        <v>2.7702</v>
      </c>
      <c r="BI665" s="41">
        <v>2.7818999999999998</v>
      </c>
      <c r="BJ665" s="41">
        <v>2.9535999999999998</v>
      </c>
      <c r="BK665" s="41">
        <v>3.0861000000000001</v>
      </c>
      <c r="BL665" s="41"/>
      <c r="BM665" s="41"/>
      <c r="BN665" s="41">
        <f t="shared" si="11"/>
        <v>3.0861000000000001</v>
      </c>
    </row>
    <row r="666" spans="2:66" hidden="1" outlineLevel="1" x14ac:dyDescent="0.35">
      <c r="B666" s="41" t="s">
        <v>417</v>
      </c>
      <c r="C666" s="41" t="s">
        <v>61</v>
      </c>
      <c r="D666" s="41" t="s">
        <v>746</v>
      </c>
      <c r="E666" s="41" t="s">
        <v>745</v>
      </c>
      <c r="F666" s="41">
        <v>0.24399999999999999</v>
      </c>
      <c r="G666" s="41"/>
      <c r="H666" s="41"/>
      <c r="I666" s="41"/>
      <c r="J666" s="41"/>
      <c r="K666" s="41">
        <v>0.25700000000000001</v>
      </c>
      <c r="L666" s="41"/>
      <c r="M666" s="41"/>
      <c r="N666" s="41"/>
      <c r="O666" s="41"/>
      <c r="P666" s="41">
        <v>0.30599999999999999</v>
      </c>
      <c r="Q666" s="41"/>
      <c r="R666" s="41"/>
      <c r="S666" s="41"/>
      <c r="T666" s="41"/>
      <c r="U666" s="41"/>
      <c r="V666" s="41"/>
      <c r="W666" s="41"/>
      <c r="X666" s="41"/>
      <c r="Y666" s="41"/>
      <c r="Z666" s="41"/>
      <c r="AA666" s="41">
        <v>0.33800000000000002</v>
      </c>
      <c r="AB666" s="41"/>
      <c r="AC666" s="41"/>
      <c r="AD666" s="41"/>
      <c r="AE666" s="41"/>
      <c r="AF666" s="41">
        <v>0.34699999999999998</v>
      </c>
      <c r="AG666" s="41">
        <v>0.376</v>
      </c>
      <c r="AH666" s="41">
        <v>0.318</v>
      </c>
      <c r="AI666" s="41"/>
      <c r="AJ666" s="41"/>
      <c r="AK666" s="41"/>
      <c r="AL666" s="41"/>
      <c r="AM666" s="41">
        <v>0.318</v>
      </c>
      <c r="AN666" s="41"/>
      <c r="AO666" s="41"/>
      <c r="AP666" s="41">
        <v>0.85</v>
      </c>
      <c r="AQ666" s="41"/>
      <c r="AR666" s="41">
        <v>1.0489999999999999</v>
      </c>
      <c r="AS666" s="41"/>
      <c r="AT666" s="41"/>
      <c r="AU666" s="41"/>
      <c r="AV666" s="41"/>
      <c r="AW666" s="41"/>
      <c r="AX666" s="41">
        <v>0.87319999999999998</v>
      </c>
      <c r="AY666" s="41">
        <v>0.87860000000000005</v>
      </c>
      <c r="AZ666" s="41">
        <v>0.53100000000000003</v>
      </c>
      <c r="BA666" s="41"/>
      <c r="BB666" s="41"/>
      <c r="BC666" s="41"/>
      <c r="BD666" s="41">
        <v>0.89</v>
      </c>
      <c r="BE666" s="41"/>
      <c r="BF666" s="41"/>
      <c r="BG666" s="41"/>
      <c r="BH666" s="41">
        <v>1.4862</v>
      </c>
      <c r="BI666" s="41">
        <v>1.1399999999999999</v>
      </c>
      <c r="BJ666" s="41"/>
      <c r="BK666" s="41"/>
      <c r="BL666" s="41"/>
      <c r="BM666" s="41"/>
      <c r="BN666" s="41">
        <f t="shared" si="11"/>
        <v>1.1399999999999999</v>
      </c>
    </row>
    <row r="667" spans="2:66" hidden="1" outlineLevel="1" x14ac:dyDescent="0.35">
      <c r="B667" s="41" t="s">
        <v>418</v>
      </c>
      <c r="C667" s="41" t="s">
        <v>62</v>
      </c>
      <c r="D667" s="41" t="s">
        <v>746</v>
      </c>
      <c r="E667" s="41" t="s">
        <v>745</v>
      </c>
      <c r="F667" s="41">
        <v>0.19500000000000001</v>
      </c>
      <c r="G667" s="41"/>
      <c r="H667" s="41"/>
      <c r="I667" s="41"/>
      <c r="J667" s="41"/>
      <c r="K667" s="41">
        <v>0.2</v>
      </c>
      <c r="L667" s="41"/>
      <c r="M667" s="41"/>
      <c r="N667" s="41"/>
      <c r="O667" s="41"/>
      <c r="P667" s="41">
        <v>0.309</v>
      </c>
      <c r="Q667" s="41"/>
      <c r="R667" s="41"/>
      <c r="S667" s="41"/>
      <c r="T667" s="41"/>
      <c r="U667" s="41"/>
      <c r="V667" s="41"/>
      <c r="W667" s="41"/>
      <c r="X667" s="41"/>
      <c r="Y667" s="41"/>
      <c r="Z667" s="41">
        <v>0.56299999999999994</v>
      </c>
      <c r="AA667" s="41">
        <v>0.56799999999999995</v>
      </c>
      <c r="AB667" s="41"/>
      <c r="AC667" s="41"/>
      <c r="AD667" s="41"/>
      <c r="AE667" s="41"/>
      <c r="AF667" s="41">
        <v>0.59599999999999997</v>
      </c>
      <c r="AG667" s="41">
        <v>0.57599999999999996</v>
      </c>
      <c r="AH667" s="41"/>
      <c r="AI667" s="41"/>
      <c r="AJ667" s="41">
        <v>0.60299999999999998</v>
      </c>
      <c r="AK667" s="41"/>
      <c r="AL667" s="41"/>
      <c r="AM667" s="41">
        <v>0.60299999999999998</v>
      </c>
      <c r="AN667" s="41"/>
      <c r="AO667" s="41"/>
      <c r="AP667" s="41"/>
      <c r="AQ667" s="41"/>
      <c r="AR667" s="41">
        <v>0.55000000000000004</v>
      </c>
      <c r="AS667" s="41"/>
      <c r="AT667" s="41"/>
      <c r="AU667" s="41">
        <v>0.54300000000000004</v>
      </c>
      <c r="AV667" s="41"/>
      <c r="AW667" s="41"/>
      <c r="AX667" s="41">
        <v>0.65800000000000003</v>
      </c>
      <c r="AY667" s="41">
        <v>0.66</v>
      </c>
      <c r="AZ667" s="41"/>
      <c r="BA667" s="41">
        <v>0.52800000000000002</v>
      </c>
      <c r="BB667" s="41"/>
      <c r="BC667" s="41"/>
      <c r="BD667" s="41">
        <v>0.64159999999999995</v>
      </c>
      <c r="BE667" s="41"/>
      <c r="BF667" s="41"/>
      <c r="BG667" s="41"/>
      <c r="BH667" s="41">
        <v>0.86070000000000002</v>
      </c>
      <c r="BI667" s="41"/>
      <c r="BJ667" s="41">
        <v>0.84</v>
      </c>
      <c r="BK667" s="41">
        <v>0.82169999999999999</v>
      </c>
      <c r="BL667" s="41"/>
      <c r="BM667" s="41"/>
      <c r="BN667" s="41">
        <f t="shared" si="11"/>
        <v>0.82169999999999999</v>
      </c>
    </row>
    <row r="668" spans="2:66" hidden="1" outlineLevel="1" x14ac:dyDescent="0.35">
      <c r="B668" s="41" t="s">
        <v>415</v>
      </c>
      <c r="C668" s="41" t="s">
        <v>63</v>
      </c>
      <c r="D668" s="41" t="s">
        <v>746</v>
      </c>
      <c r="E668" s="41" t="s">
        <v>745</v>
      </c>
      <c r="F668" s="41">
        <v>1.2</v>
      </c>
      <c r="G668" s="41">
        <v>1.2</v>
      </c>
      <c r="H668" s="41">
        <v>1.2</v>
      </c>
      <c r="I668" s="41">
        <v>1.2</v>
      </c>
      <c r="J668" s="41">
        <v>1.2</v>
      </c>
      <c r="K668" s="41">
        <v>1.2</v>
      </c>
      <c r="L668" s="41">
        <v>1.2</v>
      </c>
      <c r="M668" s="41">
        <v>1.2</v>
      </c>
      <c r="N668" s="41">
        <v>1.3</v>
      </c>
      <c r="O668" s="41">
        <v>1.3</v>
      </c>
      <c r="P668" s="41">
        <v>1.4</v>
      </c>
      <c r="Q668" s="41">
        <v>1.5</v>
      </c>
      <c r="R668" s="41">
        <v>1.6</v>
      </c>
      <c r="S668" s="41">
        <v>1.6</v>
      </c>
      <c r="T668" s="41">
        <v>1.7</v>
      </c>
      <c r="U668" s="41">
        <v>1.8</v>
      </c>
      <c r="V668" s="41">
        <v>1.9</v>
      </c>
      <c r="W668" s="41">
        <v>1.9</v>
      </c>
      <c r="X668" s="41">
        <v>2</v>
      </c>
      <c r="Y668" s="41">
        <v>2</v>
      </c>
      <c r="Z668" s="41">
        <v>2.1</v>
      </c>
      <c r="AA668" s="41">
        <v>2.2000000000000002</v>
      </c>
      <c r="AB668" s="41">
        <v>2.2999999999999998</v>
      </c>
      <c r="AC668" s="41">
        <v>2.2999999999999998</v>
      </c>
      <c r="AD668" s="41">
        <v>2.4</v>
      </c>
      <c r="AE668" s="41">
        <v>2.6</v>
      </c>
      <c r="AF668" s="41">
        <v>2.6</v>
      </c>
      <c r="AG668" s="41">
        <v>2.7</v>
      </c>
      <c r="AH668" s="41">
        <v>2.7</v>
      </c>
      <c r="AI668" s="41">
        <v>2.8</v>
      </c>
      <c r="AJ668" s="41">
        <v>2.8</v>
      </c>
      <c r="AK668" s="41">
        <v>2.8</v>
      </c>
      <c r="AL668" s="41">
        <v>3</v>
      </c>
      <c r="AM668" s="41">
        <v>3</v>
      </c>
      <c r="AN668" s="41">
        <v>3</v>
      </c>
      <c r="AO668" s="41">
        <v>3</v>
      </c>
      <c r="AP668" s="41">
        <v>3.1</v>
      </c>
      <c r="AQ668" s="41">
        <v>3.3</v>
      </c>
      <c r="AR668" s="41">
        <v>3.3</v>
      </c>
      <c r="AS668" s="41">
        <v>3.4</v>
      </c>
      <c r="AT668" s="41">
        <v>3.4521999999999999</v>
      </c>
      <c r="AU668" s="41">
        <v>3.4994999999999998</v>
      </c>
      <c r="AV668" s="41">
        <v>3.6067</v>
      </c>
      <c r="AW668" s="41">
        <v>3.6354000000000002</v>
      </c>
      <c r="AX668" s="41">
        <v>3.6276000000000002</v>
      </c>
      <c r="AY668" s="41">
        <v>3.6271</v>
      </c>
      <c r="AZ668" s="41">
        <v>3.6469999999999998</v>
      </c>
      <c r="BA668" s="41">
        <v>3.6926999999999999</v>
      </c>
      <c r="BB668" s="41">
        <v>3.7246999999999999</v>
      </c>
      <c r="BC668" s="41">
        <v>3.6919</v>
      </c>
      <c r="BD668" s="41">
        <v>3.5653999999999999</v>
      </c>
      <c r="BE668" s="41">
        <v>3.4569999999999999</v>
      </c>
      <c r="BF668" s="41">
        <v>3.5084</v>
      </c>
      <c r="BG668" s="41">
        <v>3.5718999999999999</v>
      </c>
      <c r="BH668" s="41">
        <v>3.6316999999999999</v>
      </c>
      <c r="BI668" s="41">
        <v>3.7826</v>
      </c>
      <c r="BJ668" s="41">
        <v>3.8856999999999999</v>
      </c>
      <c r="BK668" s="41">
        <v>3.9701</v>
      </c>
      <c r="BL668" s="41"/>
      <c r="BM668" s="41"/>
      <c r="BN668" s="41">
        <f t="shared" si="11"/>
        <v>3.9701</v>
      </c>
    </row>
    <row r="669" spans="2:66" hidden="1" outlineLevel="1" x14ac:dyDescent="0.35">
      <c r="B669" s="41" t="s">
        <v>422</v>
      </c>
      <c r="C669" s="41" t="s">
        <v>64</v>
      </c>
      <c r="D669" s="41" t="s">
        <v>746</v>
      </c>
      <c r="E669" s="41" t="s">
        <v>745</v>
      </c>
      <c r="F669" s="41">
        <v>2.472</v>
      </c>
      <c r="G669" s="41"/>
      <c r="H669" s="41"/>
      <c r="I669" s="41"/>
      <c r="J669" s="41"/>
      <c r="K669" s="41">
        <v>2.5</v>
      </c>
      <c r="L669" s="41"/>
      <c r="M669" s="41"/>
      <c r="N669" s="41"/>
      <c r="O669" s="41"/>
      <c r="P669" s="41">
        <v>2.8809999999999998</v>
      </c>
      <c r="Q669" s="41">
        <v>2.9740000000000002</v>
      </c>
      <c r="R669" s="41">
        <v>3.1560000000000001</v>
      </c>
      <c r="S669" s="41">
        <v>3.3039999999999998</v>
      </c>
      <c r="T669" s="41"/>
      <c r="U669" s="41"/>
      <c r="V669" s="41"/>
      <c r="W669" s="41"/>
      <c r="X669" s="41"/>
      <c r="Y669" s="41">
        <v>2.694</v>
      </c>
      <c r="Z669" s="41">
        <v>3.0939999999999999</v>
      </c>
      <c r="AA669" s="41">
        <v>3.1669999999999998</v>
      </c>
      <c r="AB669" s="41">
        <v>3.214</v>
      </c>
      <c r="AC669" s="41">
        <v>3.323</v>
      </c>
      <c r="AD669" s="41">
        <v>3.3530000000000002</v>
      </c>
      <c r="AE669" s="41">
        <v>3.2149999999999999</v>
      </c>
      <c r="AF669" s="41">
        <v>3.2</v>
      </c>
      <c r="AG669" s="41">
        <v>3.2069999999999999</v>
      </c>
      <c r="AH669" s="41">
        <v>3.21</v>
      </c>
      <c r="AI669" s="41">
        <v>3.1949999999999998</v>
      </c>
      <c r="AJ669" s="41">
        <v>3.2069999999999999</v>
      </c>
      <c r="AK669" s="41">
        <v>3.3029999999999999</v>
      </c>
      <c r="AL669" s="41">
        <v>3.657</v>
      </c>
      <c r="AM669" s="41">
        <v>3.6960000000000002</v>
      </c>
      <c r="AN669" s="41">
        <v>3.7309999999999999</v>
      </c>
      <c r="AO669" s="41">
        <v>4.8555000000000001</v>
      </c>
      <c r="AP669" s="41">
        <v>3.766</v>
      </c>
      <c r="AQ669" s="41">
        <v>3.7930000000000001</v>
      </c>
      <c r="AR669" s="41">
        <v>3.7749999999999999</v>
      </c>
      <c r="AS669" s="41">
        <v>3.915</v>
      </c>
      <c r="AT669" s="41">
        <v>3.766</v>
      </c>
      <c r="AU669" s="41">
        <v>3.91</v>
      </c>
      <c r="AV669" s="41"/>
      <c r="AW669" s="41">
        <v>3.82</v>
      </c>
      <c r="AX669" s="41"/>
      <c r="AY669" s="41"/>
      <c r="AZ669" s="41">
        <v>3.67</v>
      </c>
      <c r="BA669" s="41">
        <v>3.633</v>
      </c>
      <c r="BB669" s="41"/>
      <c r="BC669" s="41"/>
      <c r="BD669" s="41">
        <v>3.4114</v>
      </c>
      <c r="BE669" s="41">
        <v>3.3426999999999998</v>
      </c>
      <c r="BF669" s="41">
        <v>3.3422999999999998</v>
      </c>
      <c r="BG669" s="41">
        <v>3.5375000000000001</v>
      </c>
      <c r="BH669" s="41">
        <v>3.0844</v>
      </c>
      <c r="BI669" s="41">
        <v>3.1905999999999999</v>
      </c>
      <c r="BJ669" s="41">
        <v>3.2176</v>
      </c>
      <c r="BK669" s="41"/>
      <c r="BL669" s="41"/>
      <c r="BM669" s="41"/>
      <c r="BN669" s="41">
        <f t="shared" si="11"/>
        <v>3.2176</v>
      </c>
    </row>
    <row r="670" spans="2:66" hidden="1" outlineLevel="1" x14ac:dyDescent="0.35">
      <c r="B670" s="41" t="s">
        <v>423</v>
      </c>
      <c r="C670" s="41" t="s">
        <v>65</v>
      </c>
      <c r="D670" s="41" t="s">
        <v>746</v>
      </c>
      <c r="E670" s="41" t="s">
        <v>745</v>
      </c>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v>3.8</v>
      </c>
      <c r="AN670" s="41">
        <v>3.7</v>
      </c>
      <c r="AO670" s="41">
        <v>3.9</v>
      </c>
      <c r="AP670" s="41">
        <v>4.0999999999999996</v>
      </c>
      <c r="AQ670" s="41">
        <v>4</v>
      </c>
      <c r="AR670" s="41">
        <v>4.0999999999999996</v>
      </c>
      <c r="AS670" s="41">
        <v>4.2</v>
      </c>
      <c r="AT670" s="41">
        <v>4.2</v>
      </c>
      <c r="AU670" s="41">
        <v>4.4000000000000004</v>
      </c>
      <c r="AV670" s="41">
        <v>4.4000000000000004</v>
      </c>
      <c r="AW670" s="41">
        <v>4.0999999999999996</v>
      </c>
      <c r="AX670" s="41">
        <v>4.2030000000000003</v>
      </c>
      <c r="AY670" s="41"/>
      <c r="AZ670" s="41">
        <v>3.7</v>
      </c>
      <c r="BA670" s="41"/>
      <c r="BB670" s="41">
        <v>4.242</v>
      </c>
      <c r="BC670" s="41">
        <v>3.802</v>
      </c>
      <c r="BD670" s="41"/>
      <c r="BE670" s="41"/>
      <c r="BF670" s="41">
        <v>3.8607999999999998</v>
      </c>
      <c r="BG670" s="41">
        <v>3.9371</v>
      </c>
      <c r="BH670" s="41">
        <v>3.9588000000000001</v>
      </c>
      <c r="BI670" s="41">
        <v>3.9174000000000002</v>
      </c>
      <c r="BJ670" s="41">
        <v>4.0323000000000002</v>
      </c>
      <c r="BK670" s="41">
        <v>4.0930999999999997</v>
      </c>
      <c r="BL670" s="41"/>
      <c r="BM670" s="41"/>
      <c r="BN670" s="41">
        <f t="shared" si="11"/>
        <v>4.0930999999999997</v>
      </c>
    </row>
    <row r="671" spans="2:66" hidden="1" outlineLevel="1" x14ac:dyDescent="0.35">
      <c r="B671" s="41" t="s">
        <v>424</v>
      </c>
      <c r="C671" s="41" t="s">
        <v>66</v>
      </c>
      <c r="D671" s="41" t="s">
        <v>746</v>
      </c>
      <c r="E671" s="41" t="s">
        <v>745</v>
      </c>
      <c r="F671" s="41">
        <v>0.38600000000000001</v>
      </c>
      <c r="G671" s="41"/>
      <c r="H671" s="41"/>
      <c r="I671" s="41"/>
      <c r="J671" s="41"/>
      <c r="K671" s="41">
        <v>0.502</v>
      </c>
      <c r="L671" s="41"/>
      <c r="M671" s="41"/>
      <c r="N671" s="41"/>
      <c r="O671" s="41"/>
      <c r="P671" s="41">
        <v>0.38</v>
      </c>
      <c r="Q671" s="41"/>
      <c r="R671" s="41"/>
      <c r="S671" s="41"/>
      <c r="T671" s="41"/>
      <c r="U671" s="41"/>
      <c r="V671" s="41"/>
      <c r="W671" s="41"/>
      <c r="X671" s="41"/>
      <c r="Y671" s="41">
        <v>0.36099999999999999</v>
      </c>
      <c r="Z671" s="41"/>
      <c r="AA671" s="41">
        <v>0.35899999999999999</v>
      </c>
      <c r="AB671" s="41"/>
      <c r="AC671" s="41"/>
      <c r="AD671" s="41">
        <v>0.48899999999999999</v>
      </c>
      <c r="AE671" s="41"/>
      <c r="AF671" s="41"/>
      <c r="AG671" s="41"/>
      <c r="AH671" s="41"/>
      <c r="AI671" s="41"/>
      <c r="AJ671" s="41">
        <v>0.56999999999999995</v>
      </c>
      <c r="AK671" s="41"/>
      <c r="AL671" s="41"/>
      <c r="AM671" s="41">
        <v>0.47199999999999998</v>
      </c>
      <c r="AN671" s="41"/>
      <c r="AO671" s="41">
        <v>0.56999999999999995</v>
      </c>
      <c r="AP671" s="41">
        <v>1.401</v>
      </c>
      <c r="AQ671" s="41">
        <v>1.401</v>
      </c>
      <c r="AR671" s="41"/>
      <c r="AS671" s="41"/>
      <c r="AT671" s="41"/>
      <c r="AU671" s="41"/>
      <c r="AV671" s="41"/>
      <c r="AW671" s="41">
        <v>0.8306</v>
      </c>
      <c r="AX671" s="41"/>
      <c r="AY671" s="41"/>
      <c r="AZ671" s="41"/>
      <c r="BA671" s="41"/>
      <c r="BB671" s="41">
        <v>0.39529999999999998</v>
      </c>
      <c r="BC671" s="41"/>
      <c r="BD671" s="41"/>
      <c r="BE671" s="41"/>
      <c r="BF671" s="41">
        <v>0.35410000000000003</v>
      </c>
      <c r="BG671" s="41">
        <v>0.46879999999999999</v>
      </c>
      <c r="BH671" s="41">
        <v>0.38150000000000001</v>
      </c>
      <c r="BI671" s="41">
        <v>0.41749999999999998</v>
      </c>
      <c r="BJ671" s="41">
        <v>0.45879999999999999</v>
      </c>
      <c r="BK671" s="41">
        <v>1.3199000000000001</v>
      </c>
      <c r="BL671" s="41"/>
      <c r="BM671" s="41"/>
      <c r="BN671" s="41">
        <f t="shared" si="11"/>
        <v>1.3199000000000001</v>
      </c>
    </row>
    <row r="672" spans="2:66" hidden="1" outlineLevel="1" x14ac:dyDescent="0.35">
      <c r="B672" s="41" t="s">
        <v>426</v>
      </c>
      <c r="C672" s="41" t="s">
        <v>67</v>
      </c>
      <c r="D672" s="41" t="s">
        <v>746</v>
      </c>
      <c r="E672" s="41" t="s">
        <v>745</v>
      </c>
      <c r="F672" s="41">
        <v>0.34599999999999997</v>
      </c>
      <c r="G672" s="41"/>
      <c r="H672" s="41"/>
      <c r="I672" s="41"/>
      <c r="J672" s="41"/>
      <c r="K672" s="41">
        <v>0.37</v>
      </c>
      <c r="L672" s="41"/>
      <c r="M672" s="41"/>
      <c r="N672" s="41"/>
      <c r="O672" s="41"/>
      <c r="P672" s="41">
        <v>0.40400000000000003</v>
      </c>
      <c r="Q672" s="41"/>
      <c r="R672" s="41"/>
      <c r="S672" s="41"/>
      <c r="T672" s="41"/>
      <c r="U672" s="41">
        <v>0.378</v>
      </c>
      <c r="V672" s="41"/>
      <c r="W672" s="41"/>
      <c r="X672" s="41"/>
      <c r="Y672" s="41"/>
      <c r="Z672" s="41">
        <v>0.78600000000000003</v>
      </c>
      <c r="AA672" s="41">
        <v>1.1140000000000001</v>
      </c>
      <c r="AB672" s="41">
        <v>1.1279999999999999</v>
      </c>
      <c r="AC672" s="41"/>
      <c r="AD672" s="41">
        <v>1.159</v>
      </c>
      <c r="AE672" s="41"/>
      <c r="AF672" s="41"/>
      <c r="AG672" s="41"/>
      <c r="AH672" s="41"/>
      <c r="AI672" s="41"/>
      <c r="AJ672" s="41"/>
      <c r="AK672" s="41">
        <v>1.3480000000000001</v>
      </c>
      <c r="AL672" s="41"/>
      <c r="AM672" s="41"/>
      <c r="AN672" s="41">
        <v>1.625</v>
      </c>
      <c r="AO672" s="41"/>
      <c r="AP672" s="41"/>
      <c r="AQ672" s="41">
        <v>1.66</v>
      </c>
      <c r="AR672" s="41">
        <v>0.99209999999999998</v>
      </c>
      <c r="AS672" s="41">
        <v>1.9314</v>
      </c>
      <c r="AT672" s="41">
        <v>1.8763000000000001</v>
      </c>
      <c r="AU672" s="41">
        <v>2.0461999999999998</v>
      </c>
      <c r="AV672" s="41">
        <v>2.2155999999999998</v>
      </c>
      <c r="AW672" s="41">
        <v>2.2930000000000001</v>
      </c>
      <c r="AX672" s="41">
        <v>2.0590000000000002</v>
      </c>
      <c r="AY672" s="41">
        <v>2.2591000000000001</v>
      </c>
      <c r="AZ672" s="41">
        <v>2.3132000000000001</v>
      </c>
      <c r="BA672" s="41">
        <v>2.4670999999999998</v>
      </c>
      <c r="BB672" s="41">
        <v>2.246</v>
      </c>
      <c r="BC672" s="41">
        <v>2.1513</v>
      </c>
      <c r="BD672" s="41">
        <v>2.2572000000000001</v>
      </c>
      <c r="BE672" s="41"/>
      <c r="BF672" s="41"/>
      <c r="BG672" s="41">
        <v>2.2223000000000002</v>
      </c>
      <c r="BH672" s="41">
        <v>2.2311999999999999</v>
      </c>
      <c r="BI672" s="41">
        <v>2.8407</v>
      </c>
      <c r="BJ672" s="41">
        <v>1.4098999999999999</v>
      </c>
      <c r="BK672" s="41">
        <v>2.3435999999999999</v>
      </c>
      <c r="BL672" s="41"/>
      <c r="BM672" s="41"/>
      <c r="BN672" s="41">
        <f t="shared" si="11"/>
        <v>2.3435999999999999</v>
      </c>
    </row>
    <row r="673" spans="2:66" hidden="1" outlineLevel="1" x14ac:dyDescent="0.35">
      <c r="B673" s="41" t="s">
        <v>425</v>
      </c>
      <c r="C673" s="41" t="s">
        <v>68</v>
      </c>
      <c r="D673" s="41" t="s">
        <v>746</v>
      </c>
      <c r="E673" s="41" t="s">
        <v>745</v>
      </c>
      <c r="F673" s="41">
        <v>1</v>
      </c>
      <c r="G673" s="41">
        <v>1</v>
      </c>
      <c r="H673" s="41">
        <v>1</v>
      </c>
      <c r="I673" s="41">
        <v>1</v>
      </c>
      <c r="J673" s="41">
        <v>1</v>
      </c>
      <c r="K673" s="41">
        <v>1</v>
      </c>
      <c r="L673" s="41">
        <v>1</v>
      </c>
      <c r="M673" s="41">
        <v>1</v>
      </c>
      <c r="N673" s="41">
        <v>1</v>
      </c>
      <c r="O673" s="41">
        <v>1.1000000000000001</v>
      </c>
      <c r="P673" s="41">
        <v>1.1000000000000001</v>
      </c>
      <c r="Q673" s="41">
        <v>1.1000000000000001</v>
      </c>
      <c r="R673" s="41">
        <v>1.1000000000000001</v>
      </c>
      <c r="S673" s="41">
        <v>1.1000000000000001</v>
      </c>
      <c r="T673" s="41">
        <v>1.1000000000000001</v>
      </c>
      <c r="U673" s="41">
        <v>1.1000000000000001</v>
      </c>
      <c r="V673" s="41">
        <v>1.1000000000000001</v>
      </c>
      <c r="W673" s="41">
        <v>1.2</v>
      </c>
      <c r="X673" s="41">
        <v>1.2</v>
      </c>
      <c r="Y673" s="41">
        <v>1.2</v>
      </c>
      <c r="Z673" s="41"/>
      <c r="AA673" s="41">
        <v>1.3</v>
      </c>
      <c r="AB673" s="41"/>
      <c r="AC673" s="41"/>
      <c r="AD673" s="41"/>
      <c r="AE673" s="41">
        <v>1.5</v>
      </c>
      <c r="AF673" s="41"/>
      <c r="AG673" s="41"/>
      <c r="AH673" s="41"/>
      <c r="AI673" s="41"/>
      <c r="AJ673" s="41">
        <v>1.7010000000000001</v>
      </c>
      <c r="AK673" s="41"/>
      <c r="AL673" s="41">
        <v>1.7527999999999999</v>
      </c>
      <c r="AM673" s="41"/>
      <c r="AN673" s="41">
        <v>1.8286</v>
      </c>
      <c r="AO673" s="41"/>
      <c r="AP673" s="41">
        <v>1.9020999999999999</v>
      </c>
      <c r="AQ673" s="41"/>
      <c r="AR673" s="41">
        <v>1.9556</v>
      </c>
      <c r="AS673" s="41"/>
      <c r="AT673" s="41">
        <v>2.0057</v>
      </c>
      <c r="AU673" s="41"/>
      <c r="AV673" s="41">
        <v>2.0537999999999998</v>
      </c>
      <c r="AW673" s="41"/>
      <c r="AX673" s="41">
        <v>2.1088</v>
      </c>
      <c r="AY673" s="41"/>
      <c r="AZ673" s="41">
        <v>2.1640000000000001</v>
      </c>
      <c r="BA673" s="41"/>
      <c r="BB673" s="41">
        <v>2.2302</v>
      </c>
      <c r="BC673" s="41"/>
      <c r="BD673" s="41">
        <v>2.2469999999999999</v>
      </c>
      <c r="BE673" s="41"/>
      <c r="BF673" s="41">
        <v>2.274</v>
      </c>
      <c r="BG673" s="41"/>
      <c r="BH673" s="41">
        <v>2.3414000000000001</v>
      </c>
      <c r="BI673" s="41"/>
      <c r="BJ673" s="41">
        <v>2.4117999999999999</v>
      </c>
      <c r="BK673" s="41"/>
      <c r="BL673" s="41"/>
      <c r="BM673" s="41"/>
      <c r="BN673" s="41">
        <f t="shared" si="11"/>
        <v>2.4117999999999999</v>
      </c>
    </row>
    <row r="674" spans="2:66" hidden="1" outlineLevel="1" x14ac:dyDescent="0.35">
      <c r="B674" s="41" t="s">
        <v>427</v>
      </c>
      <c r="C674" s="41" t="s">
        <v>69</v>
      </c>
      <c r="D674" s="41" t="s">
        <v>746</v>
      </c>
      <c r="E674" s="41" t="s">
        <v>745</v>
      </c>
      <c r="F674" s="41"/>
      <c r="G674" s="41"/>
      <c r="H674" s="41"/>
      <c r="I674" s="41"/>
      <c r="J674" s="41"/>
      <c r="K674" s="41"/>
      <c r="L674" s="41"/>
      <c r="M674" s="41"/>
      <c r="N674" s="41"/>
      <c r="O674" s="41"/>
      <c r="P674" s="41"/>
      <c r="Q674" s="41"/>
      <c r="R674" s="41"/>
      <c r="S674" s="41"/>
      <c r="T674" s="41"/>
      <c r="U674" s="41"/>
      <c r="V674" s="41"/>
      <c r="W674" s="41"/>
      <c r="X674" s="41"/>
      <c r="Y674" s="41"/>
      <c r="Z674" s="41">
        <v>3.036</v>
      </c>
      <c r="AA674" s="41">
        <v>3.1539999999999999</v>
      </c>
      <c r="AB674" s="41">
        <v>3.2530000000000001</v>
      </c>
      <c r="AC674" s="41">
        <v>3.3959999999999999</v>
      </c>
      <c r="AD674" s="41">
        <v>3.5310000000000001</v>
      </c>
      <c r="AE674" s="41">
        <v>3.629</v>
      </c>
      <c r="AF674" s="41">
        <v>3.7240000000000002</v>
      </c>
      <c r="AG674" s="41">
        <v>3.7909999999999999</v>
      </c>
      <c r="AH674" s="41">
        <v>3.8719999999999999</v>
      </c>
      <c r="AI674" s="41">
        <v>3.9620000000000002</v>
      </c>
      <c r="AJ674" s="41">
        <v>3.976</v>
      </c>
      <c r="AK674" s="41">
        <v>3.839</v>
      </c>
      <c r="AL674" s="41">
        <v>3.9079999999999999</v>
      </c>
      <c r="AM674" s="41">
        <v>3.766</v>
      </c>
      <c r="AN674" s="41">
        <v>3.6040000000000001</v>
      </c>
      <c r="AO674" s="41">
        <v>3.6349999999999998</v>
      </c>
      <c r="AP674" s="41">
        <v>3.6389999999999998</v>
      </c>
      <c r="AQ674" s="41">
        <v>3.3010000000000002</v>
      </c>
      <c r="AR674" s="41">
        <v>3.528</v>
      </c>
      <c r="AS674" s="41">
        <v>3.2010000000000001</v>
      </c>
      <c r="AT674" s="41">
        <v>3.2919999999999998</v>
      </c>
      <c r="AU674" s="41">
        <v>3.302</v>
      </c>
      <c r="AV674" s="41">
        <v>3.6120000000000001</v>
      </c>
      <c r="AW674" s="41">
        <v>3.5390000000000001</v>
      </c>
      <c r="AX674" s="41">
        <v>3.6</v>
      </c>
      <c r="AY674" s="41">
        <v>3.7</v>
      </c>
      <c r="AZ674" s="41">
        <v>3.88</v>
      </c>
      <c r="BA674" s="41">
        <v>3.8769999999999998</v>
      </c>
      <c r="BB674" s="41">
        <v>3.7</v>
      </c>
      <c r="BC674" s="41">
        <v>3.6869999999999998</v>
      </c>
      <c r="BD674" s="41">
        <v>3.4866999999999999</v>
      </c>
      <c r="BE674" s="41">
        <v>3.5278999999999998</v>
      </c>
      <c r="BF674" s="41">
        <v>3.4683999999999999</v>
      </c>
      <c r="BG674" s="41">
        <v>3.4794999999999998</v>
      </c>
      <c r="BH674" s="41">
        <v>3.2522000000000002</v>
      </c>
      <c r="BI674" s="41"/>
      <c r="BJ674" s="41"/>
      <c r="BK674" s="41"/>
      <c r="BL674" s="41"/>
      <c r="BM674" s="41"/>
      <c r="BN674" s="41">
        <f t="shared" si="11"/>
        <v>3.2522000000000002</v>
      </c>
    </row>
    <row r="675" spans="2:66" hidden="1" outlineLevel="1" x14ac:dyDescent="0.35">
      <c r="B675" s="41" t="s">
        <v>199</v>
      </c>
      <c r="C675" s="41" t="s">
        <v>70</v>
      </c>
      <c r="D675" s="41" t="s">
        <v>746</v>
      </c>
      <c r="E675" s="41" t="s">
        <v>745</v>
      </c>
      <c r="F675" s="41">
        <v>9.1999999999999998E-2</v>
      </c>
      <c r="G675" s="41"/>
      <c r="H675" s="41"/>
      <c r="I675" s="41"/>
      <c r="J675" s="41"/>
      <c r="K675" s="41">
        <v>7.4999999999999997E-2</v>
      </c>
      <c r="L675" s="41"/>
      <c r="M675" s="41"/>
      <c r="N675" s="41"/>
      <c r="O675" s="41"/>
      <c r="P675" s="41">
        <v>0.125</v>
      </c>
      <c r="Q675" s="41"/>
      <c r="R675" s="41"/>
      <c r="S675" s="41"/>
      <c r="T675" s="41"/>
      <c r="U675" s="41">
        <v>0.127</v>
      </c>
      <c r="V675" s="41"/>
      <c r="W675" s="41"/>
      <c r="X675" s="41"/>
      <c r="Y675" s="41"/>
      <c r="Z675" s="41"/>
      <c r="AA675" s="41">
        <v>9.9000000000000005E-2</v>
      </c>
      <c r="AB675" s="41">
        <v>0.12</v>
      </c>
      <c r="AC675" s="41"/>
      <c r="AD675" s="41"/>
      <c r="AE675" s="41">
        <v>0.154</v>
      </c>
      <c r="AF675" s="41"/>
      <c r="AG675" s="41"/>
      <c r="AH675" s="41"/>
      <c r="AI675" s="41"/>
      <c r="AJ675" s="41">
        <v>4.4999999999999998E-2</v>
      </c>
      <c r="AK675" s="41"/>
      <c r="AL675" s="41"/>
      <c r="AM675" s="41">
        <v>0.13800000000000001</v>
      </c>
      <c r="AN675" s="41"/>
      <c r="AO675" s="41">
        <v>0.13200000000000001</v>
      </c>
      <c r="AP675" s="41"/>
      <c r="AQ675" s="41"/>
      <c r="AR675" s="41"/>
      <c r="AS675" s="41"/>
      <c r="AT675" s="41"/>
      <c r="AU675" s="41"/>
      <c r="AV675" s="41">
        <v>0.13569999999999999</v>
      </c>
      <c r="AW675" s="41"/>
      <c r="AX675" s="41"/>
      <c r="AY675" s="41"/>
      <c r="AZ675" s="41"/>
      <c r="BA675" s="41"/>
      <c r="BB675" s="41">
        <v>0.16919999999999999</v>
      </c>
      <c r="BC675" s="41">
        <v>0.1714</v>
      </c>
      <c r="BD675" s="41">
        <v>0.1724</v>
      </c>
      <c r="BE675" s="41">
        <v>0.1777</v>
      </c>
      <c r="BF675" s="41">
        <v>0.18540000000000001</v>
      </c>
      <c r="BG675" s="41">
        <v>0.19370000000000001</v>
      </c>
      <c r="BH675" s="41">
        <v>0.1988</v>
      </c>
      <c r="BI675" s="41"/>
      <c r="BJ675" s="41"/>
      <c r="BK675" s="41"/>
      <c r="BL675" s="41"/>
      <c r="BM675" s="41"/>
      <c r="BN675" s="41">
        <f t="shared" si="11"/>
        <v>0.1988</v>
      </c>
    </row>
    <row r="676" spans="2:66" hidden="1" outlineLevel="1" x14ac:dyDescent="0.35">
      <c r="B676" s="41" t="s">
        <v>432</v>
      </c>
      <c r="C676" s="41" t="s">
        <v>71</v>
      </c>
      <c r="D676" s="41" t="s">
        <v>746</v>
      </c>
      <c r="E676" s="41" t="s">
        <v>745</v>
      </c>
      <c r="F676" s="41"/>
      <c r="G676" s="41"/>
      <c r="H676" s="41"/>
      <c r="I676" s="41"/>
      <c r="J676" s="41"/>
      <c r="K676" s="41"/>
      <c r="L676" s="41"/>
      <c r="M676" s="41"/>
      <c r="N676" s="41"/>
      <c r="O676" s="41"/>
      <c r="P676" s="41"/>
      <c r="Q676" s="41"/>
      <c r="R676" s="41"/>
      <c r="S676" s="41"/>
      <c r="T676" s="41"/>
      <c r="U676" s="41"/>
      <c r="V676" s="41"/>
      <c r="W676" s="41"/>
      <c r="X676" s="41"/>
      <c r="Y676" s="41"/>
      <c r="Z676" s="41">
        <v>2.6019999999999999</v>
      </c>
      <c r="AA676" s="41">
        <v>3.0880000000000001</v>
      </c>
      <c r="AB676" s="41">
        <v>2.7690000000000001</v>
      </c>
      <c r="AC676" s="41">
        <v>3.0609999999999999</v>
      </c>
      <c r="AD676" s="41">
        <v>2.9279999999999999</v>
      </c>
      <c r="AE676" s="41">
        <v>3.0390000000000001</v>
      </c>
      <c r="AF676" s="41">
        <v>3.1469999999999998</v>
      </c>
      <c r="AG676" s="41">
        <v>3.25</v>
      </c>
      <c r="AH676" s="41">
        <v>3.323</v>
      </c>
      <c r="AI676" s="41">
        <v>3.3690000000000002</v>
      </c>
      <c r="AJ676" s="41">
        <v>3.3740000000000001</v>
      </c>
      <c r="AK676" s="41">
        <v>3.4119999999999999</v>
      </c>
      <c r="AL676" s="41">
        <v>3.3490000000000002</v>
      </c>
      <c r="AM676" s="41">
        <v>3.1179999999999999</v>
      </c>
      <c r="AN676" s="41">
        <v>3.0960000000000001</v>
      </c>
      <c r="AO676" s="41">
        <v>3.2080000000000002</v>
      </c>
      <c r="AP676" s="41">
        <v>3.2930000000000001</v>
      </c>
      <c r="AQ676" s="41">
        <v>3.0579999999999998</v>
      </c>
      <c r="AR676" s="41">
        <v>3.01</v>
      </c>
      <c r="AS676" s="41">
        <v>2.875</v>
      </c>
      <c r="AT676" s="41">
        <v>2.823</v>
      </c>
      <c r="AU676" s="41">
        <v>2.6789999999999998</v>
      </c>
      <c r="AV676" s="41">
        <v>2.6</v>
      </c>
      <c r="AW676" s="41">
        <v>2.6</v>
      </c>
      <c r="AX676" s="41">
        <v>2.5</v>
      </c>
      <c r="AY676" s="41"/>
      <c r="AZ676" s="41">
        <v>2.39</v>
      </c>
      <c r="BA676" s="41">
        <v>2.3010000000000002</v>
      </c>
      <c r="BB676" s="41">
        <v>2.4822000000000002</v>
      </c>
      <c r="BC676" s="41">
        <v>2.4594</v>
      </c>
      <c r="BD676" s="41">
        <v>1.8953</v>
      </c>
      <c r="BE676" s="41">
        <v>1.927</v>
      </c>
      <c r="BF676" s="41">
        <v>1.9124000000000001</v>
      </c>
      <c r="BG676" s="41">
        <v>1.9068000000000001</v>
      </c>
      <c r="BH676" s="41">
        <v>1.8759999999999999</v>
      </c>
      <c r="BI676" s="41"/>
      <c r="BJ676" s="41"/>
      <c r="BK676" s="41"/>
      <c r="BL676" s="41"/>
      <c r="BM676" s="41"/>
      <c r="BN676" s="41">
        <f t="shared" si="11"/>
        <v>1.8759999999999999</v>
      </c>
    </row>
    <row r="677" spans="2:66" hidden="1" outlineLevel="1" x14ac:dyDescent="0.35">
      <c r="B677" s="41" t="s">
        <v>247</v>
      </c>
      <c r="C677" s="41" t="s">
        <v>72</v>
      </c>
      <c r="D677" s="41" t="s">
        <v>746</v>
      </c>
      <c r="E677" s="41" t="s">
        <v>745</v>
      </c>
      <c r="F677" s="41">
        <v>2.8000000000000001E-2</v>
      </c>
      <c r="G677" s="41"/>
      <c r="H677" s="41"/>
      <c r="I677" s="41"/>
      <c r="J677" s="41"/>
      <c r="K677" s="41">
        <v>4.4999999999999998E-2</v>
      </c>
      <c r="L677" s="41"/>
      <c r="M677" s="41"/>
      <c r="N677" s="41"/>
      <c r="O677" s="41"/>
      <c r="P677" s="41">
        <v>6.2E-2</v>
      </c>
      <c r="Q677" s="41"/>
      <c r="R677" s="41"/>
      <c r="S677" s="41"/>
      <c r="T677" s="41"/>
      <c r="U677" s="41"/>
      <c r="V677" s="41"/>
      <c r="W677" s="41"/>
      <c r="X677" s="41"/>
      <c r="Y677" s="41"/>
      <c r="Z677" s="41"/>
      <c r="AA677" s="41"/>
      <c r="AB677" s="41"/>
      <c r="AC677" s="41">
        <v>5.8000000000000003E-2</v>
      </c>
      <c r="AD677" s="41"/>
      <c r="AE677" s="41"/>
      <c r="AF677" s="41"/>
      <c r="AG677" s="41"/>
      <c r="AH677" s="41"/>
      <c r="AI677" s="41"/>
      <c r="AJ677" s="41"/>
      <c r="AK677" s="41"/>
      <c r="AL677" s="41">
        <v>0.107</v>
      </c>
      <c r="AM677" s="41">
        <v>0.104</v>
      </c>
      <c r="AN677" s="41">
        <v>0.105</v>
      </c>
      <c r="AO677" s="41"/>
      <c r="AP677" s="41">
        <v>0.11360000000000001</v>
      </c>
      <c r="AQ677" s="41"/>
      <c r="AR677" s="41">
        <v>0.14749999999999999</v>
      </c>
      <c r="AS677" s="41">
        <v>0.29599999999999999</v>
      </c>
      <c r="AT677" s="41">
        <v>0.16839999999999999</v>
      </c>
      <c r="AU677" s="41"/>
      <c r="AV677" s="41"/>
      <c r="AW677" s="41"/>
      <c r="AX677" s="41"/>
      <c r="AY677" s="41"/>
      <c r="AZ677" s="41"/>
      <c r="BA677" s="41"/>
      <c r="BB677" s="41">
        <v>0.24440000000000001</v>
      </c>
      <c r="BC677" s="41">
        <v>0.23780000000000001</v>
      </c>
      <c r="BD677" s="41">
        <v>0.23019999999999999</v>
      </c>
      <c r="BE677" s="41">
        <v>0.22639999999999999</v>
      </c>
      <c r="BF677" s="41">
        <v>0.1651</v>
      </c>
      <c r="BG677" s="41">
        <v>0.47589999999999999</v>
      </c>
      <c r="BH677" s="41">
        <v>0.16819999999999999</v>
      </c>
      <c r="BI677" s="41"/>
      <c r="BJ677" s="41"/>
      <c r="BK677" s="41"/>
      <c r="BL677" s="41"/>
      <c r="BM677" s="41"/>
      <c r="BN677" s="41">
        <f t="shared" si="11"/>
        <v>0.16819999999999999</v>
      </c>
    </row>
    <row r="678" spans="2:66" hidden="1" outlineLevel="1" x14ac:dyDescent="0.35">
      <c r="B678" s="41" t="s">
        <v>249</v>
      </c>
      <c r="C678" s="41" t="s">
        <v>73</v>
      </c>
      <c r="D678" s="41" t="s">
        <v>746</v>
      </c>
      <c r="E678" s="41" t="s">
        <v>745</v>
      </c>
      <c r="F678" s="41">
        <v>0.54100000000000004</v>
      </c>
      <c r="G678" s="41"/>
      <c r="H678" s="41"/>
      <c r="I678" s="41"/>
      <c r="J678" s="41"/>
      <c r="K678" s="41"/>
      <c r="L678" s="41"/>
      <c r="M678" s="41"/>
      <c r="N678" s="41"/>
      <c r="O678" s="41"/>
      <c r="P678" s="41">
        <v>0.61299999999999999</v>
      </c>
      <c r="Q678" s="41"/>
      <c r="R678" s="41"/>
      <c r="S678" s="41"/>
      <c r="T678" s="41"/>
      <c r="U678" s="41"/>
      <c r="V678" s="41"/>
      <c r="W678" s="41"/>
      <c r="X678" s="41"/>
      <c r="Y678" s="41"/>
      <c r="Z678" s="41">
        <v>0.51600000000000001</v>
      </c>
      <c r="AA678" s="41"/>
      <c r="AB678" s="41"/>
      <c r="AC678" s="41"/>
      <c r="AD678" s="41"/>
      <c r="AE678" s="41"/>
      <c r="AF678" s="41">
        <v>0.497</v>
      </c>
      <c r="AG678" s="41"/>
      <c r="AH678" s="41"/>
      <c r="AI678" s="41"/>
      <c r="AJ678" s="41">
        <v>0.193</v>
      </c>
      <c r="AK678" s="41">
        <v>0.17599999999999999</v>
      </c>
      <c r="AL678" s="41">
        <v>0.186</v>
      </c>
      <c r="AM678" s="41">
        <v>0.13</v>
      </c>
      <c r="AN678" s="41"/>
      <c r="AO678" s="41"/>
      <c r="AP678" s="41"/>
      <c r="AQ678" s="41"/>
      <c r="AR678" s="41"/>
      <c r="AS678" s="41"/>
      <c r="AT678" s="41"/>
      <c r="AU678" s="41"/>
      <c r="AV678" s="41"/>
      <c r="AW678" s="41"/>
      <c r="AX678" s="41"/>
      <c r="AY678" s="41"/>
      <c r="AZ678" s="41"/>
      <c r="BA678" s="41"/>
      <c r="BB678" s="41">
        <v>0.25409999999999999</v>
      </c>
      <c r="BC678" s="41">
        <v>0.32700000000000001</v>
      </c>
      <c r="BD678" s="41">
        <v>0.39960000000000001</v>
      </c>
      <c r="BE678" s="41">
        <v>0.14330000000000001</v>
      </c>
      <c r="BF678" s="41"/>
      <c r="BG678" s="41">
        <v>0.20280000000000001</v>
      </c>
      <c r="BH678" s="41"/>
      <c r="BI678" s="41"/>
      <c r="BJ678" s="41"/>
      <c r="BK678" s="41"/>
      <c r="BL678" s="41"/>
      <c r="BM678" s="41"/>
      <c r="BN678" s="41">
        <f t="shared" si="11"/>
        <v>0.20280000000000001</v>
      </c>
    </row>
    <row r="679" spans="2:66" hidden="1" outlineLevel="1" x14ac:dyDescent="0.35">
      <c r="B679" s="41" t="s">
        <v>530</v>
      </c>
      <c r="C679" s="41" t="s">
        <v>531</v>
      </c>
      <c r="D679" s="41" t="s">
        <v>746</v>
      </c>
      <c r="E679" s="41" t="s">
        <v>745</v>
      </c>
      <c r="F679" s="41">
        <v>0.23499999999999999</v>
      </c>
      <c r="G679" s="41"/>
      <c r="H679" s="41"/>
      <c r="I679" s="41"/>
      <c r="J679" s="41"/>
      <c r="K679" s="41"/>
      <c r="L679" s="41"/>
      <c r="M679" s="41"/>
      <c r="N679" s="41"/>
      <c r="O679" s="41"/>
      <c r="P679" s="41">
        <v>0.312</v>
      </c>
      <c r="Q679" s="41"/>
      <c r="R679" s="41"/>
      <c r="S679" s="41"/>
      <c r="T679" s="41"/>
      <c r="U679" s="41"/>
      <c r="V679" s="41"/>
      <c r="W679" s="41"/>
      <c r="X679" s="41"/>
      <c r="Y679" s="41"/>
      <c r="Z679" s="41">
        <v>0.36</v>
      </c>
      <c r="AA679" s="41"/>
      <c r="AB679" s="41"/>
      <c r="AC679" s="41"/>
      <c r="AD679" s="41">
        <v>0.45800000000000002</v>
      </c>
      <c r="AE679" s="41"/>
      <c r="AF679" s="41"/>
      <c r="AG679" s="41"/>
      <c r="AH679" s="41"/>
      <c r="AI679" s="41"/>
      <c r="AJ679" s="41">
        <v>0.68630000000000002</v>
      </c>
      <c r="AK679" s="41">
        <v>0.68289999999999995</v>
      </c>
      <c r="AL679" s="41">
        <v>0.74880000000000002</v>
      </c>
      <c r="AM679" s="41">
        <v>0.76559999999999995</v>
      </c>
      <c r="AN679" s="41">
        <v>0.91979999999999995</v>
      </c>
      <c r="AO679" s="41">
        <v>1.0723</v>
      </c>
      <c r="AP679" s="41">
        <v>1.1060000000000001</v>
      </c>
      <c r="AQ679" s="41">
        <v>1.0959000000000001</v>
      </c>
      <c r="AR679" s="41">
        <v>1.0384</v>
      </c>
      <c r="AS679" s="41">
        <v>1.0267999999999999</v>
      </c>
      <c r="AT679" s="41">
        <v>1.095</v>
      </c>
      <c r="AU679" s="41">
        <v>1.0651999999999999</v>
      </c>
      <c r="AV679" s="41"/>
      <c r="AW679" s="41"/>
      <c r="AX679" s="41"/>
      <c r="AY679" s="41"/>
      <c r="AZ679" s="41"/>
      <c r="BA679" s="41"/>
      <c r="BB679" s="41"/>
      <c r="BC679" s="41"/>
      <c r="BD679" s="41"/>
      <c r="BE679" s="41"/>
      <c r="BF679" s="41"/>
      <c r="BG679" s="41"/>
      <c r="BH679" s="41"/>
      <c r="BI679" s="41">
        <v>2.5230000000000001</v>
      </c>
      <c r="BJ679" s="41"/>
      <c r="BK679" s="41"/>
      <c r="BL679" s="41"/>
      <c r="BM679" s="41"/>
      <c r="BN679" s="41">
        <f t="shared" si="11"/>
        <v>2.5230000000000001</v>
      </c>
    </row>
    <row r="680" spans="2:66" hidden="1" outlineLevel="1" x14ac:dyDescent="0.35">
      <c r="B680" s="41" t="s">
        <v>429</v>
      </c>
      <c r="C680" s="41" t="s">
        <v>74</v>
      </c>
      <c r="D680" s="41" t="s">
        <v>746</v>
      </c>
      <c r="E680" s="41" t="s">
        <v>745</v>
      </c>
      <c r="F680" s="41"/>
      <c r="G680" s="41"/>
      <c r="H680" s="41"/>
      <c r="I680" s="41"/>
      <c r="J680" s="41"/>
      <c r="K680" s="41"/>
      <c r="L680" s="41"/>
      <c r="M680" s="41"/>
      <c r="N680" s="41"/>
      <c r="O680" s="41"/>
      <c r="P680" s="41"/>
      <c r="Q680" s="41"/>
      <c r="R680" s="41"/>
      <c r="S680" s="41"/>
      <c r="T680" s="41"/>
      <c r="U680" s="41"/>
      <c r="V680" s="41"/>
      <c r="W680" s="41"/>
      <c r="X680" s="41"/>
      <c r="Y680" s="41"/>
      <c r="Z680" s="41"/>
      <c r="AA680" s="41">
        <v>0.5</v>
      </c>
      <c r="AB680" s="41">
        <v>0.5</v>
      </c>
      <c r="AC680" s="41">
        <v>0.5</v>
      </c>
      <c r="AD680" s="41">
        <v>0.6</v>
      </c>
      <c r="AE680" s="41">
        <v>0.6</v>
      </c>
      <c r="AF680" s="41">
        <v>0.6</v>
      </c>
      <c r="AG680" s="41">
        <v>0.7</v>
      </c>
      <c r="AH680" s="41">
        <v>0.7</v>
      </c>
      <c r="AI680" s="41">
        <v>0.8</v>
      </c>
      <c r="AJ680" s="41">
        <v>0.8</v>
      </c>
      <c r="AK680" s="41">
        <v>0.9</v>
      </c>
      <c r="AL680" s="41">
        <v>1</v>
      </c>
      <c r="AM680" s="41">
        <v>1</v>
      </c>
      <c r="AN680" s="41">
        <v>1.1000000000000001</v>
      </c>
      <c r="AO680" s="41">
        <v>1.1000000000000001</v>
      </c>
      <c r="AP680" s="41">
        <v>1.2</v>
      </c>
      <c r="AQ680" s="41">
        <v>1.2</v>
      </c>
      <c r="AR680" s="41">
        <v>1.3</v>
      </c>
      <c r="AS680" s="41">
        <v>1.3</v>
      </c>
      <c r="AT680" s="41">
        <v>1.3</v>
      </c>
      <c r="AU680" s="41">
        <v>1.4</v>
      </c>
      <c r="AV680" s="41">
        <v>1.5</v>
      </c>
      <c r="AW680" s="41">
        <v>1.573</v>
      </c>
      <c r="AX680" s="41">
        <v>1.6907000000000001</v>
      </c>
      <c r="AY680" s="41">
        <v>1.7526999999999999</v>
      </c>
      <c r="AZ680" s="41">
        <v>1.8041</v>
      </c>
      <c r="BA680" s="41">
        <v>1.8645</v>
      </c>
      <c r="BB680" s="41">
        <v>1.9319</v>
      </c>
      <c r="BC680" s="41">
        <v>1.9934000000000001</v>
      </c>
      <c r="BD680" s="41">
        <v>1.9836</v>
      </c>
      <c r="BE680" s="41">
        <v>2.0377999999999998</v>
      </c>
      <c r="BF680" s="41">
        <v>2.0842999999999998</v>
      </c>
      <c r="BG680" s="41">
        <v>2.1707999999999998</v>
      </c>
      <c r="BH680" s="41">
        <v>2.2168000000000001</v>
      </c>
      <c r="BI680" s="41">
        <v>2.2595999999999998</v>
      </c>
      <c r="BJ680" s="41">
        <v>2.3123999999999998</v>
      </c>
      <c r="BK680" s="41">
        <v>2.3660999999999999</v>
      </c>
      <c r="BL680" s="41"/>
      <c r="BM680" s="41"/>
      <c r="BN680" s="41">
        <f t="shared" si="11"/>
        <v>2.3660999999999999</v>
      </c>
    </row>
    <row r="681" spans="2:66" hidden="1" outlineLevel="1" x14ac:dyDescent="0.35">
      <c r="B681" s="41" t="s">
        <v>431</v>
      </c>
      <c r="C681" s="41" t="s">
        <v>75</v>
      </c>
      <c r="D681" s="41" t="s">
        <v>746</v>
      </c>
      <c r="E681" s="41" t="s">
        <v>745</v>
      </c>
      <c r="F681" s="41">
        <v>0.871</v>
      </c>
      <c r="G681" s="41"/>
      <c r="H681" s="41"/>
      <c r="I681" s="41"/>
      <c r="J681" s="41"/>
      <c r="K681" s="41">
        <v>1.2629999999999999</v>
      </c>
      <c r="L681" s="41"/>
      <c r="M681" s="41"/>
      <c r="N681" s="41"/>
      <c r="O681" s="41"/>
      <c r="P681" s="41">
        <v>0.95399999999999996</v>
      </c>
      <c r="Q681" s="41"/>
      <c r="R681" s="41"/>
      <c r="S681" s="41"/>
      <c r="T681" s="41"/>
      <c r="U681" s="41"/>
      <c r="V681" s="41"/>
      <c r="W681" s="41"/>
      <c r="X681" s="41"/>
      <c r="Y681" s="41"/>
      <c r="Z681" s="41">
        <v>1.698</v>
      </c>
      <c r="AA681" s="41">
        <v>1.4119999999999999</v>
      </c>
      <c r="AB681" s="41">
        <v>1.62</v>
      </c>
      <c r="AC681" s="41"/>
      <c r="AD681" s="41"/>
      <c r="AE681" s="41"/>
      <c r="AF681" s="41">
        <v>1.5660000000000001</v>
      </c>
      <c r="AG681" s="41"/>
      <c r="AH681" s="41"/>
      <c r="AI681" s="41"/>
      <c r="AJ681" s="41">
        <v>0.183</v>
      </c>
      <c r="AK681" s="41"/>
      <c r="AL681" s="41"/>
      <c r="AM681" s="41"/>
      <c r="AN681" s="41"/>
      <c r="AO681" s="41">
        <v>1.7829999999999999</v>
      </c>
      <c r="AP681" s="41"/>
      <c r="AQ681" s="41">
        <v>1.89</v>
      </c>
      <c r="AR681" s="41"/>
      <c r="AS681" s="41"/>
      <c r="AT681" s="41"/>
      <c r="AU681" s="41"/>
      <c r="AV681" s="41"/>
      <c r="AW681" s="41">
        <v>1.9</v>
      </c>
      <c r="AX681" s="41">
        <v>1.5</v>
      </c>
      <c r="AY681" s="41">
        <v>1.8</v>
      </c>
      <c r="AZ681" s="41">
        <v>1.4520999999999999</v>
      </c>
      <c r="BA681" s="41">
        <v>1.8817999999999999</v>
      </c>
      <c r="BB681" s="41">
        <v>1.8833</v>
      </c>
      <c r="BC681" s="41">
        <v>1.8944000000000001</v>
      </c>
      <c r="BD681" s="41">
        <v>2.4245000000000001</v>
      </c>
      <c r="BE681" s="41">
        <v>2.4382999999999999</v>
      </c>
      <c r="BF681" s="41">
        <v>2.4323000000000001</v>
      </c>
      <c r="BG681" s="41">
        <v>2.4824999999999999</v>
      </c>
      <c r="BH681" s="41">
        <v>2.5880000000000001</v>
      </c>
      <c r="BI681" s="41">
        <v>2.5789</v>
      </c>
      <c r="BJ681" s="41"/>
      <c r="BK681" s="41"/>
      <c r="BL681" s="41"/>
      <c r="BM681" s="41"/>
      <c r="BN681" s="41">
        <f t="shared" si="11"/>
        <v>2.5789</v>
      </c>
    </row>
    <row r="682" spans="2:66" hidden="1" outlineLevel="1" x14ac:dyDescent="0.35">
      <c r="B682" s="41" t="s">
        <v>438</v>
      </c>
      <c r="C682" s="41" t="s">
        <v>439</v>
      </c>
      <c r="D682" s="41" t="s">
        <v>746</v>
      </c>
      <c r="E682" s="41" t="s">
        <v>745</v>
      </c>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v>1.219335209549929</v>
      </c>
      <c r="AK682" s="41"/>
      <c r="AL682" s="41"/>
      <c r="AM682" s="41"/>
      <c r="AN682" s="41"/>
      <c r="AO682" s="41"/>
      <c r="AP682" s="41"/>
      <c r="AQ682" s="41"/>
      <c r="AR682" s="41"/>
      <c r="AS682" s="41"/>
      <c r="AT682" s="41">
        <v>1.6109996109473501</v>
      </c>
      <c r="AU682" s="41"/>
      <c r="AV682" s="41"/>
      <c r="AW682" s="41"/>
      <c r="AX682" s="41"/>
      <c r="AY682" s="41"/>
      <c r="AZ682" s="41"/>
      <c r="BA682" s="41"/>
      <c r="BB682" s="41"/>
      <c r="BC682" s="41"/>
      <c r="BD682" s="41"/>
      <c r="BE682" s="41"/>
      <c r="BF682" s="41"/>
      <c r="BG682" s="41"/>
      <c r="BH682" s="41"/>
      <c r="BI682" s="41">
        <v>2.1902000281646443</v>
      </c>
      <c r="BJ682" s="41"/>
      <c r="BK682" s="41"/>
      <c r="BL682" s="41"/>
      <c r="BM682" s="41"/>
      <c r="BN682" s="41">
        <f t="shared" si="11"/>
        <v>2.1902000281646443</v>
      </c>
    </row>
    <row r="683" spans="2:66" hidden="1" outlineLevel="1" x14ac:dyDescent="0.35">
      <c r="B683" s="41" t="s">
        <v>433</v>
      </c>
      <c r="C683" s="41" t="s">
        <v>76</v>
      </c>
      <c r="D683" s="41" t="s">
        <v>746</v>
      </c>
      <c r="E683" s="41" t="s">
        <v>745</v>
      </c>
      <c r="F683" s="41">
        <v>0.02</v>
      </c>
      <c r="G683" s="41"/>
      <c r="H683" s="41"/>
      <c r="I683" s="41"/>
      <c r="J683" s="41"/>
      <c r="K683" s="41">
        <v>4.1000000000000002E-2</v>
      </c>
      <c r="L683" s="41"/>
      <c r="M683" s="41"/>
      <c r="N683" s="41"/>
      <c r="O683" s="41"/>
      <c r="P683" s="41">
        <v>6.6000000000000003E-2</v>
      </c>
      <c r="Q683" s="41"/>
      <c r="R683" s="41"/>
      <c r="S683" s="41"/>
      <c r="T683" s="41"/>
      <c r="U683" s="41"/>
      <c r="V683" s="41">
        <v>5.0999999999999997E-2</v>
      </c>
      <c r="W683" s="41"/>
      <c r="X683" s="41"/>
      <c r="Y683" s="41"/>
      <c r="Z683" s="41"/>
      <c r="AA683" s="41"/>
      <c r="AB683" s="41"/>
      <c r="AC683" s="41"/>
      <c r="AD683" s="41"/>
      <c r="AE683" s="41">
        <v>0.72899999999999998</v>
      </c>
      <c r="AF683" s="41"/>
      <c r="AG683" s="41"/>
      <c r="AH683" s="41"/>
      <c r="AI683" s="41"/>
      <c r="AJ683" s="41">
        <v>0.23400000000000001</v>
      </c>
      <c r="AK683" s="41"/>
      <c r="AL683" s="41"/>
      <c r="AM683" s="41"/>
      <c r="AN683" s="41"/>
      <c r="AO683" s="41">
        <v>0.34129999999999999</v>
      </c>
      <c r="AP683" s="41">
        <v>0.58599999999999997</v>
      </c>
      <c r="AQ683" s="41"/>
      <c r="AR683" s="41"/>
      <c r="AS683" s="41"/>
      <c r="AT683" s="41">
        <v>0.28470000000000001</v>
      </c>
      <c r="AU683" s="41"/>
      <c r="AV683" s="41"/>
      <c r="AW683" s="41"/>
      <c r="AX683" s="41">
        <v>0.35310000000000002</v>
      </c>
      <c r="AY683" s="41">
        <v>0.28050000000000003</v>
      </c>
      <c r="AZ683" s="41"/>
      <c r="BA683" s="41"/>
      <c r="BB683" s="41"/>
      <c r="BC683" s="41">
        <v>0.1968</v>
      </c>
      <c r="BD683" s="41">
        <v>0.8306</v>
      </c>
      <c r="BE683" s="41"/>
      <c r="BF683" s="41">
        <v>0.18079999999999999</v>
      </c>
      <c r="BG683" s="41">
        <v>0.45250000000000001</v>
      </c>
      <c r="BH683" s="41">
        <v>0.49969999999999998</v>
      </c>
      <c r="BI683" s="41"/>
      <c r="BJ683" s="41"/>
      <c r="BK683" s="41"/>
      <c r="BL683" s="41"/>
      <c r="BM683" s="41"/>
      <c r="BN683" s="41">
        <f t="shared" si="11"/>
        <v>0.49969999999999998</v>
      </c>
    </row>
    <row r="684" spans="2:66" hidden="1" outlineLevel="1" x14ac:dyDescent="0.35">
      <c r="B684" s="41" t="s">
        <v>445</v>
      </c>
      <c r="C684" s="41" t="s">
        <v>77</v>
      </c>
      <c r="D684" s="41" t="s">
        <v>746</v>
      </c>
      <c r="E684" s="41" t="s">
        <v>745</v>
      </c>
      <c r="F684" s="41">
        <v>0.77800000000000002</v>
      </c>
      <c r="G684" s="41"/>
      <c r="H684" s="41"/>
      <c r="I684" s="41"/>
      <c r="J684" s="41"/>
      <c r="K684" s="41">
        <v>0.93799999999999994</v>
      </c>
      <c r="L684" s="41"/>
      <c r="M684" s="41"/>
      <c r="N684" s="41"/>
      <c r="O684" s="41"/>
      <c r="P684" s="41">
        <v>0.72599999999999998</v>
      </c>
      <c r="Q684" s="41"/>
      <c r="R684" s="41"/>
      <c r="S684" s="41"/>
      <c r="T684" s="41"/>
      <c r="U684" s="41"/>
      <c r="V684" s="41"/>
      <c r="W684" s="41"/>
      <c r="X684" s="41"/>
      <c r="Y684" s="41">
        <v>1.6930000000000001</v>
      </c>
      <c r="Z684" s="41"/>
      <c r="AA684" s="41">
        <v>1.714</v>
      </c>
      <c r="AB684" s="41"/>
      <c r="AC684" s="41">
        <v>1.2549999999999999</v>
      </c>
      <c r="AD684" s="41"/>
      <c r="AE684" s="41"/>
      <c r="AF684" s="41"/>
      <c r="AG684" s="41"/>
      <c r="AH684" s="41"/>
      <c r="AI684" s="41">
        <v>1.8620000000000001</v>
      </c>
      <c r="AJ684" s="41"/>
      <c r="AK684" s="41">
        <v>1.3260000000000001</v>
      </c>
      <c r="AL684" s="41"/>
      <c r="AM684" s="41">
        <v>1.8620000000000001</v>
      </c>
      <c r="AN684" s="41"/>
      <c r="AO684" s="41"/>
      <c r="AP684" s="41"/>
      <c r="AQ684" s="41">
        <v>2.1</v>
      </c>
      <c r="AR684" s="41"/>
      <c r="AS684" s="41"/>
      <c r="AT684" s="41"/>
      <c r="AU684" s="41">
        <v>3.4241999999999999</v>
      </c>
      <c r="AV684" s="41"/>
      <c r="AW684" s="41"/>
      <c r="AX684" s="41"/>
      <c r="AY684" s="41"/>
      <c r="AZ684" s="41">
        <v>2.8984000000000001</v>
      </c>
      <c r="BA684" s="41">
        <v>2.7372999999999998</v>
      </c>
      <c r="BB684" s="41"/>
      <c r="BC684" s="41"/>
      <c r="BD684" s="41">
        <v>2.6707000000000001</v>
      </c>
      <c r="BE684" s="41">
        <v>2.9704999999999999</v>
      </c>
      <c r="BF684" s="41"/>
      <c r="BG684" s="41">
        <v>2.52</v>
      </c>
      <c r="BH684" s="41">
        <v>2.3168000000000002</v>
      </c>
      <c r="BI684" s="41">
        <v>2.3477999999999999</v>
      </c>
      <c r="BJ684" s="41">
        <v>2.2484999999999999</v>
      </c>
      <c r="BK684" s="41">
        <v>2.2709999999999999</v>
      </c>
      <c r="BL684" s="41"/>
      <c r="BM684" s="41"/>
      <c r="BN684" s="41">
        <f t="shared" ref="BN684:BN747" si="12">IFERROR(LOOKUP(2,1/(ISNUMBER(G684:BM684)),G684:BM684),"No reported value")</f>
        <v>2.2709999999999999</v>
      </c>
    </row>
    <row r="685" spans="2:66" hidden="1" outlineLevel="1" x14ac:dyDescent="0.35">
      <c r="B685" s="41" t="s">
        <v>201</v>
      </c>
      <c r="C685" s="41" t="s">
        <v>78</v>
      </c>
      <c r="D685" s="41" t="s">
        <v>746</v>
      </c>
      <c r="E685" s="41" t="s">
        <v>745</v>
      </c>
      <c r="F685" s="41">
        <v>7.6999999999999999E-2</v>
      </c>
      <c r="G685" s="41"/>
      <c r="H685" s="41"/>
      <c r="I685" s="41"/>
      <c r="J685" s="41"/>
      <c r="K685" s="41">
        <v>0.08</v>
      </c>
      <c r="L685" s="41"/>
      <c r="M685" s="41"/>
      <c r="N685" s="41"/>
      <c r="O685" s="41"/>
      <c r="P685" s="41">
        <v>7.9000000000000001E-2</v>
      </c>
      <c r="Q685" s="41"/>
      <c r="R685" s="41"/>
      <c r="S685" s="41"/>
      <c r="T685" s="41"/>
      <c r="U685" s="41">
        <v>0.08</v>
      </c>
      <c r="V685" s="41"/>
      <c r="W685" s="41"/>
      <c r="X685" s="41"/>
      <c r="Y685" s="41"/>
      <c r="Z685" s="41"/>
      <c r="AA685" s="41">
        <v>0.106</v>
      </c>
      <c r="AB685" s="41"/>
      <c r="AC685" s="41">
        <v>0.107</v>
      </c>
      <c r="AD685" s="41"/>
      <c r="AE685" s="41"/>
      <c r="AF685" s="41"/>
      <c r="AG685" s="41"/>
      <c r="AH685" s="41"/>
      <c r="AI685" s="41"/>
      <c r="AJ685" s="41"/>
      <c r="AK685" s="41"/>
      <c r="AL685" s="41"/>
      <c r="AM685" s="41"/>
      <c r="AN685" s="41"/>
      <c r="AO685" s="41"/>
      <c r="AP685" s="41"/>
      <c r="AQ685" s="41">
        <v>2.3E-2</v>
      </c>
      <c r="AR685" s="41"/>
      <c r="AS685" s="41"/>
      <c r="AT685" s="41"/>
      <c r="AU685" s="41"/>
      <c r="AV685" s="41"/>
      <c r="AW685" s="41"/>
      <c r="AX685" s="41">
        <v>3.2399999999999998E-2</v>
      </c>
      <c r="AY685" s="41"/>
      <c r="AZ685" s="41"/>
      <c r="BA685" s="41"/>
      <c r="BB685" s="41">
        <v>1.3899999999999999E-2</v>
      </c>
      <c r="BC685" s="41"/>
      <c r="BD685" s="41">
        <v>2.2800000000000001E-2</v>
      </c>
      <c r="BE685" s="41"/>
      <c r="BF685" s="41"/>
      <c r="BG685" s="41"/>
      <c r="BH685" s="41"/>
      <c r="BI685" s="41">
        <v>3.73E-2</v>
      </c>
      <c r="BJ685" s="41"/>
      <c r="BK685" s="41"/>
      <c r="BL685" s="41"/>
      <c r="BM685" s="41"/>
      <c r="BN685" s="41">
        <f t="shared" si="12"/>
        <v>3.73E-2</v>
      </c>
    </row>
    <row r="686" spans="2:66" hidden="1" outlineLevel="1" x14ac:dyDescent="0.35">
      <c r="B686" s="41" t="s">
        <v>446</v>
      </c>
      <c r="C686" s="41" t="s">
        <v>79</v>
      </c>
      <c r="D686" s="41" t="s">
        <v>746</v>
      </c>
      <c r="E686" s="41" t="s">
        <v>745</v>
      </c>
      <c r="F686" s="41">
        <v>0.152</v>
      </c>
      <c r="G686" s="41"/>
      <c r="H686" s="41"/>
      <c r="I686" s="41"/>
      <c r="J686" s="41"/>
      <c r="K686" s="41">
        <v>0.25900000000000001</v>
      </c>
      <c r="L686" s="41"/>
      <c r="M686" s="41"/>
      <c r="N686" s="41"/>
      <c r="O686" s="41"/>
      <c r="P686" s="41">
        <v>0.36799999999999999</v>
      </c>
      <c r="Q686" s="41"/>
      <c r="R686" s="41"/>
      <c r="S686" s="41"/>
      <c r="T686" s="41"/>
      <c r="U686" s="41"/>
      <c r="V686" s="41"/>
      <c r="W686" s="41"/>
      <c r="X686" s="41"/>
      <c r="Y686" s="41"/>
      <c r="Z686" s="41">
        <v>1.333</v>
      </c>
      <c r="AA686" s="41">
        <v>1.633</v>
      </c>
      <c r="AB686" s="41">
        <v>1.5620000000000001</v>
      </c>
      <c r="AC686" s="41">
        <v>1.44</v>
      </c>
      <c r="AD686" s="41"/>
      <c r="AE686" s="41"/>
      <c r="AF686" s="41"/>
      <c r="AG686" s="41"/>
      <c r="AH686" s="41"/>
      <c r="AI686" s="41"/>
      <c r="AJ686" s="41">
        <v>1.071</v>
      </c>
      <c r="AK686" s="41"/>
      <c r="AL686" s="41"/>
      <c r="AM686" s="41">
        <v>1.4410000000000001</v>
      </c>
      <c r="AN686" s="41"/>
      <c r="AO686" s="41"/>
      <c r="AP686" s="41"/>
      <c r="AQ686" s="41">
        <v>1.2450000000000001</v>
      </c>
      <c r="AR686" s="41"/>
      <c r="AS686" s="41"/>
      <c r="AT686" s="41"/>
      <c r="AU686" s="41"/>
      <c r="AV686" s="41"/>
      <c r="AW686" s="41"/>
      <c r="AX686" s="41">
        <v>1.2393000000000001</v>
      </c>
      <c r="AY686" s="41"/>
      <c r="AZ686" s="41"/>
      <c r="BA686" s="41"/>
      <c r="BB686" s="41">
        <v>1.8442000000000001</v>
      </c>
      <c r="BC686" s="41">
        <v>1.9619</v>
      </c>
      <c r="BD686" s="41">
        <v>1.9</v>
      </c>
      <c r="BE686" s="41"/>
      <c r="BF686" s="41"/>
      <c r="BG686" s="41"/>
      <c r="BH686" s="41">
        <v>2.1107</v>
      </c>
      <c r="BI686" s="41">
        <v>1.95</v>
      </c>
      <c r="BJ686" s="41"/>
      <c r="BK686" s="41">
        <v>2.1581000000000001</v>
      </c>
      <c r="BL686" s="41"/>
      <c r="BM686" s="41"/>
      <c r="BN686" s="41">
        <f t="shared" si="12"/>
        <v>2.1581000000000001</v>
      </c>
    </row>
    <row r="687" spans="2:66" hidden="1" outlineLevel="1" x14ac:dyDescent="0.35">
      <c r="B687" s="41" t="s">
        <v>532</v>
      </c>
      <c r="C687" s="41" t="s">
        <v>80</v>
      </c>
      <c r="D687" s="41" t="s">
        <v>746</v>
      </c>
      <c r="E687" s="41" t="s">
        <v>745</v>
      </c>
      <c r="F687" s="41">
        <v>0.13900000000000001</v>
      </c>
      <c r="G687" s="41"/>
      <c r="H687" s="41"/>
      <c r="I687" s="41"/>
      <c r="J687" s="41"/>
      <c r="K687" s="41"/>
      <c r="L687" s="41"/>
      <c r="M687" s="41"/>
      <c r="N687" s="41"/>
      <c r="O687" s="41"/>
      <c r="P687" s="41">
        <v>0.187</v>
      </c>
      <c r="Q687" s="41"/>
      <c r="R687" s="41"/>
      <c r="S687" s="41"/>
      <c r="T687" s="41"/>
      <c r="U687" s="41"/>
      <c r="V687" s="41"/>
      <c r="W687" s="41"/>
      <c r="X687" s="41"/>
      <c r="Y687" s="41"/>
      <c r="Z687" s="41"/>
      <c r="AA687" s="41"/>
      <c r="AB687" s="41"/>
      <c r="AC687" s="41"/>
      <c r="AD687" s="41">
        <v>0.28499999999999998</v>
      </c>
      <c r="AE687" s="41"/>
      <c r="AF687" s="41"/>
      <c r="AG687" s="41"/>
      <c r="AH687" s="41"/>
      <c r="AI687" s="41"/>
      <c r="AJ687" s="41">
        <v>0.35</v>
      </c>
      <c r="AK687" s="41">
        <v>0.39300000000000002</v>
      </c>
      <c r="AL687" s="41"/>
      <c r="AM687" s="41">
        <v>0.54400000000000004</v>
      </c>
      <c r="AN687" s="41"/>
      <c r="AO687" s="41">
        <v>0.56000000000000005</v>
      </c>
      <c r="AP687" s="41"/>
      <c r="AQ687" s="41">
        <v>0.47299999999999998</v>
      </c>
      <c r="AR687" s="41"/>
      <c r="AS687" s="41"/>
      <c r="AT687" s="41"/>
      <c r="AU687" s="41">
        <v>0.81899999999999995</v>
      </c>
      <c r="AV687" s="41">
        <v>0.438</v>
      </c>
      <c r="AW687" s="41">
        <v>0.46579999999999999</v>
      </c>
      <c r="AX687" s="41">
        <v>0.41920000000000002</v>
      </c>
      <c r="AY687" s="41">
        <v>0.50700000000000001</v>
      </c>
      <c r="AZ687" s="41"/>
      <c r="BA687" s="41">
        <v>0.18529999999999999</v>
      </c>
      <c r="BB687" s="41">
        <v>0.15959999999999999</v>
      </c>
      <c r="BC687" s="41">
        <v>0.1053</v>
      </c>
      <c r="BD687" s="41"/>
      <c r="BE687" s="41"/>
      <c r="BF687" s="41"/>
      <c r="BG687" s="41"/>
      <c r="BH687" s="41"/>
      <c r="BI687" s="41"/>
      <c r="BJ687" s="41"/>
      <c r="BK687" s="41"/>
      <c r="BL687" s="41"/>
      <c r="BM687" s="41"/>
      <c r="BN687" s="41">
        <f t="shared" si="12"/>
        <v>0.1053</v>
      </c>
    </row>
    <row r="688" spans="2:66" hidden="1" outlineLevel="1" x14ac:dyDescent="0.35">
      <c r="B688" s="41" t="s">
        <v>436</v>
      </c>
      <c r="C688" s="41" t="s">
        <v>437</v>
      </c>
      <c r="D688" s="41" t="s">
        <v>746</v>
      </c>
      <c r="E688" s="41" t="s">
        <v>745</v>
      </c>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v>1.2311986550221603</v>
      </c>
      <c r="AK688" s="41"/>
      <c r="AL688" s="41"/>
      <c r="AM688" s="41"/>
      <c r="AN688" s="41"/>
      <c r="AO688" s="41"/>
      <c r="AP688" s="41"/>
      <c r="AQ688" s="41"/>
      <c r="AR688" s="41"/>
      <c r="AS688" s="41"/>
      <c r="AT688" s="41">
        <v>1.6004821679808159</v>
      </c>
      <c r="AU688" s="41"/>
      <c r="AV688" s="41"/>
      <c r="AW688" s="41"/>
      <c r="AX688" s="41"/>
      <c r="AY688" s="41"/>
      <c r="AZ688" s="41"/>
      <c r="BA688" s="41"/>
      <c r="BB688" s="41"/>
      <c r="BC688" s="41"/>
      <c r="BD688" s="41"/>
      <c r="BE688" s="41"/>
      <c r="BF688" s="41"/>
      <c r="BG688" s="41"/>
      <c r="BH688" s="41"/>
      <c r="BI688" s="41">
        <v>2.1699311232596692</v>
      </c>
      <c r="BJ688" s="41"/>
      <c r="BK688" s="41"/>
      <c r="BL688" s="41"/>
      <c r="BM688" s="41"/>
      <c r="BN688" s="41">
        <f t="shared" si="12"/>
        <v>2.1699311232596692</v>
      </c>
    </row>
    <row r="689" spans="2:66" hidden="1" outlineLevel="1" x14ac:dyDescent="0.35">
      <c r="B689" s="41" t="s">
        <v>443</v>
      </c>
      <c r="C689" s="41" t="s">
        <v>444</v>
      </c>
      <c r="D689" s="41" t="s">
        <v>746</v>
      </c>
      <c r="E689" s="41" t="s">
        <v>745</v>
      </c>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v>8.7339276036205116E-2</v>
      </c>
      <c r="AK689" s="41"/>
      <c r="AL689" s="41"/>
      <c r="AM689" s="41"/>
      <c r="AN689" s="41"/>
      <c r="AO689" s="41"/>
      <c r="AP689" s="41"/>
      <c r="AQ689" s="41"/>
      <c r="AR689" s="41"/>
      <c r="AS689" s="41"/>
      <c r="AT689" s="41">
        <v>0.13877320828279599</v>
      </c>
      <c r="AU689" s="41"/>
      <c r="AV689" s="41"/>
      <c r="AW689" s="41"/>
      <c r="AX689" s="41"/>
      <c r="AY689" s="41"/>
      <c r="AZ689" s="41"/>
      <c r="BA689" s="41"/>
      <c r="BB689" s="41"/>
      <c r="BC689" s="41"/>
      <c r="BD689" s="41"/>
      <c r="BE689" s="41"/>
      <c r="BF689" s="41"/>
      <c r="BG689" s="41"/>
      <c r="BH689" s="41"/>
      <c r="BI689" s="41">
        <v>0.25851559412471237</v>
      </c>
      <c r="BJ689" s="41"/>
      <c r="BK689" s="41"/>
      <c r="BL689" s="41"/>
      <c r="BM689" s="41"/>
      <c r="BN689" s="41">
        <f t="shared" si="12"/>
        <v>0.25851559412471237</v>
      </c>
    </row>
    <row r="690" spans="2:66" hidden="1" outlineLevel="1" x14ac:dyDescent="0.35">
      <c r="B690" s="41" t="s">
        <v>452</v>
      </c>
      <c r="C690" s="41" t="s">
        <v>453</v>
      </c>
      <c r="D690" s="41" t="s">
        <v>746</v>
      </c>
      <c r="E690" s="41" t="s">
        <v>745</v>
      </c>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v>0.13765008333749479</v>
      </c>
      <c r="AK690" s="41"/>
      <c r="AL690" s="41"/>
      <c r="AM690" s="41"/>
      <c r="AN690" s="41"/>
      <c r="AO690" s="41"/>
      <c r="AP690" s="41"/>
      <c r="AQ690" s="41"/>
      <c r="AR690" s="41"/>
      <c r="AS690" s="41"/>
      <c r="AT690" s="41">
        <v>0.17237701072668812</v>
      </c>
      <c r="AU690" s="41"/>
      <c r="AV690" s="41"/>
      <c r="AW690" s="41"/>
      <c r="AX690" s="41"/>
      <c r="AY690" s="41"/>
      <c r="AZ690" s="41"/>
      <c r="BA690" s="41"/>
      <c r="BB690" s="41"/>
      <c r="BC690" s="41"/>
      <c r="BD690" s="41"/>
      <c r="BE690" s="41"/>
      <c r="BF690" s="41"/>
      <c r="BG690" s="41"/>
      <c r="BH690" s="41"/>
      <c r="BI690" s="41">
        <v>0.32490662919929747</v>
      </c>
      <c r="BJ690" s="41"/>
      <c r="BK690" s="41"/>
      <c r="BL690" s="41"/>
      <c r="BM690" s="41"/>
      <c r="BN690" s="41">
        <f t="shared" si="12"/>
        <v>0.32490662919929747</v>
      </c>
    </row>
    <row r="691" spans="2:66" hidden="1" outlineLevel="1" x14ac:dyDescent="0.35">
      <c r="B691" s="41" t="s">
        <v>447</v>
      </c>
      <c r="C691" s="41" t="s">
        <v>448</v>
      </c>
      <c r="D691" s="41" t="s">
        <v>746</v>
      </c>
      <c r="E691" s="41" t="s">
        <v>745</v>
      </c>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t="str">
        <f t="shared" si="12"/>
        <v>No reported value</v>
      </c>
    </row>
    <row r="692" spans="2:66" hidden="1" outlineLevel="1" x14ac:dyDescent="0.35">
      <c r="B692" s="41" t="s">
        <v>245</v>
      </c>
      <c r="C692" s="41" t="s">
        <v>81</v>
      </c>
      <c r="D692" s="41" t="s">
        <v>746</v>
      </c>
      <c r="E692" s="41" t="s">
        <v>745</v>
      </c>
      <c r="F692" s="41">
        <v>0.223</v>
      </c>
      <c r="G692" s="41"/>
      <c r="H692" s="41"/>
      <c r="I692" s="41"/>
      <c r="J692" s="41"/>
      <c r="K692" s="41">
        <v>0.17199999999999999</v>
      </c>
      <c r="L692" s="41"/>
      <c r="M692" s="41"/>
      <c r="N692" s="41"/>
      <c r="O692" s="41"/>
      <c r="P692" s="41">
        <v>0.16900000000000001</v>
      </c>
      <c r="Q692" s="41"/>
      <c r="R692" s="41"/>
      <c r="S692" s="41"/>
      <c r="T692" s="41"/>
      <c r="U692" s="41">
        <v>0.16900000000000001</v>
      </c>
      <c r="V692" s="41"/>
      <c r="W692" s="41"/>
      <c r="X692" s="41"/>
      <c r="Y692" s="41"/>
      <c r="Z692" s="41"/>
      <c r="AA692" s="41">
        <v>0.13400000000000001</v>
      </c>
      <c r="AB692" s="41">
        <v>0.13400000000000001</v>
      </c>
      <c r="AC692" s="41"/>
      <c r="AD692" s="41"/>
      <c r="AE692" s="41">
        <v>0.18099999999999999</v>
      </c>
      <c r="AF692" s="41"/>
      <c r="AG692" s="41"/>
      <c r="AH692" s="41"/>
      <c r="AI692" s="41">
        <v>0.14599999999999999</v>
      </c>
      <c r="AJ692" s="41"/>
      <c r="AK692" s="41">
        <v>0.1391</v>
      </c>
      <c r="AL692" s="41">
        <v>0.16539999999999999</v>
      </c>
      <c r="AM692" s="41">
        <v>0.20710000000000001</v>
      </c>
      <c r="AN692" s="41">
        <v>0.18479999999999999</v>
      </c>
      <c r="AO692" s="41">
        <v>0.2218</v>
      </c>
      <c r="AP692" s="41">
        <v>0.27850000000000003</v>
      </c>
      <c r="AQ692" s="41">
        <v>0.30459999999999998</v>
      </c>
      <c r="AR692" s="41">
        <v>0.34610000000000002</v>
      </c>
      <c r="AS692" s="41">
        <v>0.37459999999999999</v>
      </c>
      <c r="AT692" s="41">
        <v>0.42399999999999999</v>
      </c>
      <c r="AU692" s="41">
        <v>0.44330000000000003</v>
      </c>
      <c r="AV692" s="41"/>
      <c r="AW692" s="41"/>
      <c r="AX692" s="41">
        <v>0.54090000000000005</v>
      </c>
      <c r="AY692" s="41">
        <v>0.52229999999999999</v>
      </c>
      <c r="AZ692" s="41">
        <v>0.52259999999999995</v>
      </c>
      <c r="BA692" s="41">
        <v>0.55640000000000001</v>
      </c>
      <c r="BB692" s="41">
        <v>0.62560000000000004</v>
      </c>
      <c r="BC692" s="41">
        <v>0.68430000000000002</v>
      </c>
      <c r="BD692" s="41">
        <v>0.72619999999999996</v>
      </c>
      <c r="BE692" s="41"/>
      <c r="BF692" s="41"/>
      <c r="BG692" s="41">
        <v>1.0869</v>
      </c>
      <c r="BH692" s="41"/>
      <c r="BI692" s="41">
        <v>0.97460000000000002</v>
      </c>
      <c r="BJ692" s="41">
        <v>1.0578000000000001</v>
      </c>
      <c r="BK692" s="41">
        <v>0.95799999999999996</v>
      </c>
      <c r="BL692" s="41"/>
      <c r="BM692" s="41"/>
      <c r="BN692" s="41">
        <f t="shared" si="12"/>
        <v>0.95799999999999996</v>
      </c>
    </row>
    <row r="693" spans="2:66" hidden="1" outlineLevel="1" x14ac:dyDescent="0.35">
      <c r="B693" s="41" t="s">
        <v>454</v>
      </c>
      <c r="C693" s="41" t="s">
        <v>455</v>
      </c>
      <c r="D693" s="41" t="s">
        <v>746</v>
      </c>
      <c r="E693" s="41" t="s">
        <v>745</v>
      </c>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v>0.87594571321191605</v>
      </c>
      <c r="AK693" s="41"/>
      <c r="AL693" s="41"/>
      <c r="AM693" s="41"/>
      <c r="AN693" s="41"/>
      <c r="AO693" s="41"/>
      <c r="AP693" s="41"/>
      <c r="AQ693" s="41"/>
      <c r="AR693" s="41"/>
      <c r="AS693" s="41"/>
      <c r="AT693" s="41">
        <v>0.6154650631376487</v>
      </c>
      <c r="AU693" s="41"/>
      <c r="AV693" s="41"/>
      <c r="AW693" s="41"/>
      <c r="AX693" s="41"/>
      <c r="AY693" s="41"/>
      <c r="AZ693" s="41"/>
      <c r="BA693" s="41"/>
      <c r="BB693" s="41"/>
      <c r="BC693" s="41"/>
      <c r="BD693" s="41"/>
      <c r="BE693" s="41"/>
      <c r="BF693" s="41"/>
      <c r="BG693" s="41"/>
      <c r="BH693" s="41"/>
      <c r="BI693" s="41">
        <v>0.74709085356064975</v>
      </c>
      <c r="BJ693" s="41"/>
      <c r="BK693" s="41"/>
      <c r="BL693" s="41"/>
      <c r="BM693" s="41"/>
      <c r="BN693" s="41">
        <f t="shared" si="12"/>
        <v>0.74709085356064975</v>
      </c>
    </row>
    <row r="694" spans="2:66" hidden="1" outlineLevel="1" x14ac:dyDescent="0.35">
      <c r="B694" s="41" t="s">
        <v>450</v>
      </c>
      <c r="C694" s="41" t="s">
        <v>451</v>
      </c>
      <c r="D694" s="41" t="s">
        <v>746</v>
      </c>
      <c r="E694" s="41" t="s">
        <v>745</v>
      </c>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v>1.0637687379764684</v>
      </c>
      <c r="AK694" s="41"/>
      <c r="AL694" s="41"/>
      <c r="AM694" s="41"/>
      <c r="AN694" s="41"/>
      <c r="AO694" s="41"/>
      <c r="AP694" s="41"/>
      <c r="AQ694" s="41"/>
      <c r="AR694" s="41"/>
      <c r="AS694" s="41"/>
      <c r="AT694" s="41">
        <v>1.0216518092992626</v>
      </c>
      <c r="AU694" s="41"/>
      <c r="AV694" s="41"/>
      <c r="AW694" s="41"/>
      <c r="AX694" s="41"/>
      <c r="AY694" s="41"/>
      <c r="AZ694" s="41"/>
      <c r="BA694" s="41"/>
      <c r="BB694" s="41"/>
      <c r="BC694" s="41"/>
      <c r="BD694" s="41"/>
      <c r="BE694" s="41"/>
      <c r="BF694" s="41"/>
      <c r="BG694" s="41"/>
      <c r="BH694" s="41"/>
      <c r="BI694" s="41">
        <v>1.2178516305659948</v>
      </c>
      <c r="BJ694" s="41"/>
      <c r="BK694" s="41"/>
      <c r="BL694" s="41"/>
      <c r="BM694" s="41"/>
      <c r="BN694" s="41">
        <f t="shared" si="12"/>
        <v>1.2178516305659948</v>
      </c>
    </row>
    <row r="695" spans="2:66" hidden="1" outlineLevel="1" x14ac:dyDescent="0.35">
      <c r="B695" s="41" t="s">
        <v>200</v>
      </c>
      <c r="C695" s="41" t="s">
        <v>167</v>
      </c>
      <c r="D695" s="41" t="s">
        <v>746</v>
      </c>
      <c r="E695" s="41" t="s">
        <v>745</v>
      </c>
      <c r="F695" s="41">
        <v>4.2000000000000003E-2</v>
      </c>
      <c r="G695" s="41"/>
      <c r="H695" s="41"/>
      <c r="I695" s="41"/>
      <c r="J695" s="41"/>
      <c r="K695" s="41">
        <v>4.8000000000000001E-2</v>
      </c>
      <c r="L695" s="41"/>
      <c r="M695" s="41"/>
      <c r="N695" s="41"/>
      <c r="O695" s="41"/>
      <c r="P695" s="41">
        <v>3.2000000000000001E-2</v>
      </c>
      <c r="Q695" s="41"/>
      <c r="R695" s="41"/>
      <c r="S695" s="41"/>
      <c r="T695" s="41"/>
      <c r="U695" s="41">
        <v>3.2000000000000001E-2</v>
      </c>
      <c r="V695" s="41"/>
      <c r="W695" s="41"/>
      <c r="X695" s="41"/>
      <c r="Y695" s="41"/>
      <c r="Z695" s="41"/>
      <c r="AA695" s="41"/>
      <c r="AB695" s="41"/>
      <c r="AC695" s="41"/>
      <c r="AD695" s="41"/>
      <c r="AE695" s="41">
        <v>7.0999999999999994E-2</v>
      </c>
      <c r="AF695" s="41"/>
      <c r="AG695" s="41"/>
      <c r="AH695" s="41"/>
      <c r="AI695" s="41"/>
      <c r="AJ695" s="41">
        <v>4.2999999999999997E-2</v>
      </c>
      <c r="AK695" s="41"/>
      <c r="AL695" s="41"/>
      <c r="AM695" s="41">
        <v>0.05</v>
      </c>
      <c r="AN695" s="41"/>
      <c r="AO695" s="41">
        <v>5.3999999999999999E-2</v>
      </c>
      <c r="AP695" s="41"/>
      <c r="AQ695" s="41"/>
      <c r="AR695" s="41"/>
      <c r="AS695" s="41"/>
      <c r="AT695" s="41"/>
      <c r="AU695" s="41"/>
      <c r="AV695" s="41"/>
      <c r="AW695" s="41">
        <v>4.6399999999999997E-2</v>
      </c>
      <c r="AX695" s="41"/>
      <c r="AY695" s="41"/>
      <c r="AZ695" s="41"/>
      <c r="BA695" s="41"/>
      <c r="BB695" s="41"/>
      <c r="BC695" s="41"/>
      <c r="BD695" s="41">
        <v>6.7599999999999993E-2</v>
      </c>
      <c r="BE695" s="41"/>
      <c r="BF695" s="41"/>
      <c r="BG695" s="41"/>
      <c r="BH695" s="41"/>
      <c r="BI695" s="41"/>
      <c r="BJ695" s="41"/>
      <c r="BK695" s="41"/>
      <c r="BL695" s="41"/>
      <c r="BM695" s="41"/>
      <c r="BN695" s="41">
        <f t="shared" si="12"/>
        <v>6.7599999999999993E-2</v>
      </c>
    </row>
    <row r="696" spans="2:66" hidden="1" outlineLevel="1" x14ac:dyDescent="0.35">
      <c r="B696" s="41" t="s">
        <v>434</v>
      </c>
      <c r="C696" s="41" t="s">
        <v>435</v>
      </c>
      <c r="D696" s="41" t="s">
        <v>746</v>
      </c>
      <c r="E696" s="41" t="s">
        <v>745</v>
      </c>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v>1.3671398726791915</v>
      </c>
      <c r="AK696" s="41"/>
      <c r="AL696" s="41"/>
      <c r="AM696" s="41"/>
      <c r="AN696" s="41"/>
      <c r="AO696" s="41"/>
      <c r="AP696" s="41"/>
      <c r="AQ696" s="41"/>
      <c r="AR696" s="41"/>
      <c r="AS696" s="41"/>
      <c r="AT696" s="41">
        <v>1.4538187370888338</v>
      </c>
      <c r="AU696" s="41"/>
      <c r="AV696" s="41"/>
      <c r="AW696" s="41"/>
      <c r="AX696" s="41"/>
      <c r="AY696" s="41"/>
      <c r="AZ696" s="41"/>
      <c r="BA696" s="41"/>
      <c r="BB696" s="41"/>
      <c r="BC696" s="41"/>
      <c r="BD696" s="41"/>
      <c r="BE696" s="41"/>
      <c r="BF696" s="41"/>
      <c r="BG696" s="41"/>
      <c r="BH696" s="41"/>
      <c r="BI696" s="41">
        <v>1.9456894274001637</v>
      </c>
      <c r="BJ696" s="41"/>
      <c r="BK696" s="41"/>
      <c r="BL696" s="41"/>
      <c r="BM696" s="41"/>
      <c r="BN696" s="41">
        <f t="shared" si="12"/>
        <v>1.9456894274001637</v>
      </c>
    </row>
    <row r="697" spans="2:66" hidden="1" outlineLevel="1" x14ac:dyDescent="0.35">
      <c r="B697" s="41" t="s">
        <v>449</v>
      </c>
      <c r="C697" s="41" t="s">
        <v>82</v>
      </c>
      <c r="D697" s="41" t="s">
        <v>746</v>
      </c>
      <c r="E697" s="41" t="s">
        <v>745</v>
      </c>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v>3.72</v>
      </c>
      <c r="AF697" s="41">
        <v>3.8159999999999998</v>
      </c>
      <c r="AG697" s="41">
        <v>3.8849999999999998</v>
      </c>
      <c r="AH697" s="41">
        <v>3.9409999999999998</v>
      </c>
      <c r="AI697" s="41">
        <v>3.9769999999999999</v>
      </c>
      <c r="AJ697" s="41">
        <v>4.0270000000000001</v>
      </c>
      <c r="AK697" s="41">
        <v>3.9049999999999998</v>
      </c>
      <c r="AL697" s="41">
        <v>3.9279999999999999</v>
      </c>
      <c r="AM697" s="41">
        <v>3.9780000000000002</v>
      </c>
      <c r="AN697" s="41">
        <v>4.0910000000000002</v>
      </c>
      <c r="AO697" s="41">
        <v>4.0636000000000001</v>
      </c>
      <c r="AP697" s="41">
        <v>4.0965999999999996</v>
      </c>
      <c r="AQ697" s="41">
        <v>4.1222000000000003</v>
      </c>
      <c r="AR697" s="41">
        <v>4.1130000000000004</v>
      </c>
      <c r="AS697" s="41">
        <v>4.1307</v>
      </c>
      <c r="AT697" s="41">
        <v>4.01</v>
      </c>
      <c r="AU697" s="41">
        <v>4.0270000000000001</v>
      </c>
      <c r="AV697" s="41"/>
      <c r="AW697" s="41"/>
      <c r="AX697" s="41"/>
      <c r="AY697" s="41"/>
      <c r="AZ697" s="41">
        <v>3.95</v>
      </c>
      <c r="BA697" s="41">
        <v>4.0339999999999998</v>
      </c>
      <c r="BB697" s="41">
        <v>3.6640000000000001</v>
      </c>
      <c r="BC697" s="41"/>
      <c r="BD697" s="41">
        <v>3.9138000000000002</v>
      </c>
      <c r="BE697" s="41">
        <v>4.0284000000000004</v>
      </c>
      <c r="BF697" s="41">
        <v>4.1497000000000002</v>
      </c>
      <c r="BG697" s="41">
        <v>4.2205000000000004</v>
      </c>
      <c r="BH697" s="41">
        <v>4.2645999999999997</v>
      </c>
      <c r="BI697" s="41">
        <v>4.2992999999999997</v>
      </c>
      <c r="BJ697" s="41">
        <v>4.3369999999999997</v>
      </c>
      <c r="BK697" s="41"/>
      <c r="BL697" s="41"/>
      <c r="BM697" s="41"/>
      <c r="BN697" s="41">
        <f t="shared" si="12"/>
        <v>4.3369999999999997</v>
      </c>
    </row>
    <row r="698" spans="2:66" hidden="1" outlineLevel="1" x14ac:dyDescent="0.35">
      <c r="B698" s="41" t="s">
        <v>456</v>
      </c>
      <c r="C698" s="41" t="s">
        <v>83</v>
      </c>
      <c r="D698" s="41" t="s">
        <v>746</v>
      </c>
      <c r="E698" s="41" t="s">
        <v>745</v>
      </c>
      <c r="F698" s="41">
        <v>1</v>
      </c>
      <c r="G698" s="41">
        <v>1</v>
      </c>
      <c r="H698" s="41">
        <v>1</v>
      </c>
      <c r="I698" s="41">
        <v>1</v>
      </c>
      <c r="J698" s="41">
        <v>1</v>
      </c>
      <c r="K698" s="41">
        <v>1</v>
      </c>
      <c r="L698" s="41">
        <v>1</v>
      </c>
      <c r="M698" s="41">
        <v>1</v>
      </c>
      <c r="N698" s="41">
        <v>1.1000000000000001</v>
      </c>
      <c r="O698" s="41">
        <v>1.1000000000000001</v>
      </c>
      <c r="P698" s="41">
        <v>1.1000000000000001</v>
      </c>
      <c r="Q698" s="41">
        <v>1.2</v>
      </c>
      <c r="R698" s="41">
        <v>1.2</v>
      </c>
      <c r="S698" s="41">
        <v>1.2</v>
      </c>
      <c r="T698" s="41">
        <v>1.2</v>
      </c>
      <c r="U698" s="41">
        <v>1.3</v>
      </c>
      <c r="V698" s="41">
        <v>1.3</v>
      </c>
      <c r="W698" s="41">
        <v>1.3</v>
      </c>
      <c r="X698" s="41">
        <v>1.5</v>
      </c>
      <c r="Y698" s="41">
        <v>1.6</v>
      </c>
      <c r="Z698" s="41">
        <v>1.7</v>
      </c>
      <c r="AA698" s="41">
        <v>1.5</v>
      </c>
      <c r="AB698" s="41">
        <v>1.7</v>
      </c>
      <c r="AC698" s="41">
        <v>1.7</v>
      </c>
      <c r="AD698" s="41">
        <v>1.7</v>
      </c>
      <c r="AE698" s="41">
        <v>1.8</v>
      </c>
      <c r="AF698" s="41">
        <v>1.9</v>
      </c>
      <c r="AG698" s="41">
        <v>1.8</v>
      </c>
      <c r="AH698" s="41">
        <v>1.9</v>
      </c>
      <c r="AI698" s="41">
        <v>2</v>
      </c>
      <c r="AJ698" s="41">
        <v>2</v>
      </c>
      <c r="AK698" s="41">
        <v>2</v>
      </c>
      <c r="AL698" s="41">
        <v>2.1</v>
      </c>
      <c r="AM698" s="41">
        <v>2.1</v>
      </c>
      <c r="AN698" s="41">
        <v>2.2000000000000002</v>
      </c>
      <c r="AO698" s="41">
        <v>2.2000000000000002</v>
      </c>
      <c r="AP698" s="41">
        <v>2.2999999999999998</v>
      </c>
      <c r="AQ698" s="41">
        <v>2.4</v>
      </c>
      <c r="AR698" s="41">
        <v>2.4</v>
      </c>
      <c r="AS698" s="41">
        <v>2.5</v>
      </c>
      <c r="AT698" s="41">
        <v>2.5</v>
      </c>
      <c r="AU698" s="41">
        <v>2.5</v>
      </c>
      <c r="AV698" s="41">
        <v>2.6</v>
      </c>
      <c r="AW698" s="41">
        <v>2.7</v>
      </c>
      <c r="AX698" s="41">
        <v>2.73</v>
      </c>
      <c r="AY698" s="41">
        <v>2.8519999999999999</v>
      </c>
      <c r="AZ698" s="41"/>
      <c r="BA698" s="41">
        <v>2.8620000000000001</v>
      </c>
      <c r="BB698" s="41"/>
      <c r="BC698" s="41"/>
      <c r="BD698" s="41">
        <v>2.7643</v>
      </c>
      <c r="BE698" s="41">
        <v>2.7486000000000002</v>
      </c>
      <c r="BF698" s="41">
        <v>2.7761</v>
      </c>
      <c r="BG698" s="41">
        <v>2.7997000000000001</v>
      </c>
      <c r="BH698" s="41">
        <v>2.8563999999999998</v>
      </c>
      <c r="BI698" s="41">
        <v>2.9222000000000001</v>
      </c>
      <c r="BJ698" s="41">
        <v>2.9234</v>
      </c>
      <c r="BK698" s="41">
        <v>3.0266000000000002</v>
      </c>
      <c r="BL698" s="41"/>
      <c r="BM698" s="41"/>
      <c r="BN698" s="41">
        <f t="shared" si="12"/>
        <v>3.0266000000000002</v>
      </c>
    </row>
    <row r="699" spans="2:66" hidden="1" outlineLevel="1" x14ac:dyDescent="0.35">
      <c r="B699" s="41" t="s">
        <v>442</v>
      </c>
      <c r="C699" s="41" t="s">
        <v>84</v>
      </c>
      <c r="D699" s="41" t="s">
        <v>746</v>
      </c>
      <c r="E699" s="41" t="s">
        <v>745</v>
      </c>
      <c r="F699" s="41"/>
      <c r="G699" s="41"/>
      <c r="H699" s="41"/>
      <c r="I699" s="41"/>
      <c r="J699" s="41"/>
      <c r="K699" s="41"/>
      <c r="L699" s="41"/>
      <c r="M699" s="41"/>
      <c r="N699" s="41"/>
      <c r="O699" s="41"/>
      <c r="P699" s="41"/>
      <c r="Q699" s="41"/>
      <c r="R699" s="41"/>
      <c r="S699" s="41"/>
      <c r="T699" s="41"/>
      <c r="U699" s="41"/>
      <c r="V699" s="41"/>
      <c r="W699" s="41"/>
      <c r="X699" s="41"/>
      <c r="Y699" s="41"/>
      <c r="Z699" s="41">
        <v>3.6230000000000002</v>
      </c>
      <c r="AA699" s="41"/>
      <c r="AB699" s="41"/>
      <c r="AC699" s="41"/>
      <c r="AD699" s="41"/>
      <c r="AE699" s="41">
        <v>4.0990000000000002</v>
      </c>
      <c r="AF699" s="41">
        <v>4.077</v>
      </c>
      <c r="AG699" s="41">
        <v>4.1120000000000001</v>
      </c>
      <c r="AH699" s="41">
        <v>4.1829999999999998</v>
      </c>
      <c r="AI699" s="41">
        <v>4.1619999999999999</v>
      </c>
      <c r="AJ699" s="41">
        <v>4.6933999999999996</v>
      </c>
      <c r="AK699" s="41">
        <v>4.6063000000000001</v>
      </c>
      <c r="AL699" s="41">
        <v>4.0839999999999996</v>
      </c>
      <c r="AM699" s="41">
        <v>3.6198999999999999</v>
      </c>
      <c r="AN699" s="41">
        <v>3.4133</v>
      </c>
      <c r="AO699" s="41">
        <v>3.3481999999999998</v>
      </c>
      <c r="AP699" s="41">
        <v>3.4803000000000002</v>
      </c>
      <c r="AQ699" s="41">
        <v>3.4218999999999999</v>
      </c>
      <c r="AR699" s="41">
        <v>3.2766999999999999</v>
      </c>
      <c r="AS699" s="41">
        <v>3.3391000000000002</v>
      </c>
      <c r="AT699" s="41">
        <v>3.4117999999999999</v>
      </c>
      <c r="AU699" s="41">
        <v>3.2831999999999999</v>
      </c>
      <c r="AV699" s="41">
        <v>3.3959000000000001</v>
      </c>
      <c r="AW699" s="41">
        <v>3.4188000000000001</v>
      </c>
      <c r="AX699" s="41">
        <v>3.5486</v>
      </c>
      <c r="AY699" s="41">
        <v>3.6442999999999999</v>
      </c>
      <c r="AZ699" s="41">
        <v>3.7484000000000002</v>
      </c>
      <c r="BA699" s="41">
        <v>3.6452</v>
      </c>
      <c r="BB699" s="41">
        <v>3.8845999999999998</v>
      </c>
      <c r="BC699" s="41">
        <v>3.7122999999999999</v>
      </c>
      <c r="BD699" s="41">
        <v>3.0758000000000001</v>
      </c>
      <c r="BE699" s="41">
        <v>3.0853000000000002</v>
      </c>
      <c r="BF699" s="41">
        <v>3.0952000000000002</v>
      </c>
      <c r="BG699" s="41">
        <v>3.1473</v>
      </c>
      <c r="BH699" s="41">
        <v>3.1804000000000001</v>
      </c>
      <c r="BI699" s="41">
        <v>3.1736</v>
      </c>
      <c r="BJ699" s="41">
        <v>3.1945999999999999</v>
      </c>
      <c r="BK699" s="41"/>
      <c r="BL699" s="41"/>
      <c r="BM699" s="41"/>
      <c r="BN699" s="41">
        <f t="shared" si="12"/>
        <v>3.1945999999999999</v>
      </c>
    </row>
    <row r="700" spans="2:66" hidden="1" outlineLevel="1" x14ac:dyDescent="0.35">
      <c r="B700" s="41" t="s">
        <v>457</v>
      </c>
      <c r="C700" s="41" t="s">
        <v>458</v>
      </c>
      <c r="D700" s="41" t="s">
        <v>746</v>
      </c>
      <c r="E700" s="41" t="s">
        <v>745</v>
      </c>
      <c r="F700" s="41">
        <v>0.41</v>
      </c>
      <c r="G700" s="41"/>
      <c r="H700" s="41"/>
      <c r="I700" s="41"/>
      <c r="J700" s="41"/>
      <c r="K700" s="41"/>
      <c r="L700" s="41"/>
      <c r="M700" s="41"/>
      <c r="N700" s="41"/>
      <c r="O700" s="41"/>
      <c r="P700" s="41">
        <v>0.63400000000000001</v>
      </c>
      <c r="Q700" s="41"/>
      <c r="R700" s="41"/>
      <c r="S700" s="41"/>
      <c r="T700" s="41"/>
      <c r="U700" s="41"/>
      <c r="V700" s="41"/>
      <c r="W700" s="41"/>
      <c r="X700" s="41"/>
      <c r="Y700" s="41"/>
      <c r="Z700" s="41">
        <v>1.0669999999999999</v>
      </c>
      <c r="AA700" s="41">
        <v>1.1220000000000001</v>
      </c>
      <c r="AB700" s="41"/>
      <c r="AC700" s="41"/>
      <c r="AD700" s="41"/>
      <c r="AE700" s="41"/>
      <c r="AF700" s="41">
        <v>2.4279999999999999</v>
      </c>
      <c r="AG700" s="41">
        <v>1.5620000000000001</v>
      </c>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f t="shared" si="12"/>
        <v>1.5620000000000001</v>
      </c>
    </row>
    <row r="701" spans="2:66" hidden="1" outlineLevel="1" x14ac:dyDescent="0.35">
      <c r="B701" s="41" t="s">
        <v>533</v>
      </c>
      <c r="C701" s="41" t="s">
        <v>534</v>
      </c>
      <c r="D701" s="41" t="s">
        <v>746</v>
      </c>
      <c r="E701" s="41" t="s">
        <v>745</v>
      </c>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t="str">
        <f t="shared" si="12"/>
        <v>No reported value</v>
      </c>
    </row>
    <row r="702" spans="2:66" hidden="1" outlineLevel="1" x14ac:dyDescent="0.35">
      <c r="B702" s="41" t="s">
        <v>476</v>
      </c>
      <c r="C702" s="41" t="s">
        <v>85</v>
      </c>
      <c r="D702" s="41" t="s">
        <v>746</v>
      </c>
      <c r="E702" s="41" t="s">
        <v>745</v>
      </c>
      <c r="F702" s="41">
        <v>0.106</v>
      </c>
      <c r="G702" s="41"/>
      <c r="H702" s="41"/>
      <c r="I702" s="41"/>
      <c r="J702" s="41"/>
      <c r="K702" s="41">
        <v>8.2000000000000003E-2</v>
      </c>
      <c r="L702" s="41"/>
      <c r="M702" s="41"/>
      <c r="N702" s="41"/>
      <c r="O702" s="41"/>
      <c r="P702" s="41">
        <v>7.5999999999999998E-2</v>
      </c>
      <c r="Q702" s="41"/>
      <c r="R702" s="41"/>
      <c r="S702" s="41"/>
      <c r="T702" s="41"/>
      <c r="U702" s="41">
        <v>7.5999999999999998E-2</v>
      </c>
      <c r="V702" s="41"/>
      <c r="W702" s="41"/>
      <c r="X702" s="41"/>
      <c r="Y702" s="41"/>
      <c r="Z702" s="41"/>
      <c r="AA702" s="41">
        <v>5.3999999999999999E-2</v>
      </c>
      <c r="AB702" s="41">
        <v>6.4000000000000001E-2</v>
      </c>
      <c r="AC702" s="41"/>
      <c r="AD702" s="41"/>
      <c r="AE702" s="41"/>
      <c r="AF702" s="41"/>
      <c r="AG702" s="41">
        <v>0.217</v>
      </c>
      <c r="AH702" s="41">
        <v>0.214</v>
      </c>
      <c r="AI702" s="41"/>
      <c r="AJ702" s="41"/>
      <c r="AK702" s="41"/>
      <c r="AL702" s="41"/>
      <c r="AM702" s="41">
        <v>0.214</v>
      </c>
      <c r="AN702" s="41">
        <v>0.36299999999999999</v>
      </c>
      <c r="AO702" s="41"/>
      <c r="AP702" s="41"/>
      <c r="AQ702" s="41">
        <v>0.46</v>
      </c>
      <c r="AR702" s="41"/>
      <c r="AS702" s="41"/>
      <c r="AT702" s="41"/>
      <c r="AU702" s="41">
        <v>0.48299999999999998</v>
      </c>
      <c r="AV702" s="41"/>
      <c r="AW702" s="41"/>
      <c r="AX702" s="41">
        <v>0.52990000000000004</v>
      </c>
      <c r="AY702" s="41"/>
      <c r="AZ702" s="41"/>
      <c r="BA702" s="41">
        <v>0.58509999999999995</v>
      </c>
      <c r="BB702" s="41"/>
      <c r="BC702" s="41">
        <v>0.64649999999999996</v>
      </c>
      <c r="BD702" s="41">
        <v>0.62</v>
      </c>
      <c r="BE702" s="41"/>
      <c r="BF702" s="41"/>
      <c r="BG702" s="41">
        <v>0.63</v>
      </c>
      <c r="BH702" s="41">
        <v>0.61040000000000005</v>
      </c>
      <c r="BI702" s="41"/>
      <c r="BJ702" s="41"/>
      <c r="BK702" s="41">
        <v>0.72729999999999995</v>
      </c>
      <c r="BL702" s="41"/>
      <c r="BM702" s="41"/>
      <c r="BN702" s="41">
        <f t="shared" si="12"/>
        <v>0.72729999999999995</v>
      </c>
    </row>
    <row r="703" spans="2:66" hidden="1" outlineLevel="1" x14ac:dyDescent="0.35">
      <c r="B703" s="41" t="s">
        <v>474</v>
      </c>
      <c r="C703" s="41" t="s">
        <v>86</v>
      </c>
      <c r="D703" s="41" t="s">
        <v>746</v>
      </c>
      <c r="E703" s="41" t="s">
        <v>745</v>
      </c>
      <c r="F703" s="41"/>
      <c r="G703" s="41"/>
      <c r="H703" s="41"/>
      <c r="I703" s="41"/>
      <c r="J703" s="41"/>
      <c r="K703" s="41"/>
      <c r="L703" s="41"/>
      <c r="M703" s="41"/>
      <c r="N703" s="41"/>
      <c r="O703" s="41"/>
      <c r="P703" s="41">
        <v>2.4</v>
      </c>
      <c r="Q703" s="41">
        <v>1.958</v>
      </c>
      <c r="R703" s="41">
        <v>2.2080000000000002</v>
      </c>
      <c r="S703" s="41">
        <v>2.25</v>
      </c>
      <c r="T703" s="41">
        <v>2.375</v>
      </c>
      <c r="U703" s="41">
        <v>2.36</v>
      </c>
      <c r="V703" s="41">
        <v>2.4169999999999998</v>
      </c>
      <c r="W703" s="41">
        <v>2.4</v>
      </c>
      <c r="X703" s="41">
        <v>2.3199999999999998</v>
      </c>
      <c r="Y703" s="41">
        <v>2.36</v>
      </c>
      <c r="Z703" s="41">
        <v>2.3849999999999998</v>
      </c>
      <c r="AA703" s="41">
        <v>2.2309999999999999</v>
      </c>
      <c r="AB703" s="41">
        <v>2.1850000000000001</v>
      </c>
      <c r="AC703" s="41"/>
      <c r="AD703" s="41"/>
      <c r="AE703" s="41"/>
      <c r="AF703" s="41"/>
      <c r="AG703" s="41"/>
      <c r="AH703" s="41"/>
      <c r="AI703" s="41">
        <v>2.8570000000000002</v>
      </c>
      <c r="AJ703" s="41"/>
      <c r="AK703" s="41"/>
      <c r="AL703" s="41">
        <v>3</v>
      </c>
      <c r="AM703" s="41"/>
      <c r="AN703" s="41"/>
      <c r="AO703" s="41">
        <v>5.81</v>
      </c>
      <c r="AP703" s="41"/>
      <c r="AQ703" s="41"/>
      <c r="AR703" s="41"/>
      <c r="AS703" s="41"/>
      <c r="AT703" s="41"/>
      <c r="AU703" s="41"/>
      <c r="AV703" s="41"/>
      <c r="AW703" s="41"/>
      <c r="AX703" s="41"/>
      <c r="AY703" s="41"/>
      <c r="AZ703" s="41"/>
      <c r="BA703" s="41"/>
      <c r="BB703" s="41"/>
      <c r="BC703" s="41"/>
      <c r="BD703" s="41"/>
      <c r="BE703" s="41">
        <v>6.6666999999999996</v>
      </c>
      <c r="BF703" s="41">
        <v>6.7195999999999998</v>
      </c>
      <c r="BG703" s="41">
        <v>6.5789</v>
      </c>
      <c r="BH703" s="41">
        <v>6.5617000000000001</v>
      </c>
      <c r="BI703" s="41"/>
      <c r="BJ703" s="41"/>
      <c r="BK703" s="41"/>
      <c r="BL703" s="41"/>
      <c r="BM703" s="41"/>
      <c r="BN703" s="41">
        <f t="shared" si="12"/>
        <v>6.5617000000000001</v>
      </c>
    </row>
    <row r="704" spans="2:66" hidden="1" outlineLevel="1" x14ac:dyDescent="0.35">
      <c r="B704" s="41" t="s">
        <v>473</v>
      </c>
      <c r="C704" s="41" t="s">
        <v>87</v>
      </c>
      <c r="D704" s="41" t="s">
        <v>746</v>
      </c>
      <c r="E704" s="41" t="s">
        <v>745</v>
      </c>
      <c r="F704" s="41"/>
      <c r="G704" s="41"/>
      <c r="H704" s="41"/>
      <c r="I704" s="41"/>
      <c r="J704" s="41"/>
      <c r="K704" s="41"/>
      <c r="L704" s="41"/>
      <c r="M704" s="41"/>
      <c r="N704" s="41"/>
      <c r="O704" s="41"/>
      <c r="P704" s="41"/>
      <c r="Q704" s="41"/>
      <c r="R704" s="41"/>
      <c r="S704" s="41"/>
      <c r="T704" s="41"/>
      <c r="U704" s="41"/>
      <c r="V704" s="41"/>
      <c r="W704" s="41"/>
      <c r="X704" s="41"/>
      <c r="Y704" s="41"/>
      <c r="Z704" s="41">
        <v>2.8159999999999998</v>
      </c>
      <c r="AA704" s="41">
        <v>2.895</v>
      </c>
      <c r="AB704" s="41">
        <v>3.0070000000000001</v>
      </c>
      <c r="AC704" s="41">
        <v>3.089</v>
      </c>
      <c r="AD704" s="41">
        <v>3.1930000000000001</v>
      </c>
      <c r="AE704" s="41">
        <v>3.2970000000000002</v>
      </c>
      <c r="AF704" s="41">
        <v>3.37</v>
      </c>
      <c r="AG704" s="41">
        <v>3.444</v>
      </c>
      <c r="AH704" s="41">
        <v>3.52</v>
      </c>
      <c r="AI704" s="41">
        <v>3.573</v>
      </c>
      <c r="AJ704" s="41">
        <v>3.55</v>
      </c>
      <c r="AK704" s="41">
        <v>3.484</v>
      </c>
      <c r="AL704" s="41">
        <v>3.51</v>
      </c>
      <c r="AM704" s="41">
        <v>3.5550000000000002</v>
      </c>
      <c r="AN704" s="41">
        <v>3.5640000000000001</v>
      </c>
      <c r="AO704" s="41">
        <v>3.5129999999999999</v>
      </c>
      <c r="AP704" s="41">
        <v>3.5619999999999998</v>
      </c>
      <c r="AQ704" s="41">
        <v>3.5819999999999999</v>
      </c>
      <c r="AR704" s="41">
        <v>3.6309999999999998</v>
      </c>
      <c r="AS704" s="41">
        <v>3.2450000000000001</v>
      </c>
      <c r="AT704" s="41">
        <v>3.18</v>
      </c>
      <c r="AU704" s="41">
        <v>2.694</v>
      </c>
      <c r="AV704" s="41"/>
      <c r="AW704" s="41">
        <v>2.6360000000000001</v>
      </c>
      <c r="AX704" s="41"/>
      <c r="AY704" s="41"/>
      <c r="AZ704" s="41">
        <v>2.66</v>
      </c>
      <c r="BA704" s="41">
        <v>2.6680000000000001</v>
      </c>
      <c r="BB704" s="41"/>
      <c r="BC704" s="41"/>
      <c r="BD704" s="41">
        <v>2.4390000000000001</v>
      </c>
      <c r="BE704" s="41">
        <v>2.4672999999999998</v>
      </c>
      <c r="BF704" s="41">
        <v>2.4695</v>
      </c>
      <c r="BG704" s="41">
        <v>2.5619000000000001</v>
      </c>
      <c r="BH704" s="41">
        <v>2.5388999999999999</v>
      </c>
      <c r="BI704" s="41">
        <v>3.2002000000000002</v>
      </c>
      <c r="BJ704" s="41"/>
      <c r="BK704" s="41"/>
      <c r="BL704" s="41"/>
      <c r="BM704" s="41"/>
      <c r="BN704" s="41">
        <f t="shared" si="12"/>
        <v>3.2002000000000002</v>
      </c>
    </row>
    <row r="705" spans="2:66" hidden="1" outlineLevel="1" x14ac:dyDescent="0.35">
      <c r="B705" s="41" t="s">
        <v>202</v>
      </c>
      <c r="C705" s="41" t="s">
        <v>88</v>
      </c>
      <c r="D705" s="41" t="s">
        <v>746</v>
      </c>
      <c r="E705" s="41" t="s">
        <v>745</v>
      </c>
      <c r="F705" s="41">
        <v>0.115</v>
      </c>
      <c r="G705" s="41"/>
      <c r="H705" s="41"/>
      <c r="I705" s="41"/>
      <c r="J705" s="41"/>
      <c r="K705" s="41">
        <v>9.2999999999999999E-2</v>
      </c>
      <c r="L705" s="41"/>
      <c r="M705" s="41"/>
      <c r="N705" s="41"/>
      <c r="O705" s="41"/>
      <c r="P705" s="41">
        <v>9.7000000000000003E-2</v>
      </c>
      <c r="Q705" s="41"/>
      <c r="R705" s="41"/>
      <c r="S705" s="41"/>
      <c r="T705" s="41"/>
      <c r="U705" s="41">
        <v>9.6000000000000002E-2</v>
      </c>
      <c r="V705" s="41"/>
      <c r="W705" s="41"/>
      <c r="X705" s="41"/>
      <c r="Y705" s="41"/>
      <c r="Z705" s="41"/>
      <c r="AA705" s="41">
        <v>9.9000000000000005E-2</v>
      </c>
      <c r="AB705" s="41"/>
      <c r="AC705" s="41"/>
      <c r="AD705" s="41"/>
      <c r="AE705" s="41">
        <v>0.10100000000000001</v>
      </c>
      <c r="AF705" s="41"/>
      <c r="AG705" s="41"/>
      <c r="AH705" s="41"/>
      <c r="AI705" s="41"/>
      <c r="AJ705" s="41">
        <v>0.12</v>
      </c>
      <c r="AK705" s="41"/>
      <c r="AL705" s="41"/>
      <c r="AM705" s="41"/>
      <c r="AN705" s="41"/>
      <c r="AO705" s="41">
        <v>0.27200000000000002</v>
      </c>
      <c r="AP705" s="41">
        <v>0.107</v>
      </c>
      <c r="AQ705" s="41"/>
      <c r="AR705" s="41"/>
      <c r="AS705" s="41"/>
      <c r="AT705" s="41"/>
      <c r="AU705" s="41">
        <v>8.6999999999999994E-2</v>
      </c>
      <c r="AV705" s="41">
        <v>0.13619999999999999</v>
      </c>
      <c r="AW705" s="41">
        <v>0.14760000000000001</v>
      </c>
      <c r="AX705" s="41">
        <v>0.15620000000000001</v>
      </c>
      <c r="AY705" s="41">
        <v>0.18010000000000001</v>
      </c>
      <c r="AZ705" s="41">
        <v>0.17050000000000001</v>
      </c>
      <c r="BA705" s="41">
        <v>0.18129999999999999</v>
      </c>
      <c r="BB705" s="41">
        <v>0.186</v>
      </c>
      <c r="BC705" s="41">
        <v>0.18129999999999999</v>
      </c>
      <c r="BD705" s="41">
        <v>0.1953</v>
      </c>
      <c r="BE705" s="41">
        <v>0.14399999999999999</v>
      </c>
      <c r="BF705" s="41">
        <v>0.14269999999999999</v>
      </c>
      <c r="BG705" s="41"/>
      <c r="BH705" s="41">
        <v>0.1812</v>
      </c>
      <c r="BI705" s="41"/>
      <c r="BJ705" s="41"/>
      <c r="BK705" s="41"/>
      <c r="BL705" s="41"/>
      <c r="BM705" s="41"/>
      <c r="BN705" s="41">
        <f t="shared" si="12"/>
        <v>0.1812</v>
      </c>
    </row>
    <row r="706" spans="2:66" hidden="1" outlineLevel="1" x14ac:dyDescent="0.35">
      <c r="B706" s="41" t="s">
        <v>243</v>
      </c>
      <c r="C706" s="41" t="s">
        <v>89</v>
      </c>
      <c r="D706" s="41" t="s">
        <v>746</v>
      </c>
      <c r="E706" s="41" t="s">
        <v>745</v>
      </c>
      <c r="F706" s="41"/>
      <c r="G706" s="41"/>
      <c r="H706" s="41"/>
      <c r="I706" s="41"/>
      <c r="J706" s="41"/>
      <c r="K706" s="41"/>
      <c r="L706" s="41"/>
      <c r="M706" s="41"/>
      <c r="N706" s="41"/>
      <c r="O706" s="41"/>
      <c r="P706" s="41">
        <v>3.3000000000000002E-2</v>
      </c>
      <c r="Q706" s="41"/>
      <c r="R706" s="41"/>
      <c r="S706" s="41"/>
      <c r="T706" s="41"/>
      <c r="U706" s="41"/>
      <c r="V706" s="41"/>
      <c r="W706" s="41"/>
      <c r="X706" s="41"/>
      <c r="Y706" s="41"/>
      <c r="Z706" s="41"/>
      <c r="AA706" s="41">
        <v>4.9000000000000002E-2</v>
      </c>
      <c r="AB706" s="41">
        <v>6.5000000000000002E-2</v>
      </c>
      <c r="AC706" s="41"/>
      <c r="AD706" s="41"/>
      <c r="AE706" s="41"/>
      <c r="AF706" s="41"/>
      <c r="AG706" s="41"/>
      <c r="AH706" s="41"/>
      <c r="AI706" s="41"/>
      <c r="AJ706" s="41">
        <v>7.0000000000000007E-2</v>
      </c>
      <c r="AK706" s="41">
        <v>0.1915</v>
      </c>
      <c r="AL706" s="41"/>
      <c r="AM706" s="41">
        <v>0.28449999999999998</v>
      </c>
      <c r="AN706" s="41"/>
      <c r="AO706" s="41">
        <v>0.4</v>
      </c>
      <c r="AP706" s="41">
        <v>0.66720000000000002</v>
      </c>
      <c r="AQ706" s="41"/>
      <c r="AR706" s="41"/>
      <c r="AS706" s="41"/>
      <c r="AT706" s="41">
        <v>0.77700000000000002</v>
      </c>
      <c r="AU706" s="41"/>
      <c r="AV706" s="41"/>
      <c r="AW706" s="41"/>
      <c r="AX706" s="41">
        <v>0.97289999999999999</v>
      </c>
      <c r="AY706" s="41"/>
      <c r="AZ706" s="41"/>
      <c r="BA706" s="41">
        <v>1.6424000000000001</v>
      </c>
      <c r="BB706" s="41"/>
      <c r="BC706" s="41">
        <v>1.4838</v>
      </c>
      <c r="BD706" s="41">
        <v>1.4402999999999999</v>
      </c>
      <c r="BE706" s="41"/>
      <c r="BF706" s="41"/>
      <c r="BG706" s="41"/>
      <c r="BH706" s="41">
        <v>1.8863000000000001</v>
      </c>
      <c r="BI706" s="41">
        <v>3.1381000000000001</v>
      </c>
      <c r="BJ706" s="41">
        <v>1.0379</v>
      </c>
      <c r="BK706" s="41"/>
      <c r="BL706" s="41"/>
      <c r="BM706" s="41"/>
      <c r="BN706" s="41">
        <f t="shared" si="12"/>
        <v>1.0379</v>
      </c>
    </row>
    <row r="707" spans="2:66" hidden="1" outlineLevel="1" x14ac:dyDescent="0.35">
      <c r="B707" s="41" t="s">
        <v>465</v>
      </c>
      <c r="C707" s="41" t="s">
        <v>466</v>
      </c>
      <c r="D707" s="41" t="s">
        <v>746</v>
      </c>
      <c r="E707" s="41" t="s">
        <v>745</v>
      </c>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v>0.68343453377920638</v>
      </c>
      <c r="AK707" s="41"/>
      <c r="AL707" s="41"/>
      <c r="AM707" s="41"/>
      <c r="AN707" s="41"/>
      <c r="AO707" s="41"/>
      <c r="AP707" s="41"/>
      <c r="AQ707" s="41"/>
      <c r="AR707" s="41"/>
      <c r="AS707" s="41"/>
      <c r="AT707" s="41">
        <v>1.2504479845910703</v>
      </c>
      <c r="AU707" s="41"/>
      <c r="AV707" s="41"/>
      <c r="AW707" s="41"/>
      <c r="AX707" s="41"/>
      <c r="AY707" s="41"/>
      <c r="AZ707" s="41"/>
      <c r="BA707" s="41"/>
      <c r="BB707" s="41"/>
      <c r="BC707" s="41"/>
      <c r="BD707" s="41"/>
      <c r="BE707" s="41"/>
      <c r="BF707" s="41"/>
      <c r="BG707" s="41"/>
      <c r="BH707" s="41"/>
      <c r="BI707" s="41">
        <v>1.2594005996531696</v>
      </c>
      <c r="BJ707" s="41"/>
      <c r="BK707" s="41"/>
      <c r="BL707" s="41"/>
      <c r="BM707" s="41"/>
      <c r="BN707" s="41">
        <f t="shared" si="12"/>
        <v>1.2594005996531696</v>
      </c>
    </row>
    <row r="708" spans="2:66" hidden="1" outlineLevel="1" x14ac:dyDescent="0.35">
      <c r="B708" s="41" t="s">
        <v>462</v>
      </c>
      <c r="C708" s="41" t="s">
        <v>90</v>
      </c>
      <c r="D708" s="41" t="s">
        <v>746</v>
      </c>
      <c r="E708" s="41" t="s">
        <v>745</v>
      </c>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v>1</v>
      </c>
      <c r="AK708" s="41">
        <v>1.1000000000000001</v>
      </c>
      <c r="AL708" s="41">
        <v>1.3</v>
      </c>
      <c r="AM708" s="41">
        <v>1.4</v>
      </c>
      <c r="AN708" s="41">
        <v>1.5</v>
      </c>
      <c r="AO708" s="41">
        <v>1.6</v>
      </c>
      <c r="AP708" s="41">
        <v>1.6</v>
      </c>
      <c r="AQ708" s="41">
        <v>1.4</v>
      </c>
      <c r="AR708" s="41">
        <v>1.2</v>
      </c>
      <c r="AS708" s="41">
        <v>1.7</v>
      </c>
      <c r="AT708" s="41">
        <v>1.9258999999999999</v>
      </c>
      <c r="AU708" s="41">
        <v>1.5</v>
      </c>
      <c r="AV708" s="41">
        <v>1.5</v>
      </c>
      <c r="AW708" s="41">
        <v>1.5</v>
      </c>
      <c r="AX708" s="41">
        <v>2.8929999999999998</v>
      </c>
      <c r="AY708" s="41">
        <v>1.7490000000000001</v>
      </c>
      <c r="AZ708" s="41">
        <v>1.8640000000000001</v>
      </c>
      <c r="BA708" s="41">
        <v>1.8879999999999999</v>
      </c>
      <c r="BB708" s="41">
        <v>1.925</v>
      </c>
      <c r="BC708" s="41">
        <v>1.9590000000000001</v>
      </c>
      <c r="BD708" s="41">
        <v>2.1747000000000001</v>
      </c>
      <c r="BE708" s="41">
        <v>2.0405000000000002</v>
      </c>
      <c r="BF708" s="41">
        <v>2.0497000000000001</v>
      </c>
      <c r="BG708" s="41">
        <v>2.0914999999999999</v>
      </c>
      <c r="BH708" s="41">
        <v>2.1383000000000001</v>
      </c>
      <c r="BI708" s="41">
        <v>2.2513000000000001</v>
      </c>
      <c r="BJ708" s="41">
        <v>2.2477999999999998</v>
      </c>
      <c r="BK708" s="41"/>
      <c r="BL708" s="41"/>
      <c r="BM708" s="41"/>
      <c r="BN708" s="41">
        <f t="shared" si="12"/>
        <v>2.2477999999999998</v>
      </c>
    </row>
    <row r="709" spans="2:66" hidden="1" outlineLevel="1" x14ac:dyDescent="0.35">
      <c r="B709" s="41" t="s">
        <v>461</v>
      </c>
      <c r="C709" s="41" t="s">
        <v>91</v>
      </c>
      <c r="D709" s="41" t="s">
        <v>746</v>
      </c>
      <c r="E709" s="41" t="s">
        <v>745</v>
      </c>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v>0.42199999999999999</v>
      </c>
      <c r="AQ709" s="41"/>
      <c r="AR709" s="41"/>
      <c r="AS709" s="41"/>
      <c r="AT709" s="41">
        <v>0.47099999999999997</v>
      </c>
      <c r="AU709" s="41"/>
      <c r="AV709" s="41"/>
      <c r="AW709" s="41"/>
      <c r="AX709" s="41"/>
      <c r="AY709" s="41"/>
      <c r="AZ709" s="41"/>
      <c r="BA709" s="41">
        <v>0.59499999999999997</v>
      </c>
      <c r="BB709" s="41">
        <v>0.45600000000000002</v>
      </c>
      <c r="BC709" s="41"/>
      <c r="BD709" s="41">
        <v>0.61070000000000002</v>
      </c>
      <c r="BE709" s="41">
        <v>0.62860000000000005</v>
      </c>
      <c r="BF709" s="41">
        <v>0.45540000000000003</v>
      </c>
      <c r="BG709" s="41"/>
      <c r="BH709" s="41"/>
      <c r="BI709" s="41"/>
      <c r="BJ709" s="41"/>
      <c r="BK709" s="41"/>
      <c r="BL709" s="41"/>
      <c r="BM709" s="41"/>
      <c r="BN709" s="41">
        <f t="shared" si="12"/>
        <v>0.45540000000000003</v>
      </c>
    </row>
    <row r="710" spans="2:66" hidden="1" outlineLevel="1" x14ac:dyDescent="0.35">
      <c r="B710" s="41" t="s">
        <v>471</v>
      </c>
      <c r="C710" s="41" t="s">
        <v>472</v>
      </c>
      <c r="D710" s="41" t="s">
        <v>746</v>
      </c>
      <c r="E710" s="41" t="s">
        <v>745</v>
      </c>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v>1.1261610542668827</v>
      </c>
      <c r="AK710" s="41"/>
      <c r="AL710" s="41"/>
      <c r="AM710" s="41"/>
      <c r="AN710" s="41"/>
      <c r="AO710" s="41"/>
      <c r="AP710" s="41"/>
      <c r="AQ710" s="41"/>
      <c r="AR710" s="41"/>
      <c r="AS710" s="41"/>
      <c r="AT710" s="41">
        <v>1.0825461104118281</v>
      </c>
      <c r="AU710" s="41"/>
      <c r="AV710" s="41"/>
      <c r="AW710" s="41"/>
      <c r="AX710" s="41"/>
      <c r="AY710" s="41"/>
      <c r="AZ710" s="41"/>
      <c r="BA710" s="41"/>
      <c r="BB710" s="41"/>
      <c r="BC710" s="41"/>
      <c r="BD710" s="41"/>
      <c r="BE710" s="41"/>
      <c r="BF710" s="41"/>
      <c r="BG710" s="41"/>
      <c r="BH710" s="41"/>
      <c r="BI710" s="41">
        <v>1.3224198732485886</v>
      </c>
      <c r="BJ710" s="41"/>
      <c r="BK710" s="41"/>
      <c r="BL710" s="41"/>
      <c r="BM710" s="41"/>
      <c r="BN710" s="41">
        <f t="shared" si="12"/>
        <v>1.3224198732485886</v>
      </c>
    </row>
    <row r="711" spans="2:66" hidden="1" outlineLevel="1" x14ac:dyDescent="0.35">
      <c r="B711" s="41" t="s">
        <v>483</v>
      </c>
      <c r="C711" s="41" t="s">
        <v>484</v>
      </c>
      <c r="D711" s="41" t="s">
        <v>746</v>
      </c>
      <c r="E711" s="41" t="s">
        <v>745</v>
      </c>
      <c r="F711" s="41"/>
      <c r="G711" s="41"/>
      <c r="H711" s="41"/>
      <c r="I711" s="41"/>
      <c r="J711" s="41"/>
      <c r="K711" s="41"/>
      <c r="L711" s="41"/>
      <c r="M711" s="41"/>
      <c r="N711" s="41"/>
      <c r="O711" s="41"/>
      <c r="P711" s="41">
        <v>0.89</v>
      </c>
      <c r="Q711" s="41">
        <v>0.91900000000000004</v>
      </c>
      <c r="R711" s="41">
        <v>0.95299999999999996</v>
      </c>
      <c r="S711" s="41">
        <v>1.012</v>
      </c>
      <c r="T711" s="41">
        <v>1.0249999999999999</v>
      </c>
      <c r="U711" s="41">
        <v>1.121</v>
      </c>
      <c r="V711" s="41">
        <v>1.1140000000000001</v>
      </c>
      <c r="W711" s="41">
        <v>1.1579999999999999</v>
      </c>
      <c r="X711" s="41">
        <v>1.238</v>
      </c>
      <c r="Y711" s="41">
        <v>1.3109999999999999</v>
      </c>
      <c r="Z711" s="41">
        <v>1.3440000000000001</v>
      </c>
      <c r="AA711" s="41">
        <v>1.466</v>
      </c>
      <c r="AB711" s="41">
        <v>1.4950000000000001</v>
      </c>
      <c r="AC711" s="41">
        <v>1.679</v>
      </c>
      <c r="AD711" s="41">
        <v>1.671</v>
      </c>
      <c r="AE711" s="41">
        <v>1.8089999999999999</v>
      </c>
      <c r="AF711" s="41">
        <v>1.901</v>
      </c>
      <c r="AG711" s="41">
        <v>1.952</v>
      </c>
      <c r="AH711" s="41">
        <v>2.0329999999999999</v>
      </c>
      <c r="AI711" s="41">
        <v>2.14</v>
      </c>
      <c r="AJ711" s="41">
        <v>2.1680000000000001</v>
      </c>
      <c r="AK711" s="41">
        <v>2.3420000000000001</v>
      </c>
      <c r="AL711" s="41">
        <v>2.371</v>
      </c>
      <c r="AM711" s="41">
        <v>2.343</v>
      </c>
      <c r="AN711" s="41">
        <v>2.3149999999999999</v>
      </c>
      <c r="AO711" s="41">
        <v>2.2970000000000002</v>
      </c>
      <c r="AP711" s="41">
        <v>2.2509999999999999</v>
      </c>
      <c r="AQ711" s="41">
        <v>2.2490000000000001</v>
      </c>
      <c r="AR711" s="41">
        <v>2.246</v>
      </c>
      <c r="AS711" s="41">
        <v>2.2109999999999999</v>
      </c>
      <c r="AT711" s="41">
        <v>2.2010000000000001</v>
      </c>
      <c r="AU711" s="41">
        <v>2.1909999999999998</v>
      </c>
      <c r="AV711" s="41"/>
      <c r="AW711" s="41"/>
      <c r="AX711" s="41"/>
      <c r="AY711" s="41"/>
      <c r="AZ711" s="41">
        <v>2.5459999999999998</v>
      </c>
      <c r="BA711" s="41"/>
      <c r="BB711" s="41">
        <v>2.6269999999999998</v>
      </c>
      <c r="BC711" s="41">
        <v>2.5924</v>
      </c>
      <c r="BD711" s="41">
        <v>2.6758999999999999</v>
      </c>
      <c r="BE711" s="41">
        <v>2.7258</v>
      </c>
      <c r="BF711" s="41">
        <v>2.7747999999999999</v>
      </c>
      <c r="BG711" s="41">
        <v>2.7961999999999998</v>
      </c>
      <c r="BH711" s="41"/>
      <c r="BI711" s="41">
        <v>2.8736000000000002</v>
      </c>
      <c r="BJ711" s="41"/>
      <c r="BK711" s="41"/>
      <c r="BL711" s="41"/>
      <c r="BM711" s="41"/>
      <c r="BN711" s="41">
        <f t="shared" si="12"/>
        <v>2.8736000000000002</v>
      </c>
    </row>
    <row r="712" spans="2:66" hidden="1" outlineLevel="1" x14ac:dyDescent="0.35">
      <c r="B712" s="41" t="s">
        <v>204</v>
      </c>
      <c r="C712" s="41" t="s">
        <v>92</v>
      </c>
      <c r="D712" s="41" t="s">
        <v>746</v>
      </c>
      <c r="E712" s="41" t="s">
        <v>745</v>
      </c>
      <c r="F712" s="41">
        <v>1.4E-2</v>
      </c>
      <c r="G712" s="41"/>
      <c r="H712" s="41"/>
      <c r="I712" s="41"/>
      <c r="J712" s="41"/>
      <c r="K712" s="41">
        <v>1.9E-2</v>
      </c>
      <c r="L712" s="41"/>
      <c r="M712" s="41"/>
      <c r="N712" s="41"/>
      <c r="O712" s="41"/>
      <c r="P712" s="41">
        <v>2.3E-2</v>
      </c>
      <c r="Q712" s="41"/>
      <c r="R712" s="41"/>
      <c r="S712" s="41"/>
      <c r="T712" s="41"/>
      <c r="U712" s="41">
        <v>2.3E-2</v>
      </c>
      <c r="V712" s="41"/>
      <c r="W712" s="41"/>
      <c r="X712" s="41"/>
      <c r="Y712" s="41"/>
      <c r="Z712" s="41">
        <v>3.9E-2</v>
      </c>
      <c r="AA712" s="41">
        <v>3.7999999999999999E-2</v>
      </c>
      <c r="AB712" s="41"/>
      <c r="AC712" s="41"/>
      <c r="AD712" s="41"/>
      <c r="AE712" s="41">
        <v>3.9E-2</v>
      </c>
      <c r="AF712" s="41"/>
      <c r="AG712" s="41">
        <v>4.2999999999999997E-2</v>
      </c>
      <c r="AH712" s="41">
        <v>5.3999999999999999E-2</v>
      </c>
      <c r="AI712" s="41"/>
      <c r="AJ712" s="41">
        <v>5.0999999999999997E-2</v>
      </c>
      <c r="AK712" s="41"/>
      <c r="AL712" s="41"/>
      <c r="AM712" s="41"/>
      <c r="AN712" s="41">
        <v>4.7E-2</v>
      </c>
      <c r="AO712" s="41">
        <v>4.2999999999999997E-2</v>
      </c>
      <c r="AP712" s="41">
        <v>6.3E-2</v>
      </c>
      <c r="AQ712" s="41"/>
      <c r="AR712" s="41"/>
      <c r="AS712" s="41"/>
      <c r="AT712" s="41">
        <v>4.3999999999999997E-2</v>
      </c>
      <c r="AU712" s="41"/>
      <c r="AV712" s="41"/>
      <c r="AW712" s="41"/>
      <c r="AX712" s="41">
        <v>8.5000000000000006E-2</v>
      </c>
      <c r="AY712" s="41"/>
      <c r="AZ712" s="41"/>
      <c r="BA712" s="41">
        <v>7.7499999999999999E-2</v>
      </c>
      <c r="BB712" s="41">
        <v>4.9000000000000002E-2</v>
      </c>
      <c r="BC712" s="41">
        <v>9.2200000000000004E-2</v>
      </c>
      <c r="BD712" s="41">
        <v>0.1019</v>
      </c>
      <c r="BE712" s="41">
        <v>0.10349999999999999</v>
      </c>
      <c r="BF712" s="41">
        <v>0.1069</v>
      </c>
      <c r="BG712" s="41"/>
      <c r="BH712" s="41"/>
      <c r="BI712" s="41"/>
      <c r="BJ712" s="41">
        <v>0.13930000000000001</v>
      </c>
      <c r="BK712" s="41"/>
      <c r="BL712" s="41"/>
      <c r="BM712" s="41"/>
      <c r="BN712" s="41">
        <f t="shared" si="12"/>
        <v>0.13930000000000001</v>
      </c>
    </row>
    <row r="713" spans="2:66" hidden="1" outlineLevel="1" x14ac:dyDescent="0.35">
      <c r="B713" s="41" t="s">
        <v>460</v>
      </c>
      <c r="C713" s="41" t="s">
        <v>93</v>
      </c>
      <c r="D713" s="41" t="s">
        <v>746</v>
      </c>
      <c r="E713" s="41" t="s">
        <v>745</v>
      </c>
      <c r="F713" s="41">
        <v>0.89100000000000001</v>
      </c>
      <c r="G713" s="41"/>
      <c r="H713" s="41"/>
      <c r="I713" s="41"/>
      <c r="J713" s="41"/>
      <c r="K713" s="41"/>
      <c r="L713" s="41"/>
      <c r="M713" s="41"/>
      <c r="N713" s="41"/>
      <c r="O713" s="41"/>
      <c r="P713" s="41">
        <v>1.0720000000000001</v>
      </c>
      <c r="Q713" s="41">
        <v>1.026</v>
      </c>
      <c r="R713" s="41"/>
      <c r="S713" s="41"/>
      <c r="T713" s="41"/>
      <c r="U713" s="41">
        <v>1.276</v>
      </c>
      <c r="V713" s="41"/>
      <c r="W713" s="41"/>
      <c r="X713" s="41"/>
      <c r="Y713" s="41"/>
      <c r="Z713" s="41"/>
      <c r="AA713" s="41">
        <v>1.1719999999999999</v>
      </c>
      <c r="AB713" s="41">
        <v>1.266</v>
      </c>
      <c r="AC713" s="41"/>
      <c r="AD713" s="41">
        <v>1.38</v>
      </c>
      <c r="AE713" s="41"/>
      <c r="AF713" s="41"/>
      <c r="AG713" s="41">
        <v>2.032</v>
      </c>
      <c r="AH713" s="41">
        <v>2.0150000000000001</v>
      </c>
      <c r="AI713" s="41">
        <v>1.9730000000000001</v>
      </c>
      <c r="AJ713" s="41">
        <v>2.2589999999999999</v>
      </c>
      <c r="AK713" s="41">
        <v>2.4460000000000002</v>
      </c>
      <c r="AL713" s="41">
        <v>2.4220000000000002</v>
      </c>
      <c r="AM713" s="41">
        <v>2.4529999999999998</v>
      </c>
      <c r="AN713" s="41"/>
      <c r="AO713" s="41"/>
      <c r="AP713" s="41"/>
      <c r="AQ713" s="41">
        <v>2.4649999999999999</v>
      </c>
      <c r="AR713" s="41">
        <v>2.6070000000000002</v>
      </c>
      <c r="AS713" s="41">
        <v>2.5910000000000002</v>
      </c>
      <c r="AT713" s="41">
        <v>2.6539999999999999</v>
      </c>
      <c r="AU713" s="41">
        <v>2.9260000000000002</v>
      </c>
      <c r="AV713" s="41"/>
      <c r="AW713" s="41">
        <v>3.1829999999999998</v>
      </c>
      <c r="AX713" s="41"/>
      <c r="AY713" s="41"/>
      <c r="AZ713" s="41">
        <v>3.88</v>
      </c>
      <c r="BA713" s="41">
        <v>3.351</v>
      </c>
      <c r="BB713" s="41"/>
      <c r="BC713" s="41">
        <v>3.073</v>
      </c>
      <c r="BD713" s="41">
        <v>3.0737999999999999</v>
      </c>
      <c r="BE713" s="41">
        <v>3.1524999999999999</v>
      </c>
      <c r="BF713" s="41">
        <v>3.2818000000000001</v>
      </c>
      <c r="BG713" s="41">
        <v>3.4641000000000002</v>
      </c>
      <c r="BH713" s="41">
        <v>3.6795</v>
      </c>
      <c r="BI713" s="41">
        <v>3.8260000000000001</v>
      </c>
      <c r="BJ713" s="41"/>
      <c r="BK713" s="41"/>
      <c r="BL713" s="41"/>
      <c r="BM713" s="41"/>
      <c r="BN713" s="41">
        <f t="shared" si="12"/>
        <v>3.8260000000000001</v>
      </c>
    </row>
    <row r="714" spans="2:66" hidden="1" outlineLevel="1" x14ac:dyDescent="0.35">
      <c r="B714" s="41" t="s">
        <v>244</v>
      </c>
      <c r="C714" s="41" t="s">
        <v>94</v>
      </c>
      <c r="D714" s="41" t="s">
        <v>746</v>
      </c>
      <c r="E714" s="41" t="s">
        <v>745</v>
      </c>
      <c r="F714" s="41">
        <v>6.5000000000000002E-2</v>
      </c>
      <c r="G714" s="41"/>
      <c r="H714" s="41"/>
      <c r="I714" s="41"/>
      <c r="J714" s="41"/>
      <c r="K714" s="41">
        <v>8.5000000000000006E-2</v>
      </c>
      <c r="L714" s="41"/>
      <c r="M714" s="41"/>
      <c r="N714" s="41"/>
      <c r="O714" s="41"/>
      <c r="P714" s="41">
        <v>0.114</v>
      </c>
      <c r="Q714" s="41"/>
      <c r="R714" s="41"/>
      <c r="S714" s="41"/>
      <c r="T714" s="41"/>
      <c r="U714" s="41"/>
      <c r="V714" s="41"/>
      <c r="W714" s="41"/>
      <c r="X714" s="41"/>
      <c r="Y714" s="41"/>
      <c r="Z714" s="41"/>
      <c r="AA714" s="41">
        <v>0.20300000000000001</v>
      </c>
      <c r="AB714" s="41"/>
      <c r="AC714" s="41"/>
      <c r="AD714" s="41"/>
      <c r="AE714" s="41">
        <v>0.27</v>
      </c>
      <c r="AF714" s="41"/>
      <c r="AG714" s="41"/>
      <c r="AH714" s="41"/>
      <c r="AI714" s="41">
        <v>8.1000000000000003E-2</v>
      </c>
      <c r="AJ714" s="41">
        <v>7.8E-2</v>
      </c>
      <c r="AK714" s="41"/>
      <c r="AL714" s="41"/>
      <c r="AM714" s="41"/>
      <c r="AN714" s="41"/>
      <c r="AO714" s="41">
        <v>0.29299999999999998</v>
      </c>
      <c r="AP714" s="41"/>
      <c r="AQ714" s="41"/>
      <c r="AR714" s="41"/>
      <c r="AS714" s="41">
        <v>0.29699999999999999</v>
      </c>
      <c r="AT714" s="41">
        <v>0.30199999999999999</v>
      </c>
      <c r="AU714" s="41"/>
      <c r="AV714" s="41"/>
      <c r="AW714" s="41"/>
      <c r="AX714" s="41">
        <v>0.37009999999999998</v>
      </c>
      <c r="AY714" s="41">
        <v>0.38329999999999997</v>
      </c>
      <c r="AZ714" s="41">
        <v>0.41970000000000002</v>
      </c>
      <c r="BA714" s="41">
        <v>0.44330000000000003</v>
      </c>
      <c r="BB714" s="41">
        <v>0.47920000000000001</v>
      </c>
      <c r="BC714" s="41">
        <v>0.49270000000000003</v>
      </c>
      <c r="BD714" s="41">
        <v>0.52710000000000001</v>
      </c>
      <c r="BE714" s="41">
        <v>0.5554</v>
      </c>
      <c r="BF714" s="41">
        <v>0.58509999999999995</v>
      </c>
      <c r="BG714" s="41"/>
      <c r="BH714" s="41"/>
      <c r="BI714" s="41"/>
      <c r="BJ714" s="41">
        <v>0.62139999999999995</v>
      </c>
      <c r="BK714" s="41">
        <v>0.86399999999999999</v>
      </c>
      <c r="BL714" s="41"/>
      <c r="BM714" s="41"/>
      <c r="BN714" s="41">
        <f t="shared" si="12"/>
        <v>0.86399999999999999</v>
      </c>
    </row>
    <row r="715" spans="2:66" hidden="1" outlineLevel="1" x14ac:dyDescent="0.35">
      <c r="B715" s="41" t="s">
        <v>467</v>
      </c>
      <c r="C715" s="41" t="s">
        <v>468</v>
      </c>
      <c r="D715" s="41" t="s">
        <v>746</v>
      </c>
      <c r="E715" s="41" t="s">
        <v>745</v>
      </c>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v>0.57490006051476839</v>
      </c>
      <c r="AK715" s="41"/>
      <c r="AL715" s="41"/>
      <c r="AM715" s="41"/>
      <c r="AN715" s="41"/>
      <c r="AO715" s="41"/>
      <c r="AP715" s="41"/>
      <c r="AQ715" s="41"/>
      <c r="AR715" s="41"/>
      <c r="AS715" s="41"/>
      <c r="AT715" s="41">
        <v>1.2214687489627283</v>
      </c>
      <c r="AU715" s="41"/>
      <c r="AV715" s="41"/>
      <c r="AW715" s="41"/>
      <c r="AX715" s="41"/>
      <c r="AY715" s="41"/>
      <c r="AZ715" s="41"/>
      <c r="BA715" s="41"/>
      <c r="BB715" s="41"/>
      <c r="BC715" s="41"/>
      <c r="BD715" s="41"/>
      <c r="BE715" s="41"/>
      <c r="BF715" s="41"/>
      <c r="BG715" s="41"/>
      <c r="BH715" s="41"/>
      <c r="BI715" s="41">
        <v>1.0694376664304048</v>
      </c>
      <c r="BJ715" s="41"/>
      <c r="BK715" s="41"/>
      <c r="BL715" s="41"/>
      <c r="BM715" s="41"/>
      <c r="BN715" s="41">
        <f t="shared" si="12"/>
        <v>1.0694376664304048</v>
      </c>
    </row>
    <row r="716" spans="2:66" hidden="1" outlineLevel="1" x14ac:dyDescent="0.35">
      <c r="B716" s="41" t="s">
        <v>475</v>
      </c>
      <c r="C716" s="41" t="s">
        <v>95</v>
      </c>
      <c r="D716" s="41" t="s">
        <v>746</v>
      </c>
      <c r="E716" s="41" t="s">
        <v>745</v>
      </c>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v>2.0299999999999998</v>
      </c>
      <c r="BA716" s="41">
        <v>1.986</v>
      </c>
      <c r="BB716" s="41"/>
      <c r="BC716" s="41">
        <v>2.0870000000000002</v>
      </c>
      <c r="BD716" s="41">
        <v>2.0310999999999999</v>
      </c>
      <c r="BE716" s="41">
        <v>2</v>
      </c>
      <c r="BF716" s="41">
        <v>2.0226999999999999</v>
      </c>
      <c r="BG716" s="41">
        <v>2.1335999999999999</v>
      </c>
      <c r="BH716" s="41">
        <v>2.1793999999999998</v>
      </c>
      <c r="BI716" s="41">
        <v>2.3336999999999999</v>
      </c>
      <c r="BJ716" s="41"/>
      <c r="BK716" s="41"/>
      <c r="BL716" s="41"/>
      <c r="BM716" s="41"/>
      <c r="BN716" s="41">
        <f t="shared" si="12"/>
        <v>2.3336999999999999</v>
      </c>
    </row>
    <row r="717" spans="2:66" hidden="1" outlineLevel="1" x14ac:dyDescent="0.35">
      <c r="B717" s="41" t="s">
        <v>250</v>
      </c>
      <c r="C717" s="41" t="s">
        <v>96</v>
      </c>
      <c r="D717" s="41" t="s">
        <v>746</v>
      </c>
      <c r="E717" s="41" t="s">
        <v>745</v>
      </c>
      <c r="F717" s="41">
        <v>0.91</v>
      </c>
      <c r="G717" s="41"/>
      <c r="H717" s="41"/>
      <c r="I717" s="41"/>
      <c r="J717" s="41"/>
      <c r="K717" s="41">
        <v>1.3779999999999999</v>
      </c>
      <c r="L717" s="41"/>
      <c r="M717" s="41"/>
      <c r="N717" s="41"/>
      <c r="O717" s="41"/>
      <c r="P717" s="41">
        <v>1.7290000000000001</v>
      </c>
      <c r="Q717" s="41"/>
      <c r="R717" s="41"/>
      <c r="S717" s="41"/>
      <c r="T717" s="41"/>
      <c r="U717" s="41"/>
      <c r="V717" s="41"/>
      <c r="W717" s="41"/>
      <c r="X717" s="41"/>
      <c r="Y717" s="41"/>
      <c r="Z717" s="41"/>
      <c r="AA717" s="41"/>
      <c r="AB717" s="41"/>
      <c r="AC717" s="41"/>
      <c r="AD717" s="41"/>
      <c r="AE717" s="41"/>
      <c r="AF717" s="41"/>
      <c r="AG717" s="41"/>
      <c r="AH717" s="41"/>
      <c r="AI717" s="41"/>
      <c r="AJ717" s="41">
        <v>2.5379999999999998</v>
      </c>
      <c r="AK717" s="41">
        <v>2.6949999999999998</v>
      </c>
      <c r="AL717" s="41">
        <v>2.6179999999999999</v>
      </c>
      <c r="AM717" s="41"/>
      <c r="AN717" s="41"/>
      <c r="AO717" s="41"/>
      <c r="AP717" s="41"/>
      <c r="AQ717" s="41"/>
      <c r="AR717" s="41">
        <v>2.4329999999999998</v>
      </c>
      <c r="AS717" s="41">
        <v>2.54</v>
      </c>
      <c r="AT717" s="41"/>
      <c r="AU717" s="41"/>
      <c r="AV717" s="41">
        <v>2.7547999999999999</v>
      </c>
      <c r="AW717" s="41"/>
      <c r="AX717" s="41"/>
      <c r="AY717" s="41"/>
      <c r="AZ717" s="41"/>
      <c r="BA717" s="41"/>
      <c r="BB717" s="41">
        <v>2.8856999999999999</v>
      </c>
      <c r="BC717" s="41">
        <v>2.6758999999999999</v>
      </c>
      <c r="BD717" s="41">
        <v>2.7637</v>
      </c>
      <c r="BE717" s="41">
        <v>2.8763000000000001</v>
      </c>
      <c r="BF717" s="41">
        <v>3.0548999999999999</v>
      </c>
      <c r="BG717" s="41">
        <v>3.1059000000000001</v>
      </c>
      <c r="BH717" s="41">
        <v>3.1806999999999999</v>
      </c>
      <c r="BI717" s="41">
        <v>3.2425999999999999</v>
      </c>
      <c r="BJ717" s="41">
        <v>2.8866000000000001</v>
      </c>
      <c r="BK717" s="41"/>
      <c r="BL717" s="41"/>
      <c r="BM717" s="41"/>
      <c r="BN717" s="41">
        <f t="shared" si="12"/>
        <v>2.8866000000000001</v>
      </c>
    </row>
    <row r="718" spans="2:66" hidden="1" outlineLevel="1" x14ac:dyDescent="0.35">
      <c r="B718" s="41" t="s">
        <v>485</v>
      </c>
      <c r="C718" s="41" t="s">
        <v>486</v>
      </c>
      <c r="D718" s="41" t="s">
        <v>746</v>
      </c>
      <c r="E718" s="41" t="s">
        <v>745</v>
      </c>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v>0.44500000000000001</v>
      </c>
      <c r="AT718" s="41"/>
      <c r="AU718" s="41"/>
      <c r="AV718" s="41"/>
      <c r="AW718" s="41"/>
      <c r="AX718" s="41"/>
      <c r="AY718" s="41"/>
      <c r="AZ718" s="41"/>
      <c r="BA718" s="41"/>
      <c r="BB718" s="41"/>
      <c r="BC718" s="41"/>
      <c r="BD718" s="41"/>
      <c r="BE718" s="41"/>
      <c r="BF718" s="41"/>
      <c r="BG718" s="41"/>
      <c r="BH718" s="41"/>
      <c r="BI718" s="41"/>
      <c r="BJ718" s="41"/>
      <c r="BK718" s="41"/>
      <c r="BL718" s="41"/>
      <c r="BM718" s="41"/>
      <c r="BN718" s="41">
        <f t="shared" si="12"/>
        <v>0.44500000000000001</v>
      </c>
    </row>
    <row r="719" spans="2:66" hidden="1" outlineLevel="1" x14ac:dyDescent="0.35">
      <c r="B719" s="41" t="s">
        <v>207</v>
      </c>
      <c r="C719" s="41" t="s">
        <v>97</v>
      </c>
      <c r="D719" s="41" t="s">
        <v>746</v>
      </c>
      <c r="E719" s="41" t="s">
        <v>745</v>
      </c>
      <c r="F719" s="41">
        <v>4.2999999999999997E-2</v>
      </c>
      <c r="G719" s="41"/>
      <c r="H719" s="41"/>
      <c r="I719" s="41"/>
      <c r="J719" s="41"/>
      <c r="K719" s="41">
        <v>5.6000000000000001E-2</v>
      </c>
      <c r="L719" s="41"/>
      <c r="M719" s="41"/>
      <c r="N719" s="41"/>
      <c r="O719" s="41"/>
      <c r="P719" s="41">
        <v>5.2999999999999999E-2</v>
      </c>
      <c r="Q719" s="41"/>
      <c r="R719" s="41"/>
      <c r="S719" s="41"/>
      <c r="T719" s="41"/>
      <c r="U719" s="41"/>
      <c r="V719" s="41"/>
      <c r="W719" s="41"/>
      <c r="X719" s="41"/>
      <c r="Y719" s="41"/>
      <c r="Z719" s="41">
        <v>2.5000000000000001E-2</v>
      </c>
      <c r="AA719" s="41">
        <v>2.7E-2</v>
      </c>
      <c r="AB719" s="41">
        <v>2.5999999999999999E-2</v>
      </c>
      <c r="AC719" s="41"/>
      <c r="AD719" s="41"/>
      <c r="AE719" s="41">
        <v>2.1000000000000001E-2</v>
      </c>
      <c r="AF719" s="41"/>
      <c r="AG719" s="41"/>
      <c r="AH719" s="41"/>
      <c r="AI719" s="41">
        <v>2.8000000000000001E-2</v>
      </c>
      <c r="AJ719" s="41">
        <v>1.2E-2</v>
      </c>
      <c r="AK719" s="41"/>
      <c r="AL719" s="41"/>
      <c r="AM719" s="41"/>
      <c r="AN719" s="41"/>
      <c r="AO719" s="41"/>
      <c r="AP719" s="41"/>
      <c r="AQ719" s="41"/>
      <c r="AR719" s="41"/>
      <c r="AS719" s="41"/>
      <c r="AT719" s="41">
        <v>2.4E-2</v>
      </c>
      <c r="AU719" s="41"/>
      <c r="AV719" s="41"/>
      <c r="AW719" s="41"/>
      <c r="AX719" s="41">
        <v>2.53E-2</v>
      </c>
      <c r="AY719" s="41"/>
      <c r="AZ719" s="41">
        <v>2.5399999999999999E-2</v>
      </c>
      <c r="BA719" s="41"/>
      <c r="BB719" s="41">
        <v>2.5999999999999999E-2</v>
      </c>
      <c r="BC719" s="41">
        <v>4.4299999999999999E-2</v>
      </c>
      <c r="BD719" s="41">
        <v>4.7300000000000002E-2</v>
      </c>
      <c r="BE719" s="41">
        <v>5.0799999999999998E-2</v>
      </c>
      <c r="BF719" s="41">
        <v>5.2900000000000003E-2</v>
      </c>
      <c r="BG719" s="41">
        <v>5.4899999999999997E-2</v>
      </c>
      <c r="BH719" s="41"/>
      <c r="BI719" s="41"/>
      <c r="BJ719" s="41"/>
      <c r="BK719" s="41">
        <v>7.3499999999999996E-2</v>
      </c>
      <c r="BL719" s="41"/>
      <c r="BM719" s="41"/>
      <c r="BN719" s="41">
        <f t="shared" si="12"/>
        <v>7.3499999999999996E-2</v>
      </c>
    </row>
    <row r="720" spans="2:66" hidden="1" outlineLevel="1" x14ac:dyDescent="0.35">
      <c r="B720" s="41" t="s">
        <v>205</v>
      </c>
      <c r="C720" s="41" t="s">
        <v>98</v>
      </c>
      <c r="D720" s="41" t="s">
        <v>746</v>
      </c>
      <c r="E720" s="41" t="s">
        <v>745</v>
      </c>
      <c r="F720" s="41">
        <v>2.4E-2</v>
      </c>
      <c r="G720" s="41"/>
      <c r="H720" s="41"/>
      <c r="I720" s="41"/>
      <c r="J720" s="41"/>
      <c r="K720" s="41">
        <v>2.7E-2</v>
      </c>
      <c r="L720" s="41"/>
      <c r="M720" s="41"/>
      <c r="N720" s="41"/>
      <c r="O720" s="41"/>
      <c r="P720" s="41">
        <v>5.6000000000000001E-2</v>
      </c>
      <c r="Q720" s="41"/>
      <c r="R720" s="41"/>
      <c r="S720" s="41"/>
      <c r="T720" s="41"/>
      <c r="U720" s="41">
        <v>5.5E-2</v>
      </c>
      <c r="V720" s="41"/>
      <c r="W720" s="41">
        <v>6.9000000000000006E-2</v>
      </c>
      <c r="X720" s="41"/>
      <c r="Y720" s="41"/>
      <c r="Z720" s="41"/>
      <c r="AA720" s="41"/>
      <c r="AB720" s="41"/>
      <c r="AC720" s="41"/>
      <c r="AD720" s="41">
        <v>8.3000000000000004E-2</v>
      </c>
      <c r="AE720" s="41">
        <v>0.113</v>
      </c>
      <c r="AF720" s="41"/>
      <c r="AG720" s="41"/>
      <c r="AH720" s="41"/>
      <c r="AI720" s="41"/>
      <c r="AJ720" s="41">
        <v>6.3E-2</v>
      </c>
      <c r="AK720" s="41"/>
      <c r="AL720" s="41"/>
      <c r="AM720" s="41">
        <v>6.3E-2</v>
      </c>
      <c r="AN720" s="41"/>
      <c r="AO720" s="41">
        <v>0.13800000000000001</v>
      </c>
      <c r="AP720" s="41"/>
      <c r="AQ720" s="41"/>
      <c r="AR720" s="41"/>
      <c r="AS720" s="41"/>
      <c r="AT720" s="41"/>
      <c r="AU720" s="41"/>
      <c r="AV720" s="41"/>
      <c r="AW720" s="41"/>
      <c r="AX720" s="41">
        <v>0.10290000000000001</v>
      </c>
      <c r="AY720" s="41"/>
      <c r="AZ720" s="41"/>
      <c r="BA720" s="41"/>
      <c r="BB720" s="41"/>
      <c r="BC720" s="41">
        <v>0.12690000000000001</v>
      </c>
      <c r="BD720" s="41">
        <v>0.1515</v>
      </c>
      <c r="BE720" s="41"/>
      <c r="BF720" s="41"/>
      <c r="BG720" s="41">
        <v>6.8000000000000005E-2</v>
      </c>
      <c r="BH720" s="41">
        <v>0.15310000000000001</v>
      </c>
      <c r="BI720" s="41">
        <v>0.16550000000000001</v>
      </c>
      <c r="BJ720" s="41"/>
      <c r="BK720" s="41">
        <v>0.17899999999999999</v>
      </c>
      <c r="BL720" s="41"/>
      <c r="BM720" s="41"/>
      <c r="BN720" s="41">
        <f t="shared" si="12"/>
        <v>0.17899999999999999</v>
      </c>
    </row>
    <row r="721" spans="2:66" hidden="1" outlineLevel="1" x14ac:dyDescent="0.35">
      <c r="B721" s="41" t="s">
        <v>206</v>
      </c>
      <c r="C721" s="41" t="s">
        <v>99</v>
      </c>
      <c r="D721" s="41" t="s">
        <v>746</v>
      </c>
      <c r="E721" s="41" t="s">
        <v>745</v>
      </c>
      <c r="F721" s="41">
        <v>0.215</v>
      </c>
      <c r="G721" s="41"/>
      <c r="H721" s="41"/>
      <c r="I721" s="41"/>
      <c r="J721" s="41"/>
      <c r="K721" s="41">
        <v>0.255</v>
      </c>
      <c r="L721" s="41"/>
      <c r="M721" s="41"/>
      <c r="N721" s="41"/>
      <c r="O721" s="41"/>
      <c r="P721" s="41">
        <v>0.24</v>
      </c>
      <c r="Q721" s="41"/>
      <c r="R721" s="41"/>
      <c r="S721" s="41"/>
      <c r="T721" s="41"/>
      <c r="U721" s="41">
        <v>0.23499999999999999</v>
      </c>
      <c r="V721" s="41"/>
      <c r="W721" s="41"/>
      <c r="X721" s="41"/>
      <c r="Y721" s="41"/>
      <c r="Z721" s="41">
        <v>0.52100000000000002</v>
      </c>
      <c r="AA721" s="41">
        <v>0.55200000000000005</v>
      </c>
      <c r="AB721" s="41"/>
      <c r="AC721" s="41"/>
      <c r="AD721" s="41"/>
      <c r="AE721" s="41">
        <v>0.52900000000000003</v>
      </c>
      <c r="AF721" s="41"/>
      <c r="AG721" s="41"/>
      <c r="AH721" s="41"/>
      <c r="AI721" s="41">
        <v>0.85799999999999998</v>
      </c>
      <c r="AJ721" s="41">
        <v>0.81100000000000005</v>
      </c>
      <c r="AK721" s="41">
        <v>0.83499999999999996</v>
      </c>
      <c r="AL721" s="41">
        <v>0.84699999999999998</v>
      </c>
      <c r="AM721" s="41">
        <v>0.84399999999999997</v>
      </c>
      <c r="AN721" s="41">
        <v>0.84499999999999997</v>
      </c>
      <c r="AO721" s="41">
        <v>0.85</v>
      </c>
      <c r="AP721" s="41"/>
      <c r="AQ721" s="41"/>
      <c r="AR721" s="41"/>
      <c r="AS721" s="41"/>
      <c r="AT721" s="41"/>
      <c r="AU721" s="41"/>
      <c r="AV721" s="41"/>
      <c r="AW721" s="41"/>
      <c r="AX721" s="41">
        <v>1.0718000000000001</v>
      </c>
      <c r="AY721" s="41"/>
      <c r="AZ721" s="41"/>
      <c r="BA721" s="41">
        <v>1.1549</v>
      </c>
      <c r="BB721" s="41">
        <v>1.17</v>
      </c>
      <c r="BC721" s="41">
        <v>1.1857</v>
      </c>
      <c r="BD721" s="41">
        <v>1.2019</v>
      </c>
      <c r="BE721" s="41">
        <v>1.4468000000000001</v>
      </c>
      <c r="BF721" s="41">
        <v>1.3738999999999999</v>
      </c>
      <c r="BG721" s="41">
        <v>1.6298999999999999</v>
      </c>
      <c r="BH721" s="41">
        <v>1.9320999999999999</v>
      </c>
      <c r="BI721" s="41">
        <v>2.0246</v>
      </c>
      <c r="BJ721" s="41"/>
      <c r="BK721" s="41"/>
      <c r="BL721" s="41"/>
      <c r="BM721" s="41"/>
      <c r="BN721" s="41">
        <f t="shared" si="12"/>
        <v>2.0246</v>
      </c>
    </row>
    <row r="722" spans="2:66" hidden="1" outlineLevel="1" x14ac:dyDescent="0.35">
      <c r="B722" s="41" t="s">
        <v>203</v>
      </c>
      <c r="C722" s="41" t="s">
        <v>100</v>
      </c>
      <c r="D722" s="41" t="s">
        <v>746</v>
      </c>
      <c r="E722" s="41" t="s">
        <v>745</v>
      </c>
      <c r="F722" s="41">
        <v>2.7E-2</v>
      </c>
      <c r="G722" s="41"/>
      <c r="H722" s="41"/>
      <c r="I722" s="41"/>
      <c r="J722" s="41"/>
      <c r="K722" s="41">
        <v>2.1000000000000001E-2</v>
      </c>
      <c r="L722" s="41"/>
      <c r="M722" s="41"/>
      <c r="N722" s="41"/>
      <c r="O722" s="41"/>
      <c r="P722" s="41">
        <v>1.2999999999999999E-2</v>
      </c>
      <c r="Q722" s="41"/>
      <c r="R722" s="41"/>
      <c r="S722" s="41"/>
      <c r="T722" s="41"/>
      <c r="U722" s="41"/>
      <c r="V722" s="41"/>
      <c r="W722" s="41"/>
      <c r="X722" s="41"/>
      <c r="Y722" s="41"/>
      <c r="Z722" s="41"/>
      <c r="AA722" s="41">
        <v>1.9E-2</v>
      </c>
      <c r="AB722" s="41"/>
      <c r="AC722" s="41"/>
      <c r="AD722" s="41">
        <v>8.6999999999999994E-2</v>
      </c>
      <c r="AE722" s="41"/>
      <c r="AF722" s="41"/>
      <c r="AG722" s="41"/>
      <c r="AH722" s="41"/>
      <c r="AI722" s="41">
        <v>2.3E-2</v>
      </c>
      <c r="AJ722" s="41">
        <v>2.1999999999999999E-2</v>
      </c>
      <c r="AK722" s="41"/>
      <c r="AL722" s="41"/>
      <c r="AM722" s="41">
        <v>2.8000000000000001E-2</v>
      </c>
      <c r="AN722" s="41"/>
      <c r="AO722" s="41"/>
      <c r="AP722" s="41"/>
      <c r="AQ722" s="41"/>
      <c r="AR722" s="41"/>
      <c r="AS722" s="41"/>
      <c r="AT722" s="41"/>
      <c r="AU722" s="41"/>
      <c r="AV722" s="41"/>
      <c r="AW722" s="41">
        <v>1.0999999999999999E-2</v>
      </c>
      <c r="AX722" s="41">
        <v>2.1000000000000001E-2</v>
      </c>
      <c r="AY722" s="41"/>
      <c r="AZ722" s="41"/>
      <c r="BA722" s="41"/>
      <c r="BB722" s="41">
        <v>1.7999999999999999E-2</v>
      </c>
      <c r="BC722" s="41">
        <v>1.7999999999999999E-2</v>
      </c>
      <c r="BD722" s="41">
        <v>1.9E-2</v>
      </c>
      <c r="BE722" s="41"/>
      <c r="BF722" s="41"/>
      <c r="BG722" s="41"/>
      <c r="BH722" s="41"/>
      <c r="BI722" s="41"/>
      <c r="BJ722" s="41">
        <v>1.5699999999999999E-2</v>
      </c>
      <c r="BK722" s="41"/>
      <c r="BL722" s="41"/>
      <c r="BM722" s="41"/>
      <c r="BN722" s="41">
        <f t="shared" si="12"/>
        <v>1.5699999999999999E-2</v>
      </c>
    </row>
    <row r="723" spans="2:66" hidden="1" outlineLevel="1" x14ac:dyDescent="0.35">
      <c r="B723" s="41" t="s">
        <v>459</v>
      </c>
      <c r="C723" s="41" t="s">
        <v>101</v>
      </c>
      <c r="D723" s="41" t="s">
        <v>746</v>
      </c>
      <c r="E723" s="41" t="s">
        <v>745</v>
      </c>
      <c r="F723" s="41">
        <v>0.14299999999999999</v>
      </c>
      <c r="G723" s="41"/>
      <c r="H723" s="41"/>
      <c r="I723" s="41"/>
      <c r="J723" s="41"/>
      <c r="K723" s="41">
        <v>0.161</v>
      </c>
      <c r="L723" s="41"/>
      <c r="M723" s="41"/>
      <c r="N723" s="41"/>
      <c r="O723" s="41"/>
      <c r="P723" s="41">
        <v>0.23200000000000001</v>
      </c>
      <c r="Q723" s="41"/>
      <c r="R723" s="41"/>
      <c r="S723" s="41"/>
      <c r="T723" s="41"/>
      <c r="U723" s="41">
        <v>0.23400000000000001</v>
      </c>
      <c r="V723" s="41"/>
      <c r="W723" s="41"/>
      <c r="X723" s="41"/>
      <c r="Y723" s="41"/>
      <c r="Z723" s="41">
        <v>0.255</v>
      </c>
      <c r="AA723" s="41">
        <v>0.255</v>
      </c>
      <c r="AB723" s="41"/>
      <c r="AC723" s="41"/>
      <c r="AD723" s="41"/>
      <c r="AE723" s="41">
        <v>0.315</v>
      </c>
      <c r="AF723" s="41">
        <v>0.33500000000000002</v>
      </c>
      <c r="AG723" s="41">
        <v>0.34799999999999998</v>
      </c>
      <c r="AH723" s="41">
        <v>0.36699999999999999</v>
      </c>
      <c r="AI723" s="41">
        <v>0.374</v>
      </c>
      <c r="AJ723" s="41">
        <v>0.39200000000000002</v>
      </c>
      <c r="AK723" s="41">
        <v>0.39300000000000002</v>
      </c>
      <c r="AL723" s="41">
        <v>0.41099999999999998</v>
      </c>
      <c r="AM723" s="41">
        <v>0.43099999999999999</v>
      </c>
      <c r="AN723" s="41">
        <v>0.44900000000000001</v>
      </c>
      <c r="AO723" s="41">
        <v>0.47799999999999998</v>
      </c>
      <c r="AP723" s="41">
        <v>0.496</v>
      </c>
      <c r="AQ723" s="41">
        <v>0.65800000000000003</v>
      </c>
      <c r="AR723" s="41"/>
      <c r="AS723" s="41">
        <v>0.68300000000000005</v>
      </c>
      <c r="AT723" s="41">
        <v>0.69640000000000002</v>
      </c>
      <c r="AU723" s="41"/>
      <c r="AV723" s="41">
        <v>0.70330000000000004</v>
      </c>
      <c r="AW723" s="41"/>
      <c r="AX723" s="41"/>
      <c r="AY723" s="41"/>
      <c r="AZ723" s="41"/>
      <c r="BA723" s="41"/>
      <c r="BB723" s="41">
        <v>0.92589999999999995</v>
      </c>
      <c r="BC723" s="41"/>
      <c r="BD723" s="41">
        <v>1.1731</v>
      </c>
      <c r="BE723" s="41">
        <v>1.2784</v>
      </c>
      <c r="BF723" s="41">
        <v>1.3272999999999999</v>
      </c>
      <c r="BG723" s="41"/>
      <c r="BH723" s="41"/>
      <c r="BI723" s="41">
        <v>1.5132000000000001</v>
      </c>
      <c r="BJ723" s="41"/>
      <c r="BK723" s="41"/>
      <c r="BL723" s="41"/>
      <c r="BM723" s="41"/>
      <c r="BN723" s="41">
        <f t="shared" si="12"/>
        <v>1.5132000000000001</v>
      </c>
    </row>
    <row r="724" spans="2:66" hidden="1" outlineLevel="1" x14ac:dyDescent="0.35">
      <c r="B724" s="41" t="s">
        <v>481</v>
      </c>
      <c r="C724" s="41" t="s">
        <v>482</v>
      </c>
      <c r="D724" s="41" t="s">
        <v>746</v>
      </c>
      <c r="E724" s="41" t="s">
        <v>745</v>
      </c>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v>1.8299564294121926</v>
      </c>
      <c r="AK724" s="41"/>
      <c r="AL724" s="41"/>
      <c r="AM724" s="41"/>
      <c r="AN724" s="41"/>
      <c r="AO724" s="41"/>
      <c r="AP724" s="41"/>
      <c r="AQ724" s="41"/>
      <c r="AR724" s="41"/>
      <c r="AS724" s="41"/>
      <c r="AT724" s="41">
        <v>2.5225892637530483</v>
      </c>
      <c r="AU724" s="41"/>
      <c r="AV724" s="41"/>
      <c r="AW724" s="41"/>
      <c r="AX724" s="41"/>
      <c r="AY724" s="41"/>
      <c r="AZ724" s="41"/>
      <c r="BA724" s="41"/>
      <c r="BB724" s="41"/>
      <c r="BC724" s="41"/>
      <c r="BD724" s="41"/>
      <c r="BE724" s="41"/>
      <c r="BF724" s="41"/>
      <c r="BG724" s="41"/>
      <c r="BH724" s="41"/>
      <c r="BI724" s="41">
        <v>2.5963425209695612</v>
      </c>
      <c r="BJ724" s="41"/>
      <c r="BK724" s="41"/>
      <c r="BL724" s="41"/>
      <c r="BM724" s="41"/>
      <c r="BN724" s="41">
        <f t="shared" si="12"/>
        <v>2.5963425209695612</v>
      </c>
    </row>
    <row r="725" spans="2:66" hidden="1" outlineLevel="1" x14ac:dyDescent="0.35">
      <c r="B725" s="41" t="s">
        <v>208</v>
      </c>
      <c r="C725" s="41" t="s">
        <v>102</v>
      </c>
      <c r="D725" s="41" t="s">
        <v>746</v>
      </c>
      <c r="E725" s="41" t="s">
        <v>745</v>
      </c>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v>0.23100000000000001</v>
      </c>
      <c r="AL725" s="41">
        <v>0.23200000000000001</v>
      </c>
      <c r="AM725" s="41"/>
      <c r="AN725" s="41"/>
      <c r="AO725" s="41"/>
      <c r="AP725" s="41"/>
      <c r="AQ725" s="41">
        <v>0.29499999999999998</v>
      </c>
      <c r="AR725" s="41"/>
      <c r="AS725" s="41"/>
      <c r="AT725" s="41"/>
      <c r="AU725" s="41"/>
      <c r="AV725" s="41"/>
      <c r="AW725" s="41"/>
      <c r="AX725" s="41">
        <v>0.29759999999999998</v>
      </c>
      <c r="AY725" s="41"/>
      <c r="AZ725" s="41"/>
      <c r="BA725" s="41">
        <v>0.37209999999999999</v>
      </c>
      <c r="BB725" s="41"/>
      <c r="BC725" s="41"/>
      <c r="BD725" s="41">
        <v>0.374</v>
      </c>
      <c r="BE725" s="41"/>
      <c r="BF725" s="41"/>
      <c r="BG725" s="41"/>
      <c r="BH725" s="41"/>
      <c r="BI725" s="41"/>
      <c r="BJ725" s="41"/>
      <c r="BK725" s="41"/>
      <c r="BL725" s="41"/>
      <c r="BM725" s="41"/>
      <c r="BN725" s="41">
        <f t="shared" si="12"/>
        <v>0.374</v>
      </c>
    </row>
    <row r="726" spans="2:66" hidden="1" outlineLevel="1" x14ac:dyDescent="0.35">
      <c r="B726" s="41" t="s">
        <v>478</v>
      </c>
      <c r="C726" s="41" t="s">
        <v>479</v>
      </c>
      <c r="D726" s="41" t="s">
        <v>746</v>
      </c>
      <c r="E726" s="41" t="s">
        <v>745</v>
      </c>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v>0.65300000000000002</v>
      </c>
      <c r="AD726" s="41"/>
      <c r="AE726" s="41"/>
      <c r="AF726" s="41"/>
      <c r="AG726" s="41"/>
      <c r="AH726" s="41"/>
      <c r="AI726" s="41"/>
      <c r="AJ726" s="41"/>
      <c r="AK726" s="41"/>
      <c r="AL726" s="41"/>
      <c r="AM726" s="41"/>
      <c r="AN726" s="41"/>
      <c r="AO726" s="41"/>
      <c r="AP726" s="41"/>
      <c r="AQ726" s="41"/>
      <c r="AR726" s="41"/>
      <c r="AS726" s="41">
        <v>1.982</v>
      </c>
      <c r="AT726" s="41"/>
      <c r="AU726" s="41"/>
      <c r="AV726" s="41"/>
      <c r="AW726" s="41"/>
      <c r="AX726" s="41"/>
      <c r="AY726" s="41"/>
      <c r="AZ726" s="41"/>
      <c r="BA726" s="41"/>
      <c r="BB726" s="41"/>
      <c r="BC726" s="41"/>
      <c r="BD726" s="41"/>
      <c r="BE726" s="41"/>
      <c r="BF726" s="41"/>
      <c r="BG726" s="41"/>
      <c r="BH726" s="41"/>
      <c r="BI726" s="41"/>
      <c r="BJ726" s="41"/>
      <c r="BK726" s="41"/>
      <c r="BL726" s="41"/>
      <c r="BM726" s="41"/>
      <c r="BN726" s="41">
        <f t="shared" si="12"/>
        <v>1.982</v>
      </c>
    </row>
    <row r="727" spans="2:66" hidden="1" outlineLevel="1" x14ac:dyDescent="0.35">
      <c r="B727" s="41" t="s">
        <v>209</v>
      </c>
      <c r="C727" s="41" t="s">
        <v>103</v>
      </c>
      <c r="D727" s="41" t="s">
        <v>746</v>
      </c>
      <c r="E727" s="41" t="s">
        <v>745</v>
      </c>
      <c r="F727" s="41">
        <v>1.0999999999999999E-2</v>
      </c>
      <c r="G727" s="41"/>
      <c r="H727" s="41"/>
      <c r="I727" s="41"/>
      <c r="J727" s="41"/>
      <c r="K727" s="41">
        <v>1.6E-2</v>
      </c>
      <c r="L727" s="41"/>
      <c r="M727" s="41"/>
      <c r="N727" s="41"/>
      <c r="O727" s="41"/>
      <c r="P727" s="41">
        <v>1.7000000000000001E-2</v>
      </c>
      <c r="Q727" s="41"/>
      <c r="R727" s="41"/>
      <c r="S727" s="41"/>
      <c r="T727" s="41"/>
      <c r="U727" s="41">
        <v>1.6E-2</v>
      </c>
      <c r="V727" s="41"/>
      <c r="W727" s="41"/>
      <c r="X727" s="41"/>
      <c r="Y727" s="41"/>
      <c r="Z727" s="41"/>
      <c r="AA727" s="41"/>
      <c r="AB727" s="41"/>
      <c r="AC727" s="41"/>
      <c r="AD727" s="41">
        <v>2.5000000000000001E-2</v>
      </c>
      <c r="AE727" s="41"/>
      <c r="AF727" s="41"/>
      <c r="AG727" s="41"/>
      <c r="AH727" s="41"/>
      <c r="AI727" s="41"/>
      <c r="AJ727" s="41">
        <v>1.7999999999999999E-2</v>
      </c>
      <c r="AK727" s="41"/>
      <c r="AL727" s="41">
        <v>2.7E-2</v>
      </c>
      <c r="AM727" s="41"/>
      <c r="AN727" s="41">
        <v>2.3E-2</v>
      </c>
      <c r="AO727" s="41"/>
      <c r="AP727" s="41">
        <v>2.4E-2</v>
      </c>
      <c r="AQ727" s="41">
        <v>3.5000000000000003E-2</v>
      </c>
      <c r="AR727" s="41">
        <v>3.3000000000000002E-2</v>
      </c>
      <c r="AS727" s="41"/>
      <c r="AT727" s="41"/>
      <c r="AU727" s="41"/>
      <c r="AV727" s="41">
        <v>3.3000000000000002E-2</v>
      </c>
      <c r="AW727" s="41"/>
      <c r="AX727" s="41">
        <v>2.2499999999999999E-2</v>
      </c>
      <c r="AY727" s="41"/>
      <c r="AZ727" s="41"/>
      <c r="BA727" s="41"/>
      <c r="BB727" s="41">
        <v>1.89E-2</v>
      </c>
      <c r="BC727" s="41">
        <v>2.7799999999999998E-2</v>
      </c>
      <c r="BD727" s="41">
        <v>1.9E-2</v>
      </c>
      <c r="BE727" s="41"/>
      <c r="BF727" s="41"/>
      <c r="BG727" s="41">
        <v>5.1299999999999998E-2</v>
      </c>
      <c r="BH727" s="41">
        <v>0.05</v>
      </c>
      <c r="BI727" s="41"/>
      <c r="BJ727" s="41"/>
      <c r="BK727" s="41"/>
      <c r="BL727" s="41"/>
      <c r="BM727" s="41"/>
      <c r="BN727" s="41">
        <f t="shared" si="12"/>
        <v>0.05</v>
      </c>
    </row>
    <row r="728" spans="2:66" hidden="1" outlineLevel="1" x14ac:dyDescent="0.35">
      <c r="B728" s="41" t="s">
        <v>177</v>
      </c>
      <c r="C728" s="41" t="s">
        <v>104</v>
      </c>
      <c r="D728" s="41" t="s">
        <v>746</v>
      </c>
      <c r="E728" s="41" t="s">
        <v>745</v>
      </c>
      <c r="F728" s="41">
        <v>1.7000000000000001E-2</v>
      </c>
      <c r="G728" s="41"/>
      <c r="H728" s="41"/>
      <c r="I728" s="41"/>
      <c r="J728" s="41"/>
      <c r="K728" s="41">
        <v>4.2999999999999997E-2</v>
      </c>
      <c r="L728" s="41"/>
      <c r="M728" s="41"/>
      <c r="N728" s="41"/>
      <c r="O728" s="41"/>
      <c r="P728" s="41">
        <v>0.05</v>
      </c>
      <c r="Q728" s="41"/>
      <c r="R728" s="41"/>
      <c r="S728" s="41"/>
      <c r="T728" s="41"/>
      <c r="U728" s="41">
        <v>4.9000000000000002E-2</v>
      </c>
      <c r="V728" s="41"/>
      <c r="W728" s="41"/>
      <c r="X728" s="41"/>
      <c r="Y728" s="41"/>
      <c r="Z728" s="41">
        <v>0.113</v>
      </c>
      <c r="AA728" s="41"/>
      <c r="AB728" s="41">
        <v>0.14899999999999999</v>
      </c>
      <c r="AC728" s="41"/>
      <c r="AD728" s="41"/>
      <c r="AE728" s="41">
        <v>0.192</v>
      </c>
      <c r="AF728" s="41">
        <v>0.187</v>
      </c>
      <c r="AG728" s="41"/>
      <c r="AH728" s="41"/>
      <c r="AI728" s="41">
        <v>0.192</v>
      </c>
      <c r="AJ728" s="41"/>
      <c r="AK728" s="41"/>
      <c r="AL728" s="41">
        <v>0.185</v>
      </c>
      <c r="AM728" s="41">
        <v>0.192</v>
      </c>
      <c r="AN728" s="41"/>
      <c r="AO728" s="41"/>
      <c r="AP728" s="41"/>
      <c r="AQ728" s="41"/>
      <c r="AR728" s="41"/>
      <c r="AS728" s="41"/>
      <c r="AT728" s="41">
        <v>0.26900000000000002</v>
      </c>
      <c r="AU728" s="41"/>
      <c r="AV728" s="41"/>
      <c r="AW728" s="41">
        <v>0.2646</v>
      </c>
      <c r="AX728" s="41"/>
      <c r="AY728" s="41">
        <v>0.28220000000000001</v>
      </c>
      <c r="AZ728" s="41">
        <v>0.34789999999999999</v>
      </c>
      <c r="BA728" s="41">
        <v>0.37819999999999998</v>
      </c>
      <c r="BB728" s="41">
        <v>0.376</v>
      </c>
      <c r="BC728" s="41">
        <v>0.378</v>
      </c>
      <c r="BD728" s="41">
        <v>0.18360000000000001</v>
      </c>
      <c r="BE728" s="41"/>
      <c r="BF728" s="41"/>
      <c r="BG728" s="41">
        <v>0.38269999999999998</v>
      </c>
      <c r="BH728" s="41"/>
      <c r="BI728" s="41"/>
      <c r="BJ728" s="41"/>
      <c r="BK728" s="41"/>
      <c r="BL728" s="41"/>
      <c r="BM728" s="41"/>
      <c r="BN728" s="41">
        <f t="shared" si="12"/>
        <v>0.38269999999999998</v>
      </c>
    </row>
    <row r="729" spans="2:66" hidden="1" outlineLevel="1" x14ac:dyDescent="0.35">
      <c r="B729" s="41" t="s">
        <v>227</v>
      </c>
      <c r="C729" s="41" t="s">
        <v>105</v>
      </c>
      <c r="D729" s="41" t="s">
        <v>746</v>
      </c>
      <c r="E729" s="41" t="s">
        <v>745</v>
      </c>
      <c r="F729" s="41">
        <v>0.34</v>
      </c>
      <c r="G729" s="41"/>
      <c r="H729" s="41"/>
      <c r="I729" s="41"/>
      <c r="J729" s="41"/>
      <c r="K729" s="41">
        <v>0.378</v>
      </c>
      <c r="L729" s="41"/>
      <c r="M729" s="41"/>
      <c r="N729" s="41"/>
      <c r="O729" s="41"/>
      <c r="P729" s="41">
        <v>0.45300000000000001</v>
      </c>
      <c r="Q729" s="41"/>
      <c r="R729" s="41"/>
      <c r="S729" s="41"/>
      <c r="T729" s="41"/>
      <c r="U729" s="41">
        <v>0.46</v>
      </c>
      <c r="V729" s="41"/>
      <c r="W729" s="41"/>
      <c r="X729" s="41"/>
      <c r="Y729" s="41"/>
      <c r="Z729" s="41">
        <v>0.41599999999999998</v>
      </c>
      <c r="AA729" s="41">
        <v>0.42599999999999999</v>
      </c>
      <c r="AB729" s="41"/>
      <c r="AC729" s="41"/>
      <c r="AD729" s="41">
        <v>0.63700000000000001</v>
      </c>
      <c r="AE729" s="41"/>
      <c r="AF729" s="41"/>
      <c r="AG729" s="41"/>
      <c r="AH729" s="41">
        <v>0.47099999999999997</v>
      </c>
      <c r="AI729" s="41"/>
      <c r="AJ729" s="41">
        <v>0.65700000000000003</v>
      </c>
      <c r="AK729" s="41"/>
      <c r="AL729" s="41"/>
      <c r="AM729" s="41"/>
      <c r="AN729" s="41"/>
      <c r="AO729" s="41">
        <v>0.82</v>
      </c>
      <c r="AP729" s="41"/>
      <c r="AQ729" s="41">
        <v>0.85599999999999998</v>
      </c>
      <c r="AR729" s="41"/>
      <c r="AS729" s="41"/>
      <c r="AT729" s="41"/>
      <c r="AU729" s="41"/>
      <c r="AV729" s="41"/>
      <c r="AW729" s="41">
        <v>0.39019999999999999</v>
      </c>
      <c r="AX729" s="41"/>
      <c r="AY729" s="41">
        <v>0.50509999999999999</v>
      </c>
      <c r="AZ729" s="41">
        <v>0.49809999999999999</v>
      </c>
      <c r="BA729" s="41">
        <v>0.53290000000000004</v>
      </c>
      <c r="BB729" s="41">
        <v>0.65710000000000002</v>
      </c>
      <c r="BC729" s="41">
        <v>0.71289999999999998</v>
      </c>
      <c r="BD729" s="41">
        <v>0.73880000000000001</v>
      </c>
      <c r="BE729" s="41">
        <v>0.82699999999999996</v>
      </c>
      <c r="BF729" s="41">
        <v>0.87590000000000001</v>
      </c>
      <c r="BG729" s="41">
        <v>0.91579999999999995</v>
      </c>
      <c r="BH729" s="41">
        <v>0.91369999999999996</v>
      </c>
      <c r="BI729" s="41"/>
      <c r="BJ729" s="41"/>
      <c r="BK729" s="41"/>
      <c r="BL729" s="41">
        <v>1.0056</v>
      </c>
      <c r="BM729" s="41"/>
      <c r="BN729" s="41">
        <f t="shared" si="12"/>
        <v>1.0056</v>
      </c>
    </row>
    <row r="730" spans="2:66" hidden="1" outlineLevel="1" x14ac:dyDescent="0.35">
      <c r="B730" s="41" t="s">
        <v>477</v>
      </c>
      <c r="C730" s="41" t="s">
        <v>106</v>
      </c>
      <c r="D730" s="41" t="s">
        <v>746</v>
      </c>
      <c r="E730" s="41" t="s">
        <v>745</v>
      </c>
      <c r="F730" s="41">
        <v>1.1000000000000001</v>
      </c>
      <c r="G730" s="41">
        <v>1.1000000000000001</v>
      </c>
      <c r="H730" s="41">
        <v>1.1000000000000001</v>
      </c>
      <c r="I730" s="41">
        <v>1.1000000000000001</v>
      </c>
      <c r="J730" s="41">
        <v>1.1000000000000001</v>
      </c>
      <c r="K730" s="41">
        <v>1.2</v>
      </c>
      <c r="L730" s="41">
        <v>1.2</v>
      </c>
      <c r="M730" s="41">
        <v>1.2</v>
      </c>
      <c r="N730" s="41">
        <v>1.2</v>
      </c>
      <c r="O730" s="41">
        <v>1.2</v>
      </c>
      <c r="P730" s="41">
        <v>1.2</v>
      </c>
      <c r="Q730" s="41">
        <v>1.3</v>
      </c>
      <c r="R730" s="41">
        <v>1.4</v>
      </c>
      <c r="S730" s="41">
        <v>1.4</v>
      </c>
      <c r="T730" s="41">
        <v>1.5</v>
      </c>
      <c r="U730" s="41">
        <v>1.6</v>
      </c>
      <c r="V730" s="41">
        <v>1.7</v>
      </c>
      <c r="W730" s="41">
        <v>1.7</v>
      </c>
      <c r="X730" s="41">
        <v>1.8</v>
      </c>
      <c r="Y730" s="41">
        <v>1.8</v>
      </c>
      <c r="Z730" s="41">
        <v>1.9</v>
      </c>
      <c r="AA730" s="41">
        <v>2</v>
      </c>
      <c r="AB730" s="41">
        <v>2</v>
      </c>
      <c r="AC730" s="41">
        <v>2.1</v>
      </c>
      <c r="AD730" s="41">
        <v>2.2000000000000002</v>
      </c>
      <c r="AE730" s="41">
        <v>2.2000000000000002</v>
      </c>
      <c r="AF730" s="41">
        <v>2.2999999999999998</v>
      </c>
      <c r="AG730" s="41">
        <v>2.4</v>
      </c>
      <c r="AH730" s="41">
        <v>2.4</v>
      </c>
      <c r="AI730" s="41">
        <v>2.4</v>
      </c>
      <c r="AJ730" s="41">
        <v>2.5</v>
      </c>
      <c r="AK730" s="41">
        <v>2.6</v>
      </c>
      <c r="AL730" s="41"/>
      <c r="AM730" s="41"/>
      <c r="AN730" s="41"/>
      <c r="AO730" s="41"/>
      <c r="AP730" s="41"/>
      <c r="AQ730" s="41"/>
      <c r="AR730" s="41">
        <v>2.9</v>
      </c>
      <c r="AS730" s="41">
        <v>3.1</v>
      </c>
      <c r="AT730" s="41">
        <v>3.2</v>
      </c>
      <c r="AU730" s="41">
        <v>3.3</v>
      </c>
      <c r="AV730" s="41">
        <v>3.1</v>
      </c>
      <c r="AW730" s="41">
        <v>3.149</v>
      </c>
      <c r="AX730" s="41"/>
      <c r="AY730" s="41">
        <v>3.71</v>
      </c>
      <c r="AZ730" s="41"/>
      <c r="BA730" s="41">
        <v>3.9209999999999998</v>
      </c>
      <c r="BB730" s="41"/>
      <c r="BC730" s="41"/>
      <c r="BD730" s="41">
        <v>2.9516</v>
      </c>
      <c r="BE730" s="41">
        <v>3.1244999999999998</v>
      </c>
      <c r="BF730" s="41">
        <v>3.2467999999999999</v>
      </c>
      <c r="BG730" s="41">
        <v>3.3065000000000002</v>
      </c>
      <c r="BH730" s="41">
        <v>3.42</v>
      </c>
      <c r="BI730" s="41">
        <v>3.4874999999999998</v>
      </c>
      <c r="BJ730" s="41">
        <v>3.5066999999999999</v>
      </c>
      <c r="BK730" s="41"/>
      <c r="BL730" s="41"/>
      <c r="BM730" s="41"/>
      <c r="BN730" s="41">
        <f t="shared" si="12"/>
        <v>3.5066999999999999</v>
      </c>
    </row>
    <row r="731" spans="2:66" hidden="1" outlineLevel="1" x14ac:dyDescent="0.35">
      <c r="B731" s="41" t="s">
        <v>487</v>
      </c>
      <c r="C731" s="41" t="s">
        <v>107</v>
      </c>
      <c r="D731" s="41" t="s">
        <v>746</v>
      </c>
      <c r="E731" s="41" t="s">
        <v>745</v>
      </c>
      <c r="F731" s="41">
        <v>1.2</v>
      </c>
      <c r="G731" s="41"/>
      <c r="H731" s="41">
        <v>1.2</v>
      </c>
      <c r="I731" s="41">
        <v>1.1000000000000001</v>
      </c>
      <c r="J731" s="41">
        <v>1.2</v>
      </c>
      <c r="K731" s="41">
        <v>1.3</v>
      </c>
      <c r="L731" s="41">
        <v>1.3</v>
      </c>
      <c r="M731" s="41">
        <v>1.3</v>
      </c>
      <c r="N731" s="41">
        <v>1.4</v>
      </c>
      <c r="O731" s="41">
        <v>1.4</v>
      </c>
      <c r="P731" s="41">
        <v>1.4</v>
      </c>
      <c r="Q731" s="41">
        <v>1.5</v>
      </c>
      <c r="R731" s="41">
        <v>1.5</v>
      </c>
      <c r="S731" s="41">
        <v>1.6</v>
      </c>
      <c r="T731" s="41">
        <v>1.7</v>
      </c>
      <c r="U731" s="41">
        <v>1.7</v>
      </c>
      <c r="V731" s="41">
        <v>1.8</v>
      </c>
      <c r="W731" s="41">
        <v>1.9</v>
      </c>
      <c r="X731" s="41">
        <v>1.9</v>
      </c>
      <c r="Y731" s="41">
        <v>1.9</v>
      </c>
      <c r="Z731" s="41">
        <v>2</v>
      </c>
      <c r="AA731" s="41">
        <v>2</v>
      </c>
      <c r="AB731" s="41">
        <v>2.1</v>
      </c>
      <c r="AC731" s="41">
        <v>2.1</v>
      </c>
      <c r="AD731" s="41">
        <v>2.2000000000000002</v>
      </c>
      <c r="AE731" s="41">
        <v>2.2000000000000002</v>
      </c>
      <c r="AF731" s="41">
        <v>2.2999999999999998</v>
      </c>
      <c r="AG731" s="41">
        <v>2.5</v>
      </c>
      <c r="AH731" s="41"/>
      <c r="AI731" s="41"/>
      <c r="AJ731" s="41"/>
      <c r="AK731" s="41">
        <v>2.6</v>
      </c>
      <c r="AL731" s="41">
        <v>2.6</v>
      </c>
      <c r="AM731" s="41">
        <v>2.6</v>
      </c>
      <c r="AN731" s="41">
        <v>2.7</v>
      </c>
      <c r="AO731" s="41">
        <v>2.8</v>
      </c>
      <c r="AP731" s="41">
        <v>2.8</v>
      </c>
      <c r="AQ731" s="41">
        <v>2.5</v>
      </c>
      <c r="AR731" s="41">
        <v>2.7</v>
      </c>
      <c r="AS731" s="41">
        <v>2.8</v>
      </c>
      <c r="AT731" s="41">
        <v>2.9</v>
      </c>
      <c r="AU731" s="41">
        <v>3</v>
      </c>
      <c r="AV731" s="41">
        <v>3.1</v>
      </c>
      <c r="AW731" s="41">
        <v>3.1</v>
      </c>
      <c r="AX731" s="41"/>
      <c r="AY731" s="41"/>
      <c r="AZ731" s="41">
        <v>3.77</v>
      </c>
      <c r="BA731" s="41">
        <v>3.8889999999999998</v>
      </c>
      <c r="BB731" s="41">
        <v>4.0759999999999996</v>
      </c>
      <c r="BC731" s="41">
        <v>4.056</v>
      </c>
      <c r="BD731" s="41">
        <v>4.1166999999999998</v>
      </c>
      <c r="BE731" s="41">
        <v>4.1927000000000003</v>
      </c>
      <c r="BF731" s="41">
        <v>4.2374000000000001</v>
      </c>
      <c r="BG731" s="41">
        <v>4.3083999999999998</v>
      </c>
      <c r="BH731" s="41">
        <v>4.4265999999999996</v>
      </c>
      <c r="BI731" s="41">
        <v>4.3940000000000001</v>
      </c>
      <c r="BJ731" s="41">
        <v>4.4947999999999997</v>
      </c>
      <c r="BK731" s="41">
        <v>4.6336000000000004</v>
      </c>
      <c r="BL731" s="41"/>
      <c r="BM731" s="41"/>
      <c r="BN731" s="41">
        <f t="shared" si="12"/>
        <v>4.6336000000000004</v>
      </c>
    </row>
    <row r="732" spans="2:66" hidden="1" outlineLevel="1" x14ac:dyDescent="0.35">
      <c r="B732" s="41" t="s">
        <v>179</v>
      </c>
      <c r="C732" s="41" t="s">
        <v>108</v>
      </c>
      <c r="D732" s="41" t="s">
        <v>746</v>
      </c>
      <c r="E732" s="41" t="s">
        <v>745</v>
      </c>
      <c r="F732" s="41">
        <v>1.2999999999999999E-2</v>
      </c>
      <c r="G732" s="41"/>
      <c r="H732" s="41"/>
      <c r="I732" s="41"/>
      <c r="J732" s="41"/>
      <c r="K732" s="41">
        <v>2.1000000000000001E-2</v>
      </c>
      <c r="L732" s="41"/>
      <c r="M732" s="41"/>
      <c r="N732" s="41"/>
      <c r="O732" s="41"/>
      <c r="P732" s="41">
        <v>1.9E-2</v>
      </c>
      <c r="Q732" s="41"/>
      <c r="R732" s="41"/>
      <c r="S732" s="41"/>
      <c r="T732" s="41"/>
      <c r="U732" s="41">
        <v>1.9E-2</v>
      </c>
      <c r="V732" s="41"/>
      <c r="W732" s="41"/>
      <c r="X732" s="41"/>
      <c r="Y732" s="41"/>
      <c r="Z732" s="41">
        <v>3.4000000000000002E-2</v>
      </c>
      <c r="AA732" s="41"/>
      <c r="AB732" s="41"/>
      <c r="AC732" s="41"/>
      <c r="AD732" s="41">
        <v>3.1E-2</v>
      </c>
      <c r="AE732" s="41">
        <v>3.4000000000000002E-2</v>
      </c>
      <c r="AF732" s="41"/>
      <c r="AG732" s="41">
        <v>5.0999999999999997E-2</v>
      </c>
      <c r="AH732" s="41">
        <v>5.0999999999999997E-2</v>
      </c>
      <c r="AI732" s="41">
        <v>5.3999999999999999E-2</v>
      </c>
      <c r="AJ732" s="41">
        <v>5.0999999999999997E-2</v>
      </c>
      <c r="AK732" s="41">
        <v>6.2E-2</v>
      </c>
      <c r="AL732" s="41">
        <v>7.5999999999999998E-2</v>
      </c>
      <c r="AM732" s="41">
        <v>7.3999999999999996E-2</v>
      </c>
      <c r="AN732" s="41"/>
      <c r="AO732" s="41">
        <v>0.04</v>
      </c>
      <c r="AP732" s="41">
        <v>0.04</v>
      </c>
      <c r="AQ732" s="41">
        <v>0.04</v>
      </c>
      <c r="AR732" s="41">
        <v>0.04</v>
      </c>
      <c r="AS732" s="41"/>
      <c r="AT732" s="41"/>
      <c r="AU732" s="41">
        <v>5.1999999999999998E-2</v>
      </c>
      <c r="AV732" s="41"/>
      <c r="AW732" s="41"/>
      <c r="AX732" s="41">
        <v>0.2127</v>
      </c>
      <c r="AY732" s="41"/>
      <c r="AZ732" s="41"/>
      <c r="BA732" s="41"/>
      <c r="BB732" s="41"/>
      <c r="BC732" s="41"/>
      <c r="BD732" s="41"/>
      <c r="BE732" s="41"/>
      <c r="BF732" s="41">
        <v>0.50360000000000005</v>
      </c>
      <c r="BG732" s="41">
        <v>0.54249999999999998</v>
      </c>
      <c r="BH732" s="41">
        <v>0.59509999999999996</v>
      </c>
      <c r="BI732" s="41"/>
      <c r="BJ732" s="41"/>
      <c r="BK732" s="41">
        <v>0.65069999999999995</v>
      </c>
      <c r="BL732" s="41"/>
      <c r="BM732" s="41"/>
      <c r="BN732" s="41">
        <f t="shared" si="12"/>
        <v>0.65069999999999995</v>
      </c>
    </row>
    <row r="733" spans="2:66" hidden="1" outlineLevel="1" x14ac:dyDescent="0.35">
      <c r="B733" s="41" t="s">
        <v>251</v>
      </c>
      <c r="C733" s="41" t="s">
        <v>109</v>
      </c>
      <c r="D733" s="41" t="s">
        <v>746</v>
      </c>
      <c r="E733" s="41" t="s">
        <v>745</v>
      </c>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v>1.6</v>
      </c>
      <c r="AP733" s="41"/>
      <c r="AQ733" s="41"/>
      <c r="AR733" s="41"/>
      <c r="AS733" s="41"/>
      <c r="AT733" s="41"/>
      <c r="AU733" s="41"/>
      <c r="AV733" s="41"/>
      <c r="AW733" s="41"/>
      <c r="AX733" s="41">
        <v>0.99009999999999998</v>
      </c>
      <c r="AY733" s="41"/>
      <c r="AZ733" s="41"/>
      <c r="BA733" s="41"/>
      <c r="BB733" s="41">
        <v>1.0101</v>
      </c>
      <c r="BC733" s="41">
        <v>1.0101</v>
      </c>
      <c r="BD733" s="41">
        <v>1.1000000000000001</v>
      </c>
      <c r="BE733" s="41">
        <v>1.3725000000000001</v>
      </c>
      <c r="BF733" s="41"/>
      <c r="BG733" s="41"/>
      <c r="BH733" s="41"/>
      <c r="BI733" s="41">
        <v>1.2388999999999999</v>
      </c>
      <c r="BJ733" s="41"/>
      <c r="BK733" s="41"/>
      <c r="BL733" s="41"/>
      <c r="BM733" s="41"/>
      <c r="BN733" s="41">
        <f t="shared" si="12"/>
        <v>1.2388999999999999</v>
      </c>
    </row>
    <row r="734" spans="2:66" hidden="1" outlineLevel="1" x14ac:dyDescent="0.35">
      <c r="B734" s="41" t="s">
        <v>480</v>
      </c>
      <c r="C734" s="41" t="s">
        <v>110</v>
      </c>
      <c r="D734" s="41" t="s">
        <v>746</v>
      </c>
      <c r="E734" s="41" t="s">
        <v>745</v>
      </c>
      <c r="F734" s="41"/>
      <c r="G734" s="41">
        <v>1.1000000000000001</v>
      </c>
      <c r="H734" s="41"/>
      <c r="I734" s="41"/>
      <c r="J734" s="41"/>
      <c r="K734" s="41"/>
      <c r="L734" s="41">
        <v>1.1000000000000001</v>
      </c>
      <c r="M734" s="41"/>
      <c r="N734" s="41"/>
      <c r="O734" s="41"/>
      <c r="P734" s="41"/>
      <c r="Q734" s="41">
        <v>1.1000000000000001</v>
      </c>
      <c r="R734" s="41"/>
      <c r="S734" s="41">
        <v>1.2</v>
      </c>
      <c r="T734" s="41"/>
      <c r="U734" s="41"/>
      <c r="V734" s="41">
        <v>1.3</v>
      </c>
      <c r="W734" s="41">
        <v>1.4</v>
      </c>
      <c r="X734" s="41">
        <v>1.4</v>
      </c>
      <c r="Y734" s="41">
        <v>1.5</v>
      </c>
      <c r="Z734" s="41">
        <v>1.6</v>
      </c>
      <c r="AA734" s="41">
        <v>1.6</v>
      </c>
      <c r="AB734" s="41">
        <v>1.6</v>
      </c>
      <c r="AC734" s="41">
        <v>1.7</v>
      </c>
      <c r="AD734" s="41">
        <v>1.7</v>
      </c>
      <c r="AE734" s="41">
        <v>1.7</v>
      </c>
      <c r="AF734" s="41">
        <v>1.8</v>
      </c>
      <c r="AG734" s="41">
        <v>1.8</v>
      </c>
      <c r="AH734" s="41">
        <v>1.9</v>
      </c>
      <c r="AI734" s="41">
        <v>1.9</v>
      </c>
      <c r="AJ734" s="41">
        <v>1.9</v>
      </c>
      <c r="AK734" s="41">
        <v>1.9</v>
      </c>
      <c r="AL734" s="41">
        <v>1.9</v>
      </c>
      <c r="AM734" s="41">
        <v>1.9</v>
      </c>
      <c r="AN734" s="41">
        <v>2</v>
      </c>
      <c r="AO734" s="41">
        <v>2</v>
      </c>
      <c r="AP734" s="41">
        <v>2</v>
      </c>
      <c r="AQ734" s="41">
        <v>2.2000000000000002</v>
      </c>
      <c r="AR734" s="41">
        <v>2.2000000000000002</v>
      </c>
      <c r="AS734" s="41">
        <v>2.2000000000000002</v>
      </c>
      <c r="AT734" s="41"/>
      <c r="AU734" s="41">
        <v>2.3098999999999998</v>
      </c>
      <c r="AV734" s="41">
        <v>2.0665</v>
      </c>
      <c r="AW734" s="41">
        <v>2.2000000000000002</v>
      </c>
      <c r="AX734" s="41"/>
      <c r="AY734" s="41"/>
      <c r="AZ734" s="41"/>
      <c r="BA734" s="41">
        <v>2.3048999999999999</v>
      </c>
      <c r="BB734" s="41">
        <v>2.5470000000000002</v>
      </c>
      <c r="BC734" s="41">
        <v>2.6789999999999998</v>
      </c>
      <c r="BD734" s="41">
        <v>2.6114000000000002</v>
      </c>
      <c r="BE734" s="41">
        <v>2.6331000000000002</v>
      </c>
      <c r="BF734" s="41">
        <v>2.6787999999999998</v>
      </c>
      <c r="BG734" s="41">
        <v>2.7856000000000001</v>
      </c>
      <c r="BH734" s="41">
        <v>2.8073000000000001</v>
      </c>
      <c r="BI734" s="41">
        <v>3.0003000000000002</v>
      </c>
      <c r="BJ734" s="41">
        <v>3.0251999999999999</v>
      </c>
      <c r="BK734" s="41"/>
      <c r="BL734" s="41"/>
      <c r="BM734" s="41"/>
      <c r="BN734" s="41">
        <f t="shared" si="12"/>
        <v>3.0251999999999999</v>
      </c>
    </row>
    <row r="735" spans="2:66" hidden="1" outlineLevel="1" x14ac:dyDescent="0.35">
      <c r="B735" s="41" t="s">
        <v>490</v>
      </c>
      <c r="C735" s="41" t="s">
        <v>491</v>
      </c>
      <c r="D735" s="41" t="s">
        <v>746</v>
      </c>
      <c r="E735" s="41" t="s">
        <v>745</v>
      </c>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v>1.9982643388057317</v>
      </c>
      <c r="AK735" s="41"/>
      <c r="AL735" s="41"/>
      <c r="AM735" s="41"/>
      <c r="AN735" s="41"/>
      <c r="AO735" s="41"/>
      <c r="AP735" s="41"/>
      <c r="AQ735" s="41"/>
      <c r="AR735" s="41"/>
      <c r="AS735" s="41"/>
      <c r="AT735" s="41">
        <v>2.5399982459486417</v>
      </c>
      <c r="AU735" s="41"/>
      <c r="AV735" s="41"/>
      <c r="AW735" s="41"/>
      <c r="AX735" s="41"/>
      <c r="AY735" s="41"/>
      <c r="AZ735" s="41"/>
      <c r="BA735" s="41"/>
      <c r="BB735" s="41"/>
      <c r="BC735" s="41"/>
      <c r="BD735" s="41"/>
      <c r="BE735" s="41"/>
      <c r="BF735" s="41"/>
      <c r="BG735" s="41"/>
      <c r="BH735" s="41"/>
      <c r="BI735" s="41">
        <v>2.8919392858942818</v>
      </c>
      <c r="BJ735" s="41"/>
      <c r="BK735" s="41"/>
      <c r="BL735" s="41"/>
      <c r="BM735" s="41"/>
      <c r="BN735" s="41">
        <f t="shared" si="12"/>
        <v>2.8919392858942818</v>
      </c>
    </row>
    <row r="736" spans="2:66" hidden="1" outlineLevel="1" x14ac:dyDescent="0.35">
      <c r="B736" s="41" t="s">
        <v>492</v>
      </c>
      <c r="C736" s="41" t="s">
        <v>111</v>
      </c>
      <c r="D736" s="41" t="s">
        <v>746</v>
      </c>
      <c r="E736" s="41" t="s">
        <v>745</v>
      </c>
      <c r="F736" s="41">
        <v>0.03</v>
      </c>
      <c r="G736" s="41"/>
      <c r="H736" s="41"/>
      <c r="I736" s="41"/>
      <c r="J736" s="41"/>
      <c r="K736" s="41">
        <v>3.7999999999999999E-2</v>
      </c>
      <c r="L736" s="41"/>
      <c r="M736" s="41"/>
      <c r="N736" s="41"/>
      <c r="O736" s="41"/>
      <c r="P736" s="41"/>
      <c r="Q736" s="41"/>
      <c r="R736" s="41"/>
      <c r="S736" s="41"/>
      <c r="T736" s="41"/>
      <c r="U736" s="41"/>
      <c r="V736" s="41"/>
      <c r="W736" s="41"/>
      <c r="X736" s="41"/>
      <c r="Y736" s="41"/>
      <c r="Z736" s="41"/>
      <c r="AA736" s="41"/>
      <c r="AB736" s="41">
        <v>0.54900000000000004</v>
      </c>
      <c r="AC736" s="41"/>
      <c r="AD736" s="41"/>
      <c r="AE736" s="41"/>
      <c r="AF736" s="41"/>
      <c r="AG736" s="41">
        <v>0.83399999999999996</v>
      </c>
      <c r="AH736" s="41"/>
      <c r="AI736" s="41">
        <v>0.88300000000000001</v>
      </c>
      <c r="AJ736" s="41">
        <v>0.79520000000000002</v>
      </c>
      <c r="AK736" s="41"/>
      <c r="AL736" s="41"/>
      <c r="AM736" s="41">
        <v>0.88400000000000001</v>
      </c>
      <c r="AN736" s="41"/>
      <c r="AO736" s="41">
        <v>1.1236999999999999</v>
      </c>
      <c r="AP736" s="41"/>
      <c r="AQ736" s="41">
        <v>0.85389999999999999</v>
      </c>
      <c r="AR736" s="41">
        <v>0.93210000000000004</v>
      </c>
      <c r="AS736" s="41">
        <v>0.96409999999999996</v>
      </c>
      <c r="AT736" s="41">
        <v>1.4365000000000001</v>
      </c>
      <c r="AU736" s="41"/>
      <c r="AV736" s="41">
        <v>1.2569999999999999</v>
      </c>
      <c r="AW736" s="41"/>
      <c r="AX736" s="41">
        <v>1.5833999999999999</v>
      </c>
      <c r="AY736" s="41">
        <v>1.6653</v>
      </c>
      <c r="AZ736" s="41">
        <v>1.7726999999999999</v>
      </c>
      <c r="BA736" s="41">
        <v>1.8431999999999999</v>
      </c>
      <c r="BB736" s="41">
        <v>1.8826000000000001</v>
      </c>
      <c r="BC736" s="41">
        <v>1.9296</v>
      </c>
      <c r="BD736" s="41">
        <v>1.9273</v>
      </c>
      <c r="BE736" s="41">
        <v>1.9547000000000001</v>
      </c>
      <c r="BF736" s="41">
        <v>2.0363000000000002</v>
      </c>
      <c r="BG736" s="41">
        <v>2.0674000000000001</v>
      </c>
      <c r="BH736" s="41">
        <v>2.1840999999999999</v>
      </c>
      <c r="BI736" s="41">
        <v>2.1225000000000001</v>
      </c>
      <c r="BJ736" s="41">
        <v>2.0184000000000002</v>
      </c>
      <c r="BK736" s="41">
        <v>1.9697</v>
      </c>
      <c r="BL736" s="41"/>
      <c r="BM736" s="41"/>
      <c r="BN736" s="41">
        <f t="shared" si="12"/>
        <v>1.9697</v>
      </c>
    </row>
    <row r="737" spans="2:66" hidden="1" outlineLevel="1" x14ac:dyDescent="0.35">
      <c r="B737" s="41" t="s">
        <v>493</v>
      </c>
      <c r="C737" s="41" t="s">
        <v>494</v>
      </c>
      <c r="D737" s="41" t="s">
        <v>746</v>
      </c>
      <c r="E737" s="41" t="s">
        <v>745</v>
      </c>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v>0.86668950835113323</v>
      </c>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v>0.765803865988685</v>
      </c>
      <c r="BJ737" s="41"/>
      <c r="BK737" s="41"/>
      <c r="BL737" s="41"/>
      <c r="BM737" s="41"/>
      <c r="BN737" s="41">
        <f t="shared" si="12"/>
        <v>0.765803865988685</v>
      </c>
    </row>
    <row r="738" spans="2:66" hidden="1" outlineLevel="1" x14ac:dyDescent="0.35">
      <c r="B738" s="41" t="s">
        <v>176</v>
      </c>
      <c r="C738" s="41" t="s">
        <v>112</v>
      </c>
      <c r="D738" s="41" t="s">
        <v>746</v>
      </c>
      <c r="E738" s="41" t="s">
        <v>745</v>
      </c>
      <c r="F738" s="41">
        <v>0.185</v>
      </c>
      <c r="G738" s="41"/>
      <c r="H738" s="41"/>
      <c r="I738" s="41"/>
      <c r="J738" s="41"/>
      <c r="K738" s="41"/>
      <c r="L738" s="41"/>
      <c r="M738" s="41"/>
      <c r="N738" s="41"/>
      <c r="O738" s="41"/>
      <c r="P738" s="41">
        <v>0.23200000000000001</v>
      </c>
      <c r="Q738" s="41"/>
      <c r="R738" s="41"/>
      <c r="S738" s="41"/>
      <c r="T738" s="41"/>
      <c r="U738" s="41">
        <v>0.23300000000000001</v>
      </c>
      <c r="V738" s="41"/>
      <c r="W738" s="41"/>
      <c r="X738" s="41"/>
      <c r="Y738" s="41"/>
      <c r="Z738" s="41">
        <v>0.28499999999999998</v>
      </c>
      <c r="AA738" s="41">
        <v>0.34399999999999997</v>
      </c>
      <c r="AB738" s="41">
        <v>0.34200000000000003</v>
      </c>
      <c r="AC738" s="41"/>
      <c r="AD738" s="41"/>
      <c r="AE738" s="41"/>
      <c r="AF738" s="41">
        <v>0.35099999999999998</v>
      </c>
      <c r="AG738" s="41"/>
      <c r="AH738" s="41"/>
      <c r="AI738" s="41"/>
      <c r="AJ738" s="41">
        <v>0.46200000000000002</v>
      </c>
      <c r="AK738" s="41">
        <v>0.48</v>
      </c>
      <c r="AL738" s="41">
        <v>0.52790000000000004</v>
      </c>
      <c r="AM738" s="41">
        <v>0.53959999999999997</v>
      </c>
      <c r="AN738" s="41">
        <v>0.55269999999999997</v>
      </c>
      <c r="AO738" s="41">
        <v>0.56740000000000002</v>
      </c>
      <c r="AP738" s="41">
        <v>0.58940000000000003</v>
      </c>
      <c r="AQ738" s="41">
        <v>0.6079</v>
      </c>
      <c r="AR738" s="41">
        <v>0.62519999999999998</v>
      </c>
      <c r="AS738" s="41">
        <v>0.64329999999999998</v>
      </c>
      <c r="AT738" s="41">
        <v>0.66290000000000004</v>
      </c>
      <c r="AU738" s="41">
        <v>0.67969999999999997</v>
      </c>
      <c r="AV738" s="41"/>
      <c r="AW738" s="41"/>
      <c r="AX738" s="41">
        <v>0.77129999999999999</v>
      </c>
      <c r="AY738" s="41">
        <v>0.82089999999999996</v>
      </c>
      <c r="AZ738" s="41"/>
      <c r="BA738" s="41">
        <v>0.79749999999999999</v>
      </c>
      <c r="BB738" s="41">
        <v>0.81869999999999998</v>
      </c>
      <c r="BC738" s="41">
        <v>0.83540000000000003</v>
      </c>
      <c r="BD738" s="41">
        <v>0.84960000000000002</v>
      </c>
      <c r="BE738" s="41">
        <v>0.87480000000000002</v>
      </c>
      <c r="BF738" s="41"/>
      <c r="BG738" s="41"/>
      <c r="BH738" s="41">
        <v>0.80600000000000005</v>
      </c>
      <c r="BI738" s="41">
        <v>0.97529999999999994</v>
      </c>
      <c r="BJ738" s="41"/>
      <c r="BK738" s="41"/>
      <c r="BL738" s="41"/>
      <c r="BM738" s="41"/>
      <c r="BN738" s="41">
        <f t="shared" si="12"/>
        <v>0.97529999999999994</v>
      </c>
    </row>
    <row r="739" spans="2:66" hidden="1" outlineLevel="1" x14ac:dyDescent="0.35">
      <c r="B739" s="41" t="s">
        <v>499</v>
      </c>
      <c r="C739" s="41" t="s">
        <v>113</v>
      </c>
      <c r="D739" s="41" t="s">
        <v>746</v>
      </c>
      <c r="E739" s="41" t="s">
        <v>745</v>
      </c>
      <c r="F739" s="41">
        <v>0.35599999999999998</v>
      </c>
      <c r="G739" s="41"/>
      <c r="H739" s="41"/>
      <c r="I739" s="41"/>
      <c r="J739" s="41"/>
      <c r="K739" s="41">
        <v>0.47799999999999998</v>
      </c>
      <c r="L739" s="41"/>
      <c r="M739" s="41"/>
      <c r="N739" s="41"/>
      <c r="O739" s="41"/>
      <c r="P739" s="41">
        <v>0.61299999999999999</v>
      </c>
      <c r="Q739" s="41"/>
      <c r="R739" s="41"/>
      <c r="S739" s="41"/>
      <c r="T739" s="41"/>
      <c r="U739" s="41">
        <v>0.59699999999999998</v>
      </c>
      <c r="V739" s="41"/>
      <c r="W739" s="41"/>
      <c r="X739" s="41"/>
      <c r="Y739" s="41"/>
      <c r="Z739" s="41"/>
      <c r="AA739" s="41">
        <v>0.99299999999999999</v>
      </c>
      <c r="AB739" s="41"/>
      <c r="AC739" s="41"/>
      <c r="AD739" s="41">
        <v>1.0209999999999999</v>
      </c>
      <c r="AE739" s="41">
        <v>1.006</v>
      </c>
      <c r="AF739" s="41"/>
      <c r="AG739" s="41"/>
      <c r="AH739" s="41">
        <v>1.7929999999999999</v>
      </c>
      <c r="AI739" s="41"/>
      <c r="AJ739" s="41">
        <v>1.1129</v>
      </c>
      <c r="AK739" s="41">
        <v>1.1220000000000001</v>
      </c>
      <c r="AL739" s="41">
        <v>1.1439999999999999</v>
      </c>
      <c r="AM739" s="41">
        <v>1.1777</v>
      </c>
      <c r="AN739" s="41">
        <v>1.1254999999999999</v>
      </c>
      <c r="AO739" s="41">
        <v>1.1666000000000001</v>
      </c>
      <c r="AP739" s="41">
        <v>1.2055</v>
      </c>
      <c r="AQ739" s="41">
        <v>1.2033</v>
      </c>
      <c r="AR739" s="41">
        <v>1.1932</v>
      </c>
      <c r="AS739" s="41">
        <v>1.2324999999999999</v>
      </c>
      <c r="AT739" s="41">
        <v>1.502</v>
      </c>
      <c r="AU739" s="41">
        <v>1.2438</v>
      </c>
      <c r="AV739" s="41">
        <v>1.3346</v>
      </c>
      <c r="AW739" s="41">
        <v>1.3402000000000001</v>
      </c>
      <c r="AX739" s="41">
        <v>1.3216000000000001</v>
      </c>
      <c r="AY739" s="41">
        <v>1.3474999999999999</v>
      </c>
      <c r="AZ739" s="41">
        <v>1.3488</v>
      </c>
      <c r="BA739" s="41">
        <v>1.3031999999999999</v>
      </c>
      <c r="BB739" s="41">
        <v>1.3807</v>
      </c>
      <c r="BC739" s="41">
        <v>1.3091999999999999</v>
      </c>
      <c r="BD739" s="41">
        <v>1.4056</v>
      </c>
      <c r="BE739" s="41">
        <v>1.4971000000000001</v>
      </c>
      <c r="BF739" s="41">
        <v>1.5969</v>
      </c>
      <c r="BG739" s="41">
        <v>1.5808</v>
      </c>
      <c r="BH739" s="41"/>
      <c r="BI739" s="41"/>
      <c r="BJ739" s="41">
        <v>1.5699000000000001</v>
      </c>
      <c r="BK739" s="41"/>
      <c r="BL739" s="41"/>
      <c r="BM739" s="41"/>
      <c r="BN739" s="41">
        <f t="shared" si="12"/>
        <v>1.5699000000000001</v>
      </c>
    </row>
    <row r="740" spans="2:66" hidden="1" outlineLevel="1" x14ac:dyDescent="0.35">
      <c r="B740" s="41" t="s">
        <v>500</v>
      </c>
      <c r="C740" s="41" t="s">
        <v>114</v>
      </c>
      <c r="D740" s="41" t="s">
        <v>746</v>
      </c>
      <c r="E740" s="41" t="s">
        <v>745</v>
      </c>
      <c r="F740" s="41">
        <v>0.51</v>
      </c>
      <c r="G740" s="41"/>
      <c r="H740" s="41"/>
      <c r="I740" s="41"/>
      <c r="J740" s="41"/>
      <c r="K740" s="41">
        <v>0.60499999999999998</v>
      </c>
      <c r="L740" s="41"/>
      <c r="M740" s="41"/>
      <c r="N740" s="41"/>
      <c r="O740" s="41"/>
      <c r="P740" s="41">
        <v>0.52100000000000002</v>
      </c>
      <c r="Q740" s="41"/>
      <c r="R740" s="41"/>
      <c r="S740" s="41"/>
      <c r="T740" s="41"/>
      <c r="U740" s="41">
        <v>0.52600000000000002</v>
      </c>
      <c r="V740" s="41"/>
      <c r="W740" s="41"/>
      <c r="X740" s="41"/>
      <c r="Y740" s="41">
        <v>0.69199999999999995</v>
      </c>
      <c r="Z740" s="41">
        <v>0.71599999999999997</v>
      </c>
      <c r="AA740" s="41">
        <v>0.76</v>
      </c>
      <c r="AB740" s="41">
        <v>0.84599999999999997</v>
      </c>
      <c r="AC740" s="41">
        <v>0.90200000000000002</v>
      </c>
      <c r="AD740" s="41">
        <v>0.90800000000000003</v>
      </c>
      <c r="AE740" s="41">
        <v>0.92900000000000005</v>
      </c>
      <c r="AF740" s="41">
        <v>0.98399999999999999</v>
      </c>
      <c r="AG740" s="41">
        <v>0.98299999999999998</v>
      </c>
      <c r="AH740" s="41">
        <v>0.96499999999999997</v>
      </c>
      <c r="AI740" s="41">
        <v>1.0349999999999999</v>
      </c>
      <c r="AJ740" s="41">
        <v>1.0640000000000001</v>
      </c>
      <c r="AK740" s="41"/>
      <c r="AL740" s="41">
        <v>1.03</v>
      </c>
      <c r="AM740" s="41"/>
      <c r="AN740" s="41"/>
      <c r="AO740" s="41">
        <v>0.98</v>
      </c>
      <c r="AP740" s="41"/>
      <c r="AQ740" s="41">
        <v>0.93200000000000005</v>
      </c>
      <c r="AR740" s="41"/>
      <c r="AS740" s="41">
        <v>1.1657999999999999</v>
      </c>
      <c r="AT740" s="41"/>
      <c r="AU740" s="41"/>
      <c r="AV740" s="41"/>
      <c r="AW740" s="41"/>
      <c r="AX740" s="41"/>
      <c r="AY740" s="41"/>
      <c r="AZ740" s="41"/>
      <c r="BA740" s="41">
        <v>1.6672</v>
      </c>
      <c r="BB740" s="41"/>
      <c r="BC740" s="41">
        <v>0.94040000000000001</v>
      </c>
      <c r="BD740" s="41">
        <v>0.92</v>
      </c>
      <c r="BE740" s="41"/>
      <c r="BF740" s="41">
        <v>1.1164000000000001</v>
      </c>
      <c r="BG740" s="41"/>
      <c r="BH740" s="41"/>
      <c r="BI740" s="41"/>
      <c r="BJ740" s="41">
        <v>1.27</v>
      </c>
      <c r="BK740" s="41"/>
      <c r="BL740" s="41"/>
      <c r="BM740" s="41"/>
      <c r="BN740" s="41">
        <f t="shared" si="12"/>
        <v>1.27</v>
      </c>
    </row>
    <row r="741" spans="2:66" hidden="1" outlineLevel="1" x14ac:dyDescent="0.35">
      <c r="B741" s="41" t="s">
        <v>253</v>
      </c>
      <c r="C741" s="41" t="s">
        <v>115</v>
      </c>
      <c r="D741" s="41" t="s">
        <v>746</v>
      </c>
      <c r="E741" s="41" t="s">
        <v>745</v>
      </c>
      <c r="F741" s="41">
        <v>0.14599999999999999</v>
      </c>
      <c r="G741" s="41"/>
      <c r="H741" s="41"/>
      <c r="I741" s="41"/>
      <c r="J741" s="41"/>
      <c r="K741" s="41"/>
      <c r="L741" s="41"/>
      <c r="M741" s="41"/>
      <c r="N741" s="41"/>
      <c r="O741" s="41"/>
      <c r="P741" s="41">
        <v>0.111</v>
      </c>
      <c r="Q741" s="41"/>
      <c r="R741" s="41"/>
      <c r="S741" s="41"/>
      <c r="T741" s="41"/>
      <c r="U741" s="41">
        <v>0.113</v>
      </c>
      <c r="V741" s="41"/>
      <c r="W741" s="41"/>
      <c r="X741" s="41"/>
      <c r="Y741" s="41"/>
      <c r="Z741" s="41">
        <v>0.128</v>
      </c>
      <c r="AA741" s="41">
        <v>0.15</v>
      </c>
      <c r="AB741" s="41"/>
      <c r="AC741" s="41"/>
      <c r="AD741" s="41">
        <v>0.154</v>
      </c>
      <c r="AE741" s="41">
        <v>0.154</v>
      </c>
      <c r="AF741" s="41"/>
      <c r="AG741" s="41"/>
      <c r="AH741" s="41"/>
      <c r="AI741" s="41">
        <v>0.124</v>
      </c>
      <c r="AJ741" s="41">
        <v>0.11899999999999999</v>
      </c>
      <c r="AK741" s="41"/>
      <c r="AL741" s="41">
        <v>0.108</v>
      </c>
      <c r="AM741" s="41"/>
      <c r="AN741" s="41"/>
      <c r="AO741" s="41"/>
      <c r="AP741" s="41">
        <v>1.23</v>
      </c>
      <c r="AQ741" s="41">
        <v>1.24</v>
      </c>
      <c r="AR741" s="41"/>
      <c r="AS741" s="41"/>
      <c r="AT741" s="41">
        <v>1.2184999999999999</v>
      </c>
      <c r="AU741" s="41">
        <v>1.2202</v>
      </c>
      <c r="AV741" s="41">
        <v>1.1109</v>
      </c>
      <c r="AW741" s="41">
        <v>1.2259</v>
      </c>
      <c r="AX741" s="41">
        <v>1.1085</v>
      </c>
      <c r="AY741" s="41">
        <v>1.2296</v>
      </c>
      <c r="AZ741" s="41">
        <v>1.2372000000000001</v>
      </c>
      <c r="BA741" s="41">
        <v>1.2457</v>
      </c>
      <c r="BB741" s="41">
        <v>1.2579</v>
      </c>
      <c r="BC741" s="41">
        <v>1.2658</v>
      </c>
      <c r="BD741" s="41">
        <v>1.2749999999999999</v>
      </c>
      <c r="BE741" s="41"/>
      <c r="BF741" s="41"/>
      <c r="BG741" s="41"/>
      <c r="BH741" s="41"/>
      <c r="BI741" s="41"/>
      <c r="BJ741" s="41"/>
      <c r="BK741" s="41"/>
      <c r="BL741" s="41"/>
      <c r="BM741" s="41"/>
      <c r="BN741" s="41">
        <f t="shared" si="12"/>
        <v>1.2749999999999999</v>
      </c>
    </row>
    <row r="742" spans="2:66" hidden="1" outlineLevel="1" x14ac:dyDescent="0.35">
      <c r="B742" s="41" t="s">
        <v>497</v>
      </c>
      <c r="C742" s="41" t="s">
        <v>498</v>
      </c>
      <c r="D742" s="41" t="s">
        <v>746</v>
      </c>
      <c r="E742" s="41" t="s">
        <v>745</v>
      </c>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v>1.4054</v>
      </c>
      <c r="AS742" s="41"/>
      <c r="AT742" s="41">
        <v>1.58</v>
      </c>
      <c r="AU742" s="41"/>
      <c r="AV742" s="41"/>
      <c r="AW742" s="41"/>
      <c r="AX742" s="41"/>
      <c r="AY742" s="41"/>
      <c r="AZ742" s="41">
        <v>1.3</v>
      </c>
      <c r="BA742" s="41"/>
      <c r="BB742" s="41"/>
      <c r="BC742" s="41">
        <v>1.4286000000000001</v>
      </c>
      <c r="BD742" s="41">
        <v>1.4146000000000001</v>
      </c>
      <c r="BE742" s="41"/>
      <c r="BF742" s="41"/>
      <c r="BG742" s="41"/>
      <c r="BH742" s="41">
        <v>1.1848000000000001</v>
      </c>
      <c r="BI742" s="41"/>
      <c r="BJ742" s="41"/>
      <c r="BK742" s="41"/>
      <c r="BL742" s="41"/>
      <c r="BM742" s="41"/>
      <c r="BN742" s="41">
        <f t="shared" si="12"/>
        <v>1.1848000000000001</v>
      </c>
    </row>
    <row r="743" spans="2:66" hidden="1" outlineLevel="1" x14ac:dyDescent="0.35">
      <c r="B743" s="41" t="s">
        <v>252</v>
      </c>
      <c r="C743" s="41" t="s">
        <v>116</v>
      </c>
      <c r="D743" s="41" t="s">
        <v>746</v>
      </c>
      <c r="E743" s="41" t="s">
        <v>745</v>
      </c>
      <c r="F743" s="41"/>
      <c r="G743" s="41"/>
      <c r="H743" s="41"/>
      <c r="I743" s="41"/>
      <c r="J743" s="41"/>
      <c r="K743" s="41">
        <v>7.9000000000000001E-2</v>
      </c>
      <c r="L743" s="41"/>
      <c r="M743" s="41"/>
      <c r="N743" s="41"/>
      <c r="O743" s="41"/>
      <c r="P743" s="41">
        <v>8.5999999999999993E-2</v>
      </c>
      <c r="Q743" s="41"/>
      <c r="R743" s="41"/>
      <c r="S743" s="41">
        <v>5.6000000000000001E-2</v>
      </c>
      <c r="T743" s="41"/>
      <c r="U743" s="41">
        <v>8.5000000000000006E-2</v>
      </c>
      <c r="V743" s="41"/>
      <c r="W743" s="41"/>
      <c r="X743" s="41"/>
      <c r="Y743" s="41"/>
      <c r="Z743" s="41">
        <v>6.2E-2</v>
      </c>
      <c r="AA743" s="41">
        <v>6.2E-2</v>
      </c>
      <c r="AB743" s="41"/>
      <c r="AC743" s="41"/>
      <c r="AD743" s="41"/>
      <c r="AE743" s="41">
        <v>0.16200000000000001</v>
      </c>
      <c r="AF743" s="41"/>
      <c r="AG743" s="41"/>
      <c r="AH743" s="41"/>
      <c r="AI743" s="41"/>
      <c r="AJ743" s="41">
        <v>7.2999999999999995E-2</v>
      </c>
      <c r="AK743" s="41"/>
      <c r="AL743" s="41"/>
      <c r="AM743" s="41"/>
      <c r="AN743" s="41"/>
      <c r="AO743" s="41"/>
      <c r="AP743" s="41"/>
      <c r="AQ743" s="41"/>
      <c r="AR743" s="41">
        <v>7.2999999999999995E-2</v>
      </c>
      <c r="AS743" s="41"/>
      <c r="AT743" s="41">
        <v>4.9399999999999999E-2</v>
      </c>
      <c r="AU743" s="41"/>
      <c r="AV743" s="41"/>
      <c r="AW743" s="41"/>
      <c r="AX743" s="41"/>
      <c r="AY743" s="41"/>
      <c r="AZ743" s="41"/>
      <c r="BA743" s="41"/>
      <c r="BB743" s="41">
        <v>4.9099999999999998E-2</v>
      </c>
      <c r="BC743" s="41"/>
      <c r="BD743" s="41">
        <v>5.2900000000000003E-2</v>
      </c>
      <c r="BE743" s="41"/>
      <c r="BF743" s="41"/>
      <c r="BG743" s="41"/>
      <c r="BH743" s="41"/>
      <c r="BI743" s="41"/>
      <c r="BJ743" s="41"/>
      <c r="BK743" s="41"/>
      <c r="BL743" s="41"/>
      <c r="BM743" s="41"/>
      <c r="BN743" s="41">
        <f t="shared" si="12"/>
        <v>5.2900000000000003E-2</v>
      </c>
    </row>
    <row r="744" spans="2:66" hidden="1" outlineLevel="1" x14ac:dyDescent="0.35">
      <c r="B744" s="41" t="s">
        <v>501</v>
      </c>
      <c r="C744" s="41" t="s">
        <v>117</v>
      </c>
      <c r="D744" s="41" t="s">
        <v>746</v>
      </c>
      <c r="E744" s="41" t="s">
        <v>745</v>
      </c>
      <c r="F744" s="41">
        <v>1</v>
      </c>
      <c r="G744" s="41">
        <v>1</v>
      </c>
      <c r="H744" s="41">
        <v>1.1000000000000001</v>
      </c>
      <c r="I744" s="41">
        <v>1.1000000000000001</v>
      </c>
      <c r="J744" s="41">
        <v>1.2</v>
      </c>
      <c r="K744" s="41">
        <v>1.2</v>
      </c>
      <c r="L744" s="41">
        <v>1.3</v>
      </c>
      <c r="M744" s="41">
        <v>1.3</v>
      </c>
      <c r="N744" s="41">
        <v>1.4</v>
      </c>
      <c r="O744" s="41">
        <v>1.4</v>
      </c>
      <c r="P744" s="41">
        <v>1.4</v>
      </c>
      <c r="Q744" s="41">
        <v>1.5</v>
      </c>
      <c r="R744" s="41">
        <v>1.5</v>
      </c>
      <c r="S744" s="41">
        <v>1.5</v>
      </c>
      <c r="T744" s="41">
        <v>1.6</v>
      </c>
      <c r="U744" s="41">
        <v>1.6</v>
      </c>
      <c r="V744" s="41">
        <v>1.6</v>
      </c>
      <c r="W744" s="41">
        <v>1.7</v>
      </c>
      <c r="X744" s="41">
        <v>1.7</v>
      </c>
      <c r="Y744" s="41">
        <v>1.7</v>
      </c>
      <c r="Z744" s="41">
        <v>1.8</v>
      </c>
      <c r="AA744" s="41">
        <v>1.8</v>
      </c>
      <c r="AB744" s="41">
        <v>1.8</v>
      </c>
      <c r="AC744" s="41">
        <v>1.9</v>
      </c>
      <c r="AD744" s="41">
        <v>1.9</v>
      </c>
      <c r="AE744" s="41">
        <v>2</v>
      </c>
      <c r="AF744" s="41">
        <v>2</v>
      </c>
      <c r="AG744" s="41">
        <v>2.1</v>
      </c>
      <c r="AH744" s="41">
        <v>2.1</v>
      </c>
      <c r="AI744" s="41">
        <v>2.1</v>
      </c>
      <c r="AJ744" s="41">
        <v>2.1</v>
      </c>
      <c r="AK744" s="41">
        <v>2.2000000000000002</v>
      </c>
      <c r="AL744" s="41">
        <v>2.2000000000000002</v>
      </c>
      <c r="AM744" s="41">
        <v>2.2000000000000002</v>
      </c>
      <c r="AN744" s="41">
        <v>2.2999999999999998</v>
      </c>
      <c r="AO744" s="41">
        <v>2.2999999999999998</v>
      </c>
      <c r="AP744" s="41">
        <v>2.4</v>
      </c>
      <c r="AQ744" s="41">
        <v>2.4</v>
      </c>
      <c r="AR744" s="41">
        <v>2.2999999999999998</v>
      </c>
      <c r="AS744" s="41">
        <v>2.2999999999999998</v>
      </c>
      <c r="AT744" s="41">
        <v>2.2000000000000002</v>
      </c>
      <c r="AU744" s="41">
        <v>2.2999999999999998</v>
      </c>
      <c r="AV744" s="41">
        <v>2.2999999999999998</v>
      </c>
      <c r="AW744" s="41">
        <v>2.4689999999999999</v>
      </c>
      <c r="AX744" s="41"/>
      <c r="AY744" s="41">
        <v>1.97</v>
      </c>
      <c r="AZ744" s="41">
        <v>2.012</v>
      </c>
      <c r="BA744" s="41"/>
      <c r="BB744" s="41">
        <v>2.1440000000000001</v>
      </c>
      <c r="BC744" s="41"/>
      <c r="BD744" s="41">
        <v>2.1709999999999998</v>
      </c>
      <c r="BE744" s="41">
        <v>2.1978</v>
      </c>
      <c r="BF744" s="41">
        <v>2.2189999999999999</v>
      </c>
      <c r="BG744" s="41">
        <v>2.2252000000000001</v>
      </c>
      <c r="BH744" s="41">
        <v>2.2898999999999998</v>
      </c>
      <c r="BI744" s="41">
        <v>2.3111999999999999</v>
      </c>
      <c r="BJ744" s="41">
        <v>2.3997999999999999</v>
      </c>
      <c r="BK744" s="41"/>
      <c r="BL744" s="41"/>
      <c r="BM744" s="41"/>
      <c r="BN744" s="41">
        <f t="shared" si="12"/>
        <v>2.3997999999999999</v>
      </c>
    </row>
    <row r="745" spans="2:66" hidden="1" outlineLevel="1" x14ac:dyDescent="0.35">
      <c r="B745" s="41" t="s">
        <v>505</v>
      </c>
      <c r="C745" s="41" t="s">
        <v>506</v>
      </c>
      <c r="D745" s="41" t="s">
        <v>746</v>
      </c>
      <c r="E745" s="41" t="s">
        <v>745</v>
      </c>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v>0.12578525756842826</v>
      </c>
      <c r="AK745" s="41"/>
      <c r="AL745" s="41"/>
      <c r="AM745" s="41"/>
      <c r="AN745" s="41"/>
      <c r="AO745" s="41"/>
      <c r="AP745" s="41"/>
      <c r="AQ745" s="41"/>
      <c r="AR745" s="41"/>
      <c r="AS745" s="41"/>
      <c r="AT745" s="41">
        <v>0.1740127451433342</v>
      </c>
      <c r="AU745" s="41"/>
      <c r="AV745" s="41"/>
      <c r="AW745" s="41"/>
      <c r="AX745" s="41"/>
      <c r="AY745" s="41"/>
      <c r="AZ745" s="41"/>
      <c r="BA745" s="41"/>
      <c r="BB745" s="41"/>
      <c r="BC745" s="41"/>
      <c r="BD745" s="41"/>
      <c r="BE745" s="41"/>
      <c r="BF745" s="41"/>
      <c r="BG745" s="41"/>
      <c r="BH745" s="41"/>
      <c r="BI745" s="41">
        <v>0.21840284487090372</v>
      </c>
      <c r="BJ745" s="41"/>
      <c r="BK745" s="41"/>
      <c r="BL745" s="41"/>
      <c r="BM745" s="41"/>
      <c r="BN745" s="41">
        <f t="shared" si="12"/>
        <v>0.21840284487090372</v>
      </c>
    </row>
    <row r="746" spans="2:66" hidden="1" outlineLevel="1" x14ac:dyDescent="0.35">
      <c r="B746" s="41" t="s">
        <v>507</v>
      </c>
      <c r="C746" s="41" t="s">
        <v>508</v>
      </c>
      <c r="D746" s="41" t="s">
        <v>746</v>
      </c>
      <c r="E746" s="41" t="s">
        <v>745</v>
      </c>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v>1.75</v>
      </c>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f t="shared" si="12"/>
        <v>1.75</v>
      </c>
    </row>
    <row r="747" spans="2:66" hidden="1" outlineLevel="1" x14ac:dyDescent="0.35">
      <c r="B747" s="41" t="s">
        <v>428</v>
      </c>
      <c r="C747" s="41" t="s">
        <v>158</v>
      </c>
      <c r="D747" s="41" t="s">
        <v>746</v>
      </c>
      <c r="E747" s="41" t="s">
        <v>745</v>
      </c>
      <c r="F747" s="41"/>
      <c r="G747" s="41"/>
      <c r="H747" s="41"/>
      <c r="I747" s="41"/>
      <c r="J747" s="41"/>
      <c r="K747" s="41"/>
      <c r="L747" s="41"/>
      <c r="M747" s="41"/>
      <c r="N747" s="41"/>
      <c r="O747" s="41"/>
      <c r="P747" s="41"/>
      <c r="Q747" s="41"/>
      <c r="R747" s="41"/>
      <c r="S747" s="41"/>
      <c r="T747" s="41"/>
      <c r="U747" s="41"/>
      <c r="V747" s="41"/>
      <c r="W747" s="41"/>
      <c r="X747" s="41"/>
      <c r="Y747" s="41"/>
      <c r="Z747" s="41"/>
      <c r="AA747" s="41"/>
      <c r="AB747" s="41">
        <v>2.5489999999999999</v>
      </c>
      <c r="AC747" s="41">
        <v>2.5110000000000001</v>
      </c>
      <c r="AD747" s="41"/>
      <c r="AE747" s="41"/>
      <c r="AF747" s="41"/>
      <c r="AG747" s="41"/>
      <c r="AH747" s="41"/>
      <c r="AI747" s="41"/>
      <c r="AJ747" s="41"/>
      <c r="AK747" s="41"/>
      <c r="AL747" s="41"/>
      <c r="AM747" s="41"/>
      <c r="AN747" s="41"/>
      <c r="AO747" s="41">
        <v>2.97</v>
      </c>
      <c r="AP747" s="41"/>
      <c r="AQ747" s="41"/>
      <c r="AR747" s="41"/>
      <c r="AS747" s="41"/>
      <c r="AT747" s="41"/>
      <c r="AU747" s="41"/>
      <c r="AV747" s="41"/>
      <c r="AW747" s="41">
        <v>3.1690999999999998</v>
      </c>
      <c r="AX747" s="41"/>
      <c r="AY747" s="41"/>
      <c r="AZ747" s="41"/>
      <c r="BA747" s="41"/>
      <c r="BB747" s="41">
        <v>3.2846000000000002</v>
      </c>
      <c r="BC747" s="41"/>
      <c r="BD747" s="41"/>
      <c r="BE747" s="41">
        <v>2.7770000000000001</v>
      </c>
      <c r="BF747" s="41">
        <v>3.4388999999999998</v>
      </c>
      <c r="BG747" s="41"/>
      <c r="BH747" s="41">
        <v>3.4973000000000001</v>
      </c>
      <c r="BI747" s="41"/>
      <c r="BJ747" s="41">
        <v>3.6922000000000001</v>
      </c>
      <c r="BK747" s="41">
        <v>3.6745000000000001</v>
      </c>
      <c r="BL747" s="41"/>
      <c r="BM747" s="41"/>
      <c r="BN747" s="41">
        <f t="shared" si="12"/>
        <v>3.6745000000000001</v>
      </c>
    </row>
    <row r="748" spans="2:66" hidden="1" outlineLevel="1" x14ac:dyDescent="0.35">
      <c r="B748" s="41" t="s">
        <v>502</v>
      </c>
      <c r="C748" s="41" t="s">
        <v>118</v>
      </c>
      <c r="D748" s="41" t="s">
        <v>746</v>
      </c>
      <c r="E748" s="41" t="s">
        <v>745</v>
      </c>
      <c r="F748" s="41">
        <v>0.8</v>
      </c>
      <c r="G748" s="41">
        <v>0.8</v>
      </c>
      <c r="H748" s="41">
        <v>0.9</v>
      </c>
      <c r="I748" s="41">
        <v>0.8</v>
      </c>
      <c r="J748" s="41">
        <v>0.8</v>
      </c>
      <c r="K748" s="41">
        <v>0.9</v>
      </c>
      <c r="L748" s="41">
        <v>0.9</v>
      </c>
      <c r="M748" s="41">
        <v>0.9</v>
      </c>
      <c r="N748" s="41">
        <v>1</v>
      </c>
      <c r="O748" s="41">
        <v>0.9</v>
      </c>
      <c r="P748" s="41">
        <v>0.9</v>
      </c>
      <c r="Q748" s="41">
        <v>1</v>
      </c>
      <c r="R748" s="41">
        <v>1</v>
      </c>
      <c r="S748" s="41">
        <v>1.1000000000000001</v>
      </c>
      <c r="T748" s="41">
        <v>1.2</v>
      </c>
      <c r="U748" s="41">
        <v>1.2</v>
      </c>
      <c r="V748" s="41">
        <v>1.3</v>
      </c>
      <c r="W748" s="41">
        <v>1.5</v>
      </c>
      <c r="X748" s="41">
        <v>1.7</v>
      </c>
      <c r="Y748" s="41">
        <v>1.9</v>
      </c>
      <c r="Z748" s="41">
        <v>2</v>
      </c>
      <c r="AA748" s="41">
        <v>2.1</v>
      </c>
      <c r="AB748" s="41">
        <v>2.2000000000000002</v>
      </c>
      <c r="AC748" s="41">
        <v>2.2999999999999998</v>
      </c>
      <c r="AD748" s="41">
        <v>2.4</v>
      </c>
      <c r="AE748" s="41">
        <v>2.5</v>
      </c>
      <c r="AF748" s="41">
        <v>2.6</v>
      </c>
      <c r="AG748" s="41">
        <v>2.6</v>
      </c>
      <c r="AH748" s="41">
        <v>2.7</v>
      </c>
      <c r="AI748" s="41">
        <v>2.8</v>
      </c>
      <c r="AJ748" s="41">
        <v>2.8</v>
      </c>
      <c r="AK748" s="41">
        <v>2.8</v>
      </c>
      <c r="AL748" s="41">
        <v>2.9</v>
      </c>
      <c r="AM748" s="41">
        <v>2.9</v>
      </c>
      <c r="AN748" s="41">
        <v>2.9</v>
      </c>
      <c r="AO748" s="41">
        <v>2.9</v>
      </c>
      <c r="AP748" s="41">
        <v>3</v>
      </c>
      <c r="AQ748" s="41">
        <v>3</v>
      </c>
      <c r="AR748" s="41">
        <v>3.1</v>
      </c>
      <c r="AS748" s="41">
        <v>3.1</v>
      </c>
      <c r="AT748" s="41">
        <v>3.2</v>
      </c>
      <c r="AU748" s="41">
        <v>3.2</v>
      </c>
      <c r="AV748" s="41">
        <v>3.2317</v>
      </c>
      <c r="AW748" s="41">
        <v>3.2839999999999998</v>
      </c>
      <c r="AX748" s="41">
        <v>3.3445999999999998</v>
      </c>
      <c r="AY748" s="41">
        <v>3.4203000000000001</v>
      </c>
      <c r="AZ748" s="41">
        <v>3.4834000000000001</v>
      </c>
      <c r="BA748" s="41">
        <v>3.5657000000000001</v>
      </c>
      <c r="BB748" s="41">
        <v>3.6549</v>
      </c>
      <c r="BC748" s="41">
        <v>3.7610000000000001</v>
      </c>
      <c r="BD748" s="41">
        <v>3.8180999999999998</v>
      </c>
      <c r="BE748" s="41">
        <v>3.9579</v>
      </c>
      <c r="BF748" s="41">
        <v>4.0751999999999997</v>
      </c>
      <c r="BG748" s="41">
        <v>4.2321999999999997</v>
      </c>
      <c r="BH748" s="41">
        <v>4.3963999999999999</v>
      </c>
      <c r="BI748" s="41"/>
      <c r="BJ748" s="41">
        <v>3.3355999999999999</v>
      </c>
      <c r="BK748" s="41"/>
      <c r="BL748" s="41"/>
      <c r="BM748" s="41"/>
      <c r="BN748" s="41">
        <f t="shared" ref="BN748:BN811" si="13">IFERROR(LOOKUP(2,1/(ISNUMBER(G748:BM748)),G748:BM748),"No reported value")</f>
        <v>3.3355999999999999</v>
      </c>
    </row>
    <row r="749" spans="2:66" hidden="1" outlineLevel="1" x14ac:dyDescent="0.35">
      <c r="B749" s="41" t="s">
        <v>228</v>
      </c>
      <c r="C749" s="41" t="s">
        <v>119</v>
      </c>
      <c r="D749" s="41" t="s">
        <v>746</v>
      </c>
      <c r="E749" s="41" t="s">
        <v>745</v>
      </c>
      <c r="F749" s="41">
        <v>0.53400000000000003</v>
      </c>
      <c r="G749" s="41"/>
      <c r="H749" s="41"/>
      <c r="I749" s="41"/>
      <c r="J749" s="41"/>
      <c r="K749" s="41">
        <v>0.53300000000000003</v>
      </c>
      <c r="L749" s="41"/>
      <c r="M749" s="41"/>
      <c r="N749" s="41"/>
      <c r="O749" s="41"/>
      <c r="P749" s="41">
        <v>0.435</v>
      </c>
      <c r="Q749" s="41"/>
      <c r="R749" s="41"/>
      <c r="S749" s="41"/>
      <c r="T749" s="41"/>
      <c r="U749" s="41">
        <v>0.439</v>
      </c>
      <c r="V749" s="41"/>
      <c r="W749" s="41"/>
      <c r="X749" s="41"/>
      <c r="Y749" s="41">
        <v>0.56299999999999994</v>
      </c>
      <c r="Z749" s="41"/>
      <c r="AA749" s="41">
        <v>0.57899999999999996</v>
      </c>
      <c r="AB749" s="41"/>
      <c r="AC749" s="41"/>
      <c r="AD749" s="41">
        <v>0.70099999999999996</v>
      </c>
      <c r="AE749" s="41">
        <v>0.67500000000000004</v>
      </c>
      <c r="AF749" s="41"/>
      <c r="AG749" s="41"/>
      <c r="AH749" s="41">
        <v>0.64</v>
      </c>
      <c r="AI749" s="41"/>
      <c r="AJ749" s="41">
        <v>0.65</v>
      </c>
      <c r="AK749" s="41">
        <v>0.81299999999999994</v>
      </c>
      <c r="AL749" s="41"/>
      <c r="AM749" s="41"/>
      <c r="AN749" s="41">
        <v>0.28000000000000003</v>
      </c>
      <c r="AO749" s="41">
        <v>0.73</v>
      </c>
      <c r="AP749" s="41"/>
      <c r="AQ749" s="41">
        <v>1.0980000000000001</v>
      </c>
      <c r="AR749" s="41"/>
      <c r="AS749" s="41"/>
      <c r="AT749" s="41">
        <v>1.17</v>
      </c>
      <c r="AU749" s="41"/>
      <c r="AV749" s="41">
        <v>1.1536999999999999</v>
      </c>
      <c r="AW749" s="41"/>
      <c r="AX749" s="41"/>
      <c r="AY749" s="41"/>
      <c r="AZ749" s="41"/>
      <c r="BA749" s="41"/>
      <c r="BB749" s="41"/>
      <c r="BC749" s="41"/>
      <c r="BD749" s="41"/>
      <c r="BE749" s="41"/>
      <c r="BF749" s="41">
        <v>1.2859</v>
      </c>
      <c r="BG749" s="41"/>
      <c r="BH749" s="41"/>
      <c r="BI749" s="41"/>
      <c r="BJ749" s="41"/>
      <c r="BK749" s="41">
        <v>0.2399</v>
      </c>
      <c r="BL749" s="41">
        <v>1.3660000000000001</v>
      </c>
      <c r="BM749" s="41"/>
      <c r="BN749" s="41">
        <f t="shared" si="13"/>
        <v>1.3660000000000001</v>
      </c>
    </row>
    <row r="750" spans="2:66" hidden="1" outlineLevel="1" x14ac:dyDescent="0.35">
      <c r="B750" s="41" t="s">
        <v>567</v>
      </c>
      <c r="C750" s="41" t="s">
        <v>568</v>
      </c>
      <c r="D750" s="41" t="s">
        <v>746</v>
      </c>
      <c r="E750" s="41" t="s">
        <v>745</v>
      </c>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v>0.5</v>
      </c>
      <c r="AS750" s="41"/>
      <c r="AT750" s="41"/>
      <c r="AU750" s="41">
        <v>0.83699999999999997</v>
      </c>
      <c r="AV750" s="41"/>
      <c r="AW750" s="41"/>
      <c r="AX750" s="41"/>
      <c r="AY750" s="41"/>
      <c r="AZ750" s="41"/>
      <c r="BA750" s="41"/>
      <c r="BB750" s="41"/>
      <c r="BC750" s="41"/>
      <c r="BD750" s="41"/>
      <c r="BE750" s="41"/>
      <c r="BF750" s="41"/>
      <c r="BG750" s="41"/>
      <c r="BH750" s="41"/>
      <c r="BI750" s="41"/>
      <c r="BJ750" s="41"/>
      <c r="BK750" s="41"/>
      <c r="BL750" s="41"/>
      <c r="BM750" s="41"/>
      <c r="BN750" s="41">
        <f t="shared" si="13"/>
        <v>0.83699999999999997</v>
      </c>
    </row>
    <row r="751" spans="2:66" hidden="1" outlineLevel="1" x14ac:dyDescent="0.35">
      <c r="B751" s="41" t="s">
        <v>495</v>
      </c>
      <c r="C751" s="41" t="s">
        <v>496</v>
      </c>
      <c r="D751" s="41" t="s">
        <v>746</v>
      </c>
      <c r="E751" s="41" t="s">
        <v>745</v>
      </c>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v>0.27596149830882022</v>
      </c>
      <c r="AK751" s="41"/>
      <c r="AL751" s="41"/>
      <c r="AM751" s="41"/>
      <c r="AN751" s="41"/>
      <c r="AO751" s="41"/>
      <c r="AP751" s="41"/>
      <c r="AQ751" s="41"/>
      <c r="AR751" s="41"/>
      <c r="AS751" s="41"/>
      <c r="AT751" s="41">
        <v>0.36921475385188629</v>
      </c>
      <c r="AU751" s="41"/>
      <c r="AV751" s="41"/>
      <c r="AW751" s="41"/>
      <c r="AX751" s="41"/>
      <c r="AY751" s="41"/>
      <c r="AZ751" s="41"/>
      <c r="BA751" s="41"/>
      <c r="BB751" s="41"/>
      <c r="BC751" s="41"/>
      <c r="BD751" s="41"/>
      <c r="BE751" s="41"/>
      <c r="BF751" s="41"/>
      <c r="BG751" s="41"/>
      <c r="BH751" s="41"/>
      <c r="BI751" s="41">
        <v>0.47855072594996245</v>
      </c>
      <c r="BJ751" s="41"/>
      <c r="BK751" s="41"/>
      <c r="BL751" s="41"/>
      <c r="BM751" s="41"/>
      <c r="BN751" s="41">
        <f t="shared" si="13"/>
        <v>0.47855072594996245</v>
      </c>
    </row>
    <row r="752" spans="2:66" hidden="1" outlineLevel="1" x14ac:dyDescent="0.35">
      <c r="B752" s="41" t="s">
        <v>503</v>
      </c>
      <c r="C752" s="41" t="s">
        <v>504</v>
      </c>
      <c r="D752" s="41" t="s">
        <v>746</v>
      </c>
      <c r="E752" s="41" t="s">
        <v>745</v>
      </c>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v>2.322679065371795</v>
      </c>
      <c r="AK752" s="41"/>
      <c r="AL752" s="41"/>
      <c r="AM752" s="41"/>
      <c r="AN752" s="41"/>
      <c r="AO752" s="41"/>
      <c r="AP752" s="41"/>
      <c r="AQ752" s="41"/>
      <c r="AR752" s="41"/>
      <c r="AS752" s="41"/>
      <c r="AT752" s="41">
        <v>2.7879533072155445</v>
      </c>
      <c r="AU752" s="41"/>
      <c r="AV752" s="41"/>
      <c r="AW752" s="41"/>
      <c r="AX752" s="41"/>
      <c r="AY752" s="41"/>
      <c r="AZ752" s="41"/>
      <c r="BA752" s="41"/>
      <c r="BB752" s="41"/>
      <c r="BC752" s="41"/>
      <c r="BD752" s="41"/>
      <c r="BE752" s="41"/>
      <c r="BF752" s="41"/>
      <c r="BG752" s="41"/>
      <c r="BH752" s="41"/>
      <c r="BI752" s="41">
        <v>3.1621791156419099</v>
      </c>
      <c r="BJ752" s="41"/>
      <c r="BK752" s="41"/>
      <c r="BL752" s="41"/>
      <c r="BM752" s="41"/>
      <c r="BN752" s="41">
        <f t="shared" si="13"/>
        <v>3.1621791156419099</v>
      </c>
    </row>
    <row r="753" spans="2:66" hidden="1" outlineLevel="1" x14ac:dyDescent="0.35">
      <c r="B753" s="41" t="s">
        <v>396</v>
      </c>
      <c r="C753" s="41" t="s">
        <v>397</v>
      </c>
      <c r="D753" s="41" t="s">
        <v>746</v>
      </c>
      <c r="E753" s="41" t="s">
        <v>745</v>
      </c>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v>1.252</v>
      </c>
      <c r="AF753" s="41"/>
      <c r="AG753" s="41"/>
      <c r="AH753" s="41"/>
      <c r="AI753" s="41"/>
      <c r="AJ753" s="41"/>
      <c r="AK753" s="41"/>
      <c r="AL753" s="41"/>
      <c r="AM753" s="41"/>
      <c r="AN753" s="41"/>
      <c r="AO753" s="41"/>
      <c r="AP753" s="41"/>
      <c r="AQ753" s="41"/>
      <c r="AR753" s="41"/>
      <c r="AS753" s="41"/>
      <c r="AT753" s="41">
        <v>1.6970000000000001</v>
      </c>
      <c r="AU753" s="41"/>
      <c r="AV753" s="41"/>
      <c r="AW753" s="41"/>
      <c r="AX753" s="41"/>
      <c r="AY753" s="41"/>
      <c r="AZ753" s="41"/>
      <c r="BA753" s="41"/>
      <c r="BB753" s="41"/>
      <c r="BC753" s="41"/>
      <c r="BD753" s="41"/>
      <c r="BE753" s="41"/>
      <c r="BF753" s="41"/>
      <c r="BG753" s="41"/>
      <c r="BH753" s="41"/>
      <c r="BI753" s="41"/>
      <c r="BJ753" s="41"/>
      <c r="BK753" s="41"/>
      <c r="BL753" s="41"/>
      <c r="BM753" s="41"/>
      <c r="BN753" s="41">
        <f t="shared" si="13"/>
        <v>1.6970000000000001</v>
      </c>
    </row>
    <row r="754" spans="2:66" hidden="1" outlineLevel="1" x14ac:dyDescent="0.35">
      <c r="B754" s="41" t="s">
        <v>509</v>
      </c>
      <c r="C754" s="41" t="s">
        <v>120</v>
      </c>
      <c r="D754" s="41" t="s">
        <v>746</v>
      </c>
      <c r="E754" s="41" t="s">
        <v>745</v>
      </c>
      <c r="F754" s="41"/>
      <c r="G754" s="41"/>
      <c r="H754" s="41"/>
      <c r="I754" s="41"/>
      <c r="J754" s="41"/>
      <c r="K754" s="41"/>
      <c r="L754" s="41"/>
      <c r="M754" s="41"/>
      <c r="N754" s="41"/>
      <c r="O754" s="41"/>
      <c r="P754" s="41">
        <v>0.51300000000000001</v>
      </c>
      <c r="Q754" s="41"/>
      <c r="R754" s="41"/>
      <c r="S754" s="41"/>
      <c r="T754" s="41"/>
      <c r="U754" s="41"/>
      <c r="V754" s="41"/>
      <c r="W754" s="41"/>
      <c r="X754" s="41"/>
      <c r="Y754" s="41"/>
      <c r="Z754" s="41"/>
      <c r="AA754" s="41">
        <v>0.73799999999999999</v>
      </c>
      <c r="AB754" s="41"/>
      <c r="AC754" s="41"/>
      <c r="AD754" s="41"/>
      <c r="AE754" s="41"/>
      <c r="AF754" s="41">
        <v>1.6759999999999999</v>
      </c>
      <c r="AG754" s="41"/>
      <c r="AH754" s="41"/>
      <c r="AI754" s="41"/>
      <c r="AJ754" s="41">
        <v>1.5</v>
      </c>
      <c r="AK754" s="41"/>
      <c r="AL754" s="41"/>
      <c r="AM754" s="41"/>
      <c r="AN754" s="41"/>
      <c r="AO754" s="41"/>
      <c r="AP754" s="41">
        <v>1.26</v>
      </c>
      <c r="AQ754" s="41">
        <v>1.26</v>
      </c>
      <c r="AR754" s="41"/>
      <c r="AS754" s="41"/>
      <c r="AT754" s="41"/>
      <c r="AU754" s="41">
        <v>2.2170000000000001</v>
      </c>
      <c r="AV754" s="41"/>
      <c r="AW754" s="41"/>
      <c r="AX754" s="41"/>
      <c r="AY754" s="41">
        <v>2.4857999999999998</v>
      </c>
      <c r="AZ754" s="41">
        <v>2.2892000000000001</v>
      </c>
      <c r="BA754" s="41"/>
      <c r="BB754" s="41">
        <v>3.3182</v>
      </c>
      <c r="BC754" s="41">
        <v>3.2223000000000002</v>
      </c>
      <c r="BD754" s="41">
        <v>3.8877000000000002</v>
      </c>
      <c r="BE754" s="41"/>
      <c r="BF754" s="41"/>
      <c r="BG754" s="41"/>
      <c r="BH754" s="41">
        <v>1.7970999999999999</v>
      </c>
      <c r="BI754" s="41"/>
      <c r="BJ754" s="41">
        <v>2.7831000000000001</v>
      </c>
      <c r="BK754" s="41">
        <v>8.0000000000000004E-4</v>
      </c>
      <c r="BL754" s="41"/>
      <c r="BM754" s="41"/>
      <c r="BN754" s="41">
        <f t="shared" si="13"/>
        <v>8.0000000000000004E-4</v>
      </c>
    </row>
    <row r="755" spans="2:66" hidden="1" outlineLevel="1" x14ac:dyDescent="0.35">
      <c r="B755" s="41" t="s">
        <v>510</v>
      </c>
      <c r="C755" s="41" t="s">
        <v>121</v>
      </c>
      <c r="D755" s="41" t="s">
        <v>746</v>
      </c>
      <c r="E755" s="41" t="s">
        <v>745</v>
      </c>
      <c r="F755" s="41">
        <v>1.2689999999999999</v>
      </c>
      <c r="G755" s="41"/>
      <c r="H755" s="41"/>
      <c r="I755" s="41"/>
      <c r="J755" s="41"/>
      <c r="K755" s="41">
        <v>1.3160000000000001</v>
      </c>
      <c r="L755" s="41"/>
      <c r="M755" s="41"/>
      <c r="N755" s="41"/>
      <c r="O755" s="41"/>
      <c r="P755" s="41">
        <v>1.1850000000000001</v>
      </c>
      <c r="Q755" s="41">
        <v>1.208</v>
      </c>
      <c r="R755" s="41"/>
      <c r="S755" s="41">
        <v>1.242</v>
      </c>
      <c r="T755" s="41"/>
      <c r="U755" s="41">
        <v>1.3180000000000001</v>
      </c>
      <c r="V755" s="41">
        <v>1.3320000000000001</v>
      </c>
      <c r="W755" s="41">
        <v>1.355</v>
      </c>
      <c r="X755" s="41">
        <v>1.377</v>
      </c>
      <c r="Y755" s="41">
        <v>1.413</v>
      </c>
      <c r="Z755" s="41">
        <v>1.476</v>
      </c>
      <c r="AA755" s="41">
        <v>1.5409999999999999</v>
      </c>
      <c r="AB755" s="41">
        <v>1.635</v>
      </c>
      <c r="AC755" s="41">
        <v>1.972</v>
      </c>
      <c r="AD755" s="41">
        <v>1.724</v>
      </c>
      <c r="AE755" s="41">
        <v>1.762</v>
      </c>
      <c r="AF755" s="41">
        <v>1.7829999999999999</v>
      </c>
      <c r="AG755" s="41">
        <v>1.79</v>
      </c>
      <c r="AH755" s="41">
        <v>1.8049999999999999</v>
      </c>
      <c r="AI755" s="41">
        <v>1.8109999999999999</v>
      </c>
      <c r="AJ755" s="41">
        <v>1.802</v>
      </c>
      <c r="AK755" s="41">
        <v>1.8160000000000001</v>
      </c>
      <c r="AL755" s="41">
        <v>1.8660000000000001</v>
      </c>
      <c r="AM755" s="41">
        <v>1.77</v>
      </c>
      <c r="AN755" s="41">
        <v>1.7649999999999999</v>
      </c>
      <c r="AO755" s="41">
        <v>1.768</v>
      </c>
      <c r="AP755" s="41">
        <v>1.81</v>
      </c>
      <c r="AQ755" s="41">
        <v>1.7909999999999999</v>
      </c>
      <c r="AR755" s="41">
        <v>1.8360000000000001</v>
      </c>
      <c r="AS755" s="41">
        <v>1.909</v>
      </c>
      <c r="AT755" s="41">
        <v>1.889</v>
      </c>
      <c r="AU755" s="41">
        <v>1.887</v>
      </c>
      <c r="AV755" s="41">
        <v>1.9718</v>
      </c>
      <c r="AW755" s="41">
        <v>1.905</v>
      </c>
      <c r="AX755" s="41"/>
      <c r="AY755" s="41"/>
      <c r="AZ755" s="41">
        <v>1.917</v>
      </c>
      <c r="BA755" s="41"/>
      <c r="BB755" s="41"/>
      <c r="BC755" s="41"/>
      <c r="BD755" s="41">
        <v>2.4842</v>
      </c>
      <c r="BE755" s="41">
        <v>2.5207000000000002</v>
      </c>
      <c r="BF755" s="41">
        <v>2.5958999999999999</v>
      </c>
      <c r="BG755" s="41">
        <v>2.6324000000000001</v>
      </c>
      <c r="BH755" s="41"/>
      <c r="BI755" s="41"/>
      <c r="BJ755" s="41">
        <v>2.2585999999999999</v>
      </c>
      <c r="BK755" s="41"/>
      <c r="BL755" s="41"/>
      <c r="BM755" s="41"/>
      <c r="BN755" s="41">
        <f t="shared" si="13"/>
        <v>2.2585999999999999</v>
      </c>
    </row>
    <row r="756" spans="2:66" hidden="1" outlineLevel="1" x14ac:dyDescent="0.35">
      <c r="B756" s="41" t="s">
        <v>511</v>
      </c>
      <c r="C756" s="41" t="s">
        <v>122</v>
      </c>
      <c r="D756" s="41" t="s">
        <v>746</v>
      </c>
      <c r="E756" s="41" t="s">
        <v>745</v>
      </c>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v>3.871</v>
      </c>
      <c r="AF756" s="41">
        <v>3.9390000000000001</v>
      </c>
      <c r="AG756" s="41">
        <v>4.0039999999999996</v>
      </c>
      <c r="AH756" s="41">
        <v>4.04</v>
      </c>
      <c r="AI756" s="41">
        <v>4.085</v>
      </c>
      <c r="AJ756" s="41">
        <v>4.07</v>
      </c>
      <c r="AK756" s="41">
        <v>4.0460000000000003</v>
      </c>
      <c r="AL756" s="41">
        <v>3.8719999999999999</v>
      </c>
      <c r="AM756" s="41">
        <v>3.972</v>
      </c>
      <c r="AN756" s="41">
        <v>3.835</v>
      </c>
      <c r="AO756" s="41">
        <v>3.859</v>
      </c>
      <c r="AP756" s="41">
        <v>4.0960000000000001</v>
      </c>
      <c r="AQ756" s="41">
        <v>4.1550000000000002</v>
      </c>
      <c r="AR756" s="41">
        <v>4.2089999999999996</v>
      </c>
      <c r="AS756" s="41">
        <v>4.194</v>
      </c>
      <c r="AT756" s="41"/>
      <c r="AU756" s="41">
        <v>4.1719999999999997</v>
      </c>
      <c r="AV756" s="41">
        <v>4</v>
      </c>
      <c r="AW756" s="41">
        <v>4.2519999999999998</v>
      </c>
      <c r="AX756" s="41">
        <v>4</v>
      </c>
      <c r="AY756" s="41">
        <v>4</v>
      </c>
      <c r="AZ756" s="41">
        <v>4.3090000000000002</v>
      </c>
      <c r="BA756" s="41"/>
      <c r="BB756" s="41"/>
      <c r="BC756" s="41"/>
      <c r="BD756" s="41">
        <v>2.3984000000000001</v>
      </c>
      <c r="BE756" s="41">
        <v>4.2426000000000004</v>
      </c>
      <c r="BF756" s="41">
        <v>4.0275999999999996</v>
      </c>
      <c r="BG756" s="41">
        <v>4.0152999999999999</v>
      </c>
      <c r="BH756" s="41">
        <v>4.1531000000000002</v>
      </c>
      <c r="BI756" s="41">
        <v>3.9632000000000001</v>
      </c>
      <c r="BJ756" s="41">
        <v>4.0138999999999996</v>
      </c>
      <c r="BK756" s="41"/>
      <c r="BL756" s="41"/>
      <c r="BM756" s="41"/>
      <c r="BN756" s="41">
        <f t="shared" si="13"/>
        <v>4.0138999999999996</v>
      </c>
    </row>
    <row r="757" spans="2:66" hidden="1" outlineLevel="1" x14ac:dyDescent="0.35">
      <c r="B757" s="41" t="s">
        <v>210</v>
      </c>
      <c r="C757" s="41" t="s">
        <v>123</v>
      </c>
      <c r="D757" s="41" t="s">
        <v>746</v>
      </c>
      <c r="E757" s="41" t="s">
        <v>745</v>
      </c>
      <c r="F757" s="41">
        <v>8.0000000000000002E-3</v>
      </c>
      <c r="G757" s="41"/>
      <c r="H757" s="41"/>
      <c r="I757" s="41"/>
      <c r="J757" s="41"/>
      <c r="K757" s="41">
        <v>1.4E-2</v>
      </c>
      <c r="L757" s="41"/>
      <c r="M757" s="41"/>
      <c r="N757" s="41"/>
      <c r="O757" s="41"/>
      <c r="P757" s="41">
        <v>1.7000000000000001E-2</v>
      </c>
      <c r="Q757" s="41"/>
      <c r="R757" s="41"/>
      <c r="S757" s="41"/>
      <c r="T757" s="41"/>
      <c r="U757" s="41">
        <v>1.7000000000000001E-2</v>
      </c>
      <c r="V757" s="41"/>
      <c r="W757" s="41"/>
      <c r="X757" s="41"/>
      <c r="Y757" s="41"/>
      <c r="Z757" s="41">
        <v>3.2000000000000001E-2</v>
      </c>
      <c r="AA757" s="41">
        <v>3.1E-2</v>
      </c>
      <c r="AB757" s="41"/>
      <c r="AC757" s="41">
        <v>2.9000000000000001E-2</v>
      </c>
      <c r="AD757" s="41"/>
      <c r="AE757" s="41">
        <v>2.7E-2</v>
      </c>
      <c r="AF757" s="41"/>
      <c r="AG757" s="41"/>
      <c r="AH757" s="41"/>
      <c r="AI757" s="41">
        <v>0.04</v>
      </c>
      <c r="AJ757" s="41"/>
      <c r="AK757" s="41"/>
      <c r="AL757" s="41"/>
      <c r="AM757" s="41">
        <v>0.04</v>
      </c>
      <c r="AN757" s="41"/>
      <c r="AO757" s="41"/>
      <c r="AP757" s="41"/>
      <c r="AQ757" s="41"/>
      <c r="AR757" s="41"/>
      <c r="AS757" s="41"/>
      <c r="AT757" s="41"/>
      <c r="AU757" s="41"/>
      <c r="AV757" s="41">
        <v>1.9E-2</v>
      </c>
      <c r="AW757" s="41"/>
      <c r="AX757" s="41">
        <v>4.9000000000000002E-2</v>
      </c>
      <c r="AY757" s="41">
        <v>2.4E-2</v>
      </c>
      <c r="AZ757" s="41"/>
      <c r="BA757" s="41"/>
      <c r="BB757" s="41">
        <v>5.1999999999999998E-2</v>
      </c>
      <c r="BC757" s="41">
        <v>5.5E-2</v>
      </c>
      <c r="BD757" s="41">
        <v>5.5E-2</v>
      </c>
      <c r="BE757" s="41"/>
      <c r="BF757" s="41"/>
      <c r="BG757" s="41">
        <v>9.98E-2</v>
      </c>
      <c r="BH757" s="41">
        <v>0.124</v>
      </c>
      <c r="BI757" s="41">
        <v>0.14080000000000001</v>
      </c>
      <c r="BJ757" s="41">
        <v>0.14000000000000001</v>
      </c>
      <c r="BK757" s="41">
        <v>0.1346</v>
      </c>
      <c r="BL757" s="41"/>
      <c r="BM757" s="41"/>
      <c r="BN757" s="41">
        <f t="shared" si="13"/>
        <v>0.1346</v>
      </c>
    </row>
    <row r="758" spans="2:66" hidden="1" outlineLevel="1" x14ac:dyDescent="0.35">
      <c r="B758" s="41" t="s">
        <v>523</v>
      </c>
      <c r="C758" s="41" t="s">
        <v>524</v>
      </c>
      <c r="D758" s="41" t="s">
        <v>746</v>
      </c>
      <c r="E758" s="41" t="s">
        <v>745</v>
      </c>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v>1.0082568083419561</v>
      </c>
      <c r="AK758" s="41"/>
      <c r="AL758" s="41"/>
      <c r="AM758" s="41"/>
      <c r="AN758" s="41"/>
      <c r="AO758" s="41"/>
      <c r="AP758" s="41"/>
      <c r="AQ758" s="41"/>
      <c r="AR758" s="41"/>
      <c r="AS758" s="41"/>
      <c r="AT758" s="41">
        <v>0.50056637364761247</v>
      </c>
      <c r="AU758" s="41"/>
      <c r="AV758" s="41"/>
      <c r="AW758" s="41"/>
      <c r="AX758" s="41"/>
      <c r="AY758" s="41"/>
      <c r="AZ758" s="41"/>
      <c r="BA758" s="41"/>
      <c r="BB758" s="41"/>
      <c r="BC758" s="41"/>
      <c r="BD758" s="41"/>
      <c r="BE758" s="41"/>
      <c r="BF758" s="41"/>
      <c r="BG758" s="41"/>
      <c r="BH758" s="41"/>
      <c r="BI758" s="41">
        <v>0.76812752286180397</v>
      </c>
      <c r="BJ758" s="41"/>
      <c r="BK758" s="41"/>
      <c r="BL758" s="41"/>
      <c r="BM758" s="41"/>
      <c r="BN758" s="41">
        <f t="shared" si="13"/>
        <v>0.76812752286180397</v>
      </c>
    </row>
    <row r="759" spans="2:66" hidden="1" outlineLevel="1" x14ac:dyDescent="0.35">
      <c r="B759" s="41" t="s">
        <v>513</v>
      </c>
      <c r="C759" s="41" t="s">
        <v>124</v>
      </c>
      <c r="D759" s="41" t="s">
        <v>746</v>
      </c>
      <c r="E759" s="41" t="s">
        <v>745</v>
      </c>
      <c r="F759" s="41">
        <v>6.0999999999999999E-2</v>
      </c>
      <c r="G759" s="41"/>
      <c r="H759" s="41"/>
      <c r="I759" s="41"/>
      <c r="J759" s="41"/>
      <c r="K759" s="41">
        <v>0.106</v>
      </c>
      <c r="L759" s="41"/>
      <c r="M759" s="41"/>
      <c r="N759" s="41"/>
      <c r="O759" s="41"/>
      <c r="P759" s="41">
        <v>0.13400000000000001</v>
      </c>
      <c r="Q759" s="41"/>
      <c r="R759" s="41"/>
      <c r="S759" s="41"/>
      <c r="T759" s="41"/>
      <c r="U759" s="41"/>
      <c r="V759" s="41"/>
      <c r="W759" s="41"/>
      <c r="X759" s="41"/>
      <c r="Y759" s="41"/>
      <c r="Z759" s="41"/>
      <c r="AA759" s="41">
        <v>0.55000000000000004</v>
      </c>
      <c r="AB759" s="41"/>
      <c r="AC759" s="41"/>
      <c r="AD759" s="41"/>
      <c r="AE759" s="41"/>
      <c r="AF759" s="41">
        <v>1.3460000000000001</v>
      </c>
      <c r="AG759" s="41"/>
      <c r="AH759" s="41"/>
      <c r="AI759" s="41"/>
      <c r="AJ759" s="41">
        <v>1.4330000000000001</v>
      </c>
      <c r="AK759" s="41"/>
      <c r="AL759" s="41"/>
      <c r="AM759" s="41">
        <v>1.335</v>
      </c>
      <c r="AN759" s="41"/>
      <c r="AO759" s="41"/>
      <c r="AP759" s="41"/>
      <c r="AQ759" s="41">
        <v>1.66</v>
      </c>
      <c r="AR759" s="41"/>
      <c r="AS759" s="41"/>
      <c r="AT759" s="41">
        <v>0.72</v>
      </c>
      <c r="AU759" s="41">
        <v>0.67889999999999995</v>
      </c>
      <c r="AV759" s="41"/>
      <c r="AW759" s="41"/>
      <c r="AX759" s="41">
        <v>1.37</v>
      </c>
      <c r="AY759" s="41"/>
      <c r="AZ759" s="41"/>
      <c r="BA759" s="41">
        <v>1.6220000000000001</v>
      </c>
      <c r="BB759" s="41">
        <v>2.0583999999999998</v>
      </c>
      <c r="BC759" s="41">
        <v>2.0735999999999999</v>
      </c>
      <c r="BD759" s="41">
        <v>2.407</v>
      </c>
      <c r="BE759" s="41">
        <v>2.4632999999999998</v>
      </c>
      <c r="BF759" s="41">
        <v>2.4588000000000001</v>
      </c>
      <c r="BG759" s="41"/>
      <c r="BH759" s="41">
        <v>2.577</v>
      </c>
      <c r="BI759" s="41"/>
      <c r="BJ759" s="41">
        <v>2.39</v>
      </c>
      <c r="BK759" s="41"/>
      <c r="BL759" s="41"/>
      <c r="BM759" s="41"/>
      <c r="BN759" s="41">
        <f t="shared" si="13"/>
        <v>2.39</v>
      </c>
    </row>
    <row r="760" spans="2:66" hidden="1" outlineLevel="1" x14ac:dyDescent="0.35">
      <c r="B760" s="41" t="s">
        <v>233</v>
      </c>
      <c r="C760" s="41" t="s">
        <v>125</v>
      </c>
      <c r="D760" s="41" t="s">
        <v>746</v>
      </c>
      <c r="E760" s="41" t="s">
        <v>745</v>
      </c>
      <c r="F760" s="41">
        <v>0.03</v>
      </c>
      <c r="G760" s="41"/>
      <c r="H760" s="41"/>
      <c r="I760" s="41"/>
      <c r="J760" s="41"/>
      <c r="K760" s="41">
        <v>4.1000000000000002E-2</v>
      </c>
      <c r="L760" s="41"/>
      <c r="M760" s="41"/>
      <c r="N760" s="41"/>
      <c r="O760" s="41"/>
      <c r="P760" s="41">
        <v>6.8000000000000005E-2</v>
      </c>
      <c r="Q760" s="41"/>
      <c r="R760" s="41"/>
      <c r="S760" s="41"/>
      <c r="T760" s="41"/>
      <c r="U760" s="41">
        <v>6.8000000000000005E-2</v>
      </c>
      <c r="V760" s="41"/>
      <c r="W760" s="41"/>
      <c r="X760" s="41"/>
      <c r="Y760" s="41"/>
      <c r="Z760" s="41">
        <v>0.11</v>
      </c>
      <c r="AA760" s="41">
        <v>0.10100000000000001</v>
      </c>
      <c r="AB760" s="41"/>
      <c r="AC760" s="41"/>
      <c r="AD760" s="41">
        <v>9.6000000000000002E-2</v>
      </c>
      <c r="AE760" s="41"/>
      <c r="AF760" s="41">
        <v>0.09</v>
      </c>
      <c r="AG760" s="41"/>
      <c r="AH760" s="41"/>
      <c r="AI760" s="41"/>
      <c r="AJ760" s="41"/>
      <c r="AK760" s="41"/>
      <c r="AL760" s="41"/>
      <c r="AM760" s="41"/>
      <c r="AN760" s="41">
        <v>0.105</v>
      </c>
      <c r="AO760" s="41"/>
      <c r="AP760" s="41">
        <v>0.09</v>
      </c>
      <c r="AQ760" s="41"/>
      <c r="AR760" s="41"/>
      <c r="AS760" s="41"/>
      <c r="AT760" s="41">
        <v>0.158</v>
      </c>
      <c r="AU760" s="41"/>
      <c r="AV760" s="41"/>
      <c r="AW760" s="41"/>
      <c r="AX760" s="41">
        <v>0.25019999999999998</v>
      </c>
      <c r="AY760" s="41"/>
      <c r="AZ760" s="41">
        <v>0.35060000000000002</v>
      </c>
      <c r="BA760" s="41">
        <v>0.35120000000000001</v>
      </c>
      <c r="BB760" s="41">
        <v>0.3281</v>
      </c>
      <c r="BC760" s="41"/>
      <c r="BD760" s="41">
        <v>0.28000000000000003</v>
      </c>
      <c r="BE760" s="41"/>
      <c r="BF760" s="41"/>
      <c r="BG760" s="41"/>
      <c r="BH760" s="41"/>
      <c r="BI760" s="41">
        <v>0.41</v>
      </c>
      <c r="BJ760" s="41"/>
      <c r="BK760" s="41"/>
      <c r="BL760" s="41"/>
      <c r="BM760" s="41"/>
      <c r="BN760" s="41">
        <f t="shared" si="13"/>
        <v>0.41</v>
      </c>
    </row>
    <row r="761" spans="2:66" hidden="1" outlineLevel="1" x14ac:dyDescent="0.35">
      <c r="B761" s="41" t="s">
        <v>212</v>
      </c>
      <c r="C761" s="41" t="s">
        <v>126</v>
      </c>
      <c r="D761" s="41" t="s">
        <v>746</v>
      </c>
      <c r="E761" s="41" t="s">
        <v>745</v>
      </c>
      <c r="F761" s="41">
        <v>4.3999999999999997E-2</v>
      </c>
      <c r="G761" s="41"/>
      <c r="H761" s="41"/>
      <c r="I761" s="41"/>
      <c r="J761" s="41"/>
      <c r="K761" s="41">
        <v>5.0999999999999997E-2</v>
      </c>
      <c r="L761" s="41"/>
      <c r="M761" s="41"/>
      <c r="N761" s="41"/>
      <c r="O761" s="41"/>
      <c r="P761" s="41">
        <v>6.3E-2</v>
      </c>
      <c r="Q761" s="41"/>
      <c r="R761" s="41"/>
      <c r="S761" s="41"/>
      <c r="T761" s="41"/>
      <c r="U761" s="41">
        <v>6.0999999999999999E-2</v>
      </c>
      <c r="V761" s="41"/>
      <c r="W761" s="41"/>
      <c r="X761" s="41"/>
      <c r="Y761" s="41"/>
      <c r="Z761" s="41"/>
      <c r="AA761" s="41">
        <v>7.9000000000000001E-2</v>
      </c>
      <c r="AB761" s="41">
        <v>7.6999999999999999E-2</v>
      </c>
      <c r="AC761" s="41"/>
      <c r="AD761" s="41"/>
      <c r="AE761" s="41"/>
      <c r="AF761" s="41"/>
      <c r="AG761" s="41"/>
      <c r="AH761" s="41"/>
      <c r="AI761" s="41"/>
      <c r="AJ761" s="41">
        <v>5.5E-2</v>
      </c>
      <c r="AK761" s="41"/>
      <c r="AL761" s="41">
        <v>6.8000000000000005E-2</v>
      </c>
      <c r="AM761" s="41"/>
      <c r="AN761" s="41">
        <v>9.6000000000000002E-2</v>
      </c>
      <c r="AO761" s="41">
        <v>7.4999999999999997E-2</v>
      </c>
      <c r="AP761" s="41">
        <v>9.2999999999999999E-2</v>
      </c>
      <c r="AQ761" s="41">
        <v>9.2999999999999999E-2</v>
      </c>
      <c r="AR761" s="41">
        <v>9.5000000000000001E-2</v>
      </c>
      <c r="AS761" s="41"/>
      <c r="AT761" s="41"/>
      <c r="AU761" s="41"/>
      <c r="AV761" s="41"/>
      <c r="AW761" s="41"/>
      <c r="AX761" s="41">
        <v>5.4199999999999998E-2</v>
      </c>
      <c r="AY761" s="41"/>
      <c r="AZ761" s="41"/>
      <c r="BA761" s="41"/>
      <c r="BB761" s="41">
        <v>6.0699999999999997E-2</v>
      </c>
      <c r="BC761" s="41"/>
      <c r="BD761" s="41">
        <v>5.8999999999999997E-2</v>
      </c>
      <c r="BE761" s="41"/>
      <c r="BF761" s="41"/>
      <c r="BG761" s="41">
        <v>0.31030000000000002</v>
      </c>
      <c r="BH761" s="41"/>
      <c r="BI761" s="41">
        <v>0.20180000000000001</v>
      </c>
      <c r="BJ761" s="41">
        <v>6.9199999999999998E-2</v>
      </c>
      <c r="BK761" s="41"/>
      <c r="BL761" s="41"/>
      <c r="BM761" s="41"/>
      <c r="BN761" s="41">
        <f t="shared" si="13"/>
        <v>6.9199999999999998E-2</v>
      </c>
    </row>
    <row r="762" spans="2:66" hidden="1" outlineLevel="1" x14ac:dyDescent="0.35">
      <c r="B762" s="41" t="s">
        <v>515</v>
      </c>
      <c r="C762" s="41" t="s">
        <v>127</v>
      </c>
      <c r="D762" s="41" t="s">
        <v>746</v>
      </c>
      <c r="E762" s="41" t="s">
        <v>745</v>
      </c>
      <c r="F762" s="41">
        <v>0.42</v>
      </c>
      <c r="G762" s="41"/>
      <c r="H762" s="41"/>
      <c r="I762" s="41"/>
      <c r="J762" s="41"/>
      <c r="K762" s="41">
        <v>0.52600000000000002</v>
      </c>
      <c r="L762" s="41"/>
      <c r="M762" s="41"/>
      <c r="N762" s="41"/>
      <c r="O762" s="41"/>
      <c r="P762" s="41">
        <v>0.65700000000000003</v>
      </c>
      <c r="Q762" s="41"/>
      <c r="R762" s="41"/>
      <c r="S762" s="41"/>
      <c r="T762" s="41"/>
      <c r="U762" s="41">
        <v>0.66700000000000004</v>
      </c>
      <c r="V762" s="41"/>
      <c r="W762" s="41"/>
      <c r="X762" s="41"/>
      <c r="Y762" s="41"/>
      <c r="Z762" s="41">
        <v>0.85099999999999998</v>
      </c>
      <c r="AA762" s="41">
        <v>0.877</v>
      </c>
      <c r="AB762" s="41"/>
      <c r="AC762" s="41"/>
      <c r="AD762" s="41"/>
      <c r="AE762" s="41">
        <v>0.998</v>
      </c>
      <c r="AF762" s="41">
        <v>0.72299999999999998</v>
      </c>
      <c r="AG762" s="41"/>
      <c r="AH762" s="41">
        <v>1.111</v>
      </c>
      <c r="AI762" s="41"/>
      <c r="AJ762" s="41">
        <v>1.266</v>
      </c>
      <c r="AK762" s="41">
        <v>1.32</v>
      </c>
      <c r="AL762" s="41">
        <v>1.3480000000000001</v>
      </c>
      <c r="AM762" s="41">
        <v>1.385</v>
      </c>
      <c r="AN762" s="41">
        <v>1.411</v>
      </c>
      <c r="AO762" s="41"/>
      <c r="AP762" s="41"/>
      <c r="AQ762" s="41"/>
      <c r="AR762" s="41">
        <v>1.627</v>
      </c>
      <c r="AS762" s="41">
        <v>1.3945000000000001</v>
      </c>
      <c r="AT762" s="41"/>
      <c r="AU762" s="41">
        <v>1.43</v>
      </c>
      <c r="AV762" s="41"/>
      <c r="AW762" s="41">
        <v>1.5014000000000001</v>
      </c>
      <c r="AX762" s="41">
        <v>1.4856</v>
      </c>
      <c r="AY762" s="41">
        <v>1.5025999999999999</v>
      </c>
      <c r="AZ762" s="41">
        <v>1.5028999999999999</v>
      </c>
      <c r="BA762" s="41">
        <v>1.5603</v>
      </c>
      <c r="BB762" s="41">
        <v>1.6163000000000001</v>
      </c>
      <c r="BC762" s="41">
        <v>1.6761999999999999</v>
      </c>
      <c r="BD762" s="41">
        <v>1.738</v>
      </c>
      <c r="BE762" s="41">
        <v>1.7523</v>
      </c>
      <c r="BF762" s="41">
        <v>1.83</v>
      </c>
      <c r="BG762" s="41">
        <v>1.9286000000000001</v>
      </c>
      <c r="BH762" s="41">
        <v>2.0409999999999999</v>
      </c>
      <c r="BI762" s="41"/>
      <c r="BJ762" s="41">
        <v>2.3062999999999998</v>
      </c>
      <c r="BK762" s="41"/>
      <c r="BL762" s="41"/>
      <c r="BM762" s="41"/>
      <c r="BN762" s="41">
        <f t="shared" si="13"/>
        <v>2.3062999999999998</v>
      </c>
    </row>
    <row r="763" spans="2:66" hidden="1" outlineLevel="1" x14ac:dyDescent="0.35">
      <c r="B763" s="41" t="s">
        <v>255</v>
      </c>
      <c r="C763" s="41" t="s">
        <v>128</v>
      </c>
      <c r="D763" s="41" t="s">
        <v>746</v>
      </c>
      <c r="E763" s="41" t="s">
        <v>745</v>
      </c>
      <c r="F763" s="41">
        <v>0.186</v>
      </c>
      <c r="G763" s="41"/>
      <c r="H763" s="41"/>
      <c r="I763" s="41"/>
      <c r="J763" s="41"/>
      <c r="K763" s="41"/>
      <c r="L763" s="41"/>
      <c r="M763" s="41"/>
      <c r="N763" s="41"/>
      <c r="O763" s="41"/>
      <c r="P763" s="41">
        <v>0.20499999999999999</v>
      </c>
      <c r="Q763" s="41"/>
      <c r="R763" s="41"/>
      <c r="S763" s="41"/>
      <c r="T763" s="41"/>
      <c r="U763" s="41"/>
      <c r="V763" s="41"/>
      <c r="W763" s="41"/>
      <c r="X763" s="41"/>
      <c r="Y763" s="41"/>
      <c r="Z763" s="41"/>
      <c r="AA763" s="41"/>
      <c r="AB763" s="41"/>
      <c r="AC763" s="41"/>
      <c r="AD763" s="41"/>
      <c r="AE763" s="41"/>
      <c r="AF763" s="41">
        <v>0.13500000000000001</v>
      </c>
      <c r="AG763" s="41"/>
      <c r="AH763" s="41"/>
      <c r="AI763" s="41">
        <v>0.152</v>
      </c>
      <c r="AJ763" s="41"/>
      <c r="AK763" s="41"/>
      <c r="AL763" s="41">
        <v>0.157</v>
      </c>
      <c r="AM763" s="41"/>
      <c r="AN763" s="41"/>
      <c r="AO763" s="41">
        <v>0.14000000000000001</v>
      </c>
      <c r="AP763" s="41"/>
      <c r="AQ763" s="41"/>
      <c r="AR763" s="41"/>
      <c r="AS763" s="41">
        <v>0.13450000000000001</v>
      </c>
      <c r="AT763" s="41"/>
      <c r="AU763" s="41"/>
      <c r="AV763" s="41"/>
      <c r="AW763" s="41">
        <v>0.1343</v>
      </c>
      <c r="AX763" s="41"/>
      <c r="AY763" s="41">
        <v>0.18940000000000001</v>
      </c>
      <c r="AZ763" s="41"/>
      <c r="BA763" s="41"/>
      <c r="BB763" s="41">
        <v>0.1764</v>
      </c>
      <c r="BC763" s="41"/>
      <c r="BD763" s="41">
        <v>0.224</v>
      </c>
      <c r="BE763" s="41">
        <v>0.20200000000000001</v>
      </c>
      <c r="BF763" s="41">
        <v>0.15590000000000001</v>
      </c>
      <c r="BG763" s="41">
        <v>0.18990000000000001</v>
      </c>
      <c r="BH763" s="41"/>
      <c r="BI763" s="41"/>
      <c r="BJ763" s="41">
        <v>0.19989999999999999</v>
      </c>
      <c r="BK763" s="41"/>
      <c r="BL763" s="41"/>
      <c r="BM763" s="41"/>
      <c r="BN763" s="41">
        <f t="shared" si="13"/>
        <v>0.19989999999999999</v>
      </c>
    </row>
    <row r="764" spans="2:66" hidden="1" outlineLevel="1" x14ac:dyDescent="0.35">
      <c r="B764" s="41" t="s">
        <v>214</v>
      </c>
      <c r="C764" s="41" t="s">
        <v>129</v>
      </c>
      <c r="D764" s="41" t="s">
        <v>746</v>
      </c>
      <c r="E764" s="41" t="s">
        <v>745</v>
      </c>
      <c r="F764" s="41">
        <v>4.7E-2</v>
      </c>
      <c r="G764" s="41"/>
      <c r="H764" s="41"/>
      <c r="I764" s="41"/>
      <c r="J764" s="41"/>
      <c r="K764" s="41">
        <v>5.8999999999999997E-2</v>
      </c>
      <c r="L764" s="41"/>
      <c r="M764" s="41"/>
      <c r="N764" s="41"/>
      <c r="O764" s="41"/>
      <c r="P764" s="41">
        <v>5.6000000000000001E-2</v>
      </c>
      <c r="Q764" s="41"/>
      <c r="R764" s="41"/>
      <c r="S764" s="41"/>
      <c r="T764" s="41"/>
      <c r="U764" s="41">
        <v>5.3999999999999999E-2</v>
      </c>
      <c r="V764" s="41"/>
      <c r="W764" s="41"/>
      <c r="X764" s="41"/>
      <c r="Y764" s="41"/>
      <c r="Z764" s="41">
        <v>5.8000000000000003E-2</v>
      </c>
      <c r="AA764" s="41">
        <v>5.2999999999999999E-2</v>
      </c>
      <c r="AB764" s="41"/>
      <c r="AC764" s="41"/>
      <c r="AD764" s="41">
        <v>7.4999999999999997E-2</v>
      </c>
      <c r="AE764" s="41"/>
      <c r="AF764" s="41"/>
      <c r="AG764" s="41"/>
      <c r="AH764" s="41"/>
      <c r="AI764" s="41"/>
      <c r="AJ764" s="41"/>
      <c r="AK764" s="41"/>
      <c r="AL764" s="41"/>
      <c r="AM764" s="41"/>
      <c r="AN764" s="41"/>
      <c r="AO764" s="41"/>
      <c r="AP764" s="41">
        <v>7.2999999999999995E-2</v>
      </c>
      <c r="AQ764" s="41"/>
      <c r="AR764" s="41"/>
      <c r="AS764" s="41"/>
      <c r="AT764" s="41"/>
      <c r="AU764" s="41"/>
      <c r="AV764" s="41"/>
      <c r="AW764" s="41"/>
      <c r="AX764" s="41">
        <v>3.09E-2</v>
      </c>
      <c r="AY764" s="41"/>
      <c r="AZ764" s="41"/>
      <c r="BA764" s="41"/>
      <c r="BB764" s="41">
        <v>1.54E-2</v>
      </c>
      <c r="BC764" s="41"/>
      <c r="BD764" s="41">
        <v>2.1100000000000001E-2</v>
      </c>
      <c r="BE764" s="41">
        <v>2.5000000000000001E-2</v>
      </c>
      <c r="BF764" s="41"/>
      <c r="BG764" s="41"/>
      <c r="BH764" s="41"/>
      <c r="BI764" s="41"/>
      <c r="BJ764" s="41"/>
      <c r="BK764" s="41"/>
      <c r="BL764" s="41"/>
      <c r="BM764" s="41"/>
      <c r="BN764" s="41">
        <f t="shared" si="13"/>
        <v>2.5000000000000001E-2</v>
      </c>
    </row>
    <row r="765" spans="2:66" hidden="1" outlineLevel="1" x14ac:dyDescent="0.35">
      <c r="B765" s="41" t="s">
        <v>222</v>
      </c>
      <c r="C765" s="41" t="s">
        <v>164</v>
      </c>
      <c r="D765" s="41" t="s">
        <v>746</v>
      </c>
      <c r="E765" s="41" t="s">
        <v>745</v>
      </c>
      <c r="F765" s="41">
        <v>0.187</v>
      </c>
      <c r="G765" s="41"/>
      <c r="H765" s="41"/>
      <c r="I765" s="41"/>
      <c r="J765" s="41"/>
      <c r="K765" s="41"/>
      <c r="L765" s="41"/>
      <c r="M765" s="41"/>
      <c r="N765" s="41"/>
      <c r="O765" s="41"/>
      <c r="P765" s="41">
        <v>0.24299999999999999</v>
      </c>
      <c r="Q765" s="41"/>
      <c r="R765" s="41"/>
      <c r="S765" s="41"/>
      <c r="T765" s="41"/>
      <c r="U765" s="41">
        <v>0.24199999999999999</v>
      </c>
      <c r="V765" s="41"/>
      <c r="W765" s="41"/>
      <c r="X765" s="41"/>
      <c r="Y765" s="41"/>
      <c r="Z765" s="41">
        <v>0.32600000000000001</v>
      </c>
      <c r="AA765" s="41">
        <v>0.38700000000000001</v>
      </c>
      <c r="AB765" s="41"/>
      <c r="AC765" s="41"/>
      <c r="AD765" s="41">
        <v>0.35199999999999998</v>
      </c>
      <c r="AE765" s="41"/>
      <c r="AF765" s="41"/>
      <c r="AG765" s="41"/>
      <c r="AH765" s="41">
        <v>0.64700000000000002</v>
      </c>
      <c r="AI765" s="41"/>
      <c r="AJ765" s="41">
        <v>0.84</v>
      </c>
      <c r="AK765" s="41"/>
      <c r="AL765" s="41"/>
      <c r="AM765" s="41">
        <v>0.66</v>
      </c>
      <c r="AN765" s="41"/>
      <c r="AO765" s="41">
        <v>0.91</v>
      </c>
      <c r="AP765" s="41"/>
      <c r="AQ765" s="41">
        <v>1.071</v>
      </c>
      <c r="AR765" s="41"/>
      <c r="AS765" s="41">
        <v>1.2477</v>
      </c>
      <c r="AT765" s="41">
        <v>1.2110000000000001</v>
      </c>
      <c r="AU765" s="41"/>
      <c r="AV765" s="41">
        <v>1.3363</v>
      </c>
      <c r="AW765" s="41"/>
      <c r="AX765" s="41"/>
      <c r="AY765" s="41">
        <v>1.7175</v>
      </c>
      <c r="AZ765" s="41">
        <v>1.5</v>
      </c>
      <c r="BA765" s="41"/>
      <c r="BB765" s="41">
        <v>1.8889</v>
      </c>
      <c r="BC765" s="41"/>
      <c r="BD765" s="41">
        <v>1.5960000000000001</v>
      </c>
      <c r="BE765" s="41"/>
      <c r="BF765" s="41"/>
      <c r="BG765" s="41"/>
      <c r="BH765" s="41"/>
      <c r="BI765" s="41"/>
      <c r="BJ765" s="41">
        <v>1.569</v>
      </c>
      <c r="BK765" s="41"/>
      <c r="BL765" s="41"/>
      <c r="BM765" s="41"/>
      <c r="BN765" s="41">
        <f t="shared" si="13"/>
        <v>1.569</v>
      </c>
    </row>
    <row r="766" spans="2:66" hidden="1" outlineLevel="1" x14ac:dyDescent="0.35">
      <c r="B766" s="41" t="s">
        <v>512</v>
      </c>
      <c r="C766" s="41" t="s">
        <v>130</v>
      </c>
      <c r="D766" s="41" t="s">
        <v>746</v>
      </c>
      <c r="E766" s="41" t="s">
        <v>745</v>
      </c>
      <c r="F766" s="41"/>
      <c r="G766" s="41"/>
      <c r="H766" s="41"/>
      <c r="I766" s="41"/>
      <c r="J766" s="41"/>
      <c r="K766" s="41"/>
      <c r="L766" s="41"/>
      <c r="M766" s="41"/>
      <c r="N766" s="41"/>
      <c r="O766" s="41"/>
      <c r="P766" s="41"/>
      <c r="Q766" s="41"/>
      <c r="R766" s="41"/>
      <c r="S766" s="41"/>
      <c r="T766" s="41"/>
      <c r="U766" s="41"/>
      <c r="V766" s="41"/>
      <c r="W766" s="41"/>
      <c r="X766" s="41"/>
      <c r="Y766" s="41"/>
      <c r="Z766" s="41">
        <v>2.06</v>
      </c>
      <c r="AA766" s="41">
        <v>2.218</v>
      </c>
      <c r="AB766" s="41">
        <v>2.181</v>
      </c>
      <c r="AC766" s="41">
        <v>2.2469999999999999</v>
      </c>
      <c r="AD766" s="41">
        <v>2.1659999999999999</v>
      </c>
      <c r="AE766" s="41">
        <v>2.2869999999999999</v>
      </c>
      <c r="AF766" s="41">
        <v>2.399</v>
      </c>
      <c r="AG766" s="41">
        <v>2.5190000000000001</v>
      </c>
      <c r="AH766" s="41">
        <v>2.5379999999999998</v>
      </c>
      <c r="AI766" s="41">
        <v>2.423</v>
      </c>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v>4.9206000000000003</v>
      </c>
      <c r="BF766" s="41">
        <v>5.1410999999999998</v>
      </c>
      <c r="BG766" s="41">
        <v>5.0773999999999999</v>
      </c>
      <c r="BH766" s="41">
        <v>6.1467999999999998</v>
      </c>
      <c r="BI766" s="41"/>
      <c r="BJ766" s="41"/>
      <c r="BK766" s="41"/>
      <c r="BL766" s="41"/>
      <c r="BM766" s="41"/>
      <c r="BN766" s="41">
        <f t="shared" si="13"/>
        <v>6.1467999999999998</v>
      </c>
    </row>
    <row r="767" spans="2:66" hidden="1" outlineLevel="1" x14ac:dyDescent="0.35">
      <c r="B767" s="41" t="s">
        <v>232</v>
      </c>
      <c r="C767" s="41" t="s">
        <v>171</v>
      </c>
      <c r="D767" s="41" t="s">
        <v>746</v>
      </c>
      <c r="E767" s="41" t="s">
        <v>745</v>
      </c>
      <c r="F767" s="41">
        <v>2.4E-2</v>
      </c>
      <c r="G767" s="41"/>
      <c r="H767" s="41"/>
      <c r="I767" s="41"/>
      <c r="J767" s="41"/>
      <c r="K767" s="41">
        <v>2.7E-2</v>
      </c>
      <c r="L767" s="41"/>
      <c r="M767" s="41"/>
      <c r="N767" s="41"/>
      <c r="O767" s="41"/>
      <c r="P767" s="41">
        <v>3.6999999999999998E-2</v>
      </c>
      <c r="Q767" s="41"/>
      <c r="R767" s="41"/>
      <c r="S767" s="41"/>
      <c r="T767" s="41"/>
      <c r="U767" s="41">
        <v>3.7999999999999999E-2</v>
      </c>
      <c r="V767" s="41"/>
      <c r="W767" s="41"/>
      <c r="X767" s="41"/>
      <c r="Y767" s="41"/>
      <c r="Z767" s="41">
        <v>4.5999999999999999E-2</v>
      </c>
      <c r="AA767" s="41">
        <v>4.1000000000000002E-2</v>
      </c>
      <c r="AB767" s="41"/>
      <c r="AC767" s="41"/>
      <c r="AD767" s="41">
        <v>7.0999999999999994E-2</v>
      </c>
      <c r="AE767" s="41"/>
      <c r="AF767" s="41"/>
      <c r="AG767" s="41"/>
      <c r="AH767" s="41"/>
      <c r="AI767" s="41"/>
      <c r="AJ767" s="41"/>
      <c r="AK767" s="41"/>
      <c r="AL767" s="41"/>
      <c r="AM767" s="41">
        <v>4.2000000000000003E-2</v>
      </c>
      <c r="AN767" s="41"/>
      <c r="AO767" s="41"/>
      <c r="AP767" s="41"/>
      <c r="AQ767" s="41">
        <v>0.04</v>
      </c>
      <c r="AR767" s="41"/>
      <c r="AS767" s="41"/>
      <c r="AT767" s="41"/>
      <c r="AU767" s="41"/>
      <c r="AV767" s="41"/>
      <c r="AW767" s="41"/>
      <c r="AX767" s="41"/>
      <c r="AY767" s="41"/>
      <c r="AZ767" s="41">
        <v>2.8000000000000001E-2</v>
      </c>
      <c r="BA767" s="41"/>
      <c r="BB767" s="41"/>
      <c r="BC767" s="41"/>
      <c r="BD767" s="41">
        <v>3.5000000000000003E-2</v>
      </c>
      <c r="BE767" s="41"/>
      <c r="BF767" s="41"/>
      <c r="BG767" s="41"/>
      <c r="BH767" s="41">
        <v>2.29E-2</v>
      </c>
      <c r="BI767" s="41"/>
      <c r="BJ767" s="41"/>
      <c r="BK767" s="41"/>
      <c r="BL767" s="41"/>
      <c r="BM767" s="41"/>
      <c r="BN767" s="41">
        <f t="shared" si="13"/>
        <v>2.29E-2</v>
      </c>
    </row>
    <row r="768" spans="2:66" hidden="1" outlineLevel="1" x14ac:dyDescent="0.35">
      <c r="B768" s="41" t="s">
        <v>514</v>
      </c>
      <c r="C768" s="41" t="s">
        <v>131</v>
      </c>
      <c r="D768" s="41" t="s">
        <v>746</v>
      </c>
      <c r="E768" s="41" t="s">
        <v>745</v>
      </c>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v>1.99</v>
      </c>
      <c r="BA768" s="41">
        <v>2.0350000000000001</v>
      </c>
      <c r="BB768" s="41"/>
      <c r="BC768" s="41">
        <v>2.2974000000000001</v>
      </c>
      <c r="BD768" s="41">
        <v>2.4714</v>
      </c>
      <c r="BE768" s="41">
        <v>2.492</v>
      </c>
      <c r="BF768" s="41">
        <v>2.4912999999999998</v>
      </c>
      <c r="BG768" s="41">
        <v>2.4941</v>
      </c>
      <c r="BH768" s="41">
        <v>2.4649000000000001</v>
      </c>
      <c r="BI768" s="41"/>
      <c r="BJ768" s="41">
        <v>3.125</v>
      </c>
      <c r="BK768" s="41"/>
      <c r="BL768" s="41"/>
      <c r="BM768" s="41"/>
      <c r="BN768" s="41">
        <f t="shared" si="13"/>
        <v>3.125</v>
      </c>
    </row>
    <row r="769" spans="2:66" hidden="1" outlineLevel="1" x14ac:dyDescent="0.35">
      <c r="B769" s="41" t="s">
        <v>539</v>
      </c>
      <c r="C769" s="41" t="s">
        <v>540</v>
      </c>
      <c r="D769" s="41" t="s">
        <v>746</v>
      </c>
      <c r="E769" s="41" t="s">
        <v>745</v>
      </c>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v>0.13676665371665406</v>
      </c>
      <c r="AK769" s="41"/>
      <c r="AL769" s="41"/>
      <c r="AM769" s="41"/>
      <c r="AN769" s="41"/>
      <c r="AO769" s="41"/>
      <c r="AP769" s="41"/>
      <c r="AQ769" s="41"/>
      <c r="AR769" s="41"/>
      <c r="AS769" s="41"/>
      <c r="AT769" s="41">
        <v>0.12275672687922147</v>
      </c>
      <c r="AU769" s="41"/>
      <c r="AV769" s="41"/>
      <c r="AW769" s="41"/>
      <c r="AX769" s="41"/>
      <c r="AY769" s="41"/>
      <c r="AZ769" s="41"/>
      <c r="BA769" s="41"/>
      <c r="BB769" s="41"/>
      <c r="BC769" s="41"/>
      <c r="BD769" s="41"/>
      <c r="BE769" s="41"/>
      <c r="BF769" s="41"/>
      <c r="BG769" s="41"/>
      <c r="BH769" s="41"/>
      <c r="BI769" s="41">
        <v>0.2195762670475227</v>
      </c>
      <c r="BJ769" s="41"/>
      <c r="BK769" s="41"/>
      <c r="BL769" s="41"/>
      <c r="BM769" s="41"/>
      <c r="BN769" s="41">
        <f t="shared" si="13"/>
        <v>0.2195762670475227</v>
      </c>
    </row>
    <row r="770" spans="2:66" hidden="1" outlineLevel="1" x14ac:dyDescent="0.35">
      <c r="B770" s="41" t="s">
        <v>527</v>
      </c>
      <c r="C770" s="41" t="s">
        <v>528</v>
      </c>
      <c r="D770" s="41" t="s">
        <v>746</v>
      </c>
      <c r="E770" s="41" t="s">
        <v>745</v>
      </c>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t="str">
        <f t="shared" si="13"/>
        <v>No reported value</v>
      </c>
    </row>
    <row r="771" spans="2:66" hidden="1" outlineLevel="1" x14ac:dyDescent="0.35">
      <c r="B771" s="41" t="s">
        <v>537</v>
      </c>
      <c r="C771" s="41" t="s">
        <v>538</v>
      </c>
      <c r="D771" s="41" t="s">
        <v>746</v>
      </c>
      <c r="E771" s="41" t="s">
        <v>745</v>
      </c>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v>0.136766653716654</v>
      </c>
      <c r="AK771" s="41"/>
      <c r="AL771" s="41"/>
      <c r="AM771" s="41"/>
      <c r="AN771" s="41"/>
      <c r="AO771" s="41"/>
      <c r="AP771" s="41"/>
      <c r="AQ771" s="41"/>
      <c r="AR771" s="41"/>
      <c r="AS771" s="41"/>
      <c r="AT771" s="41">
        <v>0.12275672687922148</v>
      </c>
      <c r="AU771" s="41"/>
      <c r="AV771" s="41"/>
      <c r="AW771" s="41"/>
      <c r="AX771" s="41"/>
      <c r="AY771" s="41"/>
      <c r="AZ771" s="41"/>
      <c r="BA771" s="41"/>
      <c r="BB771" s="41"/>
      <c r="BC771" s="41"/>
      <c r="BD771" s="41"/>
      <c r="BE771" s="41"/>
      <c r="BF771" s="41"/>
      <c r="BG771" s="41"/>
      <c r="BH771" s="41"/>
      <c r="BI771" s="41">
        <v>0.2196453959396874</v>
      </c>
      <c r="BJ771" s="41"/>
      <c r="BK771" s="41"/>
      <c r="BL771" s="41"/>
      <c r="BM771" s="41"/>
      <c r="BN771" s="41">
        <f t="shared" si="13"/>
        <v>0.2196453959396874</v>
      </c>
    </row>
    <row r="772" spans="2:66" hidden="1" outlineLevel="1" x14ac:dyDescent="0.35">
      <c r="B772" s="41" t="s">
        <v>521</v>
      </c>
      <c r="C772" s="41" t="s">
        <v>522</v>
      </c>
      <c r="D772" s="41" t="s">
        <v>746</v>
      </c>
      <c r="E772" s="41" t="s">
        <v>745</v>
      </c>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v>0.75497918763941696</v>
      </c>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v>0.89873717540380282</v>
      </c>
      <c r="BJ772" s="41"/>
      <c r="BK772" s="41"/>
      <c r="BL772" s="41"/>
      <c r="BM772" s="41"/>
      <c r="BN772" s="41">
        <f t="shared" si="13"/>
        <v>0.89873717540380282</v>
      </c>
    </row>
    <row r="773" spans="2:66" hidden="1" outlineLevel="1" x14ac:dyDescent="0.35">
      <c r="B773" s="41" t="s">
        <v>211</v>
      </c>
      <c r="C773" s="41" t="s">
        <v>175</v>
      </c>
      <c r="D773" s="41" t="s">
        <v>746</v>
      </c>
      <c r="E773" s="41" t="s">
        <v>745</v>
      </c>
      <c r="F773" s="41">
        <v>0.3</v>
      </c>
      <c r="G773" s="41"/>
      <c r="H773" s="41"/>
      <c r="I773" s="41"/>
      <c r="J773" s="41"/>
      <c r="K773" s="41"/>
      <c r="L773" s="41"/>
      <c r="M773" s="41"/>
      <c r="N773" s="41"/>
      <c r="O773" s="41"/>
      <c r="P773" s="41">
        <v>0.23300000000000001</v>
      </c>
      <c r="Q773" s="41"/>
      <c r="R773" s="41"/>
      <c r="S773" s="41"/>
      <c r="T773" s="41"/>
      <c r="U773" s="41"/>
      <c r="V773" s="41"/>
      <c r="W773" s="41"/>
      <c r="X773" s="41"/>
      <c r="Y773" s="41"/>
      <c r="Z773" s="41">
        <v>0.438</v>
      </c>
      <c r="AA773" s="41">
        <v>0.41899999999999998</v>
      </c>
      <c r="AB773" s="41"/>
      <c r="AC773" s="41">
        <v>0.53700000000000003</v>
      </c>
      <c r="AD773" s="41"/>
      <c r="AE773" s="41"/>
      <c r="AF773" s="41"/>
      <c r="AG773" s="41"/>
      <c r="AH773" s="41"/>
      <c r="AI773" s="41">
        <v>0.54600000000000004</v>
      </c>
      <c r="AJ773" s="41">
        <v>0.53</v>
      </c>
      <c r="AK773" s="41"/>
      <c r="AL773" s="41">
        <v>0.32800000000000001</v>
      </c>
      <c r="AM773" s="41"/>
      <c r="AN773" s="41"/>
      <c r="AO773" s="41"/>
      <c r="AP773" s="41">
        <v>0.46700000000000003</v>
      </c>
      <c r="AQ773" s="41"/>
      <c r="AR773" s="41"/>
      <c r="AS773" s="41"/>
      <c r="AT773" s="41"/>
      <c r="AU773" s="41"/>
      <c r="AV773" s="41"/>
      <c r="AW773" s="41"/>
      <c r="AX773" s="41">
        <v>0.53290000000000004</v>
      </c>
      <c r="AY773" s="41"/>
      <c r="AZ773" s="41"/>
      <c r="BA773" s="41"/>
      <c r="BB773" s="41"/>
      <c r="BC773" s="41"/>
      <c r="BD773" s="41"/>
      <c r="BE773" s="41"/>
      <c r="BF773" s="41"/>
      <c r="BG773" s="41"/>
      <c r="BH773" s="41"/>
      <c r="BI773" s="41">
        <v>0.32</v>
      </c>
      <c r="BJ773" s="41"/>
      <c r="BK773" s="41"/>
      <c r="BL773" s="41"/>
      <c r="BM773" s="41"/>
      <c r="BN773" s="41">
        <f t="shared" si="13"/>
        <v>0.32</v>
      </c>
    </row>
    <row r="774" spans="2:66" hidden="1" outlineLevel="1" x14ac:dyDescent="0.35">
      <c r="B774" s="41" t="s">
        <v>229</v>
      </c>
      <c r="C774" s="41" t="s">
        <v>170</v>
      </c>
      <c r="D774" s="41" t="s">
        <v>746</v>
      </c>
      <c r="E774" s="41" t="s">
        <v>745</v>
      </c>
      <c r="F774" s="41">
        <v>0.51</v>
      </c>
      <c r="G774" s="41"/>
      <c r="H774" s="41"/>
      <c r="I774" s="41"/>
      <c r="J774" s="41"/>
      <c r="K774" s="41"/>
      <c r="L774" s="41"/>
      <c r="M774" s="41"/>
      <c r="N774" s="41"/>
      <c r="O774" s="41"/>
      <c r="P774" s="41">
        <v>0.46500000000000002</v>
      </c>
      <c r="Q774" s="41"/>
      <c r="R774" s="41"/>
      <c r="S774" s="41"/>
      <c r="T774" s="41"/>
      <c r="U774" s="41"/>
      <c r="V774" s="41"/>
      <c r="W774" s="41"/>
      <c r="X774" s="41"/>
      <c r="Y774" s="41"/>
      <c r="Z774" s="41"/>
      <c r="AA774" s="41"/>
      <c r="AB774" s="41"/>
      <c r="AC774" s="41"/>
      <c r="AD774" s="41">
        <v>0.79100000000000004</v>
      </c>
      <c r="AE774" s="41"/>
      <c r="AF774" s="41"/>
      <c r="AG774" s="41"/>
      <c r="AH774" s="41"/>
      <c r="AI774" s="41"/>
      <c r="AJ774" s="41">
        <v>0.75</v>
      </c>
      <c r="AK774" s="41"/>
      <c r="AL774" s="41"/>
      <c r="AM774" s="41">
        <v>0.76200000000000001</v>
      </c>
      <c r="AN774" s="41"/>
      <c r="AO774" s="41">
        <v>0.75</v>
      </c>
      <c r="AP774" s="41">
        <v>0.252</v>
      </c>
      <c r="AQ774" s="41"/>
      <c r="AR774" s="41"/>
      <c r="AS774" s="41"/>
      <c r="AT774" s="41">
        <v>0.40429999999999999</v>
      </c>
      <c r="AU774" s="41"/>
      <c r="AV774" s="41"/>
      <c r="AW774" s="41"/>
      <c r="AX774" s="41">
        <v>0.81040000000000001</v>
      </c>
      <c r="AY774" s="41"/>
      <c r="AZ774" s="41"/>
      <c r="BA774" s="41"/>
      <c r="BB774" s="41"/>
      <c r="BC774" s="41">
        <v>0.70879999999999999</v>
      </c>
      <c r="BD774" s="41"/>
      <c r="BE774" s="41"/>
      <c r="BF774" s="41"/>
      <c r="BG774" s="41"/>
      <c r="BH774" s="41"/>
      <c r="BI774" s="41"/>
      <c r="BJ774" s="41"/>
      <c r="BK774" s="41"/>
      <c r="BL774" s="41">
        <v>1.2264999999999999</v>
      </c>
      <c r="BM774" s="41"/>
      <c r="BN774" s="41">
        <f t="shared" si="13"/>
        <v>1.2264999999999999</v>
      </c>
    </row>
    <row r="775" spans="2:66" hidden="1" outlineLevel="1" x14ac:dyDescent="0.35">
      <c r="B775" s="41" t="s">
        <v>518</v>
      </c>
      <c r="C775" s="41" t="s">
        <v>519</v>
      </c>
      <c r="D775" s="41" t="s">
        <v>746</v>
      </c>
      <c r="E775" s="41" t="s">
        <v>745</v>
      </c>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v>3.2</v>
      </c>
      <c r="AU775" s="41">
        <v>3.1</v>
      </c>
      <c r="AV775" s="41">
        <v>3.1</v>
      </c>
      <c r="AW775" s="41">
        <v>3.1789999999999998</v>
      </c>
      <c r="AX775" s="41">
        <v>3.12</v>
      </c>
      <c r="AY775" s="41"/>
      <c r="AZ775" s="41"/>
      <c r="BA775" s="41">
        <v>3.0049999999999999</v>
      </c>
      <c r="BB775" s="41"/>
      <c r="BC775" s="41">
        <v>3.2955000000000001</v>
      </c>
      <c r="BD775" s="41"/>
      <c r="BE775" s="41"/>
      <c r="BF775" s="41"/>
      <c r="BG775" s="41">
        <v>3.3833000000000002</v>
      </c>
      <c r="BH775" s="41"/>
      <c r="BI775" s="41">
        <v>3.4413999999999998</v>
      </c>
      <c r="BJ775" s="41">
        <v>2.4643000000000002</v>
      </c>
      <c r="BK775" s="41"/>
      <c r="BL775" s="41"/>
      <c r="BM775" s="41"/>
      <c r="BN775" s="41">
        <f t="shared" si="13"/>
        <v>2.4643000000000002</v>
      </c>
    </row>
    <row r="776" spans="2:66" hidden="1" outlineLevel="1" x14ac:dyDescent="0.35">
      <c r="B776" s="41" t="s">
        <v>520</v>
      </c>
      <c r="C776" s="41" t="s">
        <v>132</v>
      </c>
      <c r="D776" s="41" t="s">
        <v>746</v>
      </c>
      <c r="E776" s="41" t="s">
        <v>745</v>
      </c>
      <c r="F776" s="41"/>
      <c r="G776" s="41"/>
      <c r="H776" s="41"/>
      <c r="I776" s="41"/>
      <c r="J776" s="41"/>
      <c r="K776" s="41"/>
      <c r="L776" s="41"/>
      <c r="M776" s="41"/>
      <c r="N776" s="41"/>
      <c r="O776" s="41"/>
      <c r="P776" s="41"/>
      <c r="Q776" s="41"/>
      <c r="R776" s="41"/>
      <c r="S776" s="41"/>
      <c r="T776" s="41"/>
      <c r="U776" s="41"/>
      <c r="V776" s="41"/>
      <c r="W776" s="41"/>
      <c r="X776" s="41"/>
      <c r="Y776" s="41"/>
      <c r="Z776" s="41">
        <v>1.7709999999999999</v>
      </c>
      <c r="AA776" s="41"/>
      <c r="AB776" s="41">
        <v>1.843</v>
      </c>
      <c r="AC776" s="41"/>
      <c r="AD776" s="41">
        <v>1.861</v>
      </c>
      <c r="AE776" s="41">
        <v>1.879</v>
      </c>
      <c r="AF776" s="41">
        <v>1.8819999999999999</v>
      </c>
      <c r="AG776" s="41">
        <v>2.004</v>
      </c>
      <c r="AH776" s="41">
        <v>2.024</v>
      </c>
      <c r="AI776" s="41">
        <v>2.0630000000000002</v>
      </c>
      <c r="AJ776" s="41">
        <v>1.99</v>
      </c>
      <c r="AK776" s="41">
        <v>2.0790000000000002</v>
      </c>
      <c r="AL776" s="41">
        <v>2.0910000000000002</v>
      </c>
      <c r="AM776" s="41">
        <v>2.0299999999999998</v>
      </c>
      <c r="AN776" s="41">
        <v>2.19</v>
      </c>
      <c r="AO776" s="41">
        <v>2.121</v>
      </c>
      <c r="AP776" s="41">
        <v>2.1349999999999998</v>
      </c>
      <c r="AQ776" s="41">
        <v>2.1469999999999998</v>
      </c>
      <c r="AR776" s="41">
        <v>2.1779999999999999</v>
      </c>
      <c r="AS776" s="41">
        <v>2.1349999999999998</v>
      </c>
      <c r="AT776" s="41">
        <v>2.17</v>
      </c>
      <c r="AU776" s="41">
        <v>2.194</v>
      </c>
      <c r="AV776" s="41">
        <v>2.2530000000000001</v>
      </c>
      <c r="AW776" s="41"/>
      <c r="AX776" s="41"/>
      <c r="AY776" s="41">
        <v>2.4</v>
      </c>
      <c r="AZ776" s="41">
        <v>2.4239999999999999</v>
      </c>
      <c r="BA776" s="41"/>
      <c r="BB776" s="41">
        <v>2.4729999999999999</v>
      </c>
      <c r="BC776" s="41"/>
      <c r="BD776" s="41">
        <v>2.4344999999999999</v>
      </c>
      <c r="BE776" s="41">
        <v>2.4939</v>
      </c>
      <c r="BF776" s="41">
        <v>2.5373999999999999</v>
      </c>
      <c r="BG776" s="41">
        <v>2.6214</v>
      </c>
      <c r="BH776" s="41">
        <v>2.7582</v>
      </c>
      <c r="BI776" s="41">
        <v>2.8098999999999998</v>
      </c>
      <c r="BJ776" s="41">
        <v>2.9952999999999999</v>
      </c>
      <c r="BK776" s="41"/>
      <c r="BL776" s="41"/>
      <c r="BM776" s="41"/>
      <c r="BN776" s="41">
        <f t="shared" si="13"/>
        <v>2.9952999999999999</v>
      </c>
    </row>
    <row r="777" spans="2:66" hidden="1" outlineLevel="1" x14ac:dyDescent="0.35">
      <c r="B777" s="41" t="s">
        <v>543</v>
      </c>
      <c r="C777" s="41" t="s">
        <v>133</v>
      </c>
      <c r="D777" s="41" t="s">
        <v>746</v>
      </c>
      <c r="E777" s="41" t="s">
        <v>745</v>
      </c>
      <c r="F777" s="41">
        <v>1</v>
      </c>
      <c r="G777" s="41">
        <v>1</v>
      </c>
      <c r="H777" s="41">
        <v>1</v>
      </c>
      <c r="I777" s="41">
        <v>1</v>
      </c>
      <c r="J777" s="41">
        <v>1.1000000000000001</v>
      </c>
      <c r="K777" s="41">
        <v>1.1000000000000001</v>
      </c>
      <c r="L777" s="41">
        <v>1.1000000000000001</v>
      </c>
      <c r="M777" s="41">
        <v>1.2</v>
      </c>
      <c r="N777" s="41">
        <v>1.2</v>
      </c>
      <c r="O777" s="41">
        <v>1.3</v>
      </c>
      <c r="P777" s="41">
        <v>1.3</v>
      </c>
      <c r="Q777" s="41">
        <v>1.4</v>
      </c>
      <c r="R777" s="41">
        <v>1.5</v>
      </c>
      <c r="S777" s="41">
        <v>1.5</v>
      </c>
      <c r="T777" s="41">
        <v>1.6</v>
      </c>
      <c r="U777" s="41">
        <v>1.7</v>
      </c>
      <c r="V777" s="41">
        <v>1.8</v>
      </c>
      <c r="W777" s="41">
        <v>1.9</v>
      </c>
      <c r="X777" s="41">
        <v>2</v>
      </c>
      <c r="Y777" s="41">
        <v>2</v>
      </c>
      <c r="Z777" s="41">
        <v>2.2000000000000002</v>
      </c>
      <c r="AA777" s="41">
        <v>2.2999999999999998</v>
      </c>
      <c r="AB777" s="41">
        <v>2.2999999999999998</v>
      </c>
      <c r="AC777" s="41">
        <v>2.4</v>
      </c>
      <c r="AD777" s="41">
        <v>2.6</v>
      </c>
      <c r="AE777" s="41">
        <v>2.6</v>
      </c>
      <c r="AF777" s="41">
        <v>2.8</v>
      </c>
      <c r="AG777" s="41">
        <v>2.8</v>
      </c>
      <c r="AH777" s="41">
        <v>2.8</v>
      </c>
      <c r="AI777" s="41">
        <v>2.8</v>
      </c>
      <c r="AJ777" s="41">
        <v>2.9</v>
      </c>
      <c r="AK777" s="41"/>
      <c r="AL777" s="41">
        <v>2.7</v>
      </c>
      <c r="AM777" s="41">
        <v>2.7</v>
      </c>
      <c r="AN777" s="41">
        <v>2.8</v>
      </c>
      <c r="AO777" s="41">
        <v>2.9</v>
      </c>
      <c r="AP777" s="41">
        <v>2.9</v>
      </c>
      <c r="AQ777" s="41">
        <v>2.9</v>
      </c>
      <c r="AR777" s="41">
        <v>3</v>
      </c>
      <c r="AS777" s="41">
        <v>3</v>
      </c>
      <c r="AT777" s="41">
        <v>3.1</v>
      </c>
      <c r="AU777" s="41">
        <v>3.2</v>
      </c>
      <c r="AV777" s="41">
        <v>3.2839999999999998</v>
      </c>
      <c r="AW777" s="41"/>
      <c r="AX777" s="41">
        <v>3.28</v>
      </c>
      <c r="AY777" s="41"/>
      <c r="AZ777" s="41">
        <v>3.5830000000000002</v>
      </c>
      <c r="BA777" s="41">
        <v>3.2404999999999999</v>
      </c>
      <c r="BB777" s="41">
        <v>3.77</v>
      </c>
      <c r="BC777" s="41">
        <v>3.8679999999999999</v>
      </c>
      <c r="BD777" s="41">
        <v>3.8871000000000002</v>
      </c>
      <c r="BE777" s="41">
        <v>3.9582000000000002</v>
      </c>
      <c r="BF777" s="41">
        <v>4.0396000000000001</v>
      </c>
      <c r="BG777" s="41">
        <v>4.1271000000000004</v>
      </c>
      <c r="BH777" s="41">
        <v>4.2049000000000003</v>
      </c>
      <c r="BI777" s="41">
        <v>4.2861000000000002</v>
      </c>
      <c r="BJ777" s="41">
        <v>5.3996000000000004</v>
      </c>
      <c r="BK777" s="41"/>
      <c r="BL777" s="41"/>
      <c r="BM777" s="41"/>
      <c r="BN777" s="41">
        <f t="shared" si="13"/>
        <v>5.3996000000000004</v>
      </c>
    </row>
    <row r="778" spans="2:66" hidden="1" outlineLevel="1" x14ac:dyDescent="0.35">
      <c r="B778" s="41" t="s">
        <v>379</v>
      </c>
      <c r="C778" s="41" t="s">
        <v>134</v>
      </c>
      <c r="D778" s="41" t="s">
        <v>746</v>
      </c>
      <c r="E778" s="41" t="s">
        <v>745</v>
      </c>
      <c r="F778" s="41">
        <v>0.104</v>
      </c>
      <c r="G778" s="41"/>
      <c r="H778" s="41"/>
      <c r="I778" s="41"/>
      <c r="J778" s="41"/>
      <c r="K778" s="41"/>
      <c r="L778" s="41"/>
      <c r="M778" s="41"/>
      <c r="N778" s="41"/>
      <c r="O778" s="41"/>
      <c r="P778" s="41">
        <v>0.124</v>
      </c>
      <c r="Q778" s="41"/>
      <c r="R778" s="41"/>
      <c r="S778" s="41"/>
      <c r="T778" s="41"/>
      <c r="U778" s="41"/>
      <c r="V778" s="41"/>
      <c r="W778" s="41"/>
      <c r="X778" s="41"/>
      <c r="Y778" s="41"/>
      <c r="Z778" s="41"/>
      <c r="AA778" s="41"/>
      <c r="AB778" s="41"/>
      <c r="AC778" s="41">
        <v>5.2999999999999999E-2</v>
      </c>
      <c r="AD778" s="41"/>
      <c r="AE778" s="41"/>
      <c r="AF778" s="41"/>
      <c r="AG778" s="41"/>
      <c r="AH778" s="41"/>
      <c r="AI778" s="41"/>
      <c r="AJ778" s="41">
        <v>0.108</v>
      </c>
      <c r="AK778" s="41"/>
      <c r="AL778" s="41"/>
      <c r="AM778" s="41"/>
      <c r="AN778" s="41"/>
      <c r="AO778" s="41"/>
      <c r="AP778" s="41">
        <v>0.151</v>
      </c>
      <c r="AQ778" s="41"/>
      <c r="AR778" s="41"/>
      <c r="AS778" s="41"/>
      <c r="AT778" s="41"/>
      <c r="AU778" s="41">
        <v>0.1668</v>
      </c>
      <c r="AV778" s="41"/>
      <c r="AW778" s="41">
        <v>0.14710000000000001</v>
      </c>
      <c r="AX778" s="41">
        <v>0.15620000000000001</v>
      </c>
      <c r="AY778" s="41"/>
      <c r="AZ778" s="41"/>
      <c r="BA778" s="41"/>
      <c r="BB778" s="41"/>
      <c r="BC778" s="41">
        <v>0.14649999999999999</v>
      </c>
      <c r="BD778" s="41"/>
      <c r="BE778" s="41">
        <v>8.8999999999999996E-2</v>
      </c>
      <c r="BF778" s="41"/>
      <c r="BG778" s="41"/>
      <c r="BH778" s="41"/>
      <c r="BI778" s="41"/>
      <c r="BJ778" s="41">
        <v>7.9600000000000004E-2</v>
      </c>
      <c r="BK778" s="41"/>
      <c r="BL778" s="41"/>
      <c r="BM778" s="41"/>
      <c r="BN778" s="41">
        <f t="shared" si="13"/>
        <v>7.9600000000000004E-2</v>
      </c>
    </row>
    <row r="779" spans="2:66" hidden="1" outlineLevel="1" x14ac:dyDescent="0.35">
      <c r="B779" s="41" t="s">
        <v>516</v>
      </c>
      <c r="C779" s="41" t="s">
        <v>517</v>
      </c>
      <c r="D779" s="41" t="s">
        <v>746</v>
      </c>
      <c r="E779" s="41" t="s">
        <v>745</v>
      </c>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t="str">
        <f t="shared" si="13"/>
        <v>No reported value</v>
      </c>
    </row>
    <row r="780" spans="2:66" hidden="1" outlineLevel="1" x14ac:dyDescent="0.35">
      <c r="B780" s="41" t="s">
        <v>213</v>
      </c>
      <c r="C780" s="41" t="s">
        <v>135</v>
      </c>
      <c r="D780" s="41" t="s">
        <v>746</v>
      </c>
      <c r="E780" s="41" t="s">
        <v>745</v>
      </c>
      <c r="F780" s="41">
        <v>0.312</v>
      </c>
      <c r="G780" s="41"/>
      <c r="H780" s="41"/>
      <c r="I780" s="41"/>
      <c r="J780" s="41"/>
      <c r="K780" s="41"/>
      <c r="L780" s="41"/>
      <c r="M780" s="41"/>
      <c r="N780" s="41"/>
      <c r="O780" s="41"/>
      <c r="P780" s="41">
        <v>0.224</v>
      </c>
      <c r="Q780" s="41"/>
      <c r="R780" s="41"/>
      <c r="S780" s="41"/>
      <c r="T780" s="41"/>
      <c r="U780" s="41">
        <v>0.218</v>
      </c>
      <c r="V780" s="41"/>
      <c r="W780" s="41"/>
      <c r="X780" s="41"/>
      <c r="Y780" s="41"/>
      <c r="Z780" s="41"/>
      <c r="AA780" s="41"/>
      <c r="AB780" s="41"/>
      <c r="AC780" s="41">
        <v>0.40699999999999997</v>
      </c>
      <c r="AD780" s="41"/>
      <c r="AE780" s="41">
        <v>0.44500000000000001</v>
      </c>
      <c r="AF780" s="41"/>
      <c r="AG780" s="41"/>
      <c r="AH780" s="41"/>
      <c r="AI780" s="41"/>
      <c r="AJ780" s="41"/>
      <c r="AK780" s="41"/>
      <c r="AL780" s="41"/>
      <c r="AM780" s="41">
        <v>1.0269999999999999</v>
      </c>
      <c r="AN780" s="41"/>
      <c r="AO780" s="41"/>
      <c r="AP780" s="41">
        <v>1.3240000000000001</v>
      </c>
      <c r="AQ780" s="41"/>
      <c r="AR780" s="41"/>
      <c r="AS780" s="41"/>
      <c r="AT780" s="41"/>
      <c r="AU780" s="41"/>
      <c r="AV780" s="41"/>
      <c r="AW780" s="41"/>
      <c r="AX780" s="41">
        <v>1.3829</v>
      </c>
      <c r="AY780" s="41">
        <v>1.1725000000000001</v>
      </c>
      <c r="AZ780" s="41">
        <v>0.83609999999999995</v>
      </c>
      <c r="BA780" s="41">
        <v>1.0078</v>
      </c>
      <c r="BB780" s="41">
        <v>0.77180000000000004</v>
      </c>
      <c r="BC780" s="41">
        <v>1.1318999999999999</v>
      </c>
      <c r="BD780" s="41">
        <v>1.0941000000000001</v>
      </c>
      <c r="BE780" s="41">
        <v>1.1656</v>
      </c>
      <c r="BF780" s="41">
        <v>1.0076000000000001</v>
      </c>
      <c r="BG780" s="41"/>
      <c r="BH780" s="41"/>
      <c r="BI780" s="41"/>
      <c r="BJ780" s="41">
        <v>0.94579999999999997</v>
      </c>
      <c r="BK780" s="41"/>
      <c r="BL780" s="41"/>
      <c r="BM780" s="41"/>
      <c r="BN780" s="41">
        <f t="shared" si="13"/>
        <v>0.94579999999999997</v>
      </c>
    </row>
    <row r="781" spans="2:66" hidden="1" outlineLevel="1" x14ac:dyDescent="0.35">
      <c r="B781" s="41" t="s">
        <v>545</v>
      </c>
      <c r="C781" s="41" t="s">
        <v>136</v>
      </c>
      <c r="D781" s="41" t="s">
        <v>746</v>
      </c>
      <c r="E781" s="41" t="s">
        <v>745</v>
      </c>
      <c r="F781" s="41">
        <v>0.216</v>
      </c>
      <c r="G781" s="41"/>
      <c r="H781" s="41"/>
      <c r="I781" s="41"/>
      <c r="J781" s="41"/>
      <c r="K781" s="41">
        <v>0.185</v>
      </c>
      <c r="L781" s="41"/>
      <c r="M781" s="41"/>
      <c r="N781" s="41"/>
      <c r="O781" s="41"/>
      <c r="P781" s="41">
        <v>0.25900000000000001</v>
      </c>
      <c r="Q781" s="41"/>
      <c r="R781" s="41"/>
      <c r="S781" s="41"/>
      <c r="T781" s="41"/>
      <c r="U781" s="41">
        <v>0.25600000000000001</v>
      </c>
      <c r="V781" s="41"/>
      <c r="W781" s="41"/>
      <c r="X781" s="41"/>
      <c r="Y781" s="41"/>
      <c r="Z781" s="41">
        <v>0.44600000000000001</v>
      </c>
      <c r="AA781" s="41">
        <v>0.46300000000000002</v>
      </c>
      <c r="AB781" s="41"/>
      <c r="AC781" s="41"/>
      <c r="AD781" s="41"/>
      <c r="AE781" s="41"/>
      <c r="AF781" s="41">
        <v>0.80700000000000005</v>
      </c>
      <c r="AG781" s="41">
        <v>0.78300000000000003</v>
      </c>
      <c r="AH781" s="41"/>
      <c r="AI781" s="41">
        <v>0.86299999999999999</v>
      </c>
      <c r="AJ781" s="41">
        <v>0.83499999999999996</v>
      </c>
      <c r="AK781" s="41"/>
      <c r="AL781" s="41"/>
      <c r="AM781" s="41"/>
      <c r="AN781" s="41"/>
      <c r="AO781" s="41"/>
      <c r="AP781" s="41"/>
      <c r="AQ781" s="41">
        <v>1.2965</v>
      </c>
      <c r="AR781" s="41">
        <v>1.3388</v>
      </c>
      <c r="AS781" s="41">
        <v>1.3357000000000001</v>
      </c>
      <c r="AT781" s="41">
        <v>1.3653999999999999</v>
      </c>
      <c r="AU781" s="41">
        <v>1.399</v>
      </c>
      <c r="AV781" s="41">
        <v>1.4673</v>
      </c>
      <c r="AW781" s="41">
        <v>1.4053</v>
      </c>
      <c r="AX781" s="41">
        <v>1.454</v>
      </c>
      <c r="AY781" s="41">
        <v>1.544</v>
      </c>
      <c r="AZ781" s="41">
        <v>0.53</v>
      </c>
      <c r="BA781" s="41">
        <v>1.5067999999999999</v>
      </c>
      <c r="BB781" s="41">
        <v>1.5105</v>
      </c>
      <c r="BC781" s="41">
        <v>1.4371</v>
      </c>
      <c r="BD781" s="41">
        <v>1.4841</v>
      </c>
      <c r="BE781" s="41"/>
      <c r="BF781" s="41"/>
      <c r="BG781" s="41"/>
      <c r="BH781" s="41">
        <v>1.5115000000000001</v>
      </c>
      <c r="BI781" s="41"/>
      <c r="BJ781" s="41">
        <v>1.22</v>
      </c>
      <c r="BK781" s="41"/>
      <c r="BL781" s="41"/>
      <c r="BM781" s="41"/>
      <c r="BN781" s="41">
        <f t="shared" si="13"/>
        <v>1.22</v>
      </c>
    </row>
    <row r="782" spans="2:66" hidden="1" outlineLevel="1" x14ac:dyDescent="0.35">
      <c r="B782" s="41" t="s">
        <v>552</v>
      </c>
      <c r="C782" s="41" t="s">
        <v>553</v>
      </c>
      <c r="D782" s="41" t="s">
        <v>746</v>
      </c>
      <c r="E782" s="41" t="s">
        <v>745</v>
      </c>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t="str">
        <f t="shared" si="13"/>
        <v>No reported value</v>
      </c>
    </row>
    <row r="783" spans="2:66" hidden="1" outlineLevel="1" x14ac:dyDescent="0.35">
      <c r="B783" s="41" t="s">
        <v>189</v>
      </c>
      <c r="C783" s="41" t="s">
        <v>169</v>
      </c>
      <c r="D783" s="41" t="s">
        <v>746</v>
      </c>
      <c r="E783" s="41" t="s">
        <v>745</v>
      </c>
      <c r="F783" s="41">
        <v>1.4E-2</v>
      </c>
      <c r="G783" s="41"/>
      <c r="H783" s="41"/>
      <c r="I783" s="41"/>
      <c r="J783" s="41"/>
      <c r="K783" s="41">
        <v>1.4E-2</v>
      </c>
      <c r="L783" s="41"/>
      <c r="M783" s="41"/>
      <c r="N783" s="41"/>
      <c r="O783" s="41"/>
      <c r="P783" s="41">
        <v>1.6E-2</v>
      </c>
      <c r="Q783" s="41"/>
      <c r="R783" s="41"/>
      <c r="S783" s="41"/>
      <c r="T783" s="41"/>
      <c r="U783" s="41"/>
      <c r="V783" s="41"/>
      <c r="W783" s="41"/>
      <c r="X783" s="41">
        <v>2.1000000000000001E-2</v>
      </c>
      <c r="Y783" s="41"/>
      <c r="Z783" s="41"/>
      <c r="AA783" s="41"/>
      <c r="AB783" s="41"/>
      <c r="AC783" s="41"/>
      <c r="AD783" s="41"/>
      <c r="AE783" s="41"/>
      <c r="AF783" s="41">
        <v>2.5999999999999999E-2</v>
      </c>
      <c r="AG783" s="41"/>
      <c r="AH783" s="41"/>
      <c r="AI783" s="41">
        <v>2.5999999999999999E-2</v>
      </c>
      <c r="AJ783" s="41"/>
      <c r="AK783" s="41"/>
      <c r="AL783" s="41"/>
      <c r="AM783" s="41"/>
      <c r="AN783" s="41">
        <v>3.3000000000000002E-2</v>
      </c>
      <c r="AO783" s="41"/>
      <c r="AP783" s="41"/>
      <c r="AQ783" s="41">
        <v>2.5999999999999999E-2</v>
      </c>
      <c r="AR783" s="41">
        <v>2.01E-2</v>
      </c>
      <c r="AS783" s="41">
        <v>2.8799999999999999E-2</v>
      </c>
      <c r="AT783" s="41">
        <v>2.8199999999999999E-2</v>
      </c>
      <c r="AU783" s="41">
        <v>2.5000000000000001E-2</v>
      </c>
      <c r="AV783" s="41"/>
      <c r="AW783" s="41"/>
      <c r="AX783" s="41">
        <v>3.5499999999999997E-2</v>
      </c>
      <c r="AY783" s="41"/>
      <c r="AZ783" s="41">
        <v>3.5299999999999998E-2</v>
      </c>
      <c r="BA783" s="41"/>
      <c r="BB783" s="41"/>
      <c r="BC783" s="41"/>
      <c r="BD783" s="41"/>
      <c r="BE783" s="41"/>
      <c r="BF783" s="41">
        <v>4.1599999999999998E-2</v>
      </c>
      <c r="BG783" s="41">
        <v>4.36E-2</v>
      </c>
      <c r="BH783" s="41"/>
      <c r="BI783" s="41"/>
      <c r="BJ783" s="41">
        <v>4.7500000000000001E-2</v>
      </c>
      <c r="BK783" s="41"/>
      <c r="BL783" s="41"/>
      <c r="BM783" s="41"/>
      <c r="BN783" s="41">
        <f t="shared" si="13"/>
        <v>4.7500000000000001E-2</v>
      </c>
    </row>
    <row r="784" spans="2:66" hidden="1" outlineLevel="1" x14ac:dyDescent="0.35">
      <c r="B784" s="41" t="s">
        <v>374</v>
      </c>
      <c r="C784" s="41" t="s">
        <v>375</v>
      </c>
      <c r="D784" s="41" t="s">
        <v>746</v>
      </c>
      <c r="E784" s="41" t="s">
        <v>745</v>
      </c>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v>0.85058523913436845</v>
      </c>
      <c r="AK784" s="41"/>
      <c r="AL784" s="41"/>
      <c r="AM784" s="41"/>
      <c r="AN784" s="41"/>
      <c r="AO784" s="41"/>
      <c r="AP784" s="41"/>
      <c r="AQ784" s="41"/>
      <c r="AR784" s="41"/>
      <c r="AS784" s="41"/>
      <c r="AT784" s="41">
        <v>1.0064756120114491</v>
      </c>
      <c r="AU784" s="41"/>
      <c r="AV784" s="41"/>
      <c r="AW784" s="41"/>
      <c r="AX784" s="41"/>
      <c r="AY784" s="41"/>
      <c r="AZ784" s="41"/>
      <c r="BA784" s="41"/>
      <c r="BB784" s="41"/>
      <c r="BC784" s="41"/>
      <c r="BD784" s="41"/>
      <c r="BE784" s="41"/>
      <c r="BF784" s="41"/>
      <c r="BG784" s="41"/>
      <c r="BH784" s="41"/>
      <c r="BI784" s="41">
        <v>1.4486429865861432</v>
      </c>
      <c r="BJ784" s="41"/>
      <c r="BK784" s="41"/>
      <c r="BL784" s="41"/>
      <c r="BM784" s="41"/>
      <c r="BN784" s="41">
        <f t="shared" si="13"/>
        <v>1.4486429865861432</v>
      </c>
    </row>
    <row r="785" spans="2:66" hidden="1" outlineLevel="1" x14ac:dyDescent="0.35">
      <c r="B785" s="41" t="s">
        <v>386</v>
      </c>
      <c r="C785" s="41" t="s">
        <v>387</v>
      </c>
      <c r="D785" s="41" t="s">
        <v>746</v>
      </c>
      <c r="E785" s="41" t="s">
        <v>745</v>
      </c>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v>3.2117666586615448</v>
      </c>
      <c r="AK785" s="41"/>
      <c r="AL785" s="41"/>
      <c r="AM785" s="41"/>
      <c r="AN785" s="41"/>
      <c r="AO785" s="41"/>
      <c r="AP785" s="41"/>
      <c r="AQ785" s="41"/>
      <c r="AR785" s="41"/>
      <c r="AS785" s="41"/>
      <c r="AT785" s="41">
        <v>3.0707442629675255</v>
      </c>
      <c r="AU785" s="41"/>
      <c r="AV785" s="41"/>
      <c r="AW785" s="41"/>
      <c r="AX785" s="41"/>
      <c r="AY785" s="41"/>
      <c r="AZ785" s="41"/>
      <c r="BA785" s="41"/>
      <c r="BB785" s="41"/>
      <c r="BC785" s="41"/>
      <c r="BD785" s="41"/>
      <c r="BE785" s="41"/>
      <c r="BF785" s="41"/>
      <c r="BG785" s="41"/>
      <c r="BH785" s="41"/>
      <c r="BI785" s="41">
        <v>2.9904806133074908</v>
      </c>
      <c r="BJ785" s="41"/>
      <c r="BK785" s="41"/>
      <c r="BL785" s="41"/>
      <c r="BM785" s="41"/>
      <c r="BN785" s="41">
        <f t="shared" si="13"/>
        <v>2.9904806133074908</v>
      </c>
    </row>
    <row r="786" spans="2:66" hidden="1" outlineLevel="1" x14ac:dyDescent="0.35">
      <c r="B786" s="41" t="s">
        <v>215</v>
      </c>
      <c r="C786" s="41" t="s">
        <v>137</v>
      </c>
      <c r="D786" s="41" t="s">
        <v>746</v>
      </c>
      <c r="E786" s="41" t="s">
        <v>745</v>
      </c>
      <c r="F786" s="41">
        <v>2.1000000000000001E-2</v>
      </c>
      <c r="G786" s="41"/>
      <c r="H786" s="41"/>
      <c r="I786" s="41"/>
      <c r="J786" s="41"/>
      <c r="K786" s="41">
        <v>4.2999999999999997E-2</v>
      </c>
      <c r="L786" s="41"/>
      <c r="M786" s="41"/>
      <c r="N786" s="41"/>
      <c r="O786" s="41"/>
      <c r="P786" s="41">
        <v>3.5000000000000003E-2</v>
      </c>
      <c r="Q786" s="41"/>
      <c r="R786" s="41"/>
      <c r="S786" s="41"/>
      <c r="T786" s="41"/>
      <c r="U786" s="41">
        <v>3.5000000000000003E-2</v>
      </c>
      <c r="V786" s="41"/>
      <c r="W786" s="41"/>
      <c r="X786" s="41"/>
      <c r="Y786" s="41"/>
      <c r="Z786" s="41">
        <v>5.5E-2</v>
      </c>
      <c r="AA786" s="41">
        <v>4.9000000000000002E-2</v>
      </c>
      <c r="AB786" s="41"/>
      <c r="AC786" s="41"/>
      <c r="AD786" s="41">
        <v>0.11700000000000001</v>
      </c>
      <c r="AE786" s="41"/>
      <c r="AF786" s="41">
        <v>8.5000000000000006E-2</v>
      </c>
      <c r="AG786" s="41"/>
      <c r="AH786" s="41"/>
      <c r="AI786" s="41"/>
      <c r="AJ786" s="41"/>
      <c r="AK786" s="41">
        <v>8.7999999999999995E-2</v>
      </c>
      <c r="AL786" s="41"/>
      <c r="AM786" s="41"/>
      <c r="AN786" s="41">
        <v>5.6000000000000001E-2</v>
      </c>
      <c r="AO786" s="41">
        <v>7.5999999999999998E-2</v>
      </c>
      <c r="AP786" s="41"/>
      <c r="AQ786" s="41"/>
      <c r="AR786" s="41"/>
      <c r="AS786" s="41"/>
      <c r="AT786" s="41"/>
      <c r="AU786" s="41">
        <v>5.7000000000000002E-2</v>
      </c>
      <c r="AV786" s="41"/>
      <c r="AW786" s="41"/>
      <c r="AX786" s="41">
        <v>4.41E-2</v>
      </c>
      <c r="AY786" s="41"/>
      <c r="AZ786" s="41"/>
      <c r="BA786" s="41">
        <v>4.8399999999999999E-2</v>
      </c>
      <c r="BB786" s="41">
        <v>5.6599999999999998E-2</v>
      </c>
      <c r="BC786" s="41"/>
      <c r="BD786" s="41">
        <v>0.20219999999999999</v>
      </c>
      <c r="BE786" s="41"/>
      <c r="BF786" s="41"/>
      <c r="BG786" s="41"/>
      <c r="BH786" s="41"/>
      <c r="BI786" s="41">
        <v>4.87E-2</v>
      </c>
      <c r="BJ786" s="41"/>
      <c r="BK786" s="41"/>
      <c r="BL786" s="41"/>
      <c r="BM786" s="41"/>
      <c r="BN786" s="41">
        <f t="shared" si="13"/>
        <v>4.87E-2</v>
      </c>
    </row>
    <row r="787" spans="2:66" hidden="1" outlineLevel="1" x14ac:dyDescent="0.35">
      <c r="B787" s="41" t="s">
        <v>547</v>
      </c>
      <c r="C787" s="41" t="s">
        <v>138</v>
      </c>
      <c r="D787" s="41" t="s">
        <v>746</v>
      </c>
      <c r="E787" s="41" t="s">
        <v>745</v>
      </c>
      <c r="F787" s="41">
        <v>0.129</v>
      </c>
      <c r="G787" s="41"/>
      <c r="H787" s="41"/>
      <c r="I787" s="41"/>
      <c r="J787" s="41"/>
      <c r="K787" s="41">
        <v>0.14000000000000001</v>
      </c>
      <c r="L787" s="41"/>
      <c r="M787" s="41"/>
      <c r="N787" s="41"/>
      <c r="O787" s="41"/>
      <c r="P787" s="41">
        <v>0.121</v>
      </c>
      <c r="Q787" s="41"/>
      <c r="R787" s="41"/>
      <c r="S787" s="41"/>
      <c r="T787" s="41"/>
      <c r="U787" s="41"/>
      <c r="V787" s="41"/>
      <c r="W787" s="41"/>
      <c r="X787" s="41"/>
      <c r="Y787" s="41"/>
      <c r="Z787" s="41">
        <v>0.14699999999999999</v>
      </c>
      <c r="AA787" s="41"/>
      <c r="AB787" s="41"/>
      <c r="AC787" s="41"/>
      <c r="AD787" s="41">
        <v>0.16</v>
      </c>
      <c r="AE787" s="41"/>
      <c r="AF787" s="41">
        <v>0.182</v>
      </c>
      <c r="AG787" s="41"/>
      <c r="AH787" s="41">
        <v>0.21</v>
      </c>
      <c r="AI787" s="41"/>
      <c r="AJ787" s="41">
        <v>0.22500000000000001</v>
      </c>
      <c r="AK787" s="41">
        <v>0.22359999999999999</v>
      </c>
      <c r="AL787" s="41">
        <v>0.23400000000000001</v>
      </c>
      <c r="AM787" s="41">
        <v>0.2336</v>
      </c>
      <c r="AN787" s="41">
        <v>0.23799999999999999</v>
      </c>
      <c r="AO787" s="41">
        <v>0.2384</v>
      </c>
      <c r="AP787" s="41">
        <v>0.26900000000000002</v>
      </c>
      <c r="AQ787" s="41">
        <v>0.2722</v>
      </c>
      <c r="AR787" s="41">
        <v>0.29149999999999998</v>
      </c>
      <c r="AS787" s="41">
        <v>0.29110000000000003</v>
      </c>
      <c r="AT787" s="41">
        <v>0.36799999999999999</v>
      </c>
      <c r="AU787" s="41">
        <v>0.29820000000000002</v>
      </c>
      <c r="AV787" s="41">
        <v>0.29630000000000001</v>
      </c>
      <c r="AW787" s="41">
        <v>0.27700000000000002</v>
      </c>
      <c r="AX787" s="41">
        <v>0.29099999999999998</v>
      </c>
      <c r="AY787" s="41">
        <v>0.29299999999999998</v>
      </c>
      <c r="AZ787" s="41">
        <v>0.28739999999999999</v>
      </c>
      <c r="BA787" s="41">
        <v>0.2959</v>
      </c>
      <c r="BB787" s="41">
        <v>0.31630000000000003</v>
      </c>
      <c r="BC787" s="41">
        <v>0.3387</v>
      </c>
      <c r="BD787" s="41">
        <v>0.39050000000000001</v>
      </c>
      <c r="BE787" s="41"/>
      <c r="BF787" s="41"/>
      <c r="BG787" s="41"/>
      <c r="BH787" s="41"/>
      <c r="BI787" s="41">
        <v>0.46550000000000002</v>
      </c>
      <c r="BJ787" s="41">
        <v>0.44569999999999999</v>
      </c>
      <c r="BK787" s="41">
        <v>0.80959999999999999</v>
      </c>
      <c r="BL787" s="41"/>
      <c r="BM787" s="41"/>
      <c r="BN787" s="41">
        <f t="shared" si="13"/>
        <v>0.80959999999999999</v>
      </c>
    </row>
    <row r="788" spans="2:66" hidden="1" outlineLevel="1" x14ac:dyDescent="0.35">
      <c r="B788" s="41" t="s">
        <v>238</v>
      </c>
      <c r="C788" s="41" t="s">
        <v>163</v>
      </c>
      <c r="D788" s="41" t="s">
        <v>746</v>
      </c>
      <c r="E788" s="41" t="s">
        <v>745</v>
      </c>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v>2.5270000000000001</v>
      </c>
      <c r="AF788" s="41">
        <v>2.556</v>
      </c>
      <c r="AG788" s="41">
        <v>2.5819999999999999</v>
      </c>
      <c r="AH788" s="41">
        <v>2.6970000000000001</v>
      </c>
      <c r="AI788" s="41">
        <v>2.6779999999999999</v>
      </c>
      <c r="AJ788" s="41">
        <v>2.5510000000000002</v>
      </c>
      <c r="AK788" s="41">
        <v>2.6219000000000001</v>
      </c>
      <c r="AL788" s="41">
        <v>2.266</v>
      </c>
      <c r="AM788" s="41">
        <v>2.177</v>
      </c>
      <c r="AN788" s="41">
        <v>2.254</v>
      </c>
      <c r="AO788" s="41">
        <v>2.1360000000000001</v>
      </c>
      <c r="AP788" s="41">
        <v>2.0859999999999999</v>
      </c>
      <c r="AQ788" s="41">
        <v>2.0230000000000001</v>
      </c>
      <c r="AR788" s="41">
        <v>2.0842999999999998</v>
      </c>
      <c r="AS788" s="41">
        <v>2.1202000000000001</v>
      </c>
      <c r="AT788" s="41">
        <v>2.1717</v>
      </c>
      <c r="AU788" s="41">
        <v>2.1212</v>
      </c>
      <c r="AV788" s="41">
        <v>2.0344000000000002</v>
      </c>
      <c r="AW788" s="41">
        <v>1.9292</v>
      </c>
      <c r="AX788" s="41">
        <v>1.9366000000000001</v>
      </c>
      <c r="AY788" s="41">
        <v>1.9362999999999999</v>
      </c>
      <c r="AZ788" s="41">
        <v>1.8953</v>
      </c>
      <c r="BA788" s="41">
        <v>1.8724000000000001</v>
      </c>
      <c r="BB788" s="41">
        <v>1.9028</v>
      </c>
      <c r="BC788" s="41"/>
      <c r="BD788" s="41">
        <v>1.6721999999999999</v>
      </c>
      <c r="BE788" s="41">
        <v>1.6949000000000001</v>
      </c>
      <c r="BF788" s="41">
        <v>1.7009000000000001</v>
      </c>
      <c r="BG788" s="41">
        <v>1.6848000000000001</v>
      </c>
      <c r="BH788" s="41">
        <v>1.7002999999999999</v>
      </c>
      <c r="BI788" s="41"/>
      <c r="BJ788" s="41"/>
      <c r="BK788" s="41"/>
      <c r="BL788" s="41"/>
      <c r="BM788" s="41"/>
      <c r="BN788" s="41">
        <f t="shared" si="13"/>
        <v>1.7002999999999999</v>
      </c>
    </row>
    <row r="789" spans="2:66" hidden="1" outlineLevel="1" x14ac:dyDescent="0.35">
      <c r="B789" s="41" t="s">
        <v>551</v>
      </c>
      <c r="C789" s="41" t="s">
        <v>139</v>
      </c>
      <c r="D789" s="41" t="s">
        <v>746</v>
      </c>
      <c r="E789" s="41" t="s">
        <v>745</v>
      </c>
      <c r="F789" s="41"/>
      <c r="G789" s="41"/>
      <c r="H789" s="41"/>
      <c r="I789" s="41"/>
      <c r="J789" s="41"/>
      <c r="K789" s="41"/>
      <c r="L789" s="41"/>
      <c r="M789" s="41"/>
      <c r="N789" s="41"/>
      <c r="O789" s="41"/>
      <c r="P789" s="41"/>
      <c r="Q789" s="41"/>
      <c r="R789" s="41"/>
      <c r="S789" s="41"/>
      <c r="T789" s="41"/>
      <c r="U789" s="41"/>
      <c r="V789" s="41"/>
      <c r="W789" s="41"/>
      <c r="X789" s="41"/>
      <c r="Y789" s="41"/>
      <c r="Z789" s="41">
        <v>2.839</v>
      </c>
      <c r="AA789" s="41"/>
      <c r="AB789" s="41"/>
      <c r="AC789" s="41"/>
      <c r="AD789" s="41"/>
      <c r="AE789" s="41">
        <v>3.3039999999999998</v>
      </c>
      <c r="AF789" s="41">
        <v>3.44</v>
      </c>
      <c r="AG789" s="41">
        <v>3.5270000000000001</v>
      </c>
      <c r="AH789" s="41">
        <v>3.55</v>
      </c>
      <c r="AI789" s="41">
        <v>3.6</v>
      </c>
      <c r="AJ789" s="41">
        <v>3.6139999999999999</v>
      </c>
      <c r="AK789" s="41">
        <v>3.673</v>
      </c>
      <c r="AL789" s="41">
        <v>3.589</v>
      </c>
      <c r="AM789" s="41">
        <v>3.57</v>
      </c>
      <c r="AN789" s="41">
        <v>3.5350000000000001</v>
      </c>
      <c r="AO789" s="41">
        <v>3.17</v>
      </c>
      <c r="AP789" s="41">
        <v>3.222</v>
      </c>
      <c r="AQ789" s="41">
        <v>3.1709999999999998</v>
      </c>
      <c r="AR789" s="41"/>
      <c r="AS789" s="41"/>
      <c r="AT789" s="41"/>
      <c r="AU789" s="41"/>
      <c r="AV789" s="41">
        <v>4.3452999999999999</v>
      </c>
      <c r="AW789" s="41"/>
      <c r="AX789" s="41"/>
      <c r="AY789" s="41"/>
      <c r="AZ789" s="41">
        <v>2.4900000000000002</v>
      </c>
      <c r="BA789" s="41">
        <v>2.4380000000000002</v>
      </c>
      <c r="BB789" s="41"/>
      <c r="BC789" s="41"/>
      <c r="BD789" s="41">
        <v>2.2743000000000002</v>
      </c>
      <c r="BE789" s="41">
        <v>2.2841</v>
      </c>
      <c r="BF789" s="41">
        <v>2.2376</v>
      </c>
      <c r="BG789" s="41">
        <v>2.2124999999999999</v>
      </c>
      <c r="BH789" s="41">
        <v>2.2248000000000001</v>
      </c>
      <c r="BI789" s="41"/>
      <c r="BJ789" s="41"/>
      <c r="BK789" s="41"/>
      <c r="BL789" s="41"/>
      <c r="BM789" s="41"/>
      <c r="BN789" s="41">
        <f t="shared" si="13"/>
        <v>2.2248000000000001</v>
      </c>
    </row>
    <row r="790" spans="2:66" hidden="1" outlineLevel="1" x14ac:dyDescent="0.35">
      <c r="B790" s="41" t="s">
        <v>440</v>
      </c>
      <c r="C790" s="41" t="s">
        <v>441</v>
      </c>
      <c r="D790" s="41" t="s">
        <v>746</v>
      </c>
      <c r="E790" s="41" t="s">
        <v>745</v>
      </c>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v>1.1709061744333213</v>
      </c>
      <c r="AK790" s="41"/>
      <c r="AL790" s="41"/>
      <c r="AM790" s="41"/>
      <c r="AN790" s="41"/>
      <c r="AO790" s="41"/>
      <c r="AP790" s="41"/>
      <c r="AQ790" s="41"/>
      <c r="AR790" s="41"/>
      <c r="AS790" s="41"/>
      <c r="AT790" s="41">
        <v>1.5043117313537127</v>
      </c>
      <c r="AU790" s="41"/>
      <c r="AV790" s="41"/>
      <c r="AW790" s="41"/>
      <c r="AX790" s="41"/>
      <c r="AY790" s="41"/>
      <c r="AZ790" s="41"/>
      <c r="BA790" s="41"/>
      <c r="BB790" s="41"/>
      <c r="BC790" s="41"/>
      <c r="BD790" s="41"/>
      <c r="BE790" s="41"/>
      <c r="BF790" s="41"/>
      <c r="BG790" s="41"/>
      <c r="BH790" s="41"/>
      <c r="BI790" s="41">
        <v>2.0517429280473296</v>
      </c>
      <c r="BJ790" s="41"/>
      <c r="BK790" s="41"/>
      <c r="BL790" s="41"/>
      <c r="BM790" s="41"/>
      <c r="BN790" s="41">
        <f t="shared" si="13"/>
        <v>2.0517429280473296</v>
      </c>
    </row>
    <row r="791" spans="2:66" hidden="1" outlineLevel="1" x14ac:dyDescent="0.35">
      <c r="B791" s="41" t="s">
        <v>246</v>
      </c>
      <c r="C791" s="41" t="s">
        <v>140</v>
      </c>
      <c r="D791" s="41" t="s">
        <v>746</v>
      </c>
      <c r="E791" s="41" t="s">
        <v>745</v>
      </c>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v>8.2000000000000003E-2</v>
      </c>
      <c r="AY791" s="41"/>
      <c r="AZ791" s="41"/>
      <c r="BA791" s="41">
        <v>3.4000000000000002E-2</v>
      </c>
      <c r="BB791" s="41">
        <v>3.6999999999999998E-2</v>
      </c>
      <c r="BC791" s="41">
        <v>4.3999999999999997E-2</v>
      </c>
      <c r="BD791" s="41">
        <v>7.9000000000000001E-2</v>
      </c>
      <c r="BE791" s="41">
        <v>7.8E-2</v>
      </c>
      <c r="BF791" s="41"/>
      <c r="BG791" s="41">
        <v>0.30990000000000001</v>
      </c>
      <c r="BH791" s="41">
        <v>0.66049999999999998</v>
      </c>
      <c r="BI791" s="41">
        <v>0.66959999999999997</v>
      </c>
      <c r="BJ791" s="41"/>
      <c r="BK791" s="41">
        <v>0.71970000000000001</v>
      </c>
      <c r="BL791" s="41"/>
      <c r="BM791" s="41"/>
      <c r="BN791" s="41">
        <f t="shared" si="13"/>
        <v>0.71970000000000001</v>
      </c>
    </row>
    <row r="792" spans="2:66" hidden="1" outlineLevel="1" x14ac:dyDescent="0.35">
      <c r="B792" s="41" t="s">
        <v>469</v>
      </c>
      <c r="C792" s="41" t="s">
        <v>470</v>
      </c>
      <c r="D792" s="41" t="s">
        <v>746</v>
      </c>
      <c r="E792" s="41" t="s">
        <v>745</v>
      </c>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v>0.57490006051476839</v>
      </c>
      <c r="AK792" s="41"/>
      <c r="AL792" s="41"/>
      <c r="AM792" s="41"/>
      <c r="AN792" s="41"/>
      <c r="AO792" s="41"/>
      <c r="AP792" s="41"/>
      <c r="AQ792" s="41"/>
      <c r="AR792" s="41"/>
      <c r="AS792" s="41"/>
      <c r="AT792" s="41">
        <v>1.2256144250066947</v>
      </c>
      <c r="AU792" s="41"/>
      <c r="AV792" s="41"/>
      <c r="AW792" s="41"/>
      <c r="AX792" s="41"/>
      <c r="AY792" s="41"/>
      <c r="AZ792" s="41"/>
      <c r="BA792" s="41"/>
      <c r="BB792" s="41"/>
      <c r="BC792" s="41"/>
      <c r="BD792" s="41"/>
      <c r="BE792" s="41"/>
      <c r="BF792" s="41"/>
      <c r="BG792" s="41"/>
      <c r="BH792" s="41"/>
      <c r="BI792" s="41">
        <v>1.0694376664304046</v>
      </c>
      <c r="BJ792" s="41"/>
      <c r="BK792" s="41"/>
      <c r="BL792" s="41"/>
      <c r="BM792" s="41"/>
      <c r="BN792" s="41">
        <f t="shared" si="13"/>
        <v>1.0694376664304046</v>
      </c>
    </row>
    <row r="793" spans="2:66" hidden="1" outlineLevel="1" x14ac:dyDescent="0.35">
      <c r="B793" s="41" t="s">
        <v>256</v>
      </c>
      <c r="C793" s="41" t="s">
        <v>141</v>
      </c>
      <c r="D793" s="41" t="s">
        <v>746</v>
      </c>
      <c r="E793" s="41" t="s">
        <v>745</v>
      </c>
      <c r="F793" s="41">
        <v>0.375</v>
      </c>
      <c r="G793" s="41"/>
      <c r="H793" s="41"/>
      <c r="I793" s="41"/>
      <c r="J793" s="41"/>
      <c r="K793" s="41"/>
      <c r="L793" s="41"/>
      <c r="M793" s="41"/>
      <c r="N793" s="41"/>
      <c r="O793" s="41"/>
      <c r="P793" s="41">
        <v>0.25600000000000001</v>
      </c>
      <c r="Q793" s="41"/>
      <c r="R793" s="41"/>
      <c r="S793" s="41"/>
      <c r="T793" s="41"/>
      <c r="U793" s="41"/>
      <c r="V793" s="41"/>
      <c r="W793" s="41"/>
      <c r="X793" s="41"/>
      <c r="Y793" s="41"/>
      <c r="Z793" s="41">
        <v>0.36199999999999999</v>
      </c>
      <c r="AA793" s="41">
        <v>0.60199999999999998</v>
      </c>
      <c r="AB793" s="41">
        <v>0.6</v>
      </c>
      <c r="AC793" s="41"/>
      <c r="AD793" s="41"/>
      <c r="AE793" s="41"/>
      <c r="AF793" s="41"/>
      <c r="AG793" s="41"/>
      <c r="AH793" s="41"/>
      <c r="AI793" s="41">
        <v>0.49199999999999999</v>
      </c>
      <c r="AJ793" s="41"/>
      <c r="AK793" s="41">
        <v>0.50800000000000001</v>
      </c>
      <c r="AL793" s="41"/>
      <c r="AM793" s="41"/>
      <c r="AN793" s="41"/>
      <c r="AO793" s="41"/>
      <c r="AP793" s="41"/>
      <c r="AQ793" s="41">
        <v>0.44</v>
      </c>
      <c r="AR793" s="41"/>
      <c r="AS793" s="41"/>
      <c r="AT793" s="41">
        <v>0.499</v>
      </c>
      <c r="AU793" s="41">
        <v>0.35499999999999998</v>
      </c>
      <c r="AV793" s="41">
        <v>0.3024</v>
      </c>
      <c r="AW793" s="41"/>
      <c r="AX793" s="41"/>
      <c r="AY793" s="41"/>
      <c r="AZ793" s="41"/>
      <c r="BA793" s="41">
        <v>0.56299999999999994</v>
      </c>
      <c r="BB793" s="41">
        <v>0.5534</v>
      </c>
      <c r="BC793" s="41">
        <v>0.59850000000000003</v>
      </c>
      <c r="BD793" s="41">
        <v>0.55720000000000003</v>
      </c>
      <c r="BE793" s="41"/>
      <c r="BF793" s="41"/>
      <c r="BG793" s="41">
        <v>0.52229999999999999</v>
      </c>
      <c r="BH793" s="41"/>
      <c r="BI793" s="41"/>
      <c r="BJ793" s="41"/>
      <c r="BK793" s="41"/>
      <c r="BL793" s="41"/>
      <c r="BM793" s="41"/>
      <c r="BN793" s="41">
        <f t="shared" si="13"/>
        <v>0.52229999999999999</v>
      </c>
    </row>
    <row r="794" spans="2:66" hidden="1" outlineLevel="1" x14ac:dyDescent="0.35">
      <c r="B794" s="41" t="s">
        <v>525</v>
      </c>
      <c r="C794" s="41" t="s">
        <v>526</v>
      </c>
      <c r="D794" s="41" t="s">
        <v>746</v>
      </c>
      <c r="E794" s="41" t="s">
        <v>745</v>
      </c>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v>1.0082568083419563</v>
      </c>
      <c r="AK794" s="41"/>
      <c r="AL794" s="41"/>
      <c r="AM794" s="41"/>
      <c r="AN794" s="41"/>
      <c r="AO794" s="41"/>
      <c r="AP794" s="41"/>
      <c r="AQ794" s="41"/>
      <c r="AR794" s="41"/>
      <c r="AS794" s="41"/>
      <c r="AT794" s="41">
        <v>0.50056637364761247</v>
      </c>
      <c r="AU794" s="41"/>
      <c r="AV794" s="41"/>
      <c r="AW794" s="41"/>
      <c r="AX794" s="41"/>
      <c r="AY794" s="41"/>
      <c r="AZ794" s="41"/>
      <c r="BA794" s="41"/>
      <c r="BB794" s="41"/>
      <c r="BC794" s="41"/>
      <c r="BD794" s="41"/>
      <c r="BE794" s="41"/>
      <c r="BF794" s="41"/>
      <c r="BG794" s="41"/>
      <c r="BH794" s="41"/>
      <c r="BI794" s="41">
        <v>0.76812752286180397</v>
      </c>
      <c r="BJ794" s="41"/>
      <c r="BK794" s="41"/>
      <c r="BL794" s="41"/>
      <c r="BM794" s="41"/>
      <c r="BN794" s="41">
        <f t="shared" si="13"/>
        <v>0.76812752286180397</v>
      </c>
    </row>
    <row r="795" spans="2:66" hidden="1" outlineLevel="1" x14ac:dyDescent="0.35">
      <c r="B795" s="41" t="s">
        <v>541</v>
      </c>
      <c r="C795" s="41" t="s">
        <v>542</v>
      </c>
      <c r="D795" s="41" t="s">
        <v>746</v>
      </c>
      <c r="E795" s="41" t="s">
        <v>745</v>
      </c>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v>0.136766653716654</v>
      </c>
      <c r="AK795" s="41"/>
      <c r="AL795" s="41"/>
      <c r="AM795" s="41"/>
      <c r="AN795" s="41"/>
      <c r="AO795" s="41"/>
      <c r="AP795" s="41"/>
      <c r="AQ795" s="41"/>
      <c r="AR795" s="41"/>
      <c r="AS795" s="41"/>
      <c r="AT795" s="41">
        <v>0.12275672687922148</v>
      </c>
      <c r="AU795" s="41"/>
      <c r="AV795" s="41"/>
      <c r="AW795" s="41"/>
      <c r="AX795" s="41"/>
      <c r="AY795" s="41"/>
      <c r="AZ795" s="41"/>
      <c r="BA795" s="41"/>
      <c r="BB795" s="41"/>
      <c r="BC795" s="41"/>
      <c r="BD795" s="41"/>
      <c r="BE795" s="41"/>
      <c r="BF795" s="41"/>
      <c r="BG795" s="41"/>
      <c r="BH795" s="41"/>
      <c r="BI795" s="41">
        <v>0.2196453959396874</v>
      </c>
      <c r="BJ795" s="41"/>
      <c r="BK795" s="41"/>
      <c r="BL795" s="41"/>
      <c r="BM795" s="41"/>
      <c r="BN795" s="41">
        <f t="shared" si="13"/>
        <v>0.2196453959396874</v>
      </c>
    </row>
    <row r="796" spans="2:66" hidden="1" outlineLevel="1" x14ac:dyDescent="0.35">
      <c r="B796" s="41" t="s">
        <v>548</v>
      </c>
      <c r="C796" s="41" t="s">
        <v>142</v>
      </c>
      <c r="D796" s="41" t="s">
        <v>746</v>
      </c>
      <c r="E796" s="41" t="s">
        <v>745</v>
      </c>
      <c r="F796" s="41">
        <v>0.41799999999999998</v>
      </c>
      <c r="G796" s="41"/>
      <c r="H796" s="41"/>
      <c r="I796" s="41"/>
      <c r="J796" s="41"/>
      <c r="K796" s="41">
        <v>0.26200000000000001</v>
      </c>
      <c r="L796" s="41"/>
      <c r="M796" s="41"/>
      <c r="N796" s="41"/>
      <c r="O796" s="41"/>
      <c r="P796" s="41">
        <v>0.44500000000000001</v>
      </c>
      <c r="Q796" s="41"/>
      <c r="R796" s="41"/>
      <c r="S796" s="41"/>
      <c r="T796" s="41"/>
      <c r="U796" s="41">
        <v>0.45400000000000001</v>
      </c>
      <c r="V796" s="41"/>
      <c r="W796" s="41"/>
      <c r="X796" s="41"/>
      <c r="Y796" s="41"/>
      <c r="Z796" s="41">
        <v>0.72599999999999998</v>
      </c>
      <c r="AA796" s="41">
        <v>0.67300000000000004</v>
      </c>
      <c r="AB796" s="41"/>
      <c r="AC796" s="41"/>
      <c r="AD796" s="41">
        <v>1.0429999999999999</v>
      </c>
      <c r="AE796" s="41"/>
      <c r="AF796" s="41"/>
      <c r="AG796" s="41"/>
      <c r="AH796" s="41"/>
      <c r="AI796" s="41"/>
      <c r="AJ796" s="41">
        <v>0.72</v>
      </c>
      <c r="AK796" s="41">
        <v>0.73199999999999998</v>
      </c>
      <c r="AL796" s="41"/>
      <c r="AM796" s="41">
        <v>0.65800000000000003</v>
      </c>
      <c r="AN796" s="41">
        <v>0.78800000000000003</v>
      </c>
      <c r="AO796" s="41">
        <v>0.94259999999999999</v>
      </c>
      <c r="AP796" s="41">
        <v>0.76049999999999995</v>
      </c>
      <c r="AQ796" s="41">
        <v>0.75280000000000002</v>
      </c>
      <c r="AR796" s="41">
        <v>0.93859999999999999</v>
      </c>
      <c r="AS796" s="41">
        <v>0.92579999999999996</v>
      </c>
      <c r="AT796" s="41">
        <v>1.0055000000000001</v>
      </c>
      <c r="AU796" s="41">
        <v>0.9698</v>
      </c>
      <c r="AV796" s="41">
        <v>0.82489999999999997</v>
      </c>
      <c r="AW796" s="41">
        <v>0.80840000000000001</v>
      </c>
      <c r="AX796" s="41"/>
      <c r="AY796" s="41"/>
      <c r="AZ796" s="41">
        <v>1.2217</v>
      </c>
      <c r="BA796" s="41">
        <v>1.1785000000000001</v>
      </c>
      <c r="BB796" s="41"/>
      <c r="BC796" s="41">
        <v>1.5073000000000001</v>
      </c>
      <c r="BD796" s="41">
        <v>1.8086</v>
      </c>
      <c r="BE796" s="41">
        <v>1.8211999999999999</v>
      </c>
      <c r="BF796" s="41"/>
      <c r="BG796" s="41"/>
      <c r="BH796" s="41"/>
      <c r="BI796" s="41">
        <v>2.6697000000000002</v>
      </c>
      <c r="BJ796" s="41"/>
      <c r="BK796" s="41"/>
      <c r="BL796" s="41"/>
      <c r="BM796" s="41"/>
      <c r="BN796" s="41">
        <f t="shared" si="13"/>
        <v>2.6697000000000002</v>
      </c>
    </row>
    <row r="797" spans="2:66" hidden="1" outlineLevel="1" x14ac:dyDescent="0.35">
      <c r="B797" s="41" t="s">
        <v>549</v>
      </c>
      <c r="C797" s="41" t="s">
        <v>143</v>
      </c>
      <c r="D797" s="41" t="s">
        <v>746</v>
      </c>
      <c r="E797" s="41" t="s">
        <v>745</v>
      </c>
      <c r="F797" s="41">
        <v>0.1</v>
      </c>
      <c r="G797" s="41"/>
      <c r="H797" s="41"/>
      <c r="I797" s="41"/>
      <c r="J797" s="41"/>
      <c r="K797" s="41">
        <v>0.125</v>
      </c>
      <c r="L797" s="41"/>
      <c r="M797" s="41"/>
      <c r="N797" s="41"/>
      <c r="O797" s="41"/>
      <c r="P797" s="41">
        <v>0.16900000000000001</v>
      </c>
      <c r="Q797" s="41"/>
      <c r="R797" s="41"/>
      <c r="S797" s="41"/>
      <c r="T797" s="41"/>
      <c r="U797" s="41">
        <v>0.16900000000000001</v>
      </c>
      <c r="V797" s="41"/>
      <c r="W797" s="41"/>
      <c r="X797" s="41"/>
      <c r="Y797" s="41"/>
      <c r="Z797" s="41">
        <v>0.27100000000000002</v>
      </c>
      <c r="AA797" s="41">
        <v>0.27500000000000002</v>
      </c>
      <c r="AB797" s="41"/>
      <c r="AC797" s="41"/>
      <c r="AD797" s="41"/>
      <c r="AE797" s="41"/>
      <c r="AF797" s="41">
        <v>0.46100000000000002</v>
      </c>
      <c r="AG797" s="41"/>
      <c r="AH797" s="41"/>
      <c r="AI797" s="41"/>
      <c r="AJ797" s="41">
        <v>0.53739999999999999</v>
      </c>
      <c r="AK797" s="41">
        <v>0.53459999999999996</v>
      </c>
      <c r="AL797" s="41">
        <v>0.5927</v>
      </c>
      <c r="AM797" s="41">
        <v>0.59840000000000004</v>
      </c>
      <c r="AN797" s="41">
        <v>0.59670000000000001</v>
      </c>
      <c r="AO797" s="41">
        <v>0.65449999999999997</v>
      </c>
      <c r="AP797" s="41">
        <v>0.66739999999999999</v>
      </c>
      <c r="AQ797" s="41">
        <v>0.68879999999999997</v>
      </c>
      <c r="AR797" s="41">
        <v>0.71779999999999999</v>
      </c>
      <c r="AS797" s="41">
        <v>0.74439999999999995</v>
      </c>
      <c r="AT797" s="41">
        <v>0.76749999999999996</v>
      </c>
      <c r="AU797" s="41">
        <v>0.79369999999999996</v>
      </c>
      <c r="AV797" s="41">
        <v>0.80740000000000001</v>
      </c>
      <c r="AW797" s="41">
        <v>0.82389999999999997</v>
      </c>
      <c r="AX797" s="41">
        <v>1.3307</v>
      </c>
      <c r="AY797" s="41">
        <v>0.93259999999999998</v>
      </c>
      <c r="AZ797" s="41"/>
      <c r="BA797" s="41">
        <v>1.0247999999999999</v>
      </c>
      <c r="BB797" s="41">
        <v>1.1082000000000001</v>
      </c>
      <c r="BC797" s="41"/>
      <c r="BD797" s="41">
        <v>1.2214</v>
      </c>
      <c r="BE797" s="41"/>
      <c r="BF797" s="41"/>
      <c r="BG797" s="41"/>
      <c r="BH797" s="41">
        <v>1.2677</v>
      </c>
      <c r="BI797" s="41">
        <v>1.2999000000000001</v>
      </c>
      <c r="BJ797" s="41">
        <v>1.2722</v>
      </c>
      <c r="BK797" s="41"/>
      <c r="BL797" s="41"/>
      <c r="BM797" s="41"/>
      <c r="BN797" s="41">
        <f t="shared" si="13"/>
        <v>1.2722</v>
      </c>
    </row>
    <row r="798" spans="2:66" hidden="1" outlineLevel="1" x14ac:dyDescent="0.35">
      <c r="B798" s="41" t="s">
        <v>550</v>
      </c>
      <c r="C798" s="41" t="s">
        <v>144</v>
      </c>
      <c r="D798" s="41" t="s">
        <v>746</v>
      </c>
      <c r="E798" s="41" t="s">
        <v>745</v>
      </c>
      <c r="F798" s="41">
        <v>0.3</v>
      </c>
      <c r="G798" s="41">
        <v>0.3</v>
      </c>
      <c r="H798" s="41">
        <v>0.4</v>
      </c>
      <c r="I798" s="41">
        <v>0.4</v>
      </c>
      <c r="J798" s="41">
        <v>0.3</v>
      </c>
      <c r="K798" s="41">
        <v>0.4</v>
      </c>
      <c r="L798" s="41">
        <v>0.4</v>
      </c>
      <c r="M798" s="41">
        <v>0.4</v>
      </c>
      <c r="N798" s="41">
        <v>0.4</v>
      </c>
      <c r="O798" s="41">
        <v>0.4</v>
      </c>
      <c r="P798" s="41"/>
      <c r="Q798" s="41"/>
      <c r="R798" s="41"/>
      <c r="S798" s="41"/>
      <c r="T798" s="41"/>
      <c r="U798" s="41"/>
      <c r="V798" s="41"/>
      <c r="W798" s="41"/>
      <c r="X798" s="41"/>
      <c r="Y798" s="41"/>
      <c r="Z798" s="41"/>
      <c r="AA798" s="41"/>
      <c r="AB798" s="41"/>
      <c r="AC798" s="41"/>
      <c r="AD798" s="41"/>
      <c r="AE798" s="41"/>
      <c r="AF798" s="41"/>
      <c r="AG798" s="41"/>
      <c r="AH798" s="41"/>
      <c r="AI798" s="41"/>
      <c r="AJ798" s="41">
        <v>0.93910000000000005</v>
      </c>
      <c r="AK798" s="41">
        <v>0.97130000000000005</v>
      </c>
      <c r="AL798" s="41">
        <v>1.0222</v>
      </c>
      <c r="AM798" s="41">
        <v>1.0775999999999999</v>
      </c>
      <c r="AN798" s="41">
        <v>1.1435999999999999</v>
      </c>
      <c r="AO798" s="41">
        <v>1.1857</v>
      </c>
      <c r="AP798" s="41">
        <v>1.1939</v>
      </c>
      <c r="AQ798" s="41">
        <v>1.2201</v>
      </c>
      <c r="AR798" s="41">
        <v>1.2611000000000001</v>
      </c>
      <c r="AS798" s="41">
        <v>1.3163</v>
      </c>
      <c r="AT798" s="41">
        <v>1.3479000000000001</v>
      </c>
      <c r="AU798" s="41">
        <v>1.399</v>
      </c>
      <c r="AV798" s="41">
        <v>1.4115</v>
      </c>
      <c r="AW798" s="41">
        <v>1.4294</v>
      </c>
      <c r="AX798" s="41">
        <v>1.4492</v>
      </c>
      <c r="AY798" s="41">
        <v>1.4852000000000001</v>
      </c>
      <c r="AZ798" s="41">
        <v>1.5193000000000001</v>
      </c>
      <c r="BA798" s="41">
        <v>1.5576000000000001</v>
      </c>
      <c r="BB798" s="41">
        <v>1.6063000000000001</v>
      </c>
      <c r="BC798" s="41">
        <v>1.6631</v>
      </c>
      <c r="BD798" s="41">
        <v>1.7068000000000001</v>
      </c>
      <c r="BE798" s="41">
        <v>1.7168000000000001</v>
      </c>
      <c r="BF798" s="41">
        <v>1.7403</v>
      </c>
      <c r="BG798" s="41">
        <v>1.7650999999999999</v>
      </c>
      <c r="BH798" s="41">
        <v>1.7605</v>
      </c>
      <c r="BI798" s="41"/>
      <c r="BJ798" s="41"/>
      <c r="BK798" s="41"/>
      <c r="BL798" s="41"/>
      <c r="BM798" s="41"/>
      <c r="BN798" s="41">
        <f t="shared" si="13"/>
        <v>1.7605</v>
      </c>
    </row>
    <row r="799" spans="2:66" hidden="1" outlineLevel="1" x14ac:dyDescent="0.35">
      <c r="B799" s="41" t="s">
        <v>257</v>
      </c>
      <c r="C799" s="41" t="s">
        <v>145</v>
      </c>
      <c r="D799" s="41" t="s">
        <v>746</v>
      </c>
      <c r="E799" s="41" t="s">
        <v>745</v>
      </c>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v>0.625</v>
      </c>
      <c r="AW799" s="41">
        <v>1.0204</v>
      </c>
      <c r="AX799" s="41"/>
      <c r="AY799" s="41"/>
      <c r="AZ799" s="41"/>
      <c r="BA799" s="41"/>
      <c r="BB799" s="41">
        <v>0.97089999999999999</v>
      </c>
      <c r="BC799" s="41">
        <v>1.1537999999999999</v>
      </c>
      <c r="BD799" s="41">
        <v>1.091</v>
      </c>
      <c r="BE799" s="41"/>
      <c r="BF799" s="41"/>
      <c r="BG799" s="41"/>
      <c r="BH799" s="41">
        <v>0.91739999999999999</v>
      </c>
      <c r="BI799" s="41"/>
      <c r="BJ799" s="41"/>
      <c r="BK799" s="41"/>
      <c r="BL799" s="41"/>
      <c r="BM799" s="41"/>
      <c r="BN799" s="41">
        <f t="shared" si="13"/>
        <v>0.91739999999999999</v>
      </c>
    </row>
    <row r="800" spans="2:66" hidden="1" outlineLevel="1" x14ac:dyDescent="0.35">
      <c r="B800" s="41" t="s">
        <v>546</v>
      </c>
      <c r="C800" s="41" t="s">
        <v>146</v>
      </c>
      <c r="D800" s="41" t="s">
        <v>746</v>
      </c>
      <c r="E800" s="41" t="s">
        <v>745</v>
      </c>
      <c r="F800" s="41">
        <v>5.5E-2</v>
      </c>
      <c r="G800" s="41">
        <v>0.04</v>
      </c>
      <c r="H800" s="41"/>
      <c r="I800" s="41"/>
      <c r="J800" s="41"/>
      <c r="K800" s="41">
        <v>4.4999999999999998E-2</v>
      </c>
      <c r="L800" s="41"/>
      <c r="M800" s="41"/>
      <c r="N800" s="41"/>
      <c r="O800" s="41"/>
      <c r="P800" s="41">
        <v>4.3999999999999997E-2</v>
      </c>
      <c r="Q800" s="41"/>
      <c r="R800" s="41"/>
      <c r="S800" s="41"/>
      <c r="T800" s="41"/>
      <c r="U800" s="41">
        <v>4.3999999999999997E-2</v>
      </c>
      <c r="V800" s="41"/>
      <c r="W800" s="41"/>
      <c r="X800" s="41"/>
      <c r="Y800" s="41"/>
      <c r="Z800" s="41"/>
      <c r="AA800" s="41"/>
      <c r="AB800" s="41"/>
      <c r="AC800" s="41"/>
      <c r="AD800" s="41">
        <v>3.9E-2</v>
      </c>
      <c r="AE800" s="41">
        <v>3.5000000000000003E-2</v>
      </c>
      <c r="AF800" s="41"/>
      <c r="AG800" s="41">
        <v>3.9E-2</v>
      </c>
      <c r="AH800" s="41"/>
      <c r="AI800" s="41"/>
      <c r="AJ800" s="41"/>
      <c r="AK800" s="41"/>
      <c r="AL800" s="41"/>
      <c r="AM800" s="41"/>
      <c r="AN800" s="41">
        <v>4.2000000000000003E-2</v>
      </c>
      <c r="AO800" s="41">
        <v>4.1000000000000002E-2</v>
      </c>
      <c r="AP800" s="41"/>
      <c r="AQ800" s="41"/>
      <c r="AR800" s="41"/>
      <c r="AS800" s="41"/>
      <c r="AT800" s="41"/>
      <c r="AU800" s="41"/>
      <c r="AV800" s="41">
        <v>2.2800000000000001E-2</v>
      </c>
      <c r="AW800" s="41"/>
      <c r="AX800" s="41"/>
      <c r="AY800" s="41"/>
      <c r="AZ800" s="41"/>
      <c r="BA800" s="41"/>
      <c r="BB800" s="41"/>
      <c r="BC800" s="41"/>
      <c r="BD800" s="41">
        <v>8.0000000000000002E-3</v>
      </c>
      <c r="BE800" s="41"/>
      <c r="BF800" s="41">
        <v>3.0200000000000001E-2</v>
      </c>
      <c r="BG800" s="41"/>
      <c r="BH800" s="41">
        <v>3.9899999999999998E-2</v>
      </c>
      <c r="BI800" s="41"/>
      <c r="BJ800" s="41"/>
      <c r="BK800" s="41"/>
      <c r="BL800" s="41"/>
      <c r="BM800" s="41"/>
      <c r="BN800" s="41">
        <f t="shared" si="13"/>
        <v>3.9899999999999998E-2</v>
      </c>
    </row>
    <row r="801" spans="2:66" hidden="1" outlineLevel="1" x14ac:dyDescent="0.35">
      <c r="B801" s="41" t="s">
        <v>216</v>
      </c>
      <c r="C801" s="41" t="s">
        <v>147</v>
      </c>
      <c r="D801" s="41" t="s">
        <v>746</v>
      </c>
      <c r="E801" s="41" t="s">
        <v>745</v>
      </c>
      <c r="F801" s="41">
        <v>7.3999999999999996E-2</v>
      </c>
      <c r="G801" s="41"/>
      <c r="H801" s="41"/>
      <c r="I801" s="41"/>
      <c r="J801" s="41"/>
      <c r="K801" s="41">
        <v>0.09</v>
      </c>
      <c r="L801" s="41"/>
      <c r="M801" s="41"/>
      <c r="N801" s="41"/>
      <c r="O801" s="41"/>
      <c r="P801" s="41">
        <v>0.108</v>
      </c>
      <c r="Q801" s="41"/>
      <c r="R801" s="41"/>
      <c r="S801" s="41"/>
      <c r="T801" s="41"/>
      <c r="U801" s="41">
        <v>0.108</v>
      </c>
      <c r="V801" s="41"/>
      <c r="W801" s="41"/>
      <c r="X801" s="41"/>
      <c r="Y801" s="41"/>
      <c r="Z801" s="41"/>
      <c r="AA801" s="41">
        <v>4.7E-2</v>
      </c>
      <c r="AB801" s="41">
        <v>4.5999999999999999E-2</v>
      </c>
      <c r="AC801" s="41"/>
      <c r="AD801" s="41">
        <v>4.3999999999999997E-2</v>
      </c>
      <c r="AE801" s="41"/>
      <c r="AF801" s="41"/>
      <c r="AG801" s="41"/>
      <c r="AH801" s="41"/>
      <c r="AI801" s="41">
        <v>4.4999999999999998E-2</v>
      </c>
      <c r="AJ801" s="41"/>
      <c r="AK801" s="41"/>
      <c r="AL801" s="41"/>
      <c r="AM801" s="41">
        <v>0.04</v>
      </c>
      <c r="AN801" s="41"/>
      <c r="AO801" s="41"/>
      <c r="AP801" s="41"/>
      <c r="AQ801" s="41"/>
      <c r="AR801" s="41"/>
      <c r="AS801" s="41"/>
      <c r="AT801" s="41"/>
      <c r="AU801" s="41"/>
      <c r="AV801" s="41">
        <v>4.7E-2</v>
      </c>
      <c r="AW801" s="41"/>
      <c r="AX801" s="41">
        <v>8.0100000000000005E-2</v>
      </c>
      <c r="AY801" s="41">
        <v>0.1177</v>
      </c>
      <c r="AZ801" s="41"/>
      <c r="BA801" s="41"/>
      <c r="BB801" s="41"/>
      <c r="BC801" s="41"/>
      <c r="BD801" s="41">
        <v>0.11700000000000001</v>
      </c>
      <c r="BE801" s="41"/>
      <c r="BF801" s="41">
        <v>9.2799999999999994E-2</v>
      </c>
      <c r="BG801" s="41"/>
      <c r="BH801" s="41"/>
      <c r="BI801" s="41">
        <v>9.0800000000000006E-2</v>
      </c>
      <c r="BJ801" s="41"/>
      <c r="BK801" s="41"/>
      <c r="BL801" s="41"/>
      <c r="BM801" s="41"/>
      <c r="BN801" s="41">
        <f t="shared" si="13"/>
        <v>9.0800000000000006E-2</v>
      </c>
    </row>
    <row r="802" spans="2:66" hidden="1" outlineLevel="1" x14ac:dyDescent="0.35">
      <c r="B802" s="41" t="s">
        <v>239</v>
      </c>
      <c r="C802" s="41" t="s">
        <v>148</v>
      </c>
      <c r="D802" s="41" t="s">
        <v>746</v>
      </c>
      <c r="E802" s="41" t="s">
        <v>745</v>
      </c>
      <c r="F802" s="41"/>
      <c r="G802" s="41"/>
      <c r="H802" s="41"/>
      <c r="I802" s="41"/>
      <c r="J802" s="41"/>
      <c r="K802" s="41"/>
      <c r="L802" s="41"/>
      <c r="M802" s="41"/>
      <c r="N802" s="41"/>
      <c r="O802" s="41"/>
      <c r="P802" s="41"/>
      <c r="Q802" s="41"/>
      <c r="R802" s="41"/>
      <c r="S802" s="41"/>
      <c r="T802" s="41"/>
      <c r="U802" s="41"/>
      <c r="V802" s="41"/>
      <c r="W802" s="41"/>
      <c r="X802" s="41"/>
      <c r="Y802" s="41"/>
      <c r="Z802" s="41">
        <v>3.5150000000000001</v>
      </c>
      <c r="AA802" s="41">
        <v>3.6309999999999998</v>
      </c>
      <c r="AB802" s="41">
        <v>3.7410000000000001</v>
      </c>
      <c r="AC802" s="41">
        <v>3.82</v>
      </c>
      <c r="AD802" s="41">
        <v>3.9089999999999998</v>
      </c>
      <c r="AE802" s="41">
        <v>4.0019999999999998</v>
      </c>
      <c r="AF802" s="41">
        <v>4.0599999999999996</v>
      </c>
      <c r="AG802" s="41">
        <v>4.1429999999999998</v>
      </c>
      <c r="AH802" s="41">
        <v>4.2</v>
      </c>
      <c r="AI802" s="41">
        <v>4.2750000000000004</v>
      </c>
      <c r="AJ802" s="41">
        <v>4.29</v>
      </c>
      <c r="AK802" s="41">
        <v>4.3449999999999998</v>
      </c>
      <c r="AL802" s="41">
        <v>4.2969999999999997</v>
      </c>
      <c r="AM802" s="41">
        <v>4.3419999999999996</v>
      </c>
      <c r="AN802" s="41">
        <v>4.3140000000000001</v>
      </c>
      <c r="AO802" s="41">
        <v>4.407</v>
      </c>
      <c r="AP802" s="41">
        <v>2.992</v>
      </c>
      <c r="AQ802" s="41">
        <v>2.97</v>
      </c>
      <c r="AR802" s="41">
        <v>2.99</v>
      </c>
      <c r="AS802" s="41">
        <v>2.9860000000000002</v>
      </c>
      <c r="AT802" s="41">
        <v>2.9780000000000002</v>
      </c>
      <c r="AU802" s="41"/>
      <c r="AV802" s="41"/>
      <c r="AW802" s="41">
        <v>2.9510000000000001</v>
      </c>
      <c r="AX802" s="41"/>
      <c r="AY802" s="41"/>
      <c r="AZ802" s="41">
        <v>3.125</v>
      </c>
      <c r="BA802" s="41"/>
      <c r="BB802" s="41"/>
      <c r="BC802" s="41"/>
      <c r="BD802" s="41">
        <v>3.4830000000000001</v>
      </c>
      <c r="BE802" s="41">
        <v>3.4874999999999998</v>
      </c>
      <c r="BF802" s="41">
        <v>3.4990999999999999</v>
      </c>
      <c r="BG802" s="41">
        <v>3.5097</v>
      </c>
      <c r="BH802" s="41">
        <v>3.0074999999999998</v>
      </c>
      <c r="BI802" s="41"/>
      <c r="BJ802" s="41"/>
      <c r="BK802" s="41"/>
      <c r="BL802" s="41"/>
      <c r="BM802" s="41"/>
      <c r="BN802" s="41">
        <f t="shared" si="13"/>
        <v>3.0074999999999998</v>
      </c>
    </row>
    <row r="803" spans="2:66" hidden="1" outlineLevel="1" x14ac:dyDescent="0.35">
      <c r="B803" s="41" t="s">
        <v>557</v>
      </c>
      <c r="C803" s="41" t="s">
        <v>558</v>
      </c>
      <c r="D803" s="41" t="s">
        <v>746</v>
      </c>
      <c r="E803" s="41" t="s">
        <v>745</v>
      </c>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v>1.3512353438311562</v>
      </c>
      <c r="AK803" s="41"/>
      <c r="AL803" s="41"/>
      <c r="AM803" s="41"/>
      <c r="AN803" s="41"/>
      <c r="AO803" s="41"/>
      <c r="AP803" s="41"/>
      <c r="AQ803" s="41"/>
      <c r="AR803" s="41"/>
      <c r="AS803" s="41"/>
      <c r="AT803" s="41">
        <v>1.5414672573077715</v>
      </c>
      <c r="AU803" s="41"/>
      <c r="AV803" s="41"/>
      <c r="AW803" s="41"/>
      <c r="AX803" s="41"/>
      <c r="AY803" s="41"/>
      <c r="AZ803" s="41"/>
      <c r="BA803" s="41"/>
      <c r="BB803" s="41"/>
      <c r="BC803" s="41"/>
      <c r="BD803" s="41"/>
      <c r="BE803" s="41"/>
      <c r="BF803" s="41"/>
      <c r="BG803" s="41"/>
      <c r="BH803" s="41"/>
      <c r="BI803" s="41">
        <v>1.9712890693055864</v>
      </c>
      <c r="BJ803" s="41"/>
      <c r="BK803" s="41"/>
      <c r="BL803" s="41"/>
      <c r="BM803" s="41"/>
      <c r="BN803" s="41">
        <f t="shared" si="13"/>
        <v>1.9712890693055864</v>
      </c>
    </row>
    <row r="804" spans="2:66" hidden="1" outlineLevel="1" x14ac:dyDescent="0.35">
      <c r="B804" s="41" t="s">
        <v>559</v>
      </c>
      <c r="C804" s="41" t="s">
        <v>560</v>
      </c>
      <c r="D804" s="41" t="s">
        <v>746</v>
      </c>
      <c r="E804" s="41" t="s">
        <v>745</v>
      </c>
      <c r="F804" s="41">
        <v>1.0640000000000001</v>
      </c>
      <c r="G804" s="41"/>
      <c r="H804" s="41"/>
      <c r="I804" s="41"/>
      <c r="J804" s="41"/>
      <c r="K804" s="41">
        <v>1.1359999999999999</v>
      </c>
      <c r="L804" s="41"/>
      <c r="M804" s="41"/>
      <c r="N804" s="41"/>
      <c r="O804" s="41"/>
      <c r="P804" s="41">
        <v>1.093</v>
      </c>
      <c r="Q804" s="41"/>
      <c r="R804" s="41"/>
      <c r="S804" s="41"/>
      <c r="T804" s="41"/>
      <c r="U804" s="41">
        <v>1.111</v>
      </c>
      <c r="V804" s="41"/>
      <c r="W804" s="41"/>
      <c r="X804" s="41"/>
      <c r="Y804" s="41"/>
      <c r="Z804" s="41"/>
      <c r="AA804" s="41">
        <v>1.9970000000000001</v>
      </c>
      <c r="AB804" s="41"/>
      <c r="AC804" s="41"/>
      <c r="AD804" s="41">
        <v>1.9259999999999999</v>
      </c>
      <c r="AE804" s="41">
        <v>1.9470000000000001</v>
      </c>
      <c r="AF804" s="41"/>
      <c r="AG804" s="41"/>
      <c r="AH804" s="41"/>
      <c r="AI804" s="41"/>
      <c r="AJ804" s="41">
        <v>3.68</v>
      </c>
      <c r="AK804" s="41"/>
      <c r="AL804" s="41">
        <v>3.226</v>
      </c>
      <c r="AM804" s="41"/>
      <c r="AN804" s="41"/>
      <c r="AO804" s="41">
        <v>3.56</v>
      </c>
      <c r="AP804" s="41">
        <v>3.7029999999999998</v>
      </c>
      <c r="AQ804" s="41"/>
      <c r="AR804" s="41"/>
      <c r="AS804" s="41">
        <v>3.7450000000000001</v>
      </c>
      <c r="AT804" s="41"/>
      <c r="AU804" s="41"/>
      <c r="AV804" s="41">
        <v>3.7214</v>
      </c>
      <c r="AW804" s="41"/>
      <c r="AX804" s="41"/>
      <c r="AY804" s="41"/>
      <c r="AZ804" s="41"/>
      <c r="BA804" s="41">
        <v>4.181</v>
      </c>
      <c r="BB804" s="41">
        <v>3.9384999999999999</v>
      </c>
      <c r="BC804" s="41"/>
      <c r="BD804" s="41">
        <v>3.7360000000000002</v>
      </c>
      <c r="BE804" s="41"/>
      <c r="BF804" s="41"/>
      <c r="BG804" s="41"/>
      <c r="BH804" s="41"/>
      <c r="BI804" s="41"/>
      <c r="BJ804" s="41">
        <v>3.9329000000000001</v>
      </c>
      <c r="BK804" s="41">
        <v>5.0499000000000001</v>
      </c>
      <c r="BL804" s="41"/>
      <c r="BM804" s="41"/>
      <c r="BN804" s="41">
        <f t="shared" si="13"/>
        <v>5.0499000000000001</v>
      </c>
    </row>
    <row r="805" spans="2:66" hidden="1" outlineLevel="1" x14ac:dyDescent="0.35">
      <c r="B805" s="41" t="s">
        <v>556</v>
      </c>
      <c r="C805" s="41" t="s">
        <v>149</v>
      </c>
      <c r="D805" s="41" t="s">
        <v>746</v>
      </c>
      <c r="E805" s="41" t="s">
        <v>745</v>
      </c>
      <c r="F805" s="41">
        <v>1.1000000000000001</v>
      </c>
      <c r="G805" s="41"/>
      <c r="H805" s="41"/>
      <c r="I805" s="41"/>
      <c r="J805" s="41"/>
      <c r="K805" s="41">
        <v>1.2</v>
      </c>
      <c r="L805" s="41"/>
      <c r="M805" s="41"/>
      <c r="N805" s="41"/>
      <c r="O805" s="41"/>
      <c r="P805" s="41">
        <v>1.2</v>
      </c>
      <c r="Q805" s="41"/>
      <c r="R805" s="41"/>
      <c r="S805" s="41"/>
      <c r="T805" s="41"/>
      <c r="U805" s="41">
        <v>1.3</v>
      </c>
      <c r="V805" s="41">
        <v>1.3</v>
      </c>
      <c r="W805" s="41">
        <v>1.3</v>
      </c>
      <c r="X805" s="41">
        <v>1.4</v>
      </c>
      <c r="Y805" s="41">
        <v>1.4</v>
      </c>
      <c r="Z805" s="41">
        <v>1.5</v>
      </c>
      <c r="AA805" s="41">
        <v>1.5</v>
      </c>
      <c r="AB805" s="41">
        <v>1.6</v>
      </c>
      <c r="AC805" s="41">
        <v>1.6</v>
      </c>
      <c r="AD805" s="41"/>
      <c r="AE805" s="41"/>
      <c r="AF805" s="41">
        <v>1.7</v>
      </c>
      <c r="AG805" s="41">
        <v>1.8</v>
      </c>
      <c r="AH805" s="41">
        <v>1.8</v>
      </c>
      <c r="AI805" s="41">
        <v>1.8</v>
      </c>
      <c r="AJ805" s="41">
        <v>1.8</v>
      </c>
      <c r="AK805" s="41">
        <v>1.9</v>
      </c>
      <c r="AL805" s="41">
        <v>1.9</v>
      </c>
      <c r="AM805" s="41">
        <v>1.9</v>
      </c>
      <c r="AN805" s="41"/>
      <c r="AO805" s="41">
        <v>2.4340000000000002</v>
      </c>
      <c r="AP805" s="41">
        <v>2</v>
      </c>
      <c r="AQ805" s="41">
        <v>2.1</v>
      </c>
      <c r="AR805" s="41">
        <v>2.1</v>
      </c>
      <c r="AS805" s="41">
        <v>2.2000000000000002</v>
      </c>
      <c r="AT805" s="41">
        <v>2.5916999999999999</v>
      </c>
      <c r="AU805" s="41">
        <v>2.2000000000000002</v>
      </c>
      <c r="AV805" s="41">
        <v>2.2999999999999998</v>
      </c>
      <c r="AW805" s="41"/>
      <c r="AX805" s="41">
        <v>2.7130000000000001</v>
      </c>
      <c r="AY805" s="41">
        <v>2.9401000000000002</v>
      </c>
      <c r="AZ805" s="41">
        <v>2.4020000000000001</v>
      </c>
      <c r="BA805" s="41">
        <v>2.41</v>
      </c>
      <c r="BB805" s="41">
        <v>2.4159999999999999</v>
      </c>
      <c r="BC805" s="41">
        <v>2.4220000000000002</v>
      </c>
      <c r="BD805" s="41">
        <v>2.4382999999999999</v>
      </c>
      <c r="BE805" s="41">
        <v>2.4683000000000002</v>
      </c>
      <c r="BF805" s="41">
        <v>2.5041000000000002</v>
      </c>
      <c r="BG805" s="41">
        <v>2.5666000000000002</v>
      </c>
      <c r="BH805" s="41">
        <v>2.5817000000000001</v>
      </c>
      <c r="BI805" s="41">
        <v>2.5857999999999999</v>
      </c>
      <c r="BJ805" s="41">
        <v>2.5948000000000002</v>
      </c>
      <c r="BK805" s="41"/>
      <c r="BL805" s="41"/>
      <c r="BM805" s="41"/>
      <c r="BN805" s="41">
        <f t="shared" si="13"/>
        <v>2.5948000000000002</v>
      </c>
    </row>
    <row r="806" spans="2:66" hidden="1" outlineLevel="1" x14ac:dyDescent="0.35">
      <c r="B806" s="41" t="s">
        <v>561</v>
      </c>
      <c r="C806" s="41" t="s">
        <v>150</v>
      </c>
      <c r="D806" s="41" t="s">
        <v>746</v>
      </c>
      <c r="E806" s="41" t="s">
        <v>745</v>
      </c>
      <c r="F806" s="41"/>
      <c r="G806" s="41"/>
      <c r="H806" s="41"/>
      <c r="I806" s="41"/>
      <c r="J806" s="41"/>
      <c r="K806" s="41"/>
      <c r="L806" s="41"/>
      <c r="M806" s="41"/>
      <c r="N806" s="41"/>
      <c r="O806" s="41"/>
      <c r="P806" s="41"/>
      <c r="Q806" s="41"/>
      <c r="R806" s="41"/>
      <c r="S806" s="41"/>
      <c r="T806" s="41"/>
      <c r="U806" s="41"/>
      <c r="V806" s="41"/>
      <c r="W806" s="41"/>
      <c r="X806" s="41"/>
      <c r="Y806" s="41"/>
      <c r="Z806" s="41">
        <v>2.669</v>
      </c>
      <c r="AA806" s="41"/>
      <c r="AB806" s="41"/>
      <c r="AC806" s="41"/>
      <c r="AD806" s="41"/>
      <c r="AE806" s="41">
        <v>2.694</v>
      </c>
      <c r="AF806" s="41">
        <v>3.2549999999999999</v>
      </c>
      <c r="AG806" s="41">
        <v>3.319</v>
      </c>
      <c r="AH806" s="41">
        <v>3.3639999999999999</v>
      </c>
      <c r="AI806" s="41">
        <v>3.3860000000000001</v>
      </c>
      <c r="AJ806" s="41">
        <v>3.3879999999999999</v>
      </c>
      <c r="AK806" s="41">
        <v>3.4249999999999998</v>
      </c>
      <c r="AL806" s="41">
        <v>3.3210000000000002</v>
      </c>
      <c r="AM806" s="41">
        <v>3.3380000000000001</v>
      </c>
      <c r="AN806" s="41">
        <v>3.2949999999999999</v>
      </c>
      <c r="AO806" s="41">
        <v>3.2389999999999999</v>
      </c>
      <c r="AP806" s="41">
        <v>3.1709999999999998</v>
      </c>
      <c r="AQ806" s="41">
        <v>3.1150000000000002</v>
      </c>
      <c r="AR806" s="41">
        <v>3.085</v>
      </c>
      <c r="AS806" s="41">
        <v>2.9750000000000001</v>
      </c>
      <c r="AT806" s="41">
        <v>2.9460000000000002</v>
      </c>
      <c r="AU806" s="41">
        <v>2.8849999999999998</v>
      </c>
      <c r="AV806" s="41"/>
      <c r="AW806" s="41">
        <v>2.7450000000000001</v>
      </c>
      <c r="AX806" s="41"/>
      <c r="AY806" s="41">
        <v>2.65</v>
      </c>
      <c r="AZ806" s="41"/>
      <c r="BA806" s="41">
        <v>2.617</v>
      </c>
      <c r="BB806" s="41"/>
      <c r="BC806" s="41">
        <v>2.5609999999999999</v>
      </c>
      <c r="BD806" s="41">
        <v>2.5352000000000001</v>
      </c>
      <c r="BE806" s="41">
        <v>2.4958</v>
      </c>
      <c r="BF806" s="41">
        <v>2.4375</v>
      </c>
      <c r="BG806" s="41">
        <v>2.3975</v>
      </c>
      <c r="BH806" s="41">
        <v>2.3685</v>
      </c>
      <c r="BI806" s="41"/>
      <c r="BJ806" s="41"/>
      <c r="BK806" s="41"/>
      <c r="BL806" s="41"/>
      <c r="BM806" s="41"/>
      <c r="BN806" s="41">
        <f t="shared" si="13"/>
        <v>2.3685</v>
      </c>
    </row>
    <row r="807" spans="2:66" hidden="1" outlineLevel="1" x14ac:dyDescent="0.35">
      <c r="B807" s="41" t="s">
        <v>535</v>
      </c>
      <c r="C807" s="41" t="s">
        <v>536</v>
      </c>
      <c r="D807" s="41" t="s">
        <v>746</v>
      </c>
      <c r="E807" s="41" t="s">
        <v>745</v>
      </c>
      <c r="F807" s="41">
        <v>0.1</v>
      </c>
      <c r="G807" s="41"/>
      <c r="H807" s="41"/>
      <c r="I807" s="41"/>
      <c r="J807" s="41"/>
      <c r="K807" s="41"/>
      <c r="L807" s="41"/>
      <c r="M807" s="41"/>
      <c r="N807" s="41"/>
      <c r="O807" s="41"/>
      <c r="P807" s="41">
        <v>0.182</v>
      </c>
      <c r="Q807" s="41"/>
      <c r="R807" s="41"/>
      <c r="S807" s="41"/>
      <c r="T807" s="41"/>
      <c r="U807" s="41"/>
      <c r="V807" s="41"/>
      <c r="W807" s="41"/>
      <c r="X807" s="41"/>
      <c r="Y807" s="41"/>
      <c r="Z807" s="41"/>
      <c r="AA807" s="41"/>
      <c r="AB807" s="41"/>
      <c r="AC807" s="41"/>
      <c r="AD807" s="41">
        <v>0.26600000000000001</v>
      </c>
      <c r="AE807" s="41"/>
      <c r="AF807" s="41"/>
      <c r="AG807" s="41"/>
      <c r="AH807" s="41"/>
      <c r="AI807" s="41"/>
      <c r="AJ807" s="41">
        <v>0.46</v>
      </c>
      <c r="AK807" s="41">
        <v>0.13500000000000001</v>
      </c>
      <c r="AL807" s="41"/>
      <c r="AM807" s="41"/>
      <c r="AN807" s="41"/>
      <c r="AO807" s="41">
        <v>0.46</v>
      </c>
      <c r="AP807" s="41"/>
      <c r="AQ807" s="41">
        <v>0.93520000000000003</v>
      </c>
      <c r="AR807" s="41"/>
      <c r="AS807" s="41"/>
      <c r="AT807" s="41">
        <v>0.82479999999999998</v>
      </c>
      <c r="AU807" s="41">
        <v>0.57410000000000005</v>
      </c>
      <c r="AV807" s="41"/>
      <c r="AW807" s="41"/>
      <c r="AX807" s="41">
        <v>0.93</v>
      </c>
      <c r="AY807" s="41"/>
      <c r="AZ807" s="41"/>
      <c r="BA807" s="41"/>
      <c r="BB807" s="41"/>
      <c r="BC807" s="41"/>
      <c r="BD807" s="41">
        <v>0.65869999999999995</v>
      </c>
      <c r="BE807" s="41"/>
      <c r="BF807" s="41"/>
      <c r="BG807" s="41"/>
      <c r="BH807" s="41"/>
      <c r="BI807" s="41"/>
      <c r="BJ807" s="41"/>
      <c r="BK807" s="41"/>
      <c r="BL807" s="41"/>
      <c r="BM807" s="41"/>
      <c r="BN807" s="41">
        <f t="shared" si="13"/>
        <v>0.65869999999999995</v>
      </c>
    </row>
    <row r="808" spans="2:66" hidden="1" outlineLevel="1" x14ac:dyDescent="0.35">
      <c r="B808" s="41" t="s">
        <v>562</v>
      </c>
      <c r="C808" s="41" t="s">
        <v>563</v>
      </c>
      <c r="D808" s="41" t="s">
        <v>746</v>
      </c>
      <c r="E808" s="41" t="s">
        <v>745</v>
      </c>
      <c r="F808" s="41">
        <v>0.66600000000000004</v>
      </c>
      <c r="G808" s="41"/>
      <c r="H808" s="41"/>
      <c r="I808" s="41"/>
      <c r="J808" s="41"/>
      <c r="K808" s="41">
        <v>0.81499999999999995</v>
      </c>
      <c r="L808" s="41"/>
      <c r="M808" s="41"/>
      <c r="N808" s="41"/>
      <c r="O808" s="41"/>
      <c r="P808" s="41">
        <v>0.88300000000000001</v>
      </c>
      <c r="Q808" s="41"/>
      <c r="R808" s="41"/>
      <c r="S808" s="41"/>
      <c r="T808" s="41">
        <v>0.90400000000000003</v>
      </c>
      <c r="U808" s="41">
        <v>0.90400000000000003</v>
      </c>
      <c r="V808" s="41">
        <v>0.90400000000000003</v>
      </c>
      <c r="W808" s="41"/>
      <c r="X808" s="41"/>
      <c r="Y808" s="41"/>
      <c r="Z808" s="41">
        <v>0.83</v>
      </c>
      <c r="AA808" s="41">
        <v>0.996</v>
      </c>
      <c r="AB808" s="41">
        <v>0.83299999999999996</v>
      </c>
      <c r="AC808" s="41"/>
      <c r="AD808" s="41">
        <v>1.4359999999999999</v>
      </c>
      <c r="AE808" s="41">
        <v>1.196</v>
      </c>
      <c r="AF808" s="41">
        <v>1.399</v>
      </c>
      <c r="AG808" s="41">
        <v>1.401</v>
      </c>
      <c r="AH808" s="41">
        <v>1.6</v>
      </c>
      <c r="AI808" s="41">
        <v>1.6950000000000001</v>
      </c>
      <c r="AJ808" s="41">
        <v>1.5640000000000001</v>
      </c>
      <c r="AK808" s="41"/>
      <c r="AL808" s="41"/>
      <c r="AM808" s="41"/>
      <c r="AN808" s="41"/>
      <c r="AO808" s="41">
        <v>1.94</v>
      </c>
      <c r="AP808" s="41"/>
      <c r="AQ808" s="41"/>
      <c r="AR808" s="41"/>
      <c r="AS808" s="41"/>
      <c r="AT808" s="41"/>
      <c r="AU808" s="41">
        <v>1.9239999999999999</v>
      </c>
      <c r="AV808" s="41"/>
      <c r="AW808" s="41"/>
      <c r="AX808" s="41"/>
      <c r="AY808" s="41"/>
      <c r="AZ808" s="41"/>
      <c r="BA808" s="41"/>
      <c r="BB808" s="41"/>
      <c r="BC808" s="41"/>
      <c r="BD808" s="41"/>
      <c r="BE808" s="41"/>
      <c r="BF808" s="41"/>
      <c r="BG808" s="41"/>
      <c r="BH808" s="41"/>
      <c r="BI808" s="41"/>
      <c r="BJ808" s="41"/>
      <c r="BK808" s="41"/>
      <c r="BL808" s="41"/>
      <c r="BM808" s="41"/>
      <c r="BN808" s="41">
        <f t="shared" si="13"/>
        <v>1.9239999999999999</v>
      </c>
    </row>
    <row r="809" spans="2:66" hidden="1" outlineLevel="1" x14ac:dyDescent="0.35">
      <c r="B809" s="41" t="s">
        <v>337</v>
      </c>
      <c r="C809" s="41" t="s">
        <v>338</v>
      </c>
      <c r="D809" s="41" t="s">
        <v>746</v>
      </c>
      <c r="E809" s="41" t="s">
        <v>745</v>
      </c>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t="str">
        <f t="shared" si="13"/>
        <v>No reported value</v>
      </c>
    </row>
    <row r="810" spans="2:66" hidden="1" outlineLevel="1" x14ac:dyDescent="0.35">
      <c r="B810" s="41" t="s">
        <v>565</v>
      </c>
      <c r="C810" s="41" t="s">
        <v>566</v>
      </c>
      <c r="D810" s="41" t="s">
        <v>746</v>
      </c>
      <c r="E810" s="41" t="s">
        <v>745</v>
      </c>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v>1.65</v>
      </c>
      <c r="AK810" s="41"/>
      <c r="AL810" s="41"/>
      <c r="AM810" s="41"/>
      <c r="AN810" s="41"/>
      <c r="AO810" s="41">
        <v>1.645</v>
      </c>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f t="shared" si="13"/>
        <v>1.645</v>
      </c>
    </row>
    <row r="811" spans="2:66" hidden="1" outlineLevel="1" x14ac:dyDescent="0.35">
      <c r="B811" s="41" t="s">
        <v>564</v>
      </c>
      <c r="C811" s="41" t="s">
        <v>160</v>
      </c>
      <c r="D811" s="41" t="s">
        <v>746</v>
      </c>
      <c r="E811" s="41" t="s">
        <v>745</v>
      </c>
      <c r="F811" s="41"/>
      <c r="G811" s="41"/>
      <c r="H811" s="41"/>
      <c r="I811" s="41"/>
      <c r="J811" s="41"/>
      <c r="K811" s="41"/>
      <c r="L811" s="41"/>
      <c r="M811" s="41"/>
      <c r="N811" s="41"/>
      <c r="O811" s="41"/>
      <c r="P811" s="41"/>
      <c r="Q811" s="41"/>
      <c r="R811" s="41"/>
      <c r="S811" s="41"/>
      <c r="T811" s="41"/>
      <c r="U811" s="41"/>
      <c r="V811" s="41"/>
      <c r="W811" s="41"/>
      <c r="X811" s="41"/>
      <c r="Y811" s="41"/>
      <c r="Z811" s="41">
        <v>0.24099999999999999</v>
      </c>
      <c r="AA811" s="41">
        <v>0.247</v>
      </c>
      <c r="AB811" s="41"/>
      <c r="AC811" s="41"/>
      <c r="AD811" s="41"/>
      <c r="AE811" s="41"/>
      <c r="AF811" s="41">
        <v>1.056</v>
      </c>
      <c r="AG811" s="41"/>
      <c r="AH811" s="41"/>
      <c r="AI811" s="41">
        <v>0.39100000000000001</v>
      </c>
      <c r="AJ811" s="41">
        <v>0.40400000000000003</v>
      </c>
      <c r="AK811" s="41">
        <v>0.40699999999999997</v>
      </c>
      <c r="AL811" s="41">
        <v>0.437</v>
      </c>
      <c r="AM811" s="41"/>
      <c r="AN811" s="41"/>
      <c r="AO811" s="41"/>
      <c r="AP811" s="41"/>
      <c r="AQ811" s="41">
        <v>0.56899999999999995</v>
      </c>
      <c r="AR811" s="41">
        <v>0.48</v>
      </c>
      <c r="AS811" s="41">
        <v>0.51500000000000001</v>
      </c>
      <c r="AT811" s="41"/>
      <c r="AU811" s="41">
        <v>0.52170000000000005</v>
      </c>
      <c r="AV811" s="41">
        <v>0.54859999999999998</v>
      </c>
      <c r="AW811" s="41"/>
      <c r="AX811" s="41"/>
      <c r="AY811" s="41">
        <v>0.61040000000000005</v>
      </c>
      <c r="AZ811" s="41">
        <v>0.62039999999999995</v>
      </c>
      <c r="BA811" s="41">
        <v>0.63800000000000001</v>
      </c>
      <c r="BB811" s="41">
        <v>0.66120000000000001</v>
      </c>
      <c r="BC811" s="41">
        <v>0.69440000000000002</v>
      </c>
      <c r="BD811" s="41">
        <v>0.70599999999999996</v>
      </c>
      <c r="BE811" s="41">
        <v>1.1519999999999999</v>
      </c>
      <c r="BF811" s="41">
        <v>0.81499999999999995</v>
      </c>
      <c r="BG811" s="41">
        <v>1.18</v>
      </c>
      <c r="BH811" s="41">
        <v>0.77600000000000002</v>
      </c>
      <c r="BI811" s="41">
        <v>0.78869999999999996</v>
      </c>
      <c r="BJ811" s="41">
        <v>0.81989999999999996</v>
      </c>
      <c r="BK811" s="41"/>
      <c r="BL811" s="41"/>
      <c r="BM811" s="41"/>
      <c r="BN811" s="41">
        <f t="shared" si="13"/>
        <v>0.81989999999999996</v>
      </c>
    </row>
    <row r="812" spans="2:66" hidden="1" outlineLevel="1" x14ac:dyDescent="0.35">
      <c r="B812" s="41" t="s">
        <v>258</v>
      </c>
      <c r="C812" s="41" t="s">
        <v>151</v>
      </c>
      <c r="D812" s="41" t="s">
        <v>746</v>
      </c>
      <c r="E812" s="41" t="s">
        <v>745</v>
      </c>
      <c r="F812" s="41">
        <v>0.27700000000000002</v>
      </c>
      <c r="G812" s="41"/>
      <c r="H812" s="41"/>
      <c r="I812" s="41"/>
      <c r="J812" s="41"/>
      <c r="K812" s="41"/>
      <c r="L812" s="41"/>
      <c r="M812" s="41"/>
      <c r="N812" s="41"/>
      <c r="O812" s="41"/>
      <c r="P812" s="41">
        <v>0.30099999999999999</v>
      </c>
      <c r="Q812" s="41"/>
      <c r="R812" s="41"/>
      <c r="S812" s="41"/>
      <c r="T812" s="41"/>
      <c r="U812" s="41"/>
      <c r="V812" s="41"/>
      <c r="W812" s="41"/>
      <c r="X812" s="41"/>
      <c r="Y812" s="41"/>
      <c r="Z812" s="41">
        <v>0.191</v>
      </c>
      <c r="AA812" s="41">
        <v>0.189</v>
      </c>
      <c r="AB812" s="41"/>
      <c r="AC812" s="41"/>
      <c r="AD812" s="41"/>
      <c r="AE812" s="41"/>
      <c r="AF812" s="41">
        <v>0.20399999999999999</v>
      </c>
      <c r="AG812" s="41"/>
      <c r="AH812" s="41"/>
      <c r="AI812" s="41">
        <v>0.125</v>
      </c>
      <c r="AJ812" s="41"/>
      <c r="AK812" s="41">
        <v>9.9000000000000005E-2</v>
      </c>
      <c r="AL812" s="41"/>
      <c r="AM812" s="41"/>
      <c r="AN812" s="41"/>
      <c r="AO812" s="41"/>
      <c r="AP812" s="41"/>
      <c r="AQ812" s="41">
        <v>0.1143</v>
      </c>
      <c r="AR812" s="41"/>
      <c r="AS812" s="41"/>
      <c r="AT812" s="41"/>
      <c r="AU812" s="41"/>
      <c r="AV812" s="41"/>
      <c r="AW812" s="41"/>
      <c r="AX812" s="41">
        <v>0.14699999999999999</v>
      </c>
      <c r="AY812" s="41"/>
      <c r="AZ812" s="41"/>
      <c r="BA812" s="41">
        <v>0.1182</v>
      </c>
      <c r="BB812" s="41">
        <v>0.1154</v>
      </c>
      <c r="BC812" s="41"/>
      <c r="BD812" s="41">
        <v>0.11600000000000001</v>
      </c>
      <c r="BE812" s="41"/>
      <c r="BF812" s="41">
        <v>0.18590000000000001</v>
      </c>
      <c r="BG812" s="41"/>
      <c r="BH812" s="41"/>
      <c r="BI812" s="41"/>
      <c r="BJ812" s="41">
        <v>0.1706</v>
      </c>
      <c r="BK812" s="41"/>
      <c r="BL812" s="41"/>
      <c r="BM812" s="41"/>
      <c r="BN812" s="41">
        <f t="shared" ref="BN812:BN819" si="14">IFERROR(LOOKUP(2,1/(ISNUMBER(G812:BM812)),G812:BM812),"No reported value")</f>
        <v>0.1706</v>
      </c>
    </row>
    <row r="813" spans="2:66" hidden="1" outlineLevel="1" x14ac:dyDescent="0.35">
      <c r="B813" s="41" t="s">
        <v>569</v>
      </c>
      <c r="C813" s="41" t="s">
        <v>570</v>
      </c>
      <c r="D813" s="41" t="s">
        <v>746</v>
      </c>
      <c r="E813" s="41" t="s">
        <v>745</v>
      </c>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v>1.2545835247600869</v>
      </c>
      <c r="AK813" s="41"/>
      <c r="AL813" s="41"/>
      <c r="AM813" s="41"/>
      <c r="AN813" s="41"/>
      <c r="AO813" s="41"/>
      <c r="AP813" s="41"/>
      <c r="AQ813" s="41"/>
      <c r="AR813" s="41"/>
      <c r="AS813" s="41"/>
      <c r="AT813" s="41">
        <v>1.2946687533766257</v>
      </c>
      <c r="AU813" s="41"/>
      <c r="AV813" s="41"/>
      <c r="AW813" s="41"/>
      <c r="AX813" s="41"/>
      <c r="AY813" s="41"/>
      <c r="AZ813" s="41"/>
      <c r="BA813" s="41"/>
      <c r="BB813" s="41"/>
      <c r="BC813" s="41"/>
      <c r="BD813" s="41"/>
      <c r="BE813" s="41"/>
      <c r="BF813" s="41"/>
      <c r="BG813" s="41"/>
      <c r="BH813" s="41"/>
      <c r="BI813" s="41">
        <v>1.5021258721421249</v>
      </c>
      <c r="BJ813" s="41"/>
      <c r="BK813" s="41"/>
      <c r="BL813" s="41"/>
      <c r="BM813" s="41"/>
      <c r="BN813" s="41">
        <f t="shared" si="14"/>
        <v>1.5021258721421249</v>
      </c>
    </row>
    <row r="814" spans="2:66" hidden="1" outlineLevel="1" x14ac:dyDescent="0.35">
      <c r="B814" s="41" t="s">
        <v>254</v>
      </c>
      <c r="C814" s="41" t="s">
        <v>152</v>
      </c>
      <c r="D814" s="41" t="s">
        <v>746</v>
      </c>
      <c r="E814" s="41" t="s">
        <v>745</v>
      </c>
      <c r="F814" s="41">
        <v>0.441</v>
      </c>
      <c r="G814" s="41"/>
      <c r="H814" s="41"/>
      <c r="I814" s="41"/>
      <c r="J814" s="41"/>
      <c r="K814" s="41"/>
      <c r="L814" s="41"/>
      <c r="M814" s="41"/>
      <c r="N814" s="41"/>
      <c r="O814" s="41"/>
      <c r="P814" s="41">
        <v>0.35</v>
      </c>
      <c r="Q814" s="41"/>
      <c r="R814" s="41"/>
      <c r="S814" s="41"/>
      <c r="T814" s="41"/>
      <c r="U814" s="41"/>
      <c r="V814" s="41"/>
      <c r="W814" s="41"/>
      <c r="X814" s="41"/>
      <c r="Y814" s="41"/>
      <c r="Z814" s="41">
        <v>0.36099999999999999</v>
      </c>
      <c r="AA814" s="41">
        <v>0.40400000000000003</v>
      </c>
      <c r="AB814" s="41"/>
      <c r="AC814" s="41"/>
      <c r="AD814" s="41"/>
      <c r="AE814" s="41"/>
      <c r="AF814" s="41">
        <v>0.28000000000000003</v>
      </c>
      <c r="AG814" s="41"/>
      <c r="AH814" s="41"/>
      <c r="AI814" s="41">
        <v>0.20699999999999999</v>
      </c>
      <c r="AJ814" s="41"/>
      <c r="AK814" s="41"/>
      <c r="AL814" s="41">
        <v>0.36499999999999999</v>
      </c>
      <c r="AM814" s="41"/>
      <c r="AN814" s="41"/>
      <c r="AO814" s="41"/>
      <c r="AP814" s="41">
        <v>0.34399999999999997</v>
      </c>
      <c r="AQ814" s="41"/>
      <c r="AR814" s="41">
        <v>0.33</v>
      </c>
      <c r="AS814" s="41">
        <v>0.69040000000000001</v>
      </c>
      <c r="AT814" s="41"/>
      <c r="AU814" s="41"/>
      <c r="AV814" s="41"/>
      <c r="AW814" s="41">
        <v>0.28139999999999998</v>
      </c>
      <c r="AX814" s="41"/>
      <c r="AY814" s="41">
        <v>0.27789999999999998</v>
      </c>
      <c r="AZ814" s="41"/>
      <c r="BA814" s="41"/>
      <c r="BB814" s="41">
        <v>0.4632</v>
      </c>
      <c r="BC814" s="41"/>
      <c r="BD814" s="41">
        <v>0.34370000000000001</v>
      </c>
      <c r="BE814" s="41"/>
      <c r="BF814" s="41">
        <v>0.3805</v>
      </c>
      <c r="BG814" s="41">
        <v>0.48220000000000002</v>
      </c>
      <c r="BH814" s="41"/>
      <c r="BI814" s="41"/>
      <c r="BJ814" s="41">
        <v>0.34089999999999998</v>
      </c>
      <c r="BK814" s="41"/>
      <c r="BL814" s="41"/>
      <c r="BM814" s="41"/>
      <c r="BN814" s="41">
        <f t="shared" si="14"/>
        <v>0.34089999999999998</v>
      </c>
    </row>
    <row r="815" spans="2:66" hidden="1" outlineLevel="1" x14ac:dyDescent="0.35">
      <c r="B815" s="41" t="s">
        <v>237</v>
      </c>
      <c r="C815" s="41" t="s">
        <v>430</v>
      </c>
      <c r="D815" s="41" t="s">
        <v>746</v>
      </c>
      <c r="E815" s="41" t="s">
        <v>745</v>
      </c>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t="str">
        <f t="shared" si="14"/>
        <v>No reported value</v>
      </c>
    </row>
    <row r="816" spans="2:66" hidden="1" outlineLevel="1" x14ac:dyDescent="0.35">
      <c r="B816" s="41" t="s">
        <v>571</v>
      </c>
      <c r="C816" s="41" t="s">
        <v>153</v>
      </c>
      <c r="D816" s="41" t="s">
        <v>746</v>
      </c>
      <c r="E816" s="41" t="s">
        <v>745</v>
      </c>
      <c r="F816" s="41">
        <v>2.3E-2</v>
      </c>
      <c r="G816" s="41"/>
      <c r="H816" s="41"/>
      <c r="I816" s="41"/>
      <c r="J816" s="41"/>
      <c r="K816" s="41">
        <v>3.2000000000000001E-2</v>
      </c>
      <c r="L816" s="41"/>
      <c r="M816" s="41"/>
      <c r="N816" s="41"/>
      <c r="O816" s="41"/>
      <c r="P816" s="41">
        <v>2.9000000000000001E-2</v>
      </c>
      <c r="Q816" s="41"/>
      <c r="R816" s="41"/>
      <c r="S816" s="41"/>
      <c r="T816" s="41"/>
      <c r="U816" s="41"/>
      <c r="V816" s="41"/>
      <c r="W816" s="41"/>
      <c r="X816" s="41"/>
      <c r="Y816" s="41"/>
      <c r="Z816" s="41"/>
      <c r="AA816" s="41">
        <v>0.14499999999999999</v>
      </c>
      <c r="AB816" s="41"/>
      <c r="AC816" s="41"/>
      <c r="AD816" s="41"/>
      <c r="AE816" s="41">
        <v>0.17100000000000001</v>
      </c>
      <c r="AF816" s="41"/>
      <c r="AG816" s="41"/>
      <c r="AH816" s="41"/>
      <c r="AI816" s="41"/>
      <c r="AJ816" s="41">
        <v>7.0000000000000001E-3</v>
      </c>
      <c r="AK816" s="41"/>
      <c r="AL816" s="41"/>
      <c r="AM816" s="41"/>
      <c r="AN816" s="41"/>
      <c r="AO816" s="41">
        <v>0.247</v>
      </c>
      <c r="AP816" s="41">
        <v>0.23</v>
      </c>
      <c r="AQ816" s="41">
        <v>0.2324</v>
      </c>
      <c r="AR816" s="41">
        <v>0.2</v>
      </c>
      <c r="AS816" s="41"/>
      <c r="AT816" s="41"/>
      <c r="AU816" s="41">
        <v>0.219</v>
      </c>
      <c r="AV816" s="41"/>
      <c r="AW816" s="41"/>
      <c r="AX816" s="41">
        <v>0.3367</v>
      </c>
      <c r="AY816" s="41"/>
      <c r="AZ816" s="41"/>
      <c r="BA816" s="41"/>
      <c r="BB816" s="41">
        <v>0.309</v>
      </c>
      <c r="BC816" s="41">
        <v>0.31019999999999998</v>
      </c>
      <c r="BD816" s="41"/>
      <c r="BE816" s="41"/>
      <c r="BF816" s="41"/>
      <c r="BG816" s="41"/>
      <c r="BH816" s="41">
        <v>0.31040000000000001</v>
      </c>
      <c r="BI816" s="41"/>
      <c r="BJ816" s="41"/>
      <c r="BK816" s="41"/>
      <c r="BL816" s="41"/>
      <c r="BM816" s="41"/>
      <c r="BN816" s="41">
        <f t="shared" si="14"/>
        <v>0.31040000000000001</v>
      </c>
    </row>
    <row r="817" spans="1:71" hidden="1" outlineLevel="1" x14ac:dyDescent="0.35">
      <c r="B817" s="41" t="s">
        <v>178</v>
      </c>
      <c r="C817" s="41" t="s">
        <v>154</v>
      </c>
      <c r="D817" s="41" t="s">
        <v>746</v>
      </c>
      <c r="E817" s="41" t="s">
        <v>745</v>
      </c>
      <c r="F817" s="41"/>
      <c r="G817" s="41"/>
      <c r="H817" s="41"/>
      <c r="I817" s="41"/>
      <c r="J817" s="41"/>
      <c r="K817" s="41">
        <v>0.48799999999999999</v>
      </c>
      <c r="L817" s="41"/>
      <c r="M817" s="41"/>
      <c r="N817" s="41"/>
      <c r="O817" s="41"/>
      <c r="P817" s="41"/>
      <c r="Q817" s="41"/>
      <c r="R817" s="41"/>
      <c r="S817" s="41"/>
      <c r="T817" s="41"/>
      <c r="U817" s="41">
        <v>0.53900000000000003</v>
      </c>
      <c r="V817" s="41"/>
      <c r="W817" s="41"/>
      <c r="X817" s="41">
        <v>0.55100000000000005</v>
      </c>
      <c r="Y817" s="41"/>
      <c r="Z817" s="41"/>
      <c r="AA817" s="41"/>
      <c r="AB817" s="41"/>
      <c r="AC817" s="41"/>
      <c r="AD817" s="41"/>
      <c r="AE817" s="41"/>
      <c r="AF817" s="41"/>
      <c r="AG817" s="41">
        <v>0.61299999999999999</v>
      </c>
      <c r="AH817" s="41"/>
      <c r="AI817" s="41"/>
      <c r="AJ817" s="41"/>
      <c r="AK817" s="41"/>
      <c r="AL817" s="41">
        <v>0.624</v>
      </c>
      <c r="AM817" s="41"/>
      <c r="AN817" s="41"/>
      <c r="AO817" s="41"/>
      <c r="AP817" s="41">
        <v>0.59299999999999997</v>
      </c>
      <c r="AQ817" s="41"/>
      <c r="AR817" s="41"/>
      <c r="AS817" s="41"/>
      <c r="AT817" s="41"/>
      <c r="AU817" s="41"/>
      <c r="AV817" s="41"/>
      <c r="AW817" s="41"/>
      <c r="AX817" s="41">
        <v>0.72189999999999999</v>
      </c>
      <c r="AY817" s="41"/>
      <c r="AZ817" s="41"/>
      <c r="BA817" s="41"/>
      <c r="BB817" s="41"/>
      <c r="BC817" s="41"/>
      <c r="BD817" s="41">
        <v>0.72889999999999999</v>
      </c>
      <c r="BE817" s="41">
        <v>0.71430000000000005</v>
      </c>
      <c r="BF817" s="41">
        <v>0.72540000000000004</v>
      </c>
      <c r="BG817" s="41">
        <v>0.74109999999999998</v>
      </c>
      <c r="BH817" s="41">
        <v>0.75419999999999998</v>
      </c>
      <c r="BI817" s="41">
        <v>0.78269999999999995</v>
      </c>
      <c r="BJ817" s="41">
        <v>0.8024</v>
      </c>
      <c r="BK817" s="41">
        <v>0.91010000000000002</v>
      </c>
      <c r="BL817" s="41"/>
      <c r="BM817" s="41"/>
      <c r="BN817" s="41">
        <f t="shared" si="14"/>
        <v>0.91010000000000002</v>
      </c>
    </row>
    <row r="818" spans="1:71" hidden="1" outlineLevel="1" x14ac:dyDescent="0.35">
      <c r="B818" s="41" t="s">
        <v>217</v>
      </c>
      <c r="C818" s="41" t="s">
        <v>155</v>
      </c>
      <c r="D818" s="41" t="s">
        <v>746</v>
      </c>
      <c r="E818" s="41" t="s">
        <v>745</v>
      </c>
      <c r="F818" s="41">
        <v>0.107</v>
      </c>
      <c r="G818" s="41"/>
      <c r="H818" s="41"/>
      <c r="I818" s="41"/>
      <c r="J818" s="41"/>
      <c r="K818" s="41">
        <v>8.7999999999999995E-2</v>
      </c>
      <c r="L818" s="41"/>
      <c r="M818" s="41"/>
      <c r="N818" s="41"/>
      <c r="O818" s="41"/>
      <c r="P818" s="41">
        <v>7.2999999999999995E-2</v>
      </c>
      <c r="Q818" s="41"/>
      <c r="R818" s="41"/>
      <c r="S818" s="41"/>
      <c r="T818" s="41"/>
      <c r="U818" s="41">
        <v>7.3999999999999996E-2</v>
      </c>
      <c r="V818" s="41"/>
      <c r="W818" s="41"/>
      <c r="X818" s="41"/>
      <c r="Y818" s="41"/>
      <c r="Z818" s="41">
        <v>7.5999999999999998E-2</v>
      </c>
      <c r="AA818" s="41">
        <v>0.126</v>
      </c>
      <c r="AB818" s="41"/>
      <c r="AC818" s="41">
        <v>0.14000000000000001</v>
      </c>
      <c r="AD818" s="41"/>
      <c r="AE818" s="41">
        <v>0.14099999999999999</v>
      </c>
      <c r="AF818" s="41"/>
      <c r="AG818" s="41"/>
      <c r="AH818" s="41"/>
      <c r="AI818" s="41"/>
      <c r="AJ818" s="41">
        <v>9.1999999999999998E-2</v>
      </c>
      <c r="AK818" s="41"/>
      <c r="AL818" s="41"/>
      <c r="AM818" s="41"/>
      <c r="AN818" s="41"/>
      <c r="AO818" s="41">
        <v>6.9000000000000006E-2</v>
      </c>
      <c r="AP818" s="41"/>
      <c r="AQ818" s="41"/>
      <c r="AR818" s="41"/>
      <c r="AS818" s="41"/>
      <c r="AT818" s="41"/>
      <c r="AU818" s="41"/>
      <c r="AV818" s="41"/>
      <c r="AW818" s="41"/>
      <c r="AX818" s="41">
        <v>0.1278</v>
      </c>
      <c r="AY818" s="41">
        <v>5.3600000000000002E-2</v>
      </c>
      <c r="AZ818" s="41">
        <v>5.2400000000000002E-2</v>
      </c>
      <c r="BA818" s="41"/>
      <c r="BB818" s="41">
        <v>6.08E-2</v>
      </c>
      <c r="BC818" s="41">
        <v>5.9499999999999997E-2</v>
      </c>
      <c r="BD818" s="41">
        <v>6.0400000000000002E-2</v>
      </c>
      <c r="BE818" s="41">
        <v>0.16209999999999999</v>
      </c>
      <c r="BF818" s="41">
        <v>0.16320000000000001</v>
      </c>
      <c r="BG818" s="41"/>
      <c r="BH818" s="41"/>
      <c r="BI818" s="41"/>
      <c r="BJ818" s="41">
        <v>9.1300000000000006E-2</v>
      </c>
      <c r="BK818" s="41"/>
      <c r="BL818" s="41"/>
      <c r="BM818" s="41"/>
      <c r="BN818" s="41">
        <f t="shared" si="14"/>
        <v>9.1300000000000006E-2</v>
      </c>
    </row>
    <row r="819" spans="1:71" hidden="1" outlineLevel="1" x14ac:dyDescent="0.35">
      <c r="B819" s="41" t="s">
        <v>218</v>
      </c>
      <c r="C819" s="41" t="s">
        <v>156</v>
      </c>
      <c r="D819" s="41" t="s">
        <v>746</v>
      </c>
      <c r="E819" s="41" t="s">
        <v>745</v>
      </c>
      <c r="F819" s="41">
        <v>0.20200000000000001</v>
      </c>
      <c r="G819" s="41"/>
      <c r="H819" s="41"/>
      <c r="I819" s="41"/>
      <c r="J819" s="41"/>
      <c r="K819" s="41">
        <v>0.125</v>
      </c>
      <c r="L819" s="41"/>
      <c r="M819" s="41"/>
      <c r="N819" s="41"/>
      <c r="O819" s="41"/>
      <c r="P819" s="41">
        <v>0.16200000000000001</v>
      </c>
      <c r="Q819" s="41"/>
      <c r="R819" s="41"/>
      <c r="S819" s="41"/>
      <c r="T819" s="41"/>
      <c r="U819" s="41">
        <v>0.158</v>
      </c>
      <c r="V819" s="41"/>
      <c r="W819" s="41"/>
      <c r="X819" s="41"/>
      <c r="Y819" s="41"/>
      <c r="Z819" s="41">
        <v>0.161</v>
      </c>
      <c r="AA819" s="41">
        <v>0.13900000000000001</v>
      </c>
      <c r="AB819" s="41"/>
      <c r="AC819" s="41"/>
      <c r="AD819" s="41"/>
      <c r="AE819" s="41"/>
      <c r="AF819" s="41"/>
      <c r="AG819" s="41">
        <v>0.13500000000000001</v>
      </c>
      <c r="AH819" s="41"/>
      <c r="AI819" s="41"/>
      <c r="AJ819" s="41">
        <v>0.12959999999999999</v>
      </c>
      <c r="AK819" s="41"/>
      <c r="AL819" s="41"/>
      <c r="AM819" s="41"/>
      <c r="AN819" s="41"/>
      <c r="AO819" s="41">
        <v>0.14399999999999999</v>
      </c>
      <c r="AP819" s="41"/>
      <c r="AQ819" s="41"/>
      <c r="AR819" s="41"/>
      <c r="AS819" s="41"/>
      <c r="AT819" s="41"/>
      <c r="AU819" s="41"/>
      <c r="AV819" s="41">
        <v>5.7000000000000002E-2</v>
      </c>
      <c r="AW819" s="41"/>
      <c r="AX819" s="41">
        <v>0.1633</v>
      </c>
      <c r="AY819" s="41"/>
      <c r="AZ819" s="41"/>
      <c r="BA819" s="41">
        <v>0.05</v>
      </c>
      <c r="BB819" s="41">
        <v>5.4399999999999997E-2</v>
      </c>
      <c r="BC819" s="41">
        <v>5.9900000000000002E-2</v>
      </c>
      <c r="BD819" s="41">
        <v>6.5000000000000002E-2</v>
      </c>
      <c r="BE819" s="41">
        <v>7.3300000000000004E-2</v>
      </c>
      <c r="BF819" s="41">
        <v>7.1999999999999995E-2</v>
      </c>
      <c r="BG819" s="41">
        <v>7.3999999999999996E-2</v>
      </c>
      <c r="BH819" s="41">
        <v>7.6300000000000007E-2</v>
      </c>
      <c r="BI819" s="41"/>
      <c r="BJ819" s="41"/>
      <c r="BK819" s="41"/>
      <c r="BL819" s="41"/>
      <c r="BM819" s="41"/>
      <c r="BN819" s="41">
        <f t="shared" si="14"/>
        <v>7.6300000000000007E-2</v>
      </c>
    </row>
    <row r="820" spans="1:71" hidden="1" outlineLevel="1" x14ac:dyDescent="0.35"/>
    <row r="821" spans="1:71" s="180" customFormat="1" ht="16.399999999999999" customHeight="1" collapsed="1" x14ac:dyDescent="0.35">
      <c r="A821" s="187" t="s">
        <v>861</v>
      </c>
      <c r="B821" s="181" t="s">
        <v>862</v>
      </c>
    </row>
    <row r="822" spans="1:71" s="25" customFormat="1" x14ac:dyDescent="0.35">
      <c r="B822" s="25" t="s">
        <v>864</v>
      </c>
      <c r="E822" s="26"/>
      <c r="F822" s="26"/>
      <c r="G822" s="26"/>
    </row>
    <row r="823" spans="1:71" s="14" customFormat="1" x14ac:dyDescent="0.35">
      <c r="B823" s="14" t="s">
        <v>863</v>
      </c>
      <c r="E823" s="74"/>
      <c r="F823" s="74"/>
      <c r="G823" s="74"/>
    </row>
    <row r="824" spans="1:71" x14ac:dyDescent="0.35">
      <c r="B824" s="189" t="s">
        <v>857</v>
      </c>
    </row>
    <row r="825" spans="1:71" x14ac:dyDescent="0.35">
      <c r="B825" s="188"/>
    </row>
    <row r="826" spans="1:71" x14ac:dyDescent="0.35">
      <c r="B826" s="18" t="s">
        <v>572</v>
      </c>
      <c r="C826" s="18" t="s">
        <v>573</v>
      </c>
      <c r="D826" s="18" t="s">
        <v>625</v>
      </c>
      <c r="E826" s="18" t="s">
        <v>626</v>
      </c>
      <c r="F826" s="18">
        <v>1960</v>
      </c>
      <c r="G826" s="18">
        <v>1961</v>
      </c>
      <c r="H826" s="18">
        <v>1962</v>
      </c>
      <c r="I826" s="18">
        <v>1963</v>
      </c>
      <c r="J826" s="18">
        <v>1964</v>
      </c>
      <c r="K826" s="18">
        <v>1965</v>
      </c>
      <c r="L826" s="18">
        <v>1966</v>
      </c>
      <c r="M826" s="18">
        <v>1967</v>
      </c>
      <c r="N826" s="18">
        <v>1968</v>
      </c>
      <c r="O826" s="18">
        <v>1969</v>
      </c>
      <c r="P826" s="18">
        <v>1970</v>
      </c>
      <c r="Q826" s="18">
        <v>1971</v>
      </c>
      <c r="R826" s="18">
        <v>1972</v>
      </c>
      <c r="S826" s="18">
        <v>1973</v>
      </c>
      <c r="T826" s="18">
        <v>1974</v>
      </c>
      <c r="U826" s="18">
        <v>1975</v>
      </c>
      <c r="V826" s="18">
        <v>1976</v>
      </c>
      <c r="W826" s="18">
        <v>1977</v>
      </c>
      <c r="X826" s="18">
        <v>1978</v>
      </c>
      <c r="Y826" s="18">
        <v>1979</v>
      </c>
      <c r="Z826" s="18">
        <v>1980</v>
      </c>
      <c r="AA826" s="18">
        <v>1981</v>
      </c>
      <c r="AB826" s="18">
        <v>1982</v>
      </c>
      <c r="AC826" s="18">
        <v>1983</v>
      </c>
      <c r="AD826" s="18">
        <v>1984</v>
      </c>
      <c r="AE826" s="18">
        <v>1985</v>
      </c>
      <c r="AF826" s="18">
        <v>1986</v>
      </c>
      <c r="AG826" s="18">
        <v>1987</v>
      </c>
      <c r="AH826" s="18">
        <v>1988</v>
      </c>
      <c r="AI826" s="18">
        <v>1989</v>
      </c>
      <c r="AJ826" s="18">
        <v>1990</v>
      </c>
      <c r="AK826" s="18">
        <v>1991</v>
      </c>
      <c r="AL826" s="18">
        <v>1992</v>
      </c>
      <c r="AM826" s="18">
        <v>1993</v>
      </c>
      <c r="AN826" s="18">
        <v>1994</v>
      </c>
      <c r="AO826" s="18">
        <v>1995</v>
      </c>
      <c r="AP826" s="18">
        <v>1996</v>
      </c>
      <c r="AQ826" s="18">
        <v>1997</v>
      </c>
      <c r="AR826" s="18">
        <v>1998</v>
      </c>
      <c r="AS826" s="18">
        <v>1999</v>
      </c>
      <c r="AT826" s="18">
        <v>2000</v>
      </c>
      <c r="AU826" s="18">
        <v>2001</v>
      </c>
      <c r="AV826" s="18">
        <v>2002</v>
      </c>
      <c r="AW826" s="18">
        <v>2003</v>
      </c>
      <c r="AX826" s="18">
        <v>2004</v>
      </c>
      <c r="AY826" s="18">
        <v>2005</v>
      </c>
      <c r="AZ826" s="18">
        <v>2006</v>
      </c>
      <c r="BA826" s="18">
        <v>2007</v>
      </c>
      <c r="BB826" s="18">
        <v>2008</v>
      </c>
      <c r="BC826" s="18">
        <v>2009</v>
      </c>
      <c r="BD826" s="18">
        <v>2010</v>
      </c>
      <c r="BE826" s="18">
        <v>2011</v>
      </c>
      <c r="BF826" s="18">
        <v>2012</v>
      </c>
      <c r="BG826" s="18">
        <v>2013</v>
      </c>
      <c r="BH826" s="18">
        <v>2014</v>
      </c>
      <c r="BI826" s="18">
        <v>2015</v>
      </c>
      <c r="BJ826" s="18">
        <v>2016</v>
      </c>
      <c r="BK826" s="18">
        <v>2017</v>
      </c>
      <c r="BL826" s="18">
        <v>2018</v>
      </c>
      <c r="BM826" s="18">
        <v>2019</v>
      </c>
      <c r="BN826" s="18" t="s">
        <v>627</v>
      </c>
    </row>
    <row r="827" spans="1:71" x14ac:dyDescent="0.35">
      <c r="B827" s="41" t="s">
        <v>322</v>
      </c>
      <c r="C827" s="41" t="s">
        <v>323</v>
      </c>
      <c r="D827" s="41" t="s">
        <v>628</v>
      </c>
      <c r="E827" s="41" t="s">
        <v>629</v>
      </c>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54" t="str">
        <f t="shared" ref="BN827:BN890" si="15">IFERROR(LOOKUP(2,1/(ISNUMBER(F827:BM827)),F827:BM827),"No reported value")</f>
        <v>No reported value</v>
      </c>
    </row>
    <row r="828" spans="1:71" x14ac:dyDescent="0.35">
      <c r="B828" s="41" t="s">
        <v>230</v>
      </c>
      <c r="C828" s="41" t="s">
        <v>0</v>
      </c>
      <c r="D828" s="41" t="s">
        <v>628</v>
      </c>
      <c r="E828" s="41" t="s">
        <v>629</v>
      </c>
      <c r="F828" s="41">
        <v>0.17062699794769301</v>
      </c>
      <c r="G828" s="41"/>
      <c r="H828" s="41"/>
      <c r="I828" s="41"/>
      <c r="J828" s="41"/>
      <c r="K828" s="41"/>
      <c r="L828" s="41"/>
      <c r="M828" s="41"/>
      <c r="N828" s="41"/>
      <c r="O828" s="41"/>
      <c r="P828" s="41">
        <v>0.19900000095367401</v>
      </c>
      <c r="Q828" s="41"/>
      <c r="R828" s="41"/>
      <c r="S828" s="41"/>
      <c r="T828" s="41"/>
      <c r="U828" s="41"/>
      <c r="V828" s="41"/>
      <c r="W828" s="41"/>
      <c r="X828" s="41"/>
      <c r="Y828" s="41"/>
      <c r="Z828" s="41"/>
      <c r="AA828" s="41">
        <v>0.275599986314774</v>
      </c>
      <c r="AB828" s="41"/>
      <c r="AC828" s="41"/>
      <c r="AD828" s="41"/>
      <c r="AE828" s="41"/>
      <c r="AF828" s="41"/>
      <c r="AG828" s="41">
        <v>0.3091000020504</v>
      </c>
      <c r="AH828" s="41"/>
      <c r="AI828" s="41"/>
      <c r="AJ828" s="41">
        <v>0.24979999659999999</v>
      </c>
      <c r="AK828" s="41"/>
      <c r="AL828" s="41"/>
      <c r="AM828" s="41"/>
      <c r="AN828" s="41"/>
      <c r="AO828" s="41"/>
      <c r="AP828" s="41"/>
      <c r="AQ828" s="41"/>
      <c r="AR828" s="41"/>
      <c r="AS828" s="41"/>
      <c r="AT828" s="41">
        <v>0.3</v>
      </c>
      <c r="AU828" s="41">
        <v>0.4</v>
      </c>
      <c r="AV828" s="41">
        <v>0.4</v>
      </c>
      <c r="AW828" s="41">
        <v>0.4</v>
      </c>
      <c r="AX828" s="41">
        <v>0.4</v>
      </c>
      <c r="AY828" s="41">
        <v>0.4</v>
      </c>
      <c r="AZ828" s="41">
        <v>0.4</v>
      </c>
      <c r="BA828" s="41">
        <v>0.4</v>
      </c>
      <c r="BB828" s="41">
        <v>0.4</v>
      </c>
      <c r="BC828" s="41">
        <v>0.4</v>
      </c>
      <c r="BD828" s="41">
        <v>0.4</v>
      </c>
      <c r="BE828" s="41">
        <v>0.4</v>
      </c>
      <c r="BF828" s="41">
        <v>0.5</v>
      </c>
      <c r="BG828" s="41">
        <v>0.5</v>
      </c>
      <c r="BH828" s="41">
        <v>0.5</v>
      </c>
      <c r="BI828" s="41">
        <v>0.5</v>
      </c>
      <c r="BJ828" s="41"/>
      <c r="BK828" s="41"/>
      <c r="BL828" s="41"/>
      <c r="BM828" s="41"/>
      <c r="BN828" s="54">
        <f t="shared" si="15"/>
        <v>0.5</v>
      </c>
      <c r="BP828" s="8" t="s">
        <v>817</v>
      </c>
      <c r="BQ828" s="41"/>
      <c r="BR828" s="41"/>
      <c r="BS828" s="41"/>
    </row>
    <row r="829" spans="1:71" x14ac:dyDescent="0.35">
      <c r="B829" s="41" t="s">
        <v>182</v>
      </c>
      <c r="C829" s="41" t="s">
        <v>165</v>
      </c>
      <c r="D829" s="41" t="s">
        <v>628</v>
      </c>
      <c r="E829" s="41" t="s">
        <v>629</v>
      </c>
      <c r="F829" s="41">
        <v>2.06146168708801</v>
      </c>
      <c r="G829" s="41"/>
      <c r="H829" s="41"/>
      <c r="I829" s="41"/>
      <c r="J829" s="41"/>
      <c r="K829" s="41"/>
      <c r="L829" s="41"/>
      <c r="M829" s="41"/>
      <c r="N829" s="41"/>
      <c r="O829" s="41"/>
      <c r="P829" s="41">
        <v>2.7209999561309801</v>
      </c>
      <c r="Q829" s="41"/>
      <c r="R829" s="41"/>
      <c r="S829" s="41"/>
      <c r="T829" s="41"/>
      <c r="U829" s="41"/>
      <c r="V829" s="41"/>
      <c r="W829" s="41"/>
      <c r="X829" s="41"/>
      <c r="Y829" s="41"/>
      <c r="Z829" s="41"/>
      <c r="AA829" s="41"/>
      <c r="AB829" s="41"/>
      <c r="AC829" s="41"/>
      <c r="AD829" s="41"/>
      <c r="AE829" s="41"/>
      <c r="AF829" s="41"/>
      <c r="AG829" s="41"/>
      <c r="AH829" s="41"/>
      <c r="AI829" s="41"/>
      <c r="AJ829" s="41">
        <v>1.2913000584000001</v>
      </c>
      <c r="AK829" s="41"/>
      <c r="AL829" s="41"/>
      <c r="AM829" s="41"/>
      <c r="AN829" s="41"/>
      <c r="AO829" s="41"/>
      <c r="AP829" s="41"/>
      <c r="AQ829" s="41"/>
      <c r="AR829" s="41"/>
      <c r="AS829" s="41"/>
      <c r="AT829" s="41"/>
      <c r="AU829" s="41"/>
      <c r="AV829" s="41"/>
      <c r="AW829" s="41"/>
      <c r="AX829" s="41"/>
      <c r="AY829" s="41">
        <v>0.8</v>
      </c>
      <c r="AZ829" s="41"/>
      <c r="BA829" s="41"/>
      <c r="BB829" s="41"/>
      <c r="BC829" s="41"/>
      <c r="BD829" s="41"/>
      <c r="BE829" s="41"/>
      <c r="BF829" s="41"/>
      <c r="BG829" s="41"/>
      <c r="BH829" s="41"/>
      <c r="BI829" s="41"/>
      <c r="BJ829" s="41"/>
      <c r="BK829" s="41"/>
      <c r="BL829" s="41"/>
      <c r="BM829" s="41"/>
      <c r="BN829" s="54">
        <f t="shared" si="15"/>
        <v>0.8</v>
      </c>
      <c r="BP829" s="5" t="s">
        <v>410</v>
      </c>
      <c r="BQ829" s="41"/>
      <c r="BR829" s="1100">
        <v>4.82</v>
      </c>
      <c r="BS829" s="41" t="s">
        <v>814</v>
      </c>
    </row>
    <row r="830" spans="1:71" x14ac:dyDescent="0.35">
      <c r="B830" s="41" t="s">
        <v>311</v>
      </c>
      <c r="C830" s="41" t="s">
        <v>312</v>
      </c>
      <c r="D830" s="41" t="s">
        <v>628</v>
      </c>
      <c r="E830" s="41" t="s">
        <v>629</v>
      </c>
      <c r="F830" s="41">
        <v>5.1026759147643999</v>
      </c>
      <c r="G830" s="41"/>
      <c r="H830" s="41"/>
      <c r="I830" s="41"/>
      <c r="J830" s="41"/>
      <c r="K830" s="41"/>
      <c r="L830" s="41"/>
      <c r="M830" s="41"/>
      <c r="N830" s="41"/>
      <c r="O830" s="41"/>
      <c r="P830" s="41"/>
      <c r="Q830" s="41"/>
      <c r="R830" s="41"/>
      <c r="S830" s="41"/>
      <c r="T830" s="41"/>
      <c r="U830" s="41"/>
      <c r="V830" s="41"/>
      <c r="W830" s="41"/>
      <c r="X830" s="41"/>
      <c r="Y830" s="41"/>
      <c r="Z830" s="41">
        <v>4.2716999053955096</v>
      </c>
      <c r="AA830" s="41">
        <v>4.1870999336242702</v>
      </c>
      <c r="AB830" s="41">
        <v>4.1606998443603498</v>
      </c>
      <c r="AC830" s="41">
        <v>4.0862002372741699</v>
      </c>
      <c r="AD830" s="41">
        <v>4.1389999389648402</v>
      </c>
      <c r="AE830" s="41">
        <v>4.1388001441955602</v>
      </c>
      <c r="AF830" s="41">
        <v>4.0696997642517099</v>
      </c>
      <c r="AG830" s="41">
        <v>3.9700000286102299</v>
      </c>
      <c r="AH830" s="41">
        <v>3.9354999065399201</v>
      </c>
      <c r="AI830" s="41">
        <v>4.1321001052856401</v>
      </c>
      <c r="AJ830" s="41">
        <v>4.0248999595999999</v>
      </c>
      <c r="AK830" s="41">
        <v>3.9986999034999999</v>
      </c>
      <c r="AL830" s="41">
        <v>4.0134000778000001</v>
      </c>
      <c r="AM830" s="41">
        <v>3.8313999176000002</v>
      </c>
      <c r="AN830" s="41">
        <v>3.0171000957</v>
      </c>
      <c r="AO830" s="41">
        <v>3.1900000571999998</v>
      </c>
      <c r="AP830" s="41">
        <v>3.1400001048999999</v>
      </c>
      <c r="AQ830" s="41">
        <v>3.0499999522999999</v>
      </c>
      <c r="AR830" s="41">
        <v>3.0499999522999999</v>
      </c>
      <c r="AS830" s="41">
        <v>3.0299999714000001</v>
      </c>
      <c r="AT830" s="41">
        <v>3.3</v>
      </c>
      <c r="AU830" s="41">
        <v>3.3</v>
      </c>
      <c r="AV830" s="41">
        <v>3.1</v>
      </c>
      <c r="AW830" s="41">
        <v>3.1</v>
      </c>
      <c r="AX830" s="41">
        <v>3</v>
      </c>
      <c r="AY830" s="41">
        <v>3.1</v>
      </c>
      <c r="AZ830" s="41">
        <v>3.1</v>
      </c>
      <c r="BA830" s="41">
        <v>3.1</v>
      </c>
      <c r="BB830" s="41"/>
      <c r="BC830" s="41">
        <v>2.8</v>
      </c>
      <c r="BD830" s="41">
        <v>3</v>
      </c>
      <c r="BE830" s="41">
        <v>2.6</v>
      </c>
      <c r="BF830" s="41">
        <v>2.9</v>
      </c>
      <c r="BG830" s="41">
        <v>2.9</v>
      </c>
      <c r="BH830" s="41"/>
      <c r="BI830" s="41"/>
      <c r="BJ830" s="41"/>
      <c r="BK830" s="41"/>
      <c r="BL830" s="41"/>
      <c r="BM830" s="41"/>
      <c r="BN830" s="54">
        <f t="shared" si="15"/>
        <v>2.9</v>
      </c>
      <c r="BP830" s="41" t="s">
        <v>557</v>
      </c>
      <c r="BQ830" s="41"/>
      <c r="BR830" s="1100">
        <v>3.41</v>
      </c>
      <c r="BS830" s="41" t="s">
        <v>816</v>
      </c>
    </row>
    <row r="831" spans="1:71" x14ac:dyDescent="0.35">
      <c r="B831" s="41" t="s">
        <v>315</v>
      </c>
      <c r="C831" s="41" t="s">
        <v>1</v>
      </c>
      <c r="D831" s="41" t="s">
        <v>628</v>
      </c>
      <c r="E831" s="41" t="s">
        <v>629</v>
      </c>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v>3.1800000667999999</v>
      </c>
      <c r="AQ831" s="41">
        <v>3</v>
      </c>
      <c r="AR831" s="41">
        <v>3.0899999141999999</v>
      </c>
      <c r="AS831" s="41">
        <v>3.2000000477000001</v>
      </c>
      <c r="AT831" s="41">
        <v>3.2000000477000001</v>
      </c>
      <c r="AU831" s="41">
        <v>2.5899999141999999</v>
      </c>
      <c r="AV831" s="41"/>
      <c r="AW831" s="41">
        <v>3.2999999522999999</v>
      </c>
      <c r="AX831" s="41"/>
      <c r="AY831" s="41">
        <v>2.7</v>
      </c>
      <c r="AZ831" s="41">
        <v>2.6</v>
      </c>
      <c r="BA831" s="41">
        <v>2.6</v>
      </c>
      <c r="BB831" s="41"/>
      <c r="BC831" s="41">
        <v>2.5</v>
      </c>
      <c r="BD831" s="41"/>
      <c r="BE831" s="41"/>
      <c r="BF831" s="41"/>
      <c r="BG831" s="41"/>
      <c r="BH831" s="41"/>
      <c r="BI831" s="41"/>
      <c r="BJ831" s="41"/>
      <c r="BK831" s="41"/>
      <c r="BL831" s="41"/>
      <c r="BM831" s="41"/>
      <c r="BN831" s="54">
        <f t="shared" si="15"/>
        <v>2.5</v>
      </c>
      <c r="BP831" s="41" t="s">
        <v>454</v>
      </c>
      <c r="BQ831" s="41"/>
      <c r="BR831" s="1100">
        <v>2.08</v>
      </c>
      <c r="BS831" s="41" t="s">
        <v>815</v>
      </c>
    </row>
    <row r="832" spans="1:71" x14ac:dyDescent="0.35">
      <c r="B832" s="41" t="s">
        <v>318</v>
      </c>
      <c r="C832" s="41" t="s">
        <v>319</v>
      </c>
      <c r="D832" s="41" t="s">
        <v>628</v>
      </c>
      <c r="E832" s="41" t="s">
        <v>629</v>
      </c>
      <c r="F832" s="41">
        <v>1.9273014488226168</v>
      </c>
      <c r="G832" s="41"/>
      <c r="H832" s="41"/>
      <c r="I832" s="41"/>
      <c r="J832" s="41"/>
      <c r="K832" s="41"/>
      <c r="L832" s="41"/>
      <c r="M832" s="41"/>
      <c r="N832" s="41"/>
      <c r="O832" s="41"/>
      <c r="P832" s="41">
        <v>1.9178855601321714</v>
      </c>
      <c r="Q832" s="41"/>
      <c r="R832" s="41"/>
      <c r="S832" s="41"/>
      <c r="T832" s="41"/>
      <c r="U832" s="41">
        <v>1.5838141938869765</v>
      </c>
      <c r="V832" s="41"/>
      <c r="W832" s="41"/>
      <c r="X832" s="41"/>
      <c r="Y832" s="41"/>
      <c r="Z832" s="41"/>
      <c r="AA832" s="41">
        <v>1.7076106017146033</v>
      </c>
      <c r="AB832" s="41"/>
      <c r="AC832" s="41"/>
      <c r="AD832" s="41"/>
      <c r="AE832" s="41"/>
      <c r="AF832" s="41"/>
      <c r="AG832" s="41"/>
      <c r="AH832" s="41"/>
      <c r="AI832" s="41"/>
      <c r="AJ832" s="41">
        <v>1.7955814029383479</v>
      </c>
      <c r="AK832" s="41"/>
      <c r="AL832" s="41"/>
      <c r="AM832" s="41"/>
      <c r="AN832" s="41"/>
      <c r="AO832" s="41"/>
      <c r="AP832" s="41"/>
      <c r="AQ832" s="41"/>
      <c r="AR832" s="41"/>
      <c r="AS832" s="41"/>
      <c r="AT832" s="41">
        <v>1.5979110469803108</v>
      </c>
      <c r="AU832" s="41">
        <v>1.639466763962274</v>
      </c>
      <c r="AV832" s="41">
        <v>1.5747993164633365</v>
      </c>
      <c r="AW832" s="41">
        <v>1.5740629780330366</v>
      </c>
      <c r="AX832" s="41">
        <v>1.6123290377657571</v>
      </c>
      <c r="AY832" s="41">
        <v>1.6302612357670523</v>
      </c>
      <c r="AZ832" s="41">
        <v>1.6525176858459851</v>
      </c>
      <c r="BA832" s="41">
        <v>1.6171139714320726</v>
      </c>
      <c r="BB832" s="41">
        <v>1.6360572270794793</v>
      </c>
      <c r="BC832" s="41">
        <v>1.5288537576491594</v>
      </c>
      <c r="BD832" s="41">
        <v>1.5295228608156684</v>
      </c>
      <c r="BE832" s="41">
        <v>1.1602230655564261</v>
      </c>
      <c r="BF832" s="41">
        <v>1.1583826709097418</v>
      </c>
      <c r="BG832" s="41">
        <v>1.1518991930072484</v>
      </c>
      <c r="BH832" s="41">
        <v>1.6245235818549295</v>
      </c>
      <c r="BI832" s="41"/>
      <c r="BJ832" s="41"/>
      <c r="BK832" s="41"/>
      <c r="BL832" s="41"/>
      <c r="BM832" s="41"/>
      <c r="BN832" s="54">
        <f t="shared" si="15"/>
        <v>1.6245235818549295</v>
      </c>
      <c r="BP832" s="41" t="s">
        <v>452</v>
      </c>
      <c r="BQ832" s="41"/>
      <c r="BR832" s="1100">
        <v>1.24</v>
      </c>
      <c r="BS832" s="41" t="s">
        <v>813</v>
      </c>
    </row>
    <row r="833" spans="2:71" x14ac:dyDescent="0.35">
      <c r="B833" s="41" t="s">
        <v>554</v>
      </c>
      <c r="C833" s="41" t="s">
        <v>2</v>
      </c>
      <c r="D833" s="41" t="s">
        <v>628</v>
      </c>
      <c r="E833" s="41" t="s">
        <v>629</v>
      </c>
      <c r="F833" s="41"/>
      <c r="G833" s="41"/>
      <c r="H833" s="41"/>
      <c r="I833" s="41"/>
      <c r="J833" s="41"/>
      <c r="K833" s="41"/>
      <c r="L833" s="41"/>
      <c r="M833" s="41"/>
      <c r="N833" s="41"/>
      <c r="O833" s="41"/>
      <c r="P833" s="41"/>
      <c r="Q833" s="41"/>
      <c r="R833" s="41"/>
      <c r="S833" s="41"/>
      <c r="T833" s="41"/>
      <c r="U833" s="41"/>
      <c r="V833" s="41"/>
      <c r="W833" s="41"/>
      <c r="X833" s="41"/>
      <c r="Y833" s="41"/>
      <c r="Z833" s="41">
        <v>2.8494999408721902</v>
      </c>
      <c r="AA833" s="41">
        <v>2.87509989738464</v>
      </c>
      <c r="AB833" s="41"/>
      <c r="AC833" s="41"/>
      <c r="AD833" s="41"/>
      <c r="AE833" s="41"/>
      <c r="AF833" s="41"/>
      <c r="AG833" s="41"/>
      <c r="AH833" s="41"/>
      <c r="AI833" s="41"/>
      <c r="AJ833" s="41">
        <v>2.6400001048999999</v>
      </c>
      <c r="AK833" s="41"/>
      <c r="AL833" s="41">
        <v>3.0604999065</v>
      </c>
      <c r="AM833" s="41"/>
      <c r="AN833" s="41"/>
      <c r="AO833" s="41"/>
      <c r="AP833" s="41">
        <v>2.6400001048999999</v>
      </c>
      <c r="AQ833" s="41"/>
      <c r="AR833" s="41"/>
      <c r="AS833" s="41"/>
      <c r="AT833" s="41">
        <v>2.4</v>
      </c>
      <c r="AU833" s="41">
        <v>2.2999999999999998</v>
      </c>
      <c r="AV833" s="41">
        <v>2.2000000000000002</v>
      </c>
      <c r="AW833" s="41">
        <v>2.2000000000000002</v>
      </c>
      <c r="AX833" s="41">
        <v>2.2000000000000002</v>
      </c>
      <c r="AY833" s="41">
        <v>2.2000000000000002</v>
      </c>
      <c r="AZ833" s="41">
        <v>1.9</v>
      </c>
      <c r="BA833" s="41">
        <v>1.9</v>
      </c>
      <c r="BB833" s="41">
        <v>1.9</v>
      </c>
      <c r="BC833" s="41">
        <v>1.9</v>
      </c>
      <c r="BD833" s="41">
        <v>1.9</v>
      </c>
      <c r="BE833" s="41">
        <v>1.1000000000000001</v>
      </c>
      <c r="BF833" s="41">
        <v>1.1000000000000001</v>
      </c>
      <c r="BG833" s="41">
        <v>1.2</v>
      </c>
      <c r="BH833" s="41"/>
      <c r="BI833" s="41"/>
      <c r="BJ833" s="41"/>
      <c r="BK833" s="41"/>
      <c r="BL833" s="41"/>
      <c r="BM833" s="41"/>
      <c r="BN833" s="54">
        <f t="shared" si="15"/>
        <v>1.2</v>
      </c>
      <c r="BP833" s="41" t="s">
        <v>742</v>
      </c>
      <c r="BQ833" s="79"/>
      <c r="BR833" s="1100">
        <v>2.7</v>
      </c>
      <c r="BS833" s="41" t="s">
        <v>1463</v>
      </c>
    </row>
    <row r="834" spans="2:71" x14ac:dyDescent="0.35">
      <c r="B834" s="41" t="s">
        <v>320</v>
      </c>
      <c r="C834" s="41" t="s">
        <v>321</v>
      </c>
      <c r="D834" s="41" t="s">
        <v>628</v>
      </c>
      <c r="E834" s="41" t="s">
        <v>629</v>
      </c>
      <c r="F834" s="41">
        <v>6.3522505760192898</v>
      </c>
      <c r="G834" s="41"/>
      <c r="H834" s="41"/>
      <c r="I834" s="41"/>
      <c r="J834" s="41"/>
      <c r="K834" s="41"/>
      <c r="L834" s="41"/>
      <c r="M834" s="41"/>
      <c r="N834" s="41"/>
      <c r="O834" s="41"/>
      <c r="P834" s="41">
        <v>5.5858001708984402</v>
      </c>
      <c r="Q834" s="41"/>
      <c r="R834" s="41"/>
      <c r="S834" s="41"/>
      <c r="T834" s="41"/>
      <c r="U834" s="41"/>
      <c r="V834" s="41"/>
      <c r="W834" s="41"/>
      <c r="X834" s="41"/>
      <c r="Y834" s="41"/>
      <c r="Z834" s="41"/>
      <c r="AA834" s="41"/>
      <c r="AB834" s="41"/>
      <c r="AC834" s="41"/>
      <c r="AD834" s="41"/>
      <c r="AE834" s="41"/>
      <c r="AF834" s="41"/>
      <c r="AG834" s="41"/>
      <c r="AH834" s="41"/>
      <c r="AI834" s="41"/>
      <c r="AJ834" s="41">
        <v>4.5942997932000003</v>
      </c>
      <c r="AK834" s="41"/>
      <c r="AL834" s="41"/>
      <c r="AM834" s="41">
        <v>4.5999999045999997</v>
      </c>
      <c r="AN834" s="41"/>
      <c r="AO834" s="41"/>
      <c r="AP834" s="41">
        <v>3.2899999619</v>
      </c>
      <c r="AQ834" s="41"/>
      <c r="AR834" s="41"/>
      <c r="AS834" s="41"/>
      <c r="AT834" s="41">
        <v>4.0999999999999996</v>
      </c>
      <c r="AU834" s="41"/>
      <c r="AV834" s="41"/>
      <c r="AW834" s="41"/>
      <c r="AX834" s="41"/>
      <c r="AY834" s="41">
        <v>4</v>
      </c>
      <c r="AZ834" s="41"/>
      <c r="BA834" s="41"/>
      <c r="BB834" s="41"/>
      <c r="BC834" s="41"/>
      <c r="BD834" s="41">
        <v>4.5</v>
      </c>
      <c r="BE834" s="41">
        <v>4.5</v>
      </c>
      <c r="BF834" s="41">
        <v>4.7</v>
      </c>
      <c r="BG834" s="41">
        <v>4.9000000000000004</v>
      </c>
      <c r="BH834" s="41">
        <v>5</v>
      </c>
      <c r="BI834" s="41"/>
      <c r="BJ834" s="41"/>
      <c r="BK834" s="41"/>
      <c r="BL834" s="41"/>
      <c r="BM834" s="41"/>
      <c r="BN834" s="54">
        <f t="shared" si="15"/>
        <v>5</v>
      </c>
      <c r="BP834" s="41"/>
      <c r="BQ834" s="41"/>
      <c r="BR834" s="41"/>
      <c r="BS834" s="41"/>
    </row>
    <row r="835" spans="2:71" x14ac:dyDescent="0.35">
      <c r="B835" s="41" t="s">
        <v>234</v>
      </c>
      <c r="C835" s="41" t="s">
        <v>3</v>
      </c>
      <c r="D835" s="41" t="s">
        <v>628</v>
      </c>
      <c r="E835" s="41" t="s">
        <v>629</v>
      </c>
      <c r="F835" s="41"/>
      <c r="G835" s="41"/>
      <c r="H835" s="41"/>
      <c r="I835" s="41"/>
      <c r="J835" s="41"/>
      <c r="K835" s="41"/>
      <c r="L835" s="41"/>
      <c r="M835" s="41"/>
      <c r="N835" s="41"/>
      <c r="O835" s="41"/>
      <c r="P835" s="41"/>
      <c r="Q835" s="41"/>
      <c r="R835" s="41"/>
      <c r="S835" s="41"/>
      <c r="T835" s="41"/>
      <c r="U835" s="41"/>
      <c r="V835" s="41"/>
      <c r="W835" s="41"/>
      <c r="X835" s="41"/>
      <c r="Y835" s="41"/>
      <c r="Z835" s="41">
        <v>8.3954000473022496</v>
      </c>
      <c r="AA835" s="41">
        <v>8.5783996582031303</v>
      </c>
      <c r="AB835" s="41">
        <v>8.68280029296875</v>
      </c>
      <c r="AC835" s="41">
        <v>8.5481004714965803</v>
      </c>
      <c r="AD835" s="41">
        <v>8.6600999832153303</v>
      </c>
      <c r="AE835" s="41">
        <v>8.6991996765136701</v>
      </c>
      <c r="AF835" s="41">
        <v>9.0242004394531303</v>
      </c>
      <c r="AG835" s="41">
        <v>8.9966001510620099</v>
      </c>
      <c r="AH835" s="41">
        <v>9.1904001235961896</v>
      </c>
      <c r="AI835" s="41">
        <v>9.0357999801635707</v>
      </c>
      <c r="AJ835" s="41">
        <v>9.0947999954000007</v>
      </c>
      <c r="AK835" s="41">
        <v>8.5292997360000005</v>
      </c>
      <c r="AL835" s="41">
        <v>8.3676996231</v>
      </c>
      <c r="AM835" s="41">
        <v>8.2146997452000008</v>
      </c>
      <c r="AN835" s="41">
        <v>7.7659997939999998</v>
      </c>
      <c r="AO835" s="41">
        <v>7.6399998665000002</v>
      </c>
      <c r="AP835" s="41">
        <v>7.1300001143999996</v>
      </c>
      <c r="AQ835" s="41">
        <v>6.75</v>
      </c>
      <c r="AR835" s="41">
        <v>6.6599998474</v>
      </c>
      <c r="AS835" s="41">
        <v>6.1999998093000004</v>
      </c>
      <c r="AT835" s="41">
        <v>6.4</v>
      </c>
      <c r="AU835" s="41">
        <v>5</v>
      </c>
      <c r="AV835" s="41">
        <v>4.3</v>
      </c>
      <c r="AW835" s="41">
        <v>4.4000000000000004</v>
      </c>
      <c r="AX835" s="41">
        <v>4.4000000000000004</v>
      </c>
      <c r="AY835" s="41">
        <v>4.5</v>
      </c>
      <c r="AZ835" s="41">
        <v>4.4000000000000004</v>
      </c>
      <c r="BA835" s="41">
        <v>4.0999999999999996</v>
      </c>
      <c r="BB835" s="41">
        <v>3.8</v>
      </c>
      <c r="BC835" s="41">
        <v>3.7</v>
      </c>
      <c r="BD835" s="41">
        <v>3.7</v>
      </c>
      <c r="BE835" s="41">
        <v>3.7</v>
      </c>
      <c r="BF835" s="41">
        <v>4</v>
      </c>
      <c r="BG835" s="41">
        <v>4.0999999999999996</v>
      </c>
      <c r="BH835" s="41"/>
      <c r="BI835" s="41">
        <v>4.2</v>
      </c>
      <c r="BJ835" s="41"/>
      <c r="BK835" s="41"/>
      <c r="BL835" s="41"/>
      <c r="BM835" s="41"/>
      <c r="BN835" s="54">
        <f t="shared" si="15"/>
        <v>4.2</v>
      </c>
      <c r="BP835" s="8" t="s">
        <v>1323</v>
      </c>
      <c r="BQ835" s="41"/>
      <c r="BR835" s="41"/>
      <c r="BS835" s="41"/>
    </row>
    <row r="836" spans="2:71" x14ac:dyDescent="0.35">
      <c r="B836" s="41" t="s">
        <v>314</v>
      </c>
      <c r="C836" s="41" t="s">
        <v>193</v>
      </c>
      <c r="D836" s="41" t="s">
        <v>628</v>
      </c>
      <c r="E836" s="41" t="s">
        <v>629</v>
      </c>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54" t="str">
        <f t="shared" si="15"/>
        <v>No reported value</v>
      </c>
      <c r="BP836" s="5" t="s">
        <v>410</v>
      </c>
      <c r="BQ836" s="41"/>
      <c r="BR836" s="1101">
        <v>3.5700000000000003E-2</v>
      </c>
      <c r="BS836" s="41" t="s">
        <v>1324</v>
      </c>
    </row>
    <row r="837" spans="2:71" x14ac:dyDescent="0.35">
      <c r="B837" s="41" t="s">
        <v>316</v>
      </c>
      <c r="C837" s="41" t="s">
        <v>317</v>
      </c>
      <c r="D837" s="41" t="s">
        <v>628</v>
      </c>
      <c r="E837" s="41" t="s">
        <v>629</v>
      </c>
      <c r="F837" s="41">
        <v>7.70642185211182</v>
      </c>
      <c r="G837" s="41"/>
      <c r="H837" s="41"/>
      <c r="I837" s="41"/>
      <c r="J837" s="41"/>
      <c r="K837" s="41"/>
      <c r="L837" s="41"/>
      <c r="M837" s="41"/>
      <c r="N837" s="41"/>
      <c r="O837" s="41"/>
      <c r="P837" s="41">
        <v>6.5300002098083496</v>
      </c>
      <c r="Q837" s="41"/>
      <c r="R837" s="41"/>
      <c r="S837" s="41"/>
      <c r="T837" s="41"/>
      <c r="U837" s="41"/>
      <c r="V837" s="41"/>
      <c r="W837" s="41"/>
      <c r="X837" s="41"/>
      <c r="Y837" s="41"/>
      <c r="Z837" s="41"/>
      <c r="AA837" s="41"/>
      <c r="AB837" s="41"/>
      <c r="AC837" s="41"/>
      <c r="AD837" s="41"/>
      <c r="AE837" s="41"/>
      <c r="AF837" s="41"/>
      <c r="AG837" s="41"/>
      <c r="AH837" s="41"/>
      <c r="AI837" s="41"/>
      <c r="AJ837" s="41">
        <v>6.5999999045999997</v>
      </c>
      <c r="AK837" s="41"/>
      <c r="AL837" s="41"/>
      <c r="AM837" s="41">
        <v>6.1048002242999999</v>
      </c>
      <c r="AN837" s="41"/>
      <c r="AO837" s="41"/>
      <c r="AP837" s="41">
        <v>3.8800001144</v>
      </c>
      <c r="AQ837" s="41"/>
      <c r="AR837" s="41"/>
      <c r="AS837" s="41"/>
      <c r="AT837" s="41"/>
      <c r="AU837" s="41">
        <v>2.6</v>
      </c>
      <c r="AV837" s="41">
        <v>2.2999999999999998</v>
      </c>
      <c r="AW837" s="41">
        <v>2.5</v>
      </c>
      <c r="AX837" s="41">
        <v>2.4</v>
      </c>
      <c r="AY837" s="41">
        <v>2.4</v>
      </c>
      <c r="AZ837" s="41">
        <v>2.4</v>
      </c>
      <c r="BA837" s="41">
        <v>2</v>
      </c>
      <c r="BB837" s="41">
        <v>1.7</v>
      </c>
      <c r="BC837" s="41">
        <v>2.2000000000000002</v>
      </c>
      <c r="BD837" s="41">
        <v>2.2000000000000002</v>
      </c>
      <c r="BE837" s="41">
        <v>2.1</v>
      </c>
      <c r="BF837" s="41"/>
      <c r="BG837" s="41">
        <v>3.9</v>
      </c>
      <c r="BH837" s="41">
        <v>3.8</v>
      </c>
      <c r="BI837" s="41"/>
      <c r="BJ837" s="41"/>
      <c r="BK837" s="41"/>
      <c r="BL837" s="41"/>
      <c r="BM837" s="41"/>
      <c r="BN837" s="54">
        <f t="shared" si="15"/>
        <v>3.8</v>
      </c>
      <c r="BP837" s="129" t="s">
        <v>557</v>
      </c>
      <c r="BQ837" s="41"/>
      <c r="BR837" s="1101">
        <v>3.32E-2</v>
      </c>
      <c r="BS837" s="129" t="s">
        <v>1324</v>
      </c>
    </row>
    <row r="838" spans="2:71" x14ac:dyDescent="0.35">
      <c r="B838" s="41" t="s">
        <v>324</v>
      </c>
      <c r="C838" s="41" t="s">
        <v>4</v>
      </c>
      <c r="D838" s="41" t="s">
        <v>628</v>
      </c>
      <c r="E838" s="41" t="s">
        <v>629</v>
      </c>
      <c r="F838" s="41">
        <v>11.199999809265099</v>
      </c>
      <c r="G838" s="41">
        <v>11.300000190734901</v>
      </c>
      <c r="H838" s="41">
        <v>11.3999996185303</v>
      </c>
      <c r="I838" s="41">
        <v>11.699999809265099</v>
      </c>
      <c r="J838" s="41">
        <v>11.800000190734901</v>
      </c>
      <c r="K838" s="41">
        <v>11.8999996185303</v>
      </c>
      <c r="L838" s="41">
        <v>11.800000190734901</v>
      </c>
      <c r="M838" s="41">
        <v>11.800000190734901</v>
      </c>
      <c r="N838" s="41">
        <v>11.800000190734901</v>
      </c>
      <c r="O838" s="41">
        <v>11.699999809265099</v>
      </c>
      <c r="P838" s="41">
        <v>11.699999809265099</v>
      </c>
      <c r="Q838" s="41">
        <v>11.6000003814697</v>
      </c>
      <c r="R838" s="41">
        <v>11.800000190734901</v>
      </c>
      <c r="S838" s="41">
        <v>11.800000190734901</v>
      </c>
      <c r="T838" s="41">
        <v>12</v>
      </c>
      <c r="U838" s="41">
        <v>11.8999996185303</v>
      </c>
      <c r="V838" s="41">
        <v>11.8999996185303</v>
      </c>
      <c r="W838" s="41">
        <v>12.1000003814697</v>
      </c>
      <c r="X838" s="41">
        <v>12.1000003814697</v>
      </c>
      <c r="Y838" s="41">
        <v>12.199999809265099</v>
      </c>
      <c r="Z838" s="41">
        <v>12.300000190734901</v>
      </c>
      <c r="AA838" s="41">
        <v>12.199999809265099</v>
      </c>
      <c r="AB838" s="41">
        <v>12.1000003814697</v>
      </c>
      <c r="AC838" s="41">
        <v>11.8999996185303</v>
      </c>
      <c r="AD838" s="41">
        <v>11.699999809265099</v>
      </c>
      <c r="AE838" s="41">
        <v>10.8999996185303</v>
      </c>
      <c r="AF838" s="41"/>
      <c r="AG838" s="41">
        <v>10.5</v>
      </c>
      <c r="AH838" s="41"/>
      <c r="AI838" s="41">
        <v>9.8000001907348597</v>
      </c>
      <c r="AJ838" s="41"/>
      <c r="AK838" s="41">
        <v>9.1999998092999995</v>
      </c>
      <c r="AL838" s="41">
        <v>8.8999996185000008</v>
      </c>
      <c r="AM838" s="41">
        <v>8.8999996185000008</v>
      </c>
      <c r="AN838" s="41">
        <v>8.6999998092999995</v>
      </c>
      <c r="AO838" s="41">
        <v>8.6999998092999995</v>
      </c>
      <c r="AP838" s="41">
        <v>8.5</v>
      </c>
      <c r="AQ838" s="41">
        <v>8.3000001907000005</v>
      </c>
      <c r="AR838" s="41">
        <v>8.1999998092999995</v>
      </c>
      <c r="AS838" s="41">
        <v>7.9000000954000003</v>
      </c>
      <c r="AT838" s="41">
        <v>7.8000001906999996</v>
      </c>
      <c r="AU838" s="41">
        <v>7.5999999045999997</v>
      </c>
      <c r="AV838" s="41">
        <v>4</v>
      </c>
      <c r="AW838" s="41"/>
      <c r="AX838" s="41">
        <v>3.9</v>
      </c>
      <c r="AY838" s="41">
        <v>4</v>
      </c>
      <c r="AZ838" s="41">
        <v>3.97</v>
      </c>
      <c r="BA838" s="41"/>
      <c r="BB838" s="41"/>
      <c r="BC838" s="41">
        <v>3.8</v>
      </c>
      <c r="BD838" s="41">
        <v>3.9</v>
      </c>
      <c r="BE838" s="41">
        <v>3.8</v>
      </c>
      <c r="BF838" s="41"/>
      <c r="BG838" s="41"/>
      <c r="BH838" s="41">
        <v>3.8</v>
      </c>
      <c r="BI838" s="41"/>
      <c r="BJ838" s="41"/>
      <c r="BK838" s="41"/>
      <c r="BL838" s="41"/>
      <c r="BM838" s="41"/>
      <c r="BN838" s="54">
        <f t="shared" si="15"/>
        <v>3.8</v>
      </c>
      <c r="BP838" s="129" t="s">
        <v>454</v>
      </c>
      <c r="BQ838" s="41"/>
      <c r="BR838" s="1101">
        <v>2.3800000000000002E-2</v>
      </c>
      <c r="BS838" s="129" t="s">
        <v>1324</v>
      </c>
    </row>
    <row r="839" spans="2:71" x14ac:dyDescent="0.35">
      <c r="B839" s="41" t="s">
        <v>325</v>
      </c>
      <c r="C839" s="41" t="s">
        <v>5</v>
      </c>
      <c r="D839" s="41" t="s">
        <v>628</v>
      </c>
      <c r="E839" s="41" t="s">
        <v>629</v>
      </c>
      <c r="F839" s="41">
        <v>10.800000190734901</v>
      </c>
      <c r="G839" s="41"/>
      <c r="H839" s="41"/>
      <c r="I839" s="41"/>
      <c r="J839" s="41"/>
      <c r="K839" s="41"/>
      <c r="L839" s="41"/>
      <c r="M839" s="41"/>
      <c r="N839" s="41"/>
      <c r="O839" s="41"/>
      <c r="P839" s="41">
        <v>10.800000190734901</v>
      </c>
      <c r="Q839" s="41"/>
      <c r="R839" s="41"/>
      <c r="S839" s="41"/>
      <c r="T839" s="41"/>
      <c r="U839" s="41"/>
      <c r="V839" s="41"/>
      <c r="W839" s="41"/>
      <c r="X839" s="41"/>
      <c r="Y839" s="41"/>
      <c r="Z839" s="41">
        <v>11.199999809265099</v>
      </c>
      <c r="AA839" s="41"/>
      <c r="AB839" s="41"/>
      <c r="AC839" s="41"/>
      <c r="AD839" s="41"/>
      <c r="AE839" s="41">
        <v>10.8999996185303</v>
      </c>
      <c r="AF839" s="41">
        <v>10.800000190734901</v>
      </c>
      <c r="AG839" s="41">
        <v>10.699999809265099</v>
      </c>
      <c r="AH839" s="41">
        <v>10.6000003814697</v>
      </c>
      <c r="AI839" s="41">
        <v>10.3999996185303</v>
      </c>
      <c r="AJ839" s="41">
        <v>10.199999809299999</v>
      </c>
      <c r="AK839" s="41">
        <v>9.8999996185000008</v>
      </c>
      <c r="AL839" s="41">
        <v>9.6999998092999995</v>
      </c>
      <c r="AM839" s="41">
        <v>9.3999996185000008</v>
      </c>
      <c r="AN839" s="41">
        <v>9.5</v>
      </c>
      <c r="AO839" s="41">
        <v>9.3999996185000008</v>
      </c>
      <c r="AP839" s="41">
        <v>9.3000001907000005</v>
      </c>
      <c r="AQ839" s="41">
        <v>9.1999998092999995</v>
      </c>
      <c r="AR839" s="41">
        <v>9</v>
      </c>
      <c r="AS839" s="41">
        <v>8.8999996185000008</v>
      </c>
      <c r="AT839" s="41">
        <v>7.9</v>
      </c>
      <c r="AU839" s="41">
        <v>7.8</v>
      </c>
      <c r="AV839" s="41">
        <v>7.8</v>
      </c>
      <c r="AW839" s="41">
        <v>7.7</v>
      </c>
      <c r="AX839" s="41">
        <v>7.7</v>
      </c>
      <c r="AY839" s="41">
        <v>7.7</v>
      </c>
      <c r="AZ839" s="41">
        <v>7.7</v>
      </c>
      <c r="BA839" s="41">
        <v>7.8</v>
      </c>
      <c r="BB839" s="41">
        <v>7.7</v>
      </c>
      <c r="BC839" s="41">
        <v>7.7</v>
      </c>
      <c r="BD839" s="41">
        <v>7.7</v>
      </c>
      <c r="BE839" s="41">
        <v>7.7</v>
      </c>
      <c r="BF839" s="41">
        <v>7.7</v>
      </c>
      <c r="BG839" s="41">
        <v>7.6</v>
      </c>
      <c r="BH839" s="41"/>
      <c r="BI839" s="41"/>
      <c r="BJ839" s="41"/>
      <c r="BK839" s="41"/>
      <c r="BL839" s="41"/>
      <c r="BM839" s="41"/>
      <c r="BN839" s="54">
        <f t="shared" si="15"/>
        <v>7.6</v>
      </c>
      <c r="BP839" s="129" t="s">
        <v>452</v>
      </c>
      <c r="BQ839" s="41"/>
      <c r="BR839" s="1101">
        <v>1.6299999999999999E-2</v>
      </c>
      <c r="BS839" s="129" t="s">
        <v>1324</v>
      </c>
    </row>
    <row r="840" spans="2:71" x14ac:dyDescent="0.35">
      <c r="B840" s="41" t="s">
        <v>235</v>
      </c>
      <c r="C840" s="41" t="s">
        <v>6</v>
      </c>
      <c r="D840" s="41" t="s">
        <v>628</v>
      </c>
      <c r="E840" s="41" t="s">
        <v>629</v>
      </c>
      <c r="F840" s="41"/>
      <c r="G840" s="41"/>
      <c r="H840" s="41"/>
      <c r="I840" s="41"/>
      <c r="J840" s="41"/>
      <c r="K840" s="41"/>
      <c r="L840" s="41"/>
      <c r="M840" s="41"/>
      <c r="N840" s="41"/>
      <c r="O840" s="41"/>
      <c r="P840" s="41"/>
      <c r="Q840" s="41"/>
      <c r="R840" s="41"/>
      <c r="S840" s="41"/>
      <c r="T840" s="41"/>
      <c r="U840" s="41"/>
      <c r="V840" s="41"/>
      <c r="W840" s="41"/>
      <c r="X840" s="41"/>
      <c r="Y840" s="41"/>
      <c r="Z840" s="41">
        <v>9.7452001571655291</v>
      </c>
      <c r="AA840" s="41"/>
      <c r="AB840" s="41"/>
      <c r="AC840" s="41"/>
      <c r="AD840" s="41"/>
      <c r="AE840" s="41">
        <v>9.8968000411987305</v>
      </c>
      <c r="AF840" s="41">
        <v>9.8410997390747106</v>
      </c>
      <c r="AG840" s="41">
        <v>9.8821001052856392</v>
      </c>
      <c r="AH840" s="41">
        <v>9.9663000106811506</v>
      </c>
      <c r="AI840" s="41">
        <v>10.204400062561</v>
      </c>
      <c r="AJ840" s="41">
        <v>10.099200248700001</v>
      </c>
      <c r="AK840" s="41">
        <v>10.0208997726</v>
      </c>
      <c r="AL840" s="41">
        <v>10.542799949600001</v>
      </c>
      <c r="AM840" s="41">
        <v>10.487500190700001</v>
      </c>
      <c r="AN840" s="41">
        <v>10.070599555999999</v>
      </c>
      <c r="AO840" s="41">
        <v>10.0200004578</v>
      </c>
      <c r="AP840" s="41">
        <v>9.8100004195999997</v>
      </c>
      <c r="AQ840" s="41">
        <v>9.6099996566999994</v>
      </c>
      <c r="AR840" s="41">
        <v>9.0600004195999997</v>
      </c>
      <c r="AS840" s="41">
        <v>8.8999996185000008</v>
      </c>
      <c r="AT840" s="41">
        <v>8.6999999999999993</v>
      </c>
      <c r="AU840" s="41">
        <v>8.5</v>
      </c>
      <c r="AV840" s="41">
        <v>8.4</v>
      </c>
      <c r="AW840" s="41">
        <v>8.3000000000000007</v>
      </c>
      <c r="AX840" s="41">
        <v>8.1999999999999993</v>
      </c>
      <c r="AY840" s="41">
        <v>8.1999999999999993</v>
      </c>
      <c r="AZ840" s="41">
        <v>7.9</v>
      </c>
      <c r="BA840" s="41">
        <v>7.9</v>
      </c>
      <c r="BB840" s="41">
        <v>7.7</v>
      </c>
      <c r="BC840" s="41">
        <v>7.5</v>
      </c>
      <c r="BD840" s="41">
        <v>5.0999999999999996</v>
      </c>
      <c r="BE840" s="41">
        <v>4.5999999999999996</v>
      </c>
      <c r="BF840" s="41">
        <v>4.5999999999999996</v>
      </c>
      <c r="BG840" s="41">
        <v>4.7</v>
      </c>
      <c r="BH840" s="41"/>
      <c r="BI840" s="41"/>
      <c r="BJ840" s="41"/>
      <c r="BK840" s="41"/>
      <c r="BL840" s="41"/>
      <c r="BM840" s="41"/>
      <c r="BN840" s="54">
        <f t="shared" si="15"/>
        <v>4.7</v>
      </c>
      <c r="BP840" s="129" t="s">
        <v>742</v>
      </c>
      <c r="BQ840" s="41"/>
      <c r="BR840" s="1101">
        <f>AVERAGE(BR836:BR839)</f>
        <v>2.725E-2</v>
      </c>
      <c r="BS840" s="129" t="s">
        <v>752</v>
      </c>
    </row>
    <row r="841" spans="2:71" x14ac:dyDescent="0.35">
      <c r="B841" s="41" t="s">
        <v>186</v>
      </c>
      <c r="C841" s="41" t="s">
        <v>7</v>
      </c>
      <c r="D841" s="41" t="s">
        <v>628</v>
      </c>
      <c r="E841" s="41" t="s">
        <v>629</v>
      </c>
      <c r="F841" s="41">
        <v>1.1224073171615601</v>
      </c>
      <c r="G841" s="41"/>
      <c r="H841" s="41"/>
      <c r="I841" s="41"/>
      <c r="J841" s="41"/>
      <c r="K841" s="41"/>
      <c r="L841" s="41"/>
      <c r="M841" s="41"/>
      <c r="N841" s="41"/>
      <c r="O841" s="41"/>
      <c r="P841" s="41">
        <v>1.28059995174408</v>
      </c>
      <c r="Q841" s="41"/>
      <c r="R841" s="41"/>
      <c r="S841" s="41"/>
      <c r="T841" s="41"/>
      <c r="U841" s="41">
        <v>1.1232000589370701</v>
      </c>
      <c r="V841" s="41"/>
      <c r="W841" s="41"/>
      <c r="X841" s="41"/>
      <c r="Y841" s="41"/>
      <c r="Z841" s="41"/>
      <c r="AA841" s="41"/>
      <c r="AB841" s="41"/>
      <c r="AC841" s="41"/>
      <c r="AD841" s="41"/>
      <c r="AE841" s="41"/>
      <c r="AF841" s="41">
        <v>0.67919999361038197</v>
      </c>
      <c r="AG841" s="41"/>
      <c r="AH841" s="41"/>
      <c r="AI841" s="41"/>
      <c r="AJ841" s="41"/>
      <c r="AK841" s="41">
        <v>0.66310000420000004</v>
      </c>
      <c r="AL841" s="41"/>
      <c r="AM841" s="41"/>
      <c r="AN841" s="41"/>
      <c r="AO841" s="41"/>
      <c r="AP841" s="41"/>
      <c r="AQ841" s="41"/>
      <c r="AR841" s="41"/>
      <c r="AS841" s="41"/>
      <c r="AT841" s="41"/>
      <c r="AU841" s="41"/>
      <c r="AV841" s="41"/>
      <c r="AW841" s="41"/>
      <c r="AX841" s="41"/>
      <c r="AY841" s="41"/>
      <c r="AZ841" s="41">
        <v>0.7</v>
      </c>
      <c r="BA841" s="41"/>
      <c r="BB841" s="41"/>
      <c r="BC841" s="41"/>
      <c r="BD841" s="41"/>
      <c r="BE841" s="41">
        <v>1.9</v>
      </c>
      <c r="BF841" s="41"/>
      <c r="BG841" s="41"/>
      <c r="BH841" s="41">
        <v>0.8</v>
      </c>
      <c r="BI841" s="41"/>
      <c r="BJ841" s="41"/>
      <c r="BK841" s="41"/>
      <c r="BL841" s="41"/>
      <c r="BM841" s="41"/>
      <c r="BN841" s="54">
        <f t="shared" si="15"/>
        <v>0.8</v>
      </c>
    </row>
    <row r="842" spans="2:71" x14ac:dyDescent="0.35">
      <c r="B842" s="41" t="s">
        <v>331</v>
      </c>
      <c r="C842" s="41" t="s">
        <v>8</v>
      </c>
      <c r="D842" s="41" t="s">
        <v>628</v>
      </c>
      <c r="E842" s="41" t="s">
        <v>629</v>
      </c>
      <c r="F842" s="41"/>
      <c r="G842" s="41"/>
      <c r="H842" s="41"/>
      <c r="I842" s="41"/>
      <c r="J842" s="41"/>
      <c r="K842" s="41"/>
      <c r="L842" s="41"/>
      <c r="M842" s="41"/>
      <c r="N842" s="41"/>
      <c r="O842" s="41"/>
      <c r="P842" s="41">
        <v>8.3000001907348597</v>
      </c>
      <c r="Q842" s="41"/>
      <c r="R842" s="41"/>
      <c r="S842" s="41"/>
      <c r="T842" s="41"/>
      <c r="U842" s="41"/>
      <c r="V842" s="41"/>
      <c r="W842" s="41"/>
      <c r="X842" s="41"/>
      <c r="Y842" s="41"/>
      <c r="Z842" s="41">
        <v>9.3999996185302699</v>
      </c>
      <c r="AA842" s="41"/>
      <c r="AB842" s="41"/>
      <c r="AC842" s="41"/>
      <c r="AD842" s="41"/>
      <c r="AE842" s="41">
        <v>9.1000003814697301</v>
      </c>
      <c r="AF842" s="41"/>
      <c r="AG842" s="41"/>
      <c r="AH842" s="41"/>
      <c r="AI842" s="41"/>
      <c r="AJ842" s="41">
        <v>8</v>
      </c>
      <c r="AK842" s="41">
        <v>7.9000000954000003</v>
      </c>
      <c r="AL842" s="41">
        <v>7.6999998093000004</v>
      </c>
      <c r="AM842" s="41">
        <v>7.6999998093000004</v>
      </c>
      <c r="AN842" s="41">
        <v>7.5999999045999997</v>
      </c>
      <c r="AO842" s="41"/>
      <c r="AP842" s="41"/>
      <c r="AQ842" s="41">
        <v>7.1999998093000004</v>
      </c>
      <c r="AR842" s="41">
        <v>7.1999998093000004</v>
      </c>
      <c r="AS842" s="41">
        <v>7.0999999045999997</v>
      </c>
      <c r="AT842" s="41">
        <v>7.8</v>
      </c>
      <c r="AU842" s="41">
        <v>7.7</v>
      </c>
      <c r="AV842" s="41">
        <v>7.6</v>
      </c>
      <c r="AW842" s="41">
        <v>7.5</v>
      </c>
      <c r="AX842" s="41">
        <v>7.5</v>
      </c>
      <c r="AY842" s="41">
        <v>7.4</v>
      </c>
      <c r="AZ842" s="41">
        <v>6.7</v>
      </c>
      <c r="BA842" s="41">
        <v>6.6</v>
      </c>
      <c r="BB842" s="41">
        <v>6.6</v>
      </c>
      <c r="BC842" s="41">
        <v>6.5</v>
      </c>
      <c r="BD842" s="41">
        <v>6.5</v>
      </c>
      <c r="BE842" s="41">
        <v>6.4</v>
      </c>
      <c r="BF842" s="41">
        <v>6.3</v>
      </c>
      <c r="BG842" s="41">
        <v>6.3</v>
      </c>
      <c r="BH842" s="41">
        <v>6.2</v>
      </c>
      <c r="BI842" s="41"/>
      <c r="BJ842" s="41"/>
      <c r="BK842" s="41"/>
      <c r="BL842" s="41"/>
      <c r="BM842" s="41"/>
      <c r="BN842" s="54">
        <f t="shared" si="15"/>
        <v>6.2</v>
      </c>
    </row>
    <row r="843" spans="2:71" x14ac:dyDescent="0.35">
      <c r="B843" s="41" t="s">
        <v>183</v>
      </c>
      <c r="C843" s="41" t="s">
        <v>9</v>
      </c>
      <c r="D843" s="41" t="s">
        <v>628</v>
      </c>
      <c r="E843" s="41" t="s">
        <v>629</v>
      </c>
      <c r="F843" s="41">
        <v>1.2257487773895299</v>
      </c>
      <c r="G843" s="41"/>
      <c r="H843" s="41"/>
      <c r="I843" s="41"/>
      <c r="J843" s="41"/>
      <c r="K843" s="41"/>
      <c r="L843" s="41"/>
      <c r="M843" s="41"/>
      <c r="N843" s="41"/>
      <c r="O843" s="41"/>
      <c r="P843" s="41">
        <v>1.1548999547958401</v>
      </c>
      <c r="Q843" s="41"/>
      <c r="R843" s="41"/>
      <c r="S843" s="41"/>
      <c r="T843" s="41"/>
      <c r="U843" s="41"/>
      <c r="V843" s="41"/>
      <c r="W843" s="41"/>
      <c r="X843" s="41"/>
      <c r="Y843" s="41"/>
      <c r="Z843" s="41">
        <v>1.46490001678467</v>
      </c>
      <c r="AA843" s="41">
        <v>1.1311999559402499</v>
      </c>
      <c r="AB843" s="41"/>
      <c r="AC843" s="41"/>
      <c r="AD843" s="41"/>
      <c r="AE843" s="41">
        <v>0.35960000753402699</v>
      </c>
      <c r="AF843" s="41"/>
      <c r="AG843" s="41"/>
      <c r="AH843" s="41"/>
      <c r="AI843" s="41"/>
      <c r="AJ843" s="41">
        <v>0.8338999748</v>
      </c>
      <c r="AK843" s="41">
        <v>0.50050002339999999</v>
      </c>
      <c r="AL843" s="41">
        <v>0.22310000660000001</v>
      </c>
      <c r="AM843" s="41">
        <v>0.23909999430000001</v>
      </c>
      <c r="AN843" s="41">
        <v>0.23360000550000001</v>
      </c>
      <c r="AO843" s="41"/>
      <c r="AP843" s="41"/>
      <c r="AQ843" s="41"/>
      <c r="AR843" s="41"/>
      <c r="AS843" s="41"/>
      <c r="AT843" s="41"/>
      <c r="AU843" s="41"/>
      <c r="AV843" s="41"/>
      <c r="AW843" s="41"/>
      <c r="AX843" s="41"/>
      <c r="AY843" s="41">
        <v>0.5</v>
      </c>
      <c r="AZ843" s="41"/>
      <c r="BA843" s="41"/>
      <c r="BB843" s="41"/>
      <c r="BC843" s="41"/>
      <c r="BD843" s="41">
        <v>0.5</v>
      </c>
      <c r="BE843" s="41"/>
      <c r="BF843" s="41"/>
      <c r="BG843" s="41"/>
      <c r="BH843" s="41"/>
      <c r="BI843" s="41"/>
      <c r="BJ843" s="41"/>
      <c r="BK843" s="41"/>
      <c r="BL843" s="41"/>
      <c r="BM843" s="41"/>
      <c r="BN843" s="54">
        <f t="shared" si="15"/>
        <v>0.5</v>
      </c>
    </row>
    <row r="844" spans="2:71" x14ac:dyDescent="0.35">
      <c r="B844" s="41" t="s">
        <v>185</v>
      </c>
      <c r="C844" s="41" t="s">
        <v>10</v>
      </c>
      <c r="D844" s="41" t="s">
        <v>628</v>
      </c>
      <c r="E844" s="41" t="s">
        <v>629</v>
      </c>
      <c r="F844" s="41">
        <v>0.52375811338424705</v>
      </c>
      <c r="G844" s="41"/>
      <c r="H844" s="41"/>
      <c r="I844" s="41"/>
      <c r="J844" s="41"/>
      <c r="K844" s="41"/>
      <c r="L844" s="41"/>
      <c r="M844" s="41"/>
      <c r="N844" s="41"/>
      <c r="O844" s="41"/>
      <c r="P844" s="41">
        <v>0.57150000333786</v>
      </c>
      <c r="Q844" s="41"/>
      <c r="R844" s="41"/>
      <c r="S844" s="41"/>
      <c r="T844" s="41"/>
      <c r="U844" s="41"/>
      <c r="V844" s="41"/>
      <c r="W844" s="41"/>
      <c r="X844" s="41"/>
      <c r="Y844" s="41"/>
      <c r="Z844" s="41"/>
      <c r="AA844" s="41"/>
      <c r="AB844" s="41"/>
      <c r="AC844" s="41"/>
      <c r="AD844" s="41"/>
      <c r="AE844" s="41"/>
      <c r="AF844" s="41"/>
      <c r="AG844" s="41"/>
      <c r="AH844" s="41"/>
      <c r="AI844" s="41">
        <v>0.30640000104904203</v>
      </c>
      <c r="AJ844" s="41">
        <v>0.29929998520000001</v>
      </c>
      <c r="AK844" s="41"/>
      <c r="AL844" s="41"/>
      <c r="AM844" s="41"/>
      <c r="AN844" s="41"/>
      <c r="AO844" s="41">
        <v>1.2999999523000001</v>
      </c>
      <c r="AP844" s="41">
        <v>1.4199999570999999</v>
      </c>
      <c r="AQ844" s="41"/>
      <c r="AR844" s="41"/>
      <c r="AS844" s="41"/>
      <c r="AT844" s="41"/>
      <c r="AU844" s="41"/>
      <c r="AV844" s="41"/>
      <c r="AW844" s="41"/>
      <c r="AX844" s="41"/>
      <c r="AY844" s="41"/>
      <c r="AZ844" s="41">
        <v>0.9</v>
      </c>
      <c r="BA844" s="41"/>
      <c r="BB844" s="41"/>
      <c r="BC844" s="41"/>
      <c r="BD844" s="41">
        <v>0.4</v>
      </c>
      <c r="BE844" s="41"/>
      <c r="BF844" s="41"/>
      <c r="BG844" s="41"/>
      <c r="BH844" s="41"/>
      <c r="BI844" s="41"/>
      <c r="BJ844" s="41"/>
      <c r="BK844" s="41"/>
      <c r="BL844" s="41"/>
      <c r="BM844" s="41"/>
      <c r="BN844" s="54">
        <f t="shared" si="15"/>
        <v>0.4</v>
      </c>
    </row>
    <row r="845" spans="2:71" x14ac:dyDescent="0.35">
      <c r="B845" s="41" t="s">
        <v>240</v>
      </c>
      <c r="C845" s="41" t="s">
        <v>11</v>
      </c>
      <c r="D845" s="41" t="s">
        <v>628</v>
      </c>
      <c r="E845" s="41" t="s">
        <v>629</v>
      </c>
      <c r="F845" s="41"/>
      <c r="G845" s="41"/>
      <c r="H845" s="41"/>
      <c r="I845" s="41"/>
      <c r="J845" s="41"/>
      <c r="K845" s="41"/>
      <c r="L845" s="41"/>
      <c r="M845" s="41"/>
      <c r="N845" s="41"/>
      <c r="O845" s="41"/>
      <c r="P845" s="41">
        <v>0.155100002884865</v>
      </c>
      <c r="Q845" s="41"/>
      <c r="R845" s="41"/>
      <c r="S845" s="41"/>
      <c r="T845" s="41"/>
      <c r="U845" s="41"/>
      <c r="V845" s="41"/>
      <c r="W845" s="41"/>
      <c r="X845" s="41"/>
      <c r="Y845" s="41"/>
      <c r="Z845" s="41">
        <v>0.21580000221729301</v>
      </c>
      <c r="AA845" s="41">
        <v>0.22519999742507901</v>
      </c>
      <c r="AB845" s="41"/>
      <c r="AC845" s="41"/>
      <c r="AD845" s="41"/>
      <c r="AE845" s="41">
        <v>0.28780001401901201</v>
      </c>
      <c r="AF845" s="41"/>
      <c r="AG845" s="41"/>
      <c r="AH845" s="41"/>
      <c r="AI845" s="41"/>
      <c r="AJ845" s="41">
        <v>0.3041999936</v>
      </c>
      <c r="AK845" s="41">
        <v>0.30809998509999997</v>
      </c>
      <c r="AL845" s="41"/>
      <c r="AM845" s="41"/>
      <c r="AN845" s="41">
        <v>0.3048999906</v>
      </c>
      <c r="AO845" s="41"/>
      <c r="AP845" s="41"/>
      <c r="AQ845" s="41"/>
      <c r="AR845" s="41"/>
      <c r="AS845" s="41">
        <v>0.30000001189999997</v>
      </c>
      <c r="AT845" s="41"/>
      <c r="AU845" s="41">
        <v>0.3</v>
      </c>
      <c r="AV845" s="41">
        <v>0.34</v>
      </c>
      <c r="AW845" s="41"/>
      <c r="AX845" s="41"/>
      <c r="AY845" s="41">
        <v>0.3</v>
      </c>
      <c r="AZ845" s="41"/>
      <c r="BA845" s="41"/>
      <c r="BB845" s="41"/>
      <c r="BC845" s="41"/>
      <c r="BD845" s="41"/>
      <c r="BE845" s="41">
        <v>0.6</v>
      </c>
      <c r="BF845" s="41"/>
      <c r="BG845" s="41"/>
      <c r="BH845" s="41">
        <v>0.6</v>
      </c>
      <c r="BI845" s="41">
        <v>0.8</v>
      </c>
      <c r="BJ845" s="41"/>
      <c r="BK845" s="41"/>
      <c r="BL845" s="41"/>
      <c r="BM845" s="41"/>
      <c r="BN845" s="54">
        <f t="shared" si="15"/>
        <v>0.8</v>
      </c>
    </row>
    <row r="846" spans="2:71" x14ac:dyDescent="0.35">
      <c r="B846" s="41" t="s">
        <v>340</v>
      </c>
      <c r="C846" s="41" t="s">
        <v>12</v>
      </c>
      <c r="D846" s="41" t="s">
        <v>628</v>
      </c>
      <c r="E846" s="41" t="s">
        <v>629</v>
      </c>
      <c r="F846" s="41">
        <v>6.2136774063110396</v>
      </c>
      <c r="G846" s="41"/>
      <c r="H846" s="41"/>
      <c r="I846" s="41"/>
      <c r="J846" s="41"/>
      <c r="K846" s="41"/>
      <c r="L846" s="41"/>
      <c r="M846" s="41"/>
      <c r="N846" s="41"/>
      <c r="O846" s="41"/>
      <c r="P846" s="41"/>
      <c r="Q846" s="41"/>
      <c r="R846" s="41"/>
      <c r="S846" s="41"/>
      <c r="T846" s="41"/>
      <c r="U846" s="41"/>
      <c r="V846" s="41"/>
      <c r="W846" s="41"/>
      <c r="X846" s="41"/>
      <c r="Y846" s="41"/>
      <c r="Z846" s="41">
        <v>8.8506002426147496</v>
      </c>
      <c r="AA846" s="41">
        <v>8.8590002059936506</v>
      </c>
      <c r="AB846" s="41">
        <v>8.8866996765136701</v>
      </c>
      <c r="AC846" s="41">
        <v>8.8767995834350604</v>
      </c>
      <c r="AD846" s="41">
        <v>8.9630002975463903</v>
      </c>
      <c r="AE846" s="41">
        <v>9.1140003204345703</v>
      </c>
      <c r="AF846" s="41">
        <v>9.4520998001098597</v>
      </c>
      <c r="AG846" s="41">
        <v>9.5642004013061506</v>
      </c>
      <c r="AH846" s="41">
        <v>9.5601997375488299</v>
      </c>
      <c r="AI846" s="41">
        <v>9.7020998001098597</v>
      </c>
      <c r="AJ846" s="41">
        <v>9.7908000945999998</v>
      </c>
      <c r="AK846" s="41">
        <v>9.7681999207000008</v>
      </c>
      <c r="AL846" s="41">
        <v>10.206399917600001</v>
      </c>
      <c r="AM846" s="41">
        <v>10.4941997528</v>
      </c>
      <c r="AN846" s="41">
        <v>10.196100234999999</v>
      </c>
      <c r="AO846" s="41">
        <v>10.3699998856</v>
      </c>
      <c r="AP846" s="41">
        <v>10.470000267</v>
      </c>
      <c r="AQ846" s="41">
        <v>10.279999733</v>
      </c>
      <c r="AR846" s="41">
        <v>8.4099998474</v>
      </c>
      <c r="AS846" s="41">
        <v>7.4899997710999999</v>
      </c>
      <c r="AT846" s="41">
        <v>7.4</v>
      </c>
      <c r="AU846" s="41">
        <v>7.2</v>
      </c>
      <c r="AV846" s="41">
        <v>6.5</v>
      </c>
      <c r="AW846" s="41">
        <v>6.3</v>
      </c>
      <c r="AX846" s="41">
        <v>6.1</v>
      </c>
      <c r="AY846" s="41">
        <v>6.4</v>
      </c>
      <c r="AZ846" s="41">
        <v>6.2</v>
      </c>
      <c r="BA846" s="41">
        <v>6.4</v>
      </c>
      <c r="BB846" s="41">
        <v>6.5</v>
      </c>
      <c r="BC846" s="41">
        <v>6.6</v>
      </c>
      <c r="BD846" s="41">
        <v>6.5</v>
      </c>
      <c r="BE846" s="41">
        <v>6.4</v>
      </c>
      <c r="BF846" s="41">
        <v>6.6</v>
      </c>
      <c r="BG846" s="41">
        <v>6.8</v>
      </c>
      <c r="BH846" s="41"/>
      <c r="BI846" s="41"/>
      <c r="BJ846" s="41"/>
      <c r="BK846" s="41"/>
      <c r="BL846" s="41"/>
      <c r="BM846" s="41"/>
      <c r="BN846" s="54">
        <f t="shared" si="15"/>
        <v>6.8</v>
      </c>
    </row>
    <row r="847" spans="2:71" x14ac:dyDescent="0.35">
      <c r="B847" s="41" t="s">
        <v>327</v>
      </c>
      <c r="C847" s="41" t="s">
        <v>13</v>
      </c>
      <c r="D847" s="41" t="s">
        <v>628</v>
      </c>
      <c r="E847" s="41" t="s">
        <v>629</v>
      </c>
      <c r="F847" s="41">
        <v>4.7114095687866202</v>
      </c>
      <c r="G847" s="41"/>
      <c r="H847" s="41"/>
      <c r="I847" s="41"/>
      <c r="J847" s="41"/>
      <c r="K847" s="41"/>
      <c r="L847" s="41"/>
      <c r="M847" s="41"/>
      <c r="N847" s="41"/>
      <c r="O847" s="41"/>
      <c r="P847" s="41">
        <v>4.3428997993469203</v>
      </c>
      <c r="Q847" s="41"/>
      <c r="R847" s="41"/>
      <c r="S847" s="41"/>
      <c r="T847" s="41"/>
      <c r="U847" s="41"/>
      <c r="V847" s="41"/>
      <c r="W847" s="41"/>
      <c r="X847" s="41"/>
      <c r="Y847" s="41"/>
      <c r="Z847" s="41">
        <v>3.3143999576568599</v>
      </c>
      <c r="AA847" s="41"/>
      <c r="AB847" s="41"/>
      <c r="AC847" s="41"/>
      <c r="AD847" s="41"/>
      <c r="AE847" s="41"/>
      <c r="AF847" s="41"/>
      <c r="AG847" s="41"/>
      <c r="AH847" s="41"/>
      <c r="AI847" s="41">
        <v>3.33949995040894</v>
      </c>
      <c r="AJ847" s="41"/>
      <c r="AK847" s="41"/>
      <c r="AL847" s="41"/>
      <c r="AM847" s="41"/>
      <c r="AN847" s="41"/>
      <c r="AO847" s="41"/>
      <c r="AP847" s="41"/>
      <c r="AQ847" s="41">
        <v>2.9000000953999998</v>
      </c>
      <c r="AR847" s="41"/>
      <c r="AS847" s="41"/>
      <c r="AT847" s="41">
        <v>2.8</v>
      </c>
      <c r="AU847" s="41">
        <v>2.8</v>
      </c>
      <c r="AV847" s="41">
        <v>2.9</v>
      </c>
      <c r="AW847" s="41">
        <v>2.8</v>
      </c>
      <c r="AX847" s="41">
        <v>2.8</v>
      </c>
      <c r="AY847" s="41">
        <v>2.8</v>
      </c>
      <c r="AZ847" s="41">
        <v>2.7</v>
      </c>
      <c r="BA847" s="41">
        <v>2.7</v>
      </c>
      <c r="BB847" s="41">
        <v>2</v>
      </c>
      <c r="BC847" s="41">
        <v>1.8</v>
      </c>
      <c r="BD847" s="41">
        <v>1.8</v>
      </c>
      <c r="BE847" s="41">
        <v>1.7</v>
      </c>
      <c r="BF847" s="41">
        <v>2.1</v>
      </c>
      <c r="BG847" s="41">
        <v>2.1</v>
      </c>
      <c r="BH847" s="41">
        <v>2</v>
      </c>
      <c r="BI847" s="41"/>
      <c r="BJ847" s="41"/>
      <c r="BK847" s="41"/>
      <c r="BL847" s="41"/>
      <c r="BM847" s="41"/>
      <c r="BN847" s="54">
        <f t="shared" si="15"/>
        <v>2</v>
      </c>
    </row>
    <row r="848" spans="2:71" x14ac:dyDescent="0.35">
      <c r="B848" s="41" t="s">
        <v>326</v>
      </c>
      <c r="C848" s="41" t="s">
        <v>14</v>
      </c>
      <c r="D848" s="41" t="s">
        <v>628</v>
      </c>
      <c r="E848" s="41" t="s">
        <v>629</v>
      </c>
      <c r="F848" s="41">
        <v>5.7256636619567898</v>
      </c>
      <c r="G848" s="41"/>
      <c r="H848" s="41"/>
      <c r="I848" s="41"/>
      <c r="J848" s="41"/>
      <c r="K848" s="41"/>
      <c r="L848" s="41"/>
      <c r="M848" s="41"/>
      <c r="N848" s="41"/>
      <c r="O848" s="41"/>
      <c r="P848" s="41">
        <v>5.0935997962951696</v>
      </c>
      <c r="Q848" s="41"/>
      <c r="R848" s="41"/>
      <c r="S848" s="41"/>
      <c r="T848" s="41"/>
      <c r="U848" s="41"/>
      <c r="V848" s="41"/>
      <c r="W848" s="41"/>
      <c r="X848" s="41"/>
      <c r="Y848" s="41"/>
      <c r="Z848" s="41">
        <v>4.4047999382018999</v>
      </c>
      <c r="AA848" s="41"/>
      <c r="AB848" s="41"/>
      <c r="AC848" s="41"/>
      <c r="AD848" s="41"/>
      <c r="AE848" s="41"/>
      <c r="AF848" s="41"/>
      <c r="AG848" s="41"/>
      <c r="AH848" s="41"/>
      <c r="AI848" s="41"/>
      <c r="AJ848" s="41">
        <v>4</v>
      </c>
      <c r="AK848" s="41"/>
      <c r="AL848" s="41"/>
      <c r="AM848" s="41">
        <v>3.8838999270999999</v>
      </c>
      <c r="AN848" s="41"/>
      <c r="AO848" s="41">
        <v>3.6</v>
      </c>
      <c r="AP848" s="41">
        <v>3.9400000571999998</v>
      </c>
      <c r="AQ848" s="41"/>
      <c r="AR848" s="41"/>
      <c r="AS848" s="41"/>
      <c r="AT848" s="41">
        <v>3.5</v>
      </c>
      <c r="AU848" s="41">
        <v>3.4</v>
      </c>
      <c r="AV848" s="41">
        <v>3.4000000953999998</v>
      </c>
      <c r="AW848" s="41">
        <v>3.4</v>
      </c>
      <c r="AX848" s="41">
        <v>3.4</v>
      </c>
      <c r="AY848" s="41"/>
      <c r="AZ848" s="41">
        <v>3.2</v>
      </c>
      <c r="BA848" s="41">
        <v>3.2</v>
      </c>
      <c r="BB848" s="41">
        <v>3.1</v>
      </c>
      <c r="BC848" s="41">
        <v>3.2</v>
      </c>
      <c r="BD848" s="41">
        <v>3.1</v>
      </c>
      <c r="BE848" s="41">
        <v>2.9</v>
      </c>
      <c r="BF848" s="41">
        <v>2.9</v>
      </c>
      <c r="BG848" s="41">
        <v>2.9</v>
      </c>
      <c r="BH848" s="41"/>
      <c r="BI848" s="41"/>
      <c r="BJ848" s="41"/>
      <c r="BK848" s="41"/>
      <c r="BL848" s="41"/>
      <c r="BM848" s="41"/>
      <c r="BN848" s="54">
        <f t="shared" si="15"/>
        <v>2.9</v>
      </c>
    </row>
    <row r="849" spans="2:66" x14ac:dyDescent="0.35">
      <c r="B849" s="41" t="s">
        <v>335</v>
      </c>
      <c r="C849" s="41" t="s">
        <v>15</v>
      </c>
      <c r="D849" s="41" t="s">
        <v>628</v>
      </c>
      <c r="E849" s="41" t="s">
        <v>629</v>
      </c>
      <c r="F849" s="41"/>
      <c r="G849" s="41"/>
      <c r="H849" s="41"/>
      <c r="I849" s="41"/>
      <c r="J849" s="41"/>
      <c r="K849" s="41"/>
      <c r="L849" s="41"/>
      <c r="M849" s="41"/>
      <c r="N849" s="41"/>
      <c r="O849" s="41"/>
      <c r="P849" s="41"/>
      <c r="Q849" s="41"/>
      <c r="R849" s="41"/>
      <c r="S849" s="41"/>
      <c r="T849" s="41"/>
      <c r="U849" s="41"/>
      <c r="V849" s="41"/>
      <c r="W849" s="41"/>
      <c r="X849" s="41"/>
      <c r="Y849" s="41"/>
      <c r="Z849" s="41">
        <v>4.8310999870300302</v>
      </c>
      <c r="AA849" s="41">
        <v>4.9228000640869096</v>
      </c>
      <c r="AB849" s="41">
        <v>4.9179000854492196</v>
      </c>
      <c r="AC849" s="41">
        <v>4.9046998023986799</v>
      </c>
      <c r="AD849" s="41">
        <v>4.8137001991271999</v>
      </c>
      <c r="AE849" s="41">
        <v>4.71810007095337</v>
      </c>
      <c r="AF849" s="41">
        <v>4.7420001029968297</v>
      </c>
      <c r="AG849" s="41">
        <v>4.5935001373290998</v>
      </c>
      <c r="AH849" s="41">
        <v>4.5781998634338397</v>
      </c>
      <c r="AI849" s="41">
        <v>4.4983000755310103</v>
      </c>
      <c r="AJ849" s="41">
        <v>4.4590997695999999</v>
      </c>
      <c r="AK849" s="41">
        <v>4.3779997825999999</v>
      </c>
      <c r="AL849" s="41"/>
      <c r="AM849" s="41"/>
      <c r="AN849" s="41"/>
      <c r="AO849" s="41"/>
      <c r="AP849" s="41"/>
      <c r="AQ849" s="41"/>
      <c r="AR849" s="41">
        <v>3.8199999332000001</v>
      </c>
      <c r="AS849" s="41">
        <v>3.7999999522999999</v>
      </c>
      <c r="AT849" s="41">
        <v>3.4</v>
      </c>
      <c r="AU849" s="41">
        <v>3.2</v>
      </c>
      <c r="AV849" s="41">
        <v>3.2</v>
      </c>
      <c r="AW849" s="41">
        <v>3.2</v>
      </c>
      <c r="AX849" s="41">
        <v>3.1</v>
      </c>
      <c r="AY849" s="41">
        <v>3</v>
      </c>
      <c r="AZ849" s="41">
        <v>3.3</v>
      </c>
      <c r="BA849" s="41">
        <v>3.4</v>
      </c>
      <c r="BB849" s="41">
        <v>3.4</v>
      </c>
      <c r="BC849" s="41">
        <v>3.3</v>
      </c>
      <c r="BD849" s="41">
        <v>3.4</v>
      </c>
      <c r="BE849" s="41">
        <v>3.5</v>
      </c>
      <c r="BF849" s="41">
        <v>3.5</v>
      </c>
      <c r="BG849" s="41">
        <v>3.5</v>
      </c>
      <c r="BH849" s="41"/>
      <c r="BI849" s="41"/>
      <c r="BJ849" s="41"/>
      <c r="BK849" s="41"/>
      <c r="BL849" s="41"/>
      <c r="BM849" s="41"/>
      <c r="BN849" s="54">
        <f t="shared" si="15"/>
        <v>3.5</v>
      </c>
    </row>
    <row r="850" spans="2:66" x14ac:dyDescent="0.35">
      <c r="B850" s="41" t="s">
        <v>330</v>
      </c>
      <c r="C850" s="41" t="s">
        <v>16</v>
      </c>
      <c r="D850" s="41" t="s">
        <v>628</v>
      </c>
      <c r="E850" s="41" t="s">
        <v>629</v>
      </c>
      <c r="F850" s="41"/>
      <c r="G850" s="41"/>
      <c r="H850" s="41"/>
      <c r="I850" s="41"/>
      <c r="J850" s="41"/>
      <c r="K850" s="41"/>
      <c r="L850" s="41"/>
      <c r="M850" s="41"/>
      <c r="N850" s="41"/>
      <c r="O850" s="41"/>
      <c r="P850" s="41"/>
      <c r="Q850" s="41"/>
      <c r="R850" s="41"/>
      <c r="S850" s="41"/>
      <c r="T850" s="41"/>
      <c r="U850" s="41"/>
      <c r="V850" s="41"/>
      <c r="W850" s="41"/>
      <c r="X850" s="41"/>
      <c r="Y850" s="41"/>
      <c r="Z850" s="41">
        <v>12.546099662780801</v>
      </c>
      <c r="AA850" s="41"/>
      <c r="AB850" s="41"/>
      <c r="AC850" s="41"/>
      <c r="AD850" s="41"/>
      <c r="AE850" s="41">
        <v>13.0712995529175</v>
      </c>
      <c r="AF850" s="41">
        <v>13.260499954223601</v>
      </c>
      <c r="AG850" s="41">
        <v>13.4562997817993</v>
      </c>
      <c r="AH850" s="41">
        <v>13.3729000091553</v>
      </c>
      <c r="AI850" s="41">
        <v>13.5795001983643</v>
      </c>
      <c r="AJ850" s="41">
        <v>13.226400375400001</v>
      </c>
      <c r="AK850" s="41">
        <v>13.204700470000001</v>
      </c>
      <c r="AL850" s="41">
        <v>12.6906995773</v>
      </c>
      <c r="AM850" s="41">
        <v>12.4762001038</v>
      </c>
      <c r="AN850" s="41">
        <v>12.463899612400001</v>
      </c>
      <c r="AO850" s="41">
        <v>12.3800001144</v>
      </c>
      <c r="AP850" s="41">
        <v>12.2700004578</v>
      </c>
      <c r="AQ850" s="41">
        <v>12.359999656699999</v>
      </c>
      <c r="AR850" s="41">
        <v>12.420000076299999</v>
      </c>
      <c r="AS850" s="41">
        <v>12.640000343300001</v>
      </c>
      <c r="AT850" s="41">
        <v>12.6</v>
      </c>
      <c r="AU850" s="41">
        <v>12.6</v>
      </c>
      <c r="AV850" s="41">
        <v>11.9</v>
      </c>
      <c r="AW850" s="41">
        <v>11.3</v>
      </c>
      <c r="AX850" s="41">
        <v>10.7</v>
      </c>
      <c r="AY850" s="41">
        <v>11.1</v>
      </c>
      <c r="AZ850" s="41">
        <v>11.2</v>
      </c>
      <c r="BA850" s="41">
        <v>11.2</v>
      </c>
      <c r="BB850" s="41">
        <v>11.1</v>
      </c>
      <c r="BC850" s="41">
        <v>11.1</v>
      </c>
      <c r="BD850" s="41">
        <v>11.5</v>
      </c>
      <c r="BE850" s="41">
        <v>11.3</v>
      </c>
      <c r="BF850" s="41">
        <v>11.3</v>
      </c>
      <c r="BG850" s="41">
        <v>11</v>
      </c>
      <c r="BH850" s="41"/>
      <c r="BI850" s="41"/>
      <c r="BJ850" s="41"/>
      <c r="BK850" s="41"/>
      <c r="BL850" s="41"/>
      <c r="BM850" s="41"/>
      <c r="BN850" s="54">
        <f t="shared" si="15"/>
        <v>11</v>
      </c>
    </row>
    <row r="851" spans="2:66" x14ac:dyDescent="0.35">
      <c r="B851" s="41" t="s">
        <v>332</v>
      </c>
      <c r="C851" s="41" t="s">
        <v>17</v>
      </c>
      <c r="D851" s="41" t="s">
        <v>628</v>
      </c>
      <c r="E851" s="41" t="s">
        <v>629</v>
      </c>
      <c r="F851" s="41">
        <v>4.6677651405334499</v>
      </c>
      <c r="G851" s="41"/>
      <c r="H851" s="41"/>
      <c r="I851" s="41"/>
      <c r="J851" s="41"/>
      <c r="K851" s="41"/>
      <c r="L851" s="41"/>
      <c r="M851" s="41"/>
      <c r="N851" s="41"/>
      <c r="O851" s="41"/>
      <c r="P851" s="41">
        <v>5.4014000892639196</v>
      </c>
      <c r="Q851" s="41"/>
      <c r="R851" s="41"/>
      <c r="S851" s="41"/>
      <c r="T851" s="41"/>
      <c r="U851" s="41"/>
      <c r="V851" s="41"/>
      <c r="W851" s="41"/>
      <c r="X851" s="41"/>
      <c r="Y851" s="41"/>
      <c r="Z851" s="41"/>
      <c r="AA851" s="41"/>
      <c r="AB851" s="41"/>
      <c r="AC851" s="41"/>
      <c r="AD851" s="41"/>
      <c r="AE851" s="41"/>
      <c r="AF851" s="41">
        <v>3.3168001174926802</v>
      </c>
      <c r="AG851" s="41"/>
      <c r="AH851" s="41"/>
      <c r="AI851" s="41"/>
      <c r="AJ851" s="41">
        <v>2.7000000477000001</v>
      </c>
      <c r="AK851" s="41"/>
      <c r="AL851" s="41"/>
      <c r="AM851" s="41">
        <v>2.7999999522999999</v>
      </c>
      <c r="AN851" s="41"/>
      <c r="AO851" s="41">
        <v>2.5</v>
      </c>
      <c r="AP851" s="41">
        <v>2.1300001144</v>
      </c>
      <c r="AQ851" s="41"/>
      <c r="AR851" s="41"/>
      <c r="AS851" s="41"/>
      <c r="AT851" s="41">
        <v>1.9</v>
      </c>
      <c r="AU851" s="41"/>
      <c r="AV851" s="41"/>
      <c r="AW851" s="41">
        <v>1.2999999523000001</v>
      </c>
      <c r="AX851" s="41">
        <v>1.3</v>
      </c>
      <c r="AY851" s="41">
        <v>1.2</v>
      </c>
      <c r="AZ851" s="41">
        <v>1.3</v>
      </c>
      <c r="BA851" s="41">
        <v>1.2</v>
      </c>
      <c r="BB851" s="41">
        <v>1.2</v>
      </c>
      <c r="BC851" s="41">
        <v>1.1000000000000001</v>
      </c>
      <c r="BD851" s="41">
        <v>1.2</v>
      </c>
      <c r="BE851" s="41">
        <v>1.1000000000000001</v>
      </c>
      <c r="BF851" s="41">
        <v>1.1000000000000001</v>
      </c>
      <c r="BG851" s="41">
        <v>0.9</v>
      </c>
      <c r="BH851" s="41">
        <v>1.3</v>
      </c>
      <c r="BI851" s="41"/>
      <c r="BJ851" s="41"/>
      <c r="BK851" s="41"/>
      <c r="BL851" s="41"/>
      <c r="BM851" s="41"/>
      <c r="BN851" s="54">
        <f t="shared" si="15"/>
        <v>1.3</v>
      </c>
    </row>
    <row r="852" spans="2:66" x14ac:dyDescent="0.35">
      <c r="B852" s="41" t="s">
        <v>333</v>
      </c>
      <c r="C852" s="41" t="s">
        <v>334</v>
      </c>
      <c r="D852" s="41" t="s">
        <v>628</v>
      </c>
      <c r="E852" s="41" t="s">
        <v>629</v>
      </c>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v>6.3000001906999996</v>
      </c>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c r="BN852" s="54">
        <f t="shared" si="15"/>
        <v>6.3000001906999996</v>
      </c>
    </row>
    <row r="853" spans="2:66" x14ac:dyDescent="0.35">
      <c r="B853" s="41" t="s">
        <v>219</v>
      </c>
      <c r="C853" s="41" t="s">
        <v>18</v>
      </c>
      <c r="D853" s="41" t="s">
        <v>628</v>
      </c>
      <c r="E853" s="41" t="s">
        <v>629</v>
      </c>
      <c r="F853" s="41">
        <v>1.84541928768158</v>
      </c>
      <c r="G853" s="41"/>
      <c r="H853" s="41"/>
      <c r="I853" s="41"/>
      <c r="J853" s="41"/>
      <c r="K853" s="41"/>
      <c r="L853" s="41"/>
      <c r="M853" s="41"/>
      <c r="N853" s="41"/>
      <c r="O853" s="41"/>
      <c r="P853" s="41">
        <v>2.3217000961303702</v>
      </c>
      <c r="Q853" s="41"/>
      <c r="R853" s="41"/>
      <c r="S853" s="41"/>
      <c r="T853" s="41"/>
      <c r="U853" s="41">
        <v>2.0587999820709202</v>
      </c>
      <c r="V853" s="41"/>
      <c r="W853" s="41"/>
      <c r="X853" s="41"/>
      <c r="Y853" s="41"/>
      <c r="Z853" s="41"/>
      <c r="AA853" s="41"/>
      <c r="AB853" s="41"/>
      <c r="AC853" s="41"/>
      <c r="AD853" s="41"/>
      <c r="AE853" s="41"/>
      <c r="AF853" s="41"/>
      <c r="AG853" s="41"/>
      <c r="AH853" s="41"/>
      <c r="AI853" s="41"/>
      <c r="AJ853" s="41">
        <v>1.317800045</v>
      </c>
      <c r="AK853" s="41">
        <v>1.4110000134</v>
      </c>
      <c r="AL853" s="41"/>
      <c r="AM853" s="41">
        <v>1.3999999761999999</v>
      </c>
      <c r="AN853" s="41"/>
      <c r="AO853" s="41"/>
      <c r="AP853" s="41">
        <v>1.6699999570999999</v>
      </c>
      <c r="AQ853" s="41"/>
      <c r="AR853" s="41"/>
      <c r="AS853" s="41"/>
      <c r="AT853" s="41"/>
      <c r="AU853" s="41"/>
      <c r="AV853" s="41"/>
      <c r="AW853" s="41">
        <v>1</v>
      </c>
      <c r="AX853" s="41">
        <v>1</v>
      </c>
      <c r="AY853" s="41"/>
      <c r="AZ853" s="41">
        <v>1.1000000000000001</v>
      </c>
      <c r="BA853" s="41">
        <v>1.1000000000000001</v>
      </c>
      <c r="BB853" s="41">
        <v>1.1000000000000001</v>
      </c>
      <c r="BC853" s="41">
        <v>1.1000000000000001</v>
      </c>
      <c r="BD853" s="41"/>
      <c r="BE853" s="41">
        <v>1.1000000000000001</v>
      </c>
      <c r="BF853" s="41">
        <v>1.1000000000000001</v>
      </c>
      <c r="BG853" s="41">
        <v>1.1000000000000001</v>
      </c>
      <c r="BH853" s="41">
        <v>1.1000000000000001</v>
      </c>
      <c r="BI853" s="41"/>
      <c r="BJ853" s="41"/>
      <c r="BK853" s="41"/>
      <c r="BL853" s="41"/>
      <c r="BM853" s="41"/>
      <c r="BN853" s="54">
        <f t="shared" si="15"/>
        <v>1.1000000000000001</v>
      </c>
    </row>
    <row r="854" spans="2:66" x14ac:dyDescent="0.35">
      <c r="B854" s="41" t="s">
        <v>336</v>
      </c>
      <c r="C854" s="41" t="s">
        <v>19</v>
      </c>
      <c r="D854" s="41" t="s">
        <v>628</v>
      </c>
      <c r="E854" s="41" t="s">
        <v>629</v>
      </c>
      <c r="F854" s="41">
        <v>3.2017953395843501</v>
      </c>
      <c r="G854" s="41"/>
      <c r="H854" s="41"/>
      <c r="I854" s="41"/>
      <c r="J854" s="41"/>
      <c r="K854" s="41"/>
      <c r="L854" s="41"/>
      <c r="M854" s="41"/>
      <c r="N854" s="41"/>
      <c r="O854" s="41"/>
      <c r="P854" s="41">
        <v>3.6918001174926802</v>
      </c>
      <c r="Q854" s="41"/>
      <c r="R854" s="41"/>
      <c r="S854" s="41"/>
      <c r="T854" s="41"/>
      <c r="U854" s="41">
        <v>4.9951000213623002</v>
      </c>
      <c r="V854" s="41"/>
      <c r="W854" s="41"/>
      <c r="X854" s="41"/>
      <c r="Y854" s="41"/>
      <c r="Z854" s="41"/>
      <c r="AA854" s="41"/>
      <c r="AB854" s="41"/>
      <c r="AC854" s="41"/>
      <c r="AD854" s="41"/>
      <c r="AE854" s="41"/>
      <c r="AF854" s="41"/>
      <c r="AG854" s="41">
        <v>3.5603001117706299</v>
      </c>
      <c r="AH854" s="41"/>
      <c r="AI854" s="41"/>
      <c r="AJ854" s="41">
        <v>3.3452999592000001</v>
      </c>
      <c r="AK854" s="41"/>
      <c r="AL854" s="41"/>
      <c r="AM854" s="41">
        <v>3.5</v>
      </c>
      <c r="AN854" s="41"/>
      <c r="AO854" s="41"/>
      <c r="AP854" s="41">
        <v>3.1099998951000001</v>
      </c>
      <c r="AQ854" s="41"/>
      <c r="AR854" s="41"/>
      <c r="AS854" s="41"/>
      <c r="AT854" s="41"/>
      <c r="AU854" s="41"/>
      <c r="AV854" s="41">
        <v>2.6</v>
      </c>
      <c r="AW854" s="41"/>
      <c r="AX854" s="41"/>
      <c r="AY854" s="41">
        <v>2.4</v>
      </c>
      <c r="AZ854" s="41"/>
      <c r="BA854" s="41"/>
      <c r="BB854" s="41"/>
      <c r="BC854" s="41">
        <v>2.4</v>
      </c>
      <c r="BD854" s="41">
        <v>2.4</v>
      </c>
      <c r="BE854" s="41">
        <v>2.2999999999999998</v>
      </c>
      <c r="BF854" s="41">
        <v>2.2999999999999998</v>
      </c>
      <c r="BG854" s="41">
        <v>2.2999999999999998</v>
      </c>
      <c r="BH854" s="41">
        <v>2.2000000000000002</v>
      </c>
      <c r="BI854" s="41"/>
      <c r="BJ854" s="41"/>
      <c r="BK854" s="41"/>
      <c r="BL854" s="41"/>
      <c r="BM854" s="41"/>
      <c r="BN854" s="54">
        <f t="shared" si="15"/>
        <v>2.2000000000000002</v>
      </c>
    </row>
    <row r="855" spans="2:66" x14ac:dyDescent="0.35">
      <c r="B855" s="41" t="s">
        <v>328</v>
      </c>
      <c r="C855" s="41" t="s">
        <v>329</v>
      </c>
      <c r="D855" s="41" t="s">
        <v>628</v>
      </c>
      <c r="E855" s="41" t="s">
        <v>629</v>
      </c>
      <c r="F855" s="41">
        <v>5.9297790527343803</v>
      </c>
      <c r="G855" s="41"/>
      <c r="H855" s="41"/>
      <c r="I855" s="41"/>
      <c r="J855" s="41"/>
      <c r="K855" s="41"/>
      <c r="L855" s="41"/>
      <c r="M855" s="41"/>
      <c r="N855" s="41"/>
      <c r="O855" s="41"/>
      <c r="P855" s="41">
        <v>10.221599578857401</v>
      </c>
      <c r="Q855" s="41"/>
      <c r="R855" s="41"/>
      <c r="S855" s="41"/>
      <c r="T855" s="41"/>
      <c r="U855" s="41"/>
      <c r="V855" s="41"/>
      <c r="W855" s="41"/>
      <c r="X855" s="41"/>
      <c r="Y855" s="41"/>
      <c r="Z855" s="41">
        <v>8.5347003936767596</v>
      </c>
      <c r="AA855" s="41"/>
      <c r="AB855" s="41"/>
      <c r="AC855" s="41"/>
      <c r="AD855" s="41"/>
      <c r="AE855" s="41"/>
      <c r="AF855" s="41"/>
      <c r="AG855" s="41"/>
      <c r="AH855" s="41"/>
      <c r="AI855" s="41"/>
      <c r="AJ855" s="41">
        <v>8.3999996185000008</v>
      </c>
      <c r="AK855" s="41"/>
      <c r="AL855" s="41"/>
      <c r="AM855" s="41">
        <v>1.2676000595000001</v>
      </c>
      <c r="AN855" s="41"/>
      <c r="AO855" s="41">
        <v>7.4</v>
      </c>
      <c r="AP855" s="41">
        <v>7.5599999428000002</v>
      </c>
      <c r="AQ855" s="41"/>
      <c r="AR855" s="41"/>
      <c r="AS855" s="41"/>
      <c r="AT855" s="41"/>
      <c r="AU855" s="41"/>
      <c r="AV855" s="41"/>
      <c r="AW855" s="41">
        <v>7.3</v>
      </c>
      <c r="AX855" s="41">
        <v>7.3</v>
      </c>
      <c r="AY855" s="41">
        <v>6.7</v>
      </c>
      <c r="AZ855" s="41">
        <v>6.6</v>
      </c>
      <c r="BA855" s="41"/>
      <c r="BB855" s="41">
        <v>7.6</v>
      </c>
      <c r="BC855" s="41">
        <v>6.8</v>
      </c>
      <c r="BD855" s="41">
        <v>6.6</v>
      </c>
      <c r="BE855" s="41"/>
      <c r="BF855" s="41">
        <v>6.2</v>
      </c>
      <c r="BG855" s="41">
        <v>6.2</v>
      </c>
      <c r="BH855" s="41">
        <v>5.8</v>
      </c>
      <c r="BI855" s="41"/>
      <c r="BJ855" s="41"/>
      <c r="BK855" s="41"/>
      <c r="BL855" s="41"/>
      <c r="BM855" s="41"/>
      <c r="BN855" s="54">
        <f t="shared" si="15"/>
        <v>5.8</v>
      </c>
    </row>
    <row r="856" spans="2:66" x14ac:dyDescent="0.35">
      <c r="B856" s="41" t="s">
        <v>339</v>
      </c>
      <c r="C856" s="41" t="s">
        <v>20</v>
      </c>
      <c r="D856" s="41" t="s">
        <v>628</v>
      </c>
      <c r="E856" s="41" t="s">
        <v>629</v>
      </c>
      <c r="F856" s="41">
        <v>4.9024391174316397</v>
      </c>
      <c r="G856" s="41"/>
      <c r="H856" s="41"/>
      <c r="I856" s="41"/>
      <c r="J856" s="41"/>
      <c r="K856" s="41"/>
      <c r="L856" s="41"/>
      <c r="M856" s="41"/>
      <c r="N856" s="41"/>
      <c r="O856" s="41"/>
      <c r="P856" s="41">
        <v>3.5076999664306601</v>
      </c>
      <c r="Q856" s="41"/>
      <c r="R856" s="41"/>
      <c r="S856" s="41"/>
      <c r="T856" s="41"/>
      <c r="U856" s="41"/>
      <c r="V856" s="41"/>
      <c r="W856" s="41"/>
      <c r="X856" s="41"/>
      <c r="Y856" s="41"/>
      <c r="Z856" s="41"/>
      <c r="AA856" s="41">
        <v>2.9358999729156499</v>
      </c>
      <c r="AB856" s="41">
        <v>2.9939999580383301</v>
      </c>
      <c r="AC856" s="41"/>
      <c r="AD856" s="41"/>
      <c r="AE856" s="41"/>
      <c r="AF856" s="41"/>
      <c r="AG856" s="41"/>
      <c r="AH856" s="41"/>
      <c r="AI856" s="41"/>
      <c r="AJ856" s="41"/>
      <c r="AK856" s="41"/>
      <c r="AL856" s="41"/>
      <c r="AM856" s="41"/>
      <c r="AN856" s="41"/>
      <c r="AO856" s="41"/>
      <c r="AP856" s="41"/>
      <c r="AQ856" s="41"/>
      <c r="AR856" s="41"/>
      <c r="AS856" s="41"/>
      <c r="AT856" s="41">
        <v>2.5999999046000002</v>
      </c>
      <c r="AU856" s="41"/>
      <c r="AV856" s="41">
        <v>2.7</v>
      </c>
      <c r="AW856" s="41"/>
      <c r="AX856" s="41">
        <v>2.6</v>
      </c>
      <c r="AY856" s="41">
        <v>3</v>
      </c>
      <c r="AZ856" s="41">
        <v>2.79</v>
      </c>
      <c r="BA856" s="41"/>
      <c r="BB856" s="41">
        <v>2.7</v>
      </c>
      <c r="BC856" s="41">
        <v>2.6</v>
      </c>
      <c r="BD856" s="41"/>
      <c r="BE856" s="41">
        <v>2.79</v>
      </c>
      <c r="BF856" s="41">
        <v>2.7</v>
      </c>
      <c r="BG856" s="41"/>
      <c r="BH856" s="41"/>
      <c r="BI856" s="41">
        <v>2.7</v>
      </c>
      <c r="BJ856" s="41"/>
      <c r="BK856" s="41"/>
      <c r="BL856" s="41"/>
      <c r="BM856" s="41"/>
      <c r="BN856" s="54">
        <f t="shared" si="15"/>
        <v>2.7</v>
      </c>
    </row>
    <row r="857" spans="2:66" x14ac:dyDescent="0.35">
      <c r="B857" s="41" t="s">
        <v>241</v>
      </c>
      <c r="C857" s="41" t="s">
        <v>21</v>
      </c>
      <c r="D857" s="41" t="s">
        <v>628</v>
      </c>
      <c r="E857" s="41" t="s">
        <v>629</v>
      </c>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v>1.70589995384216</v>
      </c>
      <c r="AG857" s="41"/>
      <c r="AH857" s="41"/>
      <c r="AI857" s="41"/>
      <c r="AJ857" s="41">
        <v>0.84670001269999995</v>
      </c>
      <c r="AK857" s="41"/>
      <c r="AL857" s="41"/>
      <c r="AM857" s="41"/>
      <c r="AN857" s="41">
        <v>1.6147999763000001</v>
      </c>
      <c r="AO857" s="41"/>
      <c r="AP857" s="41"/>
      <c r="AQ857" s="41"/>
      <c r="AR857" s="41"/>
      <c r="AS857" s="41">
        <v>1.6000000238000001</v>
      </c>
      <c r="AT857" s="41"/>
      <c r="AU857" s="41">
        <v>1.6</v>
      </c>
      <c r="AV857" s="41">
        <v>1.6</v>
      </c>
      <c r="AW857" s="41"/>
      <c r="AX857" s="41"/>
      <c r="AY857" s="41"/>
      <c r="AZ857" s="41">
        <v>1.7</v>
      </c>
      <c r="BA857" s="41"/>
      <c r="BB857" s="41"/>
      <c r="BC857" s="41"/>
      <c r="BD857" s="41"/>
      <c r="BE857" s="41">
        <v>1.8</v>
      </c>
      <c r="BF857" s="41">
        <v>1.7</v>
      </c>
      <c r="BG857" s="41"/>
      <c r="BH857" s="41"/>
      <c r="BI857" s="41"/>
      <c r="BJ857" s="41"/>
      <c r="BK857" s="41"/>
      <c r="BL857" s="41"/>
      <c r="BM857" s="41"/>
      <c r="BN857" s="54">
        <f t="shared" si="15"/>
        <v>1.7</v>
      </c>
    </row>
    <row r="858" spans="2:66" x14ac:dyDescent="0.35">
      <c r="B858" s="41" t="s">
        <v>184</v>
      </c>
      <c r="C858" s="41" t="s">
        <v>22</v>
      </c>
      <c r="D858" s="41" t="s">
        <v>628</v>
      </c>
      <c r="E858" s="41" t="s">
        <v>629</v>
      </c>
      <c r="F858" s="41">
        <v>2.1229166984558101</v>
      </c>
      <c r="G858" s="41"/>
      <c r="H858" s="41"/>
      <c r="I858" s="41"/>
      <c r="J858" s="41"/>
      <c r="K858" s="41"/>
      <c r="L858" s="41"/>
      <c r="M858" s="41"/>
      <c r="N858" s="41"/>
      <c r="O858" s="41"/>
      <c r="P858" s="41"/>
      <c r="Q858" s="41"/>
      <c r="R858" s="41"/>
      <c r="S858" s="41"/>
      <c r="T858" s="41"/>
      <c r="U858" s="41"/>
      <c r="V858" s="41"/>
      <c r="W858" s="41"/>
      <c r="X858" s="41"/>
      <c r="Y858" s="41"/>
      <c r="Z858" s="41">
        <v>2.3631000518798801</v>
      </c>
      <c r="AA858" s="41"/>
      <c r="AB858" s="41"/>
      <c r="AC858" s="41"/>
      <c r="AD858" s="41"/>
      <c r="AE858" s="41"/>
      <c r="AF858" s="41"/>
      <c r="AG858" s="41"/>
      <c r="AH858" s="41"/>
      <c r="AI858" s="41"/>
      <c r="AJ858" s="41">
        <v>1.5751999617000001</v>
      </c>
      <c r="AK858" s="41"/>
      <c r="AL858" s="41"/>
      <c r="AM858" s="41"/>
      <c r="AN858" s="41"/>
      <c r="AO858" s="41"/>
      <c r="AP858" s="41"/>
      <c r="AQ858" s="41"/>
      <c r="AR858" s="41"/>
      <c r="AS858" s="41"/>
      <c r="AT858" s="41"/>
      <c r="AU858" s="41"/>
      <c r="AV858" s="41"/>
      <c r="AW858" s="41">
        <v>2.2000000000000002</v>
      </c>
      <c r="AX858" s="41"/>
      <c r="AY858" s="41"/>
      <c r="AZ858" s="41"/>
      <c r="BA858" s="41">
        <v>2.4</v>
      </c>
      <c r="BB858" s="41">
        <v>1.8</v>
      </c>
      <c r="BC858" s="41"/>
      <c r="BD858" s="41">
        <v>1.8</v>
      </c>
      <c r="BE858" s="41"/>
      <c r="BF858" s="41"/>
      <c r="BG858" s="41"/>
      <c r="BH858" s="41"/>
      <c r="BI858" s="41"/>
      <c r="BJ858" s="41"/>
      <c r="BK858" s="41"/>
      <c r="BL858" s="41"/>
      <c r="BM858" s="41"/>
      <c r="BN858" s="54">
        <f t="shared" si="15"/>
        <v>1.8</v>
      </c>
    </row>
    <row r="859" spans="2:66" x14ac:dyDescent="0.35">
      <c r="B859" s="41" t="s">
        <v>188</v>
      </c>
      <c r="C859" s="41" t="s">
        <v>173</v>
      </c>
      <c r="D859" s="41" t="s">
        <v>628</v>
      </c>
      <c r="E859" s="41" t="s">
        <v>629</v>
      </c>
      <c r="F859" s="41">
        <v>1.2314211130142201</v>
      </c>
      <c r="G859" s="41"/>
      <c r="H859" s="41"/>
      <c r="I859" s="41"/>
      <c r="J859" s="41"/>
      <c r="K859" s="41"/>
      <c r="L859" s="41"/>
      <c r="M859" s="41"/>
      <c r="N859" s="41"/>
      <c r="O859" s="41"/>
      <c r="P859" s="41">
        <v>1.87559998035431</v>
      </c>
      <c r="Q859" s="41"/>
      <c r="R859" s="41"/>
      <c r="S859" s="41"/>
      <c r="T859" s="41"/>
      <c r="U859" s="41"/>
      <c r="V859" s="41"/>
      <c r="W859" s="41"/>
      <c r="X859" s="41"/>
      <c r="Y859" s="41"/>
      <c r="Z859" s="41">
        <v>1.55859994888306</v>
      </c>
      <c r="AA859" s="41"/>
      <c r="AB859" s="41"/>
      <c r="AC859" s="41"/>
      <c r="AD859" s="41"/>
      <c r="AE859" s="41"/>
      <c r="AF859" s="41"/>
      <c r="AG859" s="41"/>
      <c r="AH859" s="41"/>
      <c r="AI859" s="41"/>
      <c r="AJ859" s="41">
        <v>0.87319999930000003</v>
      </c>
      <c r="AK859" s="41"/>
      <c r="AL859" s="41"/>
      <c r="AM859" s="41"/>
      <c r="AN859" s="41"/>
      <c r="AO859" s="41"/>
      <c r="AP859" s="41"/>
      <c r="AQ859" s="41"/>
      <c r="AR859" s="41"/>
      <c r="AS859" s="41"/>
      <c r="AT859" s="41"/>
      <c r="AU859" s="41"/>
      <c r="AV859" s="41"/>
      <c r="AW859" s="41"/>
      <c r="AX859" s="41"/>
      <c r="AY859" s="41"/>
      <c r="AZ859" s="41">
        <v>1.2</v>
      </c>
      <c r="BA859" s="41"/>
      <c r="BB859" s="41"/>
      <c r="BC859" s="41"/>
      <c r="BD859" s="41"/>
      <c r="BE859" s="41">
        <v>1</v>
      </c>
      <c r="BF859" s="41"/>
      <c r="BG859" s="41"/>
      <c r="BH859" s="41"/>
      <c r="BI859" s="41"/>
      <c r="BJ859" s="41"/>
      <c r="BK859" s="41"/>
      <c r="BL859" s="41"/>
      <c r="BM859" s="41"/>
      <c r="BN859" s="54">
        <f t="shared" si="15"/>
        <v>1</v>
      </c>
    </row>
    <row r="860" spans="2:66" x14ac:dyDescent="0.35">
      <c r="B860" s="41" t="s">
        <v>342</v>
      </c>
      <c r="C860" s="41" t="s">
        <v>159</v>
      </c>
      <c r="D860" s="41" t="s">
        <v>628</v>
      </c>
      <c r="E860" s="41" t="s">
        <v>629</v>
      </c>
      <c r="F860" s="41">
        <v>6.1999998092651403</v>
      </c>
      <c r="G860" s="41"/>
      <c r="H860" s="41"/>
      <c r="I860" s="41"/>
      <c r="J860" s="41"/>
      <c r="K860" s="41"/>
      <c r="L860" s="41"/>
      <c r="M860" s="41"/>
      <c r="N860" s="41"/>
      <c r="O860" s="41"/>
      <c r="P860" s="41">
        <v>7</v>
      </c>
      <c r="Q860" s="41"/>
      <c r="R860" s="41"/>
      <c r="S860" s="41"/>
      <c r="T860" s="41"/>
      <c r="U860" s="41"/>
      <c r="V860" s="41">
        <v>6.9000000953674299</v>
      </c>
      <c r="W860" s="41">
        <v>6.9000000953674299</v>
      </c>
      <c r="X860" s="41">
        <v>6.9000000953674299</v>
      </c>
      <c r="Y860" s="41">
        <v>6.8000001907348597</v>
      </c>
      <c r="Z860" s="41">
        <v>6.8000001907348597</v>
      </c>
      <c r="AA860" s="41">
        <v>6.9000000953674299</v>
      </c>
      <c r="AB860" s="41">
        <v>6.8000001907348597</v>
      </c>
      <c r="AC860" s="41">
        <v>6.8000001907348597</v>
      </c>
      <c r="AD860" s="41">
        <v>6.8000001907348597</v>
      </c>
      <c r="AE860" s="41">
        <v>6.8000001907348597</v>
      </c>
      <c r="AF860" s="41">
        <v>6.6999998092651403</v>
      </c>
      <c r="AG860" s="41">
        <v>6.5999999046325701</v>
      </c>
      <c r="AH860" s="41">
        <v>6.5</v>
      </c>
      <c r="AI860" s="41">
        <v>6.3000001907348597</v>
      </c>
      <c r="AJ860" s="41">
        <v>6</v>
      </c>
      <c r="AK860" s="41">
        <v>5.8000001906999996</v>
      </c>
      <c r="AL860" s="41">
        <v>5.5</v>
      </c>
      <c r="AM860" s="41">
        <v>5.4000000954000003</v>
      </c>
      <c r="AN860" s="41"/>
      <c r="AO860" s="41">
        <v>5</v>
      </c>
      <c r="AP860" s="41">
        <v>4.5999999045999997</v>
      </c>
      <c r="AQ860" s="41">
        <v>4.4000000954000003</v>
      </c>
      <c r="AR860" s="41">
        <v>4.1999998093000004</v>
      </c>
      <c r="AS860" s="41">
        <v>3.9000000953999998</v>
      </c>
      <c r="AT860" s="41">
        <v>3.4</v>
      </c>
      <c r="AU860" s="41">
        <v>3.7000000477000001</v>
      </c>
      <c r="AV860" s="41">
        <v>3.7000000477000001</v>
      </c>
      <c r="AW860" s="41">
        <v>3.6</v>
      </c>
      <c r="AX860" s="41"/>
      <c r="AY860" s="41">
        <v>3.4</v>
      </c>
      <c r="AZ860" s="41">
        <v>3.4</v>
      </c>
      <c r="BA860" s="41"/>
      <c r="BB860" s="41">
        <v>3.4</v>
      </c>
      <c r="BC860" s="41">
        <v>3.2</v>
      </c>
      <c r="BD860" s="41">
        <v>2.7</v>
      </c>
      <c r="BE860" s="41">
        <v>2.7</v>
      </c>
      <c r="BF860" s="41">
        <v>2.7</v>
      </c>
      <c r="BG860" s="41"/>
      <c r="BH860" s="41"/>
      <c r="BI860" s="41"/>
      <c r="BJ860" s="41"/>
      <c r="BK860" s="41"/>
      <c r="BL860" s="41"/>
      <c r="BM860" s="41"/>
      <c r="BN860" s="54">
        <f t="shared" si="15"/>
        <v>2.7</v>
      </c>
    </row>
    <row r="861" spans="2:66" x14ac:dyDescent="0.35">
      <c r="B861" s="41" t="s">
        <v>347</v>
      </c>
      <c r="C861" s="41" t="s">
        <v>348</v>
      </c>
      <c r="D861" s="41" t="s">
        <v>628</v>
      </c>
      <c r="E861" s="41" t="s">
        <v>629</v>
      </c>
      <c r="F861" s="41"/>
      <c r="G861" s="41"/>
      <c r="H861" s="41"/>
      <c r="I861" s="41"/>
      <c r="J861" s="41"/>
      <c r="K861" s="41"/>
      <c r="L861" s="41"/>
      <c r="M861" s="41"/>
      <c r="N861" s="41"/>
      <c r="O861" s="41"/>
      <c r="P861" s="41"/>
      <c r="Q861" s="41"/>
      <c r="R861" s="41"/>
      <c r="S861" s="41"/>
      <c r="T861" s="41"/>
      <c r="U861" s="41"/>
      <c r="V861" s="41"/>
      <c r="W861" s="41"/>
      <c r="X861" s="41"/>
      <c r="Y861" s="41"/>
      <c r="Z861" s="41">
        <v>8.0305355221948531</v>
      </c>
      <c r="AA861" s="41"/>
      <c r="AB861" s="41"/>
      <c r="AC861" s="41"/>
      <c r="AD861" s="41"/>
      <c r="AE861" s="41">
        <v>8.2006632015622518</v>
      </c>
      <c r="AF861" s="41"/>
      <c r="AG861" s="41"/>
      <c r="AH861" s="41"/>
      <c r="AI861" s="41"/>
      <c r="AJ861" s="41">
        <v>8.1198405040173611</v>
      </c>
      <c r="AK861" s="41">
        <v>8.0388287647443555</v>
      </c>
      <c r="AL861" s="41">
        <v>7.6722857567347456</v>
      </c>
      <c r="AM861" s="41">
        <v>7.6428860583175275</v>
      </c>
      <c r="AN861" s="41">
        <v>7.6306715967644534</v>
      </c>
      <c r="AO861" s="41">
        <v>7.2386886995594271</v>
      </c>
      <c r="AP861" s="41">
        <v>7.268246556785571</v>
      </c>
      <c r="AQ861" s="41">
        <v>7.023065449365304</v>
      </c>
      <c r="AR861" s="41">
        <v>6.7973288388091033</v>
      </c>
      <c r="AS861" s="41">
        <v>6.6165306786963418</v>
      </c>
      <c r="AT861" s="41">
        <v>6.6976154731317905</v>
      </c>
      <c r="AU861" s="41"/>
      <c r="AV861" s="41">
        <v>6.751321661667137</v>
      </c>
      <c r="AW861" s="41">
        <v>6.8828985796437694</v>
      </c>
      <c r="AX861" s="41">
        <v>6.823980197968404</v>
      </c>
      <c r="AY861" s="41">
        <v>6.7752422737836167</v>
      </c>
      <c r="AZ861" s="41">
        <v>6.7199624267109703</v>
      </c>
      <c r="BA861" s="41">
        <v>6.5774607504351827</v>
      </c>
      <c r="BB861" s="41">
        <v>6.6377943260312762</v>
      </c>
      <c r="BC861" s="41">
        <v>6.6334882985978831</v>
      </c>
      <c r="BD861" s="41">
        <v>6.4870682504524178</v>
      </c>
      <c r="BE861" s="41">
        <v>6.4207815070008127</v>
      </c>
      <c r="BF861" s="41">
        <v>6.4230466048124288</v>
      </c>
      <c r="BG861" s="41">
        <v>6.4214466607823937</v>
      </c>
      <c r="BH861" s="41"/>
      <c r="BI861" s="41"/>
      <c r="BJ861" s="41"/>
      <c r="BK861" s="41"/>
      <c r="BL861" s="41"/>
      <c r="BM861" s="41"/>
      <c r="BN861" s="54">
        <f t="shared" si="15"/>
        <v>6.4214466607823937</v>
      </c>
    </row>
    <row r="862" spans="2:66" x14ac:dyDescent="0.35">
      <c r="B862" s="41" t="s">
        <v>544</v>
      </c>
      <c r="C862" s="41" t="s">
        <v>23</v>
      </c>
      <c r="D862" s="41" t="s">
        <v>628</v>
      </c>
      <c r="E862" s="41" t="s">
        <v>629</v>
      </c>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v>19.899999618500001</v>
      </c>
      <c r="AL862" s="41"/>
      <c r="AM862" s="41"/>
      <c r="AN862" s="41"/>
      <c r="AO862" s="41"/>
      <c r="AP862" s="41"/>
      <c r="AQ862" s="41"/>
      <c r="AR862" s="41"/>
      <c r="AS862" s="41"/>
      <c r="AT862" s="41">
        <v>6.3</v>
      </c>
      <c r="AU862" s="41">
        <v>6</v>
      </c>
      <c r="AV862" s="41">
        <v>5.9</v>
      </c>
      <c r="AW862" s="41">
        <v>5.8</v>
      </c>
      <c r="AX862" s="41">
        <v>5.7</v>
      </c>
      <c r="AY862" s="41">
        <v>5.5</v>
      </c>
      <c r="AZ862" s="41">
        <v>5.4</v>
      </c>
      <c r="BA862" s="41">
        <v>5.4</v>
      </c>
      <c r="BB862" s="41">
        <v>5.3</v>
      </c>
      <c r="BC862" s="41">
        <v>5.0999999999999996</v>
      </c>
      <c r="BD862" s="41">
        <v>5</v>
      </c>
      <c r="BE862" s="41">
        <v>4.9000000000000004</v>
      </c>
      <c r="BF862" s="41">
        <v>4.8</v>
      </c>
      <c r="BG862" s="41">
        <v>4.7</v>
      </c>
      <c r="BH862" s="41"/>
      <c r="BI862" s="41"/>
      <c r="BJ862" s="41"/>
      <c r="BK862" s="41"/>
      <c r="BL862" s="41"/>
      <c r="BM862" s="41"/>
      <c r="BN862" s="54">
        <f t="shared" si="15"/>
        <v>4.7</v>
      </c>
    </row>
    <row r="863" spans="2:66" x14ac:dyDescent="0.35">
      <c r="B863" s="41" t="s">
        <v>349</v>
      </c>
      <c r="C863" s="41" t="s">
        <v>350</v>
      </c>
      <c r="D863" s="41" t="s">
        <v>628</v>
      </c>
      <c r="E863" s="41" t="s">
        <v>629</v>
      </c>
      <c r="F863" s="41">
        <v>11.153845787048301</v>
      </c>
      <c r="G863" s="41"/>
      <c r="H863" s="41"/>
      <c r="I863" s="41"/>
      <c r="J863" s="41"/>
      <c r="K863" s="41"/>
      <c r="L863" s="41"/>
      <c r="M863" s="41"/>
      <c r="N863" s="41"/>
      <c r="O863" s="41"/>
      <c r="P863" s="41">
        <v>11.2250003814697</v>
      </c>
      <c r="Q863" s="41"/>
      <c r="R863" s="41"/>
      <c r="S863" s="41"/>
      <c r="T863" s="41"/>
      <c r="U863" s="41"/>
      <c r="V863" s="41"/>
      <c r="W863" s="41"/>
      <c r="X863" s="41"/>
      <c r="Y863" s="41"/>
      <c r="Z863" s="41">
        <v>10.6512002944946</v>
      </c>
      <c r="AA863" s="41">
        <v>10.595100402831999</v>
      </c>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54">
        <f t="shared" si="15"/>
        <v>10.595100402831999</v>
      </c>
    </row>
    <row r="864" spans="2:66" x14ac:dyDescent="0.35">
      <c r="B864" s="41" t="s">
        <v>220</v>
      </c>
      <c r="C864" s="41" t="s">
        <v>24</v>
      </c>
      <c r="D864" s="41" t="s">
        <v>628</v>
      </c>
      <c r="E864" s="41" t="s">
        <v>629</v>
      </c>
      <c r="F864" s="41">
        <v>3.6742901802063002</v>
      </c>
      <c r="G864" s="41"/>
      <c r="H864" s="41"/>
      <c r="I864" s="41"/>
      <c r="J864" s="41"/>
      <c r="K864" s="41"/>
      <c r="L864" s="41"/>
      <c r="M864" s="41"/>
      <c r="N864" s="41"/>
      <c r="O864" s="41"/>
      <c r="P864" s="41">
        <v>3.77640008926392</v>
      </c>
      <c r="Q864" s="41"/>
      <c r="R864" s="41"/>
      <c r="S864" s="41"/>
      <c r="T864" s="41"/>
      <c r="U864" s="41"/>
      <c r="V864" s="41"/>
      <c r="W864" s="41"/>
      <c r="X864" s="41"/>
      <c r="Y864" s="41"/>
      <c r="Z864" s="41">
        <v>3.40639996528625</v>
      </c>
      <c r="AA864" s="41"/>
      <c r="AB864" s="41"/>
      <c r="AC864" s="41"/>
      <c r="AD864" s="41"/>
      <c r="AE864" s="41"/>
      <c r="AF864" s="41"/>
      <c r="AG864" s="41"/>
      <c r="AH864" s="41"/>
      <c r="AI864" s="41">
        <v>3.1767001152038601</v>
      </c>
      <c r="AJ864" s="41">
        <v>3.1586000918999999</v>
      </c>
      <c r="AK864" s="41"/>
      <c r="AL864" s="41"/>
      <c r="AM864" s="41">
        <v>3.0999999046000002</v>
      </c>
      <c r="AN864" s="41"/>
      <c r="AO864" s="41"/>
      <c r="AP864" s="41">
        <v>2.6700000763</v>
      </c>
      <c r="AQ864" s="41"/>
      <c r="AR864" s="41"/>
      <c r="AS864" s="41"/>
      <c r="AT864" s="41"/>
      <c r="AU864" s="41"/>
      <c r="AV864" s="41">
        <v>2.5999999046000002</v>
      </c>
      <c r="AW864" s="41"/>
      <c r="AX864" s="41">
        <v>2.4</v>
      </c>
      <c r="AY864" s="41">
        <v>2.2999999999999998</v>
      </c>
      <c r="AZ864" s="41">
        <v>2.2999999999999998</v>
      </c>
      <c r="BA864" s="41"/>
      <c r="BB864" s="41"/>
      <c r="BC864" s="41">
        <v>2.1</v>
      </c>
      <c r="BD864" s="41">
        <v>2</v>
      </c>
      <c r="BE864" s="41">
        <v>2.1</v>
      </c>
      <c r="BF864" s="41">
        <v>2.2000000000000002</v>
      </c>
      <c r="BG864" s="41">
        <v>2.2000000000000002</v>
      </c>
      <c r="BH864" s="41"/>
      <c r="BI864" s="41"/>
      <c r="BJ864" s="41"/>
      <c r="BK864" s="41"/>
      <c r="BL864" s="41"/>
      <c r="BM864" s="41"/>
      <c r="BN864" s="54">
        <f t="shared" si="15"/>
        <v>2.2000000000000002</v>
      </c>
    </row>
    <row r="865" spans="2:66" x14ac:dyDescent="0.35">
      <c r="B865" s="41" t="s">
        <v>351</v>
      </c>
      <c r="C865" s="41" t="s">
        <v>25</v>
      </c>
      <c r="D865" s="41" t="s">
        <v>628</v>
      </c>
      <c r="E865" s="41" t="s">
        <v>629</v>
      </c>
      <c r="F865" s="41"/>
      <c r="G865" s="41"/>
      <c r="H865" s="41"/>
      <c r="I865" s="41"/>
      <c r="J865" s="41"/>
      <c r="K865" s="41">
        <v>1.4400000572204601</v>
      </c>
      <c r="L865" s="41">
        <v>1.5199999809265099</v>
      </c>
      <c r="M865" s="41">
        <v>1.5</v>
      </c>
      <c r="N865" s="41">
        <v>1.45000004768372</v>
      </c>
      <c r="O865" s="41">
        <v>1.45000004768372</v>
      </c>
      <c r="P865" s="41">
        <v>1.53999996185303</v>
      </c>
      <c r="Q865" s="41">
        <v>1.58000004291534</v>
      </c>
      <c r="R865" s="41">
        <v>1.71000003814697</v>
      </c>
      <c r="S865" s="41">
        <v>1.7699999809265099</v>
      </c>
      <c r="T865" s="41">
        <v>1.8500000238418599</v>
      </c>
      <c r="U865" s="41">
        <v>1.91999995708466</v>
      </c>
      <c r="V865" s="41">
        <v>2</v>
      </c>
      <c r="W865" s="41">
        <v>2.0699999332428001</v>
      </c>
      <c r="X865" s="41">
        <v>2.1400001049041699</v>
      </c>
      <c r="Y865" s="41">
        <v>2.2000000476837198</v>
      </c>
      <c r="Z865" s="41">
        <v>2.2300000190734899</v>
      </c>
      <c r="AA865" s="41">
        <v>2.25</v>
      </c>
      <c r="AB865" s="41">
        <v>2.2599999904632599</v>
      </c>
      <c r="AC865" s="41">
        <v>2.28999996185303</v>
      </c>
      <c r="AD865" s="41">
        <v>2.3299999237060498</v>
      </c>
      <c r="AE865" s="41">
        <v>2.3699998855590798</v>
      </c>
      <c r="AF865" s="41">
        <v>2.4000000953674299</v>
      </c>
      <c r="AG865" s="41">
        <v>2.4800000190734899</v>
      </c>
      <c r="AH865" s="41">
        <v>2.53999996185303</v>
      </c>
      <c r="AI865" s="41">
        <v>2.5599999427795401</v>
      </c>
      <c r="AJ865" s="41">
        <v>2.5799999237</v>
      </c>
      <c r="AK865" s="41">
        <v>2.5999999046000002</v>
      </c>
      <c r="AL865" s="41">
        <v>2.6199998856</v>
      </c>
      <c r="AM865" s="41">
        <v>2.6300001144</v>
      </c>
      <c r="AN865" s="41">
        <v>2.6300001144</v>
      </c>
      <c r="AO865" s="41">
        <v>2.6099998951000001</v>
      </c>
      <c r="AP865" s="41">
        <v>2.5499999522999999</v>
      </c>
      <c r="AQ865" s="41">
        <v>2.5499999522999999</v>
      </c>
      <c r="AR865" s="41">
        <v>2.5299999714000001</v>
      </c>
      <c r="AS865" s="41">
        <v>2.5199999809000002</v>
      </c>
      <c r="AT865" s="41">
        <v>2.5199999809000002</v>
      </c>
      <c r="AU865" s="41">
        <v>2.5199999809000002</v>
      </c>
      <c r="AV865" s="41">
        <v>2.4500000477000001</v>
      </c>
      <c r="AW865" s="41">
        <v>2.2000000000000002</v>
      </c>
      <c r="AX865" s="41">
        <v>3</v>
      </c>
      <c r="AY865" s="41">
        <v>2.4500000000000002</v>
      </c>
      <c r="AZ865" s="41">
        <v>2.23</v>
      </c>
      <c r="BA865" s="41"/>
      <c r="BB865" s="41"/>
      <c r="BC865" s="41">
        <v>4.2</v>
      </c>
      <c r="BD865" s="41">
        <v>3.56</v>
      </c>
      <c r="BE865" s="41">
        <v>3.8</v>
      </c>
      <c r="BF865" s="41">
        <v>4.2</v>
      </c>
      <c r="BG865" s="41"/>
      <c r="BH865" s="41"/>
      <c r="BI865" s="41"/>
      <c r="BJ865" s="41"/>
      <c r="BK865" s="41"/>
      <c r="BL865" s="41"/>
      <c r="BM865" s="41"/>
      <c r="BN865" s="54">
        <f t="shared" si="15"/>
        <v>4.2</v>
      </c>
    </row>
    <row r="866" spans="2:66" x14ac:dyDescent="0.35">
      <c r="B866" s="41" t="s">
        <v>357</v>
      </c>
      <c r="C866" s="41" t="s">
        <v>26</v>
      </c>
      <c r="D866" s="41" t="s">
        <v>628</v>
      </c>
      <c r="E866" s="41" t="s">
        <v>629</v>
      </c>
      <c r="F866" s="41">
        <v>1.3487695455551101</v>
      </c>
      <c r="G866" s="41"/>
      <c r="H866" s="41"/>
      <c r="I866" s="41"/>
      <c r="J866" s="41"/>
      <c r="K866" s="41"/>
      <c r="L866" s="41"/>
      <c r="M866" s="41"/>
      <c r="N866" s="41"/>
      <c r="O866" s="41"/>
      <c r="P866" s="41">
        <v>1.15610003471375</v>
      </c>
      <c r="Q866" s="41"/>
      <c r="R866" s="41"/>
      <c r="S866" s="41"/>
      <c r="T866" s="41"/>
      <c r="U866" s="41"/>
      <c r="V866" s="41"/>
      <c r="W866" s="41"/>
      <c r="X866" s="41"/>
      <c r="Y866" s="41"/>
      <c r="Z866" s="41"/>
      <c r="AA866" s="41"/>
      <c r="AB866" s="41"/>
      <c r="AC866" s="41"/>
      <c r="AD866" s="41"/>
      <c r="AE866" s="41"/>
      <c r="AF866" s="41"/>
      <c r="AG866" s="41"/>
      <c r="AH866" s="41"/>
      <c r="AI866" s="41">
        <v>0.82849997282028198</v>
      </c>
      <c r="AJ866" s="41">
        <v>0.81160002949999999</v>
      </c>
      <c r="AK866" s="41"/>
      <c r="AL866" s="41"/>
      <c r="AM866" s="41"/>
      <c r="AN866" s="41"/>
      <c r="AO866" s="41"/>
      <c r="AP866" s="41"/>
      <c r="AQ866" s="41"/>
      <c r="AR866" s="41"/>
      <c r="AS866" s="41"/>
      <c r="AT866" s="41"/>
      <c r="AU866" s="41"/>
      <c r="AV866" s="41"/>
      <c r="AW866" s="41"/>
      <c r="AX866" s="41"/>
      <c r="AY866" s="41"/>
      <c r="AZ866" s="41">
        <v>0.4</v>
      </c>
      <c r="BA866" s="41"/>
      <c r="BB866" s="41"/>
      <c r="BC866" s="41"/>
      <c r="BD866" s="41"/>
      <c r="BE866" s="41"/>
      <c r="BF866" s="41"/>
      <c r="BG866" s="41"/>
      <c r="BH866" s="41"/>
      <c r="BI866" s="41"/>
      <c r="BJ866" s="41"/>
      <c r="BK866" s="41"/>
      <c r="BL866" s="41"/>
      <c r="BM866" s="41"/>
      <c r="BN866" s="54">
        <f t="shared" si="15"/>
        <v>0.4</v>
      </c>
    </row>
    <row r="867" spans="2:66" x14ac:dyDescent="0.35">
      <c r="B867" s="41" t="s">
        <v>187</v>
      </c>
      <c r="C867" s="41" t="s">
        <v>27</v>
      </c>
      <c r="D867" s="41" t="s">
        <v>628</v>
      </c>
      <c r="E867" s="41" t="s">
        <v>629</v>
      </c>
      <c r="F867" s="41">
        <v>2.0022659301757799</v>
      </c>
      <c r="G867" s="41"/>
      <c r="H867" s="41"/>
      <c r="I867" s="41"/>
      <c r="J867" s="41"/>
      <c r="K867" s="41"/>
      <c r="L867" s="41"/>
      <c r="M867" s="41"/>
      <c r="N867" s="41"/>
      <c r="O867" s="41"/>
      <c r="P867" s="41">
        <v>1.7515000104904199</v>
      </c>
      <c r="Q867" s="41"/>
      <c r="R867" s="41"/>
      <c r="S867" s="41"/>
      <c r="T867" s="41"/>
      <c r="U867" s="41">
        <v>2.4658999443054199</v>
      </c>
      <c r="V867" s="41"/>
      <c r="W867" s="41"/>
      <c r="X867" s="41"/>
      <c r="Y867" s="41"/>
      <c r="Z867" s="41"/>
      <c r="AA867" s="41"/>
      <c r="AB867" s="41"/>
      <c r="AC867" s="41"/>
      <c r="AD867" s="41"/>
      <c r="AE867" s="41"/>
      <c r="AF867" s="41"/>
      <c r="AG867" s="41"/>
      <c r="AH867" s="41"/>
      <c r="AI867" s="41">
        <v>2.5982999801635698</v>
      </c>
      <c r="AJ867" s="41">
        <v>2.5532999039000002</v>
      </c>
      <c r="AK867" s="41"/>
      <c r="AL867" s="41"/>
      <c r="AM867" s="41"/>
      <c r="AN867" s="41"/>
      <c r="AO867" s="41"/>
      <c r="AP867" s="41"/>
      <c r="AQ867" s="41"/>
      <c r="AR867" s="41"/>
      <c r="AS867" s="41"/>
      <c r="AT867" s="41"/>
      <c r="AU867" s="41"/>
      <c r="AV867" s="41"/>
      <c r="AW867" s="41"/>
      <c r="AX867" s="41"/>
      <c r="AY867" s="41"/>
      <c r="AZ867" s="41">
        <v>1.5</v>
      </c>
      <c r="BA867" s="41"/>
      <c r="BB867" s="41"/>
      <c r="BC867" s="41"/>
      <c r="BD867" s="41">
        <v>1.3</v>
      </c>
      <c r="BE867" s="41"/>
      <c r="BF867" s="41"/>
      <c r="BG867" s="41"/>
      <c r="BH867" s="41"/>
      <c r="BI867" s="41"/>
      <c r="BJ867" s="41"/>
      <c r="BK867" s="41"/>
      <c r="BL867" s="41"/>
      <c r="BM867" s="41"/>
      <c r="BN867" s="54">
        <f t="shared" si="15"/>
        <v>1.3</v>
      </c>
    </row>
    <row r="868" spans="2:66" x14ac:dyDescent="0.35">
      <c r="B868" s="41" t="s">
        <v>354</v>
      </c>
      <c r="C868" s="41" t="s">
        <v>28</v>
      </c>
      <c r="D868" s="41" t="s">
        <v>628</v>
      </c>
      <c r="E868" s="41" t="s">
        <v>629</v>
      </c>
      <c r="F868" s="41">
        <v>5.6740365028381303</v>
      </c>
      <c r="G868" s="41"/>
      <c r="H868" s="41"/>
      <c r="I868" s="41"/>
      <c r="J868" s="41"/>
      <c r="K868" s="41"/>
      <c r="L868" s="41"/>
      <c r="M868" s="41"/>
      <c r="N868" s="41"/>
      <c r="O868" s="41"/>
      <c r="P868" s="41">
        <v>3.3234000205993701</v>
      </c>
      <c r="Q868" s="41"/>
      <c r="R868" s="41"/>
      <c r="S868" s="41"/>
      <c r="T868" s="41"/>
      <c r="U868" s="41">
        <v>3.2253000736236599</v>
      </c>
      <c r="V868" s="41"/>
      <c r="W868" s="41"/>
      <c r="X868" s="41"/>
      <c r="Y868" s="41"/>
      <c r="Z868" s="41"/>
      <c r="AA868" s="41"/>
      <c r="AB868" s="41"/>
      <c r="AC868" s="41"/>
      <c r="AD868" s="41"/>
      <c r="AE868" s="41"/>
      <c r="AF868" s="41"/>
      <c r="AG868" s="41">
        <v>1.59309995174408</v>
      </c>
      <c r="AH868" s="41"/>
      <c r="AI868" s="41"/>
      <c r="AJ868" s="41">
        <v>1.4268000126</v>
      </c>
      <c r="AK868" s="41"/>
      <c r="AL868" s="41"/>
      <c r="AM868" s="41"/>
      <c r="AN868" s="41"/>
      <c r="AO868" s="41"/>
      <c r="AP868" s="41"/>
      <c r="AQ868" s="41"/>
      <c r="AR868" s="41"/>
      <c r="AS868" s="41"/>
      <c r="AT868" s="41"/>
      <c r="AU868" s="41"/>
      <c r="AV868" s="41"/>
      <c r="AW868" s="41"/>
      <c r="AX868" s="41"/>
      <c r="AY868" s="41">
        <v>1.1000000000000001</v>
      </c>
      <c r="AZ868" s="41">
        <v>0.8</v>
      </c>
      <c r="BA868" s="41"/>
      <c r="BB868" s="41"/>
      <c r="BC868" s="41"/>
      <c r="BD868" s="41"/>
      <c r="BE868" s="41"/>
      <c r="BF868" s="41"/>
      <c r="BG868" s="41"/>
      <c r="BH868" s="41"/>
      <c r="BI868" s="41"/>
      <c r="BJ868" s="41"/>
      <c r="BK868" s="41"/>
      <c r="BL868" s="41"/>
      <c r="BM868" s="41"/>
      <c r="BN868" s="54">
        <f t="shared" si="15"/>
        <v>0.8</v>
      </c>
    </row>
    <row r="869" spans="2:66" x14ac:dyDescent="0.35">
      <c r="B869" s="41" t="s">
        <v>355</v>
      </c>
      <c r="C869" s="41" t="s">
        <v>29</v>
      </c>
      <c r="D869" s="41" t="s">
        <v>628</v>
      </c>
      <c r="E869" s="41" t="s">
        <v>629</v>
      </c>
      <c r="F869" s="41">
        <v>3.7570850849151598</v>
      </c>
      <c r="G869" s="41"/>
      <c r="H869" s="41"/>
      <c r="I869" s="41"/>
      <c r="J869" s="41"/>
      <c r="K869" s="41"/>
      <c r="L869" s="41"/>
      <c r="M869" s="41"/>
      <c r="N869" s="41"/>
      <c r="O869" s="41"/>
      <c r="P869" s="41">
        <v>4.3871998786926296</v>
      </c>
      <c r="Q869" s="41"/>
      <c r="R869" s="41"/>
      <c r="S869" s="41"/>
      <c r="T869" s="41"/>
      <c r="U869" s="41"/>
      <c r="V869" s="41"/>
      <c r="W869" s="41"/>
      <c r="X869" s="41"/>
      <c r="Y869" s="41"/>
      <c r="Z869" s="41"/>
      <c r="AA869" s="41"/>
      <c r="AB869" s="41"/>
      <c r="AC869" s="41"/>
      <c r="AD869" s="41"/>
      <c r="AE869" s="41"/>
      <c r="AF869" s="41"/>
      <c r="AG869" s="41"/>
      <c r="AH869" s="41"/>
      <c r="AI869" s="41"/>
      <c r="AJ869" s="41">
        <v>3.3499999046000002</v>
      </c>
      <c r="AK869" s="41"/>
      <c r="AL869" s="41"/>
      <c r="AM869" s="41"/>
      <c r="AN869" s="41"/>
      <c r="AO869" s="41"/>
      <c r="AP869" s="41"/>
      <c r="AQ869" s="41"/>
      <c r="AR869" s="41"/>
      <c r="AS869" s="41"/>
      <c r="AT869" s="41"/>
      <c r="AU869" s="41"/>
      <c r="AV869" s="41"/>
      <c r="AW869" s="41"/>
      <c r="AX869" s="41"/>
      <c r="AY869" s="41">
        <v>1.6</v>
      </c>
      <c r="AZ869" s="41"/>
      <c r="BA869" s="41"/>
      <c r="BB869" s="41"/>
      <c r="BC869" s="41"/>
      <c r="BD869" s="41"/>
      <c r="BE869" s="41"/>
      <c r="BF869" s="41"/>
      <c r="BG869" s="41"/>
      <c r="BH869" s="41"/>
      <c r="BI869" s="41"/>
      <c r="BJ869" s="41"/>
      <c r="BK869" s="41"/>
      <c r="BL869" s="41"/>
      <c r="BM869" s="41"/>
      <c r="BN869" s="54">
        <f t="shared" si="15"/>
        <v>1.6</v>
      </c>
    </row>
    <row r="870" spans="2:66" x14ac:dyDescent="0.35">
      <c r="B870" s="41" t="s">
        <v>352</v>
      </c>
      <c r="C870" s="41" t="s">
        <v>353</v>
      </c>
      <c r="D870" s="41" t="s">
        <v>628</v>
      </c>
      <c r="E870" s="41" t="s">
        <v>629</v>
      </c>
      <c r="F870" s="41">
        <v>2.5755472183227499</v>
      </c>
      <c r="G870" s="41"/>
      <c r="H870" s="41"/>
      <c r="I870" s="41"/>
      <c r="J870" s="41"/>
      <c r="K870" s="41"/>
      <c r="L870" s="41"/>
      <c r="M870" s="41"/>
      <c r="N870" s="41"/>
      <c r="O870" s="41"/>
      <c r="P870" s="41">
        <v>2.09730005264282</v>
      </c>
      <c r="Q870" s="41"/>
      <c r="R870" s="41"/>
      <c r="S870" s="41"/>
      <c r="T870" s="41"/>
      <c r="U870" s="41"/>
      <c r="V870" s="41"/>
      <c r="W870" s="41"/>
      <c r="X870" s="41"/>
      <c r="Y870" s="41"/>
      <c r="Z870" s="41">
        <v>1.5641000270843499</v>
      </c>
      <c r="AA870" s="41"/>
      <c r="AB870" s="41"/>
      <c r="AC870" s="41"/>
      <c r="AD870" s="41"/>
      <c r="AE870" s="41"/>
      <c r="AF870" s="41"/>
      <c r="AG870" s="41"/>
      <c r="AH870" s="41"/>
      <c r="AI870" s="41">
        <v>1.2510999441146899</v>
      </c>
      <c r="AJ870" s="41">
        <v>1.3667000532</v>
      </c>
      <c r="AK870" s="41"/>
      <c r="AL870" s="41"/>
      <c r="AM870" s="41">
        <v>1.2999999523000001</v>
      </c>
      <c r="AN870" s="41"/>
      <c r="AO870" s="41"/>
      <c r="AP870" s="41">
        <v>1.4600000381</v>
      </c>
      <c r="AQ870" s="41"/>
      <c r="AR870" s="41"/>
      <c r="AS870" s="41"/>
      <c r="AT870" s="41"/>
      <c r="AU870" s="41"/>
      <c r="AV870" s="41"/>
      <c r="AW870" s="41">
        <v>1.1000000238000001</v>
      </c>
      <c r="AX870" s="41">
        <v>1.2</v>
      </c>
      <c r="AY870" s="41"/>
      <c r="AZ870" s="41">
        <v>1</v>
      </c>
      <c r="BA870" s="41">
        <v>1</v>
      </c>
      <c r="BB870" s="41"/>
      <c r="BC870" s="41"/>
      <c r="BD870" s="41"/>
      <c r="BE870" s="41">
        <v>1.4</v>
      </c>
      <c r="BF870" s="41">
        <v>1.5</v>
      </c>
      <c r="BG870" s="41">
        <v>1.5</v>
      </c>
      <c r="BH870" s="41">
        <v>1.5</v>
      </c>
      <c r="BI870" s="41"/>
      <c r="BJ870" s="41"/>
      <c r="BK870" s="41"/>
      <c r="BL870" s="41"/>
      <c r="BM870" s="41"/>
      <c r="BN870" s="54">
        <f t="shared" si="15"/>
        <v>1.5</v>
      </c>
    </row>
    <row r="871" spans="2:66" x14ac:dyDescent="0.35">
      <c r="B871" s="41" t="s">
        <v>190</v>
      </c>
      <c r="C871" s="41" t="s">
        <v>157</v>
      </c>
      <c r="D871" s="41" t="s">
        <v>628</v>
      </c>
      <c r="E871" s="41" t="s">
        <v>629</v>
      </c>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v>3.12490010261536</v>
      </c>
      <c r="AJ871" s="41">
        <v>2.7616000175000002</v>
      </c>
      <c r="AK871" s="41"/>
      <c r="AL871" s="41"/>
      <c r="AM871" s="41"/>
      <c r="AN871" s="41"/>
      <c r="AO871" s="41"/>
      <c r="AP871" s="41"/>
      <c r="AQ871" s="41"/>
      <c r="AR871" s="41"/>
      <c r="AS871" s="41"/>
      <c r="AT871" s="41"/>
      <c r="AU871" s="41"/>
      <c r="AV871" s="41"/>
      <c r="AW871" s="41"/>
      <c r="AX871" s="41"/>
      <c r="AY871" s="41"/>
      <c r="AZ871" s="41">
        <v>2.2000000000000002</v>
      </c>
      <c r="BA871" s="41"/>
      <c r="BB871" s="41"/>
      <c r="BC871" s="41"/>
      <c r="BD871" s="41">
        <v>2.2000000000000002</v>
      </c>
      <c r="BE871" s="41"/>
      <c r="BF871" s="41"/>
      <c r="BG871" s="41"/>
      <c r="BH871" s="41"/>
      <c r="BI871" s="41"/>
      <c r="BJ871" s="41"/>
      <c r="BK871" s="41"/>
      <c r="BL871" s="41"/>
      <c r="BM871" s="41"/>
      <c r="BN871" s="54">
        <f t="shared" si="15"/>
        <v>2.2000000000000002</v>
      </c>
    </row>
    <row r="872" spans="2:66" x14ac:dyDescent="0.35">
      <c r="B872" s="41" t="s">
        <v>341</v>
      </c>
      <c r="C872" s="41" t="s">
        <v>30</v>
      </c>
      <c r="D872" s="41" t="s">
        <v>628</v>
      </c>
      <c r="E872" s="41" t="s">
        <v>629</v>
      </c>
      <c r="F872" s="41"/>
      <c r="G872" s="41"/>
      <c r="H872" s="41"/>
      <c r="I872" s="41"/>
      <c r="J872" s="41"/>
      <c r="K872" s="41"/>
      <c r="L872" s="41"/>
      <c r="M872" s="41"/>
      <c r="N872" s="41"/>
      <c r="O872" s="41"/>
      <c r="P872" s="41">
        <v>1.4082000255584699</v>
      </c>
      <c r="Q872" s="41"/>
      <c r="R872" s="41"/>
      <c r="S872" s="41"/>
      <c r="T872" s="41"/>
      <c r="U872" s="41"/>
      <c r="V872" s="41"/>
      <c r="W872" s="41"/>
      <c r="X872" s="41"/>
      <c r="Y872" s="41"/>
      <c r="Z872" s="41">
        <v>2.1868999004364</v>
      </c>
      <c r="AA872" s="41"/>
      <c r="AB872" s="41"/>
      <c r="AC872" s="41"/>
      <c r="AD872" s="41"/>
      <c r="AE872" s="41"/>
      <c r="AF872" s="41"/>
      <c r="AG872" s="41"/>
      <c r="AH872" s="41">
        <v>1.59769999980927</v>
      </c>
      <c r="AI872" s="41"/>
      <c r="AJ872" s="41"/>
      <c r="AK872" s="41"/>
      <c r="AL872" s="41">
        <v>1.5830999613000001</v>
      </c>
      <c r="AM872" s="41"/>
      <c r="AN872" s="41"/>
      <c r="AO872" s="41"/>
      <c r="AP872" s="41"/>
      <c r="AQ872" s="41"/>
      <c r="AR872" s="41"/>
      <c r="AS872" s="41"/>
      <c r="AT872" s="41"/>
      <c r="AU872" s="41"/>
      <c r="AV872" s="41"/>
      <c r="AW872" s="41"/>
      <c r="AX872" s="41"/>
      <c r="AY872" s="41">
        <v>2.1</v>
      </c>
      <c r="AZ872" s="41"/>
      <c r="BA872" s="41"/>
      <c r="BB872" s="41">
        <v>2.1</v>
      </c>
      <c r="BC872" s="41"/>
      <c r="BD872" s="41">
        <v>2.1</v>
      </c>
      <c r="BE872" s="41"/>
      <c r="BF872" s="41"/>
      <c r="BG872" s="41"/>
      <c r="BH872" s="41"/>
      <c r="BI872" s="41"/>
      <c r="BJ872" s="41"/>
      <c r="BK872" s="41"/>
      <c r="BL872" s="41"/>
      <c r="BM872" s="41"/>
      <c r="BN872" s="54">
        <f t="shared" si="15"/>
        <v>2.1</v>
      </c>
    </row>
    <row r="873" spans="2:66" x14ac:dyDescent="0.35">
      <c r="B873" s="41" t="s">
        <v>356</v>
      </c>
      <c r="C873" s="41" t="s">
        <v>31</v>
      </c>
      <c r="D873" s="41" t="s">
        <v>628</v>
      </c>
      <c r="E873" s="41" t="s">
        <v>629</v>
      </c>
      <c r="F873" s="41">
        <v>4.7907772064209002</v>
      </c>
      <c r="G873" s="41"/>
      <c r="H873" s="41"/>
      <c r="I873" s="41"/>
      <c r="J873" s="41"/>
      <c r="K873" s="41"/>
      <c r="L873" s="41"/>
      <c r="M873" s="41"/>
      <c r="N873" s="41"/>
      <c r="O873" s="41"/>
      <c r="P873" s="41">
        <v>3.9395999908447301</v>
      </c>
      <c r="Q873" s="41"/>
      <c r="R873" s="41"/>
      <c r="S873" s="41"/>
      <c r="T873" s="41"/>
      <c r="U873" s="41"/>
      <c r="V873" s="41"/>
      <c r="W873" s="41"/>
      <c r="X873" s="41"/>
      <c r="Y873" s="41"/>
      <c r="Z873" s="41">
        <v>3.3143999576568599</v>
      </c>
      <c r="AA873" s="41"/>
      <c r="AB873" s="41"/>
      <c r="AC873" s="41"/>
      <c r="AD873" s="41"/>
      <c r="AE873" s="41"/>
      <c r="AF873" s="41"/>
      <c r="AG873" s="41"/>
      <c r="AH873" s="41"/>
      <c r="AI873" s="41"/>
      <c r="AJ873" s="41">
        <v>2.5</v>
      </c>
      <c r="AK873" s="41"/>
      <c r="AL873" s="41"/>
      <c r="AM873" s="41"/>
      <c r="AN873" s="41">
        <v>1.793900013</v>
      </c>
      <c r="AO873" s="41">
        <v>1.7799999714000001</v>
      </c>
      <c r="AP873" s="41">
        <v>1.75</v>
      </c>
      <c r="AQ873" s="41">
        <v>1.7100000381</v>
      </c>
      <c r="AR873" s="41">
        <v>1.6799999475</v>
      </c>
      <c r="AS873" s="41"/>
      <c r="AT873" s="41"/>
      <c r="AU873" s="41"/>
      <c r="AV873" s="41"/>
      <c r="AW873" s="41">
        <v>1.3999999761999999</v>
      </c>
      <c r="AX873" s="41">
        <v>1.4</v>
      </c>
      <c r="AY873" s="41"/>
      <c r="AZ873" s="41">
        <v>1.3</v>
      </c>
      <c r="BA873" s="41">
        <v>1.3</v>
      </c>
      <c r="BB873" s="41">
        <v>1.2</v>
      </c>
      <c r="BC873" s="41"/>
      <c r="BD873" s="41">
        <v>1.2</v>
      </c>
      <c r="BE873" s="41">
        <v>1.2</v>
      </c>
      <c r="BF873" s="41">
        <v>1.2</v>
      </c>
      <c r="BG873" s="41">
        <v>1.1000000000000001</v>
      </c>
      <c r="BH873" s="41">
        <v>1.1000000000000001</v>
      </c>
      <c r="BI873" s="41">
        <v>1.2</v>
      </c>
      <c r="BJ873" s="41"/>
      <c r="BK873" s="41"/>
      <c r="BL873" s="41"/>
      <c r="BM873" s="41"/>
      <c r="BN873" s="54">
        <f t="shared" si="15"/>
        <v>1.2</v>
      </c>
    </row>
    <row r="874" spans="2:66" x14ac:dyDescent="0.35">
      <c r="B874" s="41" t="s">
        <v>343</v>
      </c>
      <c r="C874" s="41" t="s">
        <v>344</v>
      </c>
      <c r="D874" s="41" t="s">
        <v>628</v>
      </c>
      <c r="E874" s="41" t="s">
        <v>629</v>
      </c>
      <c r="F874" s="41">
        <v>5.0542402852015282</v>
      </c>
      <c r="G874" s="41"/>
      <c r="H874" s="41"/>
      <c r="I874" s="41"/>
      <c r="J874" s="41"/>
      <c r="K874" s="41"/>
      <c r="L874" s="41"/>
      <c r="M874" s="41"/>
      <c r="N874" s="41"/>
      <c r="O874" s="41"/>
      <c r="P874" s="41">
        <v>4.9959717435372122</v>
      </c>
      <c r="Q874" s="41"/>
      <c r="R874" s="41"/>
      <c r="S874" s="41"/>
      <c r="T874" s="41"/>
      <c r="U874" s="41">
        <v>4.9904186611762009</v>
      </c>
      <c r="V874" s="41"/>
      <c r="W874" s="41"/>
      <c r="X874" s="41"/>
      <c r="Y874" s="41"/>
      <c r="Z874" s="41"/>
      <c r="AA874" s="41"/>
      <c r="AB874" s="41"/>
      <c r="AC874" s="41"/>
      <c r="AD874" s="41"/>
      <c r="AE874" s="41"/>
      <c r="AF874" s="41"/>
      <c r="AG874" s="41"/>
      <c r="AH874" s="41"/>
      <c r="AI874" s="41"/>
      <c r="AJ874" s="41">
        <v>3.6200715680923494</v>
      </c>
      <c r="AK874" s="41"/>
      <c r="AL874" s="41"/>
      <c r="AM874" s="41">
        <v>2.821147878470105</v>
      </c>
      <c r="AN874" s="41"/>
      <c r="AO874" s="41">
        <v>3.0915157625909475</v>
      </c>
      <c r="AP874" s="41">
        <v>3.4794432509606446</v>
      </c>
      <c r="AQ874" s="41"/>
      <c r="AR874" s="41"/>
      <c r="AS874" s="41"/>
      <c r="AT874" s="41"/>
      <c r="AU874" s="41">
        <v>2.492976553433266</v>
      </c>
      <c r="AV874" s="41"/>
      <c r="AW874" s="41">
        <v>2.5315270020133447</v>
      </c>
      <c r="AX874" s="41"/>
      <c r="AY874" s="41">
        <v>2.4425735934444379</v>
      </c>
      <c r="AZ874" s="41">
        <v>2.5565645478298715</v>
      </c>
      <c r="BA874" s="41">
        <v>2.1822798207752832</v>
      </c>
      <c r="BB874" s="41"/>
      <c r="BC874" s="41">
        <v>2.3005340343089831</v>
      </c>
      <c r="BD874" s="41">
        <v>2.3247974745989368</v>
      </c>
      <c r="BE874" s="41"/>
      <c r="BF874" s="41">
        <v>2.3547239173376635</v>
      </c>
      <c r="BG874" s="41">
        <v>2.2672339247277939</v>
      </c>
      <c r="BH874" s="41"/>
      <c r="BI874" s="41"/>
      <c r="BJ874" s="41"/>
      <c r="BK874" s="41"/>
      <c r="BL874" s="41"/>
      <c r="BM874" s="41"/>
      <c r="BN874" s="54">
        <f t="shared" si="15"/>
        <v>2.2672339247277939</v>
      </c>
    </row>
    <row r="875" spans="2:66" x14ac:dyDescent="0.35">
      <c r="B875" s="41" t="s">
        <v>221</v>
      </c>
      <c r="C875" s="41" t="s">
        <v>161</v>
      </c>
      <c r="D875" s="41" t="s">
        <v>628</v>
      </c>
      <c r="E875" s="41" t="s">
        <v>629</v>
      </c>
      <c r="F875" s="41">
        <v>4.3664994239807102</v>
      </c>
      <c r="G875" s="41"/>
      <c r="H875" s="41"/>
      <c r="I875" s="41"/>
      <c r="J875" s="41"/>
      <c r="K875" s="41"/>
      <c r="L875" s="41"/>
      <c r="M875" s="41"/>
      <c r="N875" s="41"/>
      <c r="O875" s="41"/>
      <c r="P875" s="41">
        <v>4.6324000358581499</v>
      </c>
      <c r="Q875" s="41"/>
      <c r="R875" s="41"/>
      <c r="S875" s="41"/>
      <c r="T875" s="41"/>
      <c r="U875" s="41"/>
      <c r="V875" s="41"/>
      <c r="W875" s="41"/>
      <c r="X875" s="41"/>
      <c r="Y875" s="41"/>
      <c r="Z875" s="41"/>
      <c r="AA875" s="41"/>
      <c r="AB875" s="41"/>
      <c r="AC875" s="41"/>
      <c r="AD875" s="41"/>
      <c r="AE875" s="41"/>
      <c r="AF875" s="41"/>
      <c r="AG875" s="41"/>
      <c r="AH875" s="41"/>
      <c r="AI875" s="41"/>
      <c r="AJ875" s="41">
        <v>5.4211997986</v>
      </c>
      <c r="AK875" s="41"/>
      <c r="AL875" s="41"/>
      <c r="AM875" s="41">
        <v>6</v>
      </c>
      <c r="AN875" s="41"/>
      <c r="AO875" s="41"/>
      <c r="AP875" s="41">
        <v>5.1300001143999996</v>
      </c>
      <c r="AQ875" s="41"/>
      <c r="AR875" s="41"/>
      <c r="AS875" s="41"/>
      <c r="AT875" s="41"/>
      <c r="AU875" s="41"/>
      <c r="AV875" s="41"/>
      <c r="AW875" s="41">
        <v>4.9000000954000003</v>
      </c>
      <c r="AX875" s="41"/>
      <c r="AY875" s="41">
        <v>4.9000000000000004</v>
      </c>
      <c r="AZ875" s="41">
        <v>4.9000000000000004</v>
      </c>
      <c r="BA875" s="41">
        <v>4.9000000000000004</v>
      </c>
      <c r="BB875" s="41">
        <v>6</v>
      </c>
      <c r="BC875" s="41">
        <v>5.9</v>
      </c>
      <c r="BD875" s="41">
        <v>5.9</v>
      </c>
      <c r="BE875" s="41">
        <v>5.0999999999999996</v>
      </c>
      <c r="BF875" s="41">
        <v>5.3</v>
      </c>
      <c r="BG875" s="41">
        <v>5.0999999999999996</v>
      </c>
      <c r="BH875" s="41">
        <v>5.2</v>
      </c>
      <c r="BI875" s="41"/>
      <c r="BJ875" s="41"/>
      <c r="BK875" s="41"/>
      <c r="BL875" s="41"/>
      <c r="BM875" s="41"/>
      <c r="BN875" s="54">
        <f t="shared" si="15"/>
        <v>5.2</v>
      </c>
    </row>
    <row r="876" spans="2:66" x14ac:dyDescent="0.35">
      <c r="B876" s="41" t="s">
        <v>359</v>
      </c>
      <c r="C876" s="41" t="s">
        <v>360</v>
      </c>
      <c r="D876" s="41" t="s">
        <v>628</v>
      </c>
      <c r="E876" s="41" t="s">
        <v>629</v>
      </c>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c r="BN876" s="54" t="str">
        <f t="shared" si="15"/>
        <v>No reported value</v>
      </c>
    </row>
    <row r="877" spans="2:66" x14ac:dyDescent="0.35">
      <c r="B877" s="41" t="s">
        <v>345</v>
      </c>
      <c r="C877" s="41" t="s">
        <v>346</v>
      </c>
      <c r="D877" s="41" t="s">
        <v>628</v>
      </c>
      <c r="E877" s="41" t="s">
        <v>629</v>
      </c>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v>3</v>
      </c>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c r="BN877" s="54">
        <f t="shared" si="15"/>
        <v>3</v>
      </c>
    </row>
    <row r="878" spans="2:66" x14ac:dyDescent="0.35">
      <c r="B878" s="41" t="s">
        <v>361</v>
      </c>
      <c r="C878" s="41" t="s">
        <v>32</v>
      </c>
      <c r="D878" s="41" t="s">
        <v>628</v>
      </c>
      <c r="E878" s="41" t="s">
        <v>629</v>
      </c>
      <c r="F878" s="41">
        <v>4.52356004714966</v>
      </c>
      <c r="G878" s="41"/>
      <c r="H878" s="41"/>
      <c r="I878" s="41"/>
      <c r="J878" s="41"/>
      <c r="K878" s="41"/>
      <c r="L878" s="41"/>
      <c r="M878" s="41"/>
      <c r="N878" s="41"/>
      <c r="O878" s="41"/>
      <c r="P878" s="41">
        <v>5.3821001052856401</v>
      </c>
      <c r="Q878" s="41"/>
      <c r="R878" s="41"/>
      <c r="S878" s="41"/>
      <c r="T878" s="41"/>
      <c r="U878" s="41"/>
      <c r="V878" s="41"/>
      <c r="W878" s="41"/>
      <c r="X878" s="41"/>
      <c r="Y878" s="41"/>
      <c r="Z878" s="41">
        <v>5.6529998779296902</v>
      </c>
      <c r="AA878" s="41">
        <v>5.7200999259948704</v>
      </c>
      <c r="AB878" s="41"/>
      <c r="AC878" s="41"/>
      <c r="AD878" s="41"/>
      <c r="AE878" s="41"/>
      <c r="AF878" s="41"/>
      <c r="AG878" s="41"/>
      <c r="AH878" s="41"/>
      <c r="AI878" s="41">
        <v>5.0864000320434597</v>
      </c>
      <c r="AJ878" s="41"/>
      <c r="AK878" s="41"/>
      <c r="AL878" s="41"/>
      <c r="AM878" s="41"/>
      <c r="AN878" s="41"/>
      <c r="AO878" s="41"/>
      <c r="AP878" s="41"/>
      <c r="AQ878" s="41"/>
      <c r="AR878" s="41"/>
      <c r="AS878" s="41"/>
      <c r="AT878" s="41">
        <v>4.5</v>
      </c>
      <c r="AU878" s="41">
        <v>4.4000000000000004</v>
      </c>
      <c r="AV878" s="41">
        <v>4.4000000000000004</v>
      </c>
      <c r="AW878" s="41">
        <v>4.3</v>
      </c>
      <c r="AX878" s="41">
        <v>4.2</v>
      </c>
      <c r="AY878" s="41">
        <v>3.8</v>
      </c>
      <c r="AZ878" s="41">
        <v>3.7</v>
      </c>
      <c r="BA878" s="41">
        <v>3.8</v>
      </c>
      <c r="BB878" s="41">
        <v>3.8</v>
      </c>
      <c r="BC878" s="41">
        <v>3.7</v>
      </c>
      <c r="BD878" s="41">
        <v>3.5</v>
      </c>
      <c r="BE878" s="41">
        <v>3.5</v>
      </c>
      <c r="BF878" s="41">
        <v>3.5</v>
      </c>
      <c r="BG878" s="41">
        <v>3.4</v>
      </c>
      <c r="BH878" s="41"/>
      <c r="BI878" s="41"/>
      <c r="BJ878" s="41"/>
      <c r="BK878" s="41"/>
      <c r="BL878" s="41"/>
      <c r="BM878" s="41"/>
      <c r="BN878" s="54">
        <f t="shared" si="15"/>
        <v>3.4</v>
      </c>
    </row>
    <row r="879" spans="2:66" x14ac:dyDescent="0.35">
      <c r="B879" s="41" t="s">
        <v>362</v>
      </c>
      <c r="C879" s="41" t="s">
        <v>33</v>
      </c>
      <c r="D879" s="41" t="s">
        <v>628</v>
      </c>
      <c r="E879" s="41" t="s">
        <v>629</v>
      </c>
      <c r="F879" s="41"/>
      <c r="G879" s="41"/>
      <c r="H879" s="41"/>
      <c r="I879" s="41"/>
      <c r="J879" s="41"/>
      <c r="K879" s="41"/>
      <c r="L879" s="41"/>
      <c r="M879" s="41"/>
      <c r="N879" s="41"/>
      <c r="O879" s="41"/>
      <c r="P879" s="41"/>
      <c r="Q879" s="41"/>
      <c r="R879" s="41"/>
      <c r="S879" s="41"/>
      <c r="T879" s="41"/>
      <c r="U879" s="41"/>
      <c r="V879" s="41"/>
      <c r="W879" s="41"/>
      <c r="X879" s="41"/>
      <c r="Y879" s="41"/>
      <c r="Z879" s="41">
        <v>11.300000190734901</v>
      </c>
      <c r="AA879" s="41"/>
      <c r="AB879" s="41"/>
      <c r="AC879" s="41"/>
      <c r="AD879" s="41"/>
      <c r="AE879" s="41">
        <v>11.3999996185303</v>
      </c>
      <c r="AF879" s="41"/>
      <c r="AG879" s="41"/>
      <c r="AH879" s="41"/>
      <c r="AI879" s="41"/>
      <c r="AJ879" s="41">
        <v>11.300000190700001</v>
      </c>
      <c r="AK879" s="41">
        <v>11.100000381499999</v>
      </c>
      <c r="AL879" s="41">
        <v>10.699999809299999</v>
      </c>
      <c r="AM879" s="41">
        <v>10.399999618500001</v>
      </c>
      <c r="AN879" s="41">
        <v>10.199999809299999</v>
      </c>
      <c r="AO879" s="41"/>
      <c r="AP879" s="41"/>
      <c r="AQ879" s="41"/>
      <c r="AR879" s="41"/>
      <c r="AS879" s="41"/>
      <c r="AT879" s="41">
        <v>7.8</v>
      </c>
      <c r="AU879" s="41">
        <v>7.8</v>
      </c>
      <c r="AV879" s="41">
        <v>7.8</v>
      </c>
      <c r="AW879" s="41">
        <v>7.7</v>
      </c>
      <c r="AX879" s="41">
        <v>7.6</v>
      </c>
      <c r="AY879" s="41">
        <v>7.6</v>
      </c>
      <c r="AZ879" s="41">
        <v>7.4</v>
      </c>
      <c r="BA879" s="41">
        <v>7.3</v>
      </c>
      <c r="BB879" s="41">
        <v>7.2</v>
      </c>
      <c r="BC879" s="41">
        <v>7.1</v>
      </c>
      <c r="BD879" s="41">
        <v>7</v>
      </c>
      <c r="BE879" s="41">
        <v>6.8</v>
      </c>
      <c r="BF879" s="41">
        <v>6.7</v>
      </c>
      <c r="BG879" s="41">
        <v>6.5</v>
      </c>
      <c r="BH879" s="41"/>
      <c r="BI879" s="41">
        <v>6.5</v>
      </c>
      <c r="BJ879" s="41"/>
      <c r="BK879" s="41"/>
      <c r="BL879" s="41"/>
      <c r="BM879" s="41"/>
      <c r="BN879" s="54">
        <f t="shared" si="15"/>
        <v>6.5</v>
      </c>
    </row>
    <row r="880" spans="2:66" x14ac:dyDescent="0.35">
      <c r="B880" s="41" t="s">
        <v>399</v>
      </c>
      <c r="C880" s="41" t="s">
        <v>34</v>
      </c>
      <c r="D880" s="41" t="s">
        <v>628</v>
      </c>
      <c r="E880" s="41" t="s">
        <v>629</v>
      </c>
      <c r="F880" s="41">
        <v>10.5</v>
      </c>
      <c r="G880" s="41"/>
      <c r="H880" s="41"/>
      <c r="I880" s="41"/>
      <c r="J880" s="41"/>
      <c r="K880" s="41"/>
      <c r="L880" s="41"/>
      <c r="M880" s="41"/>
      <c r="N880" s="41"/>
      <c r="O880" s="41"/>
      <c r="P880" s="41">
        <v>11.300000190734901</v>
      </c>
      <c r="Q880" s="41"/>
      <c r="R880" s="41"/>
      <c r="S880" s="41"/>
      <c r="T880" s="41"/>
      <c r="U880" s="41"/>
      <c r="V880" s="41"/>
      <c r="W880" s="41"/>
      <c r="X880" s="41"/>
      <c r="Y880" s="41"/>
      <c r="Z880" s="41">
        <v>11.5</v>
      </c>
      <c r="AA880" s="41"/>
      <c r="AB880" s="41"/>
      <c r="AC880" s="41"/>
      <c r="AD880" s="41"/>
      <c r="AE880" s="41">
        <v>11</v>
      </c>
      <c r="AF880" s="41"/>
      <c r="AG880" s="41"/>
      <c r="AH880" s="41"/>
      <c r="AI880" s="41"/>
      <c r="AJ880" s="41">
        <v>10.399999618500001</v>
      </c>
      <c r="AK880" s="41">
        <v>10.100000381499999</v>
      </c>
      <c r="AL880" s="41">
        <v>9.8999996185000008</v>
      </c>
      <c r="AM880" s="41">
        <v>9.6999998092999995</v>
      </c>
      <c r="AN880" s="41">
        <v>9.6999998092999995</v>
      </c>
      <c r="AO880" s="41">
        <v>9.6999998092999995</v>
      </c>
      <c r="AP880" s="41">
        <v>9.6000003814999992</v>
      </c>
      <c r="AQ880" s="41">
        <v>9.3999996185000008</v>
      </c>
      <c r="AR880" s="41">
        <v>9.3000001907000005</v>
      </c>
      <c r="AS880" s="41">
        <v>9.1999998092999995</v>
      </c>
      <c r="AT880" s="41">
        <v>9.1</v>
      </c>
      <c r="AU880" s="41">
        <v>9</v>
      </c>
      <c r="AV880" s="41">
        <v>8.9</v>
      </c>
      <c r="AW880" s="41">
        <v>8.6999999999999993</v>
      </c>
      <c r="AX880" s="41">
        <v>8.6</v>
      </c>
      <c r="AY880" s="41">
        <v>8.5</v>
      </c>
      <c r="AZ880" s="41">
        <v>8.3000000000000007</v>
      </c>
      <c r="BA880" s="41">
        <v>8.1999999999999993</v>
      </c>
      <c r="BB880" s="41">
        <v>8.1999999999999993</v>
      </c>
      <c r="BC880" s="41">
        <v>8.1999999999999993</v>
      </c>
      <c r="BD880" s="41">
        <v>8.1999999999999993</v>
      </c>
      <c r="BE880" s="41">
        <v>8.1999999999999993</v>
      </c>
      <c r="BF880" s="41">
        <v>8.1999999999999993</v>
      </c>
      <c r="BG880" s="41">
        <v>8.3000000000000007</v>
      </c>
      <c r="BH880" s="41"/>
      <c r="BI880" s="41"/>
      <c r="BJ880" s="41"/>
      <c r="BK880" s="41"/>
      <c r="BL880" s="41"/>
      <c r="BM880" s="41"/>
      <c r="BN880" s="54">
        <f t="shared" si="15"/>
        <v>8.3000000000000007</v>
      </c>
    </row>
    <row r="881" spans="2:66" x14ac:dyDescent="0.35">
      <c r="B881" s="41" t="s">
        <v>231</v>
      </c>
      <c r="C881" s="41" t="s">
        <v>35</v>
      </c>
      <c r="D881" s="41" t="s">
        <v>628</v>
      </c>
      <c r="E881" s="41" t="s">
        <v>629</v>
      </c>
      <c r="F881" s="41">
        <v>7.8313255310058603</v>
      </c>
      <c r="G881" s="41"/>
      <c r="H881" s="41"/>
      <c r="I881" s="41"/>
      <c r="J881" s="41"/>
      <c r="K881" s="41"/>
      <c r="L881" s="41"/>
      <c r="M881" s="41"/>
      <c r="N881" s="41"/>
      <c r="O881" s="41"/>
      <c r="P881" s="41">
        <v>6.0774002075195304</v>
      </c>
      <c r="Q881" s="41"/>
      <c r="R881" s="41"/>
      <c r="S881" s="41"/>
      <c r="T881" s="41"/>
      <c r="U881" s="41"/>
      <c r="V881" s="41"/>
      <c r="W881" s="41"/>
      <c r="X881" s="41"/>
      <c r="Y881" s="41"/>
      <c r="Z881" s="41"/>
      <c r="AA881" s="41">
        <v>3.6105000972747798</v>
      </c>
      <c r="AB881" s="41"/>
      <c r="AC881" s="41"/>
      <c r="AD881" s="41"/>
      <c r="AE881" s="41"/>
      <c r="AF881" s="41"/>
      <c r="AG881" s="41"/>
      <c r="AH881" s="41"/>
      <c r="AI881" s="41"/>
      <c r="AJ881" s="41">
        <v>2.5397000313000002</v>
      </c>
      <c r="AK881" s="41"/>
      <c r="AL881" s="41"/>
      <c r="AM881" s="41"/>
      <c r="AN881" s="41"/>
      <c r="AO881" s="41"/>
      <c r="AP881" s="41"/>
      <c r="AQ881" s="41"/>
      <c r="AR881" s="41"/>
      <c r="AS881" s="41"/>
      <c r="AT881" s="41">
        <v>1.8</v>
      </c>
      <c r="AU881" s="41">
        <v>1.8</v>
      </c>
      <c r="AV881" s="41">
        <v>1.8</v>
      </c>
      <c r="AW881" s="41">
        <v>1.6</v>
      </c>
      <c r="AX881" s="41">
        <v>1.6</v>
      </c>
      <c r="AY881" s="41">
        <v>1.6</v>
      </c>
      <c r="AZ881" s="41">
        <v>1.6</v>
      </c>
      <c r="BA881" s="41"/>
      <c r="BB881" s="41"/>
      <c r="BC881" s="41"/>
      <c r="BD881" s="41">
        <v>1.4</v>
      </c>
      <c r="BE881" s="41">
        <v>1.4</v>
      </c>
      <c r="BF881" s="41">
        <v>1.4</v>
      </c>
      <c r="BG881" s="41">
        <v>1.4</v>
      </c>
      <c r="BH881" s="41">
        <v>1.4</v>
      </c>
      <c r="BI881" s="41"/>
      <c r="BJ881" s="41"/>
      <c r="BK881" s="41"/>
      <c r="BL881" s="41"/>
      <c r="BM881" s="41"/>
      <c r="BN881" s="54">
        <f t="shared" si="15"/>
        <v>1.4</v>
      </c>
    </row>
    <row r="882" spans="2:66" x14ac:dyDescent="0.35">
      <c r="B882" s="41" t="s">
        <v>364</v>
      </c>
      <c r="C882" s="41" t="s">
        <v>365</v>
      </c>
      <c r="D882" s="41" t="s">
        <v>628</v>
      </c>
      <c r="E882" s="41" t="s">
        <v>629</v>
      </c>
      <c r="F882" s="41">
        <v>4.5439467430114702</v>
      </c>
      <c r="G882" s="41"/>
      <c r="H882" s="41"/>
      <c r="I882" s="41"/>
      <c r="J882" s="41"/>
      <c r="K882" s="41"/>
      <c r="L882" s="41"/>
      <c r="M882" s="41"/>
      <c r="N882" s="41"/>
      <c r="O882" s="41"/>
      <c r="P882" s="41">
        <v>4.4443998336792001</v>
      </c>
      <c r="Q882" s="41"/>
      <c r="R882" s="41"/>
      <c r="S882" s="41"/>
      <c r="T882" s="41"/>
      <c r="U882" s="41"/>
      <c r="V882" s="41"/>
      <c r="W882" s="41"/>
      <c r="X882" s="41"/>
      <c r="Y882" s="41"/>
      <c r="Z882" s="41"/>
      <c r="AA882" s="41"/>
      <c r="AB882" s="41"/>
      <c r="AC882" s="41"/>
      <c r="AD882" s="41"/>
      <c r="AE882" s="41"/>
      <c r="AF882" s="41"/>
      <c r="AG882" s="41"/>
      <c r="AH882" s="41"/>
      <c r="AI882" s="41"/>
      <c r="AJ882" s="41">
        <v>3</v>
      </c>
      <c r="AK882" s="41"/>
      <c r="AL882" s="41"/>
      <c r="AM882" s="41">
        <v>2.5938999652999999</v>
      </c>
      <c r="AN882" s="41"/>
      <c r="AO882" s="41">
        <v>3.6</v>
      </c>
      <c r="AP882" s="41">
        <v>2.6500000953999998</v>
      </c>
      <c r="AQ882" s="41"/>
      <c r="AR882" s="41"/>
      <c r="AS882" s="41"/>
      <c r="AT882" s="41">
        <v>3.8</v>
      </c>
      <c r="AU882" s="41">
        <v>3.5</v>
      </c>
      <c r="AV882" s="41">
        <v>3.9000000953999998</v>
      </c>
      <c r="AW882" s="41">
        <v>3.9</v>
      </c>
      <c r="AX882" s="41">
        <v>3.9</v>
      </c>
      <c r="AY882" s="41">
        <v>3.9</v>
      </c>
      <c r="AZ882" s="41"/>
      <c r="BA882" s="41">
        <v>4</v>
      </c>
      <c r="BB882" s="41">
        <v>3.8</v>
      </c>
      <c r="BC882" s="41">
        <v>3.8</v>
      </c>
      <c r="BD882" s="41">
        <v>3.8</v>
      </c>
      <c r="BE882" s="41">
        <v>3.8</v>
      </c>
      <c r="BF882" s="41">
        <v>3.8</v>
      </c>
      <c r="BG882" s="41"/>
      <c r="BH882" s="41"/>
      <c r="BI882" s="41"/>
      <c r="BJ882" s="41"/>
      <c r="BK882" s="41"/>
      <c r="BL882" s="41"/>
      <c r="BM882" s="41"/>
      <c r="BN882" s="54">
        <f t="shared" si="15"/>
        <v>3.8</v>
      </c>
    </row>
    <row r="883" spans="2:66" x14ac:dyDescent="0.35">
      <c r="B883" s="41" t="s">
        <v>363</v>
      </c>
      <c r="C883" s="41" t="s">
        <v>36</v>
      </c>
      <c r="D883" s="41" t="s">
        <v>628</v>
      </c>
      <c r="E883" s="41" t="s">
        <v>629</v>
      </c>
      <c r="F883" s="41"/>
      <c r="G883" s="41"/>
      <c r="H883" s="41"/>
      <c r="I883" s="41"/>
      <c r="J883" s="41"/>
      <c r="K883" s="41"/>
      <c r="L883" s="41"/>
      <c r="M883" s="41"/>
      <c r="N883" s="41"/>
      <c r="O883" s="41"/>
      <c r="P883" s="41">
        <v>8.1000003814697301</v>
      </c>
      <c r="Q883" s="41"/>
      <c r="R883" s="41">
        <v>8.3999996185302699</v>
      </c>
      <c r="S883" s="41">
        <v>8.3000001907348597</v>
      </c>
      <c r="T883" s="41">
        <v>8.5</v>
      </c>
      <c r="U883" s="41">
        <v>8.5</v>
      </c>
      <c r="V883" s="41">
        <v>8.6000003814697301</v>
      </c>
      <c r="W883" s="41">
        <v>8.3999996185302699</v>
      </c>
      <c r="X883" s="41">
        <v>8.5</v>
      </c>
      <c r="Y883" s="41">
        <v>8.1999998092651403</v>
      </c>
      <c r="Z883" s="41">
        <v>8.1000003814697301</v>
      </c>
      <c r="AA883" s="41">
        <v>7.8000001907348597</v>
      </c>
      <c r="AB883" s="41">
        <v>7.6999998092651403</v>
      </c>
      <c r="AC883" s="41">
        <v>7.4000000953674299</v>
      </c>
      <c r="AD883" s="41">
        <v>7.0999999046325701</v>
      </c>
      <c r="AE883" s="41">
        <v>7</v>
      </c>
      <c r="AF883" s="41">
        <v>6.9000000953674299</v>
      </c>
      <c r="AG883" s="41">
        <v>6.1999998092651403</v>
      </c>
      <c r="AH883" s="41">
        <v>6</v>
      </c>
      <c r="AI883" s="41">
        <v>5.8000001907348597</v>
      </c>
      <c r="AJ883" s="41">
        <v>5.5999999045999997</v>
      </c>
      <c r="AK883" s="41">
        <v>5.4000000954000003</v>
      </c>
      <c r="AL883" s="41">
        <v>5.0999999045999997</v>
      </c>
      <c r="AM883" s="41">
        <v>5</v>
      </c>
      <c r="AN883" s="41">
        <v>5</v>
      </c>
      <c r="AO883" s="41">
        <v>4.9000000954000003</v>
      </c>
      <c r="AP883" s="41">
        <v>4.6999998093000004</v>
      </c>
      <c r="AQ883" s="41">
        <v>4.5999999045999997</v>
      </c>
      <c r="AR883" s="41">
        <v>4.5</v>
      </c>
      <c r="AS883" s="41">
        <v>4.3000001906999996</v>
      </c>
      <c r="AT883" s="41">
        <v>4.3</v>
      </c>
      <c r="AU883" s="41">
        <v>4.2</v>
      </c>
      <c r="AV883" s="41">
        <v>4.3</v>
      </c>
      <c r="AW883" s="41">
        <v>4.0999999999999996</v>
      </c>
      <c r="AX883" s="41">
        <v>4</v>
      </c>
      <c r="AY883" s="41">
        <v>3.9</v>
      </c>
      <c r="AZ883" s="41">
        <v>3.8</v>
      </c>
      <c r="BA883" s="41">
        <v>3.7</v>
      </c>
      <c r="BB883" s="41">
        <v>3.6</v>
      </c>
      <c r="BC883" s="41">
        <v>3.5</v>
      </c>
      <c r="BD883" s="41">
        <v>3.5</v>
      </c>
      <c r="BE883" s="41">
        <v>3.1</v>
      </c>
      <c r="BF883" s="41"/>
      <c r="BG883" s="41">
        <v>3.1</v>
      </c>
      <c r="BH883" s="41"/>
      <c r="BI883" s="41">
        <v>2.5</v>
      </c>
      <c r="BJ883" s="41"/>
      <c r="BK883" s="41"/>
      <c r="BL883" s="41"/>
      <c r="BM883" s="41"/>
      <c r="BN883" s="54">
        <f t="shared" si="15"/>
        <v>2.5</v>
      </c>
    </row>
    <row r="884" spans="2:66" x14ac:dyDescent="0.35">
      <c r="B884" s="41" t="s">
        <v>366</v>
      </c>
      <c r="C884" s="41" t="s">
        <v>367</v>
      </c>
      <c r="D884" s="41" t="s">
        <v>628</v>
      </c>
      <c r="E884" s="41" t="s">
        <v>629</v>
      </c>
      <c r="F884" s="41">
        <v>2.3286907672882098</v>
      </c>
      <c r="G884" s="41"/>
      <c r="H884" s="41"/>
      <c r="I884" s="41"/>
      <c r="J884" s="41"/>
      <c r="K884" s="41"/>
      <c r="L884" s="41"/>
      <c r="M884" s="41"/>
      <c r="N884" s="41"/>
      <c r="O884" s="41"/>
      <c r="P884" s="41">
        <v>2.6394000053405802</v>
      </c>
      <c r="Q884" s="41"/>
      <c r="R884" s="41"/>
      <c r="S884" s="41"/>
      <c r="T884" s="41"/>
      <c r="U884" s="41">
        <v>2.5014998912811302</v>
      </c>
      <c r="V884" s="41"/>
      <c r="W884" s="41"/>
      <c r="X884" s="41"/>
      <c r="Y884" s="41"/>
      <c r="Z884" s="41"/>
      <c r="AA884" s="41"/>
      <c r="AB884" s="41"/>
      <c r="AC884" s="41"/>
      <c r="AD884" s="41"/>
      <c r="AE884" s="41"/>
      <c r="AF884" s="41"/>
      <c r="AG884" s="41"/>
      <c r="AH884" s="41"/>
      <c r="AI884" s="41"/>
      <c r="AJ884" s="41">
        <v>1.8812999724999999</v>
      </c>
      <c r="AK884" s="41"/>
      <c r="AL884" s="41"/>
      <c r="AM884" s="41">
        <v>2</v>
      </c>
      <c r="AN884" s="41"/>
      <c r="AO884" s="41"/>
      <c r="AP884" s="41">
        <v>1.5</v>
      </c>
      <c r="AQ884" s="41"/>
      <c r="AR884" s="41"/>
      <c r="AS884" s="41"/>
      <c r="AT884" s="41"/>
      <c r="AU884" s="41"/>
      <c r="AV884" s="41"/>
      <c r="AW884" s="41">
        <v>2.0999999046000002</v>
      </c>
      <c r="AX884" s="41"/>
      <c r="AY884" s="41">
        <v>2</v>
      </c>
      <c r="AZ884" s="41"/>
      <c r="BA884" s="41">
        <v>1</v>
      </c>
      <c r="BB884" s="41">
        <v>1</v>
      </c>
      <c r="BC884" s="41">
        <v>1</v>
      </c>
      <c r="BD884" s="41">
        <v>1.6</v>
      </c>
      <c r="BE884" s="41">
        <v>1.7</v>
      </c>
      <c r="BF884" s="41"/>
      <c r="BG884" s="41">
        <v>1.6</v>
      </c>
      <c r="BH884" s="41">
        <v>1.6</v>
      </c>
      <c r="BI884" s="41"/>
      <c r="BJ884" s="41"/>
      <c r="BK884" s="41"/>
      <c r="BL884" s="41"/>
      <c r="BM884" s="41"/>
      <c r="BN884" s="54">
        <f t="shared" si="15"/>
        <v>1.6</v>
      </c>
    </row>
    <row r="885" spans="2:66" x14ac:dyDescent="0.35">
      <c r="B885" s="41" t="s">
        <v>313</v>
      </c>
      <c r="C885" s="41" t="s">
        <v>37</v>
      </c>
      <c r="D885" s="41" t="s">
        <v>628</v>
      </c>
      <c r="E885" s="41" t="s">
        <v>629</v>
      </c>
      <c r="F885" s="41">
        <v>3.1874074935913099</v>
      </c>
      <c r="G885" s="41"/>
      <c r="H885" s="41"/>
      <c r="I885" s="41"/>
      <c r="J885" s="41"/>
      <c r="K885" s="41"/>
      <c r="L885" s="41"/>
      <c r="M885" s="41"/>
      <c r="N885" s="41"/>
      <c r="O885" s="41"/>
      <c r="P885" s="41">
        <v>2.8424999713897701</v>
      </c>
      <c r="Q885" s="41"/>
      <c r="R885" s="41"/>
      <c r="S885" s="41"/>
      <c r="T885" s="41"/>
      <c r="U885" s="41"/>
      <c r="V885" s="41"/>
      <c r="W885" s="41"/>
      <c r="X885" s="41"/>
      <c r="Y885" s="41"/>
      <c r="Z885" s="41"/>
      <c r="AA885" s="41"/>
      <c r="AB885" s="41"/>
      <c r="AC885" s="41"/>
      <c r="AD885" s="41"/>
      <c r="AE885" s="41"/>
      <c r="AF885" s="41">
        <v>2.4883999824523899</v>
      </c>
      <c r="AG885" s="41"/>
      <c r="AH885" s="41">
        <v>2.62899994850159</v>
      </c>
      <c r="AI885" s="41">
        <v>2.5643999576568599</v>
      </c>
      <c r="AJ885" s="41">
        <v>2.4993000031000001</v>
      </c>
      <c r="AK885" s="41"/>
      <c r="AL885" s="41"/>
      <c r="AM885" s="41"/>
      <c r="AN885" s="41">
        <v>2.1031999587999999</v>
      </c>
      <c r="AO885" s="41"/>
      <c r="AP885" s="41"/>
      <c r="AQ885" s="41"/>
      <c r="AR885" s="41">
        <v>2.0999999046000002</v>
      </c>
      <c r="AS885" s="41"/>
      <c r="AT885" s="41"/>
      <c r="AU885" s="41"/>
      <c r="AV885" s="41"/>
      <c r="AW885" s="41"/>
      <c r="AX885" s="41">
        <v>1.7</v>
      </c>
      <c r="AY885" s="41"/>
      <c r="AZ885" s="41"/>
      <c r="BA885" s="41"/>
      <c r="BB885" s="41"/>
      <c r="BC885" s="41"/>
      <c r="BD885" s="41"/>
      <c r="BE885" s="41"/>
      <c r="BF885" s="41"/>
      <c r="BG885" s="41"/>
      <c r="BH885" s="41"/>
      <c r="BI885" s="41">
        <v>1.9</v>
      </c>
      <c r="BJ885" s="41"/>
      <c r="BK885" s="41"/>
      <c r="BL885" s="41"/>
      <c r="BM885" s="41"/>
      <c r="BN885" s="54">
        <f t="shared" si="15"/>
        <v>1.9</v>
      </c>
    </row>
    <row r="886" spans="2:66" x14ac:dyDescent="0.35">
      <c r="B886" s="41" t="s">
        <v>372</v>
      </c>
      <c r="C886" s="41" t="s">
        <v>373</v>
      </c>
      <c r="D886" s="41" t="s">
        <v>628</v>
      </c>
      <c r="E886" s="41" t="s">
        <v>629</v>
      </c>
      <c r="F886" s="41"/>
      <c r="G886" s="41"/>
      <c r="H886" s="41"/>
      <c r="I886" s="41"/>
      <c r="J886" s="41"/>
      <c r="K886" s="41">
        <v>1.4400000572204601</v>
      </c>
      <c r="L886" s="41">
        <v>1.5199999809265097</v>
      </c>
      <c r="M886" s="41">
        <v>1.5</v>
      </c>
      <c r="N886" s="41">
        <v>1.45000004768372</v>
      </c>
      <c r="O886" s="41">
        <v>1.45000004768372</v>
      </c>
      <c r="P886" s="41">
        <v>1.4418845852024127</v>
      </c>
      <c r="Q886" s="41">
        <v>1.58000004291534</v>
      </c>
      <c r="R886" s="41">
        <v>1.71000003814697</v>
      </c>
      <c r="S886" s="41">
        <v>1.7699999809265099</v>
      </c>
      <c r="T886" s="41">
        <v>1.8500000238418601</v>
      </c>
      <c r="U886" s="41">
        <v>1.781145328361206</v>
      </c>
      <c r="V886" s="41">
        <v>1.9873244335741538</v>
      </c>
      <c r="W886" s="41">
        <v>2.0699999332428001</v>
      </c>
      <c r="X886" s="41">
        <v>2.1400001049041699</v>
      </c>
      <c r="Y886" s="41">
        <v>2.2000000476837198</v>
      </c>
      <c r="Z886" s="41">
        <v>2.2237280297986226</v>
      </c>
      <c r="AA886" s="41">
        <v>2.2944433840718892</v>
      </c>
      <c r="AB886" s="41">
        <v>2.2341767405230057</v>
      </c>
      <c r="AC886" s="41">
        <v>2.2624806304022251</v>
      </c>
      <c r="AD886" s="41">
        <v>2.3100079927720474</v>
      </c>
      <c r="AE886" s="41">
        <v>2.1220048777816523</v>
      </c>
      <c r="AF886" s="41">
        <v>2.365937305387547</v>
      </c>
      <c r="AG886" s="41">
        <v>2.4799684931745709</v>
      </c>
      <c r="AH886" s="41">
        <v>2.5366463166226429</v>
      </c>
      <c r="AI886" s="41">
        <v>2.3565014272552718</v>
      </c>
      <c r="AJ886" s="41">
        <v>2.2787709059376415</v>
      </c>
      <c r="AK886" s="41">
        <v>2.2722516619535922</v>
      </c>
      <c r="AL886" s="41">
        <v>2.2777069907449761</v>
      </c>
      <c r="AM886" s="41">
        <v>2.2919769188919759</v>
      </c>
      <c r="AN886" s="41">
        <v>2.3496088918205911</v>
      </c>
      <c r="AO886" s="41">
        <v>2.5720545817157396</v>
      </c>
      <c r="AP886" s="41">
        <v>2.5408365363524146</v>
      </c>
      <c r="AQ886" s="41">
        <v>2.4980746146048984</v>
      </c>
      <c r="AR886" s="41">
        <v>2.2557050858077625</v>
      </c>
      <c r="AS886" s="41">
        <v>2.5048830581538994</v>
      </c>
      <c r="AT886" s="41">
        <v>2.4434965467112728</v>
      </c>
      <c r="AU886" s="41">
        <v>2.4032453335950055</v>
      </c>
      <c r="AV886" s="41">
        <v>2.1757774135088632</v>
      </c>
      <c r="AW886" s="41">
        <v>2.2002094602436109</v>
      </c>
      <c r="AX886" s="41">
        <v>2.9656498563794167</v>
      </c>
      <c r="AY886" s="41">
        <v>2.4265117760837809</v>
      </c>
      <c r="AZ886" s="41">
        <v>2.105849518605877</v>
      </c>
      <c r="BA886" s="41"/>
      <c r="BB886" s="41"/>
      <c r="BC886" s="41">
        <v>3.8759164044274304</v>
      </c>
      <c r="BD886" s="41">
        <v>2.9969576480971458</v>
      </c>
      <c r="BE886" s="41">
        <v>3.5553882591873687</v>
      </c>
      <c r="BF886" s="41">
        <v>3.6474003099242402</v>
      </c>
      <c r="BG886" s="41"/>
      <c r="BH886" s="41"/>
      <c r="BI886" s="41"/>
      <c r="BJ886" s="41"/>
      <c r="BK886" s="41"/>
      <c r="BL886" s="41"/>
      <c r="BM886" s="41"/>
      <c r="BN886" s="54">
        <f t="shared" si="15"/>
        <v>3.6474003099242402</v>
      </c>
    </row>
    <row r="887" spans="2:66" x14ac:dyDescent="0.35">
      <c r="B887" s="41" t="s">
        <v>368</v>
      </c>
      <c r="C887" s="41" t="s">
        <v>369</v>
      </c>
      <c r="D887" s="41" t="s">
        <v>628</v>
      </c>
      <c r="E887" s="41" t="s">
        <v>629</v>
      </c>
      <c r="F887" s="41">
        <v>0.92014068075675493</v>
      </c>
      <c r="G887" s="41"/>
      <c r="H887" s="41"/>
      <c r="I887" s="41"/>
      <c r="J887" s="41"/>
      <c r="K887" s="41"/>
      <c r="L887" s="41"/>
      <c r="M887" s="41"/>
      <c r="N887" s="41"/>
      <c r="O887" s="41"/>
      <c r="P887" s="41">
        <v>0.9674259965935863</v>
      </c>
      <c r="Q887" s="41"/>
      <c r="R887" s="41"/>
      <c r="S887" s="41"/>
      <c r="T887" s="41"/>
      <c r="U887" s="41">
        <v>0.88783230114551148</v>
      </c>
      <c r="V887" s="41"/>
      <c r="W887" s="41"/>
      <c r="X887" s="41"/>
      <c r="Y887" s="41"/>
      <c r="Z887" s="41">
        <v>1.0389909371006885</v>
      </c>
      <c r="AA887" s="41"/>
      <c r="AB887" s="41"/>
      <c r="AC887" s="41"/>
      <c r="AD887" s="41"/>
      <c r="AE887" s="41">
        <v>1.1071949843192255</v>
      </c>
      <c r="AF887" s="41"/>
      <c r="AG887" s="41"/>
      <c r="AH887" s="41"/>
      <c r="AI887" s="41"/>
      <c r="AJ887" s="41"/>
      <c r="AK887" s="41">
        <v>1.0902456227449662</v>
      </c>
      <c r="AL887" s="41"/>
      <c r="AM887" s="41"/>
      <c r="AN887" s="41"/>
      <c r="AO887" s="41"/>
      <c r="AP887" s="41"/>
      <c r="AQ887" s="41"/>
      <c r="AR887" s="41"/>
      <c r="AS887" s="41"/>
      <c r="AT887" s="41"/>
      <c r="AU887" s="41"/>
      <c r="AV887" s="41">
        <v>0.92328389667531285</v>
      </c>
      <c r="AW887" s="41">
        <v>1.1867955831751253</v>
      </c>
      <c r="AX887" s="41"/>
      <c r="AY887" s="41">
        <v>1.2199385789790524</v>
      </c>
      <c r="AZ887" s="41"/>
      <c r="BA887" s="41"/>
      <c r="BB887" s="41"/>
      <c r="BC887" s="41"/>
      <c r="BD887" s="41"/>
      <c r="BE887" s="41">
        <v>1.225174071977523</v>
      </c>
      <c r="BF887" s="41"/>
      <c r="BG887" s="41"/>
      <c r="BH887" s="41"/>
      <c r="BI887" s="41"/>
      <c r="BJ887" s="41"/>
      <c r="BK887" s="41"/>
      <c r="BL887" s="41"/>
      <c r="BM887" s="41"/>
      <c r="BN887" s="54">
        <f t="shared" si="15"/>
        <v>1.225174071977523</v>
      </c>
    </row>
    <row r="888" spans="2:66" x14ac:dyDescent="0.35">
      <c r="B888" s="41" t="s">
        <v>370</v>
      </c>
      <c r="C888" s="41" t="s">
        <v>371</v>
      </c>
      <c r="D888" s="41" t="s">
        <v>628</v>
      </c>
      <c r="E888" s="41" t="s">
        <v>629</v>
      </c>
      <c r="F888" s="41"/>
      <c r="G888" s="41"/>
      <c r="H888" s="41"/>
      <c r="I888" s="41"/>
      <c r="J888" s="41"/>
      <c r="K888" s="41"/>
      <c r="L888" s="41"/>
      <c r="M888" s="41"/>
      <c r="N888" s="41"/>
      <c r="O888" s="41"/>
      <c r="P888" s="41">
        <v>2.5604409087819779</v>
      </c>
      <c r="Q888" s="41"/>
      <c r="R888" s="41"/>
      <c r="S888" s="41"/>
      <c r="T888" s="41"/>
      <c r="U888" s="41">
        <v>1.9170610784265285</v>
      </c>
      <c r="V888" s="41">
        <v>2.1282376747925764</v>
      </c>
      <c r="W888" s="41"/>
      <c r="X888" s="41"/>
      <c r="Y888" s="41"/>
      <c r="Z888" s="41">
        <v>3.3245762216168999</v>
      </c>
      <c r="AA888" s="41">
        <v>2.4382876835587126</v>
      </c>
      <c r="AB888" s="41">
        <v>2.3829888855423045</v>
      </c>
      <c r="AC888" s="41">
        <v>2.4117675291027241</v>
      </c>
      <c r="AD888" s="41">
        <v>2.4561714855828503</v>
      </c>
      <c r="AE888" s="41">
        <v>3.286506784882953</v>
      </c>
      <c r="AF888" s="41">
        <v>2.3968444982000801</v>
      </c>
      <c r="AG888" s="41"/>
      <c r="AH888" s="41"/>
      <c r="AI888" s="41">
        <v>2.4876547655988452</v>
      </c>
      <c r="AJ888" s="41">
        <v>2.3412316030651796</v>
      </c>
      <c r="AK888" s="41">
        <v>2.4209089486325808</v>
      </c>
      <c r="AL888" s="41">
        <v>2.4288536459920791</v>
      </c>
      <c r="AM888" s="41">
        <v>3.435135505159753</v>
      </c>
      <c r="AN888" s="41">
        <v>3.5270168254647105</v>
      </c>
      <c r="AO888" s="41">
        <v>3.8012461688585653</v>
      </c>
      <c r="AP888" s="41">
        <v>3.8035866737978621</v>
      </c>
      <c r="AQ888" s="41">
        <v>3.7071163902586619</v>
      </c>
      <c r="AR888" s="41">
        <v>3.3931815174459792</v>
      </c>
      <c r="AS888" s="41">
        <v>3.7006778361321988</v>
      </c>
      <c r="AT888" s="41">
        <v>3.6116040938520952</v>
      </c>
      <c r="AU888" s="41">
        <v>3.3708232843092727</v>
      </c>
      <c r="AV888" s="41">
        <v>3.0847648618839263</v>
      </c>
      <c r="AW888" s="41">
        <v>3.4136565935856353</v>
      </c>
      <c r="AX888" s="41">
        <v>4.0250213497128975</v>
      </c>
      <c r="AY888" s="41">
        <v>3.3582224287216431</v>
      </c>
      <c r="AZ888" s="41">
        <v>3.171012411766156</v>
      </c>
      <c r="BA888" s="41"/>
      <c r="BB888" s="41"/>
      <c r="BC888" s="41">
        <v>4.7782421783256428</v>
      </c>
      <c r="BD888" s="41">
        <v>3.0072930745980861</v>
      </c>
      <c r="BE888" s="41">
        <v>3.5498561092414782</v>
      </c>
      <c r="BF888" s="41">
        <v>4.4436004873796424</v>
      </c>
      <c r="BG888" s="41"/>
      <c r="BH888" s="41"/>
      <c r="BI888" s="41"/>
      <c r="BJ888" s="41"/>
      <c r="BK888" s="41"/>
      <c r="BL888" s="41"/>
      <c r="BM888" s="41"/>
      <c r="BN888" s="54">
        <f t="shared" si="15"/>
        <v>4.4436004873796424</v>
      </c>
    </row>
    <row r="889" spans="2:66" x14ac:dyDescent="0.35">
      <c r="B889" s="41" t="s">
        <v>384</v>
      </c>
      <c r="C889" s="41" t="s">
        <v>385</v>
      </c>
      <c r="D889" s="41" t="s">
        <v>628</v>
      </c>
      <c r="E889" s="41" t="s">
        <v>629</v>
      </c>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v>10.647881393051197</v>
      </c>
      <c r="AF889" s="41">
        <v>10.69960348321656</v>
      </c>
      <c r="AG889" s="41">
        <v>10.731692249671609</v>
      </c>
      <c r="AH889" s="41">
        <v>10.764226102513124</v>
      </c>
      <c r="AI889" s="41">
        <v>10.785096813596414</v>
      </c>
      <c r="AJ889" s="41">
        <v>10.772121014754356</v>
      </c>
      <c r="AK889" s="41">
        <v>10.527971479941213</v>
      </c>
      <c r="AL889" s="41">
        <v>10.283776701611817</v>
      </c>
      <c r="AM889" s="41">
        <v>10.103069911052978</v>
      </c>
      <c r="AN889" s="41">
        <v>9.7999103685944302</v>
      </c>
      <c r="AO889" s="41">
        <v>9.5780944160588426</v>
      </c>
      <c r="AP889" s="41">
        <v>9.1615508082623087</v>
      </c>
      <c r="AQ889" s="41">
        <v>8.6269556204966609</v>
      </c>
      <c r="AR889" s="41">
        <v>8.3037535671264511</v>
      </c>
      <c r="AS889" s="41">
        <v>8.0750100679826122</v>
      </c>
      <c r="AT889" s="41">
        <v>7.9434320633968323</v>
      </c>
      <c r="AU889" s="41">
        <v>7.845315758331437</v>
      </c>
      <c r="AV889" s="41">
        <v>7.7677174453057676</v>
      </c>
      <c r="AW889" s="41">
        <v>7.5939839791801784</v>
      </c>
      <c r="AX889" s="41">
        <v>7.2920234598650433</v>
      </c>
      <c r="AY889" s="41">
        <v>7.2059179484001969</v>
      </c>
      <c r="AZ889" s="41">
        <v>7.1653136170917406</v>
      </c>
      <c r="BA889" s="41">
        <v>6.9725578700635387</v>
      </c>
      <c r="BB889" s="41">
        <v>6.9101077130156234</v>
      </c>
      <c r="BC889" s="41">
        <v>6.8891524282934258</v>
      </c>
      <c r="BD889" s="41">
        <v>6.7141315224360349</v>
      </c>
      <c r="BE889" s="41">
        <v>6.526889307883553</v>
      </c>
      <c r="BF889" s="41">
        <v>6.4621489237342944</v>
      </c>
      <c r="BG889" s="41">
        <v>6.3536554875275035</v>
      </c>
      <c r="BH889" s="41"/>
      <c r="BI889" s="41"/>
      <c r="BJ889" s="41"/>
      <c r="BK889" s="41"/>
      <c r="BL889" s="41"/>
      <c r="BM889" s="41"/>
      <c r="BN889" s="54">
        <f t="shared" si="15"/>
        <v>6.3536554875275035</v>
      </c>
    </row>
    <row r="890" spans="2:66" x14ac:dyDescent="0.35">
      <c r="B890" s="41" t="s">
        <v>382</v>
      </c>
      <c r="C890" s="41" t="s">
        <v>383</v>
      </c>
      <c r="D890" s="41" t="s">
        <v>628</v>
      </c>
      <c r="E890" s="41" t="s">
        <v>629</v>
      </c>
      <c r="F890" s="41"/>
      <c r="G890" s="41"/>
      <c r="H890" s="41"/>
      <c r="I890" s="41"/>
      <c r="J890" s="41"/>
      <c r="K890" s="41"/>
      <c r="L890" s="41"/>
      <c r="M890" s="41"/>
      <c r="N890" s="41"/>
      <c r="O890" s="41"/>
      <c r="P890" s="41"/>
      <c r="Q890" s="41"/>
      <c r="R890" s="41"/>
      <c r="S890" s="41"/>
      <c r="T890" s="41"/>
      <c r="U890" s="41"/>
      <c r="V890" s="41"/>
      <c r="W890" s="41"/>
      <c r="X890" s="41"/>
      <c r="Y890" s="41"/>
      <c r="Z890" s="41">
        <v>9.1576921109640672</v>
      </c>
      <c r="AA890" s="41"/>
      <c r="AB890" s="41"/>
      <c r="AC890" s="41"/>
      <c r="AD890" s="41"/>
      <c r="AE890" s="41">
        <v>9.5903866634651962</v>
      </c>
      <c r="AF890" s="41">
        <v>9.6761364320873895</v>
      </c>
      <c r="AG890" s="41">
        <v>9.657898595618196</v>
      </c>
      <c r="AH890" s="41">
        <v>9.6259404045284374</v>
      </c>
      <c r="AI890" s="41">
        <v>9.5697576288973547</v>
      </c>
      <c r="AJ890" s="41">
        <v>9.1682881464211405</v>
      </c>
      <c r="AK890" s="41">
        <v>9.0313720961776127</v>
      </c>
      <c r="AL890" s="41">
        <v>8.7010240893671114</v>
      </c>
      <c r="AM890" s="41">
        <v>8.5243094675918822</v>
      </c>
      <c r="AN890" s="41">
        <v>8.3277769968538315</v>
      </c>
      <c r="AO890" s="41">
        <v>8.133391246696652</v>
      </c>
      <c r="AP890" s="41">
        <v>7.908296498571632</v>
      </c>
      <c r="AQ890" s="41">
        <v>7.5473841706170379</v>
      </c>
      <c r="AR890" s="41">
        <v>7.3030722003386241</v>
      </c>
      <c r="AS890" s="41">
        <v>7.0957499625425724</v>
      </c>
      <c r="AT890" s="41">
        <v>6.9693971787262292</v>
      </c>
      <c r="AU890" s="41">
        <v>6.9585250016874056</v>
      </c>
      <c r="AV890" s="41">
        <v>6.8179359855156436</v>
      </c>
      <c r="AW890" s="41">
        <v>6.7238296078481987</v>
      </c>
      <c r="AX890" s="41">
        <v>6.5277522156009837</v>
      </c>
      <c r="AY890" s="41">
        <v>6.4423706219355035</v>
      </c>
      <c r="AZ890" s="41">
        <v>6.3576100162742195</v>
      </c>
      <c r="BA890" s="41">
        <v>6.2152038577770492</v>
      </c>
      <c r="BB890" s="41">
        <v>6.1361242774446971</v>
      </c>
      <c r="BC890" s="41">
        <v>6.0871665633742555</v>
      </c>
      <c r="BD890" s="41">
        <v>5.9797164022951739</v>
      </c>
      <c r="BE890" s="41">
        <v>5.8554030012948486</v>
      </c>
      <c r="BF890" s="41">
        <v>5.804723767468837</v>
      </c>
      <c r="BG890" s="41">
        <v>5.9249214621143169</v>
      </c>
      <c r="BH890" s="41"/>
      <c r="BI890" s="41"/>
      <c r="BJ890" s="41"/>
      <c r="BK890" s="41"/>
      <c r="BL890" s="41"/>
      <c r="BM890" s="41"/>
      <c r="BN890" s="54">
        <f t="shared" si="15"/>
        <v>5.9249214621143169</v>
      </c>
    </row>
    <row r="891" spans="2:66" x14ac:dyDescent="0.35">
      <c r="B891" s="41" t="s">
        <v>376</v>
      </c>
      <c r="C891" s="41" t="s">
        <v>38</v>
      </c>
      <c r="D891" s="41" t="s">
        <v>628</v>
      </c>
      <c r="E891" s="41" t="s">
        <v>629</v>
      </c>
      <c r="F891" s="41">
        <v>1.8706915378570601</v>
      </c>
      <c r="G891" s="41"/>
      <c r="H891" s="41"/>
      <c r="I891" s="41"/>
      <c r="J891" s="41"/>
      <c r="K891" s="41"/>
      <c r="L891" s="41"/>
      <c r="M891" s="41"/>
      <c r="N891" s="41"/>
      <c r="O891" s="41"/>
      <c r="P891" s="41">
        <v>2.34910011291504</v>
      </c>
      <c r="Q891" s="41"/>
      <c r="R891" s="41"/>
      <c r="S891" s="41"/>
      <c r="T891" s="41"/>
      <c r="U891" s="41">
        <v>2.5462999343872101</v>
      </c>
      <c r="V891" s="41"/>
      <c r="W891" s="41"/>
      <c r="X891" s="41"/>
      <c r="Y891" s="41"/>
      <c r="Z891" s="41">
        <v>1.90719997882843</v>
      </c>
      <c r="AA891" s="41"/>
      <c r="AB891" s="41"/>
      <c r="AC891" s="41"/>
      <c r="AD891" s="41"/>
      <c r="AE891" s="41"/>
      <c r="AF891" s="41"/>
      <c r="AG891" s="41"/>
      <c r="AH891" s="41"/>
      <c r="AI891" s="41"/>
      <c r="AJ891" s="41">
        <v>1.6440999508</v>
      </c>
      <c r="AK891" s="41"/>
      <c r="AL891" s="41"/>
      <c r="AM891" s="41">
        <v>1.6000000238000001</v>
      </c>
      <c r="AN891" s="41"/>
      <c r="AO891" s="41"/>
      <c r="AP891" s="41">
        <v>1.5499999523000001</v>
      </c>
      <c r="AQ891" s="41"/>
      <c r="AR891" s="41"/>
      <c r="AS891" s="41"/>
      <c r="AT891" s="41"/>
      <c r="AU891" s="41"/>
      <c r="AV891" s="41">
        <v>1.5</v>
      </c>
      <c r="AW891" s="41">
        <v>1.7</v>
      </c>
      <c r="AX891" s="41"/>
      <c r="AY891" s="41"/>
      <c r="AZ891" s="41"/>
      <c r="BA891" s="41">
        <v>1.5</v>
      </c>
      <c r="BB891" s="41">
        <v>1.5</v>
      </c>
      <c r="BC891" s="41">
        <v>1.5</v>
      </c>
      <c r="BD891" s="41">
        <v>1.6</v>
      </c>
      <c r="BE891" s="41">
        <v>1.6</v>
      </c>
      <c r="BF891" s="41">
        <v>1.5</v>
      </c>
      <c r="BG891" s="41">
        <v>1.5</v>
      </c>
      <c r="BH891" s="41"/>
      <c r="BI891" s="41"/>
      <c r="BJ891" s="41"/>
      <c r="BK891" s="41"/>
      <c r="BL891" s="41"/>
      <c r="BM891" s="41"/>
      <c r="BN891" s="54">
        <f t="shared" ref="BN891:BN954" si="16">IFERROR(LOOKUP(2,1/(ISNUMBER(F891:BM891)),F891:BM891),"No reported value")</f>
        <v>1.5</v>
      </c>
    </row>
    <row r="892" spans="2:66" x14ac:dyDescent="0.35">
      <c r="B892" s="41" t="s">
        <v>377</v>
      </c>
      <c r="C892" s="41" t="s">
        <v>39</v>
      </c>
      <c r="D892" s="41" t="s">
        <v>628</v>
      </c>
      <c r="E892" s="41" t="s">
        <v>629</v>
      </c>
      <c r="F892" s="41">
        <v>2.14697933197021</v>
      </c>
      <c r="G892" s="41"/>
      <c r="H892" s="41"/>
      <c r="I892" s="41"/>
      <c r="J892" s="41"/>
      <c r="K892" s="41"/>
      <c r="L892" s="41"/>
      <c r="M892" s="41"/>
      <c r="N892" s="41"/>
      <c r="O892" s="41"/>
      <c r="P892" s="41">
        <v>2.1805000305175799</v>
      </c>
      <c r="Q892" s="41"/>
      <c r="R892" s="41"/>
      <c r="S892" s="41"/>
      <c r="T892" s="41"/>
      <c r="U892" s="41">
        <v>2.03660011291504</v>
      </c>
      <c r="V892" s="41"/>
      <c r="W892" s="41"/>
      <c r="X892" s="41"/>
      <c r="Y892" s="41"/>
      <c r="Z892" s="41">
        <v>2.0262999534606898</v>
      </c>
      <c r="AA892" s="41">
        <v>2.0722000598907502</v>
      </c>
      <c r="AB892" s="41"/>
      <c r="AC892" s="41"/>
      <c r="AD892" s="41"/>
      <c r="AE892" s="41"/>
      <c r="AF892" s="41">
        <v>2.08570003509521</v>
      </c>
      <c r="AG892" s="41"/>
      <c r="AH892" s="41">
        <v>2.1247000694274898</v>
      </c>
      <c r="AI892" s="41">
        <v>2.0199000835418701</v>
      </c>
      <c r="AJ892" s="41">
        <v>2.0708999634</v>
      </c>
      <c r="AK892" s="41">
        <v>2.0241999626</v>
      </c>
      <c r="AL892" s="41">
        <v>2.0004000664000001</v>
      </c>
      <c r="AM892" s="41">
        <v>1.9292999505999999</v>
      </c>
      <c r="AN892" s="41"/>
      <c r="AO892" s="41"/>
      <c r="AP892" s="41">
        <v>2.0999999046000002</v>
      </c>
      <c r="AQ892" s="41">
        <v>2.0999999046000002</v>
      </c>
      <c r="AR892" s="41"/>
      <c r="AS892" s="41"/>
      <c r="AT892" s="41">
        <v>2.1</v>
      </c>
      <c r="AU892" s="41">
        <v>2.1</v>
      </c>
      <c r="AV892" s="41">
        <v>2.1</v>
      </c>
      <c r="AW892" s="41">
        <v>2.2000000000000002</v>
      </c>
      <c r="AX892" s="41">
        <v>2.2000000000000002</v>
      </c>
      <c r="AY892" s="41">
        <v>2.2000000000000002</v>
      </c>
      <c r="AZ892" s="41">
        <v>2.2000000000000002</v>
      </c>
      <c r="BA892" s="41">
        <v>2.1</v>
      </c>
      <c r="BB892" s="41">
        <v>2.1</v>
      </c>
      <c r="BC892" s="41">
        <v>1.7</v>
      </c>
      <c r="BD892" s="41">
        <v>1.7</v>
      </c>
      <c r="BE892" s="41">
        <v>0.5</v>
      </c>
      <c r="BF892" s="41">
        <v>0.5</v>
      </c>
      <c r="BG892" s="41">
        <v>0.5</v>
      </c>
      <c r="BH892" s="41">
        <v>1.6</v>
      </c>
      <c r="BI892" s="41"/>
      <c r="BJ892" s="41"/>
      <c r="BK892" s="41"/>
      <c r="BL892" s="41"/>
      <c r="BM892" s="41"/>
      <c r="BN892" s="54">
        <f t="shared" si="16"/>
        <v>1.6</v>
      </c>
    </row>
    <row r="893" spans="2:66" x14ac:dyDescent="0.35">
      <c r="B893" s="41" t="s">
        <v>380</v>
      </c>
      <c r="C893" s="41" t="s">
        <v>381</v>
      </c>
      <c r="D893" s="41" t="s">
        <v>628</v>
      </c>
      <c r="E893" s="41" t="s">
        <v>629</v>
      </c>
      <c r="F893" s="41"/>
      <c r="G893" s="41"/>
      <c r="H893" s="41"/>
      <c r="I893" s="41"/>
      <c r="J893" s="41"/>
      <c r="K893" s="41"/>
      <c r="L893" s="41"/>
      <c r="M893" s="41"/>
      <c r="N893" s="41"/>
      <c r="O893" s="41"/>
      <c r="P893" s="41">
        <v>9.6521868385000644</v>
      </c>
      <c r="Q893" s="41"/>
      <c r="R893" s="41"/>
      <c r="S893" s="41"/>
      <c r="T893" s="41"/>
      <c r="U893" s="41"/>
      <c r="V893" s="41"/>
      <c r="W893" s="41"/>
      <c r="X893" s="41"/>
      <c r="Y893" s="41"/>
      <c r="Z893" s="41">
        <v>9.9420886777830777</v>
      </c>
      <c r="AA893" s="41"/>
      <c r="AB893" s="41"/>
      <c r="AC893" s="41"/>
      <c r="AD893" s="41"/>
      <c r="AE893" s="41">
        <v>9.075240271891257</v>
      </c>
      <c r="AF893" s="41"/>
      <c r="AG893" s="41"/>
      <c r="AH893" s="41"/>
      <c r="AI893" s="41"/>
      <c r="AJ893" s="41">
        <v>8.2412360403579328</v>
      </c>
      <c r="AK893" s="41">
        <v>8.0306240544810166</v>
      </c>
      <c r="AL893" s="41">
        <v>7.9077186424865422</v>
      </c>
      <c r="AM893" s="41">
        <v>7.7492458438421608</v>
      </c>
      <c r="AN893" s="41">
        <v>7.6486468837808177</v>
      </c>
      <c r="AO893" s="41">
        <v>7.5170944921046079</v>
      </c>
      <c r="AP893" s="41">
        <v>7.5023342470456527</v>
      </c>
      <c r="AQ893" s="41">
        <v>7.2348930466716697</v>
      </c>
      <c r="AR893" s="41">
        <v>7.0734917676958302</v>
      </c>
      <c r="AS893" s="41">
        <v>6.8794890069709806</v>
      </c>
      <c r="AT893" s="41">
        <v>6.721156724913099</v>
      </c>
      <c r="AU893" s="41">
        <v>6.6187218926077271</v>
      </c>
      <c r="AV893" s="41">
        <v>6.4973341818610564</v>
      </c>
      <c r="AW893" s="41">
        <v>6.3406305924854127</v>
      </c>
      <c r="AX893" s="41">
        <v>6.2100520963119461</v>
      </c>
      <c r="AY893" s="41">
        <v>6.14497378543303</v>
      </c>
      <c r="AZ893" s="41">
        <v>6.0038504592078734</v>
      </c>
      <c r="BA893" s="41">
        <v>5.9403162901826638</v>
      </c>
      <c r="BB893" s="41">
        <v>5.8257270773313774</v>
      </c>
      <c r="BC893" s="41">
        <v>5.7369896993653624</v>
      </c>
      <c r="BD893" s="41">
        <v>5.7135257237066037</v>
      </c>
      <c r="BE893" s="41">
        <v>5.6436411656663612</v>
      </c>
      <c r="BF893" s="41">
        <v>5.5763100928481117</v>
      </c>
      <c r="BG893" s="41">
        <v>6.1674908124806294</v>
      </c>
      <c r="BH893" s="41"/>
      <c r="BI893" s="41"/>
      <c r="BJ893" s="41"/>
      <c r="BK893" s="41"/>
      <c r="BL893" s="41"/>
      <c r="BM893" s="41"/>
      <c r="BN893" s="54">
        <f t="shared" si="16"/>
        <v>6.1674908124806294</v>
      </c>
    </row>
    <row r="894" spans="2:66" x14ac:dyDescent="0.35">
      <c r="B894" s="41" t="s">
        <v>192</v>
      </c>
      <c r="C894" s="41" t="s">
        <v>168</v>
      </c>
      <c r="D894" s="41" t="s">
        <v>628</v>
      </c>
      <c r="E894" s="41" t="s">
        <v>629</v>
      </c>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v>1.2</v>
      </c>
      <c r="BA894" s="41"/>
      <c r="BB894" s="41"/>
      <c r="BC894" s="41"/>
      <c r="BD894" s="41"/>
      <c r="BE894" s="41">
        <v>0.7</v>
      </c>
      <c r="BF894" s="41"/>
      <c r="BG894" s="41"/>
      <c r="BH894" s="41"/>
      <c r="BI894" s="41"/>
      <c r="BJ894" s="41"/>
      <c r="BK894" s="41"/>
      <c r="BL894" s="41"/>
      <c r="BM894" s="41"/>
      <c r="BN894" s="54">
        <f t="shared" si="16"/>
        <v>0.7</v>
      </c>
    </row>
    <row r="895" spans="2:66" x14ac:dyDescent="0.35">
      <c r="B895" s="41" t="s">
        <v>529</v>
      </c>
      <c r="C895" s="41" t="s">
        <v>40</v>
      </c>
      <c r="D895" s="41" t="s">
        <v>628</v>
      </c>
      <c r="E895" s="41" t="s">
        <v>629</v>
      </c>
      <c r="F895" s="41"/>
      <c r="G895" s="41"/>
      <c r="H895" s="41"/>
      <c r="I895" s="41"/>
      <c r="J895" s="41"/>
      <c r="K895" s="41"/>
      <c r="L895" s="41"/>
      <c r="M895" s="41"/>
      <c r="N895" s="41"/>
      <c r="O895" s="41"/>
      <c r="P895" s="41">
        <v>4.6999998092651403</v>
      </c>
      <c r="Q895" s="41"/>
      <c r="R895" s="41"/>
      <c r="S895" s="41"/>
      <c r="T895" s="41"/>
      <c r="U895" s="41"/>
      <c r="V895" s="41"/>
      <c r="W895" s="41"/>
      <c r="X895" s="41"/>
      <c r="Y895" s="41">
        <v>5.5</v>
      </c>
      <c r="Z895" s="41">
        <v>5.4000000953674299</v>
      </c>
      <c r="AA895" s="41">
        <v>5.4000000953674299</v>
      </c>
      <c r="AB895" s="41">
        <v>5.4000000953674299</v>
      </c>
      <c r="AC895" s="41">
        <v>5.1999998092651403</v>
      </c>
      <c r="AD895" s="41">
        <v>5</v>
      </c>
      <c r="AE895" s="41">
        <v>4.9000000953674299</v>
      </c>
      <c r="AF895" s="41">
        <v>4.8000001907348597</v>
      </c>
      <c r="AG895" s="41">
        <v>4.8000001907348597</v>
      </c>
      <c r="AH895" s="41">
        <v>4.6999998092651403</v>
      </c>
      <c r="AI895" s="41">
        <v>4.6999998092651403</v>
      </c>
      <c r="AJ895" s="41">
        <v>4.5999999045999997</v>
      </c>
      <c r="AK895" s="41">
        <v>4.5999999045999997</v>
      </c>
      <c r="AL895" s="41">
        <v>4.5</v>
      </c>
      <c r="AM895" s="41">
        <v>4.4000000954000003</v>
      </c>
      <c r="AN895" s="41">
        <v>4.4000000954000003</v>
      </c>
      <c r="AO895" s="41">
        <v>4.3000001906999996</v>
      </c>
      <c r="AP895" s="41">
        <v>4.3000001906999996</v>
      </c>
      <c r="AQ895" s="41">
        <v>4.1999998093000004</v>
      </c>
      <c r="AR895" s="41">
        <v>4.1999998093000004</v>
      </c>
      <c r="AS895" s="41">
        <v>4.0999999045999997</v>
      </c>
      <c r="AT895" s="41">
        <v>3.7</v>
      </c>
      <c r="AU895" s="41">
        <v>3.6</v>
      </c>
      <c r="AV895" s="41">
        <v>3.5</v>
      </c>
      <c r="AW895" s="41">
        <v>3.5</v>
      </c>
      <c r="AX895" s="41">
        <v>3.4</v>
      </c>
      <c r="AY895" s="41">
        <v>3.4</v>
      </c>
      <c r="AZ895" s="41">
        <v>3.3</v>
      </c>
      <c r="BA895" s="41">
        <v>3.3</v>
      </c>
      <c r="BB895" s="41">
        <v>3.2</v>
      </c>
      <c r="BC895" s="41">
        <v>3.2</v>
      </c>
      <c r="BD895" s="41">
        <v>3.2</v>
      </c>
      <c r="BE895" s="41">
        <v>3.1</v>
      </c>
      <c r="BF895" s="41">
        <v>3</v>
      </c>
      <c r="BG895" s="41">
        <v>3</v>
      </c>
      <c r="BH895" s="41"/>
      <c r="BI895" s="41"/>
      <c r="BJ895" s="41"/>
      <c r="BK895" s="41"/>
      <c r="BL895" s="41"/>
      <c r="BM895" s="41"/>
      <c r="BN895" s="54">
        <f t="shared" si="16"/>
        <v>3</v>
      </c>
    </row>
    <row r="896" spans="2:66" x14ac:dyDescent="0.35">
      <c r="B896" s="41" t="s">
        <v>378</v>
      </c>
      <c r="C896" s="41" t="s">
        <v>41</v>
      </c>
      <c r="D896" s="41" t="s">
        <v>628</v>
      </c>
      <c r="E896" s="41" t="s">
        <v>629</v>
      </c>
      <c r="F896" s="41"/>
      <c r="G896" s="41"/>
      <c r="H896" s="41"/>
      <c r="I896" s="41"/>
      <c r="J896" s="41"/>
      <c r="K896" s="41"/>
      <c r="L896" s="41"/>
      <c r="M896" s="41"/>
      <c r="N896" s="41"/>
      <c r="O896" s="41"/>
      <c r="P896" s="41"/>
      <c r="Q896" s="41"/>
      <c r="R896" s="41"/>
      <c r="S896" s="41"/>
      <c r="T896" s="41"/>
      <c r="U896" s="41"/>
      <c r="V896" s="41"/>
      <c r="W896" s="41"/>
      <c r="X896" s="41"/>
      <c r="Y896" s="41"/>
      <c r="Z896" s="41">
        <v>12.1850996017456</v>
      </c>
      <c r="AA896" s="41"/>
      <c r="AB896" s="41"/>
      <c r="AC896" s="41"/>
      <c r="AD896" s="41"/>
      <c r="AE896" s="41">
        <v>12.2743997573853</v>
      </c>
      <c r="AF896" s="41">
        <v>12.265199661254901</v>
      </c>
      <c r="AG896" s="41">
        <v>12.1365003585815</v>
      </c>
      <c r="AH896" s="41">
        <v>12.026700019836399</v>
      </c>
      <c r="AI896" s="41">
        <v>11.9308004379272</v>
      </c>
      <c r="AJ896" s="41">
        <v>11.6106004715</v>
      </c>
      <c r="AK896" s="41">
        <v>11.289199829099999</v>
      </c>
      <c r="AL896" s="41">
        <v>9.6816997528000002</v>
      </c>
      <c r="AM896" s="41">
        <v>9.6223001480000008</v>
      </c>
      <c r="AN896" s="41">
        <v>8.5613002776999991</v>
      </c>
      <c r="AO896" s="41">
        <v>8.3500003814999992</v>
      </c>
      <c r="AP896" s="41">
        <v>7.9000000954000003</v>
      </c>
      <c r="AQ896" s="41">
        <v>7.7100000380999996</v>
      </c>
      <c r="AR896" s="41">
        <v>7.5799999237</v>
      </c>
      <c r="AS896" s="41">
        <v>7.5300002097999998</v>
      </c>
      <c r="AT896" s="41">
        <v>7</v>
      </c>
      <c r="AU896" s="41">
        <v>6.6</v>
      </c>
      <c r="AV896" s="41">
        <v>6</v>
      </c>
      <c r="AW896" s="41">
        <v>5.7</v>
      </c>
      <c r="AX896" s="41">
        <v>5.7</v>
      </c>
      <c r="AY896" s="41">
        <v>5.4</v>
      </c>
      <c r="AZ896" s="41">
        <v>5.6</v>
      </c>
      <c r="BA896" s="41">
        <v>5.5</v>
      </c>
      <c r="BB896" s="41">
        <v>5.7</v>
      </c>
      <c r="BC896" s="41">
        <v>5.4</v>
      </c>
      <c r="BD896" s="41">
        <v>5.2</v>
      </c>
      <c r="BE896" s="41">
        <v>5.3</v>
      </c>
      <c r="BF896" s="41">
        <v>5.5</v>
      </c>
      <c r="BG896" s="41">
        <v>5</v>
      </c>
      <c r="BH896" s="41"/>
      <c r="BI896" s="41">
        <v>5</v>
      </c>
      <c r="BJ896" s="41"/>
      <c r="BK896" s="41"/>
      <c r="BL896" s="41"/>
      <c r="BM896" s="41"/>
      <c r="BN896" s="54">
        <f t="shared" si="16"/>
        <v>5</v>
      </c>
    </row>
    <row r="897" spans="2:66" x14ac:dyDescent="0.35">
      <c r="B897" s="41" t="s">
        <v>194</v>
      </c>
      <c r="C897" s="41" t="s">
        <v>42</v>
      </c>
      <c r="D897" s="41" t="s">
        <v>628</v>
      </c>
      <c r="E897" s="41" t="s">
        <v>629</v>
      </c>
      <c r="F897" s="41">
        <v>0.29423388838768</v>
      </c>
      <c r="G897" s="41"/>
      <c r="H897" s="41"/>
      <c r="I897" s="41"/>
      <c r="J897" s="41"/>
      <c r="K897" s="41"/>
      <c r="L897" s="41"/>
      <c r="M897" s="41"/>
      <c r="N897" s="41"/>
      <c r="O897" s="41"/>
      <c r="P897" s="41">
        <v>0.28519999980926503</v>
      </c>
      <c r="Q897" s="41"/>
      <c r="R897" s="41"/>
      <c r="S897" s="41"/>
      <c r="T897" s="41"/>
      <c r="U897" s="41">
        <v>0.285699993371964</v>
      </c>
      <c r="V897" s="41"/>
      <c r="W897" s="41"/>
      <c r="X897" s="41"/>
      <c r="Y897" s="41"/>
      <c r="Z897" s="41">
        <v>0.29550001025199901</v>
      </c>
      <c r="AA897" s="41"/>
      <c r="AB897" s="41"/>
      <c r="AC897" s="41"/>
      <c r="AD897" s="41"/>
      <c r="AE897" s="41"/>
      <c r="AF897" s="41"/>
      <c r="AG897" s="41"/>
      <c r="AH897" s="41"/>
      <c r="AI897" s="41"/>
      <c r="AJ897" s="41">
        <v>0.2415000051</v>
      </c>
      <c r="AK897" s="41"/>
      <c r="AL897" s="41"/>
      <c r="AM897" s="41"/>
      <c r="AN897" s="41"/>
      <c r="AO897" s="41"/>
      <c r="AP897" s="41"/>
      <c r="AQ897" s="41"/>
      <c r="AR897" s="41"/>
      <c r="AS897" s="41"/>
      <c r="AT897" s="41"/>
      <c r="AU897" s="41"/>
      <c r="AV897" s="41"/>
      <c r="AW897" s="41"/>
      <c r="AX897" s="41">
        <v>0.2</v>
      </c>
      <c r="AY897" s="41"/>
      <c r="AZ897" s="41">
        <v>0.2</v>
      </c>
      <c r="BA897" s="41"/>
      <c r="BB897" s="41">
        <v>0.2</v>
      </c>
      <c r="BC897" s="41"/>
      <c r="BD897" s="41"/>
      <c r="BE897" s="41">
        <v>6.3</v>
      </c>
      <c r="BF897" s="41"/>
      <c r="BG897" s="41"/>
      <c r="BH897" s="41"/>
      <c r="BI897" s="41">
        <v>0.3</v>
      </c>
      <c r="BJ897" s="41"/>
      <c r="BK897" s="41"/>
      <c r="BL897" s="41"/>
      <c r="BM897" s="41"/>
      <c r="BN897" s="54">
        <f t="shared" si="16"/>
        <v>0.3</v>
      </c>
    </row>
    <row r="898" spans="2:66" x14ac:dyDescent="0.35">
      <c r="B898" s="41" t="s">
        <v>388</v>
      </c>
      <c r="C898" s="41" t="s">
        <v>389</v>
      </c>
      <c r="D898" s="41" t="s">
        <v>628</v>
      </c>
      <c r="E898" s="41" t="s">
        <v>629</v>
      </c>
      <c r="F898" s="41"/>
      <c r="G898" s="41"/>
      <c r="H898" s="41"/>
      <c r="I898" s="41"/>
      <c r="J898" s="41"/>
      <c r="K898" s="41"/>
      <c r="L898" s="41"/>
      <c r="M898" s="41"/>
      <c r="N898" s="41"/>
      <c r="O898" s="41"/>
      <c r="P898" s="41">
        <v>9.2814837195679694</v>
      </c>
      <c r="Q898" s="41"/>
      <c r="R898" s="41"/>
      <c r="S898" s="41"/>
      <c r="T898" s="41"/>
      <c r="U898" s="41"/>
      <c r="V898" s="41"/>
      <c r="W898" s="41"/>
      <c r="X898" s="41"/>
      <c r="Y898" s="41"/>
      <c r="Z898" s="41">
        <v>9.3315284648278602</v>
      </c>
      <c r="AA898" s="41"/>
      <c r="AB898" s="41"/>
      <c r="AC898" s="41"/>
      <c r="AD898" s="41"/>
      <c r="AE898" s="41">
        <v>8.6898606374655696</v>
      </c>
      <c r="AF898" s="41"/>
      <c r="AG898" s="41"/>
      <c r="AH898" s="41"/>
      <c r="AI898" s="41"/>
      <c r="AJ898" s="41">
        <v>7.9149497199830394</v>
      </c>
      <c r="AK898" s="41">
        <v>7.7122804894849706</v>
      </c>
      <c r="AL898" s="41">
        <v>7.4589449037143734</v>
      </c>
      <c r="AM898" s="41">
        <v>7.30177574253117</v>
      </c>
      <c r="AN898" s="41">
        <v>7.2138291484978962</v>
      </c>
      <c r="AO898" s="41">
        <v>6.9916042197264705</v>
      </c>
      <c r="AP898" s="41">
        <v>6.9528350810373212</v>
      </c>
      <c r="AQ898" s="41">
        <v>6.7596036871030503</v>
      </c>
      <c r="AR898" s="41">
        <v>6.5575947202518403</v>
      </c>
      <c r="AS898" s="41">
        <v>6.3650354034665142</v>
      </c>
      <c r="AT898" s="41">
        <v>6.2842420263390375</v>
      </c>
      <c r="AU898" s="41">
        <v>6.2942644875254157</v>
      </c>
      <c r="AV898" s="41">
        <v>6.1414977527868801</v>
      </c>
      <c r="AW898" s="41">
        <v>6.0701597055612639</v>
      </c>
      <c r="AX898" s="41">
        <v>5.9614359247604076</v>
      </c>
      <c r="AY898" s="41">
        <v>5.8830739072176756</v>
      </c>
      <c r="AZ898" s="41">
        <v>5.764742719885299</v>
      </c>
      <c r="BA898" s="41">
        <v>5.6634509506829467</v>
      </c>
      <c r="BB898" s="41">
        <v>5.5986562394958082</v>
      </c>
      <c r="BC898" s="41">
        <v>5.5298258047834308</v>
      </c>
      <c r="BD898" s="41">
        <v>5.4358933029301104</v>
      </c>
      <c r="BE898" s="41">
        <v>5.355739772247321</v>
      </c>
      <c r="BF898" s="41">
        <v>5.3220973418402844</v>
      </c>
      <c r="BG898" s="41">
        <v>5.6014569885033216</v>
      </c>
      <c r="BH898" s="41"/>
      <c r="BI898" s="41"/>
      <c r="BJ898" s="41"/>
      <c r="BK898" s="41"/>
      <c r="BL898" s="41"/>
      <c r="BM898" s="41"/>
      <c r="BN898" s="54">
        <f t="shared" si="16"/>
        <v>5.6014569885033216</v>
      </c>
    </row>
    <row r="899" spans="2:66" x14ac:dyDescent="0.35">
      <c r="B899" s="41" t="s">
        <v>393</v>
      </c>
      <c r="C899" s="41" t="s">
        <v>394</v>
      </c>
      <c r="D899" s="41" t="s">
        <v>628</v>
      </c>
      <c r="E899" s="41" t="s">
        <v>629</v>
      </c>
      <c r="F899" s="41">
        <v>1.737769374760578</v>
      </c>
      <c r="G899" s="41"/>
      <c r="H899" s="41"/>
      <c r="I899" s="41"/>
      <c r="J899" s="41"/>
      <c r="K899" s="41"/>
      <c r="L899" s="41"/>
      <c r="M899" s="41"/>
      <c r="N899" s="41"/>
      <c r="O899" s="41"/>
      <c r="P899" s="41">
        <v>1.6668245473295027</v>
      </c>
      <c r="Q899" s="41"/>
      <c r="R899" s="41"/>
      <c r="S899" s="41"/>
      <c r="T899" s="41"/>
      <c r="U899" s="41"/>
      <c r="V899" s="41"/>
      <c r="W899" s="41"/>
      <c r="X899" s="41"/>
      <c r="Y899" s="41"/>
      <c r="Z899" s="41"/>
      <c r="AA899" s="41"/>
      <c r="AB899" s="41"/>
      <c r="AC899" s="41"/>
      <c r="AD899" s="41"/>
      <c r="AE899" s="41"/>
      <c r="AF899" s="41"/>
      <c r="AG899" s="41"/>
      <c r="AH899" s="41"/>
      <c r="AI899" s="41"/>
      <c r="AJ899" s="41">
        <v>1.1304049698107546</v>
      </c>
      <c r="AK899" s="41"/>
      <c r="AL899" s="41"/>
      <c r="AM899" s="41"/>
      <c r="AN899" s="41"/>
      <c r="AO899" s="41"/>
      <c r="AP899" s="41"/>
      <c r="AQ899" s="41"/>
      <c r="AR899" s="41"/>
      <c r="AS899" s="41"/>
      <c r="AT899" s="41"/>
      <c r="AU899" s="41"/>
      <c r="AV899" s="41"/>
      <c r="AW899" s="41"/>
      <c r="AX899" s="41"/>
      <c r="AY899" s="41"/>
      <c r="AZ899" s="41">
        <v>0.9770048657316277</v>
      </c>
      <c r="BA899" s="41"/>
      <c r="BB899" s="41"/>
      <c r="BC899" s="41"/>
      <c r="BD899" s="41"/>
      <c r="BE899" s="41"/>
      <c r="BF899" s="41"/>
      <c r="BG899" s="41"/>
      <c r="BH899" s="41"/>
      <c r="BI899" s="41"/>
      <c r="BJ899" s="41"/>
      <c r="BK899" s="41"/>
      <c r="BL899" s="41"/>
      <c r="BM899" s="41"/>
      <c r="BN899" s="54">
        <f t="shared" si="16"/>
        <v>0.9770048657316277</v>
      </c>
    </row>
    <row r="900" spans="2:66" x14ac:dyDescent="0.35">
      <c r="B900" s="41" t="s">
        <v>392</v>
      </c>
      <c r="C900" s="41" t="s">
        <v>43</v>
      </c>
      <c r="D900" s="41" t="s">
        <v>628</v>
      </c>
      <c r="E900" s="41" t="s">
        <v>629</v>
      </c>
      <c r="F900" s="41"/>
      <c r="G900" s="41"/>
      <c r="H900" s="41"/>
      <c r="I900" s="41"/>
      <c r="J900" s="41"/>
      <c r="K900" s="41"/>
      <c r="L900" s="41"/>
      <c r="M900" s="41"/>
      <c r="N900" s="41"/>
      <c r="O900" s="41"/>
      <c r="P900" s="41">
        <v>15.1000003814697</v>
      </c>
      <c r="Q900" s="41"/>
      <c r="R900" s="41"/>
      <c r="S900" s="41"/>
      <c r="T900" s="41"/>
      <c r="U900" s="41"/>
      <c r="V900" s="41"/>
      <c r="W900" s="41"/>
      <c r="X900" s="41"/>
      <c r="Y900" s="41"/>
      <c r="Z900" s="41">
        <v>15.6000003814697</v>
      </c>
      <c r="AA900" s="41"/>
      <c r="AB900" s="41"/>
      <c r="AC900" s="41"/>
      <c r="AD900" s="41"/>
      <c r="AE900" s="41">
        <v>14</v>
      </c>
      <c r="AF900" s="41"/>
      <c r="AG900" s="41"/>
      <c r="AH900" s="41"/>
      <c r="AI900" s="41"/>
      <c r="AJ900" s="41">
        <v>12.5</v>
      </c>
      <c r="AK900" s="41">
        <v>11.199999809299999</v>
      </c>
      <c r="AL900" s="41">
        <v>11</v>
      </c>
      <c r="AM900" s="41">
        <v>10</v>
      </c>
      <c r="AN900" s="41">
        <v>10</v>
      </c>
      <c r="AO900" s="41">
        <v>9.3000001907000005</v>
      </c>
      <c r="AP900" s="41">
        <v>9.1999998092999995</v>
      </c>
      <c r="AQ900" s="41">
        <v>7.9000000954000003</v>
      </c>
      <c r="AR900" s="41">
        <v>7.8000001906999996</v>
      </c>
      <c r="AS900" s="41">
        <v>7.5999999045999997</v>
      </c>
      <c r="AT900" s="41">
        <v>7.5</v>
      </c>
      <c r="AU900" s="41">
        <v>7.5</v>
      </c>
      <c r="AV900" s="41">
        <v>7.4</v>
      </c>
      <c r="AW900" s="41">
        <v>7.2</v>
      </c>
      <c r="AX900" s="41">
        <v>7.1</v>
      </c>
      <c r="AY900" s="41">
        <v>7.1</v>
      </c>
      <c r="AZ900" s="41">
        <v>7</v>
      </c>
      <c r="BA900" s="41">
        <v>6.7</v>
      </c>
      <c r="BB900" s="41">
        <v>6.5</v>
      </c>
      <c r="BC900" s="41">
        <v>6.3</v>
      </c>
      <c r="BD900" s="41">
        <v>5.9</v>
      </c>
      <c r="BE900" s="41">
        <v>5.5</v>
      </c>
      <c r="BF900" s="41">
        <v>5.3</v>
      </c>
      <c r="BG900" s="41">
        <v>4.9000000000000004</v>
      </c>
      <c r="BH900" s="41"/>
      <c r="BI900" s="41">
        <v>4.4000000000000004</v>
      </c>
      <c r="BJ900" s="41"/>
      <c r="BK900" s="41"/>
      <c r="BL900" s="41"/>
      <c r="BM900" s="41"/>
      <c r="BN900" s="54">
        <f t="shared" si="16"/>
        <v>4.4000000000000004</v>
      </c>
    </row>
    <row r="901" spans="2:66" x14ac:dyDescent="0.35">
      <c r="B901" s="41" t="s">
        <v>248</v>
      </c>
      <c r="C901" s="41" t="s">
        <v>44</v>
      </c>
      <c r="D901" s="41" t="s">
        <v>628</v>
      </c>
      <c r="E901" s="41" t="s">
        <v>629</v>
      </c>
      <c r="F901" s="41">
        <v>4.04060935974121</v>
      </c>
      <c r="G901" s="41"/>
      <c r="H901" s="41"/>
      <c r="I901" s="41"/>
      <c r="J901" s="41"/>
      <c r="K901" s="41"/>
      <c r="L901" s="41"/>
      <c r="M901" s="41"/>
      <c r="N901" s="41"/>
      <c r="O901" s="41"/>
      <c r="P901" s="41">
        <v>2.9096000194549601</v>
      </c>
      <c r="Q901" s="41"/>
      <c r="R901" s="41"/>
      <c r="S901" s="41"/>
      <c r="T901" s="41"/>
      <c r="U901" s="41">
        <v>3.3333001136779798</v>
      </c>
      <c r="V901" s="41"/>
      <c r="W901" s="41"/>
      <c r="X901" s="41"/>
      <c r="Y901" s="41"/>
      <c r="Z901" s="41">
        <v>2.8138999938964799</v>
      </c>
      <c r="AA901" s="41">
        <v>2.7460999488830602</v>
      </c>
      <c r="AB901" s="41"/>
      <c r="AC901" s="41"/>
      <c r="AD901" s="41"/>
      <c r="AE901" s="41"/>
      <c r="AF901" s="41"/>
      <c r="AG901" s="41"/>
      <c r="AH901" s="41"/>
      <c r="AI901" s="41"/>
      <c r="AJ901" s="41"/>
      <c r="AK901" s="41"/>
      <c r="AL901" s="41"/>
      <c r="AM901" s="41"/>
      <c r="AN901" s="41"/>
      <c r="AO901" s="41"/>
      <c r="AP901" s="41"/>
      <c r="AQ901" s="41"/>
      <c r="AR901" s="41"/>
      <c r="AS901" s="41">
        <v>2.6</v>
      </c>
      <c r="AT901" s="41"/>
      <c r="AU901" s="41"/>
      <c r="AV901" s="41"/>
      <c r="AW901" s="41"/>
      <c r="AX901" s="41">
        <v>2.1</v>
      </c>
      <c r="AY901" s="41">
        <v>2.09</v>
      </c>
      <c r="AZ901" s="41"/>
      <c r="BA901" s="41"/>
      <c r="BB901" s="41">
        <v>2.1</v>
      </c>
      <c r="BC901" s="41">
        <v>2.1</v>
      </c>
      <c r="BD901" s="41"/>
      <c r="BE901" s="41">
        <v>2.2999999999999998</v>
      </c>
      <c r="BF901" s="41"/>
      <c r="BG901" s="41"/>
      <c r="BH901" s="41"/>
      <c r="BI901" s="41"/>
      <c r="BJ901" s="41"/>
      <c r="BK901" s="41"/>
      <c r="BL901" s="41"/>
      <c r="BM901" s="41"/>
      <c r="BN901" s="54">
        <f t="shared" si="16"/>
        <v>2.2999999999999998</v>
      </c>
    </row>
    <row r="902" spans="2:66" x14ac:dyDescent="0.35">
      <c r="B902" s="41" t="s">
        <v>395</v>
      </c>
      <c r="C902" s="41" t="s">
        <v>45</v>
      </c>
      <c r="D902" s="41" t="s">
        <v>628</v>
      </c>
      <c r="E902" s="41" t="s">
        <v>629</v>
      </c>
      <c r="F902" s="41"/>
      <c r="G902" s="41"/>
      <c r="H902" s="41"/>
      <c r="I902" s="41"/>
      <c r="J902" s="41"/>
      <c r="K902" s="41"/>
      <c r="L902" s="41"/>
      <c r="M902" s="41"/>
      <c r="N902" s="41"/>
      <c r="O902" s="41"/>
      <c r="P902" s="41"/>
      <c r="Q902" s="41"/>
      <c r="R902" s="41"/>
      <c r="S902" s="41"/>
      <c r="T902" s="41">
        <v>10.5</v>
      </c>
      <c r="U902" s="41">
        <v>10.6000003814697</v>
      </c>
      <c r="V902" s="41">
        <v>10.6000003814697</v>
      </c>
      <c r="W902" s="41">
        <v>10.800000190734901</v>
      </c>
      <c r="X902" s="41">
        <v>10.8999996185303</v>
      </c>
      <c r="Y902" s="41">
        <v>11.1000003814697</v>
      </c>
      <c r="Z902" s="41">
        <v>11.1000003814697</v>
      </c>
      <c r="AA902" s="41">
        <v>11.1000003814697</v>
      </c>
      <c r="AB902" s="41">
        <v>11</v>
      </c>
      <c r="AC902" s="41">
        <v>10.800000190734901</v>
      </c>
      <c r="AD902" s="41">
        <v>10.699999809265099</v>
      </c>
      <c r="AE902" s="41">
        <v>10.5</v>
      </c>
      <c r="AF902" s="41">
        <v>10.300000190734901</v>
      </c>
      <c r="AG902" s="41">
        <v>10.199999809265099</v>
      </c>
      <c r="AH902" s="41">
        <v>10.1000003814697</v>
      </c>
      <c r="AI902" s="41">
        <v>9.8999996185302699</v>
      </c>
      <c r="AJ902" s="41">
        <v>9.6999998092999995</v>
      </c>
      <c r="AK902" s="41">
        <v>9.6000003814999992</v>
      </c>
      <c r="AL902" s="41">
        <v>9.3999996185000008</v>
      </c>
      <c r="AM902" s="41">
        <v>9.3000001907000005</v>
      </c>
      <c r="AN902" s="41">
        <v>9.1000003814999992</v>
      </c>
      <c r="AO902" s="41">
        <v>8.8999996185000008</v>
      </c>
      <c r="AP902" s="41">
        <v>8.8000001907000005</v>
      </c>
      <c r="AQ902" s="41">
        <v>8.6000003814999992</v>
      </c>
      <c r="AR902" s="41">
        <v>8.3999996185000008</v>
      </c>
      <c r="AS902" s="41">
        <v>8.3000001907000005</v>
      </c>
      <c r="AT902" s="41">
        <v>8.1999999999999993</v>
      </c>
      <c r="AU902" s="41">
        <v>8.1</v>
      </c>
      <c r="AV902" s="41">
        <v>8</v>
      </c>
      <c r="AW902" s="41">
        <v>7.8</v>
      </c>
      <c r="AX902" s="41">
        <v>7.6</v>
      </c>
      <c r="AY902" s="41">
        <v>7.5</v>
      </c>
      <c r="AZ902" s="41">
        <v>7.3</v>
      </c>
      <c r="BA902" s="41">
        <v>7.3</v>
      </c>
      <c r="BB902" s="41">
        <v>7.1</v>
      </c>
      <c r="BC902" s="41">
        <v>6.9</v>
      </c>
      <c r="BD902" s="41">
        <v>6.6</v>
      </c>
      <c r="BE902" s="41">
        <v>6.6</v>
      </c>
      <c r="BF902" s="41">
        <v>6.5</v>
      </c>
      <c r="BG902" s="41">
        <v>6.5</v>
      </c>
      <c r="BH902" s="41"/>
      <c r="BI902" s="41"/>
      <c r="BJ902" s="41"/>
      <c r="BK902" s="41"/>
      <c r="BL902" s="41"/>
      <c r="BM902" s="41"/>
      <c r="BN902" s="54">
        <f t="shared" si="16"/>
        <v>6.5</v>
      </c>
    </row>
    <row r="903" spans="2:66" x14ac:dyDescent="0.35">
      <c r="B903" s="41" t="s">
        <v>390</v>
      </c>
      <c r="C903" s="41" t="s">
        <v>391</v>
      </c>
      <c r="D903" s="41" t="s">
        <v>628</v>
      </c>
      <c r="E903" s="41" t="s">
        <v>629</v>
      </c>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54" t="str">
        <f t="shared" si="16"/>
        <v>No reported value</v>
      </c>
    </row>
    <row r="904" spans="2:66" x14ac:dyDescent="0.35">
      <c r="B904" s="41" t="s">
        <v>463</v>
      </c>
      <c r="C904" s="41" t="s">
        <v>464</v>
      </c>
      <c r="D904" s="41" t="s">
        <v>628</v>
      </c>
      <c r="E904" s="41" t="s">
        <v>629</v>
      </c>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v>3.4672999382018999</v>
      </c>
      <c r="AJ904" s="41"/>
      <c r="AK904" s="41"/>
      <c r="AL904" s="41"/>
      <c r="AM904" s="41"/>
      <c r="AN904" s="41"/>
      <c r="AO904" s="41"/>
      <c r="AP904" s="41"/>
      <c r="AQ904" s="41"/>
      <c r="AR904" s="41"/>
      <c r="AS904" s="41"/>
      <c r="AT904" s="41">
        <v>2.8</v>
      </c>
      <c r="AU904" s="41"/>
      <c r="AV904" s="41"/>
      <c r="AW904" s="41"/>
      <c r="AX904" s="41"/>
      <c r="AY904" s="41">
        <v>3.3</v>
      </c>
      <c r="AZ904" s="41">
        <v>3.31</v>
      </c>
      <c r="BA904" s="41"/>
      <c r="BB904" s="41"/>
      <c r="BC904" s="41">
        <v>3.2</v>
      </c>
      <c r="BD904" s="41"/>
      <c r="BE904" s="41"/>
      <c r="BF904" s="41"/>
      <c r="BG904" s="41"/>
      <c r="BH904" s="41"/>
      <c r="BI904" s="41"/>
      <c r="BJ904" s="41"/>
      <c r="BK904" s="41"/>
      <c r="BL904" s="41"/>
      <c r="BM904" s="41"/>
      <c r="BN904" s="54">
        <f t="shared" si="16"/>
        <v>3.2</v>
      </c>
    </row>
    <row r="905" spans="2:66" x14ac:dyDescent="0.35">
      <c r="B905" s="41" t="s">
        <v>195</v>
      </c>
      <c r="C905" s="41" t="s">
        <v>46</v>
      </c>
      <c r="D905" s="41" t="s">
        <v>628</v>
      </c>
      <c r="E905" s="41" t="s">
        <v>629</v>
      </c>
      <c r="F905" s="41">
        <v>5.7139916419982901</v>
      </c>
      <c r="G905" s="41"/>
      <c r="H905" s="41"/>
      <c r="I905" s="41"/>
      <c r="J905" s="41"/>
      <c r="K905" s="41"/>
      <c r="L905" s="41"/>
      <c r="M905" s="41"/>
      <c r="N905" s="41"/>
      <c r="O905" s="41"/>
      <c r="P905" s="41">
        <v>9.9106998443603498</v>
      </c>
      <c r="Q905" s="41"/>
      <c r="R905" s="41"/>
      <c r="S905" s="41"/>
      <c r="T905" s="41"/>
      <c r="U905" s="41"/>
      <c r="V905" s="41"/>
      <c r="W905" s="41"/>
      <c r="X905" s="41"/>
      <c r="Y905" s="41"/>
      <c r="Z905" s="41"/>
      <c r="AA905" s="41"/>
      <c r="AB905" s="41"/>
      <c r="AC905" s="41"/>
      <c r="AD905" s="41"/>
      <c r="AE905" s="41">
        <v>1.5520000457763701</v>
      </c>
      <c r="AF905" s="41"/>
      <c r="AG905" s="41"/>
      <c r="AH905" s="41"/>
      <c r="AI905" s="41"/>
      <c r="AJ905" s="41">
        <v>3.1937999724999999</v>
      </c>
      <c r="AK905" s="41"/>
      <c r="AL905" s="41"/>
      <c r="AM905" s="41"/>
      <c r="AN905" s="41"/>
      <c r="AO905" s="41"/>
      <c r="AP905" s="41"/>
      <c r="AQ905" s="41"/>
      <c r="AR905" s="41"/>
      <c r="AS905" s="41"/>
      <c r="AT905" s="41"/>
      <c r="AU905" s="41"/>
      <c r="AV905" s="41"/>
      <c r="AW905" s="41"/>
      <c r="AX905" s="41"/>
      <c r="AY905" s="41"/>
      <c r="AZ905" s="41">
        <v>2</v>
      </c>
      <c r="BA905" s="41"/>
      <c r="BB905" s="41">
        <v>1.3</v>
      </c>
      <c r="BC905" s="41"/>
      <c r="BD905" s="41">
        <v>6.3</v>
      </c>
      <c r="BE905" s="41"/>
      <c r="BF905" s="41"/>
      <c r="BG905" s="41"/>
      <c r="BH905" s="41"/>
      <c r="BI905" s="41"/>
      <c r="BJ905" s="41"/>
      <c r="BK905" s="41"/>
      <c r="BL905" s="41"/>
      <c r="BM905" s="41"/>
      <c r="BN905" s="54">
        <f t="shared" si="16"/>
        <v>6.3</v>
      </c>
    </row>
    <row r="906" spans="2:66" x14ac:dyDescent="0.35">
      <c r="B906" s="41" t="s">
        <v>555</v>
      </c>
      <c r="C906" s="41" t="s">
        <v>47</v>
      </c>
      <c r="D906" s="41" t="s">
        <v>628</v>
      </c>
      <c r="E906" s="41" t="s">
        <v>629</v>
      </c>
      <c r="F906" s="41">
        <v>10.699999809265099</v>
      </c>
      <c r="G906" s="41"/>
      <c r="H906" s="41"/>
      <c r="I906" s="41"/>
      <c r="J906" s="41"/>
      <c r="K906" s="41"/>
      <c r="L906" s="41"/>
      <c r="M906" s="41"/>
      <c r="N906" s="41"/>
      <c r="O906" s="41"/>
      <c r="P906" s="41">
        <v>9.6000003814697301</v>
      </c>
      <c r="Q906" s="41"/>
      <c r="R906" s="41"/>
      <c r="S906" s="41"/>
      <c r="T906" s="41"/>
      <c r="U906" s="41"/>
      <c r="V906" s="41"/>
      <c r="W906" s="41"/>
      <c r="X906" s="41"/>
      <c r="Y906" s="41"/>
      <c r="Z906" s="41">
        <v>8.1000003814697301</v>
      </c>
      <c r="AA906" s="41"/>
      <c r="AB906" s="41"/>
      <c r="AC906" s="41"/>
      <c r="AD906" s="41"/>
      <c r="AE906" s="41">
        <v>7.4000000953674299</v>
      </c>
      <c r="AF906" s="41"/>
      <c r="AG906" s="41"/>
      <c r="AH906" s="41"/>
      <c r="AI906" s="41"/>
      <c r="AJ906" s="41">
        <v>5.9000000954000003</v>
      </c>
      <c r="AK906" s="41">
        <v>5.5999999045999997</v>
      </c>
      <c r="AL906" s="41">
        <v>5.4000000954000003</v>
      </c>
      <c r="AM906" s="41">
        <v>5.0999999045999997</v>
      </c>
      <c r="AN906" s="41">
        <v>4.8000001906999996</v>
      </c>
      <c r="AO906" s="41">
        <v>4.8000001906999996</v>
      </c>
      <c r="AP906" s="41">
        <v>4.5999999045999997</v>
      </c>
      <c r="AQ906" s="41">
        <v>4.5999999045999997</v>
      </c>
      <c r="AR906" s="41">
        <v>4.4000000954000003</v>
      </c>
      <c r="AS906" s="41">
        <v>4.1999998093000004</v>
      </c>
      <c r="AT906" s="41">
        <v>4.0999999999999996</v>
      </c>
      <c r="AU906" s="41">
        <v>4</v>
      </c>
      <c r="AV906" s="41">
        <v>4</v>
      </c>
      <c r="AW906" s="41">
        <v>4</v>
      </c>
      <c r="AX906" s="41">
        <v>3.9</v>
      </c>
      <c r="AY906" s="41">
        <v>3.7</v>
      </c>
      <c r="AZ906" s="41">
        <v>3.6</v>
      </c>
      <c r="BA906" s="41">
        <v>3.4</v>
      </c>
      <c r="BB906" s="41">
        <v>3.4</v>
      </c>
      <c r="BC906" s="41">
        <v>3.3</v>
      </c>
      <c r="BD906" s="41">
        <v>3</v>
      </c>
      <c r="BE906" s="41">
        <v>2.9</v>
      </c>
      <c r="BF906" s="41">
        <v>2.8</v>
      </c>
      <c r="BG906" s="41">
        <v>2.8</v>
      </c>
      <c r="BH906" s="41"/>
      <c r="BI906" s="41"/>
      <c r="BJ906" s="41"/>
      <c r="BK906" s="41"/>
      <c r="BL906" s="41"/>
      <c r="BM906" s="41"/>
      <c r="BN906" s="54">
        <f t="shared" si="16"/>
        <v>2.8</v>
      </c>
    </row>
    <row r="907" spans="2:66" x14ac:dyDescent="0.35">
      <c r="B907" s="41" t="s">
        <v>236</v>
      </c>
      <c r="C907" s="41" t="s">
        <v>48</v>
      </c>
      <c r="D907" s="41" t="s">
        <v>628</v>
      </c>
      <c r="E907" s="41" t="s">
        <v>629</v>
      </c>
      <c r="F907" s="41"/>
      <c r="G907" s="41"/>
      <c r="H907" s="41"/>
      <c r="I907" s="41"/>
      <c r="J907" s="41"/>
      <c r="K907" s="41"/>
      <c r="L907" s="41"/>
      <c r="M907" s="41"/>
      <c r="N907" s="41"/>
      <c r="O907" s="41"/>
      <c r="P907" s="41"/>
      <c r="Q907" s="41"/>
      <c r="R907" s="41"/>
      <c r="S907" s="41"/>
      <c r="T907" s="41"/>
      <c r="U907" s="41"/>
      <c r="V907" s="41"/>
      <c r="W907" s="41"/>
      <c r="X907" s="41"/>
      <c r="Y907" s="41"/>
      <c r="Z907" s="41">
        <v>10.170800209045399</v>
      </c>
      <c r="AA907" s="41"/>
      <c r="AB907" s="41"/>
      <c r="AC907" s="41"/>
      <c r="AD907" s="41"/>
      <c r="AE907" s="41">
        <v>9.9734001159668004</v>
      </c>
      <c r="AF907" s="41">
        <v>10.0150003433228</v>
      </c>
      <c r="AG907" s="41">
        <v>10.1073999404907</v>
      </c>
      <c r="AH907" s="41">
        <v>9.9934997558593803</v>
      </c>
      <c r="AI907" s="41">
        <v>9.9956998825073207</v>
      </c>
      <c r="AJ907" s="41">
        <v>9.7974996566999994</v>
      </c>
      <c r="AK907" s="41">
        <v>9.7981004714999997</v>
      </c>
      <c r="AL907" s="41">
        <v>10.0087003708</v>
      </c>
      <c r="AM907" s="41">
        <v>9.3910999297999993</v>
      </c>
      <c r="AN907" s="41">
        <v>9.6758003235000007</v>
      </c>
      <c r="AO907" s="41">
        <v>7.6599998474</v>
      </c>
      <c r="AP907" s="41">
        <v>5.6700000763</v>
      </c>
      <c r="AQ907" s="41">
        <v>5.8600001334999998</v>
      </c>
      <c r="AR907" s="41">
        <v>5.7100000380999996</v>
      </c>
      <c r="AS907" s="41">
        <v>5.6900000571999998</v>
      </c>
      <c r="AT907" s="41">
        <v>4.8</v>
      </c>
      <c r="AU907" s="41">
        <v>4.5</v>
      </c>
      <c r="AV907" s="41">
        <v>4.2</v>
      </c>
      <c r="AW907" s="41">
        <v>4.2</v>
      </c>
      <c r="AX907" s="41">
        <v>4.0999999999999996</v>
      </c>
      <c r="AY907" s="41">
        <v>3.9</v>
      </c>
      <c r="AZ907" s="41">
        <v>3.7</v>
      </c>
      <c r="BA907" s="41">
        <v>3.3</v>
      </c>
      <c r="BB907" s="41">
        <v>3.2</v>
      </c>
      <c r="BC907" s="41">
        <v>3.1</v>
      </c>
      <c r="BD907" s="41">
        <v>3</v>
      </c>
      <c r="BE907" s="41">
        <v>2.8</v>
      </c>
      <c r="BF907" s="41">
        <v>2.5</v>
      </c>
      <c r="BG907" s="41">
        <v>2.6</v>
      </c>
      <c r="BH907" s="41"/>
      <c r="BI907" s="41"/>
      <c r="BJ907" s="41"/>
      <c r="BK907" s="41"/>
      <c r="BL907" s="41"/>
      <c r="BM907" s="41"/>
      <c r="BN907" s="54">
        <f t="shared" si="16"/>
        <v>2.6</v>
      </c>
    </row>
    <row r="908" spans="2:66" x14ac:dyDescent="0.35">
      <c r="B908" s="41" t="s">
        <v>196</v>
      </c>
      <c r="C908" s="41" t="s">
        <v>162</v>
      </c>
      <c r="D908" s="41" t="s">
        <v>628</v>
      </c>
      <c r="E908" s="41" t="s">
        <v>629</v>
      </c>
      <c r="F908" s="41">
        <v>0.77989369630813599</v>
      </c>
      <c r="G908" s="41"/>
      <c r="H908" s="41"/>
      <c r="I908" s="41"/>
      <c r="J908" s="41"/>
      <c r="K908" s="41"/>
      <c r="L908" s="41"/>
      <c r="M908" s="41"/>
      <c r="N908" s="41"/>
      <c r="O908" s="41"/>
      <c r="P908" s="41">
        <v>1.3228000402450599</v>
      </c>
      <c r="Q908" s="41"/>
      <c r="R908" s="41"/>
      <c r="S908" s="41"/>
      <c r="T908" s="41"/>
      <c r="U908" s="41">
        <v>1.25080001354218</v>
      </c>
      <c r="V908" s="41"/>
      <c r="W908" s="41"/>
      <c r="X908" s="41"/>
      <c r="Y908" s="41"/>
      <c r="Z908" s="41"/>
      <c r="AA908" s="41"/>
      <c r="AB908" s="41"/>
      <c r="AC908" s="41"/>
      <c r="AD908" s="41"/>
      <c r="AE908" s="41">
        <v>1.56700003147125</v>
      </c>
      <c r="AF908" s="41"/>
      <c r="AG908" s="41"/>
      <c r="AH908" s="41"/>
      <c r="AI908" s="41"/>
      <c r="AJ908" s="41">
        <v>1.4600000381</v>
      </c>
      <c r="AK908" s="41"/>
      <c r="AL908" s="41"/>
      <c r="AM908" s="41"/>
      <c r="AN908" s="41"/>
      <c r="AO908" s="41"/>
      <c r="AP908" s="41"/>
      <c r="AQ908" s="41"/>
      <c r="AR908" s="41"/>
      <c r="AS908" s="41"/>
      <c r="AT908" s="41"/>
      <c r="AU908" s="41"/>
      <c r="AV908" s="41"/>
      <c r="AW908" s="41"/>
      <c r="AX908" s="41"/>
      <c r="AY908" s="41">
        <v>0.9</v>
      </c>
      <c r="AZ908" s="41"/>
      <c r="BA908" s="41"/>
      <c r="BB908" s="41"/>
      <c r="BC908" s="41">
        <v>0.9</v>
      </c>
      <c r="BD908" s="41"/>
      <c r="BE908" s="41">
        <v>0.9</v>
      </c>
      <c r="BF908" s="41"/>
      <c r="BG908" s="41"/>
      <c r="BH908" s="41"/>
      <c r="BI908" s="41"/>
      <c r="BJ908" s="41"/>
      <c r="BK908" s="41"/>
      <c r="BL908" s="41"/>
      <c r="BM908" s="41"/>
      <c r="BN908" s="54">
        <f t="shared" si="16"/>
        <v>0.9</v>
      </c>
    </row>
    <row r="909" spans="2:66" x14ac:dyDescent="0.35">
      <c r="B909" s="41" t="s">
        <v>400</v>
      </c>
      <c r="C909" s="41" t="s">
        <v>401</v>
      </c>
      <c r="D909" s="41" t="s">
        <v>628</v>
      </c>
      <c r="E909" s="41" t="s">
        <v>629</v>
      </c>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c r="BN909" s="54" t="str">
        <f t="shared" si="16"/>
        <v>No reported value</v>
      </c>
    </row>
    <row r="910" spans="2:66" x14ac:dyDescent="0.35">
      <c r="B910" s="41" t="s">
        <v>197</v>
      </c>
      <c r="C910" s="41" t="s">
        <v>49</v>
      </c>
      <c r="D910" s="41" t="s">
        <v>628</v>
      </c>
      <c r="E910" s="41" t="s">
        <v>629</v>
      </c>
      <c r="F910" s="41">
        <v>0.73915815353393599</v>
      </c>
      <c r="G910" s="41"/>
      <c r="H910" s="41"/>
      <c r="I910" s="41"/>
      <c r="J910" s="41"/>
      <c r="K910" s="41"/>
      <c r="L910" s="41"/>
      <c r="M910" s="41"/>
      <c r="N910" s="41"/>
      <c r="O910" s="41"/>
      <c r="P910" s="41">
        <v>1.75849997997284</v>
      </c>
      <c r="Q910" s="41"/>
      <c r="R910" s="41"/>
      <c r="S910" s="41"/>
      <c r="T910" s="41"/>
      <c r="U910" s="41"/>
      <c r="V910" s="41"/>
      <c r="W910" s="41"/>
      <c r="X910" s="41"/>
      <c r="Y910" s="41"/>
      <c r="Z910" s="41"/>
      <c r="AA910" s="41"/>
      <c r="AB910" s="41"/>
      <c r="AC910" s="41"/>
      <c r="AD910" s="41"/>
      <c r="AE910" s="41"/>
      <c r="AF910" s="41"/>
      <c r="AG910" s="41"/>
      <c r="AH910" s="41">
        <v>0.58410000801086404</v>
      </c>
      <c r="AI910" s="41"/>
      <c r="AJ910" s="41">
        <v>0.55070000890000004</v>
      </c>
      <c r="AK910" s="41"/>
      <c r="AL910" s="41"/>
      <c r="AM910" s="41"/>
      <c r="AN910" s="41"/>
      <c r="AO910" s="41"/>
      <c r="AP910" s="41"/>
      <c r="AQ910" s="41"/>
      <c r="AR910" s="41"/>
      <c r="AS910" s="41"/>
      <c r="AT910" s="41"/>
      <c r="AU910" s="41"/>
      <c r="AV910" s="41"/>
      <c r="AW910" s="41"/>
      <c r="AX910" s="41"/>
      <c r="AY910" s="41">
        <v>0.3</v>
      </c>
      <c r="AZ910" s="41"/>
      <c r="BA910" s="41"/>
      <c r="BB910" s="41"/>
      <c r="BC910" s="41"/>
      <c r="BD910" s="41"/>
      <c r="BE910" s="41">
        <v>0.3</v>
      </c>
      <c r="BF910" s="41"/>
      <c r="BG910" s="41"/>
      <c r="BH910" s="41"/>
      <c r="BI910" s="41"/>
      <c r="BJ910" s="41"/>
      <c r="BK910" s="41"/>
      <c r="BL910" s="41"/>
      <c r="BM910" s="41"/>
      <c r="BN910" s="54">
        <f t="shared" si="16"/>
        <v>0.3</v>
      </c>
    </row>
    <row r="911" spans="2:66" x14ac:dyDescent="0.35">
      <c r="B911" s="41" t="s">
        <v>398</v>
      </c>
      <c r="C911" s="41" t="s">
        <v>50</v>
      </c>
      <c r="D911" s="41" t="s">
        <v>628</v>
      </c>
      <c r="E911" s="41" t="s">
        <v>629</v>
      </c>
      <c r="F911" s="41">
        <v>1.18181812763214</v>
      </c>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v>1.6577999591827399</v>
      </c>
      <c r="AF911" s="41"/>
      <c r="AG911" s="41"/>
      <c r="AH911" s="41"/>
      <c r="AI911" s="41"/>
      <c r="AJ911" s="41">
        <v>0.61089998479999996</v>
      </c>
      <c r="AK911" s="41"/>
      <c r="AL911" s="41"/>
      <c r="AM911" s="41"/>
      <c r="AN911" s="41"/>
      <c r="AO911" s="41"/>
      <c r="AP911" s="41"/>
      <c r="AQ911" s="41"/>
      <c r="AR911" s="41"/>
      <c r="AS911" s="41"/>
      <c r="AT911" s="41"/>
      <c r="AU911" s="41"/>
      <c r="AV911" s="41"/>
      <c r="AW911" s="41"/>
      <c r="AX911" s="41"/>
      <c r="AY911" s="41">
        <v>0.8</v>
      </c>
      <c r="AZ911" s="41"/>
      <c r="BA911" s="41"/>
      <c r="BB911" s="41"/>
      <c r="BC911" s="41">
        <v>1.1000000000000001</v>
      </c>
      <c r="BD911" s="41"/>
      <c r="BE911" s="41">
        <v>1.1000000000000001</v>
      </c>
      <c r="BF911" s="41"/>
      <c r="BG911" s="41"/>
      <c r="BH911" s="41"/>
      <c r="BI911" s="41"/>
      <c r="BJ911" s="41"/>
      <c r="BK911" s="41"/>
      <c r="BL911" s="41"/>
      <c r="BM911" s="41"/>
      <c r="BN911" s="54">
        <f t="shared" si="16"/>
        <v>1.1000000000000001</v>
      </c>
    </row>
    <row r="912" spans="2:66" x14ac:dyDescent="0.35">
      <c r="B912" s="41" t="s">
        <v>198</v>
      </c>
      <c r="C912" s="41" t="s">
        <v>172</v>
      </c>
      <c r="D912" s="41" t="s">
        <v>628</v>
      </c>
      <c r="E912" s="41" t="s">
        <v>629</v>
      </c>
      <c r="F912" s="41">
        <v>1.6211849451065099</v>
      </c>
      <c r="G912" s="41"/>
      <c r="H912" s="41"/>
      <c r="I912" s="41"/>
      <c r="J912" s="41"/>
      <c r="K912" s="41"/>
      <c r="L912" s="41"/>
      <c r="M912" s="41"/>
      <c r="N912" s="41"/>
      <c r="O912" s="41"/>
      <c r="P912" s="41">
        <v>1.5745999813079801</v>
      </c>
      <c r="Q912" s="41"/>
      <c r="R912" s="41"/>
      <c r="S912" s="41"/>
      <c r="T912" s="41"/>
      <c r="U912" s="41"/>
      <c r="V912" s="41"/>
      <c r="W912" s="41"/>
      <c r="X912" s="41"/>
      <c r="Y912" s="41"/>
      <c r="Z912" s="41">
        <v>1.8860000371932999</v>
      </c>
      <c r="AA912" s="41">
        <v>1.9716999530792201</v>
      </c>
      <c r="AB912" s="41"/>
      <c r="AC912" s="41"/>
      <c r="AD912" s="41"/>
      <c r="AE912" s="41"/>
      <c r="AF912" s="41"/>
      <c r="AG912" s="41"/>
      <c r="AH912" s="41"/>
      <c r="AI912" s="41"/>
      <c r="AJ912" s="41">
        <v>1.4779000282000001</v>
      </c>
      <c r="AK912" s="41"/>
      <c r="AL912" s="41"/>
      <c r="AM912" s="41"/>
      <c r="AN912" s="41"/>
      <c r="AO912" s="41"/>
      <c r="AP912" s="41"/>
      <c r="AQ912" s="41"/>
      <c r="AR912" s="41"/>
      <c r="AS912" s="41"/>
      <c r="AT912" s="41"/>
      <c r="AU912" s="41"/>
      <c r="AV912" s="41"/>
      <c r="AW912" s="41"/>
      <c r="AX912" s="41"/>
      <c r="AY912" s="41"/>
      <c r="AZ912" s="41"/>
      <c r="BA912" s="41">
        <v>0.7</v>
      </c>
      <c r="BB912" s="41"/>
      <c r="BC912" s="41">
        <v>1</v>
      </c>
      <c r="BD912" s="41"/>
      <c r="BE912" s="41"/>
      <c r="BF912" s="41"/>
      <c r="BG912" s="41"/>
      <c r="BH912" s="41"/>
      <c r="BI912" s="41"/>
      <c r="BJ912" s="41"/>
      <c r="BK912" s="41"/>
      <c r="BL912" s="41"/>
      <c r="BM912" s="41"/>
      <c r="BN912" s="54">
        <f t="shared" si="16"/>
        <v>1</v>
      </c>
    </row>
    <row r="913" spans="2:66" x14ac:dyDescent="0.35">
      <c r="B913" s="41" t="s">
        <v>191</v>
      </c>
      <c r="C913" s="41" t="s">
        <v>174</v>
      </c>
      <c r="D913" s="41" t="s">
        <v>628</v>
      </c>
      <c r="E913" s="41" t="s">
        <v>629</v>
      </c>
      <c r="F913" s="41">
        <v>4.99603176116943</v>
      </c>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v>2.80299997329712</v>
      </c>
      <c r="AI913" s="41"/>
      <c r="AJ913" s="41"/>
      <c r="AK913" s="41"/>
      <c r="AL913" s="41"/>
      <c r="AM913" s="41"/>
      <c r="AN913" s="41"/>
      <c r="AO913" s="41"/>
      <c r="AP913" s="41"/>
      <c r="AQ913" s="41"/>
      <c r="AR913" s="41"/>
      <c r="AS913" s="41"/>
      <c r="AT913" s="41"/>
      <c r="AU913" s="41">
        <v>1.1000000000000001</v>
      </c>
      <c r="AV913" s="41"/>
      <c r="AW913" s="41"/>
      <c r="AX913" s="41"/>
      <c r="AY913" s="41">
        <v>2.2000000000000002</v>
      </c>
      <c r="AZ913" s="41"/>
      <c r="BA913" s="41"/>
      <c r="BB913" s="41"/>
      <c r="BC913" s="41">
        <v>1.9</v>
      </c>
      <c r="BD913" s="41">
        <v>2.1</v>
      </c>
      <c r="BE913" s="41"/>
      <c r="BF913" s="41"/>
      <c r="BG913" s="41"/>
      <c r="BH913" s="41"/>
      <c r="BI913" s="41"/>
      <c r="BJ913" s="41"/>
      <c r="BK913" s="41"/>
      <c r="BL913" s="41"/>
      <c r="BM913" s="41"/>
      <c r="BN913" s="54">
        <f t="shared" si="16"/>
        <v>2.1</v>
      </c>
    </row>
    <row r="914" spans="2:66" x14ac:dyDescent="0.35">
      <c r="B914" s="41" t="s">
        <v>402</v>
      </c>
      <c r="C914" s="41" t="s">
        <v>51</v>
      </c>
      <c r="D914" s="41" t="s">
        <v>628</v>
      </c>
      <c r="E914" s="41" t="s">
        <v>629</v>
      </c>
      <c r="F914" s="41">
        <v>5.8000001907348597</v>
      </c>
      <c r="G914" s="41"/>
      <c r="H914" s="41"/>
      <c r="I914" s="41"/>
      <c r="J914" s="41"/>
      <c r="K914" s="41"/>
      <c r="L914" s="41"/>
      <c r="M914" s="41"/>
      <c r="N914" s="41"/>
      <c r="O914" s="41"/>
      <c r="P914" s="41">
        <v>6.1999998092651403</v>
      </c>
      <c r="Q914" s="41"/>
      <c r="R914" s="41"/>
      <c r="S914" s="41"/>
      <c r="T914" s="41"/>
      <c r="U914" s="41"/>
      <c r="V914" s="41"/>
      <c r="W914" s="41"/>
      <c r="X914" s="41"/>
      <c r="Y914" s="41"/>
      <c r="Z914" s="41">
        <v>6.1999998092651403</v>
      </c>
      <c r="AA914" s="41"/>
      <c r="AB914" s="41"/>
      <c r="AC914" s="41"/>
      <c r="AD914" s="41"/>
      <c r="AE914" s="41">
        <v>5.5</v>
      </c>
      <c r="AF914" s="41">
        <v>5.3000001907348597</v>
      </c>
      <c r="AG914" s="41">
        <v>5.1999998092651403</v>
      </c>
      <c r="AH914" s="41">
        <v>5.1999998092651403</v>
      </c>
      <c r="AI914" s="41">
        <v>5.0999999046325701</v>
      </c>
      <c r="AJ914" s="41">
        <v>5.0999999045999997</v>
      </c>
      <c r="AK914" s="41">
        <v>5</v>
      </c>
      <c r="AL914" s="41">
        <v>5</v>
      </c>
      <c r="AM914" s="41">
        <v>5</v>
      </c>
      <c r="AN914" s="41">
        <v>4.9000000954000003</v>
      </c>
      <c r="AO914" s="41">
        <v>4.9000000954000003</v>
      </c>
      <c r="AP914" s="41">
        <v>4.9000000954000003</v>
      </c>
      <c r="AQ914" s="41">
        <v>4.9000000954000003</v>
      </c>
      <c r="AR914" s="41">
        <v>4.8000001906999996</v>
      </c>
      <c r="AS914" s="41">
        <v>4.6999998093000004</v>
      </c>
      <c r="AT914" s="41">
        <v>4.7</v>
      </c>
      <c r="AU914" s="41">
        <v>4.8</v>
      </c>
      <c r="AV914" s="41">
        <v>4.7</v>
      </c>
      <c r="AW914" s="41">
        <v>4.7</v>
      </c>
      <c r="AX914" s="41">
        <v>4.7</v>
      </c>
      <c r="AY914" s="41">
        <v>4.7</v>
      </c>
      <c r="AZ914" s="41">
        <v>4.8</v>
      </c>
      <c r="BA914" s="41">
        <v>4.8</v>
      </c>
      <c r="BB914" s="41">
        <v>4.8</v>
      </c>
      <c r="BC914" s="41">
        <v>4.8</v>
      </c>
      <c r="BD914" s="41">
        <v>4.8</v>
      </c>
      <c r="BE914" s="41">
        <v>4.5</v>
      </c>
      <c r="BF914" s="41">
        <v>4.4000000000000004</v>
      </c>
      <c r="BG914" s="41"/>
      <c r="BH914" s="41"/>
      <c r="BI914" s="41">
        <v>4.3</v>
      </c>
      <c r="BJ914" s="41"/>
      <c r="BK914" s="41"/>
      <c r="BL914" s="41"/>
      <c r="BM914" s="41"/>
      <c r="BN914" s="54">
        <f t="shared" si="16"/>
        <v>4.3</v>
      </c>
    </row>
    <row r="915" spans="2:66" x14ac:dyDescent="0.35">
      <c r="B915" s="41" t="s">
        <v>405</v>
      </c>
      <c r="C915" s="41" t="s">
        <v>52</v>
      </c>
      <c r="D915" s="41" t="s">
        <v>628</v>
      </c>
      <c r="E915" s="41" t="s">
        <v>629</v>
      </c>
      <c r="F915" s="41">
        <v>6.2222223281860396</v>
      </c>
      <c r="G915" s="41"/>
      <c r="H915" s="41"/>
      <c r="I915" s="41"/>
      <c r="J915" s="41"/>
      <c r="K915" s="41"/>
      <c r="L915" s="41"/>
      <c r="M915" s="41"/>
      <c r="N915" s="41"/>
      <c r="O915" s="41"/>
      <c r="P915" s="41">
        <v>7.2536997795104998</v>
      </c>
      <c r="Q915" s="41"/>
      <c r="R915" s="41"/>
      <c r="S915" s="41"/>
      <c r="T915" s="41"/>
      <c r="U915" s="41"/>
      <c r="V915" s="41"/>
      <c r="W915" s="41"/>
      <c r="X915" s="41"/>
      <c r="Y915" s="41"/>
      <c r="Z915" s="41">
        <v>5.7713999748229998</v>
      </c>
      <c r="AA915" s="41"/>
      <c r="AB915" s="41"/>
      <c r="AC915" s="41"/>
      <c r="AD915" s="41"/>
      <c r="AE915" s="41"/>
      <c r="AF915" s="41"/>
      <c r="AG915" s="41"/>
      <c r="AH915" s="41"/>
      <c r="AI915" s="41"/>
      <c r="AJ915" s="41">
        <v>8</v>
      </c>
      <c r="AK915" s="41"/>
      <c r="AL915" s="41"/>
      <c r="AM915" s="41">
        <v>8.1778001785000001</v>
      </c>
      <c r="AN915" s="41"/>
      <c r="AO915" s="41">
        <v>5.5</v>
      </c>
      <c r="AP915" s="41">
        <v>5.2699999808999998</v>
      </c>
      <c r="AQ915" s="41"/>
      <c r="AR915" s="41"/>
      <c r="AS915" s="41"/>
      <c r="AT915" s="41">
        <v>6.2</v>
      </c>
      <c r="AU915" s="41"/>
      <c r="AV915" s="41">
        <v>6.9</v>
      </c>
      <c r="AW915" s="41">
        <v>5.6999998093000004</v>
      </c>
      <c r="AX915" s="41"/>
      <c r="AY915" s="41">
        <v>4.0999999999999996</v>
      </c>
      <c r="AZ915" s="41"/>
      <c r="BA915" s="41">
        <v>2.6</v>
      </c>
      <c r="BB915" s="41">
        <v>2.6</v>
      </c>
      <c r="BC915" s="41">
        <v>2.4</v>
      </c>
      <c r="BD915" s="41"/>
      <c r="BE915" s="41">
        <v>3.5</v>
      </c>
      <c r="BF915" s="41">
        <v>3.5</v>
      </c>
      <c r="BG915" s="41">
        <v>3.7</v>
      </c>
      <c r="BH915" s="41">
        <v>3.7</v>
      </c>
      <c r="BI915" s="41"/>
      <c r="BJ915" s="41"/>
      <c r="BK915" s="41"/>
      <c r="BL915" s="41"/>
      <c r="BM915" s="41"/>
      <c r="BN915" s="54">
        <f t="shared" si="16"/>
        <v>3.7</v>
      </c>
    </row>
    <row r="916" spans="2:66" x14ac:dyDescent="0.35">
      <c r="B916" s="41" t="s">
        <v>403</v>
      </c>
      <c r="C916" s="41" t="s">
        <v>404</v>
      </c>
      <c r="D916" s="41" t="s">
        <v>628</v>
      </c>
      <c r="E916" s="41" t="s">
        <v>629</v>
      </c>
      <c r="F916" s="41"/>
      <c r="G916" s="41"/>
      <c r="H916" s="41"/>
      <c r="I916" s="41"/>
      <c r="J916" s="41"/>
      <c r="K916" s="41"/>
      <c r="L916" s="41"/>
      <c r="M916" s="41"/>
      <c r="N916" s="41"/>
      <c r="O916" s="41"/>
      <c r="P916" s="41">
        <v>14.353400230407701</v>
      </c>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c r="BN916" s="54">
        <f t="shared" si="16"/>
        <v>14.353400230407701</v>
      </c>
    </row>
    <row r="917" spans="2:66" x14ac:dyDescent="0.35">
      <c r="B917" s="41" t="s">
        <v>223</v>
      </c>
      <c r="C917" s="41" t="s">
        <v>53</v>
      </c>
      <c r="D917" s="41" t="s">
        <v>628</v>
      </c>
      <c r="E917" s="41" t="s">
        <v>629</v>
      </c>
      <c r="F917" s="41">
        <v>2.6310875415802002</v>
      </c>
      <c r="G917" s="41"/>
      <c r="H917" s="41"/>
      <c r="I917" s="41"/>
      <c r="J917" s="41"/>
      <c r="K917" s="41"/>
      <c r="L917" s="41"/>
      <c r="M917" s="41"/>
      <c r="N917" s="41"/>
      <c r="O917" s="41"/>
      <c r="P917" s="41">
        <v>2.1710999011993399</v>
      </c>
      <c r="Q917" s="41"/>
      <c r="R917" s="41"/>
      <c r="S917" s="41"/>
      <c r="T917" s="41"/>
      <c r="U917" s="41">
        <v>2.0027000904083301</v>
      </c>
      <c r="V917" s="41"/>
      <c r="W917" s="41"/>
      <c r="X917" s="41"/>
      <c r="Y917" s="41"/>
      <c r="Z917" s="41"/>
      <c r="AA917" s="41"/>
      <c r="AB917" s="41"/>
      <c r="AC917" s="41"/>
      <c r="AD917" s="41"/>
      <c r="AE917" s="41"/>
      <c r="AF917" s="41">
        <v>1.7211999893188501</v>
      </c>
      <c r="AG917" s="41"/>
      <c r="AH917" s="41"/>
      <c r="AI917" s="41">
        <v>0.87779998779296897</v>
      </c>
      <c r="AJ917" s="41">
        <v>1.1000000238000001</v>
      </c>
      <c r="AK917" s="41"/>
      <c r="AL917" s="41"/>
      <c r="AM917" s="41">
        <v>1.1000000238000001</v>
      </c>
      <c r="AN917" s="41"/>
      <c r="AO917" s="41"/>
      <c r="AP917" s="41">
        <v>0.98000001910000001</v>
      </c>
      <c r="AQ917" s="41"/>
      <c r="AR917" s="41"/>
      <c r="AS917" s="41"/>
      <c r="AT917" s="41"/>
      <c r="AU917" s="41"/>
      <c r="AV917" s="41">
        <v>0.5</v>
      </c>
      <c r="AW917" s="41"/>
      <c r="AX917" s="41"/>
      <c r="AY917" s="41">
        <v>0.7</v>
      </c>
      <c r="AZ917" s="41"/>
      <c r="BA917" s="41">
        <v>0.7</v>
      </c>
      <c r="BB917" s="41">
        <v>0.6</v>
      </c>
      <c r="BC917" s="41">
        <v>0.6</v>
      </c>
      <c r="BD917" s="41">
        <v>0.6</v>
      </c>
      <c r="BE917" s="41">
        <v>0.6</v>
      </c>
      <c r="BF917" s="41">
        <v>0.6</v>
      </c>
      <c r="BG917" s="41"/>
      <c r="BH917" s="41">
        <v>0.6</v>
      </c>
      <c r="BI917" s="41"/>
      <c r="BJ917" s="41"/>
      <c r="BK917" s="41"/>
      <c r="BL917" s="41"/>
      <c r="BM917" s="41"/>
      <c r="BN917" s="54">
        <f t="shared" si="16"/>
        <v>0.6</v>
      </c>
    </row>
    <row r="918" spans="2:66" x14ac:dyDescent="0.35">
      <c r="B918" s="41" t="s">
        <v>406</v>
      </c>
      <c r="C918" s="41" t="s">
        <v>407</v>
      </c>
      <c r="D918" s="41" t="s">
        <v>628</v>
      </c>
      <c r="E918" s="41" t="s">
        <v>629</v>
      </c>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c r="BN918" s="54" t="str">
        <f t="shared" si="16"/>
        <v>No reported value</v>
      </c>
    </row>
    <row r="919" spans="2:66" x14ac:dyDescent="0.35">
      <c r="B919" s="41" t="s">
        <v>224</v>
      </c>
      <c r="C919" s="41" t="s">
        <v>54</v>
      </c>
      <c r="D919" s="41" t="s">
        <v>628</v>
      </c>
      <c r="E919" s="41" t="s">
        <v>629</v>
      </c>
      <c r="F919" s="41">
        <v>5.5746922492981001</v>
      </c>
      <c r="G919" s="41"/>
      <c r="H919" s="41"/>
      <c r="I919" s="41"/>
      <c r="J919" s="41"/>
      <c r="K919" s="41"/>
      <c r="L919" s="41"/>
      <c r="M919" s="41"/>
      <c r="N919" s="41"/>
      <c r="O919" s="41"/>
      <c r="P919" s="41">
        <v>4.76300001144409</v>
      </c>
      <c r="Q919" s="41"/>
      <c r="R919" s="41"/>
      <c r="S919" s="41"/>
      <c r="T919" s="41"/>
      <c r="U919" s="41">
        <v>4.97279977798462</v>
      </c>
      <c r="V919" s="41"/>
      <c r="W919" s="41"/>
      <c r="X919" s="41"/>
      <c r="Y919" s="41"/>
      <c r="Z919" s="41"/>
      <c r="AA919" s="41"/>
      <c r="AB919" s="41"/>
      <c r="AC919" s="41"/>
      <c r="AD919" s="41"/>
      <c r="AE919" s="41">
        <v>3.4920001029968302</v>
      </c>
      <c r="AF919" s="41"/>
      <c r="AG919" s="41"/>
      <c r="AH919" s="41"/>
      <c r="AI919" s="41"/>
      <c r="AJ919" s="41"/>
      <c r="AK919" s="41"/>
      <c r="AL919" s="41"/>
      <c r="AM919" s="41">
        <v>3.0999999046000002</v>
      </c>
      <c r="AN919" s="41"/>
      <c r="AO919" s="41">
        <v>3.1</v>
      </c>
      <c r="AP919" s="41">
        <v>3.8699998856</v>
      </c>
      <c r="AQ919" s="41"/>
      <c r="AR919" s="41"/>
      <c r="AS919" s="41"/>
      <c r="AT919" s="41"/>
      <c r="AU919" s="41">
        <v>2.9</v>
      </c>
      <c r="AV919" s="41"/>
      <c r="AW919" s="41"/>
      <c r="AX919" s="41"/>
      <c r="AY919" s="41">
        <v>2.8</v>
      </c>
      <c r="AZ919" s="41">
        <v>2.5</v>
      </c>
      <c r="BA919" s="41">
        <v>1.9</v>
      </c>
      <c r="BB919" s="41"/>
      <c r="BC919" s="41">
        <v>2</v>
      </c>
      <c r="BD919" s="41"/>
      <c r="BE919" s="41"/>
      <c r="BF919" s="41"/>
      <c r="BG919" s="41"/>
      <c r="BH919" s="41">
        <v>1.6</v>
      </c>
      <c r="BI919" s="41"/>
      <c r="BJ919" s="41"/>
      <c r="BK919" s="41"/>
      <c r="BL919" s="41"/>
      <c r="BM919" s="41"/>
      <c r="BN919" s="54">
        <f t="shared" si="16"/>
        <v>1.6</v>
      </c>
    </row>
    <row r="920" spans="2:66" x14ac:dyDescent="0.35">
      <c r="B920" s="41" t="s">
        <v>410</v>
      </c>
      <c r="C920" s="41" t="s">
        <v>411</v>
      </c>
      <c r="D920" s="41" t="s">
        <v>628</v>
      </c>
      <c r="E920" s="41" t="s">
        <v>629</v>
      </c>
      <c r="F920" s="41">
        <v>8.9393636328952049</v>
      </c>
      <c r="G920" s="41"/>
      <c r="H920" s="41"/>
      <c r="I920" s="41"/>
      <c r="J920" s="41"/>
      <c r="K920" s="41"/>
      <c r="L920" s="41"/>
      <c r="M920" s="41"/>
      <c r="N920" s="41"/>
      <c r="O920" s="41"/>
      <c r="P920" s="41">
        <v>9.0969661095826897</v>
      </c>
      <c r="Q920" s="41"/>
      <c r="R920" s="41"/>
      <c r="S920" s="41"/>
      <c r="T920" s="41"/>
      <c r="U920" s="41"/>
      <c r="V920" s="41"/>
      <c r="W920" s="41"/>
      <c r="X920" s="41"/>
      <c r="Y920" s="41"/>
      <c r="Z920" s="41">
        <v>8.3983491889122774</v>
      </c>
      <c r="AA920" s="41"/>
      <c r="AB920" s="41"/>
      <c r="AC920" s="41"/>
      <c r="AD920" s="41"/>
      <c r="AE920" s="41">
        <v>8.1736091628002452</v>
      </c>
      <c r="AF920" s="41"/>
      <c r="AG920" s="41"/>
      <c r="AH920" s="41"/>
      <c r="AI920" s="41"/>
      <c r="AJ920" s="41">
        <v>6.2840072218646057</v>
      </c>
      <c r="AK920" s="41">
        <v>6.4721165270572243</v>
      </c>
      <c r="AL920" s="41">
        <v>6.1597522770836095</v>
      </c>
      <c r="AM920" s="41">
        <v>7.2071038799014868</v>
      </c>
      <c r="AN920" s="41">
        <v>7.2563919594141657</v>
      </c>
      <c r="AO920" s="41">
        <v>7.0707411673113354</v>
      </c>
      <c r="AP920" s="41">
        <v>6.839729886985066</v>
      </c>
      <c r="AQ920" s="41">
        <v>6.7098793533021226</v>
      </c>
      <c r="AR920" s="41">
        <v>6.6757650276338509</v>
      </c>
      <c r="AS920" s="41">
        <v>6.5444376431636293</v>
      </c>
      <c r="AT920" s="41">
        <v>6.3071340708475931</v>
      </c>
      <c r="AU920" s="41">
        <v>6.0816510158386805</v>
      </c>
      <c r="AV920" s="41">
        <v>6.0621755508033592</v>
      </c>
      <c r="AW920" s="41">
        <v>6.0945563106876568</v>
      </c>
      <c r="AX920" s="41"/>
      <c r="AY920" s="41">
        <v>5.7545812221347923</v>
      </c>
      <c r="AZ920" s="41">
        <v>5.7721524491612559</v>
      </c>
      <c r="BA920" s="41">
        <v>4.5097173701534539</v>
      </c>
      <c r="BB920" s="41">
        <v>5.8955490639820178</v>
      </c>
      <c r="BC920" s="41">
        <v>5.6505031002300923</v>
      </c>
      <c r="BD920" s="41">
        <v>4.155933226773044</v>
      </c>
      <c r="BE920" s="41">
        <v>4.0499286849509764</v>
      </c>
      <c r="BF920" s="41">
        <v>5.4373878909967299</v>
      </c>
      <c r="BG920" s="41">
        <v>4.1105990505398529</v>
      </c>
      <c r="BH920" s="41"/>
      <c r="BI920" s="41"/>
      <c r="BJ920" s="41"/>
      <c r="BK920" s="41"/>
      <c r="BL920" s="41"/>
      <c r="BM920" s="41"/>
      <c r="BN920" s="54">
        <f t="shared" si="16"/>
        <v>4.1105990505398529</v>
      </c>
    </row>
    <row r="921" spans="2:66" x14ac:dyDescent="0.35">
      <c r="B921" s="41" t="s">
        <v>412</v>
      </c>
      <c r="C921" s="41" t="s">
        <v>413</v>
      </c>
      <c r="D921" s="41" t="s">
        <v>628</v>
      </c>
      <c r="E921" s="41" t="s">
        <v>629</v>
      </c>
      <c r="F921" s="41">
        <v>2.6403393745422399</v>
      </c>
      <c r="G921" s="41"/>
      <c r="H921" s="41"/>
      <c r="I921" s="41"/>
      <c r="J921" s="41"/>
      <c r="K921" s="41"/>
      <c r="L921" s="41"/>
      <c r="M921" s="41"/>
      <c r="N921" s="41"/>
      <c r="O921" s="41"/>
      <c r="P921" s="41">
        <v>4.1782999038696298</v>
      </c>
      <c r="Q921" s="41"/>
      <c r="R921" s="41"/>
      <c r="S921" s="41"/>
      <c r="T921" s="41"/>
      <c r="U921" s="41">
        <v>5.04129981994629</v>
      </c>
      <c r="V921" s="41"/>
      <c r="W921" s="41"/>
      <c r="X921" s="41"/>
      <c r="Y921" s="41"/>
      <c r="Z921" s="41">
        <v>4.0209999084472701</v>
      </c>
      <c r="AA921" s="41">
        <v>4.1097998619079599</v>
      </c>
      <c r="AB921" s="41"/>
      <c r="AC921" s="41"/>
      <c r="AD921" s="41"/>
      <c r="AE921" s="41">
        <v>4.8909001350402797</v>
      </c>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c r="BN921" s="54">
        <f t="shared" si="16"/>
        <v>4.8909001350402797</v>
      </c>
    </row>
    <row r="922" spans="2:66" x14ac:dyDescent="0.35">
      <c r="B922" s="41" t="s">
        <v>226</v>
      </c>
      <c r="C922" s="41" t="s">
        <v>166</v>
      </c>
      <c r="D922" s="41" t="s">
        <v>628</v>
      </c>
      <c r="E922" s="41" t="s">
        <v>629</v>
      </c>
      <c r="F922" s="41">
        <v>1.64625132083893</v>
      </c>
      <c r="G922" s="41"/>
      <c r="H922" s="41"/>
      <c r="I922" s="41"/>
      <c r="J922" s="41"/>
      <c r="K922" s="41"/>
      <c r="L922" s="41"/>
      <c r="M922" s="41"/>
      <c r="N922" s="41"/>
      <c r="O922" s="41"/>
      <c r="P922" s="41">
        <v>1.7531000375747701</v>
      </c>
      <c r="Q922" s="41"/>
      <c r="R922" s="41"/>
      <c r="S922" s="41"/>
      <c r="T922" s="41"/>
      <c r="U922" s="41">
        <v>1.7036999464035001</v>
      </c>
      <c r="V922" s="41"/>
      <c r="W922" s="41"/>
      <c r="X922" s="41"/>
      <c r="Y922" s="41"/>
      <c r="Z922" s="41">
        <v>1.3241000175476101</v>
      </c>
      <c r="AA922" s="41"/>
      <c r="AB922" s="41"/>
      <c r="AC922" s="41"/>
      <c r="AD922" s="41"/>
      <c r="AE922" s="41">
        <v>1.3094999790191699</v>
      </c>
      <c r="AF922" s="41"/>
      <c r="AG922" s="41"/>
      <c r="AH922" s="41"/>
      <c r="AI922" s="41"/>
      <c r="AJ922" s="41">
        <v>1.0067000389</v>
      </c>
      <c r="AK922" s="41"/>
      <c r="AL922" s="41"/>
      <c r="AM922" s="41">
        <v>0.80000001190000003</v>
      </c>
      <c r="AN922" s="41"/>
      <c r="AO922" s="41"/>
      <c r="AP922" s="41">
        <v>1.0599999428</v>
      </c>
      <c r="AQ922" s="41"/>
      <c r="AR922" s="41"/>
      <c r="AS922" s="41"/>
      <c r="AT922" s="41"/>
      <c r="AU922" s="41"/>
      <c r="AV922" s="41">
        <v>1</v>
      </c>
      <c r="AW922" s="41"/>
      <c r="AX922" s="41"/>
      <c r="AY922" s="41"/>
      <c r="AZ922" s="41"/>
      <c r="BA922" s="41"/>
      <c r="BB922" s="41">
        <v>0.7</v>
      </c>
      <c r="BC922" s="41">
        <v>0.8</v>
      </c>
      <c r="BD922" s="41">
        <v>0.8</v>
      </c>
      <c r="BE922" s="41">
        <v>0.7</v>
      </c>
      <c r="BF922" s="41">
        <v>0.7</v>
      </c>
      <c r="BG922" s="41">
        <v>0.7</v>
      </c>
      <c r="BH922" s="41">
        <v>0.7</v>
      </c>
      <c r="BI922" s="41"/>
      <c r="BJ922" s="41"/>
      <c r="BK922" s="41"/>
      <c r="BL922" s="41"/>
      <c r="BM922" s="41"/>
      <c r="BN922" s="54">
        <f t="shared" si="16"/>
        <v>0.7</v>
      </c>
    </row>
    <row r="923" spans="2:66" x14ac:dyDescent="0.35">
      <c r="B923" s="41" t="s">
        <v>408</v>
      </c>
      <c r="C923" s="41" t="s">
        <v>409</v>
      </c>
      <c r="D923" s="41" t="s">
        <v>628</v>
      </c>
      <c r="E923" s="41" t="s">
        <v>629</v>
      </c>
      <c r="F923" s="41">
        <v>1.5165460578571366</v>
      </c>
      <c r="G923" s="41"/>
      <c r="H923" s="41"/>
      <c r="I923" s="41"/>
      <c r="J923" s="41"/>
      <c r="K923" s="41"/>
      <c r="L923" s="41"/>
      <c r="M923" s="41"/>
      <c r="N923" s="41"/>
      <c r="O923" s="41"/>
      <c r="P923" s="41">
        <v>1.4215095364984542</v>
      </c>
      <c r="Q923" s="41"/>
      <c r="R923" s="41"/>
      <c r="S923" s="41"/>
      <c r="T923" s="41"/>
      <c r="U923" s="41">
        <v>1.5230015052052304</v>
      </c>
      <c r="V923" s="41"/>
      <c r="W923" s="41"/>
      <c r="X923" s="41"/>
      <c r="Y923" s="41"/>
      <c r="Z923" s="41"/>
      <c r="AA923" s="41"/>
      <c r="AB923" s="41"/>
      <c r="AC923" s="41"/>
      <c r="AD923" s="41"/>
      <c r="AE923" s="41"/>
      <c r="AF923" s="41"/>
      <c r="AG923" s="41"/>
      <c r="AH923" s="41"/>
      <c r="AI923" s="41"/>
      <c r="AJ923" s="41">
        <v>0.99774240856121321</v>
      </c>
      <c r="AK923" s="41"/>
      <c r="AL923" s="41"/>
      <c r="AM923" s="41"/>
      <c r="AN923" s="41"/>
      <c r="AO923" s="41"/>
      <c r="AP923" s="41"/>
      <c r="AQ923" s="41"/>
      <c r="AR923" s="41"/>
      <c r="AS923" s="41"/>
      <c r="AT923" s="41"/>
      <c r="AU923" s="41"/>
      <c r="AV923" s="41"/>
      <c r="AW923" s="41"/>
      <c r="AX923" s="41"/>
      <c r="AY923" s="41"/>
      <c r="AZ923" s="41">
        <v>0.74351169398035633</v>
      </c>
      <c r="BA923" s="41"/>
      <c r="BB923" s="41"/>
      <c r="BC923" s="41"/>
      <c r="BD923" s="41"/>
      <c r="BE923" s="41"/>
      <c r="BF923" s="41"/>
      <c r="BG923" s="41"/>
      <c r="BH923" s="41"/>
      <c r="BI923" s="41"/>
      <c r="BJ923" s="41"/>
      <c r="BK923" s="41"/>
      <c r="BL923" s="41"/>
      <c r="BM923" s="41"/>
      <c r="BN923" s="54">
        <f t="shared" si="16"/>
        <v>0.74351169398035633</v>
      </c>
    </row>
    <row r="924" spans="2:66" x14ac:dyDescent="0.35">
      <c r="B924" s="41" t="s">
        <v>358</v>
      </c>
      <c r="C924" s="41" t="s">
        <v>55</v>
      </c>
      <c r="D924" s="41" t="s">
        <v>628</v>
      </c>
      <c r="E924" s="41" t="s">
        <v>629</v>
      </c>
      <c r="F924" s="41"/>
      <c r="G924" s="41"/>
      <c r="H924" s="41"/>
      <c r="I924" s="41"/>
      <c r="J924" s="41"/>
      <c r="K924" s="41"/>
      <c r="L924" s="41"/>
      <c r="M924" s="41"/>
      <c r="N924" s="41"/>
      <c r="O924" s="41"/>
      <c r="P924" s="41"/>
      <c r="Q924" s="41"/>
      <c r="R924" s="41"/>
      <c r="S924" s="41"/>
      <c r="T924" s="41"/>
      <c r="U924" s="41"/>
      <c r="V924" s="41"/>
      <c r="W924" s="41"/>
      <c r="X924" s="41"/>
      <c r="Y924" s="41"/>
      <c r="Z924" s="41">
        <v>7.2347998619079599</v>
      </c>
      <c r="AA924" s="41">
        <v>7.3081002235412598</v>
      </c>
      <c r="AB924" s="41">
        <v>7.4235000610351598</v>
      </c>
      <c r="AC924" s="41">
        <v>7.4651999473571804</v>
      </c>
      <c r="AD924" s="41">
        <v>7.4465999603271502</v>
      </c>
      <c r="AE924" s="41">
        <v>7.4542999267578098</v>
      </c>
      <c r="AF924" s="41">
        <v>7.4025998115539604</v>
      </c>
      <c r="AG924" s="41">
        <v>7.4225001335143999</v>
      </c>
      <c r="AH924" s="41">
        <v>7.4416999816894496</v>
      </c>
      <c r="AI924" s="41">
        <v>7.3930001258850098</v>
      </c>
      <c r="AJ924" s="41">
        <v>7.3777999877999996</v>
      </c>
      <c r="AK924" s="41">
        <v>6.5201001167000001</v>
      </c>
      <c r="AL924" s="41">
        <v>6.2101001739999999</v>
      </c>
      <c r="AM924" s="41">
        <v>6.0711998940000003</v>
      </c>
      <c r="AN924" s="41">
        <v>5.9095001220999999</v>
      </c>
      <c r="AO924" s="41">
        <v>5.75</v>
      </c>
      <c r="AP924" s="41">
        <v>6.1900000571999998</v>
      </c>
      <c r="AQ924" s="41">
        <v>6.0100002289000001</v>
      </c>
      <c r="AR924" s="41">
        <v>6.0599999428000002</v>
      </c>
      <c r="AS924" s="41">
        <v>5.9299998282999997</v>
      </c>
      <c r="AT924" s="41">
        <v>6.2</v>
      </c>
      <c r="AU924" s="41">
        <v>6</v>
      </c>
      <c r="AV924" s="41">
        <v>5.7</v>
      </c>
      <c r="AW924" s="41">
        <v>5.6</v>
      </c>
      <c r="AX924" s="41">
        <v>5.5</v>
      </c>
      <c r="AY924" s="41">
        <v>5.5</v>
      </c>
      <c r="AZ924" s="41">
        <v>5.5</v>
      </c>
      <c r="BA924" s="41">
        <v>5.5</v>
      </c>
      <c r="BB924" s="41">
        <v>5.5</v>
      </c>
      <c r="BC924" s="41">
        <v>5.4</v>
      </c>
      <c r="BD924" s="41">
        <v>5.6</v>
      </c>
      <c r="BE924" s="41">
        <v>5.7</v>
      </c>
      <c r="BF924" s="41">
        <v>5.9</v>
      </c>
      <c r="BG924" s="41">
        <v>5.9</v>
      </c>
      <c r="BH924" s="41">
        <v>5.89</v>
      </c>
      <c r="BI924" s="41">
        <v>5.6</v>
      </c>
      <c r="BJ924" s="41"/>
      <c r="BK924" s="41"/>
      <c r="BL924" s="41"/>
      <c r="BM924" s="41"/>
      <c r="BN924" s="54">
        <f t="shared" si="16"/>
        <v>5.6</v>
      </c>
    </row>
    <row r="925" spans="2:66" x14ac:dyDescent="0.35">
      <c r="B925" s="41" t="s">
        <v>225</v>
      </c>
      <c r="C925" s="41" t="s">
        <v>56</v>
      </c>
      <c r="D925" s="41" t="s">
        <v>628</v>
      </c>
      <c r="E925" s="41" t="s">
        <v>629</v>
      </c>
      <c r="F925" s="41">
        <v>0.60883283615112305</v>
      </c>
      <c r="G925" s="41"/>
      <c r="H925" s="41"/>
      <c r="I925" s="41"/>
      <c r="J925" s="41"/>
      <c r="K925" s="41"/>
      <c r="L925" s="41"/>
      <c r="M925" s="41"/>
      <c r="N925" s="41"/>
      <c r="O925" s="41"/>
      <c r="P925" s="41">
        <v>0.78430002927780196</v>
      </c>
      <c r="Q925" s="41"/>
      <c r="R925" s="41"/>
      <c r="S925" s="41"/>
      <c r="T925" s="41"/>
      <c r="U925" s="41">
        <v>0.77600002288818404</v>
      </c>
      <c r="V925" s="41"/>
      <c r="W925" s="41"/>
      <c r="X925" s="41"/>
      <c r="Y925" s="41"/>
      <c r="Z925" s="41">
        <v>0.74049997329711903</v>
      </c>
      <c r="AA925" s="41"/>
      <c r="AB925" s="41"/>
      <c r="AC925" s="41"/>
      <c r="AD925" s="41"/>
      <c r="AE925" s="41">
        <v>0.72310000658035301</v>
      </c>
      <c r="AF925" s="41"/>
      <c r="AG925" s="41"/>
      <c r="AH925" s="41"/>
      <c r="AI925" s="41"/>
      <c r="AJ925" s="41">
        <v>0.75559997560000003</v>
      </c>
      <c r="AK925" s="41"/>
      <c r="AL925" s="41"/>
      <c r="AM925" s="41">
        <v>0.79909998179999997</v>
      </c>
      <c r="AN925" s="41"/>
      <c r="AO925" s="41"/>
      <c r="AP925" s="41">
        <v>0.70999997849999996</v>
      </c>
      <c r="AQ925" s="41"/>
      <c r="AR925" s="41"/>
      <c r="AS925" s="41"/>
      <c r="AT925" s="41">
        <v>0.7</v>
      </c>
      <c r="AU925" s="41"/>
      <c r="AV925" s="41"/>
      <c r="AW925" s="41"/>
      <c r="AX925" s="41"/>
      <c r="AY925" s="41"/>
      <c r="AZ925" s="41"/>
      <c r="BA925" s="41">
        <v>1.3</v>
      </c>
      <c r="BB925" s="41"/>
      <c r="BC925" s="41"/>
      <c r="BD925" s="41"/>
      <c r="BE925" s="41"/>
      <c r="BF925" s="41"/>
      <c r="BG925" s="41">
        <v>0.7</v>
      </c>
      <c r="BH925" s="41"/>
      <c r="BI925" s="41"/>
      <c r="BJ925" s="41"/>
      <c r="BK925" s="41"/>
      <c r="BL925" s="41"/>
      <c r="BM925" s="41"/>
      <c r="BN925" s="54">
        <f t="shared" si="16"/>
        <v>0.7</v>
      </c>
    </row>
    <row r="926" spans="2:66" x14ac:dyDescent="0.35">
      <c r="B926" s="41" t="s">
        <v>414</v>
      </c>
      <c r="C926" s="41" t="s">
        <v>57</v>
      </c>
      <c r="D926" s="41" t="s">
        <v>628</v>
      </c>
      <c r="E926" s="41" t="s">
        <v>629</v>
      </c>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v>9.3000001907000005</v>
      </c>
      <c r="AO926" s="41">
        <v>8.8000001907000005</v>
      </c>
      <c r="AP926" s="41">
        <v>8.8000001907000005</v>
      </c>
      <c r="AQ926" s="41">
        <v>8</v>
      </c>
      <c r="AR926" s="41">
        <v>8.1000003814999992</v>
      </c>
      <c r="AS926" s="41">
        <v>8.1000003814999992</v>
      </c>
      <c r="AT926" s="41">
        <v>8.1999999999999993</v>
      </c>
      <c r="AU926" s="41">
        <v>7.9</v>
      </c>
      <c r="AV926" s="41">
        <v>7.9</v>
      </c>
      <c r="AW926" s="41">
        <v>7.9</v>
      </c>
      <c r="AX926" s="41">
        <v>7.9</v>
      </c>
      <c r="AY926" s="41">
        <v>7.9</v>
      </c>
      <c r="AZ926" s="41">
        <v>8</v>
      </c>
      <c r="BA926" s="41">
        <v>7.2</v>
      </c>
      <c r="BB926" s="41">
        <v>7.1</v>
      </c>
      <c r="BC926" s="41">
        <v>7.1</v>
      </c>
      <c r="BD926" s="41">
        <v>7.2</v>
      </c>
      <c r="BE926" s="41">
        <v>7.2</v>
      </c>
      <c r="BF926" s="41">
        <v>7</v>
      </c>
      <c r="BG926" s="41">
        <v>7</v>
      </c>
      <c r="BH926" s="41"/>
      <c r="BI926" s="41"/>
      <c r="BJ926" s="41"/>
      <c r="BK926" s="41"/>
      <c r="BL926" s="41"/>
      <c r="BM926" s="41"/>
      <c r="BN926" s="54">
        <f t="shared" si="16"/>
        <v>7</v>
      </c>
    </row>
    <row r="927" spans="2:66" x14ac:dyDescent="0.35">
      <c r="B927" s="41" t="s">
        <v>630</v>
      </c>
      <c r="C927" s="41" t="s">
        <v>631</v>
      </c>
      <c r="D927" s="41" t="s">
        <v>628</v>
      </c>
      <c r="E927" s="41" t="s">
        <v>629</v>
      </c>
      <c r="F927" s="41"/>
      <c r="G927" s="41"/>
      <c r="H927" s="41"/>
      <c r="I927" s="41"/>
      <c r="J927" s="41"/>
      <c r="K927" s="41"/>
      <c r="L927" s="41"/>
      <c r="M927" s="41"/>
      <c r="N927" s="41"/>
      <c r="O927" s="41"/>
      <c r="P927" s="41">
        <v>1.5368047936149709</v>
      </c>
      <c r="Q927" s="41"/>
      <c r="R927" s="41"/>
      <c r="S927" s="41"/>
      <c r="T927" s="41"/>
      <c r="U927" s="41">
        <v>1.6164170006263976</v>
      </c>
      <c r="V927" s="41"/>
      <c r="W927" s="41"/>
      <c r="X927" s="41"/>
      <c r="Y927" s="41"/>
      <c r="Z927" s="41">
        <v>2.261013896593242</v>
      </c>
      <c r="AA927" s="41">
        <v>2.2066140106678498</v>
      </c>
      <c r="AB927" s="41"/>
      <c r="AC927" s="41"/>
      <c r="AD927" s="41"/>
      <c r="AE927" s="41">
        <v>2.8558888931654955</v>
      </c>
      <c r="AF927" s="41"/>
      <c r="AG927" s="41">
        <v>3.0502463170257412</v>
      </c>
      <c r="AH927" s="41"/>
      <c r="AI927" s="41"/>
      <c r="AJ927" s="41">
        <v>3.476432183815088</v>
      </c>
      <c r="AK927" s="41">
        <v>2.7823653456786754</v>
      </c>
      <c r="AL927" s="41"/>
      <c r="AM927" s="41"/>
      <c r="AN927" s="41"/>
      <c r="AO927" s="41"/>
      <c r="AP927" s="41"/>
      <c r="AQ927" s="41"/>
      <c r="AR927" s="41"/>
      <c r="AS927" s="41"/>
      <c r="AT927" s="41"/>
      <c r="AU927" s="41"/>
      <c r="AV927" s="41">
        <v>2.2273854611341739</v>
      </c>
      <c r="AW927" s="41">
        <v>2.2972606001799334</v>
      </c>
      <c r="AX927" s="41"/>
      <c r="AY927" s="41">
        <v>2.4321299906171747</v>
      </c>
      <c r="AZ927" s="41"/>
      <c r="BA927" s="41"/>
      <c r="BB927" s="41"/>
      <c r="BC927" s="41"/>
      <c r="BD927" s="41">
        <v>3.2007655149071743</v>
      </c>
      <c r="BE927" s="41">
        <v>2.6029659986802662</v>
      </c>
      <c r="BF927" s="41"/>
      <c r="BG927" s="41"/>
      <c r="BH927" s="41"/>
      <c r="BI927" s="41"/>
      <c r="BJ927" s="41"/>
      <c r="BK927" s="41"/>
      <c r="BL927" s="41"/>
      <c r="BM927" s="41"/>
      <c r="BN927" s="54">
        <f t="shared" si="16"/>
        <v>2.6029659986802662</v>
      </c>
    </row>
    <row r="928" spans="2:66" x14ac:dyDescent="0.35">
      <c r="B928" s="41" t="s">
        <v>632</v>
      </c>
      <c r="C928" s="41" t="s">
        <v>633</v>
      </c>
      <c r="D928" s="41" t="s">
        <v>628</v>
      </c>
      <c r="E928" s="41" t="s">
        <v>629</v>
      </c>
      <c r="F928" s="41"/>
      <c r="G928" s="41"/>
      <c r="H928" s="41"/>
      <c r="I928" s="41"/>
      <c r="J928" s="41"/>
      <c r="K928" s="41"/>
      <c r="L928" s="41"/>
      <c r="M928" s="41"/>
      <c r="N928" s="41"/>
      <c r="O928" s="41"/>
      <c r="P928" s="41">
        <v>1.4383312812286475</v>
      </c>
      <c r="Q928" s="41"/>
      <c r="R928" s="41"/>
      <c r="S928" s="41"/>
      <c r="T928" s="41"/>
      <c r="U928" s="41">
        <v>1.5456394796656405</v>
      </c>
      <c r="V928" s="41"/>
      <c r="W928" s="41"/>
      <c r="X928" s="41"/>
      <c r="Y928" s="41"/>
      <c r="Z928" s="41">
        <v>2.1081868175259877</v>
      </c>
      <c r="AA928" s="41"/>
      <c r="AB928" s="41"/>
      <c r="AC928" s="41"/>
      <c r="AD928" s="41"/>
      <c r="AE928" s="41">
        <v>2.8234217230873329</v>
      </c>
      <c r="AF928" s="41"/>
      <c r="AG928" s="41"/>
      <c r="AH928" s="41"/>
      <c r="AI928" s="41"/>
      <c r="AJ928" s="41">
        <v>3.0090953154875835</v>
      </c>
      <c r="AK928" s="41">
        <v>2.6891395090991361</v>
      </c>
      <c r="AL928" s="41"/>
      <c r="AM928" s="41"/>
      <c r="AN928" s="41"/>
      <c r="AO928" s="41"/>
      <c r="AP928" s="41"/>
      <c r="AQ928" s="41"/>
      <c r="AR928" s="41"/>
      <c r="AS928" s="41"/>
      <c r="AT928" s="41"/>
      <c r="AU928" s="41"/>
      <c r="AV928" s="41">
        <v>2.0753667561125679</v>
      </c>
      <c r="AW928" s="41">
        <v>2.2211259824298648</v>
      </c>
      <c r="AX928" s="41"/>
      <c r="AY928" s="41">
        <v>2.2104299132657212</v>
      </c>
      <c r="AZ928" s="41"/>
      <c r="BA928" s="41"/>
      <c r="BB928" s="41"/>
      <c r="BC928" s="41"/>
      <c r="BD928" s="41"/>
      <c r="BE928" s="41">
        <v>2.4609253863224496</v>
      </c>
      <c r="BF928" s="41"/>
      <c r="BG928" s="41"/>
      <c r="BH928" s="41"/>
      <c r="BI928" s="41"/>
      <c r="BJ928" s="41"/>
      <c r="BK928" s="41"/>
      <c r="BL928" s="41"/>
      <c r="BM928" s="41"/>
      <c r="BN928" s="54">
        <f t="shared" si="16"/>
        <v>2.4609253863224496</v>
      </c>
    </row>
    <row r="929" spans="2:66" x14ac:dyDescent="0.35">
      <c r="B929" s="41" t="s">
        <v>634</v>
      </c>
      <c r="C929" s="41" t="s">
        <v>635</v>
      </c>
      <c r="D929" s="41" t="s">
        <v>628</v>
      </c>
      <c r="E929" s="41" t="s">
        <v>629</v>
      </c>
      <c r="F929" s="41">
        <v>1.1163977879161611</v>
      </c>
      <c r="G929" s="41"/>
      <c r="H929" s="41"/>
      <c r="I929" s="41"/>
      <c r="J929" s="41"/>
      <c r="K929" s="41"/>
      <c r="L929" s="41"/>
      <c r="M929" s="41"/>
      <c r="N929" s="41"/>
      <c r="O929" s="41"/>
      <c r="P929" s="41">
        <v>1.0069887082186986</v>
      </c>
      <c r="Q929" s="41"/>
      <c r="R929" s="41"/>
      <c r="S929" s="41"/>
      <c r="T929" s="41"/>
      <c r="U929" s="41"/>
      <c r="V929" s="41"/>
      <c r="W929" s="41"/>
      <c r="X929" s="41"/>
      <c r="Y929" s="41"/>
      <c r="Z929" s="41">
        <v>1.2929047866838763</v>
      </c>
      <c r="AA929" s="41"/>
      <c r="AB929" s="41"/>
      <c r="AC929" s="41"/>
      <c r="AD929" s="41"/>
      <c r="AE929" s="41"/>
      <c r="AF929" s="41"/>
      <c r="AG929" s="41"/>
      <c r="AH929" s="41"/>
      <c r="AI929" s="41"/>
      <c r="AJ929" s="41">
        <v>1.4494300762004075</v>
      </c>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c r="BN929" s="54">
        <f t="shared" si="16"/>
        <v>1.4494300762004075</v>
      </c>
    </row>
    <row r="930" spans="2:66" x14ac:dyDescent="0.35">
      <c r="B930" s="41" t="s">
        <v>636</v>
      </c>
      <c r="C930" s="41" t="s">
        <v>637</v>
      </c>
      <c r="D930" s="41" t="s">
        <v>628</v>
      </c>
      <c r="E930" s="41" t="s">
        <v>629</v>
      </c>
      <c r="F930" s="41">
        <v>0.85927364365682435</v>
      </c>
      <c r="G930" s="41"/>
      <c r="H930" s="41"/>
      <c r="I930" s="41"/>
      <c r="J930" s="41"/>
      <c r="K930" s="41"/>
      <c r="L930" s="41"/>
      <c r="M930" s="41"/>
      <c r="N930" s="41"/>
      <c r="O930" s="41"/>
      <c r="P930" s="41">
        <v>1.0156668138212943</v>
      </c>
      <c r="Q930" s="41"/>
      <c r="R930" s="41"/>
      <c r="S930" s="41"/>
      <c r="T930" s="41"/>
      <c r="U930" s="41">
        <v>0.89334069871635058</v>
      </c>
      <c r="V930" s="41"/>
      <c r="W930" s="41"/>
      <c r="X930" s="41"/>
      <c r="Y930" s="41"/>
      <c r="Z930" s="41">
        <v>1.9465926333924746</v>
      </c>
      <c r="AA930" s="41"/>
      <c r="AB930" s="41"/>
      <c r="AC930" s="41"/>
      <c r="AD930" s="41"/>
      <c r="AE930" s="41"/>
      <c r="AF930" s="41"/>
      <c r="AG930" s="41"/>
      <c r="AH930" s="41"/>
      <c r="AI930" s="41"/>
      <c r="AJ930" s="41">
        <v>2.2659178530580681</v>
      </c>
      <c r="AK930" s="41"/>
      <c r="AL930" s="41"/>
      <c r="AM930" s="41"/>
      <c r="AN930" s="41"/>
      <c r="AO930" s="41"/>
      <c r="AP930" s="41"/>
      <c r="AQ930" s="41"/>
      <c r="AR930" s="41"/>
      <c r="AS930" s="41"/>
      <c r="AT930" s="41">
        <v>1.36447776116317</v>
      </c>
      <c r="AU930" s="41"/>
      <c r="AV930" s="41"/>
      <c r="AW930" s="41"/>
      <c r="AX930" s="41">
        <v>1.1226850423938446</v>
      </c>
      <c r="AY930" s="41"/>
      <c r="AZ930" s="41"/>
      <c r="BA930" s="41"/>
      <c r="BB930" s="41"/>
      <c r="BC930" s="41"/>
      <c r="BD930" s="41"/>
      <c r="BE930" s="41"/>
      <c r="BF930" s="41"/>
      <c r="BG930" s="41"/>
      <c r="BH930" s="41"/>
      <c r="BI930" s="41"/>
      <c r="BJ930" s="41"/>
      <c r="BK930" s="41"/>
      <c r="BL930" s="41"/>
      <c r="BM930" s="41"/>
      <c r="BN930" s="54">
        <f t="shared" si="16"/>
        <v>1.1226850423938446</v>
      </c>
    </row>
    <row r="931" spans="2:66" x14ac:dyDescent="0.35">
      <c r="B931" s="41" t="s">
        <v>242</v>
      </c>
      <c r="C931" s="41" t="s">
        <v>58</v>
      </c>
      <c r="D931" s="41" t="s">
        <v>628</v>
      </c>
      <c r="E931" s="41" t="s">
        <v>629</v>
      </c>
      <c r="F931" s="41">
        <v>0.74045705795288097</v>
      </c>
      <c r="G931" s="41"/>
      <c r="H931" s="41"/>
      <c r="I931" s="41"/>
      <c r="J931" s="41"/>
      <c r="K931" s="41"/>
      <c r="L931" s="41"/>
      <c r="M931" s="41"/>
      <c r="N931" s="41"/>
      <c r="O931" s="41"/>
      <c r="P931" s="41">
        <v>0.65460002422332797</v>
      </c>
      <c r="Q931" s="41"/>
      <c r="R931" s="41"/>
      <c r="S931" s="41"/>
      <c r="T931" s="41"/>
      <c r="U931" s="41">
        <v>0.81830000877380404</v>
      </c>
      <c r="V931" s="41"/>
      <c r="W931" s="41"/>
      <c r="X931" s="41"/>
      <c r="Y931" s="41"/>
      <c r="Z931" s="41"/>
      <c r="AA931" s="41"/>
      <c r="AB931" s="41"/>
      <c r="AC931" s="41"/>
      <c r="AD931" s="41"/>
      <c r="AE931" s="41">
        <v>0.55680000782012895</v>
      </c>
      <c r="AF931" s="41"/>
      <c r="AG931" s="41"/>
      <c r="AH931" s="41"/>
      <c r="AI931" s="41">
        <v>0.70260000228881803</v>
      </c>
      <c r="AJ931" s="41">
        <v>0.66519999500000004</v>
      </c>
      <c r="AK931" s="41">
        <v>0.66860002279999997</v>
      </c>
      <c r="AL931" s="41">
        <v>0.66500002150000004</v>
      </c>
      <c r="AM931" s="41">
        <v>0.65759998559999999</v>
      </c>
      <c r="AN931" s="41">
        <v>0.66009998319999996</v>
      </c>
      <c r="AO931" s="41"/>
      <c r="AP931" s="41"/>
      <c r="AQ931" s="41"/>
      <c r="AR931" s="41">
        <v>0.6</v>
      </c>
      <c r="AS931" s="41"/>
      <c r="AT931" s="41"/>
      <c r="AU931" s="41"/>
      <c r="AV931" s="41">
        <v>0.6</v>
      </c>
      <c r="AW931" s="41"/>
      <c r="AX931" s="41"/>
      <c r="AY931" s="41"/>
      <c r="AZ931" s="41"/>
      <c r="BA931" s="41"/>
      <c r="BB931" s="41"/>
      <c r="BC931" s="41"/>
      <c r="BD931" s="41">
        <v>0.6</v>
      </c>
      <c r="BE931" s="41"/>
      <c r="BF931" s="41">
        <v>0.9</v>
      </c>
      <c r="BG931" s="41"/>
      <c r="BH931" s="41"/>
      <c r="BI931" s="41">
        <v>1.2</v>
      </c>
      <c r="BJ931" s="41"/>
      <c r="BK931" s="41"/>
      <c r="BL931" s="41"/>
      <c r="BM931" s="41"/>
      <c r="BN931" s="54">
        <f t="shared" si="16"/>
        <v>1.2</v>
      </c>
    </row>
    <row r="932" spans="2:66" x14ac:dyDescent="0.35">
      <c r="B932" s="41" t="s">
        <v>638</v>
      </c>
      <c r="C932" s="41" t="s">
        <v>639</v>
      </c>
      <c r="D932" s="41" t="s">
        <v>628</v>
      </c>
      <c r="E932" s="41" t="s">
        <v>629</v>
      </c>
      <c r="F932" s="41">
        <v>1.2586431280686194</v>
      </c>
      <c r="G932" s="41"/>
      <c r="H932" s="41"/>
      <c r="I932" s="41"/>
      <c r="J932" s="41"/>
      <c r="K932" s="41"/>
      <c r="L932" s="41"/>
      <c r="M932" s="41"/>
      <c r="N932" s="41"/>
      <c r="O932" s="41"/>
      <c r="P932" s="41">
        <v>1.002929389439944</v>
      </c>
      <c r="Q932" s="41"/>
      <c r="R932" s="41"/>
      <c r="S932" s="41"/>
      <c r="T932" s="41"/>
      <c r="U932" s="41"/>
      <c r="V932" s="41"/>
      <c r="W932" s="41"/>
      <c r="X932" s="41"/>
      <c r="Y932" s="41"/>
      <c r="Z932" s="41"/>
      <c r="AA932" s="41"/>
      <c r="AB932" s="41"/>
      <c r="AC932" s="41"/>
      <c r="AD932" s="41"/>
      <c r="AE932" s="41"/>
      <c r="AF932" s="41"/>
      <c r="AG932" s="41"/>
      <c r="AH932" s="41"/>
      <c r="AI932" s="41"/>
      <c r="AJ932" s="41">
        <v>0.97496863705028103</v>
      </c>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c r="BN932" s="54">
        <f t="shared" si="16"/>
        <v>0.97496863705028103</v>
      </c>
    </row>
    <row r="933" spans="2:66" x14ac:dyDescent="0.35">
      <c r="B933" s="41" t="s">
        <v>420</v>
      </c>
      <c r="C933" s="41" t="s">
        <v>421</v>
      </c>
      <c r="D933" s="41" t="s">
        <v>628</v>
      </c>
      <c r="E933" s="41" t="s">
        <v>629</v>
      </c>
      <c r="F933" s="41">
        <v>1.8449837295145264</v>
      </c>
      <c r="G933" s="41"/>
      <c r="H933" s="41"/>
      <c r="I933" s="41"/>
      <c r="J933" s="41"/>
      <c r="K933" s="41"/>
      <c r="L933" s="41"/>
      <c r="M933" s="41"/>
      <c r="N933" s="41"/>
      <c r="O933" s="41"/>
      <c r="P933" s="41">
        <v>1.9132313316957892</v>
      </c>
      <c r="Q933" s="41"/>
      <c r="R933" s="41"/>
      <c r="S933" s="41"/>
      <c r="T933" s="41"/>
      <c r="U933" s="41"/>
      <c r="V933" s="41"/>
      <c r="W933" s="41"/>
      <c r="X933" s="41"/>
      <c r="Y933" s="41"/>
      <c r="Z933" s="41">
        <v>1.7561565950241553</v>
      </c>
      <c r="AA933" s="41">
        <v>1.7541120950407536</v>
      </c>
      <c r="AB933" s="41"/>
      <c r="AC933" s="41"/>
      <c r="AD933" s="41"/>
      <c r="AE933" s="41"/>
      <c r="AF933" s="41"/>
      <c r="AG933" s="41"/>
      <c r="AH933" s="41"/>
      <c r="AI933" s="41"/>
      <c r="AJ933" s="41">
        <v>1.7522383307353393</v>
      </c>
      <c r="AK933" s="41"/>
      <c r="AL933" s="41"/>
      <c r="AM933" s="41"/>
      <c r="AN933" s="41"/>
      <c r="AO933" s="41"/>
      <c r="AP933" s="41"/>
      <c r="AQ933" s="41"/>
      <c r="AR933" s="41"/>
      <c r="AS933" s="41"/>
      <c r="AT933" s="41"/>
      <c r="AU933" s="41"/>
      <c r="AV933" s="41"/>
      <c r="AW933" s="41"/>
      <c r="AX933" s="41"/>
      <c r="AY933" s="41">
        <v>1.7693946173590436</v>
      </c>
      <c r="AZ933" s="41">
        <v>1.5847432589061126</v>
      </c>
      <c r="BA933" s="41"/>
      <c r="BB933" s="41"/>
      <c r="BC933" s="41">
        <v>1.5842793837592861</v>
      </c>
      <c r="BD933" s="41"/>
      <c r="BE933" s="41"/>
      <c r="BF933" s="41"/>
      <c r="BG933" s="41"/>
      <c r="BH933" s="41"/>
      <c r="BI933" s="41"/>
      <c r="BJ933" s="41"/>
      <c r="BK933" s="41"/>
      <c r="BL933" s="41"/>
      <c r="BM933" s="41"/>
      <c r="BN933" s="54">
        <f t="shared" si="16"/>
        <v>1.5842793837592861</v>
      </c>
    </row>
    <row r="934" spans="2:66" x14ac:dyDescent="0.35">
      <c r="B934" s="41" t="s">
        <v>416</v>
      </c>
      <c r="C934" s="41" t="s">
        <v>59</v>
      </c>
      <c r="D934" s="41" t="s">
        <v>628</v>
      </c>
      <c r="E934" s="41" t="s">
        <v>629</v>
      </c>
      <c r="F934" s="41">
        <v>0.45898690819740301</v>
      </c>
      <c r="G934" s="41"/>
      <c r="H934" s="41"/>
      <c r="I934" s="41"/>
      <c r="J934" s="41"/>
      <c r="K934" s="41"/>
      <c r="L934" s="41"/>
      <c r="M934" s="41"/>
      <c r="N934" s="41"/>
      <c r="O934" s="41"/>
      <c r="P934" s="41">
        <v>0.60449999570846602</v>
      </c>
      <c r="Q934" s="41"/>
      <c r="R934" s="41"/>
      <c r="S934" s="41"/>
      <c r="T934" s="41"/>
      <c r="U934" s="41">
        <v>0.58819997310638406</v>
      </c>
      <c r="V934" s="41"/>
      <c r="W934" s="41"/>
      <c r="X934" s="41"/>
      <c r="Y934" s="41"/>
      <c r="Z934" s="41">
        <v>0.76969999074935902</v>
      </c>
      <c r="AA934" s="41">
        <v>0.76940000057220503</v>
      </c>
      <c r="AB934" s="41"/>
      <c r="AC934" s="41"/>
      <c r="AD934" s="41"/>
      <c r="AE934" s="41">
        <v>0.76920002698898304</v>
      </c>
      <c r="AF934" s="41"/>
      <c r="AG934" s="41">
        <v>0.71820002794265703</v>
      </c>
      <c r="AH934" s="41"/>
      <c r="AI934" s="41"/>
      <c r="AJ934" s="41"/>
      <c r="AK934" s="41">
        <v>0.78700000049999996</v>
      </c>
      <c r="AL934" s="41"/>
      <c r="AM934" s="41"/>
      <c r="AN934" s="41"/>
      <c r="AO934" s="41"/>
      <c r="AP934" s="41"/>
      <c r="AQ934" s="41"/>
      <c r="AR934" s="41"/>
      <c r="AS934" s="41"/>
      <c r="AT934" s="41"/>
      <c r="AU934" s="41"/>
      <c r="AV934" s="41">
        <v>0.69</v>
      </c>
      <c r="AW934" s="41">
        <v>0.89999997620000005</v>
      </c>
      <c r="AX934" s="41"/>
      <c r="AY934" s="41">
        <v>0.9</v>
      </c>
      <c r="AZ934" s="41"/>
      <c r="BA934" s="41"/>
      <c r="BB934" s="41"/>
      <c r="BC934" s="41"/>
      <c r="BD934" s="41"/>
      <c r="BE934" s="41">
        <v>0.7</v>
      </c>
      <c r="BF934" s="41"/>
      <c r="BG934" s="41"/>
      <c r="BH934" s="41"/>
      <c r="BI934" s="41"/>
      <c r="BJ934" s="41"/>
      <c r="BK934" s="41"/>
      <c r="BL934" s="41"/>
      <c r="BM934" s="41"/>
      <c r="BN934" s="54">
        <f t="shared" si="16"/>
        <v>0.7</v>
      </c>
    </row>
    <row r="935" spans="2:66" x14ac:dyDescent="0.35">
      <c r="B935" s="41" t="s">
        <v>488</v>
      </c>
      <c r="C935" s="41" t="s">
        <v>489</v>
      </c>
      <c r="D935" s="41" t="s">
        <v>628</v>
      </c>
      <c r="E935" s="41" t="s">
        <v>629</v>
      </c>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c r="BN935" s="54" t="str">
        <f t="shared" si="16"/>
        <v>No reported value</v>
      </c>
    </row>
    <row r="936" spans="2:66" x14ac:dyDescent="0.35">
      <c r="B936" s="41" t="s">
        <v>419</v>
      </c>
      <c r="C936" s="41" t="s">
        <v>60</v>
      </c>
      <c r="D936" s="41" t="s">
        <v>628</v>
      </c>
      <c r="E936" s="41" t="s">
        <v>629</v>
      </c>
      <c r="F936" s="41"/>
      <c r="G936" s="41"/>
      <c r="H936" s="41"/>
      <c r="I936" s="41"/>
      <c r="J936" s="41"/>
      <c r="K936" s="41"/>
      <c r="L936" s="41"/>
      <c r="M936" s="41"/>
      <c r="N936" s="41"/>
      <c r="O936" s="41"/>
      <c r="P936" s="41"/>
      <c r="Q936" s="41"/>
      <c r="R936" s="41"/>
      <c r="S936" s="41"/>
      <c r="T936" s="41"/>
      <c r="U936" s="41"/>
      <c r="V936" s="41"/>
      <c r="W936" s="41"/>
      <c r="X936" s="41"/>
      <c r="Y936" s="41"/>
      <c r="Z936" s="41">
        <v>9</v>
      </c>
      <c r="AA936" s="41">
        <v>9</v>
      </c>
      <c r="AB936" s="41">
        <v>8.8000001907348597</v>
      </c>
      <c r="AC936" s="41">
        <v>8.6000003814697301</v>
      </c>
      <c r="AD936" s="41">
        <v>8.3999996185302699</v>
      </c>
      <c r="AE936" s="41">
        <v>8.1999998092651403</v>
      </c>
      <c r="AF936" s="41">
        <v>7.9000000953674299</v>
      </c>
      <c r="AG936" s="41">
        <v>7.1999998092651403</v>
      </c>
      <c r="AH936" s="41">
        <v>6.4000000953674299</v>
      </c>
      <c r="AI936" s="41">
        <v>6.1999998092651403</v>
      </c>
      <c r="AJ936" s="41">
        <v>6.0999999045999997</v>
      </c>
      <c r="AK936" s="41">
        <v>6</v>
      </c>
      <c r="AL936" s="41">
        <v>5.6999998093000004</v>
      </c>
      <c r="AM936" s="41">
        <v>5.5</v>
      </c>
      <c r="AN936" s="41">
        <v>5.3000001906999996</v>
      </c>
      <c r="AO936" s="41">
        <v>5.1999998093000004</v>
      </c>
      <c r="AP936" s="41">
        <v>5.0999999045999997</v>
      </c>
      <c r="AQ936" s="41">
        <v>4.9000000954000003</v>
      </c>
      <c r="AR936" s="41">
        <v>4.8000001906999996</v>
      </c>
      <c r="AS936" s="41">
        <v>4.6999998093000004</v>
      </c>
      <c r="AT936" s="41">
        <v>6.2</v>
      </c>
      <c r="AU936" s="41">
        <v>5.9</v>
      </c>
      <c r="AV936" s="41">
        <v>5.8</v>
      </c>
      <c r="AW936" s="41">
        <v>5.7</v>
      </c>
      <c r="AX936" s="41">
        <v>5.7</v>
      </c>
      <c r="AY936" s="41">
        <v>5.5</v>
      </c>
      <c r="AZ936" s="41">
        <v>5.3</v>
      </c>
      <c r="BA936" s="41">
        <v>5.2</v>
      </c>
      <c r="BB936" s="41">
        <v>4.9000000000000004</v>
      </c>
      <c r="BC936" s="41">
        <v>3.2</v>
      </c>
      <c r="BD936" s="41">
        <v>3</v>
      </c>
      <c r="BE936" s="41">
        <v>2.9</v>
      </c>
      <c r="BF936" s="41">
        <v>2.8</v>
      </c>
      <c r="BG936" s="41">
        <v>2.8</v>
      </c>
      <c r="BH936" s="41"/>
      <c r="BI936" s="41"/>
      <c r="BJ936" s="41"/>
      <c r="BK936" s="41"/>
      <c r="BL936" s="41"/>
      <c r="BM936" s="41"/>
      <c r="BN936" s="54">
        <f t="shared" si="16"/>
        <v>2.8</v>
      </c>
    </row>
    <row r="937" spans="2:66" x14ac:dyDescent="0.35">
      <c r="B937" s="41" t="s">
        <v>417</v>
      </c>
      <c r="C937" s="41" t="s">
        <v>61</v>
      </c>
      <c r="D937" s="41" t="s">
        <v>628</v>
      </c>
      <c r="E937" s="41" t="s">
        <v>629</v>
      </c>
      <c r="F937" s="41">
        <v>0.92567503452301003</v>
      </c>
      <c r="G937" s="41"/>
      <c r="H937" s="41"/>
      <c r="I937" s="41"/>
      <c r="J937" s="41"/>
      <c r="K937" s="41"/>
      <c r="L937" s="41"/>
      <c r="M937" s="41"/>
      <c r="N937" s="41"/>
      <c r="O937" s="41"/>
      <c r="P937" s="41">
        <v>1.37960004806519</v>
      </c>
      <c r="Q937" s="41"/>
      <c r="R937" s="41"/>
      <c r="S937" s="41"/>
      <c r="T937" s="41"/>
      <c r="U937" s="41"/>
      <c r="V937" s="41"/>
      <c r="W937" s="41"/>
      <c r="X937" s="41"/>
      <c r="Y937" s="41"/>
      <c r="Z937" s="41">
        <v>1.4805999994278001</v>
      </c>
      <c r="AA937" s="41">
        <v>1.5155999660491899</v>
      </c>
      <c r="AB937" s="41"/>
      <c r="AC937" s="41"/>
      <c r="AD937" s="41"/>
      <c r="AE937" s="41"/>
      <c r="AF937" s="41"/>
      <c r="AG937" s="41">
        <v>1.5104999542236299</v>
      </c>
      <c r="AH937" s="41">
        <v>1.4837000370025599</v>
      </c>
      <c r="AI937" s="41"/>
      <c r="AJ937" s="41">
        <v>1.4330999850999999</v>
      </c>
      <c r="AK937" s="41"/>
      <c r="AL937" s="41"/>
      <c r="AM937" s="41"/>
      <c r="AN937" s="41"/>
      <c r="AO937" s="41"/>
      <c r="AP937" s="41">
        <v>1.6000000238000001</v>
      </c>
      <c r="AQ937" s="41"/>
      <c r="AR937" s="41"/>
      <c r="AS937" s="41"/>
      <c r="AT937" s="41">
        <v>1.6</v>
      </c>
      <c r="AU937" s="41">
        <v>1.6</v>
      </c>
      <c r="AV937" s="41">
        <v>1.6</v>
      </c>
      <c r="AW937" s="41">
        <v>1.6</v>
      </c>
      <c r="AX937" s="41">
        <v>1.6</v>
      </c>
      <c r="AY937" s="41">
        <v>1.7</v>
      </c>
      <c r="AZ937" s="41">
        <v>1.7</v>
      </c>
      <c r="BA937" s="41">
        <v>1.7</v>
      </c>
      <c r="BB937" s="41">
        <v>1.4</v>
      </c>
      <c r="BC937" s="41">
        <v>1.4</v>
      </c>
      <c r="BD937" s="41">
        <v>1.7</v>
      </c>
      <c r="BE937" s="41">
        <v>1.7</v>
      </c>
      <c r="BF937" s="41">
        <v>0.1</v>
      </c>
      <c r="BG937" s="41">
        <v>1.5</v>
      </c>
      <c r="BH937" s="41">
        <v>1.5</v>
      </c>
      <c r="BI937" s="41"/>
      <c r="BJ937" s="41"/>
      <c r="BK937" s="41"/>
      <c r="BL937" s="41"/>
      <c r="BM937" s="41"/>
      <c r="BN937" s="54">
        <f t="shared" si="16"/>
        <v>1.5</v>
      </c>
    </row>
    <row r="938" spans="2:66" x14ac:dyDescent="0.35">
      <c r="B938" s="41" t="s">
        <v>418</v>
      </c>
      <c r="C938" s="41" t="s">
        <v>62</v>
      </c>
      <c r="D938" s="41" t="s">
        <v>628</v>
      </c>
      <c r="E938" s="41" t="s">
        <v>629</v>
      </c>
      <c r="F938" s="41">
        <v>1.8580399751663199</v>
      </c>
      <c r="G938" s="41"/>
      <c r="H938" s="41"/>
      <c r="I938" s="41"/>
      <c r="J938" s="41"/>
      <c r="K938" s="41"/>
      <c r="L938" s="41"/>
      <c r="M938" s="41"/>
      <c r="N938" s="41"/>
      <c r="O938" s="41"/>
      <c r="P938" s="41">
        <v>1.95099997520447</v>
      </c>
      <c r="Q938" s="41"/>
      <c r="R938" s="41"/>
      <c r="S938" s="41"/>
      <c r="T938" s="41"/>
      <c r="U938" s="41"/>
      <c r="V938" s="41"/>
      <c r="W938" s="41"/>
      <c r="X938" s="41"/>
      <c r="Y938" s="41"/>
      <c r="Z938" s="41">
        <v>1.94640004634857</v>
      </c>
      <c r="AA938" s="41">
        <v>1.89310002326965</v>
      </c>
      <c r="AB938" s="41"/>
      <c r="AC938" s="41"/>
      <c r="AD938" s="41"/>
      <c r="AE938" s="41"/>
      <c r="AF938" s="41"/>
      <c r="AG938" s="41"/>
      <c r="AH938" s="41"/>
      <c r="AI938" s="41">
        <v>1.71389997005463</v>
      </c>
      <c r="AJ938" s="41">
        <v>1.6596000195</v>
      </c>
      <c r="AK938" s="41"/>
      <c r="AL938" s="41"/>
      <c r="AM938" s="41"/>
      <c r="AN938" s="41"/>
      <c r="AO938" s="41"/>
      <c r="AP938" s="41"/>
      <c r="AQ938" s="41"/>
      <c r="AR938" s="41">
        <v>1.4500000476999999</v>
      </c>
      <c r="AS938" s="41"/>
      <c r="AT938" s="41">
        <v>1.2</v>
      </c>
      <c r="AU938" s="41">
        <v>1.3</v>
      </c>
      <c r="AV938" s="41">
        <v>1.3</v>
      </c>
      <c r="AW938" s="41">
        <v>1.3</v>
      </c>
      <c r="AX938" s="41">
        <v>1.3</v>
      </c>
      <c r="AY938" s="41">
        <v>1.3</v>
      </c>
      <c r="AZ938" s="41">
        <v>1.3</v>
      </c>
      <c r="BA938" s="41">
        <v>1.3</v>
      </c>
      <c r="BB938" s="41">
        <v>1.3</v>
      </c>
      <c r="BC938" s="41">
        <v>1.3</v>
      </c>
      <c r="BD938" s="41">
        <v>1.3</v>
      </c>
      <c r="BE938" s="41">
        <v>1.3</v>
      </c>
      <c r="BF938" s="41">
        <v>1.3</v>
      </c>
      <c r="BG938" s="41">
        <v>1.3</v>
      </c>
      <c r="BH938" s="41">
        <v>1.4</v>
      </c>
      <c r="BI938" s="41"/>
      <c r="BJ938" s="41"/>
      <c r="BK938" s="41"/>
      <c r="BL938" s="41"/>
      <c r="BM938" s="41"/>
      <c r="BN938" s="54">
        <f t="shared" si="16"/>
        <v>1.4</v>
      </c>
    </row>
    <row r="939" spans="2:66" x14ac:dyDescent="0.35">
      <c r="B939" s="41" t="s">
        <v>415</v>
      </c>
      <c r="C939" s="41" t="s">
        <v>63</v>
      </c>
      <c r="D939" s="41" t="s">
        <v>628</v>
      </c>
      <c r="E939" s="41" t="s">
        <v>629</v>
      </c>
      <c r="F939" s="41">
        <v>9.8000001907348597</v>
      </c>
      <c r="G939" s="41"/>
      <c r="H939" s="41"/>
      <c r="I939" s="41"/>
      <c r="J939" s="41"/>
      <c r="K939" s="41"/>
      <c r="L939" s="41"/>
      <c r="M939" s="41"/>
      <c r="N939" s="41"/>
      <c r="O939" s="41"/>
      <c r="P939" s="41">
        <v>12.8999996185303</v>
      </c>
      <c r="Q939" s="41"/>
      <c r="R939" s="41"/>
      <c r="S939" s="41"/>
      <c r="T939" s="41"/>
      <c r="U939" s="41"/>
      <c r="V939" s="41"/>
      <c r="W939" s="41"/>
      <c r="X939" s="41"/>
      <c r="Y939" s="41"/>
      <c r="Z939" s="41">
        <v>14.800000190734901</v>
      </c>
      <c r="AA939" s="41"/>
      <c r="AB939" s="41"/>
      <c r="AC939" s="41"/>
      <c r="AD939" s="41"/>
      <c r="AE939" s="41">
        <v>15.800000190734901</v>
      </c>
      <c r="AF939" s="41"/>
      <c r="AG939" s="41"/>
      <c r="AH939" s="41"/>
      <c r="AI939" s="41"/>
      <c r="AJ939" s="41">
        <v>16.7000007629</v>
      </c>
      <c r="AK939" s="41">
        <v>16.2999992371</v>
      </c>
      <c r="AL939" s="41">
        <v>15.899999618500001</v>
      </c>
      <c r="AM939" s="41">
        <v>14.800000190700001</v>
      </c>
      <c r="AN939" s="41">
        <v>14.699999809299999</v>
      </c>
      <c r="AO939" s="41">
        <v>14.600000381499999</v>
      </c>
      <c r="AP939" s="41"/>
      <c r="AQ939" s="41"/>
      <c r="AR939" s="41"/>
      <c r="AS939" s="41"/>
      <c r="AT939" s="41"/>
      <c r="AU939" s="41"/>
      <c r="AV939" s="41">
        <v>7.5</v>
      </c>
      <c r="AW939" s="41"/>
      <c r="AX939" s="41"/>
      <c r="AY939" s="41"/>
      <c r="AZ939" s="41">
        <v>5.3391000000000002</v>
      </c>
      <c r="BA939" s="41">
        <v>4.2</v>
      </c>
      <c r="BB939" s="41">
        <v>3.9</v>
      </c>
      <c r="BC939" s="41">
        <v>3.7</v>
      </c>
      <c r="BD939" s="41">
        <v>3.6</v>
      </c>
      <c r="BE939" s="41">
        <v>3.3</v>
      </c>
      <c r="BF939" s="41">
        <v>3.3</v>
      </c>
      <c r="BG939" s="41">
        <v>3.2</v>
      </c>
      <c r="BH939" s="41">
        <v>3.2</v>
      </c>
      <c r="BI939" s="41"/>
      <c r="BJ939" s="41"/>
      <c r="BK939" s="41"/>
      <c r="BL939" s="41"/>
      <c r="BM939" s="41"/>
      <c r="BN939" s="54">
        <f t="shared" si="16"/>
        <v>3.2</v>
      </c>
    </row>
    <row r="940" spans="2:66" x14ac:dyDescent="0.35">
      <c r="B940" s="41" t="s">
        <v>422</v>
      </c>
      <c r="C940" s="41" t="s">
        <v>64</v>
      </c>
      <c r="D940" s="41" t="s">
        <v>628</v>
      </c>
      <c r="E940" s="41" t="s">
        <v>629</v>
      </c>
      <c r="F940" s="41">
        <v>6.73793745040894</v>
      </c>
      <c r="G940" s="41"/>
      <c r="H940" s="41"/>
      <c r="I940" s="41"/>
      <c r="J940" s="41"/>
      <c r="K940" s="41"/>
      <c r="L940" s="41"/>
      <c r="M940" s="41"/>
      <c r="N940" s="41"/>
      <c r="O940" s="41"/>
      <c r="P940" s="41"/>
      <c r="Q940" s="41"/>
      <c r="R940" s="41"/>
      <c r="S940" s="41"/>
      <c r="T940" s="41"/>
      <c r="U940" s="41">
        <v>8.0792999267578107</v>
      </c>
      <c r="V940" s="41"/>
      <c r="W940" s="41"/>
      <c r="X940" s="41"/>
      <c r="Y940" s="41"/>
      <c r="Z940" s="41">
        <v>6.7973999977111799</v>
      </c>
      <c r="AA940" s="41">
        <v>6.7294001579284703</v>
      </c>
      <c r="AB940" s="41">
        <v>6.7666001319885298</v>
      </c>
      <c r="AC940" s="41">
        <v>6.5434999465942401</v>
      </c>
      <c r="AD940" s="41">
        <v>6.4966001510620099</v>
      </c>
      <c r="AE940" s="41">
        <v>6.50950002670288</v>
      </c>
      <c r="AF940" s="41">
        <v>6.3801999092102104</v>
      </c>
      <c r="AG940" s="41">
        <v>6.2898998260498002</v>
      </c>
      <c r="AH940" s="41">
        <v>6.3168997764587402</v>
      </c>
      <c r="AI940" s="41">
        <v>6.2836999893188503</v>
      </c>
      <c r="AJ940" s="41">
        <v>6.2431998252999996</v>
      </c>
      <c r="AK940" s="41">
        <v>5.9699997902000002</v>
      </c>
      <c r="AL940" s="41">
        <v>5.9895000457999998</v>
      </c>
      <c r="AM940" s="41">
        <v>6.0778999329000003</v>
      </c>
      <c r="AN940" s="41">
        <v>6.1012001038000001</v>
      </c>
      <c r="AO940" s="41">
        <v>5.9800000191000002</v>
      </c>
      <c r="AP940" s="41">
        <v>6.0300002097999998</v>
      </c>
      <c r="AQ940" s="41">
        <v>6.0500001906999996</v>
      </c>
      <c r="AR940" s="41">
        <v>6.0999999045999997</v>
      </c>
      <c r="AS940" s="41">
        <v>6.1199998856000004</v>
      </c>
      <c r="AT940" s="41">
        <v>3.7</v>
      </c>
      <c r="AU940" s="41">
        <v>3.8</v>
      </c>
      <c r="AV940" s="41">
        <v>3.8</v>
      </c>
      <c r="AW940" s="41">
        <v>3.8</v>
      </c>
      <c r="AX940" s="41">
        <v>3.7</v>
      </c>
      <c r="AY940" s="41">
        <v>3.7</v>
      </c>
      <c r="AZ940" s="41">
        <v>3.4</v>
      </c>
      <c r="BA940" s="41">
        <v>5.8</v>
      </c>
      <c r="BB940" s="41">
        <v>3.2</v>
      </c>
      <c r="BC940" s="41">
        <v>3.2</v>
      </c>
      <c r="BD940" s="41">
        <v>3.2</v>
      </c>
      <c r="BE940" s="41">
        <v>3.1</v>
      </c>
      <c r="BF940" s="41">
        <v>3.1</v>
      </c>
      <c r="BG940" s="41">
        <v>3.1</v>
      </c>
      <c r="BH940" s="41"/>
      <c r="BI940" s="41"/>
      <c r="BJ940" s="41"/>
      <c r="BK940" s="41"/>
      <c r="BL940" s="41"/>
      <c r="BM940" s="41"/>
      <c r="BN940" s="54">
        <f t="shared" si="16"/>
        <v>3.1</v>
      </c>
    </row>
    <row r="941" spans="2:66" x14ac:dyDescent="0.35">
      <c r="B941" s="41" t="s">
        <v>423</v>
      </c>
      <c r="C941" s="41" t="s">
        <v>65</v>
      </c>
      <c r="D941" s="41" t="s">
        <v>628</v>
      </c>
      <c r="E941" s="41" t="s">
        <v>629</v>
      </c>
      <c r="F941" s="41">
        <v>8.8999996185302699</v>
      </c>
      <c r="G941" s="41">
        <v>9</v>
      </c>
      <c r="H941" s="41">
        <v>9.1999998092651403</v>
      </c>
      <c r="I941" s="41">
        <v>9.3000001907348597</v>
      </c>
      <c r="J941" s="41">
        <v>9.5</v>
      </c>
      <c r="K941" s="41">
        <v>9.6000003814697301</v>
      </c>
      <c r="L941" s="41">
        <v>9.6999998092651403</v>
      </c>
      <c r="M941" s="41">
        <v>9.8999996185302699</v>
      </c>
      <c r="N941" s="41">
        <v>10.1000003814697</v>
      </c>
      <c r="O941" s="41">
        <v>10.300000190734901</v>
      </c>
      <c r="P941" s="41">
        <v>10.6000003814697</v>
      </c>
      <c r="Q941" s="41">
        <v>10.6000003814697</v>
      </c>
      <c r="R941" s="41">
        <v>10.6000003814697</v>
      </c>
      <c r="S941" s="41">
        <v>10.5</v>
      </c>
      <c r="T941" s="41">
        <v>10.6000003814697</v>
      </c>
      <c r="U941" s="41">
        <v>10.6000003814697</v>
      </c>
      <c r="V941" s="41">
        <v>10.3999996185303</v>
      </c>
      <c r="W941" s="41">
        <v>10.300000190734901</v>
      </c>
      <c r="X941" s="41">
        <v>10</v>
      </c>
      <c r="Y941" s="41">
        <v>9.8000001907348597</v>
      </c>
      <c r="Z941" s="41">
        <v>9.6000003814697301</v>
      </c>
      <c r="AA941" s="41">
        <v>9.3999996185302699</v>
      </c>
      <c r="AB941" s="41">
        <v>9.1000003814697301</v>
      </c>
      <c r="AC941" s="41">
        <v>8.8999996185302699</v>
      </c>
      <c r="AD941" s="41">
        <v>8.5</v>
      </c>
      <c r="AE941" s="41">
        <v>8.3000001907348597</v>
      </c>
      <c r="AF941" s="41">
        <v>8</v>
      </c>
      <c r="AG941" s="41">
        <v>7.8000001907348597</v>
      </c>
      <c r="AH941" s="41">
        <v>7.5</v>
      </c>
      <c r="AI941" s="41">
        <v>7.0999999046325701</v>
      </c>
      <c r="AJ941" s="41">
        <v>7.1999998093000004</v>
      </c>
      <c r="AK941" s="41">
        <v>6.8000001906999996</v>
      </c>
      <c r="AL941" s="41">
        <v>6.9000000954000003</v>
      </c>
      <c r="AM941" s="41">
        <v>6.6999998093000004</v>
      </c>
      <c r="AN941" s="41">
        <v>6.5999999045999997</v>
      </c>
      <c r="AO941" s="41">
        <v>6.3000001906999996</v>
      </c>
      <c r="AP941" s="41">
        <v>6.5</v>
      </c>
      <c r="AQ941" s="41">
        <v>5.9000000954000003</v>
      </c>
      <c r="AR941" s="41">
        <v>5.5</v>
      </c>
      <c r="AS941" s="41">
        <v>4.9000000954000003</v>
      </c>
      <c r="AT941" s="41">
        <v>4.7</v>
      </c>
      <c r="AU941" s="41">
        <v>4.5999999999999996</v>
      </c>
      <c r="AV941" s="41">
        <v>4.4000000000000004</v>
      </c>
      <c r="AW941" s="41">
        <v>4.2</v>
      </c>
      <c r="AX941" s="41">
        <v>4</v>
      </c>
      <c r="AY941" s="41">
        <v>4</v>
      </c>
      <c r="AZ941" s="41">
        <v>3.9</v>
      </c>
      <c r="BA941" s="41">
        <v>3.8</v>
      </c>
      <c r="BB941" s="41">
        <v>3.7</v>
      </c>
      <c r="BC941" s="41">
        <v>3.6</v>
      </c>
      <c r="BD941" s="41">
        <v>3.6</v>
      </c>
      <c r="BE941" s="41">
        <v>3.5</v>
      </c>
      <c r="BF941" s="41">
        <v>3.4</v>
      </c>
      <c r="BG941" s="41"/>
      <c r="BH941" s="41"/>
      <c r="BI941" s="41"/>
      <c r="BJ941" s="41"/>
      <c r="BK941" s="41"/>
      <c r="BL941" s="41"/>
      <c r="BM941" s="41"/>
      <c r="BN941" s="54">
        <f t="shared" si="16"/>
        <v>3.4</v>
      </c>
    </row>
    <row r="942" spans="2:66" x14ac:dyDescent="0.35">
      <c r="B942" s="41" t="s">
        <v>424</v>
      </c>
      <c r="C942" s="41" t="s">
        <v>66</v>
      </c>
      <c r="D942" s="41" t="s">
        <v>628</v>
      </c>
      <c r="E942" s="41" t="s">
        <v>629</v>
      </c>
      <c r="F942" s="41">
        <v>4.1454882621765101</v>
      </c>
      <c r="G942" s="41"/>
      <c r="H942" s="41"/>
      <c r="I942" s="41"/>
      <c r="J942" s="41"/>
      <c r="K942" s="41"/>
      <c r="L942" s="41"/>
      <c r="M942" s="41"/>
      <c r="N942" s="41"/>
      <c r="O942" s="41"/>
      <c r="P942" s="41">
        <v>4.1048998832702601</v>
      </c>
      <c r="Q942" s="41"/>
      <c r="R942" s="41"/>
      <c r="S942" s="41"/>
      <c r="T942" s="41"/>
      <c r="U942" s="41">
        <v>4.9994997978210396</v>
      </c>
      <c r="V942" s="41"/>
      <c r="W942" s="41"/>
      <c r="X942" s="41"/>
      <c r="Y942" s="41"/>
      <c r="Z942" s="41"/>
      <c r="AA942" s="41"/>
      <c r="AB942" s="41"/>
      <c r="AC942" s="41"/>
      <c r="AD942" s="41"/>
      <c r="AE942" s="41">
        <v>3.3333001136779798</v>
      </c>
      <c r="AF942" s="41"/>
      <c r="AG942" s="41"/>
      <c r="AH942" s="41"/>
      <c r="AI942" s="41">
        <v>2.4000999927520801</v>
      </c>
      <c r="AJ942" s="41">
        <v>2.2000000477000001</v>
      </c>
      <c r="AK942" s="41"/>
      <c r="AL942" s="41"/>
      <c r="AM942" s="41">
        <v>2.1003000736000002</v>
      </c>
      <c r="AN942" s="41"/>
      <c r="AO942" s="41">
        <v>2.1</v>
      </c>
      <c r="AP942" s="41">
        <v>2.1199998856</v>
      </c>
      <c r="AQ942" s="41"/>
      <c r="AR942" s="41"/>
      <c r="AS942" s="41"/>
      <c r="AT942" s="41"/>
      <c r="AU942" s="41">
        <v>1.5</v>
      </c>
      <c r="AV942" s="41">
        <v>1.5</v>
      </c>
      <c r="AW942" s="41">
        <v>1.3999999761999999</v>
      </c>
      <c r="AX942" s="41">
        <v>1.8</v>
      </c>
      <c r="AY942" s="41">
        <v>1.7</v>
      </c>
      <c r="AZ942" s="41">
        <v>2</v>
      </c>
      <c r="BA942" s="41">
        <v>1.7</v>
      </c>
      <c r="BB942" s="41"/>
      <c r="BC942" s="41">
        <v>1.7</v>
      </c>
      <c r="BD942" s="41">
        <v>1.8</v>
      </c>
      <c r="BE942" s="41"/>
      <c r="BF942" s="41">
        <v>1.7</v>
      </c>
      <c r="BG942" s="41">
        <v>1.7</v>
      </c>
      <c r="BH942" s="41"/>
      <c r="BI942" s="41"/>
      <c r="BJ942" s="41"/>
      <c r="BK942" s="41"/>
      <c r="BL942" s="41"/>
      <c r="BM942" s="41"/>
      <c r="BN942" s="54">
        <f t="shared" si="16"/>
        <v>1.7</v>
      </c>
    </row>
    <row r="943" spans="2:66" x14ac:dyDescent="0.35">
      <c r="B943" s="41" t="s">
        <v>426</v>
      </c>
      <c r="C943" s="41" t="s">
        <v>67</v>
      </c>
      <c r="D943" s="41" t="s">
        <v>628</v>
      </c>
      <c r="E943" s="41" t="s">
        <v>629</v>
      </c>
      <c r="F943" s="41">
        <v>3.6054501533508301</v>
      </c>
      <c r="G943" s="41"/>
      <c r="H943" s="41"/>
      <c r="I943" s="41"/>
      <c r="J943" s="41"/>
      <c r="K943" s="41"/>
      <c r="L943" s="41"/>
      <c r="M943" s="41"/>
      <c r="N943" s="41"/>
      <c r="O943" s="41"/>
      <c r="P943" s="41">
        <v>1.1280000209808301</v>
      </c>
      <c r="Q943" s="41"/>
      <c r="R943" s="41"/>
      <c r="S943" s="41"/>
      <c r="T943" s="41"/>
      <c r="U943" s="41">
        <v>1.02600002288818</v>
      </c>
      <c r="V943" s="41"/>
      <c r="W943" s="41"/>
      <c r="X943" s="41"/>
      <c r="Y943" s="41"/>
      <c r="Z943" s="41">
        <v>1.2576999664306601</v>
      </c>
      <c r="AA943" s="41">
        <v>1.2063000202178999</v>
      </c>
      <c r="AB943" s="41"/>
      <c r="AC943" s="41"/>
      <c r="AD943" s="41"/>
      <c r="AE943" s="41">
        <v>1.20550000667572</v>
      </c>
      <c r="AF943" s="41"/>
      <c r="AG943" s="41"/>
      <c r="AH943" s="41"/>
      <c r="AI943" s="41"/>
      <c r="AJ943" s="41">
        <v>1.7977999448999999</v>
      </c>
      <c r="AK943" s="41"/>
      <c r="AL943" s="41"/>
      <c r="AM943" s="41"/>
      <c r="AN943" s="41">
        <v>1.6302000284</v>
      </c>
      <c r="AO943" s="41"/>
      <c r="AP943" s="41"/>
      <c r="AQ943" s="41">
        <v>1.7999999523000001</v>
      </c>
      <c r="AR943" s="41"/>
      <c r="AS943" s="41"/>
      <c r="AT943" s="41">
        <v>1.7</v>
      </c>
      <c r="AU943" s="41">
        <v>1.7</v>
      </c>
      <c r="AV943" s="41">
        <v>1.7</v>
      </c>
      <c r="AW943" s="41">
        <v>1.7</v>
      </c>
      <c r="AX943" s="41">
        <v>1.7</v>
      </c>
      <c r="AY943" s="41">
        <v>1.7</v>
      </c>
      <c r="AZ943" s="41">
        <v>1.9</v>
      </c>
      <c r="BA943" s="41">
        <v>1.9</v>
      </c>
      <c r="BB943" s="41">
        <v>1.8</v>
      </c>
      <c r="BC943" s="41">
        <v>1.8</v>
      </c>
      <c r="BD943" s="41">
        <v>1.8</v>
      </c>
      <c r="BE943" s="41">
        <v>1.8</v>
      </c>
      <c r="BF943" s="41">
        <v>1.8</v>
      </c>
      <c r="BG943" s="41">
        <v>1.8</v>
      </c>
      <c r="BH943" s="41">
        <v>1.9</v>
      </c>
      <c r="BI943" s="41">
        <v>1.4</v>
      </c>
      <c r="BJ943" s="41"/>
      <c r="BK943" s="41"/>
      <c r="BL943" s="41"/>
      <c r="BM943" s="41"/>
      <c r="BN943" s="54">
        <f t="shared" si="16"/>
        <v>1.4</v>
      </c>
    </row>
    <row r="944" spans="2:66" x14ac:dyDescent="0.35">
      <c r="B944" s="41" t="s">
        <v>425</v>
      </c>
      <c r="C944" s="41" t="s">
        <v>68</v>
      </c>
      <c r="D944" s="41" t="s">
        <v>628</v>
      </c>
      <c r="E944" s="41" t="s">
        <v>629</v>
      </c>
      <c r="F944" s="41">
        <v>9</v>
      </c>
      <c r="G944" s="41"/>
      <c r="H944" s="41"/>
      <c r="I944" s="41"/>
      <c r="J944" s="41"/>
      <c r="K944" s="41"/>
      <c r="L944" s="41"/>
      <c r="M944" s="41"/>
      <c r="N944" s="41"/>
      <c r="O944" s="41"/>
      <c r="P944" s="41">
        <v>12.5</v>
      </c>
      <c r="Q944" s="41"/>
      <c r="R944" s="41"/>
      <c r="S944" s="41"/>
      <c r="T944" s="41"/>
      <c r="U944" s="41"/>
      <c r="V944" s="41"/>
      <c r="W944" s="41"/>
      <c r="X944" s="41"/>
      <c r="Y944" s="41"/>
      <c r="Z944" s="41">
        <v>13.699999809265099</v>
      </c>
      <c r="AA944" s="41"/>
      <c r="AB944" s="41"/>
      <c r="AC944" s="41"/>
      <c r="AD944" s="41"/>
      <c r="AE944" s="41">
        <v>14.699999809265099</v>
      </c>
      <c r="AF944" s="41"/>
      <c r="AG944" s="41"/>
      <c r="AH944" s="41"/>
      <c r="AI944" s="41"/>
      <c r="AJ944" s="41"/>
      <c r="AK944" s="41"/>
      <c r="AL944" s="41"/>
      <c r="AM944" s="41">
        <v>15.600000381499999</v>
      </c>
      <c r="AN944" s="41">
        <v>15.5</v>
      </c>
      <c r="AO944" s="41">
        <v>15.399999618500001</v>
      </c>
      <c r="AP944" s="41">
        <v>15.199999809299999</v>
      </c>
      <c r="AQ944" s="41">
        <v>15.100000381499999</v>
      </c>
      <c r="AR944" s="41">
        <v>15</v>
      </c>
      <c r="AS944" s="41">
        <v>14.800000190700001</v>
      </c>
      <c r="AT944" s="41">
        <v>14.699999809299999</v>
      </c>
      <c r="AU944" s="41">
        <v>12.9</v>
      </c>
      <c r="AV944" s="41">
        <v>14.399999618500001</v>
      </c>
      <c r="AW944" s="41">
        <v>14.300000190700001</v>
      </c>
      <c r="AX944" s="41">
        <v>13.9</v>
      </c>
      <c r="AY944" s="41">
        <v>14.1</v>
      </c>
      <c r="AZ944" s="41">
        <v>13.98</v>
      </c>
      <c r="BA944" s="41"/>
      <c r="BB944" s="41">
        <v>13.8</v>
      </c>
      <c r="BC944" s="41">
        <v>13.7</v>
      </c>
      <c r="BD944" s="41"/>
      <c r="BE944" s="41"/>
      <c r="BF944" s="41">
        <v>13.4</v>
      </c>
      <c r="BG944" s="41"/>
      <c r="BH944" s="41"/>
      <c r="BI944" s="41"/>
      <c r="BJ944" s="41"/>
      <c r="BK944" s="41"/>
      <c r="BL944" s="41"/>
      <c r="BM944" s="41"/>
      <c r="BN944" s="54">
        <f t="shared" si="16"/>
        <v>13.4</v>
      </c>
    </row>
    <row r="945" spans="2:66" x14ac:dyDescent="0.35">
      <c r="B945" s="41" t="s">
        <v>427</v>
      </c>
      <c r="C945" s="41" t="s">
        <v>69</v>
      </c>
      <c r="D945" s="41" t="s">
        <v>628</v>
      </c>
      <c r="E945" s="41" t="s">
        <v>629</v>
      </c>
      <c r="F945" s="41"/>
      <c r="G945" s="41"/>
      <c r="H945" s="41"/>
      <c r="I945" s="41"/>
      <c r="J945" s="41"/>
      <c r="K945" s="41"/>
      <c r="L945" s="41"/>
      <c r="M945" s="41"/>
      <c r="N945" s="41"/>
      <c r="O945" s="41"/>
      <c r="P945" s="41"/>
      <c r="Q945" s="41"/>
      <c r="R945" s="41"/>
      <c r="S945" s="41"/>
      <c r="T945" s="41"/>
      <c r="U945" s="41"/>
      <c r="V945" s="41"/>
      <c r="W945" s="41"/>
      <c r="X945" s="41"/>
      <c r="Y945" s="41"/>
      <c r="Z945" s="41">
        <v>13.0934000015259</v>
      </c>
      <c r="AA945" s="41">
        <v>13.229100227356</v>
      </c>
      <c r="AB945" s="41">
        <v>13.311499595642101</v>
      </c>
      <c r="AC945" s="41">
        <v>13.3694000244141</v>
      </c>
      <c r="AD945" s="41">
        <v>13.5123996734619</v>
      </c>
      <c r="AE945" s="41">
        <v>13.585700035095201</v>
      </c>
      <c r="AF945" s="41">
        <v>13.560700416564901</v>
      </c>
      <c r="AG945" s="41">
        <v>13.556099891662599</v>
      </c>
      <c r="AH945" s="41">
        <v>13.5441999435425</v>
      </c>
      <c r="AI945" s="41">
        <v>13.6300001144409</v>
      </c>
      <c r="AJ945" s="41">
        <v>13.6660995483</v>
      </c>
      <c r="AK945" s="41">
        <v>13.7089996338</v>
      </c>
      <c r="AL945" s="41">
        <v>13.461899757399999</v>
      </c>
      <c r="AM945" s="41">
        <v>13.1665000916</v>
      </c>
      <c r="AN945" s="41">
        <v>12.144700050399999</v>
      </c>
      <c r="AO945" s="41">
        <v>11.649999618500001</v>
      </c>
      <c r="AP945" s="41">
        <v>10.329999923700001</v>
      </c>
      <c r="AQ945" s="41">
        <v>8.4499998092999995</v>
      </c>
      <c r="AR945" s="41">
        <v>8.1899995804000003</v>
      </c>
      <c r="AS945" s="41">
        <v>7.25</v>
      </c>
      <c r="AT945" s="41">
        <v>7.2</v>
      </c>
      <c r="AU945" s="41">
        <v>7</v>
      </c>
      <c r="AV945" s="41">
        <v>7</v>
      </c>
      <c r="AW945" s="41">
        <v>7.7</v>
      </c>
      <c r="AX945" s="41">
        <v>7.8</v>
      </c>
      <c r="AY945" s="41">
        <v>7.8</v>
      </c>
      <c r="AZ945" s="41">
        <v>7.8</v>
      </c>
      <c r="BA945" s="41">
        <v>7.7</v>
      </c>
      <c r="BB945" s="41">
        <v>7.7</v>
      </c>
      <c r="BC945" s="41">
        <v>7.6</v>
      </c>
      <c r="BD945" s="41">
        <v>7.3</v>
      </c>
      <c r="BE945" s="41">
        <v>7.1</v>
      </c>
      <c r="BF945" s="41">
        <v>7</v>
      </c>
      <c r="BG945" s="41">
        <v>6.7</v>
      </c>
      <c r="BH945" s="41"/>
      <c r="BI945" s="41"/>
      <c r="BJ945" s="41"/>
      <c r="BK945" s="41"/>
      <c r="BL945" s="41"/>
      <c r="BM945" s="41"/>
      <c r="BN945" s="54">
        <f t="shared" si="16"/>
        <v>6.7</v>
      </c>
    </row>
    <row r="946" spans="2:66" x14ac:dyDescent="0.35">
      <c r="B946" s="41" t="s">
        <v>199</v>
      </c>
      <c r="C946" s="41" t="s">
        <v>70</v>
      </c>
      <c r="D946" s="41" t="s">
        <v>628</v>
      </c>
      <c r="E946" s="41" t="s">
        <v>629</v>
      </c>
      <c r="F946" s="41">
        <v>1.2504800558090201</v>
      </c>
      <c r="G946" s="41"/>
      <c r="H946" s="41"/>
      <c r="I946" s="41"/>
      <c r="J946" s="41"/>
      <c r="K946" s="41"/>
      <c r="L946" s="41"/>
      <c r="M946" s="41"/>
      <c r="N946" s="41"/>
      <c r="O946" s="41"/>
      <c r="P946" s="41">
        <v>1.26429998874664</v>
      </c>
      <c r="Q946" s="41"/>
      <c r="R946" s="41"/>
      <c r="S946" s="41"/>
      <c r="T946" s="41"/>
      <c r="U946" s="41">
        <v>1.25</v>
      </c>
      <c r="V946" s="41"/>
      <c r="W946" s="41"/>
      <c r="X946" s="41"/>
      <c r="Y946" s="41"/>
      <c r="Z946" s="41"/>
      <c r="AA946" s="41"/>
      <c r="AB946" s="41"/>
      <c r="AC946" s="41"/>
      <c r="AD946" s="41"/>
      <c r="AE946" s="41">
        <v>1.7071000337600699</v>
      </c>
      <c r="AF946" s="41"/>
      <c r="AG946" s="41"/>
      <c r="AH946" s="41"/>
      <c r="AI946" s="41">
        <v>1.4362000226974501</v>
      </c>
      <c r="AJ946" s="41">
        <v>1.6471999883999999</v>
      </c>
      <c r="AK946" s="41"/>
      <c r="AL946" s="41"/>
      <c r="AM946" s="41"/>
      <c r="AN946" s="41"/>
      <c r="AO946" s="41"/>
      <c r="AP946" s="41"/>
      <c r="AQ946" s="41"/>
      <c r="AR946" s="41"/>
      <c r="AS946" s="41"/>
      <c r="AT946" s="41"/>
      <c r="AU946" s="41"/>
      <c r="AV946" s="41">
        <v>1.9</v>
      </c>
      <c r="AW946" s="41"/>
      <c r="AX946" s="41">
        <v>1.4</v>
      </c>
      <c r="AY946" s="41"/>
      <c r="AZ946" s="41">
        <v>1.4</v>
      </c>
      <c r="BA946" s="41"/>
      <c r="BB946" s="41"/>
      <c r="BC946" s="41"/>
      <c r="BD946" s="41">
        <v>1.4</v>
      </c>
      <c r="BE946" s="41"/>
      <c r="BF946" s="41"/>
      <c r="BG946" s="41"/>
      <c r="BH946" s="41"/>
      <c r="BI946" s="41"/>
      <c r="BJ946" s="41"/>
      <c r="BK946" s="41"/>
      <c r="BL946" s="41"/>
      <c r="BM946" s="41"/>
      <c r="BN946" s="54">
        <f t="shared" si="16"/>
        <v>1.4</v>
      </c>
    </row>
    <row r="947" spans="2:66" x14ac:dyDescent="0.35">
      <c r="B947" s="41" t="s">
        <v>432</v>
      </c>
      <c r="C947" s="41" t="s">
        <v>71</v>
      </c>
      <c r="D947" s="41" t="s">
        <v>628</v>
      </c>
      <c r="E947" s="41" t="s">
        <v>629</v>
      </c>
      <c r="F947" s="41"/>
      <c r="G947" s="41"/>
      <c r="H947" s="41"/>
      <c r="I947" s="41"/>
      <c r="J947" s="41"/>
      <c r="K947" s="41"/>
      <c r="L947" s="41"/>
      <c r="M947" s="41"/>
      <c r="N947" s="41"/>
      <c r="O947" s="41"/>
      <c r="P947" s="41"/>
      <c r="Q947" s="41"/>
      <c r="R947" s="41"/>
      <c r="S947" s="41"/>
      <c r="T947" s="41"/>
      <c r="U947" s="41"/>
      <c r="V947" s="41"/>
      <c r="W947" s="41"/>
      <c r="X947" s="41"/>
      <c r="Y947" s="41"/>
      <c r="Z947" s="41">
        <v>12.011400222778301</v>
      </c>
      <c r="AA947" s="41">
        <v>12.1184997558594</v>
      </c>
      <c r="AB947" s="41">
        <v>12.103300094604499</v>
      </c>
      <c r="AC947" s="41">
        <v>11.936499595642101</v>
      </c>
      <c r="AD947" s="41">
        <v>11.977100372314499</v>
      </c>
      <c r="AE947" s="41">
        <v>12.0304002761841</v>
      </c>
      <c r="AF947" s="41">
        <v>12.0309000015259</v>
      </c>
      <c r="AG947" s="41">
        <v>12.0642004013062</v>
      </c>
      <c r="AH947" s="41">
        <v>11.947400093078601</v>
      </c>
      <c r="AI947" s="41">
        <v>11.9720001220703</v>
      </c>
      <c r="AJ947" s="41">
        <v>11.977299690200001</v>
      </c>
      <c r="AK947" s="41">
        <v>12.0579996109</v>
      </c>
      <c r="AL947" s="41">
        <v>11.932000160199999</v>
      </c>
      <c r="AM947" s="41">
        <v>10.7455997467</v>
      </c>
      <c r="AN947" s="41">
        <v>9.6052999496000009</v>
      </c>
      <c r="AO947" s="41">
        <v>8.6400003433000006</v>
      </c>
      <c r="AP947" s="41">
        <v>8.4099998474</v>
      </c>
      <c r="AQ947" s="41">
        <v>8.6000003814999992</v>
      </c>
      <c r="AR947" s="41">
        <v>8.3000001907000005</v>
      </c>
      <c r="AS947" s="41">
        <v>7.4699997902000002</v>
      </c>
      <c r="AT947" s="41">
        <v>7</v>
      </c>
      <c r="AU947" s="41">
        <v>6.2</v>
      </c>
      <c r="AV947" s="41">
        <v>5.5</v>
      </c>
      <c r="AW947" s="41">
        <v>5.3</v>
      </c>
      <c r="AX947" s="41">
        <v>5.0999999999999996</v>
      </c>
      <c r="AY947" s="41">
        <v>5.0999999999999996</v>
      </c>
      <c r="AZ947" s="41">
        <v>5.0999999999999996</v>
      </c>
      <c r="BA947" s="41">
        <v>5.0999999999999996</v>
      </c>
      <c r="BB947" s="41">
        <v>5</v>
      </c>
      <c r="BC947" s="41">
        <v>4.8</v>
      </c>
      <c r="BD947" s="41">
        <v>4.8</v>
      </c>
      <c r="BE947" s="41">
        <v>4.7</v>
      </c>
      <c r="BF947" s="41">
        <v>4.5999999999999996</v>
      </c>
      <c r="BG947" s="41">
        <v>4.5</v>
      </c>
      <c r="BH947" s="41"/>
      <c r="BI947" s="41"/>
      <c r="BJ947" s="41"/>
      <c r="BK947" s="41"/>
      <c r="BL947" s="41"/>
      <c r="BM947" s="41"/>
      <c r="BN947" s="54">
        <f t="shared" si="16"/>
        <v>4.5</v>
      </c>
    </row>
    <row r="948" spans="2:66" x14ac:dyDescent="0.35">
      <c r="B948" s="41" t="s">
        <v>247</v>
      </c>
      <c r="C948" s="41" t="s">
        <v>72</v>
      </c>
      <c r="D948" s="41" t="s">
        <v>628</v>
      </c>
      <c r="E948" s="41" t="s">
        <v>629</v>
      </c>
      <c r="F948" s="41">
        <v>0.74654889106750499</v>
      </c>
      <c r="G948" s="41"/>
      <c r="H948" s="41"/>
      <c r="I948" s="41"/>
      <c r="J948" s="41"/>
      <c r="K948" s="41"/>
      <c r="L948" s="41"/>
      <c r="M948" s="41"/>
      <c r="N948" s="41"/>
      <c r="O948" s="41"/>
      <c r="P948" s="41">
        <v>1.0809999704361</v>
      </c>
      <c r="Q948" s="41"/>
      <c r="R948" s="41"/>
      <c r="S948" s="41"/>
      <c r="T948" s="41"/>
      <c r="U948" s="41"/>
      <c r="V948" s="41"/>
      <c r="W948" s="41"/>
      <c r="X948" s="41"/>
      <c r="Y948" s="41"/>
      <c r="Z948" s="41"/>
      <c r="AA948" s="41"/>
      <c r="AB948" s="41"/>
      <c r="AC948" s="41"/>
      <c r="AD948" s="41"/>
      <c r="AE948" s="41"/>
      <c r="AF948" s="41"/>
      <c r="AG948" s="41"/>
      <c r="AH948" s="41">
        <v>2.0987000465393102</v>
      </c>
      <c r="AI948" s="41"/>
      <c r="AJ948" s="41">
        <v>2.0720999241000002</v>
      </c>
      <c r="AK948" s="41"/>
      <c r="AL948" s="41"/>
      <c r="AM948" s="41"/>
      <c r="AN948" s="41"/>
      <c r="AO948" s="41"/>
      <c r="AP948" s="41"/>
      <c r="AQ948" s="41"/>
      <c r="AR948" s="41"/>
      <c r="AS948" s="41"/>
      <c r="AT948" s="41"/>
      <c r="AU948" s="41">
        <v>0.6</v>
      </c>
      <c r="AV948" s="41"/>
      <c r="AW948" s="41"/>
      <c r="AX948" s="41">
        <v>0.1</v>
      </c>
      <c r="AY948" s="41"/>
      <c r="AZ948" s="41"/>
      <c r="BA948" s="41"/>
      <c r="BB948" s="41"/>
      <c r="BC948" s="41"/>
      <c r="BD948" s="41">
        <v>0.84</v>
      </c>
      <c r="BE948" s="41">
        <v>0.7</v>
      </c>
      <c r="BF948" s="41"/>
      <c r="BG948" s="41">
        <v>0.7</v>
      </c>
      <c r="BH948" s="41"/>
      <c r="BI948" s="41">
        <v>0.8</v>
      </c>
      <c r="BJ948" s="41"/>
      <c r="BK948" s="41"/>
      <c r="BL948" s="41"/>
      <c r="BM948" s="41"/>
      <c r="BN948" s="54">
        <f t="shared" si="16"/>
        <v>0.8</v>
      </c>
    </row>
    <row r="949" spans="2:66" x14ac:dyDescent="0.35">
      <c r="B949" s="41" t="s">
        <v>249</v>
      </c>
      <c r="C949" s="41" t="s">
        <v>73</v>
      </c>
      <c r="D949" s="41" t="s">
        <v>628</v>
      </c>
      <c r="E949" s="41" t="s">
        <v>629</v>
      </c>
      <c r="F949" s="41">
        <v>6.3636364936828604</v>
      </c>
      <c r="G949" s="41"/>
      <c r="H949" s="41"/>
      <c r="I949" s="41"/>
      <c r="J949" s="41"/>
      <c r="K949" s="41"/>
      <c r="L949" s="41"/>
      <c r="M949" s="41"/>
      <c r="N949" s="41"/>
      <c r="O949" s="41"/>
      <c r="P949" s="41">
        <v>12.3312997817993</v>
      </c>
      <c r="Q949" s="41"/>
      <c r="R949" s="41"/>
      <c r="S949" s="41"/>
      <c r="T949" s="41"/>
      <c r="U949" s="41"/>
      <c r="V949" s="41"/>
      <c r="W949" s="41"/>
      <c r="X949" s="41"/>
      <c r="Y949" s="41"/>
      <c r="Z949" s="41">
        <v>5.0946998596191397</v>
      </c>
      <c r="AA949" s="41">
        <v>4.7683000564575204</v>
      </c>
      <c r="AB949" s="41"/>
      <c r="AC949" s="41"/>
      <c r="AD949" s="41"/>
      <c r="AE949" s="41"/>
      <c r="AF949" s="41"/>
      <c r="AG949" s="41"/>
      <c r="AH949" s="41"/>
      <c r="AI949" s="41"/>
      <c r="AJ949" s="41">
        <v>4.2718000411999997</v>
      </c>
      <c r="AK949" s="41"/>
      <c r="AL949" s="41"/>
      <c r="AM949" s="41"/>
      <c r="AN949" s="41"/>
      <c r="AO949" s="41"/>
      <c r="AP949" s="41"/>
      <c r="AQ949" s="41"/>
      <c r="AR949" s="41">
        <v>1.7999999523000001</v>
      </c>
      <c r="AS949" s="41"/>
      <c r="AT949" s="41"/>
      <c r="AU949" s="41"/>
      <c r="AV949" s="41"/>
      <c r="AW949" s="41"/>
      <c r="AX949" s="41">
        <v>1.5</v>
      </c>
      <c r="AY949" s="41">
        <v>1.51</v>
      </c>
      <c r="AZ949" s="41"/>
      <c r="BA949" s="41"/>
      <c r="BB949" s="41"/>
      <c r="BC949" s="41">
        <v>1.5</v>
      </c>
      <c r="BD949" s="41">
        <v>1.4</v>
      </c>
      <c r="BE949" s="41">
        <v>1.3</v>
      </c>
      <c r="BF949" s="41"/>
      <c r="BG949" s="41"/>
      <c r="BH949" s="41"/>
      <c r="BI949" s="41">
        <v>1.9</v>
      </c>
      <c r="BJ949" s="41"/>
      <c r="BK949" s="41"/>
      <c r="BL949" s="41"/>
      <c r="BM949" s="41"/>
      <c r="BN949" s="54">
        <f t="shared" si="16"/>
        <v>1.9</v>
      </c>
    </row>
    <row r="950" spans="2:66" x14ac:dyDescent="0.35">
      <c r="B950" s="41" t="s">
        <v>530</v>
      </c>
      <c r="C950" s="41" t="s">
        <v>531</v>
      </c>
      <c r="D950" s="41" t="s">
        <v>628</v>
      </c>
      <c r="E950" s="41" t="s">
        <v>629</v>
      </c>
      <c r="F950" s="41">
        <v>3.8627450466156001</v>
      </c>
      <c r="G950" s="41"/>
      <c r="H950" s="41"/>
      <c r="I950" s="41"/>
      <c r="J950" s="41"/>
      <c r="K950" s="41"/>
      <c r="L950" s="41"/>
      <c r="M950" s="41"/>
      <c r="N950" s="41"/>
      <c r="O950" s="41"/>
      <c r="P950" s="41">
        <v>5.9464998245239302</v>
      </c>
      <c r="Q950" s="41"/>
      <c r="R950" s="41"/>
      <c r="S950" s="41"/>
      <c r="T950" s="41"/>
      <c r="U950" s="41"/>
      <c r="V950" s="41"/>
      <c r="W950" s="41"/>
      <c r="X950" s="41"/>
      <c r="Y950" s="41"/>
      <c r="Z950" s="41">
        <v>8.5360002517700195</v>
      </c>
      <c r="AA950" s="41"/>
      <c r="AB950" s="41"/>
      <c r="AC950" s="41"/>
      <c r="AD950" s="41"/>
      <c r="AE950" s="41"/>
      <c r="AF950" s="41"/>
      <c r="AG950" s="41"/>
      <c r="AH950" s="41"/>
      <c r="AI950" s="41"/>
      <c r="AJ950" s="41">
        <v>9.1999998092999995</v>
      </c>
      <c r="AK950" s="41"/>
      <c r="AL950" s="41"/>
      <c r="AM950" s="41"/>
      <c r="AN950" s="41"/>
      <c r="AO950" s="41">
        <v>6.4</v>
      </c>
      <c r="AP950" s="41">
        <v>6.3600001334999998</v>
      </c>
      <c r="AQ950" s="41"/>
      <c r="AR950" s="41"/>
      <c r="AS950" s="41"/>
      <c r="AT950" s="41"/>
      <c r="AU950" s="41">
        <v>4.3</v>
      </c>
      <c r="AV950" s="41">
        <v>5.5</v>
      </c>
      <c r="AW950" s="41">
        <v>5.5</v>
      </c>
      <c r="AX950" s="41">
        <v>6</v>
      </c>
      <c r="AY950" s="41">
        <v>5.7</v>
      </c>
      <c r="AZ950" s="41"/>
      <c r="BA950" s="41"/>
      <c r="BB950" s="41">
        <v>5.5</v>
      </c>
      <c r="BC950" s="41">
        <v>6</v>
      </c>
      <c r="BD950" s="41">
        <v>4.8</v>
      </c>
      <c r="BE950" s="41">
        <v>4.8</v>
      </c>
      <c r="BF950" s="41">
        <v>2.2999999999999998</v>
      </c>
      <c r="BG950" s="41"/>
      <c r="BH950" s="41"/>
      <c r="BI950" s="41"/>
      <c r="BJ950" s="41"/>
      <c r="BK950" s="41"/>
      <c r="BL950" s="41"/>
      <c r="BM950" s="41"/>
      <c r="BN950" s="54">
        <f t="shared" si="16"/>
        <v>2.2999999999999998</v>
      </c>
    </row>
    <row r="951" spans="2:66" x14ac:dyDescent="0.35">
      <c r="B951" s="41" t="s">
        <v>429</v>
      </c>
      <c r="C951" s="41" t="s">
        <v>74</v>
      </c>
      <c r="D951" s="41" t="s">
        <v>628</v>
      </c>
      <c r="E951" s="41" t="s">
        <v>629</v>
      </c>
      <c r="F951" s="41"/>
      <c r="G951" s="41"/>
      <c r="H951" s="41"/>
      <c r="I951" s="41"/>
      <c r="J951" s="41"/>
      <c r="K951" s="41"/>
      <c r="L951" s="41"/>
      <c r="M951" s="41"/>
      <c r="N951" s="41"/>
      <c r="O951" s="41"/>
      <c r="P951" s="41"/>
      <c r="Q951" s="41"/>
      <c r="R951" s="41"/>
      <c r="S951" s="41"/>
      <c r="T951" s="41"/>
      <c r="U951" s="41"/>
      <c r="V951" s="41"/>
      <c r="W951" s="41"/>
      <c r="X951" s="41"/>
      <c r="Y951" s="41"/>
      <c r="Z951" s="41">
        <v>1.70000004768372</v>
      </c>
      <c r="AA951" s="41"/>
      <c r="AB951" s="41"/>
      <c r="AC951" s="41"/>
      <c r="AD951" s="41"/>
      <c r="AE951" s="41">
        <v>2.4000000953674299</v>
      </c>
      <c r="AF951" s="41"/>
      <c r="AG951" s="41"/>
      <c r="AH951" s="41"/>
      <c r="AI951" s="41">
        <v>3</v>
      </c>
      <c r="AJ951" s="41">
        <v>3.0999999046000002</v>
      </c>
      <c r="AK951" s="41">
        <v>3.2999999522999999</v>
      </c>
      <c r="AL951" s="41">
        <v>3.5</v>
      </c>
      <c r="AM951" s="41">
        <v>3.7000000477000001</v>
      </c>
      <c r="AN951" s="41">
        <v>4.0999999045999997</v>
      </c>
      <c r="AO951" s="41">
        <v>4.4000000954000003</v>
      </c>
      <c r="AP951" s="41">
        <v>4.5999999045999997</v>
      </c>
      <c r="AQ951" s="41">
        <v>4.8000001906999996</v>
      </c>
      <c r="AR951" s="41">
        <v>5.0999999045999997</v>
      </c>
      <c r="AS951" s="41">
        <v>5.5999999045999997</v>
      </c>
      <c r="AT951" s="41">
        <v>6.0999999045999997</v>
      </c>
      <c r="AU951" s="41">
        <v>6.0999999045999997</v>
      </c>
      <c r="AV951" s="41">
        <v>6.6</v>
      </c>
      <c r="AW951" s="41">
        <v>7.0999999045999997</v>
      </c>
      <c r="AX951" s="41">
        <v>8.6</v>
      </c>
      <c r="AY951" s="41"/>
      <c r="AZ951" s="41">
        <v>8.64</v>
      </c>
      <c r="BA951" s="41"/>
      <c r="BB951" s="41">
        <v>12.3</v>
      </c>
      <c r="BC951" s="41">
        <v>10.3</v>
      </c>
      <c r="BD951" s="41"/>
      <c r="BE951" s="41"/>
      <c r="BF951" s="41">
        <v>10.3</v>
      </c>
      <c r="BG951" s="41"/>
      <c r="BH951" s="41"/>
      <c r="BI951" s="41">
        <v>11.5</v>
      </c>
      <c r="BJ951" s="41"/>
      <c r="BK951" s="41"/>
      <c r="BL951" s="41"/>
      <c r="BM951" s="41"/>
      <c r="BN951" s="54">
        <f t="shared" si="16"/>
        <v>11.5</v>
      </c>
    </row>
    <row r="952" spans="2:66" x14ac:dyDescent="0.35">
      <c r="B952" s="41" t="s">
        <v>431</v>
      </c>
      <c r="C952" s="41" t="s">
        <v>75</v>
      </c>
      <c r="D952" s="41" t="s">
        <v>628</v>
      </c>
      <c r="E952" s="41" t="s">
        <v>629</v>
      </c>
      <c r="F952" s="41">
        <v>6.7985610961914098</v>
      </c>
      <c r="G952" s="41"/>
      <c r="H952" s="41"/>
      <c r="I952" s="41"/>
      <c r="J952" s="41"/>
      <c r="K952" s="41"/>
      <c r="L952" s="41"/>
      <c r="M952" s="41"/>
      <c r="N952" s="41"/>
      <c r="O952" s="41"/>
      <c r="P952" s="41">
        <v>4.8347001075744602</v>
      </c>
      <c r="Q952" s="41"/>
      <c r="R952" s="41"/>
      <c r="S952" s="41"/>
      <c r="T952" s="41"/>
      <c r="U952" s="41"/>
      <c r="V952" s="41"/>
      <c r="W952" s="41"/>
      <c r="X952" s="41"/>
      <c r="Y952" s="41"/>
      <c r="Z952" s="41">
        <v>4.1447000503540004</v>
      </c>
      <c r="AA952" s="41"/>
      <c r="AB952" s="41"/>
      <c r="AC952" s="41"/>
      <c r="AD952" s="41"/>
      <c r="AE952" s="41"/>
      <c r="AF952" s="41"/>
      <c r="AG952" s="41"/>
      <c r="AH952" s="41"/>
      <c r="AI952" s="41">
        <v>2.9853999614715598</v>
      </c>
      <c r="AJ952" s="41"/>
      <c r="AK952" s="41"/>
      <c r="AL952" s="41"/>
      <c r="AM952" s="41"/>
      <c r="AN952" s="41"/>
      <c r="AO952" s="41"/>
      <c r="AP952" s="41"/>
      <c r="AQ952" s="41">
        <v>2.7599999904999999</v>
      </c>
      <c r="AR952" s="41"/>
      <c r="AS952" s="41"/>
      <c r="AT952" s="41">
        <v>2.4</v>
      </c>
      <c r="AU952" s="41">
        <v>2.2999999999999998</v>
      </c>
      <c r="AV952" s="41">
        <v>2.2000000000000002</v>
      </c>
      <c r="AW952" s="41">
        <v>2.2000000000000002</v>
      </c>
      <c r="AX952" s="41">
        <v>2.1</v>
      </c>
      <c r="AY952" s="41">
        <v>1.9</v>
      </c>
      <c r="AZ952" s="41">
        <v>1.9</v>
      </c>
      <c r="BA952" s="41">
        <v>1.9</v>
      </c>
      <c r="BB952" s="41">
        <v>1.8</v>
      </c>
      <c r="BC952" s="41">
        <v>2</v>
      </c>
      <c r="BD952" s="41">
        <v>2</v>
      </c>
      <c r="BE952" s="41">
        <v>1.9</v>
      </c>
      <c r="BF952" s="41">
        <v>2.2000000000000002</v>
      </c>
      <c r="BG952" s="41">
        <v>2.2000000000000002</v>
      </c>
      <c r="BH952" s="41">
        <v>2</v>
      </c>
      <c r="BI952" s="41"/>
      <c r="BJ952" s="41"/>
      <c r="BK952" s="41"/>
      <c r="BL952" s="41"/>
      <c r="BM952" s="41"/>
      <c r="BN952" s="54">
        <f t="shared" si="16"/>
        <v>2</v>
      </c>
    </row>
    <row r="953" spans="2:66" x14ac:dyDescent="0.35">
      <c r="B953" s="41" t="s">
        <v>438</v>
      </c>
      <c r="C953" s="41" t="s">
        <v>439</v>
      </c>
      <c r="D953" s="41" t="s">
        <v>628</v>
      </c>
      <c r="E953" s="41" t="s">
        <v>629</v>
      </c>
      <c r="F953" s="41">
        <v>3.3643986694181667</v>
      </c>
      <c r="G953" s="41"/>
      <c r="H953" s="41"/>
      <c r="I953" s="41"/>
      <c r="J953" s="41"/>
      <c r="K953" s="41"/>
      <c r="L953" s="41"/>
      <c r="M953" s="41"/>
      <c r="N953" s="41"/>
      <c r="O953" s="41"/>
      <c r="P953" s="41">
        <v>3.4023376263007501</v>
      </c>
      <c r="Q953" s="41"/>
      <c r="R953" s="41"/>
      <c r="S953" s="41"/>
      <c r="T953" s="41"/>
      <c r="U953" s="41"/>
      <c r="V953" s="41"/>
      <c r="W953" s="41"/>
      <c r="X953" s="41"/>
      <c r="Y953" s="41"/>
      <c r="Z953" s="41"/>
      <c r="AA953" s="41"/>
      <c r="AB953" s="41"/>
      <c r="AC953" s="41"/>
      <c r="AD953" s="41"/>
      <c r="AE953" s="41"/>
      <c r="AF953" s="41"/>
      <c r="AG953" s="41"/>
      <c r="AH953" s="41"/>
      <c r="AI953" s="41"/>
      <c r="AJ953" s="41">
        <v>2.4378533258951576</v>
      </c>
      <c r="AK953" s="41"/>
      <c r="AL953" s="41"/>
      <c r="AM953" s="41">
        <v>2.5268369042786767</v>
      </c>
      <c r="AN953" s="41"/>
      <c r="AO953" s="41"/>
      <c r="AP953" s="41">
        <v>2.2137664736337821</v>
      </c>
      <c r="AQ953" s="41"/>
      <c r="AR953" s="41"/>
      <c r="AS953" s="41"/>
      <c r="AT953" s="41"/>
      <c r="AU953" s="41"/>
      <c r="AV953" s="41"/>
      <c r="AW953" s="41"/>
      <c r="AX953" s="41"/>
      <c r="AY953" s="41"/>
      <c r="AZ953" s="41"/>
      <c r="BA953" s="41"/>
      <c r="BB953" s="41"/>
      <c r="BC953" s="41">
        <v>1.9405190020747887</v>
      </c>
      <c r="BD953" s="41">
        <v>2.2444139681495319</v>
      </c>
      <c r="BE953" s="41">
        <v>1.9922714667902508</v>
      </c>
      <c r="BF953" s="41">
        <v>2.0912725042613385</v>
      </c>
      <c r="BG953" s="41">
        <v>2.1293092837867889</v>
      </c>
      <c r="BH953" s="41">
        <v>2.1629051321494908</v>
      </c>
      <c r="BI953" s="41"/>
      <c r="BJ953" s="41"/>
      <c r="BK953" s="41"/>
      <c r="BL953" s="41"/>
      <c r="BM953" s="41"/>
      <c r="BN953" s="54">
        <f t="shared" si="16"/>
        <v>2.1629051321494908</v>
      </c>
    </row>
    <row r="954" spans="2:66" x14ac:dyDescent="0.35">
      <c r="B954" s="41" t="s">
        <v>433</v>
      </c>
      <c r="C954" s="41" t="s">
        <v>76</v>
      </c>
      <c r="D954" s="41" t="s">
        <v>628</v>
      </c>
      <c r="E954" s="41" t="s">
        <v>629</v>
      </c>
      <c r="F954" s="41">
        <v>0.472209453582764</v>
      </c>
      <c r="G954" s="41"/>
      <c r="H954" s="41"/>
      <c r="I954" s="41"/>
      <c r="J954" s="41"/>
      <c r="K954" s="41"/>
      <c r="L954" s="41"/>
      <c r="M954" s="41"/>
      <c r="N954" s="41"/>
      <c r="O954" s="41"/>
      <c r="P954" s="41">
        <v>0.92739999294280995</v>
      </c>
      <c r="Q954" s="41"/>
      <c r="R954" s="41"/>
      <c r="S954" s="41"/>
      <c r="T954" s="41"/>
      <c r="U954" s="41"/>
      <c r="V954" s="41"/>
      <c r="W954" s="41"/>
      <c r="X954" s="41"/>
      <c r="Y954" s="41"/>
      <c r="Z954" s="41"/>
      <c r="AA954" s="41"/>
      <c r="AB954" s="41"/>
      <c r="AC954" s="41"/>
      <c r="AD954" s="41"/>
      <c r="AE954" s="41"/>
      <c r="AF954" s="41"/>
      <c r="AG954" s="41"/>
      <c r="AH954" s="41"/>
      <c r="AI954" s="41"/>
      <c r="AJ954" s="41">
        <v>2.5697999001</v>
      </c>
      <c r="AK954" s="41"/>
      <c r="AL954" s="41"/>
      <c r="AM954" s="41"/>
      <c r="AN954" s="41"/>
      <c r="AO954" s="41"/>
      <c r="AP954" s="41"/>
      <c r="AQ954" s="41"/>
      <c r="AR954" s="41"/>
      <c r="AS954" s="41"/>
      <c r="AT954" s="41"/>
      <c r="AU954" s="41"/>
      <c r="AV954" s="41">
        <v>0.9</v>
      </c>
      <c r="AW954" s="41"/>
      <c r="AX954" s="41"/>
      <c r="AY954" s="41">
        <v>1.2</v>
      </c>
      <c r="AZ954" s="41"/>
      <c r="BA954" s="41"/>
      <c r="BB954" s="41"/>
      <c r="BC954" s="41"/>
      <c r="BD954" s="41">
        <v>0.7</v>
      </c>
      <c r="BE954" s="41"/>
      <c r="BF954" s="41">
        <v>1.5</v>
      </c>
      <c r="BG954" s="41"/>
      <c r="BH954" s="41"/>
      <c r="BI954" s="41"/>
      <c r="BJ954" s="41"/>
      <c r="BK954" s="41"/>
      <c r="BL954" s="41"/>
      <c r="BM954" s="41"/>
      <c r="BN954" s="54">
        <f t="shared" si="16"/>
        <v>1.5</v>
      </c>
    </row>
    <row r="955" spans="2:66" x14ac:dyDescent="0.35">
      <c r="B955" s="41" t="s">
        <v>445</v>
      </c>
      <c r="C955" s="41" t="s">
        <v>77</v>
      </c>
      <c r="D955" s="41" t="s">
        <v>628</v>
      </c>
      <c r="E955" s="41" t="s">
        <v>629</v>
      </c>
      <c r="F955" s="41">
        <v>4.5813393592834499</v>
      </c>
      <c r="G955" s="41"/>
      <c r="H955" s="41"/>
      <c r="I955" s="41"/>
      <c r="J955" s="41"/>
      <c r="K955" s="41"/>
      <c r="L955" s="41"/>
      <c r="M955" s="41"/>
      <c r="N955" s="41"/>
      <c r="O955" s="41"/>
      <c r="P955" s="41">
        <v>4.0987000465393102</v>
      </c>
      <c r="Q955" s="41"/>
      <c r="R955" s="41"/>
      <c r="S955" s="41"/>
      <c r="T955" s="41"/>
      <c r="U955" s="41"/>
      <c r="V955" s="41"/>
      <c r="W955" s="41"/>
      <c r="X955" s="41"/>
      <c r="Y955" s="41"/>
      <c r="Z955" s="41"/>
      <c r="AA955" s="41"/>
      <c r="AB955" s="41"/>
      <c r="AC955" s="41"/>
      <c r="AD955" s="41"/>
      <c r="AE955" s="41"/>
      <c r="AF955" s="41"/>
      <c r="AG955" s="41"/>
      <c r="AH955" s="41"/>
      <c r="AI955" s="41"/>
      <c r="AJ955" s="41">
        <v>1.6505999565</v>
      </c>
      <c r="AK955" s="41"/>
      <c r="AL955" s="41">
        <v>3.0827000140999998</v>
      </c>
      <c r="AM955" s="41"/>
      <c r="AN955" s="41"/>
      <c r="AO955" s="41"/>
      <c r="AP955" s="41"/>
      <c r="AQ955" s="41">
        <v>2.7000000477000001</v>
      </c>
      <c r="AR955" s="41"/>
      <c r="AS955" s="41"/>
      <c r="AT955" s="41">
        <v>3.1</v>
      </c>
      <c r="AU955" s="41">
        <v>3</v>
      </c>
      <c r="AV955" s="41">
        <v>3</v>
      </c>
      <c r="AW955" s="41">
        <v>3</v>
      </c>
      <c r="AX955" s="41">
        <v>3</v>
      </c>
      <c r="AY955" s="41">
        <v>3.6</v>
      </c>
      <c r="AZ955" s="41">
        <v>3.6</v>
      </c>
      <c r="BA955" s="41">
        <v>3.4</v>
      </c>
      <c r="BB955" s="41">
        <v>3.4</v>
      </c>
      <c r="BC955" s="41">
        <v>3.5</v>
      </c>
      <c r="BD955" s="41">
        <v>3.5</v>
      </c>
      <c r="BE955" s="41">
        <v>3.5</v>
      </c>
      <c r="BF955" s="41">
        <v>3.5</v>
      </c>
      <c r="BG955" s="41">
        <v>2.9</v>
      </c>
      <c r="BH955" s="41">
        <v>2.9</v>
      </c>
      <c r="BI955" s="41"/>
      <c r="BJ955" s="41"/>
      <c r="BK955" s="41"/>
      <c r="BL955" s="41"/>
      <c r="BM955" s="41"/>
      <c r="BN955" s="54">
        <f t="shared" ref="BN955:BN1018" si="17">IFERROR(LOOKUP(2,1/(ISNUMBER(F955:BM955)),F955:BM955),"No reported value")</f>
        <v>2.9</v>
      </c>
    </row>
    <row r="956" spans="2:66" x14ac:dyDescent="0.35">
      <c r="B956" s="41" t="s">
        <v>201</v>
      </c>
      <c r="C956" s="41" t="s">
        <v>78</v>
      </c>
      <c r="D956" s="41" t="s">
        <v>628</v>
      </c>
      <c r="E956" s="41" t="s">
        <v>629</v>
      </c>
      <c r="F956" s="41">
        <v>1.322425365448</v>
      </c>
      <c r="G956" s="41"/>
      <c r="H956" s="41"/>
      <c r="I956" s="41"/>
      <c r="J956" s="41"/>
      <c r="K956" s="41"/>
      <c r="L956" s="41"/>
      <c r="M956" s="41"/>
      <c r="N956" s="41"/>
      <c r="O956" s="41"/>
      <c r="P956" s="41">
        <v>1.5769000053405799</v>
      </c>
      <c r="Q956" s="41"/>
      <c r="R956" s="41"/>
      <c r="S956" s="41"/>
      <c r="T956" s="41"/>
      <c r="U956" s="41">
        <v>1.64699995517731</v>
      </c>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v>0.7</v>
      </c>
      <c r="BD956" s="41">
        <v>0.8</v>
      </c>
      <c r="BE956" s="41"/>
      <c r="BF956" s="41"/>
      <c r="BG956" s="41"/>
      <c r="BH956" s="41"/>
      <c r="BI956" s="41"/>
      <c r="BJ956" s="41"/>
      <c r="BK956" s="41"/>
      <c r="BL956" s="41"/>
      <c r="BM956" s="41"/>
      <c r="BN956" s="54">
        <f t="shared" si="17"/>
        <v>0.8</v>
      </c>
    </row>
    <row r="957" spans="2:66" x14ac:dyDescent="0.35">
      <c r="B957" s="41" t="s">
        <v>446</v>
      </c>
      <c r="C957" s="41" t="s">
        <v>79</v>
      </c>
      <c r="D957" s="41" t="s">
        <v>628</v>
      </c>
      <c r="E957" s="41" t="s">
        <v>629</v>
      </c>
      <c r="F957" s="41">
        <v>2.7553744316101101</v>
      </c>
      <c r="G957" s="41"/>
      <c r="H957" s="41"/>
      <c r="I957" s="41"/>
      <c r="J957" s="41"/>
      <c r="K957" s="41"/>
      <c r="L957" s="41"/>
      <c r="M957" s="41"/>
      <c r="N957" s="41"/>
      <c r="O957" s="41"/>
      <c r="P957" s="41">
        <v>3.8136999607086199</v>
      </c>
      <c r="Q957" s="41"/>
      <c r="R957" s="41"/>
      <c r="S957" s="41"/>
      <c r="T957" s="41"/>
      <c r="U957" s="41"/>
      <c r="V957" s="41"/>
      <c r="W957" s="41"/>
      <c r="X957" s="41"/>
      <c r="Y957" s="41"/>
      <c r="Z957" s="41"/>
      <c r="AA957" s="41">
        <v>4.82550001144409</v>
      </c>
      <c r="AB957" s="41"/>
      <c r="AC957" s="41"/>
      <c r="AD957" s="41"/>
      <c r="AE957" s="41"/>
      <c r="AF957" s="41"/>
      <c r="AG957" s="41"/>
      <c r="AH957" s="41"/>
      <c r="AI957" s="41"/>
      <c r="AJ957" s="41">
        <v>4.1729998588999999</v>
      </c>
      <c r="AK957" s="41"/>
      <c r="AL957" s="41"/>
      <c r="AM957" s="41"/>
      <c r="AN957" s="41"/>
      <c r="AO957" s="41"/>
      <c r="AP957" s="41"/>
      <c r="AQ957" s="41">
        <v>4.3000001906999996</v>
      </c>
      <c r="AR957" s="41"/>
      <c r="AS957" s="41"/>
      <c r="AT957" s="41">
        <v>4.0999999999999996</v>
      </c>
      <c r="AU957" s="41">
        <v>3.9</v>
      </c>
      <c r="AV957" s="41">
        <v>3.9</v>
      </c>
      <c r="AW957" s="41">
        <v>3.9</v>
      </c>
      <c r="AX957" s="41">
        <v>3.9</v>
      </c>
      <c r="AY957" s="41">
        <v>3.4</v>
      </c>
      <c r="AZ957" s="41">
        <v>3.7</v>
      </c>
      <c r="BA957" s="41">
        <v>3.7</v>
      </c>
      <c r="BB957" s="41">
        <v>3.7</v>
      </c>
      <c r="BC957" s="41">
        <v>3.7</v>
      </c>
      <c r="BD957" s="41">
        <v>3.7</v>
      </c>
      <c r="BE957" s="41">
        <v>3.7</v>
      </c>
      <c r="BF957" s="41">
        <v>3.7</v>
      </c>
      <c r="BG957" s="41">
        <v>3.7</v>
      </c>
      <c r="BH957" s="41">
        <v>3.7</v>
      </c>
      <c r="BI957" s="41"/>
      <c r="BJ957" s="41"/>
      <c r="BK957" s="41"/>
      <c r="BL957" s="41"/>
      <c r="BM957" s="41"/>
      <c r="BN957" s="54">
        <f t="shared" si="17"/>
        <v>3.7</v>
      </c>
    </row>
    <row r="958" spans="2:66" x14ac:dyDescent="0.35">
      <c r="B958" s="41" t="s">
        <v>532</v>
      </c>
      <c r="C958" s="41" t="s">
        <v>80</v>
      </c>
      <c r="D958" s="41" t="s">
        <v>628</v>
      </c>
      <c r="E958" s="41" t="s">
        <v>629</v>
      </c>
      <c r="F958" s="41">
        <v>4.2804255485534703</v>
      </c>
      <c r="G958" s="41"/>
      <c r="H958" s="41"/>
      <c r="I958" s="41"/>
      <c r="J958" s="41"/>
      <c r="K958" s="41"/>
      <c r="L958" s="41"/>
      <c r="M958" s="41"/>
      <c r="N958" s="41"/>
      <c r="O958" s="41"/>
      <c r="P958" s="41">
        <v>5.0493001937866202</v>
      </c>
      <c r="Q958" s="41"/>
      <c r="R958" s="41"/>
      <c r="S958" s="41"/>
      <c r="T958" s="41"/>
      <c r="U958" s="41"/>
      <c r="V958" s="41"/>
      <c r="W958" s="41"/>
      <c r="X958" s="41"/>
      <c r="Y958" s="41"/>
      <c r="Z958" s="41"/>
      <c r="AA958" s="41"/>
      <c r="AB958" s="41"/>
      <c r="AC958" s="41"/>
      <c r="AD958" s="41"/>
      <c r="AE958" s="41"/>
      <c r="AF958" s="41"/>
      <c r="AG958" s="41"/>
      <c r="AH958" s="41"/>
      <c r="AI958" s="41"/>
      <c r="AJ958" s="41">
        <v>4</v>
      </c>
      <c r="AK958" s="41"/>
      <c r="AL958" s="41"/>
      <c r="AM958" s="41">
        <v>4.3517999648999997</v>
      </c>
      <c r="AN958" s="41"/>
      <c r="AO958" s="41">
        <v>3.3</v>
      </c>
      <c r="AP958" s="41">
        <v>3.3800001144</v>
      </c>
      <c r="AQ958" s="41"/>
      <c r="AR958" s="41"/>
      <c r="AS958" s="41"/>
      <c r="AT958" s="41">
        <v>2.2999999999999998</v>
      </c>
      <c r="AU958" s="41"/>
      <c r="AV958" s="41">
        <v>3.2000000477000001</v>
      </c>
      <c r="AW958" s="41">
        <v>2.9</v>
      </c>
      <c r="AX958" s="41"/>
      <c r="AY958" s="41">
        <v>3</v>
      </c>
      <c r="AZ958" s="41">
        <v>2.9</v>
      </c>
      <c r="BA958" s="41">
        <v>2.8</v>
      </c>
      <c r="BB958" s="41"/>
      <c r="BC958" s="41">
        <v>1.5</v>
      </c>
      <c r="BD958" s="41"/>
      <c r="BE958" s="41">
        <v>1.6</v>
      </c>
      <c r="BF958" s="41"/>
      <c r="BG958" s="41">
        <v>1.3</v>
      </c>
      <c r="BH958" s="41"/>
      <c r="BI958" s="41"/>
      <c r="BJ958" s="41"/>
      <c r="BK958" s="41"/>
      <c r="BL958" s="41"/>
      <c r="BM958" s="41"/>
      <c r="BN958" s="54">
        <f t="shared" si="17"/>
        <v>1.3</v>
      </c>
    </row>
    <row r="959" spans="2:66" x14ac:dyDescent="0.35">
      <c r="B959" s="41" t="s">
        <v>436</v>
      </c>
      <c r="C959" s="41" t="s">
        <v>437</v>
      </c>
      <c r="D959" s="41" t="s">
        <v>628</v>
      </c>
      <c r="E959" s="41" t="s">
        <v>629</v>
      </c>
      <c r="F959" s="41">
        <v>3.4311206469669862</v>
      </c>
      <c r="G959" s="41"/>
      <c r="H959" s="41"/>
      <c r="I959" s="41"/>
      <c r="J959" s="41"/>
      <c r="K959" s="41"/>
      <c r="L959" s="41"/>
      <c r="M959" s="41"/>
      <c r="N959" s="41"/>
      <c r="O959" s="41"/>
      <c r="P959" s="41">
        <v>3.4648023148814207</v>
      </c>
      <c r="Q959" s="41"/>
      <c r="R959" s="41"/>
      <c r="S959" s="41"/>
      <c r="T959" s="41"/>
      <c r="U959" s="41"/>
      <c r="V959" s="41"/>
      <c r="W959" s="41"/>
      <c r="X959" s="41"/>
      <c r="Y959" s="41"/>
      <c r="Z959" s="41"/>
      <c r="AA959" s="41"/>
      <c r="AB959" s="41"/>
      <c r="AC959" s="41"/>
      <c r="AD959" s="41"/>
      <c r="AE959" s="41"/>
      <c r="AF959" s="41"/>
      <c r="AG959" s="41"/>
      <c r="AH959" s="41"/>
      <c r="AI959" s="41"/>
      <c r="AJ959" s="41">
        <v>2.4855337377944937</v>
      </c>
      <c r="AK959" s="41"/>
      <c r="AL959" s="41"/>
      <c r="AM959" s="41">
        <v>2.561483228387047</v>
      </c>
      <c r="AN959" s="41"/>
      <c r="AO959" s="41"/>
      <c r="AP959" s="41">
        <v>2.26576227111368</v>
      </c>
      <c r="AQ959" s="41"/>
      <c r="AR959" s="41"/>
      <c r="AS959" s="41"/>
      <c r="AT959" s="41"/>
      <c r="AU959" s="41"/>
      <c r="AV959" s="41"/>
      <c r="AW959" s="41"/>
      <c r="AX959" s="41"/>
      <c r="AY959" s="41"/>
      <c r="AZ959" s="41"/>
      <c r="BA959" s="41"/>
      <c r="BB959" s="41"/>
      <c r="BC959" s="41">
        <v>1.9551288005379266</v>
      </c>
      <c r="BD959" s="41">
        <v>2.2329149699344031</v>
      </c>
      <c r="BE959" s="41">
        <v>2.0035321218920146</v>
      </c>
      <c r="BF959" s="41">
        <v>2.102988932508647</v>
      </c>
      <c r="BG959" s="41">
        <v>2.139311631339488</v>
      </c>
      <c r="BH959" s="41">
        <v>2.1732772592924778</v>
      </c>
      <c r="BI959" s="41"/>
      <c r="BJ959" s="41"/>
      <c r="BK959" s="41"/>
      <c r="BL959" s="41"/>
      <c r="BM959" s="41"/>
      <c r="BN959" s="54">
        <f t="shared" si="17"/>
        <v>2.1732772592924778</v>
      </c>
    </row>
    <row r="960" spans="2:66" x14ac:dyDescent="0.35">
      <c r="B960" s="41" t="s">
        <v>443</v>
      </c>
      <c r="C960" s="41" t="s">
        <v>444</v>
      </c>
      <c r="D960" s="41" t="s">
        <v>628</v>
      </c>
      <c r="E960" s="41" t="s">
        <v>629</v>
      </c>
      <c r="F960" s="41">
        <v>1.2734462106972273</v>
      </c>
      <c r="G960" s="41"/>
      <c r="H960" s="41"/>
      <c r="I960" s="41"/>
      <c r="J960" s="41"/>
      <c r="K960" s="41"/>
      <c r="L960" s="41"/>
      <c r="M960" s="41"/>
      <c r="N960" s="41"/>
      <c r="O960" s="41"/>
      <c r="P960" s="41">
        <v>0.99665513568732766</v>
      </c>
      <c r="Q960" s="41"/>
      <c r="R960" s="41"/>
      <c r="S960" s="41"/>
      <c r="T960" s="41"/>
      <c r="U960" s="41"/>
      <c r="V960" s="41"/>
      <c r="W960" s="41"/>
      <c r="X960" s="41"/>
      <c r="Y960" s="41"/>
      <c r="Z960" s="41"/>
      <c r="AA960" s="41"/>
      <c r="AB960" s="41"/>
      <c r="AC960" s="41"/>
      <c r="AD960" s="41"/>
      <c r="AE960" s="41"/>
      <c r="AF960" s="41"/>
      <c r="AG960" s="41"/>
      <c r="AH960" s="41"/>
      <c r="AI960" s="41"/>
      <c r="AJ960" s="41">
        <v>0.73179654582033493</v>
      </c>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c r="BN960" s="54">
        <f t="shared" si="17"/>
        <v>0.73179654582033493</v>
      </c>
    </row>
    <row r="961" spans="2:66" x14ac:dyDescent="0.35">
      <c r="B961" s="41" t="s">
        <v>452</v>
      </c>
      <c r="C961" s="41" t="s">
        <v>453</v>
      </c>
      <c r="D961" s="41" t="s">
        <v>628</v>
      </c>
      <c r="E961" s="41" t="s">
        <v>629</v>
      </c>
      <c r="F961" s="41">
        <v>1.322424675002543</v>
      </c>
      <c r="G961" s="41"/>
      <c r="H961" s="41"/>
      <c r="I961" s="41"/>
      <c r="J961" s="41"/>
      <c r="K961" s="41"/>
      <c r="L961" s="41"/>
      <c r="M961" s="41"/>
      <c r="N961" s="41"/>
      <c r="O961" s="41"/>
      <c r="P961" s="41">
        <v>1.1863437178799601</v>
      </c>
      <c r="Q961" s="41"/>
      <c r="R961" s="41"/>
      <c r="S961" s="41"/>
      <c r="T961" s="41"/>
      <c r="U961" s="41"/>
      <c r="V961" s="41"/>
      <c r="W961" s="41"/>
      <c r="X961" s="41"/>
      <c r="Y961" s="41"/>
      <c r="Z961" s="41"/>
      <c r="AA961" s="41"/>
      <c r="AB961" s="41"/>
      <c r="AC961" s="41"/>
      <c r="AD961" s="41"/>
      <c r="AE961" s="41"/>
      <c r="AF961" s="41"/>
      <c r="AG961" s="41"/>
      <c r="AH961" s="41"/>
      <c r="AI961" s="41"/>
      <c r="AJ961" s="41">
        <v>1.0057067888280706</v>
      </c>
      <c r="AK961" s="41"/>
      <c r="AL961" s="41"/>
      <c r="AM961" s="41"/>
      <c r="AN961" s="41"/>
      <c r="AO961" s="41"/>
      <c r="AP961" s="41"/>
      <c r="AQ961" s="41"/>
      <c r="AR961" s="41"/>
      <c r="AS961" s="41"/>
      <c r="AT961" s="41"/>
      <c r="AU961" s="41"/>
      <c r="AV961" s="41"/>
      <c r="AW961" s="41"/>
      <c r="AX961" s="41"/>
      <c r="AY961" s="41"/>
      <c r="AZ961" s="41">
        <v>1.1504840579990769</v>
      </c>
      <c r="BA961" s="41"/>
      <c r="BB961" s="41"/>
      <c r="BC961" s="41"/>
      <c r="BD961" s="41"/>
      <c r="BE961" s="41"/>
      <c r="BF961" s="41"/>
      <c r="BG961" s="41"/>
      <c r="BH961" s="41"/>
      <c r="BI961" s="41"/>
      <c r="BJ961" s="41"/>
      <c r="BK961" s="41"/>
      <c r="BL961" s="41"/>
      <c r="BM961" s="41"/>
      <c r="BN961" s="54">
        <f t="shared" si="17"/>
        <v>1.1504840579990769</v>
      </c>
    </row>
    <row r="962" spans="2:66" x14ac:dyDescent="0.35">
      <c r="B962" s="41" t="s">
        <v>447</v>
      </c>
      <c r="C962" s="41" t="s">
        <v>448</v>
      </c>
      <c r="D962" s="41" t="s">
        <v>628</v>
      </c>
      <c r="E962" s="41" t="s">
        <v>629</v>
      </c>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c r="BN962" s="54" t="str">
        <f t="shared" si="17"/>
        <v>No reported value</v>
      </c>
    </row>
    <row r="963" spans="2:66" x14ac:dyDescent="0.35">
      <c r="B963" s="41" t="s">
        <v>245</v>
      </c>
      <c r="C963" s="41" t="s">
        <v>81</v>
      </c>
      <c r="D963" s="41" t="s">
        <v>628</v>
      </c>
      <c r="E963" s="41" t="s">
        <v>629</v>
      </c>
      <c r="F963" s="41">
        <v>3.1388411521911599</v>
      </c>
      <c r="G963" s="41"/>
      <c r="H963" s="41"/>
      <c r="I963" s="41"/>
      <c r="J963" s="41"/>
      <c r="K963" s="41"/>
      <c r="L963" s="41"/>
      <c r="M963" s="41"/>
      <c r="N963" s="41"/>
      <c r="O963" s="41"/>
      <c r="P963" s="41">
        <v>3.01690006256104</v>
      </c>
      <c r="Q963" s="41"/>
      <c r="R963" s="41"/>
      <c r="S963" s="41"/>
      <c r="T963" s="41"/>
      <c r="U963" s="41">
        <v>3.3333001136779798</v>
      </c>
      <c r="V963" s="41"/>
      <c r="W963" s="41"/>
      <c r="X963" s="41"/>
      <c r="Y963" s="41"/>
      <c r="Z963" s="41">
        <v>2.9440000057220499</v>
      </c>
      <c r="AA963" s="41">
        <v>2.93759989738464</v>
      </c>
      <c r="AB963" s="41"/>
      <c r="AC963" s="41"/>
      <c r="AD963" s="41"/>
      <c r="AE963" s="41"/>
      <c r="AF963" s="41"/>
      <c r="AG963" s="41"/>
      <c r="AH963" s="41"/>
      <c r="AI963" s="41">
        <v>2.4030001163482702</v>
      </c>
      <c r="AJ963" s="41">
        <v>2.7434999943</v>
      </c>
      <c r="AK963" s="41"/>
      <c r="AL963" s="41"/>
      <c r="AM963" s="41"/>
      <c r="AN963" s="41"/>
      <c r="AO963" s="41"/>
      <c r="AP963" s="41"/>
      <c r="AQ963" s="41"/>
      <c r="AR963" s="41"/>
      <c r="AS963" s="41">
        <v>2.2000000477000001</v>
      </c>
      <c r="AT963" s="41">
        <v>2.9</v>
      </c>
      <c r="AU963" s="41">
        <v>3</v>
      </c>
      <c r="AV963" s="41">
        <v>3.1</v>
      </c>
      <c r="AW963" s="41"/>
      <c r="AX963" s="41">
        <v>3.1</v>
      </c>
      <c r="AY963" s="41"/>
      <c r="AZ963" s="41"/>
      <c r="BA963" s="41"/>
      <c r="BB963" s="41"/>
      <c r="BC963" s="41"/>
      <c r="BD963" s="41">
        <v>3.5</v>
      </c>
      <c r="BE963" s="41"/>
      <c r="BF963" s="41">
        <v>3.6</v>
      </c>
      <c r="BG963" s="41"/>
      <c r="BH963" s="41"/>
      <c r="BI963" s="41"/>
      <c r="BJ963" s="41"/>
      <c r="BK963" s="41"/>
      <c r="BL963" s="41"/>
      <c r="BM963" s="41"/>
      <c r="BN963" s="54">
        <f t="shared" si="17"/>
        <v>3.6</v>
      </c>
    </row>
    <row r="964" spans="2:66" x14ac:dyDescent="0.35">
      <c r="B964" s="41" t="s">
        <v>454</v>
      </c>
      <c r="C964" s="41" t="s">
        <v>455</v>
      </c>
      <c r="D964" s="41" t="s">
        <v>628</v>
      </c>
      <c r="E964" s="41" t="s">
        <v>629</v>
      </c>
      <c r="F964" s="41">
        <v>0.71009658523985075</v>
      </c>
      <c r="G964" s="41"/>
      <c r="H964" s="41"/>
      <c r="I964" s="41"/>
      <c r="J964" s="41"/>
      <c r="K964" s="41"/>
      <c r="L964" s="41"/>
      <c r="M964" s="41"/>
      <c r="N964" s="41"/>
      <c r="O964" s="41"/>
      <c r="P964" s="41">
        <v>0.80207928437426423</v>
      </c>
      <c r="Q964" s="41"/>
      <c r="R964" s="41"/>
      <c r="S964" s="41"/>
      <c r="T964" s="41"/>
      <c r="U964" s="41">
        <v>0.82883988980628598</v>
      </c>
      <c r="V964" s="41"/>
      <c r="W964" s="41"/>
      <c r="X964" s="41"/>
      <c r="Y964" s="41"/>
      <c r="Z964" s="41">
        <v>1.6251294374163854</v>
      </c>
      <c r="AA964" s="41">
        <v>1.5483147272079183</v>
      </c>
      <c r="AB964" s="41"/>
      <c r="AC964" s="41"/>
      <c r="AD964" s="41"/>
      <c r="AE964" s="41">
        <v>1.5212854158884335</v>
      </c>
      <c r="AF964" s="41"/>
      <c r="AG964" s="41"/>
      <c r="AH964" s="41"/>
      <c r="AI964" s="41"/>
      <c r="AJ964" s="41"/>
      <c r="AK964" s="41">
        <v>1.4456309119477027</v>
      </c>
      <c r="AL964" s="41"/>
      <c r="AM964" s="41"/>
      <c r="AN964" s="41"/>
      <c r="AO964" s="41"/>
      <c r="AP964" s="41"/>
      <c r="AQ964" s="41"/>
      <c r="AR964" s="41"/>
      <c r="AS964" s="41"/>
      <c r="AT964" s="41"/>
      <c r="AU964" s="41"/>
      <c r="AV964" s="41">
        <v>1.037127042461693</v>
      </c>
      <c r="AW964" s="41"/>
      <c r="AX964" s="41"/>
      <c r="AY964" s="41">
        <v>1.2586196330412807</v>
      </c>
      <c r="AZ964" s="41"/>
      <c r="BA964" s="41"/>
      <c r="BB964" s="41"/>
      <c r="BC964" s="41"/>
      <c r="BD964" s="41"/>
      <c r="BE964" s="41">
        <v>0.98612363139289738</v>
      </c>
      <c r="BF964" s="41"/>
      <c r="BG964" s="41"/>
      <c r="BH964" s="41"/>
      <c r="BI964" s="41"/>
      <c r="BJ964" s="41"/>
      <c r="BK964" s="41"/>
      <c r="BL964" s="41"/>
      <c r="BM964" s="41"/>
      <c r="BN964" s="54">
        <f t="shared" si="17"/>
        <v>0.98612363139289738</v>
      </c>
    </row>
    <row r="965" spans="2:66" x14ac:dyDescent="0.35">
      <c r="B965" s="41" t="s">
        <v>450</v>
      </c>
      <c r="C965" s="41" t="s">
        <v>451</v>
      </c>
      <c r="D965" s="41" t="s">
        <v>628</v>
      </c>
      <c r="E965" s="41" t="s">
        <v>629</v>
      </c>
      <c r="F965" s="41"/>
      <c r="G965" s="41"/>
      <c r="H965" s="41"/>
      <c r="I965" s="41"/>
      <c r="J965" s="41"/>
      <c r="K965" s="41"/>
      <c r="L965" s="41"/>
      <c r="M965" s="41"/>
      <c r="N965" s="41"/>
      <c r="O965" s="41"/>
      <c r="P965" s="41">
        <v>1.3809891265196323</v>
      </c>
      <c r="Q965" s="41"/>
      <c r="R965" s="41"/>
      <c r="S965" s="41"/>
      <c r="T965" s="41"/>
      <c r="U965" s="41">
        <v>1.5386779054421782</v>
      </c>
      <c r="V965" s="41"/>
      <c r="W965" s="41"/>
      <c r="X965" s="41"/>
      <c r="Y965" s="41"/>
      <c r="Z965" s="41">
        <v>2.047324963833975</v>
      </c>
      <c r="AA965" s="41"/>
      <c r="AB965" s="41"/>
      <c r="AC965" s="41"/>
      <c r="AD965" s="41"/>
      <c r="AE965" s="41">
        <v>2.7742033139572886</v>
      </c>
      <c r="AF965" s="41"/>
      <c r="AG965" s="41"/>
      <c r="AH965" s="41"/>
      <c r="AI965" s="41"/>
      <c r="AJ965" s="41">
        <v>2.9768584535401952</v>
      </c>
      <c r="AK965" s="41">
        <v>2.6474835334785323</v>
      </c>
      <c r="AL965" s="41"/>
      <c r="AM965" s="41"/>
      <c r="AN965" s="41"/>
      <c r="AO965" s="41"/>
      <c r="AP965" s="41"/>
      <c r="AQ965" s="41"/>
      <c r="AR965" s="41"/>
      <c r="AS965" s="41"/>
      <c r="AT965" s="41"/>
      <c r="AU965" s="41"/>
      <c r="AV965" s="41">
        <v>2.0985518108309504</v>
      </c>
      <c r="AW965" s="41">
        <v>2.1767059671354705</v>
      </c>
      <c r="AX965" s="41"/>
      <c r="AY965" s="41">
        <v>2.1745182789746549</v>
      </c>
      <c r="AZ965" s="41"/>
      <c r="BA965" s="41"/>
      <c r="BB965" s="41"/>
      <c r="BC965" s="41"/>
      <c r="BD965" s="41"/>
      <c r="BE965" s="41">
        <v>2.4320061049447586</v>
      </c>
      <c r="BF965" s="41"/>
      <c r="BG965" s="41"/>
      <c r="BH965" s="41"/>
      <c r="BI965" s="41"/>
      <c r="BJ965" s="41"/>
      <c r="BK965" s="41"/>
      <c r="BL965" s="41"/>
      <c r="BM965" s="41"/>
      <c r="BN965" s="54">
        <f t="shared" si="17"/>
        <v>2.4320061049447586</v>
      </c>
    </row>
    <row r="966" spans="2:66" x14ac:dyDescent="0.35">
      <c r="B966" s="41" t="s">
        <v>200</v>
      </c>
      <c r="C966" s="41" t="s">
        <v>167</v>
      </c>
      <c r="D966" s="41" t="s">
        <v>628</v>
      </c>
      <c r="E966" s="41" t="s">
        <v>629</v>
      </c>
      <c r="F966" s="41">
        <v>1.10372042655945</v>
      </c>
      <c r="G966" s="41"/>
      <c r="H966" s="41"/>
      <c r="I966" s="41"/>
      <c r="J966" s="41"/>
      <c r="K966" s="41"/>
      <c r="L966" s="41"/>
      <c r="M966" s="41"/>
      <c r="N966" s="41"/>
      <c r="O966" s="41"/>
      <c r="P966" s="41">
        <v>1.744500041008</v>
      </c>
      <c r="Q966" s="41"/>
      <c r="R966" s="41"/>
      <c r="S966" s="41"/>
      <c r="T966" s="41"/>
      <c r="U966" s="41">
        <v>1.6283999681472801</v>
      </c>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v>1.3</v>
      </c>
      <c r="BA966" s="41"/>
      <c r="BB966" s="41"/>
      <c r="BC966" s="41"/>
      <c r="BD966" s="41"/>
      <c r="BE966" s="41"/>
      <c r="BF966" s="41"/>
      <c r="BG966" s="41"/>
      <c r="BH966" s="41"/>
      <c r="BI966" s="41"/>
      <c r="BJ966" s="41"/>
      <c r="BK966" s="41"/>
      <c r="BL966" s="41"/>
      <c r="BM966" s="41"/>
      <c r="BN966" s="54">
        <f t="shared" si="17"/>
        <v>1.3</v>
      </c>
    </row>
    <row r="967" spans="2:66" x14ac:dyDescent="0.35">
      <c r="B967" s="41" t="s">
        <v>434</v>
      </c>
      <c r="C967" s="41" t="s">
        <v>435</v>
      </c>
      <c r="D967" s="41" t="s">
        <v>628</v>
      </c>
      <c r="E967" s="41" t="s">
        <v>629</v>
      </c>
      <c r="F967" s="41"/>
      <c r="G967" s="41"/>
      <c r="H967" s="41"/>
      <c r="I967" s="41"/>
      <c r="J967" s="41"/>
      <c r="K967" s="41"/>
      <c r="L967" s="41"/>
      <c r="M967" s="41"/>
      <c r="N967" s="41"/>
      <c r="O967" s="41"/>
      <c r="P967" s="41">
        <v>1.9564033100507561</v>
      </c>
      <c r="Q967" s="41"/>
      <c r="R967" s="41"/>
      <c r="S967" s="41"/>
      <c r="T967" s="41"/>
      <c r="U967" s="41">
        <v>2.2361484699873388</v>
      </c>
      <c r="V967" s="41"/>
      <c r="W967" s="41"/>
      <c r="X967" s="41"/>
      <c r="Y967" s="41"/>
      <c r="Z967" s="41">
        <v>2.8202457563040717</v>
      </c>
      <c r="AA967" s="41">
        <v>2.7006847130432221</v>
      </c>
      <c r="AB967" s="41"/>
      <c r="AC967" s="41"/>
      <c r="AD967" s="41"/>
      <c r="AE967" s="41">
        <v>4.0339522633416749</v>
      </c>
      <c r="AF967" s="41">
        <v>4.0771112966991474</v>
      </c>
      <c r="AG967" s="41">
        <v>4.0637433594949313</v>
      </c>
      <c r="AH967" s="41">
        <v>4.1789333140794147</v>
      </c>
      <c r="AI967" s="41">
        <v>4.0147962327511761</v>
      </c>
      <c r="AJ967" s="41">
        <v>3.8877871336899656</v>
      </c>
      <c r="AK967" s="41">
        <v>4.0509509294539949</v>
      </c>
      <c r="AL967" s="41">
        <v>3.9745962079437631</v>
      </c>
      <c r="AM967" s="41">
        <v>3.9313110523409085</v>
      </c>
      <c r="AN967" s="41">
        <v>3.9160384262014802</v>
      </c>
      <c r="AO967" s="41">
        <v>3.8319244278430715</v>
      </c>
      <c r="AP967" s="41">
        <v>3.6726235840300401</v>
      </c>
      <c r="AQ967" s="41">
        <v>3.6006557187023986</v>
      </c>
      <c r="AR967" s="41">
        <v>3.6985277096140305</v>
      </c>
      <c r="AS967" s="41">
        <v>3.5613206338722323</v>
      </c>
      <c r="AT967" s="41">
        <v>3.4977379427890014</v>
      </c>
      <c r="AU967" s="41">
        <v>3.4024032797377171</v>
      </c>
      <c r="AV967" s="41">
        <v>3.3630944420286233</v>
      </c>
      <c r="AW967" s="41">
        <v>3.1801862390840969</v>
      </c>
      <c r="AX967" s="41">
        <v>3.6897837375995954</v>
      </c>
      <c r="AY967" s="41">
        <v>3.1701934077918215</v>
      </c>
      <c r="AZ967" s="41">
        <v>3.0735014821081235</v>
      </c>
      <c r="BA967" s="41"/>
      <c r="BB967" s="41"/>
      <c r="BC967" s="41">
        <v>4.3106498908310984</v>
      </c>
      <c r="BD967" s="41">
        <v>3.8515000888970148</v>
      </c>
      <c r="BE967" s="41">
        <v>3.9375128781156596</v>
      </c>
      <c r="BF967" s="41">
        <v>4.2193819656913014</v>
      </c>
      <c r="BG967" s="41"/>
      <c r="BH967" s="41"/>
      <c r="BI967" s="41"/>
      <c r="BJ967" s="41"/>
      <c r="BK967" s="41"/>
      <c r="BL967" s="41"/>
      <c r="BM967" s="41"/>
      <c r="BN967" s="54">
        <f t="shared" si="17"/>
        <v>4.2193819656913014</v>
      </c>
    </row>
    <row r="968" spans="2:66" x14ac:dyDescent="0.35">
      <c r="B968" s="41" t="s">
        <v>449</v>
      </c>
      <c r="C968" s="41" t="s">
        <v>82</v>
      </c>
      <c r="D968" s="41" t="s">
        <v>628</v>
      </c>
      <c r="E968" s="41" t="s">
        <v>629</v>
      </c>
      <c r="F968" s="41"/>
      <c r="G968" s="41"/>
      <c r="H968" s="41"/>
      <c r="I968" s="41"/>
      <c r="J968" s="41"/>
      <c r="K968" s="41"/>
      <c r="L968" s="41"/>
      <c r="M968" s="41"/>
      <c r="N968" s="41"/>
      <c r="O968" s="41"/>
      <c r="P968" s="41"/>
      <c r="Q968" s="41"/>
      <c r="R968" s="41"/>
      <c r="S968" s="41"/>
      <c r="T968" s="41"/>
      <c r="U968" s="41"/>
      <c r="V968" s="41"/>
      <c r="W968" s="41"/>
      <c r="X968" s="41"/>
      <c r="Y968" s="41"/>
      <c r="Z968" s="41">
        <v>12.066399574279799</v>
      </c>
      <c r="AA968" s="41"/>
      <c r="AB968" s="41"/>
      <c r="AC968" s="41"/>
      <c r="AD968" s="41"/>
      <c r="AE968" s="41">
        <v>12.7760000228882</v>
      </c>
      <c r="AF968" s="41">
        <v>12.7692003250122</v>
      </c>
      <c r="AG968" s="41">
        <v>12.802900314331101</v>
      </c>
      <c r="AH968" s="41">
        <v>12.8053998947144</v>
      </c>
      <c r="AI968" s="41">
        <v>12.635800361633301</v>
      </c>
      <c r="AJ968" s="41">
        <v>12.487199783299999</v>
      </c>
      <c r="AK968" s="41">
        <v>12.465399742100001</v>
      </c>
      <c r="AL968" s="41">
        <v>12.0453996658</v>
      </c>
      <c r="AM968" s="41">
        <v>11.9105997086</v>
      </c>
      <c r="AN968" s="41">
        <v>11.283800125100001</v>
      </c>
      <c r="AO968" s="41">
        <v>11.0900001526</v>
      </c>
      <c r="AP968" s="41">
        <v>10.8800001144</v>
      </c>
      <c r="AQ968" s="41">
        <v>10.1899995804</v>
      </c>
      <c r="AR968" s="41">
        <v>10.029999733</v>
      </c>
      <c r="AS968" s="41">
        <v>9.8500003814999992</v>
      </c>
      <c r="AT968" s="41">
        <v>8.8000000000000007</v>
      </c>
      <c r="AU968" s="41">
        <v>8.3000000000000007</v>
      </c>
      <c r="AV968" s="41">
        <v>8.1</v>
      </c>
      <c r="AW968" s="41">
        <v>7.9</v>
      </c>
      <c r="AX968" s="41">
        <v>7.6</v>
      </c>
      <c r="AY968" s="41">
        <v>7.3</v>
      </c>
      <c r="AZ968" s="41">
        <v>7.1</v>
      </c>
      <c r="BA968" s="41">
        <v>7.2</v>
      </c>
      <c r="BB968" s="41">
        <v>6.8</v>
      </c>
      <c r="BC968" s="41">
        <v>6.8</v>
      </c>
      <c r="BD968" s="41">
        <v>7.2</v>
      </c>
      <c r="BE968" s="41">
        <v>7.4</v>
      </c>
      <c r="BF968" s="41">
        <v>7.4</v>
      </c>
      <c r="BG968" s="41">
        <v>7.3</v>
      </c>
      <c r="BH968" s="41"/>
      <c r="BI968" s="41"/>
      <c r="BJ968" s="41"/>
      <c r="BK968" s="41"/>
      <c r="BL968" s="41"/>
      <c r="BM968" s="41"/>
      <c r="BN968" s="54">
        <f t="shared" si="17"/>
        <v>7.3</v>
      </c>
    </row>
    <row r="969" spans="2:66" x14ac:dyDescent="0.35">
      <c r="B969" s="41" t="s">
        <v>456</v>
      </c>
      <c r="C969" s="41" t="s">
        <v>83</v>
      </c>
      <c r="D969" s="41" t="s">
        <v>628</v>
      </c>
      <c r="E969" s="41" t="s">
        <v>629</v>
      </c>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v>8.1000003814697301</v>
      </c>
      <c r="AG969" s="41">
        <v>8</v>
      </c>
      <c r="AH969" s="41">
        <v>7.9000000953674299</v>
      </c>
      <c r="AI969" s="41">
        <v>7.8000001907348597</v>
      </c>
      <c r="AJ969" s="41">
        <v>7.5999999045999997</v>
      </c>
      <c r="AK969" s="41">
        <v>7.5</v>
      </c>
      <c r="AL969" s="41">
        <v>7.3000001906999996</v>
      </c>
      <c r="AM969" s="41">
        <v>7.4000000954000003</v>
      </c>
      <c r="AN969" s="41">
        <v>7.1999998093000004</v>
      </c>
      <c r="AO969" s="41">
        <v>7.0999999045999997</v>
      </c>
      <c r="AP969" s="41">
        <v>7</v>
      </c>
      <c r="AQ969" s="41">
        <v>6.9000000954000003</v>
      </c>
      <c r="AR969" s="41">
        <v>6.8000001906999996</v>
      </c>
      <c r="AS969" s="41">
        <v>6.3000001906999996</v>
      </c>
      <c r="AT969" s="41">
        <v>6.1999998093000004</v>
      </c>
      <c r="AU969" s="41">
        <v>6.0999999045999997</v>
      </c>
      <c r="AV969" s="41">
        <v>6</v>
      </c>
      <c r="AW969" s="41">
        <v>6</v>
      </c>
      <c r="AX969" s="41">
        <v>6.4</v>
      </c>
      <c r="AY969" s="41">
        <v>5.8</v>
      </c>
      <c r="AZ969" s="41">
        <v>5.7</v>
      </c>
      <c r="BA969" s="41">
        <v>5.7</v>
      </c>
      <c r="BB969" s="41">
        <v>5.6</v>
      </c>
      <c r="BC969" s="41">
        <v>5.6</v>
      </c>
      <c r="BD969" s="41">
        <v>5.4</v>
      </c>
      <c r="BE969" s="41">
        <v>5.3</v>
      </c>
      <c r="BF969" s="41">
        <v>5.2</v>
      </c>
      <c r="BG969" s="41">
        <v>5.0999999999999996</v>
      </c>
      <c r="BH969" s="41">
        <v>4.9000000000000004</v>
      </c>
      <c r="BI969" s="41">
        <v>4.8</v>
      </c>
      <c r="BJ969" s="41"/>
      <c r="BK969" s="41"/>
      <c r="BL969" s="41"/>
      <c r="BM969" s="41"/>
      <c r="BN969" s="54">
        <f t="shared" si="17"/>
        <v>4.8</v>
      </c>
    </row>
    <row r="970" spans="2:66" x14ac:dyDescent="0.35">
      <c r="B970" s="41" t="s">
        <v>442</v>
      </c>
      <c r="C970" s="41" t="s">
        <v>84</v>
      </c>
      <c r="D970" s="41" t="s">
        <v>628</v>
      </c>
      <c r="E970" s="41" t="s">
        <v>629</v>
      </c>
      <c r="F970" s="41"/>
      <c r="G970" s="41"/>
      <c r="H970" s="41"/>
      <c r="I970" s="41"/>
      <c r="J970" s="41"/>
      <c r="K970" s="41"/>
      <c r="L970" s="41"/>
      <c r="M970" s="41"/>
      <c r="N970" s="41"/>
      <c r="O970" s="41"/>
      <c r="P970" s="41"/>
      <c r="Q970" s="41"/>
      <c r="R970" s="41"/>
      <c r="S970" s="41"/>
      <c r="T970" s="41"/>
      <c r="U970" s="41"/>
      <c r="V970" s="41"/>
      <c r="W970" s="41"/>
      <c r="X970" s="41"/>
      <c r="Y970" s="41"/>
      <c r="Z970" s="41">
        <v>13.8909997940063</v>
      </c>
      <c r="AA970" s="41"/>
      <c r="AB970" s="41"/>
      <c r="AC970" s="41"/>
      <c r="AD970" s="41"/>
      <c r="AE970" s="41">
        <v>14.308600425720201</v>
      </c>
      <c r="AF970" s="41">
        <v>14.192899703979499</v>
      </c>
      <c r="AG970" s="41">
        <v>14.239000320434601</v>
      </c>
      <c r="AH970" s="41">
        <v>14.0949001312256</v>
      </c>
      <c r="AI970" s="41">
        <v>14.023500442504901</v>
      </c>
      <c r="AJ970" s="41">
        <v>14.075400352500001</v>
      </c>
      <c r="AK970" s="41">
        <v>13.621899604799999</v>
      </c>
      <c r="AL970" s="41">
        <v>12.940600395200001</v>
      </c>
      <c r="AM970" s="41">
        <v>12.2314996719</v>
      </c>
      <c r="AN970" s="41">
        <v>12.0551996231</v>
      </c>
      <c r="AO970" s="41">
        <v>11.1899995804</v>
      </c>
      <c r="AP970" s="41">
        <v>10.4399995804</v>
      </c>
      <c r="AQ970" s="41">
        <v>9.8000001907000005</v>
      </c>
      <c r="AR970" s="41">
        <v>9.4099998474</v>
      </c>
      <c r="AS970" s="41">
        <v>9.0299997330000004</v>
      </c>
      <c r="AT970" s="41">
        <v>8.8000000000000007</v>
      </c>
      <c r="AU970" s="41">
        <v>8.3000000000000007</v>
      </c>
      <c r="AV970" s="41">
        <v>7.9</v>
      </c>
      <c r="AW970" s="41">
        <v>8</v>
      </c>
      <c r="AX970" s="41">
        <v>7.9</v>
      </c>
      <c r="AY970" s="41">
        <v>7.9</v>
      </c>
      <c r="AZ970" s="41">
        <v>7.8</v>
      </c>
      <c r="BA970" s="41">
        <v>7.8</v>
      </c>
      <c r="BB970" s="41">
        <v>7.8</v>
      </c>
      <c r="BC970" s="41">
        <v>6.7</v>
      </c>
      <c r="BD970" s="41">
        <v>5.7</v>
      </c>
      <c r="BE970" s="41">
        <v>5.9</v>
      </c>
      <c r="BF970" s="41">
        <v>5.9</v>
      </c>
      <c r="BG970" s="41">
        <v>5.8</v>
      </c>
      <c r="BH970" s="41"/>
      <c r="BI970" s="41"/>
      <c r="BJ970" s="41"/>
      <c r="BK970" s="41"/>
      <c r="BL970" s="41"/>
      <c r="BM970" s="41"/>
      <c r="BN970" s="54">
        <f t="shared" si="17"/>
        <v>5.8</v>
      </c>
    </row>
    <row r="971" spans="2:66" x14ac:dyDescent="0.35">
      <c r="B971" s="41" t="s">
        <v>457</v>
      </c>
      <c r="C971" s="41" t="s">
        <v>458</v>
      </c>
      <c r="D971" s="41" t="s">
        <v>628</v>
      </c>
      <c r="E971" s="41" t="s">
        <v>629</v>
      </c>
      <c r="F971" s="41">
        <v>10.121386528015099</v>
      </c>
      <c r="G971" s="41"/>
      <c r="H971" s="41"/>
      <c r="I971" s="41"/>
      <c r="J971" s="41"/>
      <c r="K971" s="41"/>
      <c r="L971" s="41"/>
      <c r="M971" s="41"/>
      <c r="N971" s="41"/>
      <c r="O971" s="41"/>
      <c r="P971" s="41">
        <v>5.2953000068664604</v>
      </c>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c r="BN971" s="54">
        <f t="shared" si="17"/>
        <v>5.2953000068664604</v>
      </c>
    </row>
    <row r="972" spans="2:66" x14ac:dyDescent="0.35">
      <c r="B972" s="41" t="s">
        <v>533</v>
      </c>
      <c r="C972" s="41" t="s">
        <v>534</v>
      </c>
      <c r="D972" s="41" t="s">
        <v>628</v>
      </c>
      <c r="E972" s="41" t="s">
        <v>629</v>
      </c>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c r="BN972" s="54" t="str">
        <f t="shared" si="17"/>
        <v>No reported value</v>
      </c>
    </row>
    <row r="973" spans="2:66" x14ac:dyDescent="0.35">
      <c r="B973" s="41" t="s">
        <v>476</v>
      </c>
      <c r="C973" s="41" t="s">
        <v>85</v>
      </c>
      <c r="D973" s="41" t="s">
        <v>628</v>
      </c>
      <c r="E973" s="41" t="s">
        <v>629</v>
      </c>
      <c r="F973" s="41">
        <v>1.5984001159668</v>
      </c>
      <c r="G973" s="41"/>
      <c r="H973" s="41"/>
      <c r="I973" s="41"/>
      <c r="J973" s="41"/>
      <c r="K973" s="41"/>
      <c r="L973" s="41"/>
      <c r="M973" s="41"/>
      <c r="N973" s="41"/>
      <c r="O973" s="41"/>
      <c r="P973" s="41">
        <v>1.47420001029968</v>
      </c>
      <c r="Q973" s="41"/>
      <c r="R973" s="41"/>
      <c r="S973" s="41"/>
      <c r="T973" s="41"/>
      <c r="U973" s="41">
        <v>1.42859995365143</v>
      </c>
      <c r="V973" s="41"/>
      <c r="W973" s="41"/>
      <c r="X973" s="41"/>
      <c r="Y973" s="41"/>
      <c r="Z973" s="41"/>
      <c r="AA973" s="41">
        <v>1.22819995880127</v>
      </c>
      <c r="AB973" s="41"/>
      <c r="AC973" s="41"/>
      <c r="AD973" s="41"/>
      <c r="AE973" s="41">
        <v>1.26689994335175</v>
      </c>
      <c r="AF973" s="41"/>
      <c r="AG973" s="41"/>
      <c r="AH973" s="41"/>
      <c r="AI973" s="41"/>
      <c r="AJ973" s="41">
        <v>1.2899999619</v>
      </c>
      <c r="AK973" s="41"/>
      <c r="AL973" s="41"/>
      <c r="AM973" s="41"/>
      <c r="AN973" s="41">
        <v>1.1123000382999999</v>
      </c>
      <c r="AO973" s="41"/>
      <c r="AP973" s="41"/>
      <c r="AQ973" s="41">
        <v>0.98000001910000001</v>
      </c>
      <c r="AR973" s="41"/>
      <c r="AS973" s="41"/>
      <c r="AT973" s="41">
        <v>1.1000000000000001</v>
      </c>
      <c r="AU973" s="41">
        <v>0.9</v>
      </c>
      <c r="AV973" s="41">
        <v>1.1000000000000001</v>
      </c>
      <c r="AW973" s="41">
        <v>0.8</v>
      </c>
      <c r="AX973" s="41">
        <v>0.9</v>
      </c>
      <c r="AY973" s="41">
        <v>0.9</v>
      </c>
      <c r="AZ973" s="41">
        <v>0.9</v>
      </c>
      <c r="BA973" s="41">
        <v>0.9</v>
      </c>
      <c r="BB973" s="41">
        <v>1.1000000000000001</v>
      </c>
      <c r="BC973" s="41">
        <v>1.1000000000000001</v>
      </c>
      <c r="BD973" s="41">
        <v>1.1000000000000001</v>
      </c>
      <c r="BE973" s="41">
        <v>0.9</v>
      </c>
      <c r="BF973" s="41">
        <v>0.9</v>
      </c>
      <c r="BG973" s="41">
        <v>0.9</v>
      </c>
      <c r="BH973" s="41">
        <v>1.1000000000000001</v>
      </c>
      <c r="BI973" s="41"/>
      <c r="BJ973" s="41"/>
      <c r="BK973" s="41"/>
      <c r="BL973" s="41"/>
      <c r="BM973" s="41"/>
      <c r="BN973" s="54">
        <f t="shared" si="17"/>
        <v>1.1000000000000001</v>
      </c>
    </row>
    <row r="974" spans="2:66" x14ac:dyDescent="0.35">
      <c r="B974" s="41" t="s">
        <v>474</v>
      </c>
      <c r="C974" s="41" t="s">
        <v>86</v>
      </c>
      <c r="D974" s="41" t="s">
        <v>628</v>
      </c>
      <c r="E974" s="41" t="s">
        <v>629</v>
      </c>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v>18.107099533081101</v>
      </c>
      <c r="AJ974" s="41"/>
      <c r="AK974" s="41"/>
      <c r="AL974" s="41">
        <v>21.678600311299999</v>
      </c>
      <c r="AM974" s="41"/>
      <c r="AN974" s="41"/>
      <c r="AO974" s="41">
        <v>19.5699996948</v>
      </c>
      <c r="AP974" s="41"/>
      <c r="AQ974" s="41"/>
      <c r="AR974" s="41"/>
      <c r="AS974" s="41"/>
      <c r="AT974" s="41"/>
      <c r="AU974" s="41"/>
      <c r="AV974" s="41"/>
      <c r="AW974" s="41"/>
      <c r="AX974" s="41"/>
      <c r="AY974" s="41"/>
      <c r="AZ974" s="41"/>
      <c r="BA974" s="41"/>
      <c r="BB974" s="41"/>
      <c r="BC974" s="41"/>
      <c r="BD974" s="41"/>
      <c r="BE974" s="41">
        <v>16.46</v>
      </c>
      <c r="BF974" s="41">
        <v>13.8</v>
      </c>
      <c r="BG974" s="41"/>
      <c r="BH974" s="41"/>
      <c r="BI974" s="41"/>
      <c r="BJ974" s="41"/>
      <c r="BK974" s="41"/>
      <c r="BL974" s="41"/>
      <c r="BM974" s="41"/>
      <c r="BN974" s="54">
        <f t="shared" si="17"/>
        <v>13.8</v>
      </c>
    </row>
    <row r="975" spans="2:66" x14ac:dyDescent="0.35">
      <c r="B975" s="41" t="s">
        <v>473</v>
      </c>
      <c r="C975" s="41" t="s">
        <v>87</v>
      </c>
      <c r="D975" s="41" t="s">
        <v>628</v>
      </c>
      <c r="E975" s="41" t="s">
        <v>629</v>
      </c>
      <c r="F975" s="41"/>
      <c r="G975" s="41"/>
      <c r="H975" s="41"/>
      <c r="I975" s="41"/>
      <c r="J975" s="41"/>
      <c r="K975" s="41"/>
      <c r="L975" s="41"/>
      <c r="M975" s="41"/>
      <c r="N975" s="41"/>
      <c r="O975" s="41"/>
      <c r="P975" s="41"/>
      <c r="Q975" s="41"/>
      <c r="R975" s="41"/>
      <c r="S975" s="41"/>
      <c r="T975" s="41"/>
      <c r="U975" s="41"/>
      <c r="V975" s="41"/>
      <c r="W975" s="41"/>
      <c r="X975" s="41"/>
      <c r="Y975" s="41"/>
      <c r="Z975" s="41">
        <v>12.0548000335693</v>
      </c>
      <c r="AA975" s="41">
        <v>12.082099914550801</v>
      </c>
      <c r="AB975" s="41">
        <v>12.051099777221699</v>
      </c>
      <c r="AC975" s="41">
        <v>12.0797996520996</v>
      </c>
      <c r="AD975" s="41">
        <v>12.143500328064</v>
      </c>
      <c r="AE975" s="41">
        <v>12.2204999923706</v>
      </c>
      <c r="AF975" s="41">
        <v>12.4355001449585</v>
      </c>
      <c r="AG975" s="41">
        <v>12.667599678039601</v>
      </c>
      <c r="AH975" s="41">
        <v>12.763699531555201</v>
      </c>
      <c r="AI975" s="41">
        <v>12.727499961853001</v>
      </c>
      <c r="AJ975" s="41">
        <v>13.1478004456</v>
      </c>
      <c r="AK975" s="41">
        <v>13.116200447100001</v>
      </c>
      <c r="AL975" s="41">
        <v>12.790300369300001</v>
      </c>
      <c r="AM975" s="41">
        <v>12.4827003479</v>
      </c>
      <c r="AN975" s="41">
        <v>12.2215003967</v>
      </c>
      <c r="AO975" s="41">
        <v>12.2100000381</v>
      </c>
      <c r="AP975" s="41">
        <v>12.1300001144</v>
      </c>
      <c r="AQ975" s="41">
        <v>11.6199998856</v>
      </c>
      <c r="AR975" s="41">
        <v>11.2299995422</v>
      </c>
      <c r="AS975" s="41">
        <v>8.1899995804000003</v>
      </c>
      <c r="AT975" s="41">
        <v>6</v>
      </c>
      <c r="AU975" s="41">
        <v>5.9</v>
      </c>
      <c r="AV975" s="41">
        <v>5.8</v>
      </c>
      <c r="AW975" s="41">
        <v>6.7</v>
      </c>
      <c r="AX975" s="41">
        <v>6.4</v>
      </c>
      <c r="AY975" s="41">
        <v>6.4</v>
      </c>
      <c r="AZ975" s="41">
        <v>6.3</v>
      </c>
      <c r="BA975" s="41">
        <v>6.1</v>
      </c>
      <c r="BB975" s="41">
        <v>6.1</v>
      </c>
      <c r="BC975" s="41">
        <v>6.2</v>
      </c>
      <c r="BD975" s="41">
        <v>6.2</v>
      </c>
      <c r="BE975" s="41">
        <v>6.2</v>
      </c>
      <c r="BF975" s="41">
        <v>6.2</v>
      </c>
      <c r="BG975" s="41">
        <v>5.8</v>
      </c>
      <c r="BH975" s="41"/>
      <c r="BI975" s="41"/>
      <c r="BJ975" s="41"/>
      <c r="BK975" s="41"/>
      <c r="BL975" s="41"/>
      <c r="BM975" s="41"/>
      <c r="BN975" s="54">
        <f t="shared" si="17"/>
        <v>5.8</v>
      </c>
    </row>
    <row r="976" spans="2:66" x14ac:dyDescent="0.35">
      <c r="B976" s="41" t="s">
        <v>202</v>
      </c>
      <c r="C976" s="41" t="s">
        <v>88</v>
      </c>
      <c r="D976" s="41" t="s">
        <v>628</v>
      </c>
      <c r="E976" s="41" t="s">
        <v>629</v>
      </c>
      <c r="F976" s="41">
        <v>2.4061858654022199</v>
      </c>
      <c r="G976" s="41"/>
      <c r="H976" s="41"/>
      <c r="I976" s="41"/>
      <c r="J976" s="41"/>
      <c r="K976" s="41"/>
      <c r="L976" s="41"/>
      <c r="M976" s="41"/>
      <c r="N976" s="41"/>
      <c r="O976" s="41"/>
      <c r="P976" s="41">
        <v>2.79080009460449</v>
      </c>
      <c r="Q976" s="41"/>
      <c r="R976" s="41"/>
      <c r="S976" s="41"/>
      <c r="T976" s="41"/>
      <c r="U976" s="41">
        <v>2.4312999248504599</v>
      </c>
      <c r="V976" s="41"/>
      <c r="W976" s="41"/>
      <c r="X976" s="41"/>
      <c r="Y976" s="41"/>
      <c r="Z976" s="41"/>
      <c r="AA976" s="41"/>
      <c r="AB976" s="41"/>
      <c r="AC976" s="41"/>
      <c r="AD976" s="41"/>
      <c r="AE976" s="41"/>
      <c r="AF976" s="41"/>
      <c r="AG976" s="41"/>
      <c r="AH976" s="41"/>
      <c r="AI976" s="41"/>
      <c r="AJ976" s="41">
        <v>0.93599998949999996</v>
      </c>
      <c r="AK976" s="41"/>
      <c r="AL976" s="41"/>
      <c r="AM976" s="41"/>
      <c r="AN976" s="41"/>
      <c r="AO976" s="41"/>
      <c r="AP976" s="41"/>
      <c r="AQ976" s="41"/>
      <c r="AR976" s="41"/>
      <c r="AS976" s="41"/>
      <c r="AT976" s="41"/>
      <c r="AU976" s="41"/>
      <c r="AV976" s="41">
        <v>0.41999998690000001</v>
      </c>
      <c r="AW976" s="41"/>
      <c r="AX976" s="41"/>
      <c r="AY976" s="41">
        <v>0.3</v>
      </c>
      <c r="AZ976" s="41"/>
      <c r="BA976" s="41"/>
      <c r="BB976" s="41"/>
      <c r="BC976" s="41"/>
      <c r="BD976" s="41">
        <v>0.2</v>
      </c>
      <c r="BE976" s="41"/>
      <c r="BF976" s="41"/>
      <c r="BG976" s="41"/>
      <c r="BH976" s="41"/>
      <c r="BI976" s="41"/>
      <c r="BJ976" s="41"/>
      <c r="BK976" s="41"/>
      <c r="BL976" s="41"/>
      <c r="BM976" s="41"/>
      <c r="BN976" s="54">
        <f t="shared" si="17"/>
        <v>0.2</v>
      </c>
    </row>
    <row r="977" spans="2:66" x14ac:dyDescent="0.35">
      <c r="B977" s="41" t="s">
        <v>243</v>
      </c>
      <c r="C977" s="41" t="s">
        <v>89</v>
      </c>
      <c r="D977" s="41" t="s">
        <v>628</v>
      </c>
      <c r="E977" s="41" t="s">
        <v>629</v>
      </c>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v>0.76279997830000001</v>
      </c>
      <c r="AK977" s="41"/>
      <c r="AL977" s="41"/>
      <c r="AM977" s="41"/>
      <c r="AN977" s="41"/>
      <c r="AO977" s="41"/>
      <c r="AP977" s="41"/>
      <c r="AQ977" s="41"/>
      <c r="AR977" s="41"/>
      <c r="AS977" s="41"/>
      <c r="AT977" s="41">
        <v>1.7000000476999999</v>
      </c>
      <c r="AU977" s="41"/>
      <c r="AV977" s="41">
        <v>2.2599999999999998</v>
      </c>
      <c r="AW977" s="41">
        <v>2.2999999999999998</v>
      </c>
      <c r="AX977" s="41"/>
      <c r="AY977" s="41">
        <v>2.6</v>
      </c>
      <c r="AZ977" s="41"/>
      <c r="BA977" s="41"/>
      <c r="BB977" s="41"/>
      <c r="BC977" s="41">
        <v>4.3</v>
      </c>
      <c r="BD977" s="41"/>
      <c r="BE977" s="41"/>
      <c r="BF977" s="41"/>
      <c r="BG977" s="41"/>
      <c r="BH977" s="41"/>
      <c r="BI977" s="41"/>
      <c r="BJ977" s="41"/>
      <c r="BK977" s="41"/>
      <c r="BL977" s="41"/>
      <c r="BM977" s="41"/>
      <c r="BN977" s="54">
        <f t="shared" si="17"/>
        <v>4.3</v>
      </c>
    </row>
    <row r="978" spans="2:66" x14ac:dyDescent="0.35">
      <c r="B978" s="41" t="s">
        <v>465</v>
      </c>
      <c r="C978" s="41" t="s">
        <v>466</v>
      </c>
      <c r="D978" s="41" t="s">
        <v>628</v>
      </c>
      <c r="E978" s="41" t="s">
        <v>629</v>
      </c>
      <c r="F978" s="41">
        <v>1.9331006354810449</v>
      </c>
      <c r="G978" s="41"/>
      <c r="H978" s="41"/>
      <c r="I978" s="41"/>
      <c r="J978" s="41"/>
      <c r="K978" s="41"/>
      <c r="L978" s="41"/>
      <c r="M978" s="41"/>
      <c r="N978" s="41"/>
      <c r="O978" s="41"/>
      <c r="P978" s="41">
        <v>1.8984589445131266</v>
      </c>
      <c r="Q978" s="41"/>
      <c r="R978" s="41"/>
      <c r="S978" s="41"/>
      <c r="T978" s="41"/>
      <c r="U978" s="41"/>
      <c r="V978" s="41"/>
      <c r="W978" s="41"/>
      <c r="X978" s="41"/>
      <c r="Y978" s="41"/>
      <c r="Z978" s="41"/>
      <c r="AA978" s="41">
        <v>1.8709647439563779</v>
      </c>
      <c r="AB978" s="41"/>
      <c r="AC978" s="41"/>
      <c r="AD978" s="41"/>
      <c r="AE978" s="41"/>
      <c r="AF978" s="41"/>
      <c r="AG978" s="41"/>
      <c r="AH978" s="41"/>
      <c r="AI978" s="41"/>
      <c r="AJ978" s="41">
        <v>1.8919620267560249</v>
      </c>
      <c r="AK978" s="41"/>
      <c r="AL978" s="41"/>
      <c r="AM978" s="41"/>
      <c r="AN978" s="41"/>
      <c r="AO978" s="41"/>
      <c r="AP978" s="41"/>
      <c r="AQ978" s="41"/>
      <c r="AR978" s="41"/>
      <c r="AS978" s="41"/>
      <c r="AT978" s="41">
        <v>1.7659167239228928</v>
      </c>
      <c r="AU978" s="41">
        <v>1.8182944247353938</v>
      </c>
      <c r="AV978" s="41">
        <v>1.7626533153357449</v>
      </c>
      <c r="AW978" s="41">
        <v>1.7627151693959011</v>
      </c>
      <c r="AX978" s="41">
        <v>1.7772822143972107</v>
      </c>
      <c r="AY978" s="41">
        <v>1.7923227634318644</v>
      </c>
      <c r="AZ978" s="41">
        <v>1.8157934979566144</v>
      </c>
      <c r="BA978" s="41">
        <v>1.8277705466910841</v>
      </c>
      <c r="BB978" s="41">
        <v>1.7198605008500722</v>
      </c>
      <c r="BC978" s="41">
        <v>1.62501364348276</v>
      </c>
      <c r="BD978" s="41">
        <v>1.6876448870614831</v>
      </c>
      <c r="BE978" s="41">
        <v>1.3566931117735375</v>
      </c>
      <c r="BF978" s="41">
        <v>1.019362489761594</v>
      </c>
      <c r="BG978" s="41">
        <v>1.3156322885474596</v>
      </c>
      <c r="BH978" s="41">
        <v>1.6284850711859378</v>
      </c>
      <c r="BI978" s="41"/>
      <c r="BJ978" s="41"/>
      <c r="BK978" s="41"/>
      <c r="BL978" s="41"/>
      <c r="BM978" s="41"/>
      <c r="BN978" s="54">
        <f t="shared" si="17"/>
        <v>1.6284850711859378</v>
      </c>
    </row>
    <row r="979" spans="2:66" x14ac:dyDescent="0.35">
      <c r="B979" s="41" t="s">
        <v>462</v>
      </c>
      <c r="C979" s="41" t="s">
        <v>90</v>
      </c>
      <c r="D979" s="41" t="s">
        <v>628</v>
      </c>
      <c r="E979" s="41" t="s">
        <v>629</v>
      </c>
      <c r="F979" s="41"/>
      <c r="G979" s="41"/>
      <c r="H979" s="41"/>
      <c r="I979" s="41"/>
      <c r="J979" s="41"/>
      <c r="K979" s="41"/>
      <c r="L979" s="41"/>
      <c r="M979" s="41"/>
      <c r="N979" s="41"/>
      <c r="O979" s="41"/>
      <c r="P979" s="41"/>
      <c r="Q979" s="41"/>
      <c r="R979" s="41"/>
      <c r="S979" s="41"/>
      <c r="T979" s="41"/>
      <c r="U979" s="41"/>
      <c r="V979" s="41"/>
      <c r="W979" s="41"/>
      <c r="X979" s="41"/>
      <c r="Y979" s="41"/>
      <c r="Z979" s="41">
        <v>0.69999998807907104</v>
      </c>
      <c r="AA979" s="41"/>
      <c r="AB979" s="41"/>
      <c r="AC979" s="41"/>
      <c r="AD979" s="41"/>
      <c r="AE979" s="41"/>
      <c r="AF979" s="41"/>
      <c r="AG979" s="41"/>
      <c r="AH979" s="41"/>
      <c r="AI979" s="41"/>
      <c r="AJ979" s="41">
        <v>1</v>
      </c>
      <c r="AK979" s="41">
        <v>1.1000000238000001</v>
      </c>
      <c r="AL979" s="41">
        <v>1.2000000476999999</v>
      </c>
      <c r="AM979" s="41">
        <v>1.2000000476999999</v>
      </c>
      <c r="AN979" s="41">
        <v>1.2000000476999999</v>
      </c>
      <c r="AO979" s="41">
        <v>1.2000000476999999</v>
      </c>
      <c r="AP979" s="41">
        <v>1.2000000476999999</v>
      </c>
      <c r="AQ979" s="41">
        <v>1.1000000238000001</v>
      </c>
      <c r="AR979" s="41">
        <v>1.1000000238000001</v>
      </c>
      <c r="AS979" s="41">
        <v>1.1000000238000001</v>
      </c>
      <c r="AT979" s="41">
        <v>1.1000000238000001</v>
      </c>
      <c r="AU979" s="41">
        <v>1.1000000238000001</v>
      </c>
      <c r="AV979" s="41">
        <v>1.1000000238000001</v>
      </c>
      <c r="AW979" s="41">
        <v>1</v>
      </c>
      <c r="AX979" s="41">
        <v>1</v>
      </c>
      <c r="AY979" s="41"/>
      <c r="AZ979" s="41">
        <v>1.6</v>
      </c>
      <c r="BA979" s="41">
        <v>1.7</v>
      </c>
      <c r="BB979" s="41">
        <v>1.6</v>
      </c>
      <c r="BC979" s="41">
        <v>1.6</v>
      </c>
      <c r="BD979" s="41">
        <v>1.7</v>
      </c>
      <c r="BE979" s="41">
        <v>1.5</v>
      </c>
      <c r="BF979" s="41">
        <v>1.5</v>
      </c>
      <c r="BG979" s="41">
        <v>1.6</v>
      </c>
      <c r="BH979" s="41"/>
      <c r="BI979" s="41">
        <v>1.5</v>
      </c>
      <c r="BJ979" s="41"/>
      <c r="BK979" s="41"/>
      <c r="BL979" s="41"/>
      <c r="BM979" s="41"/>
      <c r="BN979" s="54">
        <f t="shared" si="17"/>
        <v>1.5</v>
      </c>
    </row>
    <row r="980" spans="2:66" x14ac:dyDescent="0.35">
      <c r="B980" s="41" t="s">
        <v>461</v>
      </c>
      <c r="C980" s="41" t="s">
        <v>91</v>
      </c>
      <c r="D980" s="41" t="s">
        <v>628</v>
      </c>
      <c r="E980" s="41" t="s">
        <v>629</v>
      </c>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v>2.2727000713000001</v>
      </c>
      <c r="AK980" s="41"/>
      <c r="AL980" s="41"/>
      <c r="AM980" s="41"/>
      <c r="AN980" s="41"/>
      <c r="AO980" s="41"/>
      <c r="AP980" s="41"/>
      <c r="AQ980" s="41"/>
      <c r="AR980" s="41"/>
      <c r="AS980" s="41">
        <v>2.1</v>
      </c>
      <c r="AT980" s="41"/>
      <c r="AU980" s="41"/>
      <c r="AV980" s="41"/>
      <c r="AW980" s="41"/>
      <c r="AX980" s="41"/>
      <c r="AY980" s="41"/>
      <c r="AZ980" s="41"/>
      <c r="BA980" s="41"/>
      <c r="BB980" s="41"/>
      <c r="BC980" s="41">
        <v>2.7</v>
      </c>
      <c r="BD980" s="41">
        <v>2.7</v>
      </c>
      <c r="BE980" s="41"/>
      <c r="BF980" s="41"/>
      <c r="BG980" s="41"/>
      <c r="BH980" s="41"/>
      <c r="BI980" s="41"/>
      <c r="BJ980" s="41"/>
      <c r="BK980" s="41"/>
      <c r="BL980" s="41"/>
      <c r="BM980" s="41"/>
      <c r="BN980" s="54">
        <f t="shared" si="17"/>
        <v>2.7</v>
      </c>
    </row>
    <row r="981" spans="2:66" x14ac:dyDescent="0.35">
      <c r="B981" s="41" t="s">
        <v>471</v>
      </c>
      <c r="C981" s="41" t="s">
        <v>472</v>
      </c>
      <c r="D981" s="41" t="s">
        <v>628</v>
      </c>
      <c r="E981" s="41" t="s">
        <v>629</v>
      </c>
      <c r="F981" s="41"/>
      <c r="G981" s="41"/>
      <c r="H981" s="41"/>
      <c r="I981" s="41"/>
      <c r="J981" s="41"/>
      <c r="K981" s="41"/>
      <c r="L981" s="41"/>
      <c r="M981" s="41"/>
      <c r="N981" s="41"/>
      <c r="O981" s="41"/>
      <c r="P981" s="41">
        <v>1.3954225799369193</v>
      </c>
      <c r="Q981" s="41"/>
      <c r="R981" s="41"/>
      <c r="S981" s="41"/>
      <c r="T981" s="41"/>
      <c r="U981" s="41">
        <v>1.5571067342920397</v>
      </c>
      <c r="V981" s="41"/>
      <c r="W981" s="41"/>
      <c r="X981" s="41"/>
      <c r="Y981" s="41"/>
      <c r="Z981" s="41">
        <v>2.1009055497099487</v>
      </c>
      <c r="AA981" s="41">
        <v>2.0784691142642147</v>
      </c>
      <c r="AB981" s="41"/>
      <c r="AC981" s="41"/>
      <c r="AD981" s="41"/>
      <c r="AE981" s="41">
        <v>2.7864132189498383</v>
      </c>
      <c r="AF981" s="41"/>
      <c r="AG981" s="41">
        <v>3.1341277872994153</v>
      </c>
      <c r="AH981" s="41"/>
      <c r="AI981" s="41"/>
      <c r="AJ981" s="41">
        <v>3.1426551164782346</v>
      </c>
      <c r="AK981" s="41">
        <v>2.6688204860042637</v>
      </c>
      <c r="AL981" s="41"/>
      <c r="AM981" s="41"/>
      <c r="AN981" s="41"/>
      <c r="AO981" s="41"/>
      <c r="AP981" s="41"/>
      <c r="AQ981" s="41"/>
      <c r="AR981" s="41"/>
      <c r="AS981" s="41"/>
      <c r="AT981" s="41"/>
      <c r="AU981" s="41"/>
      <c r="AV981" s="41">
        <v>2.070712481418822</v>
      </c>
      <c r="AW981" s="41">
        <v>2.1986930998868912</v>
      </c>
      <c r="AX981" s="41"/>
      <c r="AY981" s="41">
        <v>2.2506053473453553</v>
      </c>
      <c r="AZ981" s="41"/>
      <c r="BA981" s="41"/>
      <c r="BB981" s="41"/>
      <c r="BC981" s="41"/>
      <c r="BD981" s="41"/>
      <c r="BE981" s="41">
        <v>2.4006731205897842</v>
      </c>
      <c r="BF981" s="41"/>
      <c r="BG981" s="41"/>
      <c r="BH981" s="41"/>
      <c r="BI981" s="41"/>
      <c r="BJ981" s="41"/>
      <c r="BK981" s="41"/>
      <c r="BL981" s="41"/>
      <c r="BM981" s="41"/>
      <c r="BN981" s="54">
        <f t="shared" si="17"/>
        <v>2.4006731205897842</v>
      </c>
    </row>
    <row r="982" spans="2:66" x14ac:dyDescent="0.35">
      <c r="B982" s="41" t="s">
        <v>483</v>
      </c>
      <c r="C982" s="41" t="s">
        <v>484</v>
      </c>
      <c r="D982" s="41" t="s">
        <v>628</v>
      </c>
      <c r="E982" s="41" t="s">
        <v>629</v>
      </c>
      <c r="F982" s="41"/>
      <c r="G982" s="41"/>
      <c r="H982" s="41"/>
      <c r="I982" s="41"/>
      <c r="J982" s="41"/>
      <c r="K982" s="41"/>
      <c r="L982" s="41"/>
      <c r="M982" s="41"/>
      <c r="N982" s="41"/>
      <c r="O982" s="41"/>
      <c r="P982" s="41">
        <v>5.4503002166748002</v>
      </c>
      <c r="Q982" s="41">
        <v>5.4433999061584499</v>
      </c>
      <c r="R982" s="41">
        <v>5.4942998886108398</v>
      </c>
      <c r="S982" s="41">
        <v>5.4028000831604004</v>
      </c>
      <c r="T982" s="41">
        <v>5.4643998146057102</v>
      </c>
      <c r="U982" s="41">
        <v>5.4443998336792001</v>
      </c>
      <c r="V982" s="41">
        <v>5.3109002113342303</v>
      </c>
      <c r="W982" s="41">
        <v>5.2698001861572301</v>
      </c>
      <c r="X982" s="41">
        <v>5.1737999916076696</v>
      </c>
      <c r="Y982" s="41">
        <v>5.2437000274658203</v>
      </c>
      <c r="Z982" s="41">
        <v>5.1985001564025897</v>
      </c>
      <c r="AA982" s="41">
        <v>5.1816000938415501</v>
      </c>
      <c r="AB982" s="41">
        <v>5.3646001815795898</v>
      </c>
      <c r="AC982" s="41">
        <v>5.3383002281189</v>
      </c>
      <c r="AD982" s="41">
        <v>5.4029002189636204</v>
      </c>
      <c r="AE982" s="41">
        <v>5.5118999481201199</v>
      </c>
      <c r="AF982" s="41">
        <v>5.4994997978210396</v>
      </c>
      <c r="AG982" s="41">
        <v>5.4335999488830602</v>
      </c>
      <c r="AH982" s="41">
        <v>5.4742999076843297</v>
      </c>
      <c r="AI982" s="41">
        <v>5.4990000724792498</v>
      </c>
      <c r="AJ982" s="41">
        <v>5.9477000237000004</v>
      </c>
      <c r="AK982" s="41">
        <v>5.7873001099000003</v>
      </c>
      <c r="AL982" s="41">
        <v>5.6964001656000001</v>
      </c>
      <c r="AM982" s="41">
        <v>5.6005997658000002</v>
      </c>
      <c r="AN982" s="41">
        <v>5.5500001906999996</v>
      </c>
      <c r="AO982" s="41">
        <v>5.4099998474</v>
      </c>
      <c r="AP982" s="41">
        <v>5.1999998093000004</v>
      </c>
      <c r="AQ982" s="41">
        <v>5.1599998474</v>
      </c>
      <c r="AR982" s="41">
        <v>5.1500000954000003</v>
      </c>
      <c r="AS982" s="41">
        <v>5.0999999045999997</v>
      </c>
      <c r="AT982" s="41">
        <v>5.0999999999999996</v>
      </c>
      <c r="AU982" s="41">
        <v>4.9000000000000004</v>
      </c>
      <c r="AV982" s="41">
        <v>4.8</v>
      </c>
      <c r="AW982" s="41">
        <v>4.8</v>
      </c>
      <c r="AX982" s="41">
        <v>4.8</v>
      </c>
      <c r="AY982" s="41">
        <v>4.7</v>
      </c>
      <c r="AZ982" s="41">
        <v>4.5999999999999996</v>
      </c>
      <c r="BA982" s="41">
        <v>4.5999999999999996</v>
      </c>
      <c r="BB982" s="41">
        <v>4.5</v>
      </c>
      <c r="BC982" s="41">
        <v>4.5</v>
      </c>
      <c r="BD982" s="41">
        <v>4.5999999999999996</v>
      </c>
      <c r="BE982" s="41">
        <v>4.5</v>
      </c>
      <c r="BF982" s="41">
        <v>4.4000000000000004</v>
      </c>
      <c r="BG982" s="41">
        <v>4.4000000000000004</v>
      </c>
      <c r="BH982" s="41"/>
      <c r="BI982" s="41"/>
      <c r="BJ982" s="41"/>
      <c r="BK982" s="41"/>
      <c r="BL982" s="41"/>
      <c r="BM982" s="41"/>
      <c r="BN982" s="54">
        <f t="shared" si="17"/>
        <v>4.4000000000000004</v>
      </c>
    </row>
    <row r="983" spans="2:66" x14ac:dyDescent="0.35">
      <c r="B983" s="41" t="s">
        <v>204</v>
      </c>
      <c r="C983" s="41" t="s">
        <v>92</v>
      </c>
      <c r="D983" s="41" t="s">
        <v>628</v>
      </c>
      <c r="E983" s="41" t="s">
        <v>629</v>
      </c>
      <c r="F983" s="41">
        <v>0.66850572824478105</v>
      </c>
      <c r="G983" s="41"/>
      <c r="H983" s="41"/>
      <c r="I983" s="41"/>
      <c r="J983" s="41"/>
      <c r="K983" s="41"/>
      <c r="L983" s="41"/>
      <c r="M983" s="41"/>
      <c r="N983" s="41"/>
      <c r="O983" s="41"/>
      <c r="P983" s="41">
        <v>0.67909997701644897</v>
      </c>
      <c r="Q983" s="41"/>
      <c r="R983" s="41"/>
      <c r="S983" s="41"/>
      <c r="T983" s="41"/>
      <c r="U983" s="41">
        <v>0.714299976825714</v>
      </c>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v>0.23999999459999999</v>
      </c>
      <c r="AS983" s="41"/>
      <c r="AT983" s="41"/>
      <c r="AU983" s="41"/>
      <c r="AV983" s="41"/>
      <c r="AW983" s="41"/>
      <c r="AX983" s="41"/>
      <c r="AY983" s="41">
        <v>0.3</v>
      </c>
      <c r="AZ983" s="41"/>
      <c r="BA983" s="41"/>
      <c r="BB983" s="41">
        <v>0.6</v>
      </c>
      <c r="BC983" s="41"/>
      <c r="BD983" s="41">
        <v>0.1</v>
      </c>
      <c r="BE983" s="41"/>
      <c r="BF983" s="41"/>
      <c r="BG983" s="41"/>
      <c r="BH983" s="41"/>
      <c r="BI983" s="41"/>
      <c r="BJ983" s="41"/>
      <c r="BK983" s="41"/>
      <c r="BL983" s="41"/>
      <c r="BM983" s="41"/>
      <c r="BN983" s="54">
        <f t="shared" si="17"/>
        <v>0.1</v>
      </c>
    </row>
    <row r="984" spans="2:66" x14ac:dyDescent="0.35">
      <c r="B984" s="41" t="s">
        <v>460</v>
      </c>
      <c r="C984" s="41" t="s">
        <v>93</v>
      </c>
      <c r="D984" s="41" t="s">
        <v>628</v>
      </c>
      <c r="E984" s="41" t="s">
        <v>629</v>
      </c>
      <c r="F984" s="41">
        <v>9.2583589553833008</v>
      </c>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v>9.4638996124267596</v>
      </c>
      <c r="AE984" s="41"/>
      <c r="AF984" s="41"/>
      <c r="AG984" s="41">
        <v>9.3353004455566406</v>
      </c>
      <c r="AH984" s="41">
        <v>9.2573003768920898</v>
      </c>
      <c r="AI984" s="41">
        <v>9.44110012054443</v>
      </c>
      <c r="AJ984" s="41"/>
      <c r="AK984" s="41"/>
      <c r="AL984" s="41"/>
      <c r="AM984" s="41">
        <v>5.8432002067999997</v>
      </c>
      <c r="AN984" s="41">
        <v>5.6210999489000004</v>
      </c>
      <c r="AO984" s="41">
        <v>5.4299998282999997</v>
      </c>
      <c r="AP984" s="41">
        <v>5.7800002097999998</v>
      </c>
      <c r="AQ984" s="41">
        <v>5.6399998665000002</v>
      </c>
      <c r="AR984" s="41">
        <v>5.6100001334999998</v>
      </c>
      <c r="AS984" s="41">
        <v>5.5700001717000003</v>
      </c>
      <c r="AT984" s="41">
        <v>5.5</v>
      </c>
      <c r="AU984" s="41">
        <v>7.6</v>
      </c>
      <c r="AV984" s="41">
        <v>7.5</v>
      </c>
      <c r="AW984" s="41">
        <v>7.4</v>
      </c>
      <c r="AX984" s="41">
        <v>7.5</v>
      </c>
      <c r="AY984" s="41">
        <v>7.4</v>
      </c>
      <c r="AZ984" s="41">
        <v>7.6</v>
      </c>
      <c r="BA984" s="41">
        <v>7.8</v>
      </c>
      <c r="BB984" s="41">
        <v>7.4</v>
      </c>
      <c r="BC984" s="41">
        <v>4.9000000000000004</v>
      </c>
      <c r="BD984" s="41">
        <v>4.5</v>
      </c>
      <c r="BE984" s="41">
        <v>4.4000000000000004</v>
      </c>
      <c r="BF984" s="41">
        <v>4.7</v>
      </c>
      <c r="BG984" s="41">
        <v>4.8</v>
      </c>
      <c r="BH984" s="41">
        <v>4.7</v>
      </c>
      <c r="BI984" s="41"/>
      <c r="BJ984" s="41"/>
      <c r="BK984" s="41"/>
      <c r="BL984" s="41"/>
      <c r="BM984" s="41"/>
      <c r="BN984" s="54">
        <f t="shared" si="17"/>
        <v>4.7</v>
      </c>
    </row>
    <row r="985" spans="2:66" x14ac:dyDescent="0.35">
      <c r="B985" s="41" t="s">
        <v>244</v>
      </c>
      <c r="C985" s="41" t="s">
        <v>94</v>
      </c>
      <c r="D985" s="41" t="s">
        <v>628</v>
      </c>
      <c r="E985" s="41" t="s">
        <v>629</v>
      </c>
      <c r="F985" s="41">
        <v>0.66300928592681896</v>
      </c>
      <c r="G985" s="41"/>
      <c r="H985" s="41"/>
      <c r="I985" s="41"/>
      <c r="J985" s="41"/>
      <c r="K985" s="41"/>
      <c r="L985" s="41"/>
      <c r="M985" s="41"/>
      <c r="N985" s="41"/>
      <c r="O985" s="41"/>
      <c r="P985" s="41">
        <v>0.85809999704360995</v>
      </c>
      <c r="Q985" s="41"/>
      <c r="R985" s="41"/>
      <c r="S985" s="41"/>
      <c r="T985" s="41"/>
      <c r="U985" s="41"/>
      <c r="V985" s="41"/>
      <c r="W985" s="41"/>
      <c r="X985" s="41"/>
      <c r="Y985" s="41"/>
      <c r="Z985" s="41">
        <v>0.857100009918213</v>
      </c>
      <c r="AA985" s="41">
        <v>0.85759997367858898</v>
      </c>
      <c r="AB985" s="41"/>
      <c r="AC985" s="41"/>
      <c r="AD985" s="41"/>
      <c r="AE985" s="41"/>
      <c r="AF985" s="41"/>
      <c r="AG985" s="41"/>
      <c r="AH985" s="41"/>
      <c r="AI985" s="41"/>
      <c r="AJ985" s="41">
        <v>0.63580000400000003</v>
      </c>
      <c r="AK985" s="41"/>
      <c r="AL985" s="41"/>
      <c r="AM985" s="41"/>
      <c r="AN985" s="41"/>
      <c r="AO985" s="41"/>
      <c r="AP985" s="41"/>
      <c r="AQ985" s="41"/>
      <c r="AR985" s="41"/>
      <c r="AS985" s="41"/>
      <c r="AT985" s="41">
        <v>0.7</v>
      </c>
      <c r="AU985" s="41"/>
      <c r="AV985" s="41">
        <v>0.63</v>
      </c>
      <c r="AW985" s="41"/>
      <c r="AX985" s="41"/>
      <c r="AY985" s="41"/>
      <c r="AZ985" s="41">
        <v>0.6</v>
      </c>
      <c r="BA985" s="41"/>
      <c r="BB985" s="41"/>
      <c r="BC985" s="41"/>
      <c r="BD985" s="41"/>
      <c r="BE985" s="41"/>
      <c r="BF985" s="41">
        <v>0.9</v>
      </c>
      <c r="BG985" s="41"/>
      <c r="BH985" s="41"/>
      <c r="BI985" s="41"/>
      <c r="BJ985" s="41"/>
      <c r="BK985" s="41"/>
      <c r="BL985" s="41"/>
      <c r="BM985" s="41"/>
      <c r="BN985" s="54">
        <f t="shared" si="17"/>
        <v>0.9</v>
      </c>
    </row>
    <row r="986" spans="2:66" x14ac:dyDescent="0.35">
      <c r="B986" s="41" t="s">
        <v>467</v>
      </c>
      <c r="C986" s="41" t="s">
        <v>468</v>
      </c>
      <c r="D986" s="41" t="s">
        <v>628</v>
      </c>
      <c r="E986" s="41" t="s">
        <v>629</v>
      </c>
      <c r="F986" s="41">
        <v>1.8439760181732761</v>
      </c>
      <c r="G986" s="41"/>
      <c r="H986" s="41"/>
      <c r="I986" s="41"/>
      <c r="J986" s="41"/>
      <c r="K986" s="41"/>
      <c r="L986" s="41"/>
      <c r="M986" s="41"/>
      <c r="N986" s="41"/>
      <c r="O986" s="41"/>
      <c r="P986" s="41">
        <v>1.906952921660142</v>
      </c>
      <c r="Q986" s="41"/>
      <c r="R986" s="41"/>
      <c r="S986" s="41"/>
      <c r="T986" s="41"/>
      <c r="U986" s="41"/>
      <c r="V986" s="41"/>
      <c r="W986" s="41"/>
      <c r="X986" s="41"/>
      <c r="Y986" s="41"/>
      <c r="Z986" s="41">
        <v>1.7473105473612334</v>
      </c>
      <c r="AA986" s="41">
        <v>1.7520005838595079</v>
      </c>
      <c r="AB986" s="41"/>
      <c r="AC986" s="41"/>
      <c r="AD986" s="41"/>
      <c r="AE986" s="41"/>
      <c r="AF986" s="41"/>
      <c r="AG986" s="41"/>
      <c r="AH986" s="41"/>
      <c r="AI986" s="41"/>
      <c r="AJ986" s="41">
        <v>1.7499535727126976</v>
      </c>
      <c r="AK986" s="41"/>
      <c r="AL986" s="41"/>
      <c r="AM986" s="41"/>
      <c r="AN986" s="41"/>
      <c r="AO986" s="41"/>
      <c r="AP986" s="41"/>
      <c r="AQ986" s="41"/>
      <c r="AR986" s="41"/>
      <c r="AS986" s="41"/>
      <c r="AT986" s="41">
        <v>1.6436750718705839</v>
      </c>
      <c r="AU986" s="41">
        <v>1.6236523843981892</v>
      </c>
      <c r="AV986" s="41">
        <v>1.6468667484683381</v>
      </c>
      <c r="AW986" s="41">
        <v>1.646571080013123</v>
      </c>
      <c r="AX986" s="41">
        <v>1.6761964363880009</v>
      </c>
      <c r="AY986" s="41">
        <v>1.6734739443482833</v>
      </c>
      <c r="AZ986" s="41">
        <v>1.7121248199255614</v>
      </c>
      <c r="BA986" s="41">
        <v>1.6721220267037615</v>
      </c>
      <c r="BB986" s="41">
        <v>1.621690711688704</v>
      </c>
      <c r="BC986" s="41">
        <v>1.5134445200018876</v>
      </c>
      <c r="BD986" s="41">
        <v>1.5884314964685944</v>
      </c>
      <c r="BE986" s="41">
        <v>1.2333075724781077</v>
      </c>
      <c r="BF986" s="41">
        <v>0.82708115018422279</v>
      </c>
      <c r="BG986" s="41">
        <v>1.1630078505323143</v>
      </c>
      <c r="BH986" s="41">
        <v>1.5166967169273771</v>
      </c>
      <c r="BI986" s="41"/>
      <c r="BJ986" s="41"/>
      <c r="BK986" s="41"/>
      <c r="BL986" s="41"/>
      <c r="BM986" s="41"/>
      <c r="BN986" s="54">
        <f t="shared" si="17"/>
        <v>1.5166967169273771</v>
      </c>
    </row>
    <row r="987" spans="2:66" x14ac:dyDescent="0.35">
      <c r="B987" s="41" t="s">
        <v>475</v>
      </c>
      <c r="C987" s="41" t="s">
        <v>95</v>
      </c>
      <c r="D987" s="41" t="s">
        <v>628</v>
      </c>
      <c r="E987" s="41" t="s">
        <v>629</v>
      </c>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v>4.2</v>
      </c>
      <c r="AU987" s="41">
        <v>4.3</v>
      </c>
      <c r="AV987" s="41">
        <v>4.2</v>
      </c>
      <c r="AW987" s="41">
        <v>4.2</v>
      </c>
      <c r="AX987" s="41">
        <v>4.2</v>
      </c>
      <c r="AY987" s="41">
        <v>4.2</v>
      </c>
      <c r="AZ987" s="41">
        <v>4.0999999999999996</v>
      </c>
      <c r="BA987" s="41">
        <v>4</v>
      </c>
      <c r="BB987" s="41">
        <v>3.9</v>
      </c>
      <c r="BC987" s="41">
        <v>3.9</v>
      </c>
      <c r="BD987" s="41">
        <v>4</v>
      </c>
      <c r="BE987" s="41">
        <v>4</v>
      </c>
      <c r="BF987" s="41">
        <v>4</v>
      </c>
      <c r="BG987" s="41"/>
      <c r="BH987" s="41"/>
      <c r="BI987" s="41"/>
      <c r="BJ987" s="41"/>
      <c r="BK987" s="41"/>
      <c r="BL987" s="41"/>
      <c r="BM987" s="41"/>
      <c r="BN987" s="54">
        <f t="shared" si="17"/>
        <v>4</v>
      </c>
    </row>
    <row r="988" spans="2:66" x14ac:dyDescent="0.35">
      <c r="B988" s="41" t="s">
        <v>250</v>
      </c>
      <c r="C988" s="41" t="s">
        <v>96</v>
      </c>
      <c r="D988" s="41" t="s">
        <v>628</v>
      </c>
      <c r="E988" s="41" t="s">
        <v>629</v>
      </c>
      <c r="F988" s="41">
        <v>8.6819601058959996</v>
      </c>
      <c r="G988" s="41"/>
      <c r="H988" s="41"/>
      <c r="I988" s="41"/>
      <c r="J988" s="41"/>
      <c r="K988" s="41"/>
      <c r="L988" s="41"/>
      <c r="M988" s="41"/>
      <c r="N988" s="41"/>
      <c r="O988" s="41"/>
      <c r="P988" s="41">
        <v>9.4952001571655291</v>
      </c>
      <c r="Q988" s="41"/>
      <c r="R988" s="41"/>
      <c r="S988" s="41"/>
      <c r="T988" s="41"/>
      <c r="U988" s="41"/>
      <c r="V988" s="41"/>
      <c r="W988" s="41"/>
      <c r="X988" s="41"/>
      <c r="Y988" s="41"/>
      <c r="Z988" s="41">
        <v>11.1971998214722</v>
      </c>
      <c r="AA988" s="41">
        <v>11.0289001464844</v>
      </c>
      <c r="AB988" s="41"/>
      <c r="AC988" s="41"/>
      <c r="AD988" s="41"/>
      <c r="AE988" s="41"/>
      <c r="AF988" s="41"/>
      <c r="AG988" s="41"/>
      <c r="AH988" s="41"/>
      <c r="AI988" s="41"/>
      <c r="AJ988" s="41"/>
      <c r="AK988" s="41">
        <v>11.4864997864</v>
      </c>
      <c r="AL988" s="41"/>
      <c r="AM988" s="41"/>
      <c r="AN988" s="41"/>
      <c r="AO988" s="41"/>
      <c r="AP988" s="41"/>
      <c r="AQ988" s="41"/>
      <c r="AR988" s="41"/>
      <c r="AS988" s="41"/>
      <c r="AT988" s="41"/>
      <c r="AU988" s="41"/>
      <c r="AV988" s="41">
        <v>7.5</v>
      </c>
      <c r="AW988" s="41"/>
      <c r="AX988" s="41">
        <v>6</v>
      </c>
      <c r="AY988" s="41"/>
      <c r="AZ988" s="41">
        <v>6.4</v>
      </c>
      <c r="BA988" s="41">
        <v>6.11</v>
      </c>
      <c r="BB988" s="41"/>
      <c r="BC988" s="41">
        <v>5.9</v>
      </c>
      <c r="BD988" s="41">
        <v>5.8</v>
      </c>
      <c r="BE988" s="41">
        <v>6.75</v>
      </c>
      <c r="BF988" s="41">
        <v>7</v>
      </c>
      <c r="BG988" s="41"/>
      <c r="BH988" s="41"/>
      <c r="BI988" s="41"/>
      <c r="BJ988" s="41"/>
      <c r="BK988" s="41"/>
      <c r="BL988" s="41"/>
      <c r="BM988" s="41"/>
      <c r="BN988" s="54">
        <f t="shared" si="17"/>
        <v>7</v>
      </c>
    </row>
    <row r="989" spans="2:66" x14ac:dyDescent="0.35">
      <c r="B989" s="41" t="s">
        <v>485</v>
      </c>
      <c r="C989" s="41" t="s">
        <v>486</v>
      </c>
      <c r="D989" s="41" t="s">
        <v>628</v>
      </c>
      <c r="E989" s="41" t="s">
        <v>629</v>
      </c>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54" t="str">
        <f t="shared" si="17"/>
        <v>No reported value</v>
      </c>
    </row>
    <row r="990" spans="2:66" x14ac:dyDescent="0.35">
      <c r="B990" s="41" t="s">
        <v>207</v>
      </c>
      <c r="C990" s="41" t="s">
        <v>97</v>
      </c>
      <c r="D990" s="41" t="s">
        <v>628</v>
      </c>
      <c r="E990" s="41" t="s">
        <v>629</v>
      </c>
      <c r="F990" s="41">
        <v>0.80887281894683805</v>
      </c>
      <c r="G990" s="41"/>
      <c r="H990" s="41"/>
      <c r="I990" s="41"/>
      <c r="J990" s="41"/>
      <c r="K990" s="41"/>
      <c r="L990" s="41"/>
      <c r="M990" s="41"/>
      <c r="N990" s="41"/>
      <c r="O990" s="41"/>
      <c r="P990" s="41">
        <v>1.1751999855041499</v>
      </c>
      <c r="Q990" s="41"/>
      <c r="R990" s="41"/>
      <c r="S990" s="41"/>
      <c r="T990" s="41"/>
      <c r="U990" s="41"/>
      <c r="V990" s="41"/>
      <c r="W990" s="41"/>
      <c r="X990" s="41"/>
      <c r="Y990" s="41"/>
      <c r="Z990" s="41">
        <v>1.0896999835968</v>
      </c>
      <c r="AA990" s="41"/>
      <c r="AB990" s="41"/>
      <c r="AC990" s="41"/>
      <c r="AD990" s="41"/>
      <c r="AE990" s="41"/>
      <c r="AF990" s="41"/>
      <c r="AG990" s="41"/>
      <c r="AH990" s="41"/>
      <c r="AI990" s="41"/>
      <c r="AJ990" s="41">
        <v>0.86710000040000001</v>
      </c>
      <c r="AK990" s="41"/>
      <c r="AL990" s="41"/>
      <c r="AM990" s="41"/>
      <c r="AN990" s="41"/>
      <c r="AO990" s="41"/>
      <c r="AP990" s="41"/>
      <c r="AQ990" s="41"/>
      <c r="AR990" s="41"/>
      <c r="AS990" s="41"/>
      <c r="AT990" s="41"/>
      <c r="AU990" s="41"/>
      <c r="AV990" s="41"/>
      <c r="AW990" s="41"/>
      <c r="AX990" s="41"/>
      <c r="AY990" s="41"/>
      <c r="AZ990" s="41">
        <v>0.8</v>
      </c>
      <c r="BA990" s="41">
        <v>0.8</v>
      </c>
      <c r="BB990" s="41"/>
      <c r="BC990" s="41"/>
      <c r="BD990" s="41"/>
      <c r="BE990" s="41">
        <v>0.7</v>
      </c>
      <c r="BF990" s="41"/>
      <c r="BG990" s="41"/>
      <c r="BH990" s="41"/>
      <c r="BI990" s="41"/>
      <c r="BJ990" s="41"/>
      <c r="BK990" s="41"/>
      <c r="BL990" s="41"/>
      <c r="BM990" s="41"/>
      <c r="BN990" s="54">
        <f t="shared" si="17"/>
        <v>0.7</v>
      </c>
    </row>
    <row r="991" spans="2:66" x14ac:dyDescent="0.35">
      <c r="B991" s="41" t="s">
        <v>205</v>
      </c>
      <c r="C991" s="41" t="s">
        <v>98</v>
      </c>
      <c r="D991" s="41" t="s">
        <v>628</v>
      </c>
      <c r="E991" s="41" t="s">
        <v>629</v>
      </c>
      <c r="F991" s="41">
        <v>0.20484359562397</v>
      </c>
      <c r="G991" s="41"/>
      <c r="H991" s="41"/>
      <c r="I991" s="41"/>
      <c r="J991" s="41"/>
      <c r="K991" s="41"/>
      <c r="L991" s="41"/>
      <c r="M991" s="41"/>
      <c r="N991" s="41"/>
      <c r="O991" s="41"/>
      <c r="P991" s="41">
        <v>0.34400001168250999</v>
      </c>
      <c r="Q991" s="41"/>
      <c r="R991" s="41"/>
      <c r="S991" s="41"/>
      <c r="T991" s="41"/>
      <c r="U991" s="41">
        <v>0.34430000185966497</v>
      </c>
      <c r="V991" s="41"/>
      <c r="W991" s="41"/>
      <c r="X991" s="41"/>
      <c r="Y991" s="41"/>
      <c r="Z991" s="41"/>
      <c r="AA991" s="41"/>
      <c r="AB991" s="41"/>
      <c r="AC991" s="41"/>
      <c r="AD991" s="41">
        <v>0.76759999990463301</v>
      </c>
      <c r="AE991" s="41"/>
      <c r="AF991" s="41"/>
      <c r="AG991" s="41"/>
      <c r="AH991" s="41"/>
      <c r="AI991" s="41"/>
      <c r="AJ991" s="41">
        <v>0.66540002819999999</v>
      </c>
      <c r="AK991" s="41"/>
      <c r="AL991" s="41"/>
      <c r="AM991" s="41"/>
      <c r="AN991" s="41"/>
      <c r="AO991" s="41"/>
      <c r="AP991" s="41"/>
      <c r="AQ991" s="41"/>
      <c r="AR991" s="41"/>
      <c r="AS991" s="41"/>
      <c r="AT991" s="41"/>
      <c r="AU991" s="41"/>
      <c r="AV991" s="41"/>
      <c r="AW991" s="41"/>
      <c r="AX991" s="41"/>
      <c r="AY991" s="41"/>
      <c r="AZ991" s="41">
        <v>0.4</v>
      </c>
      <c r="BA991" s="41"/>
      <c r="BB991" s="41"/>
      <c r="BC991" s="41"/>
      <c r="BD991" s="41"/>
      <c r="BE991" s="41"/>
      <c r="BF991" s="41"/>
      <c r="BG991" s="41"/>
      <c r="BH991" s="41"/>
      <c r="BI991" s="41"/>
      <c r="BJ991" s="41"/>
      <c r="BK991" s="41"/>
      <c r="BL991" s="41"/>
      <c r="BM991" s="41"/>
      <c r="BN991" s="54">
        <f t="shared" si="17"/>
        <v>0.4</v>
      </c>
    </row>
    <row r="992" spans="2:66" x14ac:dyDescent="0.35">
      <c r="B992" s="41" t="s">
        <v>206</v>
      </c>
      <c r="C992" s="41" t="s">
        <v>99</v>
      </c>
      <c r="D992" s="41" t="s">
        <v>628</v>
      </c>
      <c r="E992" s="41" t="s">
        <v>629</v>
      </c>
      <c r="F992" s="41">
        <v>4.7166666984558097</v>
      </c>
      <c r="G992" s="41"/>
      <c r="H992" s="41"/>
      <c r="I992" s="41"/>
      <c r="J992" s="41"/>
      <c r="K992" s="41"/>
      <c r="L992" s="41"/>
      <c r="M992" s="41"/>
      <c r="N992" s="41"/>
      <c r="O992" s="41"/>
      <c r="P992" s="41">
        <v>3.95160007476807</v>
      </c>
      <c r="Q992" s="41"/>
      <c r="R992" s="41"/>
      <c r="S992" s="41"/>
      <c r="T992" s="41"/>
      <c r="U992" s="41">
        <v>3.29970002174377</v>
      </c>
      <c r="V992" s="41"/>
      <c r="W992" s="41"/>
      <c r="X992" s="41"/>
      <c r="Y992" s="41"/>
      <c r="Z992" s="41">
        <v>3.1222000122070299</v>
      </c>
      <c r="AA992" s="41"/>
      <c r="AB992" s="41"/>
      <c r="AC992" s="41"/>
      <c r="AD992" s="41"/>
      <c r="AE992" s="41">
        <v>3.3464999198913601</v>
      </c>
      <c r="AF992" s="41"/>
      <c r="AG992" s="41"/>
      <c r="AH992" s="41"/>
      <c r="AI992" s="41"/>
      <c r="AJ992" s="41"/>
      <c r="AK992" s="41">
        <v>2.8866000175000002</v>
      </c>
      <c r="AL992" s="41">
        <v>3.1350998878</v>
      </c>
      <c r="AM992" s="41">
        <v>3.0947999953999998</v>
      </c>
      <c r="AN992" s="41">
        <v>3.0745999813</v>
      </c>
      <c r="AO992" s="41"/>
      <c r="AP992" s="41"/>
      <c r="AQ992" s="41"/>
      <c r="AR992" s="41"/>
      <c r="AS992" s="41"/>
      <c r="AT992" s="41"/>
      <c r="AU992" s="41"/>
      <c r="AV992" s="41"/>
      <c r="AW992" s="41"/>
      <c r="AX992" s="41"/>
      <c r="AY992" s="41">
        <v>3</v>
      </c>
      <c r="AZ992" s="41"/>
      <c r="BA992" s="41"/>
      <c r="BB992" s="41">
        <v>3.3</v>
      </c>
      <c r="BC992" s="41"/>
      <c r="BD992" s="41"/>
      <c r="BE992" s="41">
        <v>3.4</v>
      </c>
      <c r="BF992" s="41"/>
      <c r="BG992" s="41"/>
      <c r="BH992" s="41"/>
      <c r="BI992" s="41"/>
      <c r="BJ992" s="41"/>
      <c r="BK992" s="41"/>
      <c r="BL992" s="41"/>
      <c r="BM992" s="41"/>
      <c r="BN992" s="54">
        <f t="shared" si="17"/>
        <v>3.4</v>
      </c>
    </row>
    <row r="993" spans="2:66" x14ac:dyDescent="0.35">
      <c r="B993" s="41" t="s">
        <v>203</v>
      </c>
      <c r="C993" s="41" t="s">
        <v>100</v>
      </c>
      <c r="D993" s="41" t="s">
        <v>628</v>
      </c>
      <c r="E993" s="41" t="s">
        <v>629</v>
      </c>
      <c r="F993" s="41">
        <v>1.11873054504395</v>
      </c>
      <c r="G993" s="41"/>
      <c r="H993" s="41"/>
      <c r="I993" s="41"/>
      <c r="J993" s="41"/>
      <c r="K993" s="41"/>
      <c r="L993" s="41"/>
      <c r="M993" s="41"/>
      <c r="N993" s="41"/>
      <c r="O993" s="41"/>
      <c r="P993" s="41">
        <v>1.5384999513626101</v>
      </c>
      <c r="Q993" s="41"/>
      <c r="R993" s="41"/>
      <c r="S993" s="41"/>
      <c r="T993" s="41"/>
      <c r="U993" s="41"/>
      <c r="V993" s="41"/>
      <c r="W993" s="41"/>
      <c r="X993" s="41"/>
      <c r="Y993" s="41"/>
      <c r="Z993" s="41"/>
      <c r="AA993" s="41"/>
      <c r="AB993" s="41"/>
      <c r="AC993" s="41"/>
      <c r="AD993" s="41"/>
      <c r="AE993" s="41"/>
      <c r="AF993" s="41"/>
      <c r="AG993" s="41"/>
      <c r="AH993" s="41"/>
      <c r="AI993" s="41">
        <v>0.84189999103546098</v>
      </c>
      <c r="AJ993" s="41">
        <v>1.5506999493</v>
      </c>
      <c r="AK993" s="41"/>
      <c r="AL993" s="41"/>
      <c r="AM993" s="41"/>
      <c r="AN993" s="41"/>
      <c r="AO993" s="41"/>
      <c r="AP993" s="41"/>
      <c r="AQ993" s="41"/>
      <c r="AR993" s="41">
        <v>1.3400000334</v>
      </c>
      <c r="AS993" s="41"/>
      <c r="AT993" s="41"/>
      <c r="AU993" s="41"/>
      <c r="AV993" s="41"/>
      <c r="AW993" s="41"/>
      <c r="AX993" s="41"/>
      <c r="AY993" s="41"/>
      <c r="AZ993" s="41"/>
      <c r="BA993" s="41">
        <v>1.1000000000000001</v>
      </c>
      <c r="BB993" s="41"/>
      <c r="BC993" s="41"/>
      <c r="BD993" s="41"/>
      <c r="BE993" s="41">
        <v>1.3</v>
      </c>
      <c r="BF993" s="41"/>
      <c r="BG993" s="41"/>
      <c r="BH993" s="41"/>
      <c r="BI993" s="41"/>
      <c r="BJ993" s="41"/>
      <c r="BK993" s="41"/>
      <c r="BL993" s="41"/>
      <c r="BM993" s="41"/>
      <c r="BN993" s="54">
        <f t="shared" si="17"/>
        <v>1.3</v>
      </c>
    </row>
    <row r="994" spans="2:66" x14ac:dyDescent="0.35">
      <c r="B994" s="41" t="s">
        <v>459</v>
      </c>
      <c r="C994" s="41" t="s">
        <v>101</v>
      </c>
      <c r="D994" s="41" t="s">
        <v>628</v>
      </c>
      <c r="E994" s="41" t="s">
        <v>629</v>
      </c>
      <c r="F994" s="41">
        <v>3.7281327247619598</v>
      </c>
      <c r="G994" s="41"/>
      <c r="H994" s="41"/>
      <c r="I994" s="41"/>
      <c r="J994" s="41"/>
      <c r="K994" s="41"/>
      <c r="L994" s="41"/>
      <c r="M994" s="41"/>
      <c r="N994" s="41"/>
      <c r="O994" s="41"/>
      <c r="P994" s="41">
        <v>3.4697000980377202</v>
      </c>
      <c r="Q994" s="41"/>
      <c r="R994" s="41"/>
      <c r="S994" s="41"/>
      <c r="T994" s="41"/>
      <c r="U994" s="41">
        <v>3.3466999530792201</v>
      </c>
      <c r="V994" s="41"/>
      <c r="W994" s="41"/>
      <c r="X994" s="41"/>
      <c r="Y994" s="41"/>
      <c r="Z994" s="41"/>
      <c r="AA994" s="41">
        <v>2.2783000469207799</v>
      </c>
      <c r="AB994" s="41"/>
      <c r="AC994" s="41"/>
      <c r="AD994" s="41"/>
      <c r="AE994" s="41">
        <v>2.5576000213622998</v>
      </c>
      <c r="AF994" s="41"/>
      <c r="AG994" s="41">
        <v>2.4779000282287602</v>
      </c>
      <c r="AH994" s="41"/>
      <c r="AI994" s="41">
        <v>2.33949995040894</v>
      </c>
      <c r="AJ994" s="41">
        <v>2.1305999756</v>
      </c>
      <c r="AK994" s="41">
        <v>2.0938999652999999</v>
      </c>
      <c r="AL994" s="41">
        <v>2.0606999397000001</v>
      </c>
      <c r="AM994" s="41">
        <v>2.0295000075999998</v>
      </c>
      <c r="AN994" s="41">
        <v>2.0215001105999999</v>
      </c>
      <c r="AO994" s="41">
        <v>2.0299999714000001</v>
      </c>
      <c r="AP994" s="41">
        <v>2.0099999904999999</v>
      </c>
      <c r="AQ994" s="41"/>
      <c r="AR994" s="41"/>
      <c r="AS994" s="41"/>
      <c r="AT994" s="41"/>
      <c r="AU994" s="41">
        <v>1.8</v>
      </c>
      <c r="AV994" s="41"/>
      <c r="AW994" s="41"/>
      <c r="AX994" s="41"/>
      <c r="AY994" s="41">
        <v>1.8</v>
      </c>
      <c r="AZ994" s="41">
        <v>1.9</v>
      </c>
      <c r="BA994" s="41">
        <v>1.76</v>
      </c>
      <c r="BB994" s="41"/>
      <c r="BC994" s="41">
        <v>1.8</v>
      </c>
      <c r="BD994" s="41">
        <v>1.8</v>
      </c>
      <c r="BE994" s="41">
        <v>1.79</v>
      </c>
      <c r="BF994" s="41">
        <v>1.9</v>
      </c>
      <c r="BG994" s="41"/>
      <c r="BH994" s="41"/>
      <c r="BI994" s="41">
        <v>1.9</v>
      </c>
      <c r="BJ994" s="41"/>
      <c r="BK994" s="41"/>
      <c r="BL994" s="41"/>
      <c r="BM994" s="41"/>
      <c r="BN994" s="54">
        <f t="shared" si="17"/>
        <v>1.9</v>
      </c>
    </row>
    <row r="995" spans="2:66" x14ac:dyDescent="0.35">
      <c r="B995" s="41" t="s">
        <v>481</v>
      </c>
      <c r="C995" s="41" t="s">
        <v>482</v>
      </c>
      <c r="D995" s="41" t="s">
        <v>628</v>
      </c>
      <c r="E995" s="41" t="s">
        <v>629</v>
      </c>
      <c r="F995" s="41">
        <v>8.9294437383365715</v>
      </c>
      <c r="G995" s="41"/>
      <c r="H995" s="41"/>
      <c r="I995" s="41"/>
      <c r="J995" s="41"/>
      <c r="K995" s="41">
        <v>8.8000001907348597</v>
      </c>
      <c r="L995" s="41"/>
      <c r="M995" s="41"/>
      <c r="N995" s="41"/>
      <c r="O995" s="41"/>
      <c r="P995" s="41">
        <v>7.8152225481291397</v>
      </c>
      <c r="Q995" s="41">
        <v>7.5</v>
      </c>
      <c r="R995" s="41">
        <v>7.400000095367429</v>
      </c>
      <c r="S995" s="41">
        <v>7.1999998092651403</v>
      </c>
      <c r="T995" s="41">
        <v>7.099999904632571</v>
      </c>
      <c r="U995" s="41">
        <v>6.8000001907348597</v>
      </c>
      <c r="V995" s="41">
        <v>6.6291319520311625</v>
      </c>
      <c r="W995" s="41">
        <v>6.4486256323674471</v>
      </c>
      <c r="X995" s="41">
        <v>6.268036196275137</v>
      </c>
      <c r="Y995" s="41">
        <v>6.1679663758523482</v>
      </c>
      <c r="Z995" s="41">
        <v>6.0779077076013008</v>
      </c>
      <c r="AA995" s="41">
        <v>5.9976064256276018</v>
      </c>
      <c r="AB995" s="41">
        <v>5.9880333038262501</v>
      </c>
      <c r="AC995" s="41">
        <v>5.8978802749154839</v>
      </c>
      <c r="AD995" s="41">
        <v>5.8077439353012679</v>
      </c>
      <c r="AE995" s="41">
        <v>5.6273656989701912</v>
      </c>
      <c r="AF995" s="41">
        <v>5.5274460487341255</v>
      </c>
      <c r="AG995" s="41">
        <v>5.3377755404461551</v>
      </c>
      <c r="AH995" s="41">
        <v>5.2382591293567371</v>
      </c>
      <c r="AI995" s="41">
        <v>5.129370179917629</v>
      </c>
      <c r="AJ995" s="41">
        <v>5.0098403270518945</v>
      </c>
      <c r="AK995" s="41">
        <v>4.899770945940884</v>
      </c>
      <c r="AL995" s="41">
        <v>4.6896294626476873</v>
      </c>
      <c r="AM995" s="41">
        <v>4.5894523688073807</v>
      </c>
      <c r="AN995" s="41">
        <v>4.3000001906999996</v>
      </c>
      <c r="AO995" s="41">
        <v>4.1892212827297515</v>
      </c>
      <c r="AP995" s="41">
        <v>3.9697892787830016</v>
      </c>
      <c r="AQ995" s="41">
        <v>3.8593052082745056</v>
      </c>
      <c r="AR995" s="41">
        <v>3.7492717056806804</v>
      </c>
      <c r="AS995" s="41">
        <v>3.6294736432806411</v>
      </c>
      <c r="AT995" s="41">
        <v>3.4901914935783491</v>
      </c>
      <c r="AU995" s="41">
        <v>3.5196341171789483</v>
      </c>
      <c r="AV995" s="41">
        <v>3.4294936897127939</v>
      </c>
      <c r="AW995" s="41">
        <v>3.3295047413867973</v>
      </c>
      <c r="AX995" s="41"/>
      <c r="AY995" s="41">
        <v>3.2196752003732292</v>
      </c>
      <c r="AZ995" s="41">
        <v>3.1295250646193682</v>
      </c>
      <c r="BA995" s="41">
        <v>3.1</v>
      </c>
      <c r="BB995" s="41">
        <v>3.1295669157214188</v>
      </c>
      <c r="BC995" s="41">
        <v>3.1098792165429265</v>
      </c>
      <c r="BD995" s="41">
        <v>2.9702867860095838</v>
      </c>
      <c r="BE995" s="41">
        <v>2.8801460489038808</v>
      </c>
      <c r="BF995" s="41">
        <v>2.8800829757865749</v>
      </c>
      <c r="BG995" s="41">
        <v>2.9</v>
      </c>
      <c r="BH995" s="41"/>
      <c r="BI995" s="41"/>
      <c r="BJ995" s="41"/>
      <c r="BK995" s="41"/>
      <c r="BL995" s="41"/>
      <c r="BM995" s="41"/>
      <c r="BN995" s="54">
        <f t="shared" si="17"/>
        <v>2.9</v>
      </c>
    </row>
    <row r="996" spans="2:66" x14ac:dyDescent="0.35">
      <c r="B996" s="41" t="s">
        <v>208</v>
      </c>
      <c r="C996" s="41" t="s">
        <v>102</v>
      </c>
      <c r="D996" s="41" t="s">
        <v>628</v>
      </c>
      <c r="E996" s="41" t="s">
        <v>629</v>
      </c>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v>3.3</v>
      </c>
      <c r="BA996" s="41"/>
      <c r="BB996" s="41"/>
      <c r="BC996" s="41">
        <v>2.7</v>
      </c>
      <c r="BD996" s="41"/>
      <c r="BE996" s="41"/>
      <c r="BF996" s="41"/>
      <c r="BG996" s="41"/>
      <c r="BH996" s="41"/>
      <c r="BI996" s="41"/>
      <c r="BJ996" s="41"/>
      <c r="BK996" s="41"/>
      <c r="BL996" s="41"/>
      <c r="BM996" s="41"/>
      <c r="BN996" s="54">
        <f t="shared" si="17"/>
        <v>2.7</v>
      </c>
    </row>
    <row r="997" spans="2:66" x14ac:dyDescent="0.35">
      <c r="B997" s="41" t="s">
        <v>478</v>
      </c>
      <c r="C997" s="41" t="s">
        <v>479</v>
      </c>
      <c r="D997" s="41" t="s">
        <v>628</v>
      </c>
      <c r="E997" s="41" t="s">
        <v>629</v>
      </c>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c r="BN997" s="54" t="str">
        <f t="shared" si="17"/>
        <v>No reported value</v>
      </c>
    </row>
    <row r="998" spans="2:66" x14ac:dyDescent="0.35">
      <c r="B998" s="41" t="s">
        <v>209</v>
      </c>
      <c r="C998" s="41" t="s">
        <v>103</v>
      </c>
      <c r="D998" s="41" t="s">
        <v>628</v>
      </c>
      <c r="E998" s="41" t="s">
        <v>629</v>
      </c>
      <c r="F998" s="41">
        <v>0.40949088335037198</v>
      </c>
      <c r="G998" s="41"/>
      <c r="H998" s="41"/>
      <c r="I998" s="41"/>
      <c r="J998" s="41"/>
      <c r="K998" s="41"/>
      <c r="L998" s="41"/>
      <c r="M998" s="41"/>
      <c r="N998" s="41"/>
      <c r="O998" s="41"/>
      <c r="P998" s="41">
        <v>0.49470001459121699</v>
      </c>
      <c r="Q998" s="41"/>
      <c r="R998" s="41"/>
      <c r="S998" s="41"/>
      <c r="T998" s="41"/>
      <c r="U998" s="41">
        <v>0.49529999494552601</v>
      </c>
      <c r="V998" s="41"/>
      <c r="W998" s="41"/>
      <c r="X998" s="41"/>
      <c r="Y998" s="41"/>
      <c r="Z998" s="41"/>
      <c r="AA998" s="41"/>
      <c r="AB998" s="41"/>
      <c r="AC998" s="41"/>
      <c r="AD998" s="41"/>
      <c r="AE998" s="41"/>
      <c r="AF998" s="41"/>
      <c r="AG998" s="41">
        <v>0.54390001296997104</v>
      </c>
      <c r="AH998" s="41"/>
      <c r="AI998" s="41"/>
      <c r="AJ998" s="41"/>
      <c r="AK998" s="41"/>
      <c r="AL998" s="41"/>
      <c r="AM998" s="41"/>
      <c r="AN998" s="41">
        <v>0.19460000099999999</v>
      </c>
      <c r="AO998" s="41">
        <v>0.11999999729999999</v>
      </c>
      <c r="AP998" s="41">
        <v>0.11999999729999999</v>
      </c>
      <c r="AQ998" s="41">
        <v>0.18000000720000001</v>
      </c>
      <c r="AR998" s="41">
        <v>0.11999999729999999</v>
      </c>
      <c r="AS998" s="41"/>
      <c r="AT998" s="41"/>
      <c r="AU998" s="41"/>
      <c r="AV998" s="41"/>
      <c r="AW998" s="41"/>
      <c r="AX998" s="41"/>
      <c r="AY998" s="41">
        <v>0.3</v>
      </c>
      <c r="AZ998" s="41"/>
      <c r="BA998" s="41"/>
      <c r="BB998" s="41"/>
      <c r="BC998" s="41"/>
      <c r="BD998" s="41"/>
      <c r="BE998" s="41"/>
      <c r="BF998" s="41"/>
      <c r="BG998" s="41"/>
      <c r="BH998" s="41"/>
      <c r="BI998" s="41">
        <v>0.3</v>
      </c>
      <c r="BJ998" s="41"/>
      <c r="BK998" s="41"/>
      <c r="BL998" s="41"/>
      <c r="BM998" s="41"/>
      <c r="BN998" s="54">
        <f t="shared" si="17"/>
        <v>0.3</v>
      </c>
    </row>
    <row r="999" spans="2:66" x14ac:dyDescent="0.35">
      <c r="B999" s="41" t="s">
        <v>177</v>
      </c>
      <c r="C999" s="41" t="s">
        <v>104</v>
      </c>
      <c r="D999" s="41" t="s">
        <v>628</v>
      </c>
      <c r="E999" s="41" t="s">
        <v>629</v>
      </c>
      <c r="F999" s="41">
        <v>0.418167114257813</v>
      </c>
      <c r="G999" s="41"/>
      <c r="H999" s="41"/>
      <c r="I999" s="41"/>
      <c r="J999" s="41"/>
      <c r="K999" s="41"/>
      <c r="L999" s="41"/>
      <c r="M999" s="41"/>
      <c r="N999" s="41"/>
      <c r="O999" s="41"/>
      <c r="P999" s="41">
        <v>0.55980002880096402</v>
      </c>
      <c r="Q999" s="41"/>
      <c r="R999" s="41"/>
      <c r="S999" s="41"/>
      <c r="T999" s="41"/>
      <c r="U999" s="41">
        <v>0.555800020694733</v>
      </c>
      <c r="V999" s="41"/>
      <c r="W999" s="41"/>
      <c r="X999" s="41"/>
      <c r="Y999" s="41"/>
      <c r="Z999" s="41">
        <v>0.866199970245361</v>
      </c>
      <c r="AA999" s="41"/>
      <c r="AB999" s="41"/>
      <c r="AC999" s="41"/>
      <c r="AD999" s="41"/>
      <c r="AE999" s="41"/>
      <c r="AF999" s="41"/>
      <c r="AG999" s="41"/>
      <c r="AH999" s="41">
        <v>6.37029981613159</v>
      </c>
      <c r="AI999" s="41"/>
      <c r="AJ999" s="41">
        <v>1.6682000159999999</v>
      </c>
      <c r="AK999" s="41"/>
      <c r="AL999" s="41"/>
      <c r="AM999" s="41"/>
      <c r="AN999" s="41"/>
      <c r="AO999" s="41"/>
      <c r="AP999" s="41"/>
      <c r="AQ999" s="41"/>
      <c r="AR999" s="41"/>
      <c r="AS999" s="41"/>
      <c r="AT999" s="41">
        <v>1.2</v>
      </c>
      <c r="AU999" s="41"/>
      <c r="AV999" s="41"/>
      <c r="AW999" s="41"/>
      <c r="AX999" s="41">
        <v>0.5</v>
      </c>
      <c r="AY999" s="41"/>
      <c r="AZ999" s="41"/>
      <c r="BA999" s="41"/>
      <c r="BB999" s="41"/>
      <c r="BC999" s="41"/>
      <c r="BD999" s="41"/>
      <c r="BE999" s="41"/>
      <c r="BF999" s="41"/>
      <c r="BG999" s="41"/>
      <c r="BH999" s="41"/>
      <c r="BI999" s="41"/>
      <c r="BJ999" s="41"/>
      <c r="BK999" s="41"/>
      <c r="BL999" s="41"/>
      <c r="BM999" s="41"/>
      <c r="BN999" s="54">
        <f t="shared" si="17"/>
        <v>0.5</v>
      </c>
    </row>
    <row r="1000" spans="2:66" x14ac:dyDescent="0.35">
      <c r="B1000" s="41" t="s">
        <v>227</v>
      </c>
      <c r="C1000" s="41" t="s">
        <v>105</v>
      </c>
      <c r="D1000" s="41" t="s">
        <v>628</v>
      </c>
      <c r="E1000" s="41" t="s">
        <v>629</v>
      </c>
      <c r="F1000" s="41">
        <v>2.15823602676392</v>
      </c>
      <c r="G1000" s="41"/>
      <c r="H1000" s="41"/>
      <c r="I1000" s="41"/>
      <c r="J1000" s="41"/>
      <c r="K1000" s="41"/>
      <c r="L1000" s="41"/>
      <c r="M1000" s="41"/>
      <c r="N1000" s="41"/>
      <c r="O1000" s="41"/>
      <c r="P1000" s="41">
        <v>2.2802999019622798</v>
      </c>
      <c r="Q1000" s="41"/>
      <c r="R1000" s="41"/>
      <c r="S1000" s="41"/>
      <c r="T1000" s="41"/>
      <c r="U1000" s="41">
        <v>2.4119000434875502</v>
      </c>
      <c r="V1000" s="41"/>
      <c r="W1000" s="41"/>
      <c r="X1000" s="41"/>
      <c r="Y1000" s="41"/>
      <c r="Z1000" s="41"/>
      <c r="AA1000" s="41"/>
      <c r="AB1000" s="41"/>
      <c r="AC1000" s="41"/>
      <c r="AD1000" s="41"/>
      <c r="AE1000" s="41">
        <v>2.4059998989105198</v>
      </c>
      <c r="AF1000" s="41"/>
      <c r="AG1000" s="41"/>
      <c r="AH1000" s="41"/>
      <c r="AI1000" s="41">
        <v>1.8269000053405799</v>
      </c>
      <c r="AJ1000" s="41">
        <v>1.8213000297999999</v>
      </c>
      <c r="AK1000" s="41"/>
      <c r="AL1000" s="41"/>
      <c r="AM1000" s="41">
        <v>1.7999999523000001</v>
      </c>
      <c r="AN1000" s="41"/>
      <c r="AO1000" s="41"/>
      <c r="AP1000" s="41">
        <v>1.4800000191</v>
      </c>
      <c r="AQ1000" s="41"/>
      <c r="AR1000" s="41"/>
      <c r="AS1000" s="41"/>
      <c r="AT1000" s="41"/>
      <c r="AU1000" s="41"/>
      <c r="AV1000" s="41"/>
      <c r="AW1000" s="41">
        <v>0.89999997620000005</v>
      </c>
      <c r="AX1000" s="41">
        <v>0.9</v>
      </c>
      <c r="AY1000" s="41">
        <v>0.9</v>
      </c>
      <c r="AZ1000" s="41">
        <v>1</v>
      </c>
      <c r="BA1000" s="41">
        <v>0.9</v>
      </c>
      <c r="BB1000" s="41">
        <v>0.9</v>
      </c>
      <c r="BC1000" s="41"/>
      <c r="BD1000" s="41">
        <v>0.8</v>
      </c>
      <c r="BE1000" s="41">
        <v>1.1000000000000001</v>
      </c>
      <c r="BF1000" s="41">
        <v>0.9</v>
      </c>
      <c r="BG1000" s="41">
        <v>0.9</v>
      </c>
      <c r="BH1000" s="41">
        <v>0.9</v>
      </c>
      <c r="BI1000" s="41"/>
      <c r="BJ1000" s="41"/>
      <c r="BK1000" s="41"/>
      <c r="BL1000" s="41"/>
      <c r="BM1000" s="41"/>
      <c r="BN1000" s="54">
        <f t="shared" si="17"/>
        <v>0.9</v>
      </c>
    </row>
    <row r="1001" spans="2:66" x14ac:dyDescent="0.35">
      <c r="B1001" s="41" t="s">
        <v>477</v>
      </c>
      <c r="C1001" s="41" t="s">
        <v>106</v>
      </c>
      <c r="D1001" s="41" t="s">
        <v>628</v>
      </c>
      <c r="E1001" s="41" t="s">
        <v>629</v>
      </c>
      <c r="F1001" s="41"/>
      <c r="G1001" s="41"/>
      <c r="H1001" s="41"/>
      <c r="I1001" s="41"/>
      <c r="J1001" s="41"/>
      <c r="K1001" s="41"/>
      <c r="L1001" s="41"/>
      <c r="M1001" s="41"/>
      <c r="N1001" s="41"/>
      <c r="O1001" s="41"/>
      <c r="P1001" s="41"/>
      <c r="Q1001" s="41"/>
      <c r="R1001" s="41"/>
      <c r="S1001" s="41"/>
      <c r="T1001" s="41"/>
      <c r="U1001" s="41"/>
      <c r="V1001" s="41"/>
      <c r="W1001" s="41"/>
      <c r="X1001" s="41"/>
      <c r="Y1001" s="41"/>
      <c r="Z1001" s="41"/>
      <c r="AA1001" s="41"/>
      <c r="AB1001" s="41"/>
      <c r="AC1001" s="41"/>
      <c r="AD1001" s="41"/>
      <c r="AE1001" s="41"/>
      <c r="AF1001" s="41"/>
      <c r="AG1001" s="41"/>
      <c r="AH1001" s="41"/>
      <c r="AI1001" s="41"/>
      <c r="AJ1001" s="41">
        <v>5.8000001906999996</v>
      </c>
      <c r="AK1001" s="41">
        <v>5.6999998093000004</v>
      </c>
      <c r="AL1001" s="41">
        <v>5.6999998093000004</v>
      </c>
      <c r="AM1001" s="41">
        <v>5.5999999045999997</v>
      </c>
      <c r="AN1001" s="41">
        <v>5.4000000954000003</v>
      </c>
      <c r="AO1001" s="41">
        <v>5.3000001906999996</v>
      </c>
      <c r="AP1001" s="41">
        <v>5.1999998093000004</v>
      </c>
      <c r="AQ1001" s="41">
        <v>5.1999998093000004</v>
      </c>
      <c r="AR1001" s="41">
        <v>5.0999999045999997</v>
      </c>
      <c r="AS1001" s="41">
        <v>5</v>
      </c>
      <c r="AT1001" s="41">
        <v>4.8</v>
      </c>
      <c r="AU1001" s="41">
        <v>4.7</v>
      </c>
      <c r="AV1001" s="41">
        <v>4.5999999999999996</v>
      </c>
      <c r="AW1001" s="41">
        <v>4.5</v>
      </c>
      <c r="AX1001" s="41">
        <v>4.5</v>
      </c>
      <c r="AY1001" s="41">
        <v>4.5</v>
      </c>
      <c r="AZ1001" s="41">
        <v>4.8</v>
      </c>
      <c r="BA1001" s="41">
        <v>4.7</v>
      </c>
      <c r="BB1001" s="41">
        <v>4.3</v>
      </c>
      <c r="BC1001" s="41">
        <v>4.7</v>
      </c>
      <c r="BD1001" s="41"/>
      <c r="BE1001" s="41"/>
      <c r="BF1001" s="41"/>
      <c r="BG1001" s="41"/>
      <c r="BH1001" s="41"/>
      <c r="BI1001" s="41"/>
      <c r="BJ1001" s="41"/>
      <c r="BK1001" s="41"/>
      <c r="BL1001" s="41"/>
      <c r="BM1001" s="41"/>
      <c r="BN1001" s="54">
        <f t="shared" si="17"/>
        <v>4.7</v>
      </c>
    </row>
    <row r="1002" spans="2:66" x14ac:dyDescent="0.35">
      <c r="B1002" s="41" t="s">
        <v>487</v>
      </c>
      <c r="C1002" s="41" t="s">
        <v>107</v>
      </c>
      <c r="D1002" s="41" t="s">
        <v>628</v>
      </c>
      <c r="E1002" s="41" t="s">
        <v>629</v>
      </c>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c r="AC1002" s="41"/>
      <c r="AD1002" s="41"/>
      <c r="AE1002" s="41"/>
      <c r="AF1002" s="41">
        <v>5.9000000953674299</v>
      </c>
      <c r="AG1002" s="41">
        <v>5.6999998092651403</v>
      </c>
      <c r="AH1002" s="41">
        <v>5.3000001907348597</v>
      </c>
      <c r="AI1002" s="41">
        <v>4.8000001907348597</v>
      </c>
      <c r="AJ1002" s="41">
        <v>4.5999999045999997</v>
      </c>
      <c r="AK1002" s="41">
        <v>4.4000000954000003</v>
      </c>
      <c r="AL1002" s="41">
        <v>4.3000001906999996</v>
      </c>
      <c r="AM1002" s="41">
        <v>4.1999998093000004</v>
      </c>
      <c r="AN1002" s="41">
        <v>4.0999999045999997</v>
      </c>
      <c r="AO1002" s="41">
        <v>4</v>
      </c>
      <c r="AP1002" s="41">
        <v>4</v>
      </c>
      <c r="AQ1002" s="41">
        <v>4</v>
      </c>
      <c r="AR1002" s="41">
        <v>4</v>
      </c>
      <c r="AS1002" s="41">
        <v>3.9000000953999998</v>
      </c>
      <c r="AT1002" s="41">
        <v>3.8</v>
      </c>
      <c r="AU1002" s="41">
        <v>3.8</v>
      </c>
      <c r="AV1002" s="41">
        <v>5</v>
      </c>
      <c r="AW1002" s="41">
        <v>5</v>
      </c>
      <c r="AX1002" s="41">
        <v>5.2</v>
      </c>
      <c r="AY1002" s="41">
        <v>5.2</v>
      </c>
      <c r="AZ1002" s="41">
        <v>5</v>
      </c>
      <c r="BA1002" s="41">
        <v>4.9000000000000004</v>
      </c>
      <c r="BB1002" s="41">
        <v>3.5</v>
      </c>
      <c r="BC1002" s="41">
        <v>3.3</v>
      </c>
      <c r="BD1002" s="41">
        <v>4.3</v>
      </c>
      <c r="BE1002" s="41">
        <v>4.2</v>
      </c>
      <c r="BF1002" s="41">
        <v>4</v>
      </c>
      <c r="BG1002" s="41">
        <v>3.9</v>
      </c>
      <c r="BH1002" s="41"/>
      <c r="BI1002" s="41"/>
      <c r="BJ1002" s="41"/>
      <c r="BK1002" s="41"/>
      <c r="BL1002" s="41"/>
      <c r="BM1002" s="41"/>
      <c r="BN1002" s="54">
        <f t="shared" si="17"/>
        <v>3.9</v>
      </c>
    </row>
    <row r="1003" spans="2:66" x14ac:dyDescent="0.35">
      <c r="B1003" s="41" t="s">
        <v>179</v>
      </c>
      <c r="C1003" s="41" t="s">
        <v>108</v>
      </c>
      <c r="D1003" s="41" t="s">
        <v>628</v>
      </c>
      <c r="E1003" s="41" t="s">
        <v>629</v>
      </c>
      <c r="F1003" s="41">
        <v>0.11576379835605601</v>
      </c>
      <c r="G1003" s="41"/>
      <c r="H1003" s="41"/>
      <c r="I1003" s="41"/>
      <c r="J1003" s="41"/>
      <c r="K1003" s="41"/>
      <c r="L1003" s="41"/>
      <c r="M1003" s="41"/>
      <c r="N1003" s="41"/>
      <c r="O1003" s="41"/>
      <c r="P1003" s="41">
        <v>0.13529999554157299</v>
      </c>
      <c r="Q1003" s="41"/>
      <c r="R1003" s="41"/>
      <c r="S1003" s="41"/>
      <c r="T1003" s="41"/>
      <c r="U1003" s="41">
        <v>0.13770000636577601</v>
      </c>
      <c r="V1003" s="41"/>
      <c r="W1003" s="41"/>
      <c r="X1003" s="41"/>
      <c r="Y1003" s="41"/>
      <c r="Z1003" s="41">
        <v>0.17560000717639901</v>
      </c>
      <c r="AA1003" s="41"/>
      <c r="AB1003" s="41"/>
      <c r="AC1003" s="41"/>
      <c r="AD1003" s="41"/>
      <c r="AE1003" s="41">
        <v>0.18019999563694</v>
      </c>
      <c r="AF1003" s="41"/>
      <c r="AG1003" s="41">
        <v>0.22699999809265101</v>
      </c>
      <c r="AH1003" s="41">
        <v>0.23980000615119901</v>
      </c>
      <c r="AI1003" s="41">
        <v>0.24429999291896801</v>
      </c>
      <c r="AJ1003" s="41">
        <v>0.24359999600000001</v>
      </c>
      <c r="AK1003" s="41">
        <v>0.2372000068</v>
      </c>
      <c r="AL1003" s="41">
        <v>0.2425999939</v>
      </c>
      <c r="AM1003" s="41">
        <v>0.2387000024</v>
      </c>
      <c r="AN1003" s="41">
        <v>0.23229999840000001</v>
      </c>
      <c r="AO1003" s="41">
        <v>0.17000000179999999</v>
      </c>
      <c r="AP1003" s="41">
        <v>0.15999999640000001</v>
      </c>
      <c r="AQ1003" s="41">
        <v>0.17000000179999999</v>
      </c>
      <c r="AR1003" s="41"/>
      <c r="AS1003" s="41">
        <v>0.20000000300000001</v>
      </c>
      <c r="AT1003" s="41"/>
      <c r="AU1003" s="41">
        <v>0.2</v>
      </c>
      <c r="AV1003" s="41">
        <v>0.15</v>
      </c>
      <c r="AW1003" s="41"/>
      <c r="AX1003" s="41"/>
      <c r="AY1003" s="41"/>
      <c r="AZ1003" s="41">
        <v>5</v>
      </c>
      <c r="BA1003" s="41"/>
      <c r="BB1003" s="41"/>
      <c r="BC1003" s="41"/>
      <c r="BD1003" s="41"/>
      <c r="BE1003" s="41"/>
      <c r="BF1003" s="41">
        <v>0.3</v>
      </c>
      <c r="BG1003" s="41"/>
      <c r="BH1003" s="41"/>
      <c r="BI1003" s="41"/>
      <c r="BJ1003" s="41"/>
      <c r="BK1003" s="41"/>
      <c r="BL1003" s="41"/>
      <c r="BM1003" s="41"/>
      <c r="BN1003" s="54">
        <f t="shared" si="17"/>
        <v>0.3</v>
      </c>
    </row>
    <row r="1004" spans="2:66" x14ac:dyDescent="0.35">
      <c r="B1004" s="41" t="s">
        <v>251</v>
      </c>
      <c r="C1004" s="41" t="s">
        <v>109</v>
      </c>
      <c r="D1004" s="41" t="s">
        <v>628</v>
      </c>
      <c r="E1004" s="41" t="s">
        <v>629</v>
      </c>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c r="AC1004" s="41"/>
      <c r="AD1004" s="41"/>
      <c r="AE1004" s="41"/>
      <c r="AF1004" s="41"/>
      <c r="AG1004" s="41"/>
      <c r="AH1004" s="41"/>
      <c r="AI1004" s="41"/>
      <c r="AJ1004" s="41"/>
      <c r="AK1004" s="41"/>
      <c r="AL1004" s="41"/>
      <c r="AM1004" s="41"/>
      <c r="AN1004" s="41"/>
      <c r="AO1004" s="41"/>
      <c r="AP1004" s="41"/>
      <c r="AQ1004" s="41"/>
      <c r="AR1004" s="41"/>
      <c r="AS1004" s="41"/>
      <c r="AT1004" s="41"/>
      <c r="AU1004" s="41"/>
      <c r="AV1004" s="41"/>
      <c r="AW1004" s="41"/>
      <c r="AX1004" s="41">
        <v>3.5</v>
      </c>
      <c r="AY1004" s="41"/>
      <c r="AZ1004" s="41"/>
      <c r="BA1004" s="41">
        <v>3.5</v>
      </c>
      <c r="BB1004" s="41"/>
      <c r="BC1004" s="41"/>
      <c r="BD1004" s="41">
        <v>5</v>
      </c>
      <c r="BE1004" s="41"/>
      <c r="BF1004" s="41"/>
      <c r="BG1004" s="41"/>
      <c r="BH1004" s="41"/>
      <c r="BI1004" s="41"/>
      <c r="BJ1004" s="41"/>
      <c r="BK1004" s="41"/>
      <c r="BL1004" s="41"/>
      <c r="BM1004" s="41"/>
      <c r="BN1004" s="54">
        <f t="shared" si="17"/>
        <v>5</v>
      </c>
    </row>
    <row r="1005" spans="2:66" x14ac:dyDescent="0.35">
      <c r="B1005" s="41" t="s">
        <v>480</v>
      </c>
      <c r="C1005" s="41" t="s">
        <v>110</v>
      </c>
      <c r="D1005" s="41" t="s">
        <v>628</v>
      </c>
      <c r="E1005" s="41" t="s">
        <v>629</v>
      </c>
      <c r="F1005" s="41">
        <v>11.699999809265099</v>
      </c>
      <c r="G1005" s="41"/>
      <c r="H1005" s="41"/>
      <c r="I1005" s="41"/>
      <c r="J1005" s="41"/>
      <c r="K1005" s="41"/>
      <c r="L1005" s="41"/>
      <c r="M1005" s="41"/>
      <c r="N1005" s="41"/>
      <c r="O1005" s="41"/>
      <c r="P1005" s="41">
        <v>10.800000190734901</v>
      </c>
      <c r="Q1005" s="41"/>
      <c r="R1005" s="41"/>
      <c r="S1005" s="41"/>
      <c r="T1005" s="41"/>
      <c r="U1005" s="41"/>
      <c r="V1005" s="41"/>
      <c r="W1005" s="41"/>
      <c r="X1005" s="41"/>
      <c r="Y1005" s="41"/>
      <c r="Z1005" s="41">
        <v>10.199999809265099</v>
      </c>
      <c r="AA1005" s="41"/>
      <c r="AB1005" s="41"/>
      <c r="AC1005" s="41"/>
      <c r="AD1005" s="41"/>
      <c r="AE1005" s="41">
        <v>9.5</v>
      </c>
      <c r="AF1005" s="41"/>
      <c r="AG1005" s="41"/>
      <c r="AH1005" s="41"/>
      <c r="AI1005" s="41"/>
      <c r="AJ1005" s="41">
        <v>8.5</v>
      </c>
      <c r="AK1005" s="41">
        <v>7.4000000954000003</v>
      </c>
      <c r="AL1005" s="41">
        <v>7.0999999045999997</v>
      </c>
      <c r="AM1005" s="41">
        <v>6.5</v>
      </c>
      <c r="AN1005" s="41">
        <v>6.6999998093000004</v>
      </c>
      <c r="AO1005" s="41">
        <v>6.1999998093000004</v>
      </c>
      <c r="AP1005" s="41">
        <v>6.0999999045999997</v>
      </c>
      <c r="AQ1005" s="41">
        <v>6.0999999045999997</v>
      </c>
      <c r="AR1005" s="41">
        <v>6.1999998093000004</v>
      </c>
      <c r="AS1005" s="41"/>
      <c r="AT1005" s="41"/>
      <c r="AU1005" s="41"/>
      <c r="AV1005" s="41">
        <v>6.2</v>
      </c>
      <c r="AW1005" s="41"/>
      <c r="AX1005" s="41"/>
      <c r="AY1005" s="41"/>
      <c r="AZ1005" s="41"/>
      <c r="BA1005" s="41"/>
      <c r="BB1005" s="41"/>
      <c r="BC1005" s="41"/>
      <c r="BD1005" s="41"/>
      <c r="BE1005" s="41">
        <v>2.2999999999999998</v>
      </c>
      <c r="BF1005" s="41"/>
      <c r="BG1005" s="41">
        <v>2.8</v>
      </c>
      <c r="BH1005" s="41"/>
      <c r="BI1005" s="41"/>
      <c r="BJ1005" s="41"/>
      <c r="BK1005" s="41"/>
      <c r="BL1005" s="41"/>
      <c r="BM1005" s="41"/>
      <c r="BN1005" s="54">
        <f t="shared" si="17"/>
        <v>2.8</v>
      </c>
    </row>
    <row r="1006" spans="2:66" x14ac:dyDescent="0.35">
      <c r="B1006" s="41" t="s">
        <v>490</v>
      </c>
      <c r="C1006" s="41" t="s">
        <v>491</v>
      </c>
      <c r="D1006" s="41" t="s">
        <v>628</v>
      </c>
      <c r="E1006" s="41" t="s">
        <v>629</v>
      </c>
      <c r="F1006" s="41">
        <v>8.7442131624740256</v>
      </c>
      <c r="G1006" s="41"/>
      <c r="H1006" s="41"/>
      <c r="I1006" s="41"/>
      <c r="J1006" s="41"/>
      <c r="K1006" s="41"/>
      <c r="L1006" s="41"/>
      <c r="M1006" s="41"/>
      <c r="N1006" s="41"/>
      <c r="O1006" s="41"/>
      <c r="P1006" s="41">
        <v>8.8947905623729824</v>
      </c>
      <c r="Q1006" s="41"/>
      <c r="R1006" s="41"/>
      <c r="S1006" s="41"/>
      <c r="T1006" s="41"/>
      <c r="U1006" s="41"/>
      <c r="V1006" s="41"/>
      <c r="W1006" s="41"/>
      <c r="X1006" s="41"/>
      <c r="Y1006" s="41"/>
      <c r="Z1006" s="41">
        <v>7.7350653770040552</v>
      </c>
      <c r="AA1006" s="41"/>
      <c r="AB1006" s="41"/>
      <c r="AC1006" s="41"/>
      <c r="AD1006" s="41"/>
      <c r="AE1006" s="41">
        <v>7.9872103073314511</v>
      </c>
      <c r="AF1006" s="41"/>
      <c r="AG1006" s="41"/>
      <c r="AH1006" s="41"/>
      <c r="AI1006" s="41"/>
      <c r="AJ1006" s="41">
        <v>5.7166644226402363</v>
      </c>
      <c r="AK1006" s="41">
        <v>5.7925378818996123</v>
      </c>
      <c r="AL1006" s="41">
        <v>5.5225421826615619</v>
      </c>
      <c r="AM1006" s="41">
        <v>6.556902384417417</v>
      </c>
      <c r="AN1006" s="41">
        <v>6.546552462756873</v>
      </c>
      <c r="AO1006" s="41">
        <v>6.3283313970569033</v>
      </c>
      <c r="AP1006" s="41">
        <v>6.1716312547385392</v>
      </c>
      <c r="AQ1006" s="41">
        <v>6.0888086891801585</v>
      </c>
      <c r="AR1006" s="41">
        <v>5.973935927441711</v>
      </c>
      <c r="AS1006" s="41">
        <v>5.8496523886823582</v>
      </c>
      <c r="AT1006" s="41">
        <v>5.7310369191667574</v>
      </c>
      <c r="AU1006" s="41">
        <v>5.5090008768331984</v>
      </c>
      <c r="AV1006" s="41">
        <v>5.5395758908533184</v>
      </c>
      <c r="AW1006" s="41">
        <v>5.5501006398735342</v>
      </c>
      <c r="AX1006" s="41">
        <v>6.2370053337927533</v>
      </c>
      <c r="AY1006" s="41">
        <v>5.6867671613433384</v>
      </c>
      <c r="AZ1006" s="41">
        <v>5.344122267617907</v>
      </c>
      <c r="BA1006" s="41">
        <v>4.1456206018053452</v>
      </c>
      <c r="BB1006" s="41">
        <v>5.442055932780776</v>
      </c>
      <c r="BC1006" s="41">
        <v>5.241282276193469</v>
      </c>
      <c r="BD1006" s="41">
        <v>3.8763858107879394</v>
      </c>
      <c r="BE1006" s="41">
        <v>3.7754126042748632</v>
      </c>
      <c r="BF1006" s="41">
        <v>5.0528859579901777</v>
      </c>
      <c r="BG1006" s="41">
        <v>3.8142804246295943</v>
      </c>
      <c r="BH1006" s="41"/>
      <c r="BI1006" s="41"/>
      <c r="BJ1006" s="41"/>
      <c r="BK1006" s="41"/>
      <c r="BL1006" s="41"/>
      <c r="BM1006" s="41"/>
      <c r="BN1006" s="54">
        <f t="shared" si="17"/>
        <v>3.8142804246295943</v>
      </c>
    </row>
    <row r="1007" spans="2:66" x14ac:dyDescent="0.35">
      <c r="B1007" s="41" t="s">
        <v>492</v>
      </c>
      <c r="C1007" s="41" t="s">
        <v>111</v>
      </c>
      <c r="D1007" s="41" t="s">
        <v>628</v>
      </c>
      <c r="E1007" s="41" t="s">
        <v>629</v>
      </c>
      <c r="F1007" s="41">
        <v>0.33512544631958002</v>
      </c>
      <c r="G1007" s="41"/>
      <c r="H1007" s="41"/>
      <c r="I1007" s="41"/>
      <c r="J1007" s="41"/>
      <c r="K1007" s="41"/>
      <c r="L1007" s="41"/>
      <c r="M1007" s="41"/>
      <c r="N1007" s="41"/>
      <c r="O1007" s="41"/>
      <c r="P1007" s="41"/>
      <c r="Q1007" s="41"/>
      <c r="R1007" s="41"/>
      <c r="S1007" s="41"/>
      <c r="T1007" s="41"/>
      <c r="U1007" s="41"/>
      <c r="V1007" s="41"/>
      <c r="W1007" s="41"/>
      <c r="X1007" s="41"/>
      <c r="Y1007" s="41"/>
      <c r="Z1007" s="41">
        <v>1.62030005455017</v>
      </c>
      <c r="AA1007" s="41">
        <v>1.60759997367859</v>
      </c>
      <c r="AB1007" s="41"/>
      <c r="AC1007" s="41"/>
      <c r="AD1007" s="41"/>
      <c r="AE1007" s="41"/>
      <c r="AF1007" s="41"/>
      <c r="AG1007" s="41"/>
      <c r="AH1007" s="41"/>
      <c r="AI1007" s="41">
        <v>2.5072000026702899</v>
      </c>
      <c r="AJ1007" s="41">
        <v>2.1087999343999999</v>
      </c>
      <c r="AK1007" s="41"/>
      <c r="AL1007" s="41"/>
      <c r="AM1007" s="41"/>
      <c r="AN1007" s="41"/>
      <c r="AO1007" s="41"/>
      <c r="AP1007" s="41"/>
      <c r="AQ1007" s="41"/>
      <c r="AR1007" s="41">
        <v>2.2000000477000001</v>
      </c>
      <c r="AS1007" s="41"/>
      <c r="AT1007" s="41">
        <v>2.2000000000000002</v>
      </c>
      <c r="AU1007" s="41">
        <v>2.1</v>
      </c>
      <c r="AV1007" s="41">
        <v>2</v>
      </c>
      <c r="AW1007" s="41">
        <v>2</v>
      </c>
      <c r="AX1007" s="41">
        <v>2.2000000000000002</v>
      </c>
      <c r="AY1007" s="41">
        <v>2.1</v>
      </c>
      <c r="AZ1007" s="41">
        <v>2.1</v>
      </c>
      <c r="BA1007" s="41">
        <v>2</v>
      </c>
      <c r="BB1007" s="41">
        <v>2</v>
      </c>
      <c r="BC1007" s="41">
        <v>1.8</v>
      </c>
      <c r="BD1007" s="41">
        <v>1.8</v>
      </c>
      <c r="BE1007" s="41">
        <v>1.8</v>
      </c>
      <c r="BF1007" s="41">
        <v>1.7</v>
      </c>
      <c r="BG1007" s="41">
        <v>1.7</v>
      </c>
      <c r="BH1007" s="41">
        <v>1.6</v>
      </c>
      <c r="BI1007" s="41"/>
      <c r="BJ1007" s="41"/>
      <c r="BK1007" s="41"/>
      <c r="BL1007" s="41"/>
      <c r="BM1007" s="41"/>
      <c r="BN1007" s="54">
        <f t="shared" si="17"/>
        <v>1.6</v>
      </c>
    </row>
    <row r="1008" spans="2:66" x14ac:dyDescent="0.35">
      <c r="B1008" s="41" t="s">
        <v>493</v>
      </c>
      <c r="C1008" s="41" t="s">
        <v>494</v>
      </c>
      <c r="D1008" s="41" t="s">
        <v>628</v>
      </c>
      <c r="E1008" s="41" t="s">
        <v>629</v>
      </c>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c r="AY1008" s="41"/>
      <c r="AZ1008" s="41"/>
      <c r="BA1008" s="41"/>
      <c r="BB1008" s="41"/>
      <c r="BC1008" s="41"/>
      <c r="BD1008" s="41"/>
      <c r="BE1008" s="41"/>
      <c r="BF1008" s="41"/>
      <c r="BG1008" s="41"/>
      <c r="BH1008" s="41"/>
      <c r="BI1008" s="41"/>
      <c r="BJ1008" s="41"/>
      <c r="BK1008" s="41"/>
      <c r="BL1008" s="41"/>
      <c r="BM1008" s="41"/>
      <c r="BN1008" s="54" t="str">
        <f t="shared" si="17"/>
        <v>No reported value</v>
      </c>
    </row>
    <row r="1009" spans="2:66" x14ac:dyDescent="0.35">
      <c r="B1009" s="41" t="s">
        <v>176</v>
      </c>
      <c r="C1009" s="41" t="s">
        <v>112</v>
      </c>
      <c r="D1009" s="41" t="s">
        <v>628</v>
      </c>
      <c r="E1009" s="41" t="s">
        <v>629</v>
      </c>
      <c r="F1009" s="41">
        <v>0.55726158618927002</v>
      </c>
      <c r="G1009" s="41"/>
      <c r="H1009" s="41"/>
      <c r="I1009" s="41"/>
      <c r="J1009" s="41"/>
      <c r="K1009" s="41"/>
      <c r="L1009" s="41"/>
      <c r="M1009" s="41"/>
      <c r="N1009" s="41"/>
      <c r="O1009" s="41"/>
      <c r="P1009" s="41">
        <v>0.52079999446868896</v>
      </c>
      <c r="Q1009" s="41"/>
      <c r="R1009" s="41"/>
      <c r="S1009" s="41"/>
      <c r="T1009" s="41"/>
      <c r="U1009" s="41">
        <v>0.52630001306533802</v>
      </c>
      <c r="V1009" s="41"/>
      <c r="W1009" s="41"/>
      <c r="X1009" s="41"/>
      <c r="Y1009" s="41"/>
      <c r="Z1009" s="41">
        <v>0.57309997081756603</v>
      </c>
      <c r="AA1009" s="41">
        <v>0.5692999958992</v>
      </c>
      <c r="AB1009" s="41"/>
      <c r="AC1009" s="41"/>
      <c r="AD1009" s="41"/>
      <c r="AE1009" s="41"/>
      <c r="AF1009" s="41">
        <v>0.59950000047683705</v>
      </c>
      <c r="AG1009" s="41"/>
      <c r="AH1009" s="41"/>
      <c r="AI1009" s="41">
        <v>0.60430002212524403</v>
      </c>
      <c r="AJ1009" s="41">
        <v>0.63999998570000005</v>
      </c>
      <c r="AK1009" s="41">
        <v>0.65219998359999998</v>
      </c>
      <c r="AL1009" s="41">
        <v>0.64469999069999995</v>
      </c>
      <c r="AM1009" s="41">
        <v>0.65149998659999997</v>
      </c>
      <c r="AN1009" s="41"/>
      <c r="AO1009" s="41"/>
      <c r="AP1009" s="41"/>
      <c r="AQ1009" s="41"/>
      <c r="AR1009" s="41"/>
      <c r="AS1009" s="41"/>
      <c r="AT1009" s="41">
        <v>0.7</v>
      </c>
      <c r="AU1009" s="41">
        <v>0.7</v>
      </c>
      <c r="AV1009" s="41">
        <v>0.7</v>
      </c>
      <c r="AW1009" s="41">
        <v>0.7</v>
      </c>
      <c r="AX1009" s="41">
        <v>0.7</v>
      </c>
      <c r="AY1009" s="41">
        <v>0.7</v>
      </c>
      <c r="AZ1009" s="41">
        <v>1.3</v>
      </c>
      <c r="BA1009" s="41">
        <v>1</v>
      </c>
      <c r="BB1009" s="41">
        <v>0.6</v>
      </c>
      <c r="BC1009" s="41">
        <v>0.6</v>
      </c>
      <c r="BD1009" s="41">
        <v>0.6</v>
      </c>
      <c r="BE1009" s="41">
        <v>0.6</v>
      </c>
      <c r="BF1009" s="41">
        <v>0.6</v>
      </c>
      <c r="BG1009" s="41">
        <v>0.6</v>
      </c>
      <c r="BH1009" s="41">
        <v>0.6</v>
      </c>
      <c r="BI1009" s="41"/>
      <c r="BJ1009" s="41"/>
      <c r="BK1009" s="41"/>
      <c r="BL1009" s="41"/>
      <c r="BM1009" s="41"/>
      <c r="BN1009" s="54">
        <f t="shared" si="17"/>
        <v>0.6</v>
      </c>
    </row>
    <row r="1010" spans="2:66" x14ac:dyDescent="0.35">
      <c r="B1010" s="41" t="s">
        <v>499</v>
      </c>
      <c r="C1010" s="41" t="s">
        <v>113</v>
      </c>
      <c r="D1010" s="41" t="s">
        <v>628</v>
      </c>
      <c r="E1010" s="41" t="s">
        <v>629</v>
      </c>
      <c r="F1010" s="41">
        <v>3.7753107547760001</v>
      </c>
      <c r="G1010" s="41"/>
      <c r="H1010" s="41"/>
      <c r="I1010" s="41"/>
      <c r="J1010" s="41"/>
      <c r="K1010" s="41"/>
      <c r="L1010" s="41"/>
      <c r="M1010" s="41"/>
      <c r="N1010" s="41"/>
      <c r="O1010" s="41"/>
      <c r="P1010" s="41">
        <v>2.97410011291504</v>
      </c>
      <c r="Q1010" s="41"/>
      <c r="R1010" s="41"/>
      <c r="S1010" s="41"/>
      <c r="T1010" s="41"/>
      <c r="U1010" s="41">
        <v>3.3817000389099099</v>
      </c>
      <c r="V1010" s="41"/>
      <c r="W1010" s="41"/>
      <c r="X1010" s="41"/>
      <c r="Y1010" s="41"/>
      <c r="Z1010" s="41"/>
      <c r="AA1010" s="41"/>
      <c r="AB1010" s="41"/>
      <c r="AC1010" s="41"/>
      <c r="AD1010" s="41"/>
      <c r="AE1010" s="41">
        <v>3.35330009460449</v>
      </c>
      <c r="AF1010" s="41"/>
      <c r="AG1010" s="41"/>
      <c r="AH1010" s="41"/>
      <c r="AI1010" s="41"/>
      <c r="AJ1010" s="41">
        <v>2.5</v>
      </c>
      <c r="AK1010" s="41"/>
      <c r="AL1010" s="41"/>
      <c r="AM1010" s="41">
        <v>2.7000000477000001</v>
      </c>
      <c r="AN1010" s="41"/>
      <c r="AO1010" s="41"/>
      <c r="AP1010" s="41">
        <v>2.2100000381</v>
      </c>
      <c r="AQ1010" s="41"/>
      <c r="AR1010" s="41"/>
      <c r="AS1010" s="41"/>
      <c r="AT1010" s="41"/>
      <c r="AU1010" s="41"/>
      <c r="AV1010" s="41">
        <v>2.5</v>
      </c>
      <c r="AW1010" s="41"/>
      <c r="AX1010" s="41">
        <v>2.4</v>
      </c>
      <c r="AY1010" s="41">
        <v>2.2000000000000002</v>
      </c>
      <c r="AZ1010" s="41">
        <v>2.2999999999999998</v>
      </c>
      <c r="BA1010" s="41">
        <v>2.2999999999999998</v>
      </c>
      <c r="BB1010" s="41">
        <v>2.2999999999999998</v>
      </c>
      <c r="BC1010" s="41">
        <v>2.2999999999999998</v>
      </c>
      <c r="BD1010" s="41">
        <v>2.4</v>
      </c>
      <c r="BE1010" s="41">
        <v>2.2000000000000002</v>
      </c>
      <c r="BF1010" s="41">
        <v>2.2999999999999998</v>
      </c>
      <c r="BG1010" s="41">
        <v>2.2999999999999998</v>
      </c>
      <c r="BH1010" s="41"/>
      <c r="BI1010" s="41"/>
      <c r="BJ1010" s="41"/>
      <c r="BK1010" s="41"/>
      <c r="BL1010" s="41"/>
      <c r="BM1010" s="41"/>
      <c r="BN1010" s="54">
        <f t="shared" si="17"/>
        <v>2.2999999999999998</v>
      </c>
    </row>
    <row r="1011" spans="2:66" x14ac:dyDescent="0.35">
      <c r="B1011" s="41" t="s">
        <v>500</v>
      </c>
      <c r="C1011" s="41" t="s">
        <v>114</v>
      </c>
      <c r="D1011" s="41" t="s">
        <v>628</v>
      </c>
      <c r="E1011" s="41" t="s">
        <v>629</v>
      </c>
      <c r="F1011" s="41">
        <v>2.41143894195557</v>
      </c>
      <c r="G1011" s="41"/>
      <c r="H1011" s="41"/>
      <c r="I1011" s="41"/>
      <c r="J1011" s="41"/>
      <c r="K1011" s="41"/>
      <c r="L1011" s="41"/>
      <c r="M1011" s="41"/>
      <c r="N1011" s="41"/>
      <c r="O1011" s="41"/>
      <c r="P1011" s="41">
        <v>2.1728000640869101</v>
      </c>
      <c r="Q1011" s="41"/>
      <c r="R1011" s="41"/>
      <c r="S1011" s="41"/>
      <c r="T1011" s="41"/>
      <c r="U1011" s="41">
        <v>2.5</v>
      </c>
      <c r="V1011" s="41"/>
      <c r="W1011" s="41"/>
      <c r="X1011" s="41"/>
      <c r="Y1011" s="41"/>
      <c r="Z1011" s="41"/>
      <c r="AA1011" s="41"/>
      <c r="AB1011" s="41"/>
      <c r="AC1011" s="41"/>
      <c r="AD1011" s="41"/>
      <c r="AE1011" s="41">
        <v>1.6844999790191699</v>
      </c>
      <c r="AF1011" s="41"/>
      <c r="AG1011" s="41"/>
      <c r="AH1011" s="41"/>
      <c r="AI1011" s="41"/>
      <c r="AJ1011" s="41">
        <v>1.4132000208</v>
      </c>
      <c r="AK1011" s="41"/>
      <c r="AL1011" s="41">
        <v>1.5</v>
      </c>
      <c r="AM1011" s="41">
        <v>1.2999999523000001</v>
      </c>
      <c r="AN1011" s="41">
        <v>1.3571000098999999</v>
      </c>
      <c r="AO1011" s="41"/>
      <c r="AP1011" s="41">
        <v>1.4700000285999999</v>
      </c>
      <c r="AQ1011" s="41"/>
      <c r="AR1011" s="41"/>
      <c r="AS1011" s="41"/>
      <c r="AT1011" s="41"/>
      <c r="AU1011" s="41"/>
      <c r="AV1011" s="41"/>
      <c r="AW1011" s="41">
        <v>1.3999999761999999</v>
      </c>
      <c r="AX1011" s="41">
        <v>0.9</v>
      </c>
      <c r="AY1011" s="41"/>
      <c r="AZ1011" s="41"/>
      <c r="BA1011" s="41">
        <v>1.2</v>
      </c>
      <c r="BB1011" s="41">
        <v>1.5</v>
      </c>
      <c r="BC1011" s="41">
        <v>1.6</v>
      </c>
      <c r="BD1011" s="41">
        <v>1.5</v>
      </c>
      <c r="BE1011" s="41">
        <v>1.5</v>
      </c>
      <c r="BF1011" s="41">
        <v>1.5</v>
      </c>
      <c r="BG1011" s="41">
        <v>1.5</v>
      </c>
      <c r="BH1011" s="41">
        <v>1.6</v>
      </c>
      <c r="BI1011" s="41"/>
      <c r="BJ1011" s="41"/>
      <c r="BK1011" s="41"/>
      <c r="BL1011" s="41"/>
      <c r="BM1011" s="41"/>
      <c r="BN1011" s="54">
        <f t="shared" si="17"/>
        <v>1.6</v>
      </c>
    </row>
    <row r="1012" spans="2:66" x14ac:dyDescent="0.35">
      <c r="B1012" s="41" t="s">
        <v>253</v>
      </c>
      <c r="C1012" s="41" t="s">
        <v>115</v>
      </c>
      <c r="D1012" s="41" t="s">
        <v>628</v>
      </c>
      <c r="E1012" s="41" t="s">
        <v>629</v>
      </c>
      <c r="F1012" s="41">
        <v>0.83895766735076904</v>
      </c>
      <c r="G1012" s="41"/>
      <c r="H1012" s="41"/>
      <c r="I1012" s="41"/>
      <c r="J1012" s="41"/>
      <c r="K1012" s="41"/>
      <c r="L1012" s="41"/>
      <c r="M1012" s="41"/>
      <c r="N1012" s="41"/>
      <c r="O1012" s="41"/>
      <c r="P1012" s="41">
        <v>1.1898000240325901</v>
      </c>
      <c r="Q1012" s="41"/>
      <c r="R1012" s="41"/>
      <c r="S1012" s="41"/>
      <c r="T1012" s="41"/>
      <c r="U1012" s="41">
        <v>1.70949995517731</v>
      </c>
      <c r="V1012" s="41">
        <v>1.70940005779266</v>
      </c>
      <c r="W1012" s="41"/>
      <c r="X1012" s="41"/>
      <c r="Y1012" s="41"/>
      <c r="Z1012" s="41">
        <v>1.708899974823</v>
      </c>
      <c r="AA1012" s="41"/>
      <c r="AB1012" s="41">
        <v>1.71350002288818</v>
      </c>
      <c r="AC1012" s="41">
        <v>1.7146999835968</v>
      </c>
      <c r="AD1012" s="41">
        <v>1.71529996395111</v>
      </c>
      <c r="AE1012" s="41">
        <v>1.7556999921798699</v>
      </c>
      <c r="AF1012" s="41">
        <v>1.71420001983643</v>
      </c>
      <c r="AG1012" s="41"/>
      <c r="AH1012" s="41"/>
      <c r="AI1012" s="41"/>
      <c r="AJ1012" s="41">
        <v>1.3918999433999999</v>
      </c>
      <c r="AK1012" s="41">
        <v>1.2745000124000001</v>
      </c>
      <c r="AL1012" s="41">
        <v>1.3701000214000001</v>
      </c>
      <c r="AM1012" s="41">
        <v>1.0710999966000001</v>
      </c>
      <c r="AN1012" s="41"/>
      <c r="AO1012" s="41"/>
      <c r="AP1012" s="41"/>
      <c r="AQ1012" s="41"/>
      <c r="AR1012" s="41"/>
      <c r="AS1012" s="41"/>
      <c r="AT1012" s="41"/>
      <c r="AU1012" s="41">
        <v>1</v>
      </c>
      <c r="AV1012" s="41">
        <v>0.5</v>
      </c>
      <c r="AW1012" s="41"/>
      <c r="AX1012" s="41"/>
      <c r="AY1012" s="41"/>
      <c r="AZ1012" s="41">
        <v>0.5</v>
      </c>
      <c r="BA1012" s="41">
        <v>0.5</v>
      </c>
      <c r="BB1012" s="41">
        <v>0.5</v>
      </c>
      <c r="BC1012" s="41">
        <v>0.5</v>
      </c>
      <c r="BD1012" s="41">
        <v>0.5</v>
      </c>
      <c r="BE1012" s="41">
        <v>1</v>
      </c>
      <c r="BF1012" s="41"/>
      <c r="BG1012" s="41"/>
      <c r="BH1012" s="41"/>
      <c r="BI1012" s="41"/>
      <c r="BJ1012" s="41"/>
      <c r="BK1012" s="41"/>
      <c r="BL1012" s="41"/>
      <c r="BM1012" s="41"/>
      <c r="BN1012" s="54">
        <f t="shared" si="17"/>
        <v>1</v>
      </c>
    </row>
    <row r="1013" spans="2:66" x14ac:dyDescent="0.35">
      <c r="B1013" s="41" t="s">
        <v>497</v>
      </c>
      <c r="C1013" s="41" t="s">
        <v>498</v>
      </c>
      <c r="D1013" s="41" t="s">
        <v>628</v>
      </c>
      <c r="E1013" s="41" t="s">
        <v>629</v>
      </c>
      <c r="F1013" s="41"/>
      <c r="G1013" s="41"/>
      <c r="H1013" s="41"/>
      <c r="I1013" s="41"/>
      <c r="J1013" s="41"/>
      <c r="K1013" s="41"/>
      <c r="L1013" s="41"/>
      <c r="M1013" s="41"/>
      <c r="N1013" s="41"/>
      <c r="O1013" s="41"/>
      <c r="P1013" s="41"/>
      <c r="Q1013" s="41"/>
      <c r="R1013" s="41"/>
      <c r="S1013" s="41"/>
      <c r="T1013" s="41"/>
      <c r="U1013" s="41"/>
      <c r="V1013" s="41"/>
      <c r="W1013" s="41"/>
      <c r="X1013" s="41"/>
      <c r="Y1013" s="41"/>
      <c r="Z1013" s="41"/>
      <c r="AA1013" s="41"/>
      <c r="AB1013" s="41"/>
      <c r="AC1013" s="41"/>
      <c r="AD1013" s="41"/>
      <c r="AE1013" s="41"/>
      <c r="AF1013" s="41"/>
      <c r="AG1013" s="41"/>
      <c r="AH1013" s="41"/>
      <c r="AI1013" s="41"/>
      <c r="AJ1013" s="41"/>
      <c r="AK1013" s="41"/>
      <c r="AL1013" s="41"/>
      <c r="AM1013" s="41"/>
      <c r="AN1013" s="41"/>
      <c r="AO1013" s="41"/>
      <c r="AP1013" s="41"/>
      <c r="AQ1013" s="41"/>
      <c r="AR1013" s="41">
        <v>4.4000000000000004</v>
      </c>
      <c r="AS1013" s="41"/>
      <c r="AT1013" s="41"/>
      <c r="AU1013" s="41"/>
      <c r="AV1013" s="41"/>
      <c r="AW1013" s="41"/>
      <c r="AX1013" s="41"/>
      <c r="AY1013" s="41"/>
      <c r="AZ1013" s="41">
        <v>5.9</v>
      </c>
      <c r="BA1013" s="41">
        <v>5</v>
      </c>
      <c r="BB1013" s="41"/>
      <c r="BC1013" s="41">
        <v>4.9000000000000004</v>
      </c>
      <c r="BD1013" s="41">
        <v>4.8</v>
      </c>
      <c r="BE1013" s="41"/>
      <c r="BF1013" s="41"/>
      <c r="BG1013" s="41"/>
      <c r="BH1013" s="41"/>
      <c r="BI1013" s="41"/>
      <c r="BJ1013" s="41"/>
      <c r="BK1013" s="41"/>
      <c r="BL1013" s="41"/>
      <c r="BM1013" s="41"/>
      <c r="BN1013" s="54">
        <f t="shared" si="17"/>
        <v>4.8</v>
      </c>
    </row>
    <row r="1014" spans="2:66" x14ac:dyDescent="0.35">
      <c r="B1014" s="41" t="s">
        <v>252</v>
      </c>
      <c r="C1014" s="41" t="s">
        <v>116</v>
      </c>
      <c r="D1014" s="41" t="s">
        <v>628</v>
      </c>
      <c r="E1014" s="41" t="s">
        <v>629</v>
      </c>
      <c r="F1014" s="41"/>
      <c r="G1014" s="41"/>
      <c r="H1014" s="41"/>
      <c r="I1014" s="41"/>
      <c r="J1014" s="41"/>
      <c r="K1014" s="41"/>
      <c r="L1014" s="41"/>
      <c r="M1014" s="41"/>
      <c r="N1014" s="41"/>
      <c r="O1014" s="41"/>
      <c r="P1014" s="41">
        <v>6.6023998260498002</v>
      </c>
      <c r="Q1014" s="41"/>
      <c r="R1014" s="41"/>
      <c r="S1014" s="41"/>
      <c r="T1014" s="41"/>
      <c r="U1014" s="41">
        <v>4.9432001113891602</v>
      </c>
      <c r="V1014" s="41"/>
      <c r="W1014" s="41"/>
      <c r="X1014" s="41"/>
      <c r="Y1014" s="41"/>
      <c r="Z1014" s="41">
        <v>5.5444002151489302</v>
      </c>
      <c r="AA1014" s="41"/>
      <c r="AB1014" s="41"/>
      <c r="AC1014" s="41"/>
      <c r="AD1014" s="41">
        <v>4.9983000755310103</v>
      </c>
      <c r="AE1014" s="41">
        <v>4.7354001998901403</v>
      </c>
      <c r="AF1014" s="41"/>
      <c r="AG1014" s="41"/>
      <c r="AH1014" s="41"/>
      <c r="AI1014" s="41">
        <v>3.3299000263214098</v>
      </c>
      <c r="AJ1014" s="41">
        <v>4.0241999626</v>
      </c>
      <c r="AK1014" s="41"/>
      <c r="AL1014" s="41"/>
      <c r="AM1014" s="41"/>
      <c r="AN1014" s="41"/>
      <c r="AO1014" s="41"/>
      <c r="AP1014" s="41"/>
      <c r="AQ1014" s="41"/>
      <c r="AR1014" s="41"/>
      <c r="AS1014" s="41"/>
      <c r="AT1014" s="41"/>
      <c r="AU1014" s="41"/>
      <c r="AV1014" s="41"/>
      <c r="AW1014" s="41"/>
      <c r="AX1014" s="41"/>
      <c r="AY1014" s="41"/>
      <c r="AZ1014" s="41"/>
      <c r="BA1014" s="41"/>
      <c r="BB1014" s="41"/>
      <c r="BC1014" s="41"/>
      <c r="BD1014" s="41"/>
      <c r="BE1014" s="41"/>
      <c r="BF1014" s="41"/>
      <c r="BG1014" s="41"/>
      <c r="BH1014" s="41"/>
      <c r="BI1014" s="41"/>
      <c r="BJ1014" s="41"/>
      <c r="BK1014" s="41"/>
      <c r="BL1014" s="41"/>
      <c r="BM1014" s="41"/>
      <c r="BN1014" s="54">
        <f t="shared" si="17"/>
        <v>4.0241999626</v>
      </c>
    </row>
    <row r="1015" spans="2:66" x14ac:dyDescent="0.35">
      <c r="B1015" s="41" t="s">
        <v>501</v>
      </c>
      <c r="C1015" s="41" t="s">
        <v>117</v>
      </c>
      <c r="D1015" s="41" t="s">
        <v>628</v>
      </c>
      <c r="E1015" s="41" t="s">
        <v>629</v>
      </c>
      <c r="F1015" s="41">
        <v>4.5999999046325701</v>
      </c>
      <c r="G1015" s="41"/>
      <c r="H1015" s="41"/>
      <c r="I1015" s="41"/>
      <c r="J1015" s="41"/>
      <c r="K1015" s="41"/>
      <c r="L1015" s="41"/>
      <c r="M1015" s="41"/>
      <c r="N1015" s="41"/>
      <c r="O1015" s="41"/>
      <c r="P1015" s="41">
        <v>5.1999998092651403</v>
      </c>
      <c r="Q1015" s="41"/>
      <c r="R1015" s="41"/>
      <c r="S1015" s="41"/>
      <c r="T1015" s="41"/>
      <c r="U1015" s="41"/>
      <c r="V1015" s="41"/>
      <c r="W1015" s="41"/>
      <c r="X1015" s="41"/>
      <c r="Y1015" s="41"/>
      <c r="Z1015" s="41">
        <v>5.5999999046325701</v>
      </c>
      <c r="AA1015" s="41"/>
      <c r="AB1015" s="41"/>
      <c r="AC1015" s="41"/>
      <c r="AD1015" s="41"/>
      <c r="AE1015" s="41">
        <v>5.6999998092651403</v>
      </c>
      <c r="AF1015" s="41"/>
      <c r="AG1015" s="41"/>
      <c r="AH1015" s="41"/>
      <c r="AI1015" s="41"/>
      <c r="AJ1015" s="41">
        <v>5.6999998093000004</v>
      </c>
      <c r="AK1015" s="41">
        <v>5.6999998093000004</v>
      </c>
      <c r="AL1015" s="41">
        <v>5.5999999045999997</v>
      </c>
      <c r="AM1015" s="41">
        <v>5.5999999045999997</v>
      </c>
      <c r="AN1015" s="41">
        <v>5.5999999045999997</v>
      </c>
      <c r="AO1015" s="41">
        <v>5.5</v>
      </c>
      <c r="AP1015" s="41">
        <v>5.5</v>
      </c>
      <c r="AQ1015" s="41">
        <v>5.4000000954000003</v>
      </c>
      <c r="AR1015" s="41">
        <v>5.3000001906999996</v>
      </c>
      <c r="AS1015" s="41">
        <v>5.0999999045999997</v>
      </c>
      <c r="AT1015" s="41">
        <v>4.9000000954000003</v>
      </c>
      <c r="AU1015" s="41"/>
      <c r="AV1015" s="41">
        <v>5.5999999045999997</v>
      </c>
      <c r="AW1015" s="41">
        <v>6.7</v>
      </c>
      <c r="AX1015" s="41">
        <v>6.7</v>
      </c>
      <c r="AY1015" s="41">
        <v>6.5</v>
      </c>
      <c r="AZ1015" s="41">
        <v>6.5</v>
      </c>
      <c r="BA1015" s="41">
        <v>6.4</v>
      </c>
      <c r="BB1015" s="41">
        <v>6.6</v>
      </c>
      <c r="BC1015" s="41">
        <v>6.7</v>
      </c>
      <c r="BD1015" s="41">
        <v>6.5</v>
      </c>
      <c r="BE1015" s="41">
        <v>6.5</v>
      </c>
      <c r="BF1015" s="41">
        <v>6.5</v>
      </c>
      <c r="BG1015" s="41">
        <v>6.5</v>
      </c>
      <c r="BH1015" s="41"/>
      <c r="BI1015" s="41"/>
      <c r="BJ1015" s="41"/>
      <c r="BK1015" s="41"/>
      <c r="BL1015" s="41"/>
      <c r="BM1015" s="41"/>
      <c r="BN1015" s="54">
        <f t="shared" si="17"/>
        <v>6.5</v>
      </c>
    </row>
    <row r="1016" spans="2:66" x14ac:dyDescent="0.35">
      <c r="B1016" s="41" t="s">
        <v>505</v>
      </c>
      <c r="C1016" s="41" t="s">
        <v>506</v>
      </c>
      <c r="D1016" s="41" t="s">
        <v>628</v>
      </c>
      <c r="E1016" s="41" t="s">
        <v>629</v>
      </c>
      <c r="F1016" s="41">
        <v>1.4218630561806538</v>
      </c>
      <c r="G1016" s="41"/>
      <c r="H1016" s="41"/>
      <c r="I1016" s="41"/>
      <c r="J1016" s="41"/>
      <c r="K1016" s="41"/>
      <c r="L1016" s="41"/>
      <c r="M1016" s="41"/>
      <c r="N1016" s="41"/>
      <c r="O1016" s="41"/>
      <c r="P1016" s="41">
        <v>1.3686279940777142</v>
      </c>
      <c r="Q1016" s="41"/>
      <c r="R1016" s="41"/>
      <c r="S1016" s="41"/>
      <c r="T1016" s="41"/>
      <c r="U1016" s="41"/>
      <c r="V1016" s="41"/>
      <c r="W1016" s="41"/>
      <c r="X1016" s="41"/>
      <c r="Y1016" s="41"/>
      <c r="Z1016" s="41"/>
      <c r="AA1016" s="41"/>
      <c r="AB1016" s="41"/>
      <c r="AC1016" s="41"/>
      <c r="AD1016" s="41"/>
      <c r="AE1016" s="41"/>
      <c r="AF1016" s="41"/>
      <c r="AG1016" s="41"/>
      <c r="AH1016" s="41"/>
      <c r="AI1016" s="41"/>
      <c r="AJ1016" s="41">
        <v>1.3293418500641954</v>
      </c>
      <c r="AK1016" s="41"/>
      <c r="AL1016" s="41"/>
      <c r="AM1016" s="41"/>
      <c r="AN1016" s="41"/>
      <c r="AO1016" s="41"/>
      <c r="AP1016" s="41"/>
      <c r="AQ1016" s="41"/>
      <c r="AR1016" s="41"/>
      <c r="AS1016" s="41"/>
      <c r="AT1016" s="41"/>
      <c r="AU1016" s="41"/>
      <c r="AV1016" s="41"/>
      <c r="AW1016" s="41"/>
      <c r="AX1016" s="41"/>
      <c r="AY1016" s="41"/>
      <c r="AZ1016" s="41"/>
      <c r="BA1016" s="41"/>
      <c r="BB1016" s="41"/>
      <c r="BC1016" s="41"/>
      <c r="BD1016" s="41"/>
      <c r="BE1016" s="41"/>
      <c r="BF1016" s="41"/>
      <c r="BG1016" s="41"/>
      <c r="BH1016" s="41"/>
      <c r="BI1016" s="41"/>
      <c r="BJ1016" s="41"/>
      <c r="BK1016" s="41"/>
      <c r="BL1016" s="41"/>
      <c r="BM1016" s="41"/>
      <c r="BN1016" s="54">
        <f t="shared" si="17"/>
        <v>1.3293418500641954</v>
      </c>
    </row>
    <row r="1017" spans="2:66" x14ac:dyDescent="0.35">
      <c r="B1017" s="41" t="s">
        <v>507</v>
      </c>
      <c r="C1017" s="41" t="s">
        <v>508</v>
      </c>
      <c r="D1017" s="41" t="s">
        <v>628</v>
      </c>
      <c r="E1017" s="41" t="s">
        <v>629</v>
      </c>
      <c r="F1017" s="41"/>
      <c r="G1017" s="41"/>
      <c r="H1017" s="41"/>
      <c r="I1017" s="41"/>
      <c r="J1017" s="41"/>
      <c r="K1017" s="41"/>
      <c r="L1017" s="41"/>
      <c r="M1017" s="41"/>
      <c r="N1017" s="41"/>
      <c r="O1017" s="41"/>
      <c r="P1017" s="41"/>
      <c r="Q1017" s="41"/>
      <c r="R1017" s="41"/>
      <c r="S1017" s="41"/>
      <c r="T1017" s="41"/>
      <c r="U1017" s="41"/>
      <c r="V1017" s="41"/>
      <c r="W1017" s="41"/>
      <c r="X1017" s="41"/>
      <c r="Y1017" s="41"/>
      <c r="Z1017" s="41"/>
      <c r="AA1017" s="41"/>
      <c r="AB1017" s="41"/>
      <c r="AC1017" s="41"/>
      <c r="AD1017" s="41"/>
      <c r="AE1017" s="41"/>
      <c r="AF1017" s="41"/>
      <c r="AG1017" s="41"/>
      <c r="AH1017" s="41"/>
      <c r="AI1017" s="41"/>
      <c r="AJ1017" s="41"/>
      <c r="AK1017" s="41"/>
      <c r="AL1017" s="41"/>
      <c r="AM1017" s="41"/>
      <c r="AN1017" s="41"/>
      <c r="AO1017" s="41"/>
      <c r="AP1017" s="41">
        <v>3.3199999332000001</v>
      </c>
      <c r="AQ1017" s="41"/>
      <c r="AR1017" s="41"/>
      <c r="AS1017" s="41"/>
      <c r="AT1017" s="41"/>
      <c r="AU1017" s="41"/>
      <c r="AV1017" s="41"/>
      <c r="AW1017" s="41"/>
      <c r="AX1017" s="41"/>
      <c r="AY1017" s="41"/>
      <c r="AZ1017" s="41"/>
      <c r="BA1017" s="41"/>
      <c r="BB1017" s="41"/>
      <c r="BC1017" s="41"/>
      <c r="BD1017" s="41"/>
      <c r="BE1017" s="41"/>
      <c r="BF1017" s="41"/>
      <c r="BG1017" s="41"/>
      <c r="BH1017" s="41"/>
      <c r="BI1017" s="41"/>
      <c r="BJ1017" s="41"/>
      <c r="BK1017" s="41"/>
      <c r="BL1017" s="41"/>
      <c r="BM1017" s="41"/>
      <c r="BN1017" s="54">
        <f t="shared" si="17"/>
        <v>3.3199999332000001</v>
      </c>
    </row>
    <row r="1018" spans="2:66" x14ac:dyDescent="0.35">
      <c r="B1018" s="41" t="s">
        <v>428</v>
      </c>
      <c r="C1018" s="41" t="s">
        <v>158</v>
      </c>
      <c r="D1018" s="41" t="s">
        <v>628</v>
      </c>
      <c r="E1018" s="41" t="s">
        <v>629</v>
      </c>
      <c r="F1018" s="41"/>
      <c r="G1018" s="41"/>
      <c r="H1018" s="41"/>
      <c r="I1018" s="41"/>
      <c r="J1018" s="41"/>
      <c r="K1018" s="41"/>
      <c r="L1018" s="41"/>
      <c r="M1018" s="41"/>
      <c r="N1018" s="41"/>
      <c r="O1018" s="41"/>
      <c r="P1018" s="41"/>
      <c r="Q1018" s="41"/>
      <c r="R1018" s="41"/>
      <c r="S1018" s="41"/>
      <c r="T1018" s="41"/>
      <c r="U1018" s="41"/>
      <c r="V1018" s="41"/>
      <c r="W1018" s="41"/>
      <c r="X1018" s="41"/>
      <c r="Y1018" s="41"/>
      <c r="Z1018" s="41"/>
      <c r="AA1018" s="41"/>
      <c r="AB1018" s="41"/>
      <c r="AC1018" s="41"/>
      <c r="AD1018" s="41"/>
      <c r="AE1018" s="41"/>
      <c r="AF1018" s="41"/>
      <c r="AG1018" s="41"/>
      <c r="AH1018" s="41"/>
      <c r="AI1018" s="41"/>
      <c r="AJ1018" s="41"/>
      <c r="AK1018" s="41"/>
      <c r="AL1018" s="41"/>
      <c r="AM1018" s="41"/>
      <c r="AN1018" s="41"/>
      <c r="AO1018" s="41"/>
      <c r="AP1018" s="41"/>
      <c r="AQ1018" s="41"/>
      <c r="AR1018" s="41"/>
      <c r="AS1018" s="41"/>
      <c r="AT1018" s="41"/>
      <c r="AU1018" s="41"/>
      <c r="AV1018" s="41">
        <v>13.2</v>
      </c>
      <c r="AW1018" s="41"/>
      <c r="AX1018" s="41"/>
      <c r="AY1018" s="41"/>
      <c r="AZ1018" s="41"/>
      <c r="BA1018" s="41"/>
      <c r="BB1018" s="41"/>
      <c r="BC1018" s="41"/>
      <c r="BD1018" s="41">
        <v>14.3</v>
      </c>
      <c r="BE1018" s="41"/>
      <c r="BF1018" s="41">
        <v>13.2</v>
      </c>
      <c r="BG1018" s="41"/>
      <c r="BH1018" s="41"/>
      <c r="BI1018" s="41"/>
      <c r="BJ1018" s="41"/>
      <c r="BK1018" s="41"/>
      <c r="BL1018" s="41"/>
      <c r="BM1018" s="41"/>
      <c r="BN1018" s="54">
        <f t="shared" si="17"/>
        <v>13.2</v>
      </c>
    </row>
    <row r="1019" spans="2:66" x14ac:dyDescent="0.35">
      <c r="B1019" s="41" t="s">
        <v>502</v>
      </c>
      <c r="C1019" s="41" t="s">
        <v>118</v>
      </c>
      <c r="D1019" s="41" t="s">
        <v>628</v>
      </c>
      <c r="E1019" s="41" t="s">
        <v>629</v>
      </c>
      <c r="F1019" s="41"/>
      <c r="G1019" s="41"/>
      <c r="H1019" s="41"/>
      <c r="I1019" s="41"/>
      <c r="J1019" s="41"/>
      <c r="K1019" s="41"/>
      <c r="L1019" s="41"/>
      <c r="M1019" s="41"/>
      <c r="N1019" s="41"/>
      <c r="O1019" s="41"/>
      <c r="P1019" s="41"/>
      <c r="Q1019" s="41"/>
      <c r="R1019" s="41"/>
      <c r="S1019" s="41"/>
      <c r="T1019" s="41"/>
      <c r="U1019" s="41"/>
      <c r="V1019" s="41"/>
      <c r="W1019" s="41"/>
      <c r="X1019" s="41"/>
      <c r="Y1019" s="41"/>
      <c r="Z1019" s="41"/>
      <c r="AA1019" s="41"/>
      <c r="AB1019" s="41"/>
      <c r="AC1019" s="41"/>
      <c r="AD1019" s="41"/>
      <c r="AE1019" s="41">
        <v>4</v>
      </c>
      <c r="AF1019" s="41">
        <v>4</v>
      </c>
      <c r="AG1019" s="41">
        <v>4</v>
      </c>
      <c r="AH1019" s="41">
        <v>4</v>
      </c>
      <c r="AI1019" s="41">
        <v>4.0999999046325701</v>
      </c>
      <c r="AJ1019" s="41">
        <v>4.0999999045999997</v>
      </c>
      <c r="AK1019" s="41">
        <v>4.0999999045999997</v>
      </c>
      <c r="AL1019" s="41">
        <v>4</v>
      </c>
      <c r="AM1019" s="41">
        <v>3.9000000953999998</v>
      </c>
      <c r="AN1019" s="41">
        <v>3.9000000953999998</v>
      </c>
      <c r="AO1019" s="41">
        <v>3.9000000953999998</v>
      </c>
      <c r="AP1019" s="41">
        <v>4</v>
      </c>
      <c r="AQ1019" s="41">
        <v>3.9000000953999998</v>
      </c>
      <c r="AR1019" s="41">
        <v>3.9000000953999998</v>
      </c>
      <c r="AS1019" s="41">
        <v>3.7999999522999999</v>
      </c>
      <c r="AT1019" s="41">
        <v>3.7</v>
      </c>
      <c r="AU1019" s="41">
        <v>3.6</v>
      </c>
      <c r="AV1019" s="41">
        <v>3.6</v>
      </c>
      <c r="AW1019" s="41">
        <v>3.6</v>
      </c>
      <c r="AX1019" s="41">
        <v>3.6</v>
      </c>
      <c r="AY1019" s="41">
        <v>3.6</v>
      </c>
      <c r="AZ1019" s="41">
        <v>3.5</v>
      </c>
      <c r="BA1019" s="41">
        <v>3.4</v>
      </c>
      <c r="BB1019" s="41">
        <v>3.4</v>
      </c>
      <c r="BC1019" s="41">
        <v>3.3</v>
      </c>
      <c r="BD1019" s="41">
        <v>3.4</v>
      </c>
      <c r="BE1019" s="41">
        <v>3.4</v>
      </c>
      <c r="BF1019" s="41">
        <v>3.4</v>
      </c>
      <c r="BG1019" s="41">
        <v>3.4</v>
      </c>
      <c r="BH1019" s="41"/>
      <c r="BI1019" s="41"/>
      <c r="BJ1019" s="41"/>
      <c r="BK1019" s="41"/>
      <c r="BL1019" s="41"/>
      <c r="BM1019" s="41"/>
      <c r="BN1019" s="54">
        <f t="shared" ref="BN1019:BN1082" si="18">IFERROR(LOOKUP(2,1/(ISNUMBER(F1019:BM1019)),F1019:BM1019),"No reported value")</f>
        <v>3.4</v>
      </c>
    </row>
    <row r="1020" spans="2:66" x14ac:dyDescent="0.35">
      <c r="B1020" s="41" t="s">
        <v>228</v>
      </c>
      <c r="C1020" s="41" t="s">
        <v>119</v>
      </c>
      <c r="D1020" s="41" t="s">
        <v>628</v>
      </c>
      <c r="E1020" s="41" t="s">
        <v>629</v>
      </c>
      <c r="F1020" s="41">
        <v>2.3892507553100599</v>
      </c>
      <c r="G1020" s="41"/>
      <c r="H1020" s="41"/>
      <c r="I1020" s="41"/>
      <c r="J1020" s="41"/>
      <c r="K1020" s="41"/>
      <c r="L1020" s="41"/>
      <c r="M1020" s="41"/>
      <c r="N1020" s="41"/>
      <c r="O1020" s="41"/>
      <c r="P1020" s="41">
        <v>1.62940001487732</v>
      </c>
      <c r="Q1020" s="41"/>
      <c r="R1020" s="41"/>
      <c r="S1020" s="41"/>
      <c r="T1020" s="41"/>
      <c r="U1020" s="41">
        <v>1.68299996852875</v>
      </c>
      <c r="V1020" s="41"/>
      <c r="W1020" s="41"/>
      <c r="X1020" s="41"/>
      <c r="Y1020" s="41"/>
      <c r="Z1020" s="41"/>
      <c r="AA1020" s="41"/>
      <c r="AB1020" s="41"/>
      <c r="AC1020" s="41"/>
      <c r="AD1020" s="41"/>
      <c r="AE1020" s="41"/>
      <c r="AF1020" s="41"/>
      <c r="AG1020" s="41"/>
      <c r="AH1020" s="41"/>
      <c r="AI1020" s="41">
        <v>1.3200999498367301</v>
      </c>
      <c r="AJ1020" s="41">
        <v>0.93220001460000002</v>
      </c>
      <c r="AK1020" s="41"/>
      <c r="AL1020" s="41"/>
      <c r="AM1020" s="41">
        <v>1.2999999523000001</v>
      </c>
      <c r="AN1020" s="41">
        <v>0.60089999439999997</v>
      </c>
      <c r="AO1020" s="41"/>
      <c r="AP1020" s="41">
        <v>1.3400000334</v>
      </c>
      <c r="AQ1020" s="41"/>
      <c r="AR1020" s="41"/>
      <c r="AS1020" s="41"/>
      <c r="AT1020" s="41"/>
      <c r="AU1020" s="41"/>
      <c r="AV1020" s="41">
        <v>1.2000000476999999</v>
      </c>
      <c r="AW1020" s="41"/>
      <c r="AX1020" s="41"/>
      <c r="AY1020" s="41">
        <v>1.2</v>
      </c>
      <c r="AZ1020" s="41">
        <v>1.3</v>
      </c>
      <c r="BA1020" s="41">
        <v>1.3</v>
      </c>
      <c r="BB1020" s="41">
        <v>1.3</v>
      </c>
      <c r="BC1020" s="41">
        <v>1.3</v>
      </c>
      <c r="BD1020" s="41">
        <v>1.3</v>
      </c>
      <c r="BE1020" s="41">
        <v>1.3</v>
      </c>
      <c r="BF1020" s="41"/>
      <c r="BG1020" s="41"/>
      <c r="BH1020" s="41"/>
      <c r="BI1020" s="41"/>
      <c r="BJ1020" s="41"/>
      <c r="BK1020" s="41"/>
      <c r="BL1020" s="41"/>
      <c r="BM1020" s="41"/>
      <c r="BN1020" s="54">
        <f t="shared" si="18"/>
        <v>1.3</v>
      </c>
    </row>
    <row r="1021" spans="2:66" x14ac:dyDescent="0.35">
      <c r="B1021" s="41" t="s">
        <v>567</v>
      </c>
      <c r="C1021" s="41" t="s">
        <v>568</v>
      </c>
      <c r="D1021" s="41" t="s">
        <v>628</v>
      </c>
      <c r="E1021" s="41" t="s">
        <v>629</v>
      </c>
      <c r="F1021" s="41"/>
      <c r="G1021" s="41"/>
      <c r="H1021" s="41"/>
      <c r="I1021" s="41"/>
      <c r="J1021" s="41"/>
      <c r="K1021" s="41"/>
      <c r="L1021" s="41"/>
      <c r="M1021" s="41"/>
      <c r="N1021" s="41"/>
      <c r="O1021" s="41"/>
      <c r="P1021" s="41"/>
      <c r="Q1021" s="41"/>
      <c r="R1021" s="41"/>
      <c r="S1021" s="41"/>
      <c r="T1021" s="41"/>
      <c r="U1021" s="41"/>
      <c r="V1021" s="41"/>
      <c r="W1021" s="41"/>
      <c r="X1021" s="41"/>
      <c r="Y1021" s="41"/>
      <c r="Z1021" s="41"/>
      <c r="AA1021" s="41"/>
      <c r="AB1021" s="41"/>
      <c r="AC1021" s="41"/>
      <c r="AD1021" s="41"/>
      <c r="AE1021" s="41"/>
      <c r="AF1021" s="41"/>
      <c r="AG1021" s="41"/>
      <c r="AH1021" s="41"/>
      <c r="AI1021" s="41"/>
      <c r="AJ1021" s="41"/>
      <c r="AK1021" s="41"/>
      <c r="AL1021" s="41"/>
      <c r="AM1021" s="41"/>
      <c r="AN1021" s="41"/>
      <c r="AO1021" s="41"/>
      <c r="AP1021" s="41">
        <v>1.2000000476999999</v>
      </c>
      <c r="AQ1021" s="41"/>
      <c r="AR1021" s="41"/>
      <c r="AS1021" s="41"/>
      <c r="AT1021" s="41"/>
      <c r="AU1021" s="41"/>
      <c r="AV1021" s="41"/>
      <c r="AW1021" s="41"/>
      <c r="AX1021" s="41"/>
      <c r="AY1021" s="41"/>
      <c r="AZ1021" s="41"/>
      <c r="BA1021" s="41"/>
      <c r="BB1021" s="41"/>
      <c r="BC1021" s="41"/>
      <c r="BD1021" s="41"/>
      <c r="BE1021" s="41"/>
      <c r="BF1021" s="41"/>
      <c r="BG1021" s="41"/>
      <c r="BH1021" s="41"/>
      <c r="BI1021" s="41"/>
      <c r="BJ1021" s="41"/>
      <c r="BK1021" s="41"/>
      <c r="BL1021" s="41"/>
      <c r="BM1021" s="41"/>
      <c r="BN1021" s="54">
        <f t="shared" si="18"/>
        <v>1.2000000476999999</v>
      </c>
    </row>
    <row r="1022" spans="2:66" x14ac:dyDescent="0.35">
      <c r="B1022" s="41" t="s">
        <v>495</v>
      </c>
      <c r="C1022" s="41" t="s">
        <v>496</v>
      </c>
      <c r="D1022" s="41" t="s">
        <v>628</v>
      </c>
      <c r="E1022" s="41" t="s">
        <v>629</v>
      </c>
      <c r="F1022" s="41">
        <v>4.7797932398333085</v>
      </c>
      <c r="G1022" s="41"/>
      <c r="H1022" s="41"/>
      <c r="I1022" s="41"/>
      <c r="J1022" s="41"/>
      <c r="K1022" s="41"/>
      <c r="L1022" s="41"/>
      <c r="M1022" s="41"/>
      <c r="N1022" s="41"/>
      <c r="O1022" s="41"/>
      <c r="P1022" s="41">
        <v>4.890331918167977</v>
      </c>
      <c r="Q1022" s="41"/>
      <c r="R1022" s="41"/>
      <c r="S1022" s="41"/>
      <c r="T1022" s="41"/>
      <c r="U1022" s="41"/>
      <c r="V1022" s="41"/>
      <c r="W1022" s="41"/>
      <c r="X1022" s="41"/>
      <c r="Y1022" s="41"/>
      <c r="Z1022" s="41">
        <v>3.611924907578099</v>
      </c>
      <c r="AA1022" s="41">
        <v>3.7040302338724169</v>
      </c>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v>2.0768964148197031</v>
      </c>
      <c r="AZ1022" s="41"/>
      <c r="BA1022" s="41"/>
      <c r="BB1022" s="41"/>
      <c r="BC1022" s="41"/>
      <c r="BD1022" s="41"/>
      <c r="BE1022" s="41"/>
      <c r="BF1022" s="41"/>
      <c r="BG1022" s="41"/>
      <c r="BH1022" s="41"/>
      <c r="BI1022" s="41"/>
      <c r="BJ1022" s="41"/>
      <c r="BK1022" s="41"/>
      <c r="BL1022" s="41"/>
      <c r="BM1022" s="41"/>
      <c r="BN1022" s="54">
        <f t="shared" si="18"/>
        <v>2.0768964148197031</v>
      </c>
    </row>
    <row r="1023" spans="2:66" x14ac:dyDescent="0.35">
      <c r="B1023" s="41" t="s">
        <v>503</v>
      </c>
      <c r="C1023" s="41" t="s">
        <v>504</v>
      </c>
      <c r="D1023" s="41" t="s">
        <v>628</v>
      </c>
      <c r="E1023" s="41" t="s">
        <v>629</v>
      </c>
      <c r="F1023" s="41">
        <v>9.2881536749337315</v>
      </c>
      <c r="G1023" s="41"/>
      <c r="H1023" s="41"/>
      <c r="I1023" s="41"/>
      <c r="J1023" s="41"/>
      <c r="K1023" s="41"/>
      <c r="L1023" s="41"/>
      <c r="M1023" s="41"/>
      <c r="N1023" s="41"/>
      <c r="O1023" s="41"/>
      <c r="P1023" s="41">
        <v>9.4426106753800099</v>
      </c>
      <c r="Q1023" s="41"/>
      <c r="R1023" s="41"/>
      <c r="S1023" s="41"/>
      <c r="T1023" s="41"/>
      <c r="U1023" s="41"/>
      <c r="V1023" s="41"/>
      <c r="W1023" s="41"/>
      <c r="X1023" s="41"/>
      <c r="Y1023" s="41"/>
      <c r="Z1023" s="41">
        <v>8.9710763408387759</v>
      </c>
      <c r="AA1023" s="41"/>
      <c r="AB1023" s="41"/>
      <c r="AC1023" s="41"/>
      <c r="AD1023" s="41"/>
      <c r="AE1023" s="41">
        <v>8.6832564919322976</v>
      </c>
      <c r="AF1023" s="41"/>
      <c r="AG1023" s="41"/>
      <c r="AH1023" s="41"/>
      <c r="AI1023" s="41"/>
      <c r="AJ1023" s="41">
        <v>7.0242665533663402</v>
      </c>
      <c r="AK1023" s="41">
        <v>7.038877446229634</v>
      </c>
      <c r="AL1023" s="41">
        <v>6.7390256279187799</v>
      </c>
      <c r="AM1023" s="41">
        <v>7.7598542139568574</v>
      </c>
      <c r="AN1023" s="41">
        <v>7.7403587756027648</v>
      </c>
      <c r="AO1023" s="41">
        <v>7.488761948894135</v>
      </c>
      <c r="AP1023" s="41">
        <v>7.2809781630920885</v>
      </c>
      <c r="AQ1023" s="41">
        <v>7.0877307285659557</v>
      </c>
      <c r="AR1023" s="41">
        <v>6.9219314271844601</v>
      </c>
      <c r="AS1023" s="41">
        <v>6.7796001445275298</v>
      </c>
      <c r="AT1023" s="41">
        <v>6.6732382066615434</v>
      </c>
      <c r="AU1023" s="41">
        <v>6.3781369463294162</v>
      </c>
      <c r="AV1023" s="41">
        <v>6.4561252972971124</v>
      </c>
      <c r="AW1023" s="41">
        <v>6.3804992055192953</v>
      </c>
      <c r="AX1023" s="41"/>
      <c r="AY1023" s="41">
        <v>6.1202797509170681</v>
      </c>
      <c r="AZ1023" s="41">
        <v>6.1301405066291785</v>
      </c>
      <c r="BA1023" s="41">
        <v>4.8489463153640529</v>
      </c>
      <c r="BB1023" s="41">
        <v>6.2289568972374916</v>
      </c>
      <c r="BC1023" s="41">
        <v>6.0726693236500484</v>
      </c>
      <c r="BD1023" s="41">
        <v>4.6226181830338398</v>
      </c>
      <c r="BE1023" s="41">
        <v>4.4778179235562199</v>
      </c>
      <c r="BF1023" s="41">
        <v>5.8895054719637381</v>
      </c>
      <c r="BG1023" s="41">
        <v>4.6072129088428415</v>
      </c>
      <c r="BH1023" s="41"/>
      <c r="BI1023" s="41"/>
      <c r="BJ1023" s="41"/>
      <c r="BK1023" s="41"/>
      <c r="BL1023" s="41"/>
      <c r="BM1023" s="41"/>
      <c r="BN1023" s="54">
        <f t="shared" si="18"/>
        <v>4.6072129088428415</v>
      </c>
    </row>
    <row r="1024" spans="2:66" x14ac:dyDescent="0.35">
      <c r="B1024" s="41" t="s">
        <v>396</v>
      </c>
      <c r="C1024" s="41" t="s">
        <v>397</v>
      </c>
      <c r="D1024" s="41" t="s">
        <v>628</v>
      </c>
      <c r="E1024" s="41" t="s">
        <v>629</v>
      </c>
      <c r="F1024" s="41"/>
      <c r="G1024" s="41"/>
      <c r="H1024" s="41"/>
      <c r="I1024" s="41"/>
      <c r="J1024" s="41"/>
      <c r="K1024" s="41"/>
      <c r="L1024" s="41"/>
      <c r="M1024" s="41"/>
      <c r="N1024" s="41"/>
      <c r="O1024" s="41"/>
      <c r="P1024" s="41"/>
      <c r="Q1024" s="41"/>
      <c r="R1024" s="41"/>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41"/>
      <c r="BC1024" s="41"/>
      <c r="BD1024" s="41"/>
      <c r="BE1024" s="41"/>
      <c r="BF1024" s="41"/>
      <c r="BG1024" s="41"/>
      <c r="BH1024" s="41"/>
      <c r="BI1024" s="41"/>
      <c r="BJ1024" s="41"/>
      <c r="BK1024" s="41"/>
      <c r="BL1024" s="41"/>
      <c r="BM1024" s="41"/>
      <c r="BN1024" s="54" t="str">
        <f t="shared" si="18"/>
        <v>No reported value</v>
      </c>
    </row>
    <row r="1025" spans="2:66" x14ac:dyDescent="0.35">
      <c r="B1025" s="41" t="s">
        <v>509</v>
      </c>
      <c r="C1025" s="41" t="s">
        <v>120</v>
      </c>
      <c r="D1025" s="41" t="s">
        <v>628</v>
      </c>
      <c r="E1025" s="41" t="s">
        <v>629</v>
      </c>
      <c r="F1025" s="41"/>
      <c r="G1025" s="41"/>
      <c r="H1025" s="41"/>
      <c r="I1025" s="41"/>
      <c r="J1025" s="41"/>
      <c r="K1025" s="41"/>
      <c r="L1025" s="41"/>
      <c r="M1025" s="41"/>
      <c r="N1025" s="41"/>
      <c r="O1025" s="41"/>
      <c r="P1025" s="41">
        <v>5.5314998626709002</v>
      </c>
      <c r="Q1025" s="41"/>
      <c r="R1025" s="41"/>
      <c r="S1025" s="41"/>
      <c r="T1025" s="41"/>
      <c r="U1025" s="41"/>
      <c r="V1025" s="41"/>
      <c r="W1025" s="41"/>
      <c r="X1025" s="41"/>
      <c r="Y1025" s="41"/>
      <c r="Z1025" s="41"/>
      <c r="AA1025" s="41">
        <v>2.9395999908447301</v>
      </c>
      <c r="AB1025" s="41"/>
      <c r="AC1025" s="41"/>
      <c r="AD1025" s="41"/>
      <c r="AE1025" s="41"/>
      <c r="AF1025" s="41"/>
      <c r="AG1025" s="41"/>
      <c r="AH1025" s="41"/>
      <c r="AI1025" s="41">
        <v>2.3002998828887899</v>
      </c>
      <c r="AJ1025" s="41"/>
      <c r="AK1025" s="41"/>
      <c r="AL1025" s="41"/>
      <c r="AM1025" s="41"/>
      <c r="AN1025" s="41"/>
      <c r="AO1025" s="41"/>
      <c r="AP1025" s="41"/>
      <c r="AQ1025" s="41">
        <v>1.6499999761999999</v>
      </c>
      <c r="AR1025" s="41"/>
      <c r="AS1025" s="41"/>
      <c r="AT1025" s="41">
        <v>2.4</v>
      </c>
      <c r="AU1025" s="41">
        <v>2.4</v>
      </c>
      <c r="AV1025" s="41">
        <v>2.4</v>
      </c>
      <c r="AW1025" s="41">
        <v>2.4</v>
      </c>
      <c r="AX1025" s="41">
        <v>2.4</v>
      </c>
      <c r="AY1025" s="41">
        <v>2.4</v>
      </c>
      <c r="AZ1025" s="41">
        <v>2.5</v>
      </c>
      <c r="BA1025" s="41">
        <v>2.5</v>
      </c>
      <c r="BB1025" s="41">
        <v>1.4</v>
      </c>
      <c r="BC1025" s="41">
        <v>1.4</v>
      </c>
      <c r="BD1025" s="41">
        <v>1.2</v>
      </c>
      <c r="BE1025" s="41">
        <v>1.2</v>
      </c>
      <c r="BF1025" s="41">
        <v>1.2</v>
      </c>
      <c r="BG1025" s="41">
        <v>1.4</v>
      </c>
      <c r="BH1025" s="41">
        <v>1.2</v>
      </c>
      <c r="BI1025" s="41"/>
      <c r="BJ1025" s="41"/>
      <c r="BK1025" s="41"/>
      <c r="BL1025" s="41"/>
      <c r="BM1025" s="41"/>
      <c r="BN1025" s="54">
        <f t="shared" si="18"/>
        <v>1.2</v>
      </c>
    </row>
    <row r="1026" spans="2:66" x14ac:dyDescent="0.35">
      <c r="B1026" s="41" t="s">
        <v>510</v>
      </c>
      <c r="C1026" s="41" t="s">
        <v>121</v>
      </c>
      <c r="D1026" s="41" t="s">
        <v>628</v>
      </c>
      <c r="E1026" s="41" t="s">
        <v>629</v>
      </c>
      <c r="F1026" s="41">
        <v>7.2732706069946298</v>
      </c>
      <c r="G1026" s="41"/>
      <c r="H1026" s="41"/>
      <c r="I1026" s="41"/>
      <c r="J1026" s="41"/>
      <c r="K1026" s="41"/>
      <c r="L1026" s="41"/>
      <c r="M1026" s="41"/>
      <c r="N1026" s="41"/>
      <c r="O1026" s="41"/>
      <c r="P1026" s="41"/>
      <c r="Q1026" s="41"/>
      <c r="R1026" s="41"/>
      <c r="S1026" s="41"/>
      <c r="T1026" s="41"/>
      <c r="U1026" s="41"/>
      <c r="V1026" s="41"/>
      <c r="W1026" s="41"/>
      <c r="X1026" s="41"/>
      <c r="Y1026" s="41"/>
      <c r="Z1026" s="41">
        <v>8.7762002944946307</v>
      </c>
      <c r="AA1026" s="41">
        <v>8.7750997543334996</v>
      </c>
      <c r="AB1026" s="41">
        <v>8.8107004165649396</v>
      </c>
      <c r="AC1026" s="41"/>
      <c r="AD1026" s="41">
        <v>8.8957996368408203</v>
      </c>
      <c r="AE1026" s="41">
        <v>8.9404001235961896</v>
      </c>
      <c r="AF1026" s="41">
        <v>8.9465999603271502</v>
      </c>
      <c r="AG1026" s="41">
        <v>8.9502000808715803</v>
      </c>
      <c r="AH1026" s="41">
        <v>8.94219970703125</v>
      </c>
      <c r="AI1026" s="41">
        <v>8.9371004104614293</v>
      </c>
      <c r="AJ1026" s="41">
        <v>8.9198999405000006</v>
      </c>
      <c r="AK1026" s="41">
        <v>8.9221000671000006</v>
      </c>
      <c r="AL1026" s="41">
        <v>7.8621001244000004</v>
      </c>
      <c r="AM1026" s="41">
        <v>7.8699002266000004</v>
      </c>
      <c r="AN1026" s="41">
        <v>7.6944999694999998</v>
      </c>
      <c r="AO1026" s="41">
        <v>7.6399998665000002</v>
      </c>
      <c r="AP1026" s="41">
        <v>7.5599999428000002</v>
      </c>
      <c r="AQ1026" s="41">
        <v>7.3800001143999996</v>
      </c>
      <c r="AR1026" s="41">
        <v>7.3099999428000002</v>
      </c>
      <c r="AS1026" s="41">
        <v>7.3099999428000002</v>
      </c>
      <c r="AT1026" s="41">
        <v>7.7</v>
      </c>
      <c r="AU1026" s="41">
        <v>7.7</v>
      </c>
      <c r="AV1026" s="41">
        <v>7.7</v>
      </c>
      <c r="AW1026" s="41">
        <v>6.7</v>
      </c>
      <c r="AX1026" s="41">
        <v>6.7</v>
      </c>
      <c r="AY1026" s="41">
        <v>6.8</v>
      </c>
      <c r="AZ1026" s="41">
        <v>6.7</v>
      </c>
      <c r="BA1026" s="41">
        <v>6.5</v>
      </c>
      <c r="BB1026" s="41">
        <v>6.6</v>
      </c>
      <c r="BC1026" s="41">
        <v>6.6</v>
      </c>
      <c r="BD1026" s="41">
        <v>6.3</v>
      </c>
      <c r="BE1026" s="41">
        <v>6.1</v>
      </c>
      <c r="BF1026" s="41">
        <v>6.2</v>
      </c>
      <c r="BG1026" s="41">
        <v>6.3</v>
      </c>
      <c r="BH1026" s="41"/>
      <c r="BI1026" s="41"/>
      <c r="BJ1026" s="41"/>
      <c r="BK1026" s="41"/>
      <c r="BL1026" s="41"/>
      <c r="BM1026" s="41"/>
      <c r="BN1026" s="54">
        <f t="shared" si="18"/>
        <v>6.3</v>
      </c>
    </row>
    <row r="1027" spans="2:66" x14ac:dyDescent="0.35">
      <c r="B1027" s="41" t="s">
        <v>511</v>
      </c>
      <c r="C1027" s="41" t="s">
        <v>122</v>
      </c>
      <c r="D1027" s="41" t="s">
        <v>628</v>
      </c>
      <c r="E1027" s="41" t="s">
        <v>629</v>
      </c>
      <c r="F1027" s="41"/>
      <c r="G1027" s="41"/>
      <c r="H1027" s="41"/>
      <c r="I1027" s="41"/>
      <c r="J1027" s="41"/>
      <c r="K1027" s="41"/>
      <c r="L1027" s="41"/>
      <c r="M1027" s="41"/>
      <c r="N1027" s="41"/>
      <c r="O1027" s="41"/>
      <c r="P1027" s="41"/>
      <c r="Q1027" s="41"/>
      <c r="R1027" s="41"/>
      <c r="S1027" s="41"/>
      <c r="T1027" s="41"/>
      <c r="U1027" s="41"/>
      <c r="V1027" s="41"/>
      <c r="W1027" s="41"/>
      <c r="X1027" s="41"/>
      <c r="Y1027" s="41"/>
      <c r="Z1027" s="41"/>
      <c r="AA1027" s="41"/>
      <c r="AB1027" s="41"/>
      <c r="AC1027" s="41"/>
      <c r="AD1027" s="41"/>
      <c r="AE1027" s="41">
        <v>12.9815998077393</v>
      </c>
      <c r="AF1027" s="41">
        <v>13.0462999343872</v>
      </c>
      <c r="AG1027" s="41">
        <v>13.117600440979</v>
      </c>
      <c r="AH1027" s="41">
        <v>13.1752004623413</v>
      </c>
      <c r="AI1027" s="41">
        <v>13.186200141906699</v>
      </c>
      <c r="AJ1027" s="41">
        <v>13.0552997589</v>
      </c>
      <c r="AK1027" s="41">
        <v>12.701999664300001</v>
      </c>
      <c r="AL1027" s="41">
        <v>12.2342996597</v>
      </c>
      <c r="AM1027" s="41">
        <v>12.1958999634</v>
      </c>
      <c r="AN1027" s="41">
        <v>11.9611997604</v>
      </c>
      <c r="AO1027" s="41">
        <v>11.8699998856</v>
      </c>
      <c r="AP1027" s="41">
        <v>11.6300001144</v>
      </c>
      <c r="AQ1027" s="41">
        <v>11.3400001526</v>
      </c>
      <c r="AR1027" s="41">
        <v>11.109999656699999</v>
      </c>
      <c r="AS1027" s="41">
        <v>10.850000381499999</v>
      </c>
      <c r="AT1027" s="41">
        <v>10.9</v>
      </c>
      <c r="AU1027" s="41">
        <v>10.8</v>
      </c>
      <c r="AV1027" s="41">
        <v>10.7</v>
      </c>
      <c r="AW1027" s="41">
        <v>10.5</v>
      </c>
      <c r="AX1027" s="41">
        <v>9.9</v>
      </c>
      <c r="AY1027" s="41">
        <v>9.6999999999999993</v>
      </c>
      <c r="AZ1027" s="41">
        <v>9.6999999999999993</v>
      </c>
      <c r="BA1027" s="41">
        <v>9.5</v>
      </c>
      <c r="BB1027" s="41">
        <v>9.1999999999999993</v>
      </c>
      <c r="BC1027" s="41">
        <v>9</v>
      </c>
      <c r="BD1027" s="41">
        <v>8.8000000000000007</v>
      </c>
      <c r="BE1027" s="41">
        <v>8.6</v>
      </c>
      <c r="BF1027" s="41">
        <v>8.4</v>
      </c>
      <c r="BG1027" s="41">
        <v>8.1999999999999993</v>
      </c>
      <c r="BH1027" s="41"/>
      <c r="BI1027" s="41"/>
      <c r="BJ1027" s="41"/>
      <c r="BK1027" s="41"/>
      <c r="BL1027" s="41"/>
      <c r="BM1027" s="41"/>
      <c r="BN1027" s="54">
        <f t="shared" si="18"/>
        <v>8.1999999999999993</v>
      </c>
    </row>
    <row r="1028" spans="2:66" x14ac:dyDescent="0.35">
      <c r="B1028" s="41" t="s">
        <v>210</v>
      </c>
      <c r="C1028" s="41" t="s">
        <v>123</v>
      </c>
      <c r="D1028" s="41" t="s">
        <v>628</v>
      </c>
      <c r="E1028" s="41" t="s">
        <v>629</v>
      </c>
      <c r="F1028" s="41"/>
      <c r="G1028" s="41"/>
      <c r="H1028" s="41"/>
      <c r="I1028" s="41"/>
      <c r="J1028" s="41"/>
      <c r="K1028" s="41"/>
      <c r="L1028" s="41"/>
      <c r="M1028" s="41"/>
      <c r="N1028" s="41"/>
      <c r="O1028" s="41"/>
      <c r="P1028" s="41">
        <v>1.25399994850159</v>
      </c>
      <c r="Q1028" s="41"/>
      <c r="R1028" s="41"/>
      <c r="S1028" s="41"/>
      <c r="T1028" s="41"/>
      <c r="U1028" s="41">
        <v>1.2425999641418499</v>
      </c>
      <c r="V1028" s="41"/>
      <c r="W1028" s="41"/>
      <c r="X1028" s="41"/>
      <c r="Y1028" s="41"/>
      <c r="Z1028" s="41">
        <v>1.5279999971389799</v>
      </c>
      <c r="AA1028" s="41">
        <v>1.47809994220734</v>
      </c>
      <c r="AB1028" s="41"/>
      <c r="AC1028" s="41"/>
      <c r="AD1028" s="41"/>
      <c r="AE1028" s="41"/>
      <c r="AF1028" s="41"/>
      <c r="AG1028" s="41"/>
      <c r="AH1028" s="41"/>
      <c r="AI1028" s="41">
        <v>0.86790001392364502</v>
      </c>
      <c r="AJ1028" s="41">
        <v>1.6519999504</v>
      </c>
      <c r="AK1028" s="41"/>
      <c r="AL1028" s="41"/>
      <c r="AM1028" s="41"/>
      <c r="AN1028" s="41"/>
      <c r="AO1028" s="41"/>
      <c r="AP1028" s="41"/>
      <c r="AQ1028" s="41"/>
      <c r="AR1028" s="41"/>
      <c r="AS1028" s="41"/>
      <c r="AT1028" s="41"/>
      <c r="AU1028" s="41"/>
      <c r="AV1028" s="41"/>
      <c r="AW1028" s="41"/>
      <c r="AX1028" s="41">
        <v>1.7</v>
      </c>
      <c r="AY1028" s="41"/>
      <c r="AZ1028" s="41">
        <v>1.6</v>
      </c>
      <c r="BA1028" s="41">
        <v>1.6</v>
      </c>
      <c r="BB1028" s="41"/>
      <c r="BC1028" s="41"/>
      <c r="BD1028" s="41"/>
      <c r="BE1028" s="41"/>
      <c r="BF1028" s="41"/>
      <c r="BG1028" s="41"/>
      <c r="BH1028" s="41"/>
      <c r="BI1028" s="41"/>
      <c r="BJ1028" s="41"/>
      <c r="BK1028" s="41"/>
      <c r="BL1028" s="41"/>
      <c r="BM1028" s="41"/>
      <c r="BN1028" s="54">
        <f t="shared" si="18"/>
        <v>1.6</v>
      </c>
    </row>
    <row r="1029" spans="2:66" x14ac:dyDescent="0.35">
      <c r="B1029" s="41" t="s">
        <v>523</v>
      </c>
      <c r="C1029" s="41" t="s">
        <v>524</v>
      </c>
      <c r="D1029" s="41" t="s">
        <v>628</v>
      </c>
      <c r="E1029" s="41" t="s">
        <v>629</v>
      </c>
      <c r="F1029" s="41">
        <v>0.50630844011821574</v>
      </c>
      <c r="G1029" s="41"/>
      <c r="H1029" s="41"/>
      <c r="I1029" s="41"/>
      <c r="J1029" s="41"/>
      <c r="K1029" s="41"/>
      <c r="L1029" s="41"/>
      <c r="M1029" s="41"/>
      <c r="N1029" s="41"/>
      <c r="O1029" s="41"/>
      <c r="P1029" s="41">
        <v>0.58514162500468481</v>
      </c>
      <c r="Q1029" s="41"/>
      <c r="R1029" s="41"/>
      <c r="S1029" s="41"/>
      <c r="T1029" s="41"/>
      <c r="U1029" s="41">
        <v>0.62665708729566538</v>
      </c>
      <c r="V1029" s="41"/>
      <c r="W1029" s="41"/>
      <c r="X1029" s="41"/>
      <c r="Y1029" s="41"/>
      <c r="Z1029" s="41">
        <v>0.72945337708162117</v>
      </c>
      <c r="AA1029" s="41">
        <v>0.73184895803921313</v>
      </c>
      <c r="AB1029" s="41"/>
      <c r="AC1029" s="41"/>
      <c r="AD1029" s="41"/>
      <c r="AE1029" s="41">
        <v>0.70908290144914998</v>
      </c>
      <c r="AF1029" s="41"/>
      <c r="AG1029" s="41">
        <v>0.70241016978022341</v>
      </c>
      <c r="AH1029" s="41"/>
      <c r="AI1029" s="41"/>
      <c r="AJ1029" s="41"/>
      <c r="AK1029" s="41">
        <v>0.71941374022195159</v>
      </c>
      <c r="AL1029" s="41"/>
      <c r="AM1029" s="41"/>
      <c r="AN1029" s="41"/>
      <c r="AO1029" s="41"/>
      <c r="AP1029" s="41"/>
      <c r="AQ1029" s="41"/>
      <c r="AR1029" s="41"/>
      <c r="AS1029" s="41"/>
      <c r="AT1029" s="41"/>
      <c r="AU1029" s="41"/>
      <c r="AV1029" s="41">
        <v>0.67765124019247169</v>
      </c>
      <c r="AW1029" s="41">
        <v>0.86737903302951869</v>
      </c>
      <c r="AX1029" s="41"/>
      <c r="AY1029" s="41">
        <v>0.81325691749772511</v>
      </c>
      <c r="AZ1029" s="41"/>
      <c r="BA1029" s="41"/>
      <c r="BB1029" s="41"/>
      <c r="BC1029" s="41"/>
      <c r="BD1029" s="41"/>
      <c r="BE1029" s="41">
        <v>0.67426183450707411</v>
      </c>
      <c r="BF1029" s="41"/>
      <c r="BG1029" s="41"/>
      <c r="BH1029" s="41"/>
      <c r="BI1029" s="41"/>
      <c r="BJ1029" s="41"/>
      <c r="BK1029" s="41"/>
      <c r="BL1029" s="41"/>
      <c r="BM1029" s="41"/>
      <c r="BN1029" s="54">
        <f t="shared" si="18"/>
        <v>0.67426183450707411</v>
      </c>
    </row>
    <row r="1030" spans="2:66" x14ac:dyDescent="0.35">
      <c r="B1030" s="41" t="s">
        <v>513</v>
      </c>
      <c r="C1030" s="41" t="s">
        <v>124</v>
      </c>
      <c r="D1030" s="41" t="s">
        <v>628</v>
      </c>
      <c r="E1030" s="41" t="s">
        <v>629</v>
      </c>
      <c r="F1030" s="41">
        <v>0.77472394704818703</v>
      </c>
      <c r="G1030" s="41"/>
      <c r="H1030" s="41"/>
      <c r="I1030" s="41"/>
      <c r="J1030" s="41"/>
      <c r="K1030" s="41"/>
      <c r="L1030" s="41"/>
      <c r="M1030" s="41"/>
      <c r="N1030" s="41"/>
      <c r="O1030" s="41"/>
      <c r="P1030" s="41">
        <v>1.1813999414444001</v>
      </c>
      <c r="Q1030" s="41"/>
      <c r="R1030" s="41"/>
      <c r="S1030" s="41"/>
      <c r="T1030" s="41"/>
      <c r="U1030" s="41"/>
      <c r="V1030" s="41"/>
      <c r="W1030" s="41"/>
      <c r="X1030" s="41"/>
      <c r="Y1030" s="41"/>
      <c r="Z1030" s="41"/>
      <c r="AA1030" s="41">
        <v>1.4581999778747601</v>
      </c>
      <c r="AB1030" s="41"/>
      <c r="AC1030" s="41"/>
      <c r="AD1030" s="41"/>
      <c r="AE1030" s="41"/>
      <c r="AF1030" s="41"/>
      <c r="AG1030" s="41"/>
      <c r="AH1030" s="41"/>
      <c r="AI1030" s="41"/>
      <c r="AJ1030" s="41">
        <v>2.4964001178999999</v>
      </c>
      <c r="AK1030" s="41"/>
      <c r="AL1030" s="41"/>
      <c r="AM1030" s="41"/>
      <c r="AN1030" s="41"/>
      <c r="AO1030" s="41"/>
      <c r="AP1030" s="41"/>
      <c r="AQ1030" s="41">
        <v>2.2999999522999999</v>
      </c>
      <c r="AR1030" s="41"/>
      <c r="AS1030" s="41"/>
      <c r="AT1030" s="41">
        <v>2.2999999999999998</v>
      </c>
      <c r="AU1030" s="41">
        <v>3.2</v>
      </c>
      <c r="AV1030" s="41">
        <v>2.2000000000000002</v>
      </c>
      <c r="AW1030" s="41">
        <v>2.2000000000000002</v>
      </c>
      <c r="AX1030" s="41">
        <v>2.2000000000000002</v>
      </c>
      <c r="AY1030" s="41">
        <v>2.2999999999999998</v>
      </c>
      <c r="AZ1030" s="41">
        <v>2.2999999999999998</v>
      </c>
      <c r="BA1030" s="41">
        <v>2.2000000000000002</v>
      </c>
      <c r="BB1030" s="41">
        <v>2.2000000000000002</v>
      </c>
      <c r="BC1030" s="41">
        <v>2.2000000000000002</v>
      </c>
      <c r="BD1030" s="41">
        <v>2.2000000000000002</v>
      </c>
      <c r="BE1030" s="41">
        <v>2.1</v>
      </c>
      <c r="BF1030" s="41">
        <v>2.1</v>
      </c>
      <c r="BG1030" s="41">
        <v>2.2000000000000002</v>
      </c>
      <c r="BH1030" s="41">
        <v>2.7</v>
      </c>
      <c r="BI1030" s="41"/>
      <c r="BJ1030" s="41"/>
      <c r="BK1030" s="41"/>
      <c r="BL1030" s="41"/>
      <c r="BM1030" s="41"/>
      <c r="BN1030" s="54">
        <f t="shared" si="18"/>
        <v>2.7</v>
      </c>
    </row>
    <row r="1031" spans="2:66" x14ac:dyDescent="0.35">
      <c r="B1031" s="41" t="s">
        <v>233</v>
      </c>
      <c r="C1031" s="41" t="s">
        <v>125</v>
      </c>
      <c r="D1031" s="41" t="s">
        <v>628</v>
      </c>
      <c r="E1031" s="41" t="s">
        <v>629</v>
      </c>
      <c r="F1031" s="41">
        <v>1.0065009593963601</v>
      </c>
      <c r="G1031" s="41"/>
      <c r="H1031" s="41"/>
      <c r="I1031" s="41"/>
      <c r="J1031" s="41"/>
      <c r="K1031" s="41"/>
      <c r="L1031" s="41"/>
      <c r="M1031" s="41"/>
      <c r="N1031" s="41"/>
      <c r="O1031" s="41"/>
      <c r="P1031" s="41">
        <v>1.0426000356674201</v>
      </c>
      <c r="Q1031" s="41"/>
      <c r="R1031" s="41"/>
      <c r="S1031" s="41"/>
      <c r="T1031" s="41"/>
      <c r="U1031" s="41">
        <v>0.9932000041008</v>
      </c>
      <c r="V1031" s="41"/>
      <c r="W1031" s="41"/>
      <c r="X1031" s="41"/>
      <c r="Y1031" s="41"/>
      <c r="Z1031" s="41">
        <v>0.890699982643127</v>
      </c>
      <c r="AA1031" s="41">
        <v>0.87019997835159302</v>
      </c>
      <c r="AB1031" s="41"/>
      <c r="AC1031" s="41"/>
      <c r="AD1031" s="41"/>
      <c r="AE1031" s="41"/>
      <c r="AF1031" s="41"/>
      <c r="AG1031" s="41"/>
      <c r="AH1031" s="41"/>
      <c r="AI1031" s="41"/>
      <c r="AJ1031" s="41">
        <v>1.0880000591000001</v>
      </c>
      <c r="AK1031" s="41"/>
      <c r="AL1031" s="41"/>
      <c r="AM1031" s="41"/>
      <c r="AN1031" s="41"/>
      <c r="AO1031" s="41"/>
      <c r="AP1031" s="41"/>
      <c r="AQ1031" s="41"/>
      <c r="AR1031" s="41"/>
      <c r="AS1031" s="41"/>
      <c r="AT1031" s="41">
        <v>0.8</v>
      </c>
      <c r="AU1031" s="41">
        <v>0.7</v>
      </c>
      <c r="AV1031" s="41">
        <v>0.7</v>
      </c>
      <c r="AW1031" s="41">
        <v>0.7</v>
      </c>
      <c r="AX1031" s="41">
        <v>0.7</v>
      </c>
      <c r="AY1031" s="41">
        <v>0.7</v>
      </c>
      <c r="AZ1031" s="41">
        <v>0.7</v>
      </c>
      <c r="BA1031" s="41">
        <v>0.7</v>
      </c>
      <c r="BB1031" s="41">
        <v>0.7</v>
      </c>
      <c r="BC1031" s="41">
        <v>0.7</v>
      </c>
      <c r="BD1031" s="41">
        <v>0.7</v>
      </c>
      <c r="BE1031" s="41">
        <v>0.8</v>
      </c>
      <c r="BF1031" s="41">
        <v>0.8</v>
      </c>
      <c r="BG1031" s="41">
        <v>0.8</v>
      </c>
      <c r="BH1031" s="41"/>
      <c r="BI1031" s="41"/>
      <c r="BJ1031" s="41"/>
      <c r="BK1031" s="41"/>
      <c r="BL1031" s="41"/>
      <c r="BM1031" s="41"/>
      <c r="BN1031" s="54">
        <f t="shared" si="18"/>
        <v>0.8</v>
      </c>
    </row>
    <row r="1032" spans="2:66" x14ac:dyDescent="0.35">
      <c r="B1032" s="41" t="s">
        <v>212</v>
      </c>
      <c r="C1032" s="41" t="s">
        <v>126</v>
      </c>
      <c r="D1032" s="41" t="s">
        <v>628</v>
      </c>
      <c r="E1032" s="41" t="s">
        <v>629</v>
      </c>
      <c r="F1032" s="41">
        <v>1.3131471872329701</v>
      </c>
      <c r="G1032" s="41"/>
      <c r="H1032" s="41"/>
      <c r="I1032" s="41"/>
      <c r="J1032" s="41"/>
      <c r="K1032" s="41"/>
      <c r="L1032" s="41"/>
      <c r="M1032" s="41"/>
      <c r="N1032" s="41"/>
      <c r="O1032" s="41"/>
      <c r="P1032" s="41">
        <v>1.29849994182587</v>
      </c>
      <c r="Q1032" s="41"/>
      <c r="R1032" s="41"/>
      <c r="S1032" s="41"/>
      <c r="T1032" s="41"/>
      <c r="U1032" s="41">
        <v>1.29009997844696</v>
      </c>
      <c r="V1032" s="41"/>
      <c r="W1032" s="41"/>
      <c r="X1032" s="41"/>
      <c r="Y1032" s="41"/>
      <c r="Z1032" s="41"/>
      <c r="AA1032" s="41"/>
      <c r="AB1032" s="41"/>
      <c r="AC1032" s="41"/>
      <c r="AD1032" s="41"/>
      <c r="AE1032" s="41"/>
      <c r="AF1032" s="41"/>
      <c r="AG1032" s="41"/>
      <c r="AH1032" s="41"/>
      <c r="AI1032" s="41">
        <v>0.52399998903274503</v>
      </c>
      <c r="AJ1032" s="41">
        <v>0.72960001230000004</v>
      </c>
      <c r="AK1032" s="41"/>
      <c r="AL1032" s="41"/>
      <c r="AM1032" s="41"/>
      <c r="AN1032" s="41">
        <v>0.2475000024</v>
      </c>
      <c r="AO1032" s="41"/>
      <c r="AP1032" s="41">
        <v>0.44999998810000003</v>
      </c>
      <c r="AQ1032" s="41"/>
      <c r="AR1032" s="41">
        <v>0.40000000600000002</v>
      </c>
      <c r="AS1032" s="41"/>
      <c r="AT1032" s="41"/>
      <c r="AU1032" s="41"/>
      <c r="AV1032" s="41"/>
      <c r="AW1032" s="41"/>
      <c r="AX1032" s="41"/>
      <c r="AY1032" s="41"/>
      <c r="AZ1032" s="41"/>
      <c r="BA1032" s="41">
        <v>0.1</v>
      </c>
      <c r="BB1032" s="41">
        <v>0.3</v>
      </c>
      <c r="BC1032" s="41"/>
      <c r="BD1032" s="41"/>
      <c r="BE1032" s="41"/>
      <c r="BF1032" s="41"/>
      <c r="BG1032" s="41"/>
      <c r="BH1032" s="41"/>
      <c r="BI1032" s="41"/>
      <c r="BJ1032" s="41"/>
      <c r="BK1032" s="41"/>
      <c r="BL1032" s="41"/>
      <c r="BM1032" s="41"/>
      <c r="BN1032" s="54">
        <f t="shared" si="18"/>
        <v>0.3</v>
      </c>
    </row>
    <row r="1033" spans="2:66" x14ac:dyDescent="0.35">
      <c r="B1033" s="41" t="s">
        <v>515</v>
      </c>
      <c r="C1033" s="41" t="s">
        <v>127</v>
      </c>
      <c r="D1033" s="41" t="s">
        <v>628</v>
      </c>
      <c r="E1033" s="41" t="s">
        <v>629</v>
      </c>
      <c r="F1033" s="41">
        <v>4.3924665451049796</v>
      </c>
      <c r="G1033" s="41"/>
      <c r="H1033" s="41"/>
      <c r="I1033" s="41"/>
      <c r="J1033" s="41"/>
      <c r="K1033" s="41"/>
      <c r="L1033" s="41"/>
      <c r="M1033" s="41"/>
      <c r="N1033" s="41"/>
      <c r="O1033" s="41"/>
      <c r="P1033" s="41">
        <v>3.6982998847961399</v>
      </c>
      <c r="Q1033" s="41"/>
      <c r="R1033" s="41"/>
      <c r="S1033" s="41"/>
      <c r="T1033" s="41"/>
      <c r="U1033" s="41">
        <v>3.3333001136779798</v>
      </c>
      <c r="V1033" s="41"/>
      <c r="W1033" s="41"/>
      <c r="X1033" s="41"/>
      <c r="Y1033" s="41"/>
      <c r="Z1033" s="41">
        <v>3.9565000534057599</v>
      </c>
      <c r="AA1033" s="41">
        <v>3.9079999923706099</v>
      </c>
      <c r="AB1033" s="41"/>
      <c r="AC1033" s="41"/>
      <c r="AD1033" s="41"/>
      <c r="AE1033" s="41"/>
      <c r="AF1033" s="41"/>
      <c r="AG1033" s="41"/>
      <c r="AH1033" s="41"/>
      <c r="AI1033" s="41"/>
      <c r="AJ1033" s="41">
        <v>3.6078000068999998</v>
      </c>
      <c r="AK1033" s="41">
        <v>3.5471999644999999</v>
      </c>
      <c r="AL1033" s="41">
        <v>3.4514000415999999</v>
      </c>
      <c r="AM1033" s="41">
        <v>3.6426999569</v>
      </c>
      <c r="AN1033" s="41">
        <v>3.5652000903999999</v>
      </c>
      <c r="AO1033" s="41"/>
      <c r="AP1033" s="41"/>
      <c r="AQ1033" s="41"/>
      <c r="AR1033" s="41"/>
      <c r="AS1033" s="41"/>
      <c r="AT1033" s="41"/>
      <c r="AU1033" s="41">
        <v>2.9000000953999998</v>
      </c>
      <c r="AV1033" s="41"/>
      <c r="AW1033" s="41">
        <v>2.8</v>
      </c>
      <c r="AX1033" s="41"/>
      <c r="AY1033" s="41">
        <v>3.2</v>
      </c>
      <c r="AZ1033" s="41">
        <v>3.2</v>
      </c>
      <c r="BA1033" s="41">
        <v>3.22</v>
      </c>
      <c r="BB1033" s="41">
        <v>3.1</v>
      </c>
      <c r="BC1033" s="41"/>
      <c r="BD1033" s="41"/>
      <c r="BE1033" s="41">
        <v>2</v>
      </c>
      <c r="BF1033" s="41"/>
      <c r="BG1033" s="41">
        <v>2.1</v>
      </c>
      <c r="BH1033" s="41"/>
      <c r="BI1033" s="41">
        <v>2.4</v>
      </c>
      <c r="BJ1033" s="41"/>
      <c r="BK1033" s="41"/>
      <c r="BL1033" s="41"/>
      <c r="BM1033" s="41"/>
      <c r="BN1033" s="54">
        <f t="shared" si="18"/>
        <v>2.4</v>
      </c>
    </row>
    <row r="1034" spans="2:66" x14ac:dyDescent="0.35">
      <c r="B1034" s="41" t="s">
        <v>255</v>
      </c>
      <c r="C1034" s="41" t="s">
        <v>128</v>
      </c>
      <c r="D1034" s="41" t="s">
        <v>628</v>
      </c>
      <c r="E1034" s="41" t="s">
        <v>629</v>
      </c>
      <c r="F1034" s="41">
        <v>7.3305087089538601</v>
      </c>
      <c r="G1034" s="41"/>
      <c r="H1034" s="41"/>
      <c r="I1034" s="41"/>
      <c r="J1034" s="41"/>
      <c r="K1034" s="41"/>
      <c r="L1034" s="41"/>
      <c r="M1034" s="41"/>
      <c r="N1034" s="41"/>
      <c r="O1034" s="41"/>
      <c r="P1034" s="41">
        <v>7.3415999412536603</v>
      </c>
      <c r="Q1034" s="41"/>
      <c r="R1034" s="41"/>
      <c r="S1034" s="41"/>
      <c r="T1034" s="41"/>
      <c r="U1034" s="41"/>
      <c r="V1034" s="41"/>
      <c r="W1034" s="41"/>
      <c r="X1034" s="41"/>
      <c r="Y1034" s="41"/>
      <c r="Z1034" s="41"/>
      <c r="AA1034" s="41">
        <v>5.68289995193481</v>
      </c>
      <c r="AB1034" s="41"/>
      <c r="AC1034" s="41"/>
      <c r="AD1034" s="41"/>
      <c r="AE1034" s="41"/>
      <c r="AF1034" s="41"/>
      <c r="AG1034" s="41"/>
      <c r="AH1034" s="41"/>
      <c r="AI1034" s="41"/>
      <c r="AJ1034" s="41">
        <v>0.82810002569999996</v>
      </c>
      <c r="AK1034" s="41"/>
      <c r="AL1034" s="41">
        <v>2.7481000422999999</v>
      </c>
      <c r="AM1034" s="41"/>
      <c r="AN1034" s="41"/>
      <c r="AO1034" s="41"/>
      <c r="AP1034" s="41"/>
      <c r="AQ1034" s="41"/>
      <c r="AR1034" s="41"/>
      <c r="AS1034" s="41"/>
      <c r="AT1034" s="41"/>
      <c r="AU1034" s="41"/>
      <c r="AV1034" s="41"/>
      <c r="AW1034" s="41">
        <v>2.2000000000000002</v>
      </c>
      <c r="AX1034" s="41"/>
      <c r="AY1034" s="41">
        <v>1.4</v>
      </c>
      <c r="AZ1034" s="41"/>
      <c r="BA1034" s="41"/>
      <c r="BB1034" s="41"/>
      <c r="BC1034" s="41"/>
      <c r="BD1034" s="41"/>
      <c r="BE1034" s="41"/>
      <c r="BF1034" s="41">
        <v>1.4</v>
      </c>
      <c r="BG1034" s="41"/>
      <c r="BH1034" s="41"/>
      <c r="BI1034" s="41"/>
      <c r="BJ1034" s="41"/>
      <c r="BK1034" s="41"/>
      <c r="BL1034" s="41"/>
      <c r="BM1034" s="41"/>
      <c r="BN1034" s="54">
        <f t="shared" si="18"/>
        <v>1.4</v>
      </c>
    </row>
    <row r="1035" spans="2:66" x14ac:dyDescent="0.35">
      <c r="B1035" s="41" t="s">
        <v>214</v>
      </c>
      <c r="C1035" s="41" t="s">
        <v>129</v>
      </c>
      <c r="D1035" s="41" t="s">
        <v>628</v>
      </c>
      <c r="E1035" s="41" t="s">
        <v>629</v>
      </c>
      <c r="F1035" s="41">
        <v>0.77286922931671098</v>
      </c>
      <c r="G1035" s="41"/>
      <c r="H1035" s="41"/>
      <c r="I1035" s="41"/>
      <c r="J1035" s="41"/>
      <c r="K1035" s="41"/>
      <c r="L1035" s="41"/>
      <c r="M1035" s="41"/>
      <c r="N1035" s="41"/>
      <c r="O1035" s="41"/>
      <c r="P1035" s="41">
        <v>0.92549997568130504</v>
      </c>
      <c r="Q1035" s="41"/>
      <c r="R1035" s="41"/>
      <c r="S1035" s="41"/>
      <c r="T1035" s="41"/>
      <c r="U1035" s="41">
        <v>0.90689998865127597</v>
      </c>
      <c r="V1035" s="41"/>
      <c r="W1035" s="41"/>
      <c r="X1035" s="41"/>
      <c r="Y1035" s="41"/>
      <c r="Z1035" s="41">
        <v>1.21449995040894</v>
      </c>
      <c r="AA1035" s="41"/>
      <c r="AB1035" s="41"/>
      <c r="AC1035" s="41"/>
      <c r="AD1035" s="41"/>
      <c r="AE1035" s="41"/>
      <c r="AF1035" s="41"/>
      <c r="AG1035" s="41"/>
      <c r="AH1035" s="41"/>
      <c r="AI1035" s="41"/>
      <c r="AJ1035" s="41"/>
      <c r="AK1035" s="41"/>
      <c r="AL1035" s="41"/>
      <c r="AM1035" s="41"/>
      <c r="AN1035" s="41"/>
      <c r="AO1035" s="41"/>
      <c r="AP1035" s="41"/>
      <c r="AQ1035" s="41"/>
      <c r="AR1035" s="41"/>
      <c r="AS1035" s="41"/>
      <c r="AT1035" s="41"/>
      <c r="AU1035" s="41"/>
      <c r="AV1035" s="41"/>
      <c r="AW1035" s="41"/>
      <c r="AX1035" s="41"/>
      <c r="AY1035" s="41"/>
      <c r="AZ1035" s="41">
        <v>0.4</v>
      </c>
      <c r="BA1035" s="41"/>
      <c r="BB1035" s="41"/>
      <c r="BC1035" s="41"/>
      <c r="BD1035" s="41"/>
      <c r="BE1035" s="41"/>
      <c r="BF1035" s="41"/>
      <c r="BG1035" s="41"/>
      <c r="BH1035" s="41"/>
      <c r="BI1035" s="41"/>
      <c r="BJ1035" s="41"/>
      <c r="BK1035" s="41"/>
      <c r="BL1035" s="41"/>
      <c r="BM1035" s="41"/>
      <c r="BN1035" s="54">
        <f t="shared" si="18"/>
        <v>0.4</v>
      </c>
    </row>
    <row r="1036" spans="2:66" x14ac:dyDescent="0.35">
      <c r="B1036" s="41" t="s">
        <v>222</v>
      </c>
      <c r="C1036" s="41" t="s">
        <v>164</v>
      </c>
      <c r="D1036" s="41" t="s">
        <v>628</v>
      </c>
      <c r="E1036" s="41" t="s">
        <v>629</v>
      </c>
      <c r="F1036" s="41">
        <v>2.1834754943847701</v>
      </c>
      <c r="G1036" s="41"/>
      <c r="H1036" s="41"/>
      <c r="I1036" s="41"/>
      <c r="J1036" s="41"/>
      <c r="K1036" s="41"/>
      <c r="L1036" s="41"/>
      <c r="M1036" s="41"/>
      <c r="N1036" s="41"/>
      <c r="O1036" s="41"/>
      <c r="P1036" s="41">
        <v>1.90240001678467</v>
      </c>
      <c r="Q1036" s="41"/>
      <c r="R1036" s="41"/>
      <c r="S1036" s="41"/>
      <c r="T1036" s="41"/>
      <c r="U1036" s="41">
        <v>1.9850000143051101</v>
      </c>
      <c r="V1036" s="41"/>
      <c r="W1036" s="41"/>
      <c r="X1036" s="41"/>
      <c r="Y1036" s="41"/>
      <c r="Z1036" s="41"/>
      <c r="AA1036" s="41"/>
      <c r="AB1036" s="41"/>
      <c r="AC1036" s="41"/>
      <c r="AD1036" s="41"/>
      <c r="AE1036" s="41"/>
      <c r="AF1036" s="41"/>
      <c r="AG1036" s="41"/>
      <c r="AH1036" s="41"/>
      <c r="AI1036" s="41"/>
      <c r="AJ1036" s="41">
        <v>1.4710999727</v>
      </c>
      <c r="AK1036" s="41"/>
      <c r="AL1036" s="41"/>
      <c r="AM1036" s="41">
        <v>1.5</v>
      </c>
      <c r="AN1036" s="41"/>
      <c r="AO1036" s="41"/>
      <c r="AP1036" s="41">
        <v>1.6499999761999999</v>
      </c>
      <c r="AQ1036" s="41"/>
      <c r="AR1036" s="41"/>
      <c r="AS1036" s="41"/>
      <c r="AT1036" s="41"/>
      <c r="AU1036" s="41"/>
      <c r="AV1036" s="41"/>
      <c r="AW1036" s="41"/>
      <c r="AX1036" s="41"/>
      <c r="AY1036" s="41">
        <v>0.9</v>
      </c>
      <c r="AZ1036" s="41">
        <v>0.9</v>
      </c>
      <c r="BA1036" s="41">
        <v>0.7</v>
      </c>
      <c r="BB1036" s="41">
        <v>0.8</v>
      </c>
      <c r="BC1036" s="41">
        <v>1.1000000000000001</v>
      </c>
      <c r="BD1036" s="41">
        <v>1</v>
      </c>
      <c r="BE1036" s="41">
        <v>1</v>
      </c>
      <c r="BF1036" s="41">
        <v>1.1000000000000001</v>
      </c>
      <c r="BG1036" s="41">
        <v>1.1000000000000001</v>
      </c>
      <c r="BH1036" s="41">
        <v>1.3</v>
      </c>
      <c r="BI1036" s="41"/>
      <c r="BJ1036" s="41"/>
      <c r="BK1036" s="41"/>
      <c r="BL1036" s="41"/>
      <c r="BM1036" s="41"/>
      <c r="BN1036" s="54">
        <f t="shared" si="18"/>
        <v>1.3</v>
      </c>
    </row>
    <row r="1037" spans="2:66" x14ac:dyDescent="0.35">
      <c r="B1037" s="41" t="s">
        <v>512</v>
      </c>
      <c r="C1037" s="41" t="s">
        <v>130</v>
      </c>
      <c r="D1037" s="41" t="s">
        <v>628</v>
      </c>
      <c r="E1037" s="41" t="s">
        <v>629</v>
      </c>
      <c r="F1037" s="41"/>
      <c r="G1037" s="41"/>
      <c r="H1037" s="41"/>
      <c r="I1037" s="41"/>
      <c r="J1037" s="41"/>
      <c r="K1037" s="41"/>
      <c r="L1037" s="41"/>
      <c r="M1037" s="41"/>
      <c r="N1037" s="41"/>
      <c r="O1037" s="41"/>
      <c r="P1037" s="41"/>
      <c r="Q1037" s="41"/>
      <c r="R1037" s="41"/>
      <c r="S1037" s="41"/>
      <c r="T1037" s="41"/>
      <c r="U1037" s="41"/>
      <c r="V1037" s="41"/>
      <c r="W1037" s="41"/>
      <c r="X1037" s="41"/>
      <c r="Y1037" s="41"/>
      <c r="Z1037" s="41">
        <v>6.6719999313354501</v>
      </c>
      <c r="AA1037" s="41"/>
      <c r="AB1037" s="41"/>
      <c r="AC1037" s="41"/>
      <c r="AD1037" s="41">
        <v>6.8200001716613796</v>
      </c>
      <c r="AE1037" s="41">
        <v>6.7680001258850098</v>
      </c>
      <c r="AF1037" s="41">
        <v>6.6999998092651403</v>
      </c>
      <c r="AG1037" s="41">
        <v>6.6589999198913601</v>
      </c>
      <c r="AH1037" s="41">
        <v>7.65700006484985</v>
      </c>
      <c r="AI1037" s="41">
        <v>7.4450001716613796</v>
      </c>
      <c r="AJ1037" s="41">
        <v>7.1599998474</v>
      </c>
      <c r="AK1037" s="41"/>
      <c r="AL1037" s="41"/>
      <c r="AM1037" s="41"/>
      <c r="AN1037" s="41"/>
      <c r="AO1037" s="41"/>
      <c r="AP1037" s="41"/>
      <c r="AQ1037" s="41"/>
      <c r="AR1037" s="41"/>
      <c r="AS1037" s="41"/>
      <c r="AT1037" s="41"/>
      <c r="AU1037" s="41"/>
      <c r="AV1037" s="41"/>
      <c r="AW1037" s="41"/>
      <c r="AX1037" s="41"/>
      <c r="AY1037" s="41"/>
      <c r="AZ1037" s="41"/>
      <c r="BA1037" s="41"/>
      <c r="BB1037" s="41"/>
      <c r="BC1037" s="41"/>
      <c r="BD1037" s="41"/>
      <c r="BE1037" s="41">
        <v>3.85</v>
      </c>
      <c r="BF1037" s="41">
        <v>3.8</v>
      </c>
      <c r="BG1037" s="41"/>
      <c r="BH1037" s="41"/>
      <c r="BI1037" s="41"/>
      <c r="BJ1037" s="41"/>
      <c r="BK1037" s="41"/>
      <c r="BL1037" s="41"/>
      <c r="BM1037" s="41"/>
      <c r="BN1037" s="54">
        <f t="shared" si="18"/>
        <v>3.8</v>
      </c>
    </row>
    <row r="1038" spans="2:66" x14ac:dyDescent="0.35">
      <c r="B1038" s="41" t="s">
        <v>232</v>
      </c>
      <c r="C1038" s="41" t="s">
        <v>171</v>
      </c>
      <c r="D1038" s="41" t="s">
        <v>628</v>
      </c>
      <c r="E1038" s="41" t="s">
        <v>629</v>
      </c>
      <c r="F1038" s="41">
        <v>1.35531914234161</v>
      </c>
      <c r="G1038" s="41"/>
      <c r="H1038" s="41"/>
      <c r="I1038" s="41"/>
      <c r="J1038" s="41"/>
      <c r="K1038" s="41"/>
      <c r="L1038" s="41"/>
      <c r="M1038" s="41"/>
      <c r="N1038" s="41"/>
      <c r="O1038" s="41"/>
      <c r="P1038" s="41">
        <v>1.3557000160217301</v>
      </c>
      <c r="Q1038" s="41"/>
      <c r="R1038" s="41"/>
      <c r="S1038" s="41"/>
      <c r="T1038" s="41"/>
      <c r="U1038" s="41">
        <v>1.4220000505447401</v>
      </c>
      <c r="V1038" s="41"/>
      <c r="W1038" s="41"/>
      <c r="X1038" s="41"/>
      <c r="Y1038" s="41"/>
      <c r="Z1038" s="41"/>
      <c r="AA1038" s="41"/>
      <c r="AB1038" s="41"/>
      <c r="AC1038" s="41"/>
      <c r="AD1038" s="41"/>
      <c r="AE1038" s="41"/>
      <c r="AF1038" s="41"/>
      <c r="AG1038" s="41"/>
      <c r="AH1038" s="41">
        <v>0.906300008296967</v>
      </c>
      <c r="AI1038" s="41"/>
      <c r="AJ1038" s="41">
        <v>0.75349998470000001</v>
      </c>
      <c r="AK1038" s="41"/>
      <c r="AL1038" s="41"/>
      <c r="AM1038" s="41"/>
      <c r="AN1038" s="41"/>
      <c r="AO1038" s="41"/>
      <c r="AP1038" s="41"/>
      <c r="AQ1038" s="41">
        <v>0.40000000600000002</v>
      </c>
      <c r="AR1038" s="41"/>
      <c r="AS1038" s="41"/>
      <c r="AT1038" s="41">
        <v>0.4</v>
      </c>
      <c r="AU1038" s="41">
        <v>0.4</v>
      </c>
      <c r="AV1038" s="41">
        <v>0.4</v>
      </c>
      <c r="AW1038" s="41">
        <v>0.4</v>
      </c>
      <c r="AX1038" s="41">
        <v>0.4</v>
      </c>
      <c r="AY1038" s="41"/>
      <c r="AZ1038" s="41"/>
      <c r="BA1038" s="41"/>
      <c r="BB1038" s="41"/>
      <c r="BC1038" s="41"/>
      <c r="BD1038" s="41"/>
      <c r="BE1038" s="41"/>
      <c r="BF1038" s="41"/>
      <c r="BG1038" s="41">
        <v>0.9</v>
      </c>
      <c r="BH1038" s="41">
        <v>0.9</v>
      </c>
      <c r="BI1038" s="41"/>
      <c r="BJ1038" s="41"/>
      <c r="BK1038" s="41"/>
      <c r="BL1038" s="41"/>
      <c r="BM1038" s="41"/>
      <c r="BN1038" s="54">
        <f t="shared" si="18"/>
        <v>0.9</v>
      </c>
    </row>
    <row r="1039" spans="2:66" x14ac:dyDescent="0.35">
      <c r="B1039" s="41" t="s">
        <v>514</v>
      </c>
      <c r="C1039" s="41" t="s">
        <v>131</v>
      </c>
      <c r="D1039" s="41" t="s">
        <v>628</v>
      </c>
      <c r="E1039" s="41" t="s">
        <v>629</v>
      </c>
      <c r="F1039" s="41"/>
      <c r="G1039" s="41"/>
      <c r="H1039" s="41"/>
      <c r="I1039" s="41"/>
      <c r="J1039" s="41"/>
      <c r="K1039" s="41"/>
      <c r="L1039" s="41"/>
      <c r="M1039" s="41"/>
      <c r="N1039" s="41"/>
      <c r="O1039" s="41"/>
      <c r="P1039" s="41"/>
      <c r="Q1039" s="41"/>
      <c r="R1039" s="41"/>
      <c r="S1039" s="41"/>
      <c r="T1039" s="41"/>
      <c r="U1039" s="41"/>
      <c r="V1039" s="41"/>
      <c r="W1039" s="41"/>
      <c r="X1039" s="41"/>
      <c r="Y1039" s="41"/>
      <c r="Z1039" s="41"/>
      <c r="AA1039" s="41"/>
      <c r="AB1039" s="41"/>
      <c r="AC1039" s="41"/>
      <c r="AD1039" s="41"/>
      <c r="AE1039" s="41"/>
      <c r="AF1039" s="41"/>
      <c r="AG1039" s="41"/>
      <c r="AH1039" s="41"/>
      <c r="AI1039" s="41"/>
      <c r="AJ1039" s="41"/>
      <c r="AK1039" s="41"/>
      <c r="AL1039" s="41"/>
      <c r="AM1039" s="41"/>
      <c r="AN1039" s="41"/>
      <c r="AO1039" s="41"/>
      <c r="AP1039" s="41"/>
      <c r="AQ1039" s="41"/>
      <c r="AR1039" s="41"/>
      <c r="AS1039" s="41"/>
      <c r="AT1039" s="41"/>
      <c r="AU1039" s="41"/>
      <c r="AV1039" s="41"/>
      <c r="AW1039" s="41"/>
      <c r="AX1039" s="41"/>
      <c r="AY1039" s="41">
        <v>5.9</v>
      </c>
      <c r="AZ1039" s="41">
        <v>5.7</v>
      </c>
      <c r="BA1039" s="41">
        <v>5.5</v>
      </c>
      <c r="BB1039" s="41">
        <v>5.5</v>
      </c>
      <c r="BC1039" s="41">
        <v>5.4</v>
      </c>
      <c r="BD1039" s="41">
        <v>5.6</v>
      </c>
      <c r="BE1039" s="41">
        <v>5.6</v>
      </c>
      <c r="BF1039" s="41">
        <v>5.7</v>
      </c>
      <c r="BG1039" s="41"/>
      <c r="BH1039" s="41"/>
      <c r="BI1039" s="41"/>
      <c r="BJ1039" s="41"/>
      <c r="BK1039" s="41"/>
      <c r="BL1039" s="41"/>
      <c r="BM1039" s="41"/>
      <c r="BN1039" s="54">
        <f t="shared" si="18"/>
        <v>5.7</v>
      </c>
    </row>
    <row r="1040" spans="2:66" x14ac:dyDescent="0.35">
      <c r="B1040" s="41" t="s">
        <v>539</v>
      </c>
      <c r="C1040" s="41" t="s">
        <v>540</v>
      </c>
      <c r="D1040" s="41" t="s">
        <v>628</v>
      </c>
      <c r="E1040" s="41" t="s">
        <v>629</v>
      </c>
      <c r="F1040" s="41">
        <v>1.3981141694174462</v>
      </c>
      <c r="G1040" s="41"/>
      <c r="H1040" s="41"/>
      <c r="I1040" s="41"/>
      <c r="J1040" s="41"/>
      <c r="K1040" s="41"/>
      <c r="L1040" s="41"/>
      <c r="M1040" s="41"/>
      <c r="N1040" s="41"/>
      <c r="O1040" s="41"/>
      <c r="P1040" s="41">
        <v>1.3575028036866947</v>
      </c>
      <c r="Q1040" s="41"/>
      <c r="R1040" s="41"/>
      <c r="S1040" s="41"/>
      <c r="T1040" s="41"/>
      <c r="U1040" s="41">
        <v>1.2777320631294817</v>
      </c>
      <c r="V1040" s="41"/>
      <c r="W1040" s="41"/>
      <c r="X1040" s="41"/>
      <c r="Y1040" s="41"/>
      <c r="Z1040" s="41"/>
      <c r="AA1040" s="41"/>
      <c r="AB1040" s="41"/>
      <c r="AC1040" s="41"/>
      <c r="AD1040" s="41"/>
      <c r="AE1040" s="41"/>
      <c r="AF1040" s="41"/>
      <c r="AG1040" s="41"/>
      <c r="AH1040" s="41"/>
      <c r="AI1040" s="41"/>
      <c r="AJ1040" s="41">
        <v>1.2125754223136325</v>
      </c>
      <c r="AK1040" s="41"/>
      <c r="AL1040" s="41"/>
      <c r="AM1040" s="41"/>
      <c r="AN1040" s="41"/>
      <c r="AO1040" s="41"/>
      <c r="AP1040" s="41"/>
      <c r="AQ1040" s="41"/>
      <c r="AR1040" s="41"/>
      <c r="AS1040" s="41"/>
      <c r="AT1040" s="41"/>
      <c r="AU1040" s="41"/>
      <c r="AV1040" s="41"/>
      <c r="AW1040" s="41"/>
      <c r="AX1040" s="41"/>
      <c r="AY1040" s="41"/>
      <c r="AZ1040" s="41"/>
      <c r="BA1040" s="41"/>
      <c r="BB1040" s="41"/>
      <c r="BC1040" s="41"/>
      <c r="BD1040" s="41"/>
      <c r="BE1040" s="41"/>
      <c r="BF1040" s="41"/>
      <c r="BG1040" s="41"/>
      <c r="BH1040" s="41"/>
      <c r="BI1040" s="41"/>
      <c r="BJ1040" s="41"/>
      <c r="BK1040" s="41"/>
      <c r="BL1040" s="41"/>
      <c r="BM1040" s="41"/>
      <c r="BN1040" s="54">
        <f t="shared" si="18"/>
        <v>1.2125754223136325</v>
      </c>
    </row>
    <row r="1041" spans="2:66" x14ac:dyDescent="0.35">
      <c r="B1041" s="41" t="s">
        <v>527</v>
      </c>
      <c r="C1041" s="41" t="s">
        <v>528</v>
      </c>
      <c r="D1041" s="41" t="s">
        <v>628</v>
      </c>
      <c r="E1041" s="41" t="s">
        <v>629</v>
      </c>
      <c r="F1041" s="41"/>
      <c r="G1041" s="41"/>
      <c r="H1041" s="41"/>
      <c r="I1041" s="41"/>
      <c r="J1041" s="41"/>
      <c r="K1041" s="41"/>
      <c r="L1041" s="41"/>
      <c r="M1041" s="41"/>
      <c r="N1041" s="41"/>
      <c r="O1041" s="41"/>
      <c r="P1041" s="41"/>
      <c r="Q1041" s="41"/>
      <c r="R1041" s="41"/>
      <c r="S1041" s="41"/>
      <c r="T1041" s="41"/>
      <c r="U1041" s="41"/>
      <c r="V1041" s="41"/>
      <c r="W1041" s="41"/>
      <c r="X1041" s="41"/>
      <c r="Y1041" s="41"/>
      <c r="Z1041" s="41"/>
      <c r="AA1041" s="41"/>
      <c r="AB1041" s="41"/>
      <c r="AC1041" s="41"/>
      <c r="AD1041" s="41"/>
      <c r="AE1041" s="41"/>
      <c r="AF1041" s="41"/>
      <c r="AG1041" s="41"/>
      <c r="AH1041" s="41"/>
      <c r="AI1041" s="41"/>
      <c r="AJ1041" s="41"/>
      <c r="AK1041" s="41"/>
      <c r="AL1041" s="41"/>
      <c r="AM1041" s="41"/>
      <c r="AN1041" s="41"/>
      <c r="AO1041" s="41"/>
      <c r="AP1041" s="41"/>
      <c r="AQ1041" s="41"/>
      <c r="AR1041" s="41"/>
      <c r="AS1041" s="41"/>
      <c r="AT1041" s="41"/>
      <c r="AU1041" s="41"/>
      <c r="AV1041" s="41"/>
      <c r="AW1041" s="41"/>
      <c r="AX1041" s="41"/>
      <c r="AY1041" s="41"/>
      <c r="AZ1041" s="41"/>
      <c r="BA1041" s="41"/>
      <c r="BB1041" s="41"/>
      <c r="BC1041" s="41"/>
      <c r="BD1041" s="41"/>
      <c r="BE1041" s="41"/>
      <c r="BF1041" s="41"/>
      <c r="BG1041" s="41"/>
      <c r="BH1041" s="41"/>
      <c r="BI1041" s="41"/>
      <c r="BJ1041" s="41"/>
      <c r="BK1041" s="41"/>
      <c r="BL1041" s="41"/>
      <c r="BM1041" s="41"/>
      <c r="BN1041" s="54" t="str">
        <f t="shared" si="18"/>
        <v>No reported value</v>
      </c>
    </row>
    <row r="1042" spans="2:66" x14ac:dyDescent="0.35">
      <c r="B1042" s="41" t="s">
        <v>537</v>
      </c>
      <c r="C1042" s="41" t="s">
        <v>538</v>
      </c>
      <c r="D1042" s="41" t="s">
        <v>628</v>
      </c>
      <c r="E1042" s="41" t="s">
        <v>629</v>
      </c>
      <c r="F1042" s="41">
        <v>1.3992890315360274</v>
      </c>
      <c r="G1042" s="41"/>
      <c r="H1042" s="41"/>
      <c r="I1042" s="41"/>
      <c r="J1042" s="41"/>
      <c r="K1042" s="41"/>
      <c r="L1042" s="41"/>
      <c r="M1042" s="41"/>
      <c r="N1042" s="41"/>
      <c r="O1042" s="41"/>
      <c r="P1042" s="41">
        <v>1.3586140938132971</v>
      </c>
      <c r="Q1042" s="41"/>
      <c r="R1042" s="41"/>
      <c r="S1042" s="41"/>
      <c r="T1042" s="41"/>
      <c r="U1042" s="41">
        <v>1.2786763405983781</v>
      </c>
      <c r="V1042" s="41"/>
      <c r="W1042" s="41"/>
      <c r="X1042" s="41"/>
      <c r="Y1042" s="41"/>
      <c r="Z1042" s="41"/>
      <c r="AA1042" s="41"/>
      <c r="AB1042" s="41"/>
      <c r="AC1042" s="41"/>
      <c r="AD1042" s="41"/>
      <c r="AE1042" s="41"/>
      <c r="AF1042" s="41"/>
      <c r="AG1042" s="41"/>
      <c r="AH1042" s="41"/>
      <c r="AI1042" s="41"/>
      <c r="AJ1042" s="41">
        <v>1.2125754223136325</v>
      </c>
      <c r="AK1042" s="41"/>
      <c r="AL1042" s="41"/>
      <c r="AM1042" s="41"/>
      <c r="AN1042" s="41"/>
      <c r="AO1042" s="41"/>
      <c r="AP1042" s="41"/>
      <c r="AQ1042" s="41"/>
      <c r="AR1042" s="41"/>
      <c r="AS1042" s="41"/>
      <c r="AT1042" s="41"/>
      <c r="AU1042" s="41"/>
      <c r="AV1042" s="41"/>
      <c r="AW1042" s="41"/>
      <c r="AX1042" s="41"/>
      <c r="AY1042" s="41"/>
      <c r="AZ1042" s="41"/>
      <c r="BA1042" s="41"/>
      <c r="BB1042" s="41"/>
      <c r="BC1042" s="41"/>
      <c r="BD1042" s="41"/>
      <c r="BE1042" s="41"/>
      <c r="BF1042" s="41"/>
      <c r="BG1042" s="41"/>
      <c r="BH1042" s="41"/>
      <c r="BI1042" s="41"/>
      <c r="BJ1042" s="41"/>
      <c r="BK1042" s="41"/>
      <c r="BL1042" s="41"/>
      <c r="BM1042" s="41"/>
      <c r="BN1042" s="54">
        <f t="shared" si="18"/>
        <v>1.2125754223136325</v>
      </c>
    </row>
    <row r="1043" spans="2:66" x14ac:dyDescent="0.35">
      <c r="B1043" s="41" t="s">
        <v>521</v>
      </c>
      <c r="C1043" s="41" t="s">
        <v>522</v>
      </c>
      <c r="D1043" s="41" t="s">
        <v>628</v>
      </c>
      <c r="E1043" s="41" t="s">
        <v>629</v>
      </c>
      <c r="F1043" s="41">
        <v>4.5751541174817412</v>
      </c>
      <c r="G1043" s="41"/>
      <c r="H1043" s="41"/>
      <c r="I1043" s="41"/>
      <c r="J1043" s="41"/>
      <c r="K1043" s="41"/>
      <c r="L1043" s="41"/>
      <c r="M1043" s="41"/>
      <c r="N1043" s="41"/>
      <c r="O1043" s="41"/>
      <c r="P1043" s="41"/>
      <c r="Q1043" s="41"/>
      <c r="R1043" s="41"/>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41"/>
      <c r="BC1043" s="41"/>
      <c r="BD1043" s="41"/>
      <c r="BE1043" s="41"/>
      <c r="BF1043" s="41"/>
      <c r="BG1043" s="41"/>
      <c r="BH1043" s="41"/>
      <c r="BI1043" s="41"/>
      <c r="BJ1043" s="41"/>
      <c r="BK1043" s="41"/>
      <c r="BL1043" s="41"/>
      <c r="BM1043" s="41"/>
      <c r="BN1043" s="54">
        <f t="shared" si="18"/>
        <v>4.5751541174817412</v>
      </c>
    </row>
    <row r="1044" spans="2:66" x14ac:dyDescent="0.35">
      <c r="B1044" s="41" t="s">
        <v>211</v>
      </c>
      <c r="C1044" s="41" t="s">
        <v>175</v>
      </c>
      <c r="D1044" s="41" t="s">
        <v>628</v>
      </c>
      <c r="E1044" s="41" t="s">
        <v>629</v>
      </c>
      <c r="F1044" s="41">
        <v>40.315456390380902</v>
      </c>
      <c r="G1044" s="41"/>
      <c r="H1044" s="41"/>
      <c r="I1044" s="41"/>
      <c r="J1044" s="41"/>
      <c r="K1044" s="41"/>
      <c r="L1044" s="41"/>
      <c r="M1044" s="41"/>
      <c r="N1044" s="41"/>
      <c r="O1044" s="41"/>
      <c r="P1044" s="41">
        <v>26.7122993469238</v>
      </c>
      <c r="Q1044" s="41"/>
      <c r="R1044" s="41"/>
      <c r="S1044" s="41"/>
      <c r="T1044" s="41"/>
      <c r="U1044" s="41"/>
      <c r="V1044" s="41"/>
      <c r="W1044" s="41"/>
      <c r="X1044" s="41"/>
      <c r="Y1044" s="41"/>
      <c r="Z1044" s="41"/>
      <c r="AA1044" s="41"/>
      <c r="AB1044" s="41"/>
      <c r="AC1044" s="41"/>
      <c r="AD1044" s="41"/>
      <c r="AE1044" s="41"/>
      <c r="AF1044" s="41"/>
      <c r="AG1044" s="41"/>
      <c r="AH1044" s="41"/>
      <c r="AI1044" s="41"/>
      <c r="AJ1044" s="41"/>
      <c r="AK1044" s="41">
        <v>4.7372999190999998</v>
      </c>
      <c r="AL1044" s="41"/>
      <c r="AM1044" s="41"/>
      <c r="AN1044" s="41"/>
      <c r="AO1044" s="41"/>
      <c r="AP1044" s="41"/>
      <c r="AQ1044" s="41"/>
      <c r="AR1044" s="41"/>
      <c r="AS1044" s="41"/>
      <c r="AT1044" s="41"/>
      <c r="AU1044" s="41"/>
      <c r="AV1044" s="41"/>
      <c r="AW1044" s="41">
        <v>3.2</v>
      </c>
      <c r="AX1044" s="41"/>
      <c r="AY1044" s="41"/>
      <c r="AZ1044" s="41">
        <v>3.2</v>
      </c>
      <c r="BA1044" s="41"/>
      <c r="BB1044" s="41"/>
      <c r="BC1044" s="41"/>
      <c r="BD1044" s="41"/>
      <c r="BE1044" s="41">
        <v>2.9</v>
      </c>
      <c r="BF1044" s="41"/>
      <c r="BG1044" s="41"/>
      <c r="BH1044" s="41"/>
      <c r="BI1044" s="41"/>
      <c r="BJ1044" s="41"/>
      <c r="BK1044" s="41"/>
      <c r="BL1044" s="41"/>
      <c r="BM1044" s="41"/>
      <c r="BN1044" s="54">
        <f t="shared" si="18"/>
        <v>2.9</v>
      </c>
    </row>
    <row r="1045" spans="2:66" x14ac:dyDescent="0.35">
      <c r="B1045" s="41" t="s">
        <v>229</v>
      </c>
      <c r="C1045" s="41" t="s">
        <v>170</v>
      </c>
      <c r="D1045" s="41" t="s">
        <v>628</v>
      </c>
      <c r="E1045" s="41" t="s">
        <v>629</v>
      </c>
      <c r="F1045" s="41">
        <v>6.5103449821472203</v>
      </c>
      <c r="G1045" s="41"/>
      <c r="H1045" s="41"/>
      <c r="I1045" s="41"/>
      <c r="J1045" s="41"/>
      <c r="K1045" s="41"/>
      <c r="L1045" s="41"/>
      <c r="M1045" s="41"/>
      <c r="N1045" s="41"/>
      <c r="O1045" s="41"/>
      <c r="P1045" s="41">
        <v>5.6774001121520996</v>
      </c>
      <c r="Q1045" s="41"/>
      <c r="R1045" s="41"/>
      <c r="S1045" s="41"/>
      <c r="T1045" s="41"/>
      <c r="U1045" s="41"/>
      <c r="V1045" s="41"/>
      <c r="W1045" s="41"/>
      <c r="X1045" s="41"/>
      <c r="Y1045" s="41"/>
      <c r="Z1045" s="41">
        <v>8.9267997741699201</v>
      </c>
      <c r="AA1045" s="41"/>
      <c r="AB1045" s="41"/>
      <c r="AC1045" s="41"/>
      <c r="AD1045" s="41"/>
      <c r="AE1045" s="41"/>
      <c r="AF1045" s="41"/>
      <c r="AG1045" s="41"/>
      <c r="AH1045" s="41"/>
      <c r="AI1045" s="41"/>
      <c r="AJ1045" s="41">
        <v>5.6999998093000004</v>
      </c>
      <c r="AK1045" s="41"/>
      <c r="AL1045" s="41"/>
      <c r="AM1045" s="41"/>
      <c r="AN1045" s="41"/>
      <c r="AO1045" s="41">
        <v>3.1</v>
      </c>
      <c r="AP1045" s="41">
        <v>3.7400000095000001</v>
      </c>
      <c r="AQ1045" s="41"/>
      <c r="AR1045" s="41"/>
      <c r="AS1045" s="41"/>
      <c r="AT1045" s="41">
        <v>3.9</v>
      </c>
      <c r="AU1045" s="41">
        <v>3.5999999046000002</v>
      </c>
      <c r="AV1045" s="41"/>
      <c r="AW1045" s="41"/>
      <c r="AX1045" s="41">
        <v>3.1</v>
      </c>
      <c r="AY1045" s="41"/>
      <c r="AZ1045" s="41">
        <v>3.3</v>
      </c>
      <c r="BA1045" s="41">
        <v>3.1</v>
      </c>
      <c r="BB1045" s="41"/>
      <c r="BC1045" s="41">
        <v>2.6</v>
      </c>
      <c r="BD1045" s="41">
        <v>3.1</v>
      </c>
      <c r="BE1045" s="41"/>
      <c r="BF1045" s="41"/>
      <c r="BG1045" s="41"/>
      <c r="BH1045" s="41"/>
      <c r="BI1045" s="41"/>
      <c r="BJ1045" s="41"/>
      <c r="BK1045" s="41"/>
      <c r="BL1045" s="41"/>
      <c r="BM1045" s="41"/>
      <c r="BN1045" s="54">
        <f t="shared" si="18"/>
        <v>3.1</v>
      </c>
    </row>
    <row r="1046" spans="2:66" x14ac:dyDescent="0.35">
      <c r="B1046" s="41" t="s">
        <v>518</v>
      </c>
      <c r="C1046" s="41" t="s">
        <v>519</v>
      </c>
      <c r="D1046" s="41" t="s">
        <v>628</v>
      </c>
      <c r="E1046" s="41" t="s">
        <v>629</v>
      </c>
      <c r="F1046" s="41"/>
      <c r="G1046" s="41"/>
      <c r="H1046" s="41"/>
      <c r="I1046" s="41"/>
      <c r="J1046" s="41"/>
      <c r="K1046" s="41"/>
      <c r="L1046" s="41"/>
      <c r="M1046" s="41"/>
      <c r="N1046" s="41"/>
      <c r="O1046" s="41"/>
      <c r="P1046" s="41"/>
      <c r="Q1046" s="41"/>
      <c r="R1046" s="41"/>
      <c r="S1046" s="41"/>
      <c r="T1046" s="41"/>
      <c r="U1046" s="41"/>
      <c r="V1046" s="41"/>
      <c r="W1046" s="41"/>
      <c r="X1046" s="41"/>
      <c r="Y1046" s="41"/>
      <c r="Z1046" s="41"/>
      <c r="AA1046" s="41"/>
      <c r="AB1046" s="41"/>
      <c r="AC1046" s="41"/>
      <c r="AD1046" s="41"/>
      <c r="AE1046" s="41">
        <v>8.9547100000000004</v>
      </c>
      <c r="AF1046" s="41">
        <v>8.9422200000000007</v>
      </c>
      <c r="AG1046" s="41">
        <v>8.9505099999999995</v>
      </c>
      <c r="AH1046" s="41">
        <v>8.8131599999999999</v>
      </c>
      <c r="AI1046" s="41">
        <v>8.8163099999999996</v>
      </c>
      <c r="AJ1046" s="41">
        <v>7.4482002258</v>
      </c>
      <c r="AK1046" s="41">
        <v>7.5778999329000003</v>
      </c>
      <c r="AL1046" s="41">
        <v>7.5609002112999999</v>
      </c>
      <c r="AM1046" s="41">
        <v>7.8740000725000003</v>
      </c>
      <c r="AN1046" s="41">
        <v>7.0992999076999999</v>
      </c>
      <c r="AO1046" s="41"/>
      <c r="AP1046" s="41">
        <v>8.3000001907000005</v>
      </c>
      <c r="AQ1046" s="41">
        <v>8.1000003814999992</v>
      </c>
      <c r="AR1046" s="41">
        <v>8</v>
      </c>
      <c r="AS1046" s="41">
        <v>8</v>
      </c>
      <c r="AT1046" s="41">
        <v>7.8</v>
      </c>
      <c r="AU1046" s="41">
        <v>7.7</v>
      </c>
      <c r="AV1046" s="41">
        <v>7.6</v>
      </c>
      <c r="AW1046" s="41">
        <v>7.2</v>
      </c>
      <c r="AX1046" s="41">
        <v>6.9</v>
      </c>
      <c r="AY1046" s="41">
        <v>6.8</v>
      </c>
      <c r="AZ1046" s="41">
        <v>6.7</v>
      </c>
      <c r="BA1046" s="41">
        <v>6.8</v>
      </c>
      <c r="BB1046" s="41">
        <v>6.6</v>
      </c>
      <c r="BC1046" s="41">
        <v>6.5</v>
      </c>
      <c r="BD1046" s="41">
        <v>6.4</v>
      </c>
      <c r="BE1046" s="41">
        <v>6.1</v>
      </c>
      <c r="BF1046" s="41">
        <v>5.9</v>
      </c>
      <c r="BG1046" s="41">
        <v>5.8</v>
      </c>
      <c r="BH1046" s="41"/>
      <c r="BI1046" s="41">
        <v>5.8</v>
      </c>
      <c r="BJ1046" s="41"/>
      <c r="BK1046" s="41"/>
      <c r="BL1046" s="41"/>
      <c r="BM1046" s="41"/>
      <c r="BN1046" s="54">
        <f t="shared" si="18"/>
        <v>5.8</v>
      </c>
    </row>
    <row r="1047" spans="2:66" x14ac:dyDescent="0.35">
      <c r="B1047" s="41" t="s">
        <v>520</v>
      </c>
      <c r="C1047" s="41" t="s">
        <v>132</v>
      </c>
      <c r="D1047" s="41" t="s">
        <v>628</v>
      </c>
      <c r="E1047" s="41" t="s">
        <v>629</v>
      </c>
      <c r="F1047" s="41"/>
      <c r="G1047" s="41"/>
      <c r="H1047" s="41"/>
      <c r="I1047" s="41"/>
      <c r="J1047" s="41"/>
      <c r="K1047" s="41"/>
      <c r="L1047" s="41"/>
      <c r="M1047" s="41"/>
      <c r="N1047" s="41"/>
      <c r="O1047" s="41"/>
      <c r="P1047" s="41"/>
      <c r="Q1047" s="41"/>
      <c r="R1047" s="41"/>
      <c r="S1047" s="41"/>
      <c r="T1047" s="41"/>
      <c r="U1047" s="41"/>
      <c r="V1047" s="41"/>
      <c r="W1047" s="41"/>
      <c r="X1047" s="41"/>
      <c r="Y1047" s="41"/>
      <c r="Z1047" s="41">
        <v>6.9526000022888201</v>
      </c>
      <c r="AA1047" s="41"/>
      <c r="AB1047" s="41">
        <v>6.6795001029968297</v>
      </c>
      <c r="AC1047" s="41"/>
      <c r="AD1047" s="41">
        <v>6.5009999275207502</v>
      </c>
      <c r="AE1047" s="41">
        <v>6.3260998725891104</v>
      </c>
      <c r="AF1047" s="41">
        <v>6.2678999900817898</v>
      </c>
      <c r="AG1047" s="41">
        <v>6.2153000831604004</v>
      </c>
      <c r="AH1047" s="41">
        <v>6.13800001144409</v>
      </c>
      <c r="AI1047" s="41">
        <v>6.0633997917175302</v>
      </c>
      <c r="AJ1047" s="41">
        <v>6.0408000945999998</v>
      </c>
      <c r="AK1047" s="41">
        <v>6.0113000870000004</v>
      </c>
      <c r="AL1047" s="41">
        <v>5.9369997978000004</v>
      </c>
      <c r="AM1047" s="41">
        <v>5.8007001877000004</v>
      </c>
      <c r="AN1047" s="41">
        <v>5.7768998146000001</v>
      </c>
      <c r="AO1047" s="41">
        <v>5.75</v>
      </c>
      <c r="AP1047" s="41">
        <v>5.6599998474</v>
      </c>
      <c r="AQ1047" s="41">
        <v>5.6700000763</v>
      </c>
      <c r="AR1047" s="41">
        <v>5.6199998856000004</v>
      </c>
      <c r="AS1047" s="41">
        <v>5.5500001906999996</v>
      </c>
      <c r="AT1047" s="41">
        <v>5.4</v>
      </c>
      <c r="AU1047" s="41">
        <v>5.2</v>
      </c>
      <c r="AV1047" s="41">
        <v>5.0999999999999996</v>
      </c>
      <c r="AW1047" s="41">
        <v>5</v>
      </c>
      <c r="AX1047" s="41">
        <v>4.8</v>
      </c>
      <c r="AY1047" s="41">
        <v>4.8</v>
      </c>
      <c r="AZ1047" s="41">
        <v>4.8</v>
      </c>
      <c r="BA1047" s="41">
        <v>4.7</v>
      </c>
      <c r="BB1047" s="41">
        <v>4.7</v>
      </c>
      <c r="BC1047" s="41">
        <v>4.5999999999999996</v>
      </c>
      <c r="BD1047" s="41">
        <v>4.5999999999999996</v>
      </c>
      <c r="BE1047" s="41">
        <v>4.5999999999999996</v>
      </c>
      <c r="BF1047" s="41">
        <v>4.5</v>
      </c>
      <c r="BG1047" s="41">
        <v>4.5999999999999996</v>
      </c>
      <c r="BH1047" s="41"/>
      <c r="BI1047" s="41"/>
      <c r="BJ1047" s="41"/>
      <c r="BK1047" s="41"/>
      <c r="BL1047" s="41"/>
      <c r="BM1047" s="41"/>
      <c r="BN1047" s="54">
        <f t="shared" si="18"/>
        <v>4.5999999999999996</v>
      </c>
    </row>
    <row r="1048" spans="2:66" x14ac:dyDescent="0.35">
      <c r="B1048" s="41" t="s">
        <v>543</v>
      </c>
      <c r="C1048" s="41" t="s">
        <v>133</v>
      </c>
      <c r="D1048" s="41" t="s">
        <v>628</v>
      </c>
      <c r="E1048" s="41" t="s">
        <v>629</v>
      </c>
      <c r="F1048" s="41">
        <v>14.199999809265099</v>
      </c>
      <c r="G1048" s="41"/>
      <c r="H1048" s="41"/>
      <c r="I1048" s="41"/>
      <c r="J1048" s="41"/>
      <c r="K1048" s="41"/>
      <c r="L1048" s="41"/>
      <c r="M1048" s="41"/>
      <c r="N1048" s="41"/>
      <c r="O1048" s="41"/>
      <c r="P1048" s="41">
        <v>15.300000190734901</v>
      </c>
      <c r="Q1048" s="41"/>
      <c r="R1048" s="41"/>
      <c r="S1048" s="41"/>
      <c r="T1048" s="41"/>
      <c r="U1048" s="41"/>
      <c r="V1048" s="41"/>
      <c r="W1048" s="41"/>
      <c r="X1048" s="41"/>
      <c r="Y1048" s="41"/>
      <c r="Z1048" s="41">
        <v>15.1000003814697</v>
      </c>
      <c r="AA1048" s="41"/>
      <c r="AB1048" s="41"/>
      <c r="AC1048" s="41"/>
      <c r="AD1048" s="41"/>
      <c r="AE1048" s="41">
        <v>14.6000003814697</v>
      </c>
      <c r="AF1048" s="41"/>
      <c r="AG1048" s="41"/>
      <c r="AH1048" s="41"/>
      <c r="AI1048" s="41"/>
      <c r="AJ1048" s="41">
        <v>12.399999618500001</v>
      </c>
      <c r="AK1048" s="41">
        <v>11.899999618500001</v>
      </c>
      <c r="AL1048" s="41">
        <v>7.5999999045999997</v>
      </c>
      <c r="AM1048" s="41">
        <v>7</v>
      </c>
      <c r="AN1048" s="41">
        <v>6.5</v>
      </c>
      <c r="AO1048" s="41">
        <v>4.9000000954000003</v>
      </c>
      <c r="AP1048" s="41">
        <v>4.4000000954000003</v>
      </c>
      <c r="AQ1048" s="41">
        <v>5.2</v>
      </c>
      <c r="AR1048" s="41">
        <v>3.7999999522999999</v>
      </c>
      <c r="AS1048" s="41">
        <v>3.7000000477000001</v>
      </c>
      <c r="AT1048" s="41">
        <v>3.6</v>
      </c>
      <c r="AU1048" s="41">
        <v>3.3</v>
      </c>
      <c r="AV1048" s="41">
        <v>3.1</v>
      </c>
      <c r="AW1048" s="41">
        <v>3.1</v>
      </c>
      <c r="AX1048" s="41">
        <v>3</v>
      </c>
      <c r="AY1048" s="41">
        <v>2.9</v>
      </c>
      <c r="AZ1048" s="41">
        <v>2.9</v>
      </c>
      <c r="BA1048" s="41">
        <v>2.9</v>
      </c>
      <c r="BB1048" s="41">
        <v>2.8</v>
      </c>
      <c r="BC1048" s="41">
        <v>2.8</v>
      </c>
      <c r="BD1048" s="41">
        <v>2.7</v>
      </c>
      <c r="BE1048" s="41">
        <v>2.7</v>
      </c>
      <c r="BF1048" s="41">
        <v>2.6</v>
      </c>
      <c r="BG1048" s="41">
        <v>2.6</v>
      </c>
      <c r="BH1048" s="41"/>
      <c r="BI1048" s="41"/>
      <c r="BJ1048" s="41"/>
      <c r="BK1048" s="41"/>
      <c r="BL1048" s="41"/>
      <c r="BM1048" s="41"/>
      <c r="BN1048" s="54">
        <f t="shared" si="18"/>
        <v>2.6</v>
      </c>
    </row>
    <row r="1049" spans="2:66" x14ac:dyDescent="0.35">
      <c r="B1049" s="41" t="s">
        <v>379</v>
      </c>
      <c r="C1049" s="41" t="s">
        <v>134</v>
      </c>
      <c r="D1049" s="41" t="s">
        <v>628</v>
      </c>
      <c r="E1049" s="41" t="s">
        <v>629</v>
      </c>
      <c r="F1049" s="41">
        <v>1.94478523731232</v>
      </c>
      <c r="G1049" s="41"/>
      <c r="H1049" s="41"/>
      <c r="I1049" s="41"/>
      <c r="J1049" s="41"/>
      <c r="K1049" s="41"/>
      <c r="L1049" s="41"/>
      <c r="M1049" s="41"/>
      <c r="N1049" s="41"/>
      <c r="O1049" s="41"/>
      <c r="P1049" s="41">
        <v>3.3747000694274898</v>
      </c>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c r="AT1049" s="41"/>
      <c r="AU1049" s="41"/>
      <c r="AV1049" s="41"/>
      <c r="AW1049" s="41"/>
      <c r="AX1049" s="41"/>
      <c r="AY1049" s="41"/>
      <c r="AZ1049" s="41">
        <v>2.1</v>
      </c>
      <c r="BA1049" s="41"/>
      <c r="BB1049" s="41"/>
      <c r="BC1049" s="41"/>
      <c r="BD1049" s="41"/>
      <c r="BE1049" s="41">
        <v>2.1</v>
      </c>
      <c r="BF1049" s="41"/>
      <c r="BG1049" s="41"/>
      <c r="BH1049" s="41"/>
      <c r="BI1049" s="41"/>
      <c r="BJ1049" s="41"/>
      <c r="BK1049" s="41"/>
      <c r="BL1049" s="41"/>
      <c r="BM1049" s="41"/>
      <c r="BN1049" s="54">
        <f t="shared" si="18"/>
        <v>2.1</v>
      </c>
    </row>
    <row r="1050" spans="2:66" x14ac:dyDescent="0.35">
      <c r="B1050" s="41" t="s">
        <v>516</v>
      </c>
      <c r="C1050" s="41" t="s">
        <v>517</v>
      </c>
      <c r="D1050" s="41" t="s">
        <v>628</v>
      </c>
      <c r="E1050" s="41" t="s">
        <v>629</v>
      </c>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c r="AP1050" s="41"/>
      <c r="AQ1050" s="41"/>
      <c r="AR1050" s="41"/>
      <c r="AS1050" s="41"/>
      <c r="AT1050" s="41"/>
      <c r="AU1050" s="41"/>
      <c r="AV1050" s="41"/>
      <c r="AW1050" s="41"/>
      <c r="AX1050" s="41"/>
      <c r="AY1050" s="41"/>
      <c r="AZ1050" s="41"/>
      <c r="BA1050" s="41"/>
      <c r="BB1050" s="41"/>
      <c r="BC1050" s="41"/>
      <c r="BD1050" s="41"/>
      <c r="BE1050" s="41"/>
      <c r="BF1050" s="41"/>
      <c r="BG1050" s="41"/>
      <c r="BH1050" s="41"/>
      <c r="BI1050" s="41"/>
      <c r="BJ1050" s="41"/>
      <c r="BK1050" s="41"/>
      <c r="BL1050" s="41"/>
      <c r="BM1050" s="41"/>
      <c r="BN1050" s="54" t="str">
        <f t="shared" si="18"/>
        <v>No reported value</v>
      </c>
    </row>
    <row r="1051" spans="2:66" x14ac:dyDescent="0.35">
      <c r="B1051" s="41" t="s">
        <v>213</v>
      </c>
      <c r="C1051" s="41" t="s">
        <v>135</v>
      </c>
      <c r="D1051" s="41" t="s">
        <v>628</v>
      </c>
      <c r="E1051" s="41" t="s">
        <v>629</v>
      </c>
      <c r="F1051" s="41">
        <v>7.0983214378356898</v>
      </c>
      <c r="G1051" s="41"/>
      <c r="H1051" s="41"/>
      <c r="I1051" s="41"/>
      <c r="J1051" s="41"/>
      <c r="K1051" s="41"/>
      <c r="L1051" s="41"/>
      <c r="M1051" s="41"/>
      <c r="N1051" s="41"/>
      <c r="O1051" s="41"/>
      <c r="P1051" s="41">
        <v>6.4924998283386204</v>
      </c>
      <c r="Q1051" s="41"/>
      <c r="R1051" s="41"/>
      <c r="S1051" s="41"/>
      <c r="T1051" s="41"/>
      <c r="U1051" s="41">
        <v>4.9496998786926296</v>
      </c>
      <c r="V1051" s="41"/>
      <c r="W1051" s="41"/>
      <c r="X1051" s="41"/>
      <c r="Y1051" s="41"/>
      <c r="Z1051" s="41"/>
      <c r="AA1051" s="41"/>
      <c r="AB1051" s="41"/>
      <c r="AC1051" s="41"/>
      <c r="AD1051" s="41"/>
      <c r="AE1051" s="41">
        <v>4.82200002670288</v>
      </c>
      <c r="AF1051" s="41"/>
      <c r="AG1051" s="41"/>
      <c r="AH1051" s="41"/>
      <c r="AI1051" s="41">
        <v>6.2832999229431197</v>
      </c>
      <c r="AJ1051" s="41"/>
      <c r="AK1051" s="41"/>
      <c r="AL1051" s="41"/>
      <c r="AM1051" s="41"/>
      <c r="AN1051" s="41"/>
      <c r="AO1051" s="41"/>
      <c r="AP1051" s="41"/>
      <c r="AQ1051" s="41"/>
      <c r="AR1051" s="41"/>
      <c r="AS1051" s="41"/>
      <c r="AT1051" s="41"/>
      <c r="AU1051" s="41"/>
      <c r="AV1051" s="41"/>
      <c r="AW1051" s="41"/>
      <c r="AX1051" s="41"/>
      <c r="AY1051" s="41"/>
      <c r="AZ1051" s="41">
        <v>5.7</v>
      </c>
      <c r="BA1051" s="41"/>
      <c r="BB1051" s="41"/>
      <c r="BC1051" s="41">
        <v>3.9</v>
      </c>
      <c r="BD1051" s="41"/>
      <c r="BE1051" s="41">
        <v>3.6</v>
      </c>
      <c r="BF1051" s="41"/>
      <c r="BG1051" s="41"/>
      <c r="BH1051" s="41"/>
      <c r="BI1051" s="41"/>
      <c r="BJ1051" s="41"/>
      <c r="BK1051" s="41"/>
      <c r="BL1051" s="41"/>
      <c r="BM1051" s="41"/>
      <c r="BN1051" s="54">
        <f t="shared" si="18"/>
        <v>3.6</v>
      </c>
    </row>
    <row r="1052" spans="2:66" x14ac:dyDescent="0.35">
      <c r="B1052" s="41" t="s">
        <v>545</v>
      </c>
      <c r="C1052" s="41" t="s">
        <v>136</v>
      </c>
      <c r="D1052" s="41" t="s">
        <v>628</v>
      </c>
      <c r="E1052" s="41" t="s">
        <v>629</v>
      </c>
      <c r="F1052" s="41">
        <v>1.07673752307892</v>
      </c>
      <c r="G1052" s="41"/>
      <c r="H1052" s="41"/>
      <c r="I1052" s="41"/>
      <c r="J1052" s="41"/>
      <c r="K1052" s="41"/>
      <c r="L1052" s="41"/>
      <c r="M1052" s="41"/>
      <c r="N1052" s="41"/>
      <c r="O1052" s="41"/>
      <c r="P1052" s="41">
        <v>0.993399977684021</v>
      </c>
      <c r="Q1052" s="41"/>
      <c r="R1052" s="41"/>
      <c r="S1052" s="41"/>
      <c r="T1052" s="41"/>
      <c r="U1052" s="41">
        <v>1</v>
      </c>
      <c r="V1052" s="41"/>
      <c r="W1052" s="41"/>
      <c r="X1052" s="41"/>
      <c r="Y1052" s="41"/>
      <c r="Z1052" s="41">
        <v>1.1045000553131099</v>
      </c>
      <c r="AA1052" s="41">
        <v>1.1457999944686901</v>
      </c>
      <c r="AB1052" s="41"/>
      <c r="AC1052" s="41"/>
      <c r="AD1052" s="41"/>
      <c r="AE1052" s="41"/>
      <c r="AF1052" s="41"/>
      <c r="AG1052" s="41"/>
      <c r="AH1052" s="41"/>
      <c r="AI1052" s="41"/>
      <c r="AJ1052" s="41">
        <v>1.0865000486</v>
      </c>
      <c r="AK1052" s="41"/>
      <c r="AL1052" s="41"/>
      <c r="AM1052" s="41"/>
      <c r="AN1052" s="41"/>
      <c r="AO1052" s="41"/>
      <c r="AP1052" s="41">
        <v>1.5</v>
      </c>
      <c r="AQ1052" s="41"/>
      <c r="AR1052" s="41">
        <v>1.5</v>
      </c>
      <c r="AS1052" s="41">
        <v>1.3999999761999999</v>
      </c>
      <c r="AT1052" s="41">
        <v>1.4</v>
      </c>
      <c r="AU1052" s="41">
        <v>1.4</v>
      </c>
      <c r="AV1052" s="41">
        <v>1.4</v>
      </c>
      <c r="AW1052" s="41">
        <v>1.5</v>
      </c>
      <c r="AX1052" s="41">
        <v>1.5</v>
      </c>
      <c r="AY1052" s="41">
        <v>1.3</v>
      </c>
      <c r="AZ1052" s="41">
        <v>1.5</v>
      </c>
      <c r="BA1052" s="41">
        <v>1.5</v>
      </c>
      <c r="BB1052" s="41">
        <v>1.5</v>
      </c>
      <c r="BC1052" s="41">
        <v>1.5</v>
      </c>
      <c r="BD1052" s="41">
        <v>1.5</v>
      </c>
      <c r="BE1052" s="41">
        <v>1.6</v>
      </c>
      <c r="BF1052" s="41">
        <v>1.5</v>
      </c>
      <c r="BG1052" s="41">
        <v>1.5</v>
      </c>
      <c r="BH1052" s="41">
        <v>1.5</v>
      </c>
      <c r="BI1052" s="41"/>
      <c r="BJ1052" s="41"/>
      <c r="BK1052" s="41"/>
      <c r="BL1052" s="41"/>
      <c r="BM1052" s="41"/>
      <c r="BN1052" s="54">
        <f t="shared" si="18"/>
        <v>1.5</v>
      </c>
    </row>
    <row r="1053" spans="2:66" x14ac:dyDescent="0.35">
      <c r="B1053" s="41" t="s">
        <v>552</v>
      </c>
      <c r="C1053" s="41" t="s">
        <v>553</v>
      </c>
      <c r="D1053" s="41" t="s">
        <v>628</v>
      </c>
      <c r="E1053" s="41" t="s">
        <v>629</v>
      </c>
      <c r="F1053" s="41"/>
      <c r="G1053" s="41"/>
      <c r="H1053" s="41"/>
      <c r="I1053" s="41"/>
      <c r="J1053" s="41"/>
      <c r="K1053" s="41"/>
      <c r="L1053" s="41"/>
      <c r="M1053" s="41"/>
      <c r="N1053" s="41"/>
      <c r="O1053" s="41"/>
      <c r="P1053" s="41"/>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c r="BA1053" s="41"/>
      <c r="BB1053" s="41"/>
      <c r="BC1053" s="41"/>
      <c r="BD1053" s="41"/>
      <c r="BE1053" s="41"/>
      <c r="BF1053" s="41"/>
      <c r="BG1053" s="41"/>
      <c r="BH1053" s="41"/>
      <c r="BI1053" s="41"/>
      <c r="BJ1053" s="41"/>
      <c r="BK1053" s="41"/>
      <c r="BL1053" s="41"/>
      <c r="BM1053" s="41"/>
      <c r="BN1053" s="54" t="str">
        <f t="shared" si="18"/>
        <v>No reported value</v>
      </c>
    </row>
    <row r="1054" spans="2:66" x14ac:dyDescent="0.35">
      <c r="B1054" s="41" t="s">
        <v>189</v>
      </c>
      <c r="C1054" s="41" t="s">
        <v>169</v>
      </c>
      <c r="D1054" s="41" t="s">
        <v>628</v>
      </c>
      <c r="E1054" s="41" t="s">
        <v>629</v>
      </c>
      <c r="F1054" s="41">
        <v>0.697454333305359</v>
      </c>
      <c r="G1054" s="41"/>
      <c r="H1054" s="41"/>
      <c r="I1054" s="41"/>
      <c r="J1054" s="41"/>
      <c r="K1054" s="41"/>
      <c r="L1054" s="41"/>
      <c r="M1054" s="41"/>
      <c r="N1054" s="41"/>
      <c r="O1054" s="41"/>
      <c r="P1054" s="41">
        <v>1.3099999427795399</v>
      </c>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v>0.72009998559999999</v>
      </c>
      <c r="AL1054" s="41"/>
      <c r="AM1054" s="41"/>
      <c r="AN1054" s="41"/>
      <c r="AO1054" s="41"/>
      <c r="AP1054" s="41"/>
      <c r="AQ1054" s="41"/>
      <c r="AR1054" s="41"/>
      <c r="AS1054" s="41"/>
      <c r="AT1054" s="41"/>
      <c r="AU1054" s="41"/>
      <c r="AV1054" s="41"/>
      <c r="AW1054" s="41"/>
      <c r="AX1054" s="41"/>
      <c r="AY1054" s="41">
        <v>0.4</v>
      </c>
      <c r="AZ1054" s="41"/>
      <c r="BA1054" s="41"/>
      <c r="BB1054" s="41"/>
      <c r="BC1054" s="41"/>
      <c r="BD1054" s="41"/>
      <c r="BE1054" s="41"/>
      <c r="BF1054" s="41"/>
      <c r="BG1054" s="41"/>
      <c r="BH1054" s="41"/>
      <c r="BI1054" s="41"/>
      <c r="BJ1054" s="41"/>
      <c r="BK1054" s="41"/>
      <c r="BL1054" s="41"/>
      <c r="BM1054" s="41"/>
      <c r="BN1054" s="54">
        <f t="shared" si="18"/>
        <v>0.4</v>
      </c>
    </row>
    <row r="1055" spans="2:66" x14ac:dyDescent="0.35">
      <c r="B1055" s="41" t="s">
        <v>374</v>
      </c>
      <c r="C1055" s="41" t="s">
        <v>375</v>
      </c>
      <c r="D1055" s="41" t="s">
        <v>628</v>
      </c>
      <c r="E1055" s="41" t="s">
        <v>629</v>
      </c>
      <c r="F1055" s="41"/>
      <c r="G1055" s="41"/>
      <c r="H1055" s="41"/>
      <c r="I1055" s="41"/>
      <c r="J1055" s="41"/>
      <c r="K1055" s="41">
        <v>1.4400000572204601</v>
      </c>
      <c r="L1055" s="41">
        <v>1.5199999809265097</v>
      </c>
      <c r="M1055" s="41">
        <v>1.5</v>
      </c>
      <c r="N1055" s="41">
        <v>1.45000004768372</v>
      </c>
      <c r="O1055" s="41">
        <v>1.45000004768372</v>
      </c>
      <c r="P1055" s="41">
        <v>1.4418845852024127</v>
      </c>
      <c r="Q1055" s="41">
        <v>1.58000004291534</v>
      </c>
      <c r="R1055" s="41">
        <v>1.71000003814697</v>
      </c>
      <c r="S1055" s="41">
        <v>1.7699999809265099</v>
      </c>
      <c r="T1055" s="41">
        <v>1.8500000238418601</v>
      </c>
      <c r="U1055" s="41">
        <v>1.781145328361206</v>
      </c>
      <c r="V1055" s="41">
        <v>1.9873244335741538</v>
      </c>
      <c r="W1055" s="41">
        <v>2.0699999332428001</v>
      </c>
      <c r="X1055" s="41">
        <v>2.1400001049041699</v>
      </c>
      <c r="Y1055" s="41">
        <v>2.2000000476837198</v>
      </c>
      <c r="Z1055" s="41">
        <v>2.2237280297986231</v>
      </c>
      <c r="AA1055" s="41">
        <v>2.2944433840718892</v>
      </c>
      <c r="AB1055" s="41">
        <v>2.2341767405230057</v>
      </c>
      <c r="AC1055" s="41">
        <v>2.2624806304022251</v>
      </c>
      <c r="AD1055" s="41">
        <v>2.3100079927720474</v>
      </c>
      <c r="AE1055" s="41">
        <v>2.1220048777816523</v>
      </c>
      <c r="AF1055" s="41">
        <v>2.365937305387547</v>
      </c>
      <c r="AG1055" s="41">
        <v>2.4799684931745709</v>
      </c>
      <c r="AH1055" s="41">
        <v>2.5366463166226429</v>
      </c>
      <c r="AI1055" s="41">
        <v>2.3565014272552713</v>
      </c>
      <c r="AJ1055" s="41">
        <v>2.2787709059376415</v>
      </c>
      <c r="AK1055" s="41">
        <v>2.2722516619535922</v>
      </c>
      <c r="AL1055" s="41">
        <v>2.2777069907449761</v>
      </c>
      <c r="AM1055" s="41">
        <v>2.2919769188919759</v>
      </c>
      <c r="AN1055" s="41">
        <v>2.3496088918205911</v>
      </c>
      <c r="AO1055" s="41">
        <v>2.5720545817157396</v>
      </c>
      <c r="AP1055" s="41">
        <v>2.5408365363524146</v>
      </c>
      <c r="AQ1055" s="41">
        <v>2.4980746146048984</v>
      </c>
      <c r="AR1055" s="41">
        <v>2.255732353090615</v>
      </c>
      <c r="AS1055" s="41">
        <v>2.5048830581538994</v>
      </c>
      <c r="AT1055" s="41">
        <v>2.4434965467112728</v>
      </c>
      <c r="AU1055" s="41">
        <v>2.4032453335950055</v>
      </c>
      <c r="AV1055" s="41">
        <v>2.0312712030733975</v>
      </c>
      <c r="AW1055" s="41">
        <v>2.2002094602436104</v>
      </c>
      <c r="AX1055" s="41">
        <v>2.9656498563794167</v>
      </c>
      <c r="AY1055" s="41">
        <v>2.4265117760837809</v>
      </c>
      <c r="AZ1055" s="41">
        <v>2.1058969906450669</v>
      </c>
      <c r="BA1055" s="41"/>
      <c r="BB1055" s="41"/>
      <c r="BC1055" s="41">
        <v>3.8759285371161605</v>
      </c>
      <c r="BD1055" s="41">
        <v>2.8495019709634613</v>
      </c>
      <c r="BE1055" s="41">
        <v>3.5553882591873687</v>
      </c>
      <c r="BF1055" s="41">
        <v>3.514249049680596</v>
      </c>
      <c r="BG1055" s="41"/>
      <c r="BH1055" s="41"/>
      <c r="BI1055" s="41"/>
      <c r="BJ1055" s="41"/>
      <c r="BK1055" s="41"/>
      <c r="BL1055" s="41"/>
      <c r="BM1055" s="41"/>
      <c r="BN1055" s="54">
        <f t="shared" si="18"/>
        <v>3.514249049680596</v>
      </c>
    </row>
    <row r="1056" spans="2:66" x14ac:dyDescent="0.35">
      <c r="B1056" s="41" t="s">
        <v>386</v>
      </c>
      <c r="C1056" s="41" t="s">
        <v>387</v>
      </c>
      <c r="D1056" s="41" t="s">
        <v>628</v>
      </c>
      <c r="E1056" s="41" t="s">
        <v>629</v>
      </c>
      <c r="F1056" s="41"/>
      <c r="G1056" s="41"/>
      <c r="H1056" s="41"/>
      <c r="I1056" s="41"/>
      <c r="J1056" s="41"/>
      <c r="K1056" s="41"/>
      <c r="L1056" s="41"/>
      <c r="M1056" s="41"/>
      <c r="N1056" s="41"/>
      <c r="O1056" s="41"/>
      <c r="P1056" s="41"/>
      <c r="Q1056" s="41"/>
      <c r="R1056" s="41"/>
      <c r="S1056" s="41"/>
      <c r="T1056" s="41"/>
      <c r="U1056" s="41"/>
      <c r="V1056" s="41"/>
      <c r="W1056" s="41"/>
      <c r="X1056" s="41"/>
      <c r="Y1056" s="41"/>
      <c r="Z1056" s="41"/>
      <c r="AA1056" s="41"/>
      <c r="AB1056" s="41"/>
      <c r="AC1056" s="41"/>
      <c r="AD1056" s="41"/>
      <c r="AE1056" s="41">
        <v>10.150884801373316</v>
      </c>
      <c r="AF1056" s="41">
        <v>10.65719584966083</v>
      </c>
      <c r="AG1056" s="41">
        <v>10.689388263329512</v>
      </c>
      <c r="AH1056" s="41">
        <v>10.722020595188505</v>
      </c>
      <c r="AI1056" s="41">
        <v>10.742265760151703</v>
      </c>
      <c r="AJ1056" s="41">
        <v>10.271193994680269</v>
      </c>
      <c r="AK1056" s="41">
        <v>10.043844022603738</v>
      </c>
      <c r="AL1056" s="41">
        <v>9.8087686575852207</v>
      </c>
      <c r="AM1056" s="41">
        <v>9.6454105916619941</v>
      </c>
      <c r="AN1056" s="41">
        <v>9.371190919910017</v>
      </c>
      <c r="AO1056" s="41">
        <v>9.1616476037496426</v>
      </c>
      <c r="AP1056" s="41">
        <v>8.7932680466718462</v>
      </c>
      <c r="AQ1056" s="41">
        <v>8.3026435781496009</v>
      </c>
      <c r="AR1056" s="41">
        <v>8.003660552029503</v>
      </c>
      <c r="AS1056" s="41">
        <v>7.778831224349279</v>
      </c>
      <c r="AT1056" s="41">
        <v>7.6516890044980714</v>
      </c>
      <c r="AU1056" s="41">
        <v>7.824821668068342</v>
      </c>
      <c r="AV1056" s="41">
        <v>7.551819787151957</v>
      </c>
      <c r="AW1056" s="41">
        <v>7.4934794101222781</v>
      </c>
      <c r="AX1056" s="41">
        <v>7.2207796871468801</v>
      </c>
      <c r="AY1056" s="41">
        <v>7.1267943953128583</v>
      </c>
      <c r="AZ1056" s="41">
        <v>7.0902926373096573</v>
      </c>
      <c r="BA1056" s="41">
        <v>6.9077345685129563</v>
      </c>
      <c r="BB1056" s="41">
        <v>6.8687421196424543</v>
      </c>
      <c r="BC1056" s="41">
        <v>6.8579994028146176</v>
      </c>
      <c r="BD1056" s="41">
        <v>6.6846972235727851</v>
      </c>
      <c r="BE1056" s="41">
        <v>6.5165554073239047</v>
      </c>
      <c r="BF1056" s="41">
        <v>6.4599896402677173</v>
      </c>
      <c r="BG1056" s="41">
        <v>6.3619488752299436</v>
      </c>
      <c r="BH1056" s="41"/>
      <c r="BI1056" s="41"/>
      <c r="BJ1056" s="41"/>
      <c r="BK1056" s="41"/>
      <c r="BL1056" s="41"/>
      <c r="BM1056" s="41"/>
      <c r="BN1056" s="54">
        <f t="shared" si="18"/>
        <v>6.3619488752299436</v>
      </c>
    </row>
    <row r="1057" spans="2:66" x14ac:dyDescent="0.35">
      <c r="B1057" s="41" t="s">
        <v>215</v>
      </c>
      <c r="C1057" s="41" t="s">
        <v>137</v>
      </c>
      <c r="D1057" s="41" t="s">
        <v>628</v>
      </c>
      <c r="E1057" s="41" t="s">
        <v>629</v>
      </c>
      <c r="F1057" s="41">
        <v>1.26509189605713</v>
      </c>
      <c r="G1057" s="41"/>
      <c r="H1057" s="41"/>
      <c r="I1057" s="41"/>
      <c r="J1057" s="41"/>
      <c r="K1057" s="41"/>
      <c r="L1057" s="41"/>
      <c r="M1057" s="41"/>
      <c r="N1057" s="41"/>
      <c r="O1057" s="41"/>
      <c r="P1057" s="41">
        <v>1.5333000421523999</v>
      </c>
      <c r="Q1057" s="41"/>
      <c r="R1057" s="41"/>
      <c r="S1057" s="41"/>
      <c r="T1057" s="41"/>
      <c r="U1057" s="41">
        <v>1.4399000406265301</v>
      </c>
      <c r="V1057" s="41"/>
      <c r="W1057" s="41"/>
      <c r="X1057" s="41"/>
      <c r="Y1057" s="41"/>
      <c r="Z1057" s="41"/>
      <c r="AA1057" s="41"/>
      <c r="AB1057" s="41"/>
      <c r="AC1057" s="41"/>
      <c r="AD1057" s="41"/>
      <c r="AE1057" s="41"/>
      <c r="AF1057" s="41"/>
      <c r="AG1057" s="41"/>
      <c r="AH1057" s="41"/>
      <c r="AI1057" s="41"/>
      <c r="AJ1057" s="41">
        <v>1.5111000537999999</v>
      </c>
      <c r="AK1057" s="41"/>
      <c r="AL1057" s="41"/>
      <c r="AM1057" s="41"/>
      <c r="AN1057" s="41"/>
      <c r="AO1057" s="41"/>
      <c r="AP1057" s="41"/>
      <c r="AQ1057" s="41"/>
      <c r="AR1057" s="41"/>
      <c r="AS1057" s="41"/>
      <c r="AT1057" s="41"/>
      <c r="AU1057" s="41"/>
      <c r="AV1057" s="41"/>
      <c r="AW1057" s="41"/>
      <c r="AX1057" s="41"/>
      <c r="AY1057" s="41">
        <v>0.9</v>
      </c>
      <c r="AZ1057" s="41"/>
      <c r="BA1057" s="41"/>
      <c r="BB1057" s="41"/>
      <c r="BC1057" s="41"/>
      <c r="BD1057" s="41"/>
      <c r="BE1057" s="41">
        <v>0.7</v>
      </c>
      <c r="BF1057" s="41"/>
      <c r="BG1057" s="41"/>
      <c r="BH1057" s="41"/>
      <c r="BI1057" s="41"/>
      <c r="BJ1057" s="41"/>
      <c r="BK1057" s="41"/>
      <c r="BL1057" s="41"/>
      <c r="BM1057" s="41"/>
      <c r="BN1057" s="54">
        <f t="shared" si="18"/>
        <v>0.7</v>
      </c>
    </row>
    <row r="1058" spans="2:66" x14ac:dyDescent="0.35">
      <c r="B1058" s="41" t="s">
        <v>547</v>
      </c>
      <c r="C1058" s="41" t="s">
        <v>138</v>
      </c>
      <c r="D1058" s="41" t="s">
        <v>628</v>
      </c>
      <c r="E1058" s="41" t="s">
        <v>629</v>
      </c>
      <c r="F1058" s="41">
        <v>0.74003487825393699</v>
      </c>
      <c r="G1058" s="41"/>
      <c r="H1058" s="41"/>
      <c r="I1058" s="41"/>
      <c r="J1058" s="41"/>
      <c r="K1058" s="41"/>
      <c r="L1058" s="41"/>
      <c r="M1058" s="41"/>
      <c r="N1058" s="41"/>
      <c r="O1058" s="41"/>
      <c r="P1058" s="41">
        <v>1.1373000144958501</v>
      </c>
      <c r="Q1058" s="41"/>
      <c r="R1058" s="41"/>
      <c r="S1058" s="41"/>
      <c r="T1058" s="41"/>
      <c r="U1058" s="41">
        <v>1.11189997196198</v>
      </c>
      <c r="V1058" s="41"/>
      <c r="W1058" s="41"/>
      <c r="X1058" s="41"/>
      <c r="Y1058" s="41"/>
      <c r="Z1058" s="41">
        <v>1.53509998321533</v>
      </c>
      <c r="AA1058" s="41"/>
      <c r="AB1058" s="41"/>
      <c r="AC1058" s="41"/>
      <c r="AD1058" s="41"/>
      <c r="AE1058" s="41"/>
      <c r="AF1058" s="41"/>
      <c r="AG1058" s="41"/>
      <c r="AH1058" s="41"/>
      <c r="AI1058" s="41"/>
      <c r="AJ1058" s="41">
        <v>1.6325999497999999</v>
      </c>
      <c r="AK1058" s="41">
        <v>1.6612999439</v>
      </c>
      <c r="AL1058" s="41">
        <v>1.7066999674000001</v>
      </c>
      <c r="AM1058" s="41"/>
      <c r="AN1058" s="41"/>
      <c r="AO1058" s="41">
        <v>1.9900000095000001</v>
      </c>
      <c r="AP1058" s="41"/>
      <c r="AQ1058" s="41"/>
      <c r="AR1058" s="41"/>
      <c r="AS1058" s="41">
        <v>2.2000000477000001</v>
      </c>
      <c r="AT1058" s="41">
        <v>2.2000000000000002</v>
      </c>
      <c r="AU1058" s="41"/>
      <c r="AV1058" s="41">
        <v>2.2000000000000002</v>
      </c>
      <c r="AW1058" s="41"/>
      <c r="AX1058" s="41"/>
      <c r="AY1058" s="41">
        <v>2.1</v>
      </c>
      <c r="AZ1058" s="41"/>
      <c r="BA1058" s="41"/>
      <c r="BB1058" s="41"/>
      <c r="BC1058" s="41"/>
      <c r="BD1058" s="41">
        <v>2.1</v>
      </c>
      <c r="BE1058" s="41"/>
      <c r="BF1058" s="41"/>
      <c r="BG1058" s="41"/>
      <c r="BH1058" s="41"/>
      <c r="BI1058" s="41"/>
      <c r="BJ1058" s="41"/>
      <c r="BK1058" s="41"/>
      <c r="BL1058" s="41"/>
      <c r="BM1058" s="41"/>
      <c r="BN1058" s="54">
        <f t="shared" si="18"/>
        <v>2.1</v>
      </c>
    </row>
    <row r="1059" spans="2:66" x14ac:dyDescent="0.35">
      <c r="B1059" s="41" t="s">
        <v>238</v>
      </c>
      <c r="C1059" s="41" t="s">
        <v>163</v>
      </c>
      <c r="D1059" s="41" t="s">
        <v>628</v>
      </c>
      <c r="E1059" s="41" t="s">
        <v>629</v>
      </c>
      <c r="F1059" s="41"/>
      <c r="G1059" s="41"/>
      <c r="H1059" s="41"/>
      <c r="I1059" s="41"/>
      <c r="J1059" s="41"/>
      <c r="K1059" s="41"/>
      <c r="L1059" s="41"/>
      <c r="M1059" s="41"/>
      <c r="N1059" s="41"/>
      <c r="O1059" s="41"/>
      <c r="P1059" s="41"/>
      <c r="Q1059" s="41"/>
      <c r="R1059" s="41"/>
      <c r="S1059" s="41"/>
      <c r="T1059" s="41"/>
      <c r="U1059" s="41"/>
      <c r="V1059" s="41"/>
      <c r="W1059" s="41"/>
      <c r="X1059" s="41"/>
      <c r="Y1059" s="41"/>
      <c r="Z1059" s="41"/>
      <c r="AA1059" s="41"/>
      <c r="AB1059" s="41"/>
      <c r="AC1059" s="41"/>
      <c r="AD1059" s="41"/>
      <c r="AE1059" s="41">
        <v>10.6448001861572</v>
      </c>
      <c r="AF1059" s="41">
        <v>10.644900321960399</v>
      </c>
      <c r="AG1059" s="41">
        <v>10.6555995941162</v>
      </c>
      <c r="AH1059" s="41">
        <v>10.6742000579834</v>
      </c>
      <c r="AI1059" s="41">
        <v>10.629799842834499</v>
      </c>
      <c r="AJ1059" s="41">
        <v>10.661800384499999</v>
      </c>
      <c r="AK1059" s="41">
        <v>10.9629001617</v>
      </c>
      <c r="AL1059" s="41">
        <v>11.242300033599999</v>
      </c>
      <c r="AM1059" s="41">
        <v>10.681200027499999</v>
      </c>
      <c r="AN1059" s="41">
        <v>8.9413003922000005</v>
      </c>
      <c r="AO1059" s="41">
        <v>8.1999998092999995</v>
      </c>
      <c r="AP1059" s="41">
        <v>7.4699997902000002</v>
      </c>
      <c r="AQ1059" s="41">
        <v>7.2199997902000002</v>
      </c>
      <c r="AR1059" s="41">
        <v>6.9099998474</v>
      </c>
      <c r="AS1059" s="41">
        <v>6.8000001906999996</v>
      </c>
      <c r="AT1059" s="41">
        <v>6.5</v>
      </c>
      <c r="AU1059" s="41">
        <v>6.4</v>
      </c>
      <c r="AV1059" s="41">
        <v>6.3</v>
      </c>
      <c r="AW1059" s="41">
        <v>6.1</v>
      </c>
      <c r="AX1059" s="41">
        <v>6</v>
      </c>
      <c r="AY1059" s="41">
        <v>5.9</v>
      </c>
      <c r="AZ1059" s="41">
        <v>6.1</v>
      </c>
      <c r="BA1059" s="41">
        <v>5.4</v>
      </c>
      <c r="BB1059" s="41">
        <v>5.3</v>
      </c>
      <c r="BC1059" s="41">
        <v>5.2</v>
      </c>
      <c r="BD1059" s="41">
        <v>5</v>
      </c>
      <c r="BE1059" s="41">
        <v>4.9000000000000004</v>
      </c>
      <c r="BF1059" s="41">
        <v>4.8</v>
      </c>
      <c r="BG1059" s="41">
        <v>4.8</v>
      </c>
      <c r="BH1059" s="41"/>
      <c r="BI1059" s="41"/>
      <c r="BJ1059" s="41"/>
      <c r="BK1059" s="41"/>
      <c r="BL1059" s="41"/>
      <c r="BM1059" s="41"/>
      <c r="BN1059" s="54">
        <f t="shared" si="18"/>
        <v>4.8</v>
      </c>
    </row>
    <row r="1060" spans="2:66" x14ac:dyDescent="0.35">
      <c r="B1060" s="41" t="s">
        <v>551</v>
      </c>
      <c r="C1060" s="41" t="s">
        <v>139</v>
      </c>
      <c r="D1060" s="41" t="s">
        <v>628</v>
      </c>
      <c r="E1060" s="41" t="s">
        <v>629</v>
      </c>
      <c r="F1060" s="41"/>
      <c r="G1060" s="41"/>
      <c r="H1060" s="41"/>
      <c r="I1060" s="41"/>
      <c r="J1060" s="41"/>
      <c r="K1060" s="41"/>
      <c r="L1060" s="41"/>
      <c r="M1060" s="41"/>
      <c r="N1060" s="41"/>
      <c r="O1060" s="41"/>
      <c r="P1060" s="41"/>
      <c r="Q1060" s="41"/>
      <c r="R1060" s="41"/>
      <c r="S1060" s="41"/>
      <c r="T1060" s="41"/>
      <c r="U1060" s="41"/>
      <c r="V1060" s="41"/>
      <c r="W1060" s="41"/>
      <c r="X1060" s="41"/>
      <c r="Y1060" s="41"/>
      <c r="Z1060" s="41">
        <v>10.4604997634888</v>
      </c>
      <c r="AA1060" s="41"/>
      <c r="AB1060" s="41"/>
      <c r="AC1060" s="41"/>
      <c r="AD1060" s="41"/>
      <c r="AE1060" s="41">
        <v>10.668000221252401</v>
      </c>
      <c r="AF1060" s="41">
        <v>11.122200012206999</v>
      </c>
      <c r="AG1060" s="41">
        <v>11.1049995422363</v>
      </c>
      <c r="AH1060" s="41">
        <v>11.129300117492701</v>
      </c>
      <c r="AI1060" s="41">
        <v>11.1934003829956</v>
      </c>
      <c r="AJ1060" s="41">
        <v>11.484999656699999</v>
      </c>
      <c r="AK1060" s="41">
        <v>11.5550003052</v>
      </c>
      <c r="AL1060" s="41">
        <v>11.415300369300001</v>
      </c>
      <c r="AM1060" s="41">
        <v>11.678899765000001</v>
      </c>
      <c r="AN1060" s="41">
        <v>11.470700264</v>
      </c>
      <c r="AO1060" s="41">
        <v>10.260000228899999</v>
      </c>
      <c r="AP1060" s="41">
        <v>8.0100002288999992</v>
      </c>
      <c r="AQ1060" s="41">
        <v>7.1100001334999998</v>
      </c>
      <c r="AR1060" s="41"/>
      <c r="AS1060" s="41"/>
      <c r="AT1060" s="41">
        <v>9.1</v>
      </c>
      <c r="AU1060" s="41">
        <v>8.4</v>
      </c>
      <c r="AV1060" s="41">
        <v>8.1999999999999993</v>
      </c>
      <c r="AW1060" s="41">
        <v>8.3000000000000007</v>
      </c>
      <c r="AX1060" s="41">
        <v>8.1</v>
      </c>
      <c r="AY1060" s="41">
        <v>8.4</v>
      </c>
      <c r="AZ1060" s="41">
        <v>8.1999999999999993</v>
      </c>
      <c r="BA1060" s="41">
        <v>4.0999999999999996</v>
      </c>
      <c r="BB1060" s="41">
        <v>7.7</v>
      </c>
      <c r="BC1060" s="41">
        <v>7.6</v>
      </c>
      <c r="BD1060" s="41">
        <v>7.6</v>
      </c>
      <c r="BE1060" s="41">
        <v>7.5</v>
      </c>
      <c r="BF1060" s="41">
        <v>7.4</v>
      </c>
      <c r="BG1060" s="41">
        <v>7.4</v>
      </c>
      <c r="BH1060" s="41"/>
      <c r="BI1060" s="41"/>
      <c r="BJ1060" s="41"/>
      <c r="BK1060" s="41"/>
      <c r="BL1060" s="41"/>
      <c r="BM1060" s="41"/>
      <c r="BN1060" s="54">
        <f t="shared" si="18"/>
        <v>7.4</v>
      </c>
    </row>
    <row r="1061" spans="2:66" x14ac:dyDescent="0.35">
      <c r="B1061" s="41" t="s">
        <v>440</v>
      </c>
      <c r="C1061" s="41" t="s">
        <v>441</v>
      </c>
      <c r="D1061" s="41" t="s">
        <v>628</v>
      </c>
      <c r="E1061" s="41" t="s">
        <v>629</v>
      </c>
      <c r="F1061" s="41">
        <v>3.3853155352479547</v>
      </c>
      <c r="G1061" s="41"/>
      <c r="H1061" s="41"/>
      <c r="I1061" s="41"/>
      <c r="J1061" s="41"/>
      <c r="K1061" s="41"/>
      <c r="L1061" s="41"/>
      <c r="M1061" s="41"/>
      <c r="N1061" s="41"/>
      <c r="O1061" s="41"/>
      <c r="P1061" s="41">
        <v>3.4076328274815908</v>
      </c>
      <c r="Q1061" s="41"/>
      <c r="R1061" s="41"/>
      <c r="S1061" s="41"/>
      <c r="T1061" s="41"/>
      <c r="U1061" s="41"/>
      <c r="V1061" s="41"/>
      <c r="W1061" s="41"/>
      <c r="X1061" s="41"/>
      <c r="Y1061" s="41"/>
      <c r="Z1061" s="41"/>
      <c r="AA1061" s="41"/>
      <c r="AB1061" s="41"/>
      <c r="AC1061" s="41"/>
      <c r="AD1061" s="41"/>
      <c r="AE1061" s="41"/>
      <c r="AF1061" s="41"/>
      <c r="AG1061" s="41"/>
      <c r="AH1061" s="41"/>
      <c r="AI1061" s="41"/>
      <c r="AJ1061" s="41">
        <v>2.4074238790078479</v>
      </c>
      <c r="AK1061" s="41"/>
      <c r="AL1061" s="41"/>
      <c r="AM1061" s="41">
        <v>2.4784495697037259</v>
      </c>
      <c r="AN1061" s="41"/>
      <c r="AO1061" s="41"/>
      <c r="AP1061" s="41">
        <v>2.1837208517148854</v>
      </c>
      <c r="AQ1061" s="41"/>
      <c r="AR1061" s="41"/>
      <c r="AS1061" s="41"/>
      <c r="AT1061" s="41"/>
      <c r="AU1061" s="41"/>
      <c r="AV1061" s="41"/>
      <c r="AW1061" s="41"/>
      <c r="AX1061" s="41"/>
      <c r="AY1061" s="41"/>
      <c r="AZ1061" s="41"/>
      <c r="BA1061" s="41"/>
      <c r="BB1061" s="41"/>
      <c r="BC1061" s="41">
        <v>1.8546929503005614</v>
      </c>
      <c r="BD1061" s="41">
        <v>2.1438479794817344</v>
      </c>
      <c r="BE1061" s="41">
        <v>1.9414130635837277</v>
      </c>
      <c r="BF1061" s="41">
        <v>2.0323400906413838</v>
      </c>
      <c r="BG1061" s="41">
        <v>2.0748850997330575</v>
      </c>
      <c r="BH1061" s="41">
        <v>2.08967547696012</v>
      </c>
      <c r="BI1061" s="41"/>
      <c r="BJ1061" s="41"/>
      <c r="BK1061" s="41"/>
      <c r="BL1061" s="41"/>
      <c r="BM1061" s="41"/>
      <c r="BN1061" s="54">
        <f t="shared" si="18"/>
        <v>2.08967547696012</v>
      </c>
    </row>
    <row r="1062" spans="2:66" x14ac:dyDescent="0.35">
      <c r="B1062" s="41" t="s">
        <v>246</v>
      </c>
      <c r="C1062" s="41" t="s">
        <v>140</v>
      </c>
      <c r="D1062" s="41" t="s">
        <v>628</v>
      </c>
      <c r="E1062" s="41" t="s">
        <v>629</v>
      </c>
      <c r="F1062" s="41"/>
      <c r="G1062" s="41"/>
      <c r="H1062" s="41"/>
      <c r="I1062" s="41"/>
      <c r="J1062" s="41"/>
      <c r="K1062" s="41"/>
      <c r="L1062" s="41"/>
      <c r="M1062" s="41"/>
      <c r="N1062" s="41"/>
      <c r="O1062" s="41"/>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c r="AX1062" s="41"/>
      <c r="AY1062" s="41"/>
      <c r="AZ1062" s="41"/>
      <c r="BA1062" s="41"/>
      <c r="BB1062" s="41"/>
      <c r="BC1062" s="41">
        <v>5.9</v>
      </c>
      <c r="BD1062" s="41">
        <v>5.9</v>
      </c>
      <c r="BE1062" s="41"/>
      <c r="BF1062" s="41"/>
      <c r="BG1062" s="41"/>
      <c r="BH1062" s="41"/>
      <c r="BI1062" s="41"/>
      <c r="BJ1062" s="41"/>
      <c r="BK1062" s="41"/>
      <c r="BL1062" s="41"/>
      <c r="BM1062" s="41"/>
      <c r="BN1062" s="54">
        <f t="shared" si="18"/>
        <v>5.9</v>
      </c>
    </row>
    <row r="1063" spans="2:66" x14ac:dyDescent="0.35">
      <c r="B1063" s="41" t="s">
        <v>469</v>
      </c>
      <c r="C1063" s="41" t="s">
        <v>470</v>
      </c>
      <c r="D1063" s="41" t="s">
        <v>628</v>
      </c>
      <c r="E1063" s="41" t="s">
        <v>629</v>
      </c>
      <c r="F1063" s="41">
        <v>1.8439760181732765</v>
      </c>
      <c r="G1063" s="41"/>
      <c r="H1063" s="41"/>
      <c r="I1063" s="41"/>
      <c r="J1063" s="41"/>
      <c r="K1063" s="41"/>
      <c r="L1063" s="41"/>
      <c r="M1063" s="41"/>
      <c r="N1063" s="41"/>
      <c r="O1063" s="41"/>
      <c r="P1063" s="41">
        <v>1.9069529216601422</v>
      </c>
      <c r="Q1063" s="41"/>
      <c r="R1063" s="41"/>
      <c r="S1063" s="41"/>
      <c r="T1063" s="41"/>
      <c r="U1063" s="41"/>
      <c r="V1063" s="41"/>
      <c r="W1063" s="41"/>
      <c r="X1063" s="41"/>
      <c r="Y1063" s="41"/>
      <c r="Z1063" s="41">
        <v>1.7473105473612334</v>
      </c>
      <c r="AA1063" s="41">
        <v>1.7520005838595081</v>
      </c>
      <c r="AB1063" s="41"/>
      <c r="AC1063" s="41"/>
      <c r="AD1063" s="41"/>
      <c r="AE1063" s="41"/>
      <c r="AF1063" s="41"/>
      <c r="AG1063" s="41"/>
      <c r="AH1063" s="41"/>
      <c r="AI1063" s="41"/>
      <c r="AJ1063" s="41">
        <v>1.7499535727126978</v>
      </c>
      <c r="AK1063" s="41"/>
      <c r="AL1063" s="41"/>
      <c r="AM1063" s="41"/>
      <c r="AN1063" s="41"/>
      <c r="AO1063" s="41"/>
      <c r="AP1063" s="41"/>
      <c r="AQ1063" s="41"/>
      <c r="AR1063" s="41"/>
      <c r="AS1063" s="41"/>
      <c r="AT1063" s="41">
        <v>1.6436750718705841</v>
      </c>
      <c r="AU1063" s="41">
        <v>1.6236523843981892</v>
      </c>
      <c r="AV1063" s="41">
        <v>1.6468667484683379</v>
      </c>
      <c r="AW1063" s="41">
        <v>1.646571080013123</v>
      </c>
      <c r="AX1063" s="41">
        <v>1.6761964363880009</v>
      </c>
      <c r="AY1063" s="41">
        <v>1.6734739443482836</v>
      </c>
      <c r="AZ1063" s="41">
        <v>1.7121248199255614</v>
      </c>
      <c r="BA1063" s="41">
        <v>1.6721220267037615</v>
      </c>
      <c r="BB1063" s="41">
        <v>1.6216907116887045</v>
      </c>
      <c r="BC1063" s="41">
        <v>1.5134445200018878</v>
      </c>
      <c r="BD1063" s="41">
        <v>1.5884314964685946</v>
      </c>
      <c r="BE1063" s="41">
        <v>1.2333075724781077</v>
      </c>
      <c r="BF1063" s="41">
        <v>0.82708115018422279</v>
      </c>
      <c r="BG1063" s="41">
        <v>1.1630078505323143</v>
      </c>
      <c r="BH1063" s="41">
        <v>1.5166967169273771</v>
      </c>
      <c r="BI1063" s="41"/>
      <c r="BJ1063" s="41"/>
      <c r="BK1063" s="41"/>
      <c r="BL1063" s="41"/>
      <c r="BM1063" s="41"/>
      <c r="BN1063" s="54">
        <f t="shared" si="18"/>
        <v>1.5166967169273771</v>
      </c>
    </row>
    <row r="1064" spans="2:66" x14ac:dyDescent="0.35">
      <c r="B1064" s="41" t="s">
        <v>256</v>
      </c>
      <c r="C1064" s="41" t="s">
        <v>141</v>
      </c>
      <c r="D1064" s="41" t="s">
        <v>628</v>
      </c>
      <c r="E1064" s="41" t="s">
        <v>629</v>
      </c>
      <c r="F1064" s="41">
        <v>2.5</v>
      </c>
      <c r="G1064" s="41"/>
      <c r="H1064" s="41"/>
      <c r="I1064" s="41"/>
      <c r="J1064" s="41"/>
      <c r="K1064" s="41"/>
      <c r="L1064" s="41"/>
      <c r="M1064" s="41"/>
      <c r="N1064" s="41"/>
      <c r="O1064" s="41"/>
      <c r="P1064" s="41">
        <v>2.59299993515015</v>
      </c>
      <c r="Q1064" s="41"/>
      <c r="R1064" s="41"/>
      <c r="S1064" s="41"/>
      <c r="T1064" s="41"/>
      <c r="U1064" s="41"/>
      <c r="V1064" s="41"/>
      <c r="W1064" s="41"/>
      <c r="X1064" s="41"/>
      <c r="Y1064" s="41"/>
      <c r="Z1064" s="41">
        <v>3.4467999935150102</v>
      </c>
      <c r="AA1064" s="41">
        <v>3.53940010070801</v>
      </c>
      <c r="AB1064" s="41"/>
      <c r="AC1064" s="41"/>
      <c r="AD1064" s="41"/>
      <c r="AE1064" s="41"/>
      <c r="AF1064" s="41"/>
      <c r="AG1064" s="41"/>
      <c r="AH1064" s="41"/>
      <c r="AI1064" s="41"/>
      <c r="AJ1064" s="41"/>
      <c r="AK1064" s="41"/>
      <c r="AL1064" s="41"/>
      <c r="AM1064" s="41"/>
      <c r="AN1064" s="41"/>
      <c r="AO1064" s="41"/>
      <c r="AP1064" s="41"/>
      <c r="AQ1064" s="41"/>
      <c r="AR1064" s="41"/>
      <c r="AS1064" s="41"/>
      <c r="AT1064" s="41"/>
      <c r="AU1064" s="41">
        <v>3.2000000477000001</v>
      </c>
      <c r="AV1064" s="41"/>
      <c r="AW1064" s="41"/>
      <c r="AX1064" s="41">
        <v>2.4</v>
      </c>
      <c r="AY1064" s="41"/>
      <c r="AZ1064" s="41"/>
      <c r="BA1064" s="41"/>
      <c r="BB1064" s="41">
        <v>2.4</v>
      </c>
      <c r="BC1064" s="41"/>
      <c r="BD1064" s="41">
        <v>2.6</v>
      </c>
      <c r="BE1064" s="41"/>
      <c r="BF1064" s="41"/>
      <c r="BG1064" s="41"/>
      <c r="BH1064" s="41"/>
      <c r="BI1064" s="41"/>
      <c r="BJ1064" s="41"/>
      <c r="BK1064" s="41"/>
      <c r="BL1064" s="41"/>
      <c r="BM1064" s="41"/>
      <c r="BN1064" s="54">
        <f t="shared" si="18"/>
        <v>2.6</v>
      </c>
    </row>
    <row r="1065" spans="2:66" x14ac:dyDescent="0.35">
      <c r="B1065" s="41" t="s">
        <v>525</v>
      </c>
      <c r="C1065" s="41" t="s">
        <v>526</v>
      </c>
      <c r="D1065" s="41" t="s">
        <v>628</v>
      </c>
      <c r="E1065" s="41" t="s">
        <v>629</v>
      </c>
      <c r="F1065" s="41">
        <v>0.50630844011821574</v>
      </c>
      <c r="G1065" s="41"/>
      <c r="H1065" s="41"/>
      <c r="I1065" s="41"/>
      <c r="J1065" s="41"/>
      <c r="K1065" s="41"/>
      <c r="L1065" s="41"/>
      <c r="M1065" s="41"/>
      <c r="N1065" s="41"/>
      <c r="O1065" s="41"/>
      <c r="P1065" s="41">
        <v>0.58514162500468481</v>
      </c>
      <c r="Q1065" s="41"/>
      <c r="R1065" s="41"/>
      <c r="S1065" s="41"/>
      <c r="T1065" s="41"/>
      <c r="U1065" s="41">
        <v>0.62665708729566538</v>
      </c>
      <c r="V1065" s="41"/>
      <c r="W1065" s="41"/>
      <c r="X1065" s="41"/>
      <c r="Y1065" s="41"/>
      <c r="Z1065" s="41">
        <v>0.72945337708162117</v>
      </c>
      <c r="AA1065" s="41">
        <v>0.73184895803921313</v>
      </c>
      <c r="AB1065" s="41"/>
      <c r="AC1065" s="41"/>
      <c r="AD1065" s="41"/>
      <c r="AE1065" s="41">
        <v>0.70908290144914998</v>
      </c>
      <c r="AF1065" s="41"/>
      <c r="AG1065" s="41">
        <v>0.70241016978022341</v>
      </c>
      <c r="AH1065" s="41"/>
      <c r="AI1065" s="41"/>
      <c r="AJ1065" s="41"/>
      <c r="AK1065" s="41">
        <v>0.71941374022195159</v>
      </c>
      <c r="AL1065" s="41"/>
      <c r="AM1065" s="41"/>
      <c r="AN1065" s="41"/>
      <c r="AO1065" s="41"/>
      <c r="AP1065" s="41"/>
      <c r="AQ1065" s="41"/>
      <c r="AR1065" s="41"/>
      <c r="AS1065" s="41"/>
      <c r="AT1065" s="41"/>
      <c r="AU1065" s="41"/>
      <c r="AV1065" s="41">
        <v>0.67765124019247158</v>
      </c>
      <c r="AW1065" s="41">
        <v>0.86737903302951891</v>
      </c>
      <c r="AX1065" s="41"/>
      <c r="AY1065" s="41">
        <v>0.81325691749772511</v>
      </c>
      <c r="AZ1065" s="41"/>
      <c r="BA1065" s="41"/>
      <c r="BB1065" s="41"/>
      <c r="BC1065" s="41"/>
      <c r="BD1065" s="41"/>
      <c r="BE1065" s="41">
        <v>0.67426183450707411</v>
      </c>
      <c r="BF1065" s="41"/>
      <c r="BG1065" s="41"/>
      <c r="BH1065" s="41"/>
      <c r="BI1065" s="41"/>
      <c r="BJ1065" s="41"/>
      <c r="BK1065" s="41"/>
      <c r="BL1065" s="41"/>
      <c r="BM1065" s="41"/>
      <c r="BN1065" s="54">
        <f t="shared" si="18"/>
        <v>0.67426183450707411</v>
      </c>
    </row>
    <row r="1066" spans="2:66" x14ac:dyDescent="0.35">
      <c r="B1066" s="41" t="s">
        <v>541</v>
      </c>
      <c r="C1066" s="41" t="s">
        <v>542</v>
      </c>
      <c r="D1066" s="41" t="s">
        <v>628</v>
      </c>
      <c r="E1066" s="41" t="s">
        <v>629</v>
      </c>
      <c r="F1066" s="41">
        <v>1.3992890315360276</v>
      </c>
      <c r="G1066" s="41"/>
      <c r="H1066" s="41"/>
      <c r="I1066" s="41"/>
      <c r="J1066" s="41"/>
      <c r="K1066" s="41"/>
      <c r="L1066" s="41"/>
      <c r="M1066" s="41"/>
      <c r="N1066" s="41"/>
      <c r="O1066" s="41"/>
      <c r="P1066" s="41">
        <v>1.3586140938132973</v>
      </c>
      <c r="Q1066" s="41"/>
      <c r="R1066" s="41"/>
      <c r="S1066" s="41"/>
      <c r="T1066" s="41"/>
      <c r="U1066" s="41">
        <v>1.2786763405983781</v>
      </c>
      <c r="V1066" s="41"/>
      <c r="W1066" s="41"/>
      <c r="X1066" s="41"/>
      <c r="Y1066" s="41"/>
      <c r="Z1066" s="41"/>
      <c r="AA1066" s="41"/>
      <c r="AB1066" s="41"/>
      <c r="AC1066" s="41"/>
      <c r="AD1066" s="41"/>
      <c r="AE1066" s="41"/>
      <c r="AF1066" s="41"/>
      <c r="AG1066" s="41"/>
      <c r="AH1066" s="41"/>
      <c r="AI1066" s="41"/>
      <c r="AJ1066" s="41">
        <v>1.2125754223136327</v>
      </c>
      <c r="AK1066" s="41"/>
      <c r="AL1066" s="41"/>
      <c r="AM1066" s="41"/>
      <c r="AN1066" s="41"/>
      <c r="AO1066" s="41"/>
      <c r="AP1066" s="41"/>
      <c r="AQ1066" s="41"/>
      <c r="AR1066" s="41"/>
      <c r="AS1066" s="41"/>
      <c r="AT1066" s="41"/>
      <c r="AU1066" s="41"/>
      <c r="AV1066" s="41"/>
      <c r="AW1066" s="41"/>
      <c r="AX1066" s="41"/>
      <c r="AY1066" s="41"/>
      <c r="AZ1066" s="41"/>
      <c r="BA1066" s="41"/>
      <c r="BB1066" s="41"/>
      <c r="BC1066" s="41"/>
      <c r="BD1066" s="41"/>
      <c r="BE1066" s="41"/>
      <c r="BF1066" s="41"/>
      <c r="BG1066" s="41"/>
      <c r="BH1066" s="41"/>
      <c r="BI1066" s="41"/>
      <c r="BJ1066" s="41"/>
      <c r="BK1066" s="41"/>
      <c r="BL1066" s="41"/>
      <c r="BM1066" s="41"/>
      <c r="BN1066" s="54">
        <f t="shared" si="18"/>
        <v>1.2125754223136327</v>
      </c>
    </row>
    <row r="1067" spans="2:66" x14ac:dyDescent="0.35">
      <c r="B1067" s="41" t="s">
        <v>548</v>
      </c>
      <c r="C1067" s="41" t="s">
        <v>142</v>
      </c>
      <c r="D1067" s="41" t="s">
        <v>628</v>
      </c>
      <c r="E1067" s="41" t="s">
        <v>629</v>
      </c>
      <c r="F1067" s="41">
        <v>5.58956098556519</v>
      </c>
      <c r="G1067" s="41"/>
      <c r="H1067" s="41"/>
      <c r="I1067" s="41"/>
      <c r="J1067" s="41"/>
      <c r="K1067" s="41"/>
      <c r="L1067" s="41"/>
      <c r="M1067" s="41"/>
      <c r="N1067" s="41"/>
      <c r="O1067" s="41"/>
      <c r="P1067" s="41">
        <v>4.9433999061584499</v>
      </c>
      <c r="Q1067" s="41"/>
      <c r="R1067" s="41"/>
      <c r="S1067" s="41"/>
      <c r="T1067" s="41"/>
      <c r="U1067" s="41">
        <v>4.9851999282836896</v>
      </c>
      <c r="V1067" s="41"/>
      <c r="W1067" s="41"/>
      <c r="X1067" s="41"/>
      <c r="Y1067" s="41"/>
      <c r="Z1067" s="41"/>
      <c r="AA1067" s="41"/>
      <c r="AB1067" s="41"/>
      <c r="AC1067" s="41"/>
      <c r="AD1067" s="41"/>
      <c r="AE1067" s="41"/>
      <c r="AF1067" s="41">
        <v>5.0373001098632804</v>
      </c>
      <c r="AG1067" s="41"/>
      <c r="AH1067" s="41"/>
      <c r="AI1067" s="41"/>
      <c r="AJ1067" s="41">
        <v>4</v>
      </c>
      <c r="AK1067" s="41"/>
      <c r="AL1067" s="41"/>
      <c r="AM1067" s="41">
        <v>3.2425999641000001</v>
      </c>
      <c r="AN1067" s="41"/>
      <c r="AO1067" s="41">
        <v>3.8</v>
      </c>
      <c r="AP1067" s="41">
        <v>5.1100001334999998</v>
      </c>
      <c r="AQ1067" s="41"/>
      <c r="AR1067" s="41"/>
      <c r="AS1067" s="41"/>
      <c r="AT1067" s="41">
        <v>3.3</v>
      </c>
      <c r="AU1067" s="41">
        <v>3.4000000953999998</v>
      </c>
      <c r="AV1067" s="41"/>
      <c r="AW1067" s="41">
        <v>3.3</v>
      </c>
      <c r="AX1067" s="41"/>
      <c r="AY1067" s="41">
        <v>2.6</v>
      </c>
      <c r="AZ1067" s="41">
        <v>2.7</v>
      </c>
      <c r="BA1067" s="41">
        <v>2.7</v>
      </c>
      <c r="BB1067" s="41">
        <v>2.5</v>
      </c>
      <c r="BC1067" s="41">
        <v>2.6</v>
      </c>
      <c r="BD1067" s="41">
        <v>2.1</v>
      </c>
      <c r="BE1067" s="41"/>
      <c r="BF1067" s="41">
        <v>2.7</v>
      </c>
      <c r="BG1067" s="41">
        <v>2.7</v>
      </c>
      <c r="BH1067" s="41">
        <v>3</v>
      </c>
      <c r="BI1067" s="41"/>
      <c r="BJ1067" s="41"/>
      <c r="BK1067" s="41"/>
      <c r="BL1067" s="41"/>
      <c r="BM1067" s="41"/>
      <c r="BN1067" s="54">
        <f t="shared" si="18"/>
        <v>3</v>
      </c>
    </row>
    <row r="1068" spans="2:66" x14ac:dyDescent="0.35">
      <c r="B1068" s="41" t="s">
        <v>549</v>
      </c>
      <c r="C1068" s="41" t="s">
        <v>143</v>
      </c>
      <c r="D1068" s="41" t="s">
        <v>628</v>
      </c>
      <c r="E1068" s="41" t="s">
        <v>629</v>
      </c>
      <c r="F1068" s="41">
        <v>2.4676616191864</v>
      </c>
      <c r="G1068" s="41"/>
      <c r="H1068" s="41"/>
      <c r="I1068" s="41"/>
      <c r="J1068" s="41"/>
      <c r="K1068" s="41"/>
      <c r="L1068" s="41"/>
      <c r="M1068" s="41"/>
      <c r="N1068" s="41"/>
      <c r="O1068" s="41"/>
      <c r="P1068" s="41">
        <v>2.4442999362945601</v>
      </c>
      <c r="Q1068" s="41"/>
      <c r="R1068" s="41"/>
      <c r="S1068" s="41"/>
      <c r="T1068" s="41"/>
      <c r="U1068" s="41">
        <v>2.5</v>
      </c>
      <c r="V1068" s="41"/>
      <c r="W1068" s="41"/>
      <c r="X1068" s="41"/>
      <c r="Y1068" s="41"/>
      <c r="Z1068" s="41">
        <v>2.1257998943328902</v>
      </c>
      <c r="AA1068" s="41"/>
      <c r="AB1068" s="41"/>
      <c r="AC1068" s="41"/>
      <c r="AD1068" s="41"/>
      <c r="AE1068" s="41"/>
      <c r="AF1068" s="41"/>
      <c r="AG1068" s="41"/>
      <c r="AH1068" s="41"/>
      <c r="AI1068" s="41">
        <v>1.9657000303268399</v>
      </c>
      <c r="AJ1068" s="41">
        <v>1.9167000055000001</v>
      </c>
      <c r="AK1068" s="41">
        <v>2.0123000145000001</v>
      </c>
      <c r="AL1068" s="41">
        <v>2.8573000431</v>
      </c>
      <c r="AM1068" s="41"/>
      <c r="AN1068" s="41">
        <v>1.7615000009999999</v>
      </c>
      <c r="AO1068" s="41"/>
      <c r="AP1068" s="41">
        <v>2</v>
      </c>
      <c r="AQ1068" s="41">
        <v>1.7000000476999999</v>
      </c>
      <c r="AR1068" s="41"/>
      <c r="AS1068" s="41"/>
      <c r="AT1068" s="41">
        <v>1.7</v>
      </c>
      <c r="AU1068" s="41">
        <v>1.7</v>
      </c>
      <c r="AV1068" s="41">
        <v>1.7</v>
      </c>
      <c r="AW1068" s="41">
        <v>1.7</v>
      </c>
      <c r="AX1068" s="41">
        <v>2.1</v>
      </c>
      <c r="AY1068" s="41">
        <v>1.8</v>
      </c>
      <c r="AZ1068" s="41">
        <v>2</v>
      </c>
      <c r="BA1068" s="41">
        <v>1.8</v>
      </c>
      <c r="BB1068" s="41">
        <v>2</v>
      </c>
      <c r="BC1068" s="41">
        <v>2.1</v>
      </c>
      <c r="BD1068" s="41">
        <v>2.1</v>
      </c>
      <c r="BE1068" s="41">
        <v>2.1</v>
      </c>
      <c r="BF1068" s="41">
        <v>2.1</v>
      </c>
      <c r="BG1068" s="41">
        <v>2.1</v>
      </c>
      <c r="BH1068" s="41">
        <v>2.2000000000000002</v>
      </c>
      <c r="BI1068" s="41">
        <v>2.2999999999999998</v>
      </c>
      <c r="BJ1068" s="41"/>
      <c r="BK1068" s="41"/>
      <c r="BL1068" s="41"/>
      <c r="BM1068" s="41"/>
      <c r="BN1068" s="54">
        <f t="shared" si="18"/>
        <v>2.2999999999999998</v>
      </c>
    </row>
    <row r="1069" spans="2:66" x14ac:dyDescent="0.35">
      <c r="B1069" s="41" t="s">
        <v>550</v>
      </c>
      <c r="C1069" s="41" t="s">
        <v>144</v>
      </c>
      <c r="D1069" s="41" t="s">
        <v>628</v>
      </c>
      <c r="E1069" s="41" t="s">
        <v>629</v>
      </c>
      <c r="F1069" s="41">
        <v>1.70000004768372</v>
      </c>
      <c r="G1069" s="41"/>
      <c r="H1069" s="41"/>
      <c r="I1069" s="41"/>
      <c r="J1069" s="41"/>
      <c r="K1069" s="41">
        <v>1.79999995231628</v>
      </c>
      <c r="L1069" s="41"/>
      <c r="M1069" s="41"/>
      <c r="N1069" s="41"/>
      <c r="O1069" s="41"/>
      <c r="P1069" s="41">
        <v>2</v>
      </c>
      <c r="Q1069" s="41"/>
      <c r="R1069" s="41"/>
      <c r="S1069" s="41"/>
      <c r="T1069" s="41"/>
      <c r="U1069" s="41">
        <v>2</v>
      </c>
      <c r="V1069" s="41"/>
      <c r="W1069" s="41"/>
      <c r="X1069" s="41"/>
      <c r="Y1069" s="41"/>
      <c r="Z1069" s="41">
        <v>2.2000000476837198</v>
      </c>
      <c r="AA1069" s="41"/>
      <c r="AB1069" s="41"/>
      <c r="AC1069" s="41"/>
      <c r="AD1069" s="41"/>
      <c r="AE1069" s="41">
        <v>2.0999999046325701</v>
      </c>
      <c r="AF1069" s="41">
        <v>2.0999999046325701</v>
      </c>
      <c r="AG1069" s="41">
        <v>2.0999999046325701</v>
      </c>
      <c r="AH1069" s="41">
        <v>2.0999999046325701</v>
      </c>
      <c r="AI1069" s="41">
        <v>2.0999999046325701</v>
      </c>
      <c r="AJ1069" s="41">
        <v>2.4000000953999998</v>
      </c>
      <c r="AK1069" s="41">
        <v>2.4000000953999998</v>
      </c>
      <c r="AL1069" s="41">
        <v>2.4000000953999998</v>
      </c>
      <c r="AM1069" s="41">
        <v>2.5</v>
      </c>
      <c r="AN1069" s="41">
        <v>2.5</v>
      </c>
      <c r="AO1069" s="41">
        <v>2.5</v>
      </c>
      <c r="AP1069" s="41">
        <v>2.5</v>
      </c>
      <c r="AQ1069" s="41">
        <v>2.5</v>
      </c>
      <c r="AR1069" s="41">
        <v>2.5</v>
      </c>
      <c r="AS1069" s="41">
        <v>2.5999999046000002</v>
      </c>
      <c r="AT1069" s="41">
        <v>2.1</v>
      </c>
      <c r="AU1069" s="41">
        <v>2.2000000000000002</v>
      </c>
      <c r="AV1069" s="41">
        <v>2.2999999999999998</v>
      </c>
      <c r="AW1069" s="41">
        <v>2.2000000000000002</v>
      </c>
      <c r="AX1069" s="41">
        <v>2.2000000000000002</v>
      </c>
      <c r="AY1069" s="41">
        <v>2.2999999999999998</v>
      </c>
      <c r="AZ1069" s="41">
        <v>2.2999999999999998</v>
      </c>
      <c r="BA1069" s="41">
        <v>2.2999999999999998</v>
      </c>
      <c r="BB1069" s="41">
        <v>2.2999999999999998</v>
      </c>
      <c r="BC1069" s="41">
        <v>2.5</v>
      </c>
      <c r="BD1069" s="41">
        <v>2.5</v>
      </c>
      <c r="BE1069" s="41">
        <v>2.5</v>
      </c>
      <c r="BF1069" s="41">
        <v>2.7</v>
      </c>
      <c r="BG1069" s="41">
        <v>2.7</v>
      </c>
      <c r="BH1069" s="41"/>
      <c r="BI1069" s="41"/>
      <c r="BJ1069" s="41"/>
      <c r="BK1069" s="41"/>
      <c r="BL1069" s="41"/>
      <c r="BM1069" s="41"/>
      <c r="BN1069" s="54">
        <f t="shared" si="18"/>
        <v>2.7</v>
      </c>
    </row>
    <row r="1070" spans="2:66" x14ac:dyDescent="0.35">
      <c r="B1070" s="41" t="s">
        <v>257</v>
      </c>
      <c r="C1070" s="41" t="s">
        <v>145</v>
      </c>
      <c r="D1070" s="41" t="s">
        <v>628</v>
      </c>
      <c r="E1070" s="41" t="s">
        <v>629</v>
      </c>
      <c r="F1070" s="41"/>
      <c r="G1070" s="41"/>
      <c r="H1070" s="41"/>
      <c r="I1070" s="41"/>
      <c r="J1070" s="41"/>
      <c r="K1070" s="41"/>
      <c r="L1070" s="41"/>
      <c r="M1070" s="41"/>
      <c r="N1070" s="41"/>
      <c r="O1070" s="41"/>
      <c r="P1070" s="41"/>
      <c r="Q1070" s="41"/>
      <c r="R1070" s="41"/>
      <c r="S1070" s="41"/>
      <c r="T1070" s="41"/>
      <c r="U1070" s="41"/>
      <c r="V1070" s="41"/>
      <c r="W1070" s="41"/>
      <c r="X1070" s="41"/>
      <c r="Y1070" s="41"/>
      <c r="Z1070" s="41"/>
      <c r="AA1070" s="41"/>
      <c r="AB1070" s="41"/>
      <c r="AC1070" s="41"/>
      <c r="AD1070" s="41"/>
      <c r="AE1070" s="41"/>
      <c r="AF1070" s="41"/>
      <c r="AG1070" s="41"/>
      <c r="AH1070" s="41"/>
      <c r="AI1070" s="41"/>
      <c r="AJ1070" s="41"/>
      <c r="AK1070" s="41"/>
      <c r="AL1070" s="41"/>
      <c r="AM1070" s="41"/>
      <c r="AN1070" s="41"/>
      <c r="AO1070" s="41"/>
      <c r="AP1070" s="41"/>
      <c r="AQ1070" s="41"/>
      <c r="AR1070" s="41"/>
      <c r="AS1070" s="41"/>
      <c r="AT1070" s="41"/>
      <c r="AU1070" s="41">
        <v>5.6</v>
      </c>
      <c r="AV1070" s="41"/>
      <c r="AW1070" s="41"/>
      <c r="AX1070" s="41"/>
      <c r="AY1070" s="41"/>
      <c r="AZ1070" s="41"/>
      <c r="BA1070" s="41"/>
      <c r="BB1070" s="41"/>
      <c r="BC1070" s="41"/>
      <c r="BD1070" s="41"/>
      <c r="BE1070" s="41"/>
      <c r="BF1070" s="41"/>
      <c r="BG1070" s="41"/>
      <c r="BH1070" s="41"/>
      <c r="BI1070" s="41"/>
      <c r="BJ1070" s="41"/>
      <c r="BK1070" s="41"/>
      <c r="BL1070" s="41"/>
      <c r="BM1070" s="41"/>
      <c r="BN1070" s="54">
        <f t="shared" si="18"/>
        <v>5.6</v>
      </c>
    </row>
    <row r="1071" spans="2:66" x14ac:dyDescent="0.35">
      <c r="B1071" s="41" t="s">
        <v>546</v>
      </c>
      <c r="C1071" s="41" t="s">
        <v>146</v>
      </c>
      <c r="D1071" s="41" t="s">
        <v>628</v>
      </c>
      <c r="E1071" s="41" t="s">
        <v>629</v>
      </c>
      <c r="F1071" s="41">
        <v>1.49044585227966</v>
      </c>
      <c r="G1071" s="41"/>
      <c r="H1071" s="41"/>
      <c r="I1071" s="41"/>
      <c r="J1071" s="41"/>
      <c r="K1071" s="41"/>
      <c r="L1071" s="41"/>
      <c r="M1071" s="41"/>
      <c r="N1071" s="41"/>
      <c r="O1071" s="41"/>
      <c r="P1071" s="41"/>
      <c r="Q1071" s="41"/>
      <c r="R1071" s="41"/>
      <c r="S1071" s="41"/>
      <c r="T1071" s="41"/>
      <c r="U1071" s="41"/>
      <c r="V1071" s="41">
        <v>1.4313000440597501</v>
      </c>
      <c r="W1071" s="41"/>
      <c r="X1071" s="41">
        <v>1.4371999502182</v>
      </c>
      <c r="Y1071" s="41"/>
      <c r="Z1071" s="41">
        <v>1.39750003814697</v>
      </c>
      <c r="AA1071" s="41"/>
      <c r="AB1071" s="41">
        <v>1.36580002307892</v>
      </c>
      <c r="AC1071" s="41"/>
      <c r="AD1071" s="41">
        <v>1.30309998989105</v>
      </c>
      <c r="AE1071" s="41"/>
      <c r="AF1071" s="41"/>
      <c r="AG1071" s="41"/>
      <c r="AH1071" s="41">
        <v>1.0903999805450399</v>
      </c>
      <c r="AI1071" s="41"/>
      <c r="AJ1071" s="41">
        <v>1.0246000289999999</v>
      </c>
      <c r="AK1071" s="41"/>
      <c r="AL1071" s="41">
        <v>0.89029997589999998</v>
      </c>
      <c r="AM1071" s="41"/>
      <c r="AN1071" s="41"/>
      <c r="AO1071" s="41"/>
      <c r="AP1071" s="41"/>
      <c r="AQ1071" s="41"/>
      <c r="AR1071" s="41"/>
      <c r="AS1071" s="41"/>
      <c r="AT1071" s="41"/>
      <c r="AU1071" s="41"/>
      <c r="AV1071" s="41"/>
      <c r="AW1071" s="41"/>
      <c r="AX1071" s="41"/>
      <c r="AY1071" s="41"/>
      <c r="AZ1071" s="41">
        <v>1.1000000000000001</v>
      </c>
      <c r="BA1071" s="41"/>
      <c r="BB1071" s="41"/>
      <c r="BC1071" s="41"/>
      <c r="BD1071" s="41">
        <v>0.7</v>
      </c>
      <c r="BE1071" s="41"/>
      <c r="BF1071" s="41"/>
      <c r="BG1071" s="41"/>
      <c r="BH1071" s="41"/>
      <c r="BI1071" s="41"/>
      <c r="BJ1071" s="41"/>
      <c r="BK1071" s="41"/>
      <c r="BL1071" s="41"/>
      <c r="BM1071" s="41"/>
      <c r="BN1071" s="54">
        <f t="shared" si="18"/>
        <v>0.7</v>
      </c>
    </row>
    <row r="1072" spans="2:66" x14ac:dyDescent="0.35">
      <c r="B1072" s="41" t="s">
        <v>216</v>
      </c>
      <c r="C1072" s="41" t="s">
        <v>147</v>
      </c>
      <c r="D1072" s="41" t="s">
        <v>628</v>
      </c>
      <c r="E1072" s="41" t="s">
        <v>629</v>
      </c>
      <c r="F1072" s="41">
        <v>1.4807984828948999</v>
      </c>
      <c r="G1072" s="41"/>
      <c r="H1072" s="41"/>
      <c r="I1072" s="41"/>
      <c r="J1072" s="41"/>
      <c r="K1072" s="41"/>
      <c r="L1072" s="41"/>
      <c r="M1072" s="41"/>
      <c r="N1072" s="41"/>
      <c r="O1072" s="41"/>
      <c r="P1072" s="41">
        <v>1.55869996547699</v>
      </c>
      <c r="Q1072" s="41"/>
      <c r="R1072" s="41"/>
      <c r="S1072" s="41"/>
      <c r="T1072" s="41"/>
      <c r="U1072" s="41">
        <v>1.6484999656677199</v>
      </c>
      <c r="V1072" s="41"/>
      <c r="W1072" s="41"/>
      <c r="X1072" s="41"/>
      <c r="Y1072" s="41"/>
      <c r="Z1072" s="41"/>
      <c r="AA1072" s="41">
        <v>1.51250004768372</v>
      </c>
      <c r="AB1072" s="41"/>
      <c r="AC1072" s="41"/>
      <c r="AD1072" s="41"/>
      <c r="AE1072" s="41"/>
      <c r="AF1072" s="41"/>
      <c r="AG1072" s="41"/>
      <c r="AH1072" s="41">
        <v>1.3154000043869001</v>
      </c>
      <c r="AI1072" s="41"/>
      <c r="AJ1072" s="41"/>
      <c r="AK1072" s="41">
        <v>0.91619998219999998</v>
      </c>
      <c r="AL1072" s="41"/>
      <c r="AM1072" s="41"/>
      <c r="AN1072" s="41"/>
      <c r="AO1072" s="41"/>
      <c r="AP1072" s="41"/>
      <c r="AQ1072" s="41"/>
      <c r="AR1072" s="41"/>
      <c r="AS1072" s="41"/>
      <c r="AT1072" s="41"/>
      <c r="AU1072" s="41"/>
      <c r="AV1072" s="41"/>
      <c r="AW1072" s="41"/>
      <c r="AX1072" s="41">
        <v>0.7</v>
      </c>
      <c r="AY1072" s="41">
        <v>1</v>
      </c>
      <c r="AZ1072" s="41">
        <v>1.1000000000000001</v>
      </c>
      <c r="BA1072" s="41"/>
      <c r="BB1072" s="41"/>
      <c r="BC1072" s="41">
        <v>0.4</v>
      </c>
      <c r="BD1072" s="41">
        <v>0.5</v>
      </c>
      <c r="BE1072" s="41"/>
      <c r="BF1072" s="41"/>
      <c r="BG1072" s="41"/>
      <c r="BH1072" s="41"/>
      <c r="BI1072" s="41"/>
      <c r="BJ1072" s="41"/>
      <c r="BK1072" s="41"/>
      <c r="BL1072" s="41"/>
      <c r="BM1072" s="41"/>
      <c r="BN1072" s="54">
        <f t="shared" si="18"/>
        <v>0.5</v>
      </c>
    </row>
    <row r="1073" spans="2:66" x14ac:dyDescent="0.35">
      <c r="B1073" s="41" t="s">
        <v>239</v>
      </c>
      <c r="C1073" s="41" t="s">
        <v>148</v>
      </c>
      <c r="D1073" s="41" t="s">
        <v>628</v>
      </c>
      <c r="E1073" s="41" t="s">
        <v>629</v>
      </c>
      <c r="F1073" s="41"/>
      <c r="G1073" s="41"/>
      <c r="H1073" s="41"/>
      <c r="I1073" s="41"/>
      <c r="J1073" s="41"/>
      <c r="K1073" s="41"/>
      <c r="L1073" s="41"/>
      <c r="M1073" s="41"/>
      <c r="N1073" s="41"/>
      <c r="O1073" s="41"/>
      <c r="P1073" s="41"/>
      <c r="Q1073" s="41"/>
      <c r="R1073" s="41"/>
      <c r="S1073" s="41"/>
      <c r="T1073" s="41"/>
      <c r="U1073" s="41"/>
      <c r="V1073" s="41"/>
      <c r="W1073" s="41"/>
      <c r="X1073" s="41"/>
      <c r="Y1073" s="41"/>
      <c r="Z1073" s="41">
        <v>12.143500328064</v>
      </c>
      <c r="AA1073" s="41">
        <v>12.253299713134799</v>
      </c>
      <c r="AB1073" s="41">
        <v>12.3577995300293</v>
      </c>
      <c r="AC1073" s="41">
        <v>12.444800376892101</v>
      </c>
      <c r="AD1073" s="41">
        <v>12.5909996032715</v>
      </c>
      <c r="AE1073" s="41">
        <v>12.694999694824199</v>
      </c>
      <c r="AF1073" s="41">
        <v>12.787599563598601</v>
      </c>
      <c r="AG1073" s="41">
        <v>12.8506002426147</v>
      </c>
      <c r="AH1073" s="41">
        <v>12.9303998947144</v>
      </c>
      <c r="AI1073" s="41">
        <v>13.006400108337401</v>
      </c>
      <c r="AJ1073" s="41">
        <v>13.013099670400001</v>
      </c>
      <c r="AK1073" s="41">
        <v>12.969099998500001</v>
      </c>
      <c r="AL1073" s="41">
        <v>12.7290000916</v>
      </c>
      <c r="AM1073" s="41">
        <v>12.470700264</v>
      </c>
      <c r="AN1073" s="41">
        <v>12.302200317400001</v>
      </c>
      <c r="AO1073" s="41">
        <v>11.890000343300001</v>
      </c>
      <c r="AP1073" s="41">
        <v>10.8400001526</v>
      </c>
      <c r="AQ1073" s="41">
        <v>9.3699998856000004</v>
      </c>
      <c r="AR1073" s="41">
        <v>9.0399999618999995</v>
      </c>
      <c r="AS1073" s="41">
        <v>8.9499998092999995</v>
      </c>
      <c r="AT1073" s="41">
        <v>8.8000000000000007</v>
      </c>
      <c r="AU1073" s="41">
        <v>8.8000000000000007</v>
      </c>
      <c r="AV1073" s="41">
        <v>8.9</v>
      </c>
      <c r="AW1073" s="41">
        <v>8.8000000000000007</v>
      </c>
      <c r="AX1073" s="41">
        <v>8.6999999999999993</v>
      </c>
      <c r="AY1073" s="41">
        <v>8.6999999999999993</v>
      </c>
      <c r="AZ1073" s="41">
        <v>8.6999999999999993</v>
      </c>
      <c r="BA1073" s="41">
        <v>8.6999999999999993</v>
      </c>
      <c r="BB1073" s="41">
        <v>8.6999999999999993</v>
      </c>
      <c r="BC1073" s="41">
        <v>9.4</v>
      </c>
      <c r="BD1073" s="41">
        <v>9.4</v>
      </c>
      <c r="BE1073" s="41">
        <v>9</v>
      </c>
      <c r="BF1073" s="41">
        <v>8.9</v>
      </c>
      <c r="BG1073" s="41">
        <v>8.8000000000000007</v>
      </c>
      <c r="BH1073" s="41"/>
      <c r="BI1073" s="41"/>
      <c r="BJ1073" s="41"/>
      <c r="BK1073" s="41"/>
      <c r="BL1073" s="41"/>
      <c r="BM1073" s="41"/>
      <c r="BN1073" s="54">
        <f t="shared" si="18"/>
        <v>8.8000000000000007</v>
      </c>
    </row>
    <row r="1074" spans="2:66" x14ac:dyDescent="0.35">
      <c r="B1074" s="41" t="s">
        <v>557</v>
      </c>
      <c r="C1074" s="41" t="s">
        <v>558</v>
      </c>
      <c r="D1074" s="41" t="s">
        <v>628</v>
      </c>
      <c r="E1074" s="41" t="s">
        <v>629</v>
      </c>
      <c r="F1074" s="41"/>
      <c r="G1074" s="41"/>
      <c r="H1074" s="41"/>
      <c r="I1074" s="41"/>
      <c r="J1074" s="41"/>
      <c r="K1074" s="41"/>
      <c r="L1074" s="41"/>
      <c r="M1074" s="41"/>
      <c r="N1074" s="41"/>
      <c r="O1074" s="41"/>
      <c r="P1074" s="41">
        <v>1.9364277939367331</v>
      </c>
      <c r="Q1074" s="41"/>
      <c r="R1074" s="41"/>
      <c r="S1074" s="41"/>
      <c r="T1074" s="41"/>
      <c r="U1074" s="41">
        <v>2.2107310534394715</v>
      </c>
      <c r="V1074" s="41"/>
      <c r="W1074" s="41"/>
      <c r="X1074" s="41"/>
      <c r="Y1074" s="41"/>
      <c r="Z1074" s="41">
        <v>2.5318724984461767</v>
      </c>
      <c r="AA1074" s="41"/>
      <c r="AB1074" s="41"/>
      <c r="AC1074" s="41"/>
      <c r="AD1074" s="41"/>
      <c r="AE1074" s="41">
        <v>3.9221065389211844</v>
      </c>
      <c r="AF1074" s="41">
        <v>3.9662434347042543</v>
      </c>
      <c r="AG1074" s="41">
        <v>3.9210856010692501</v>
      </c>
      <c r="AH1074" s="41">
        <v>3.9846046216753557</v>
      </c>
      <c r="AI1074" s="41">
        <v>3.9496834018352396</v>
      </c>
      <c r="AJ1074" s="41">
        <v>3.5937126485131241</v>
      </c>
      <c r="AK1074" s="41">
        <v>3.8076788705213249</v>
      </c>
      <c r="AL1074" s="41">
        <v>3.7199562937216362</v>
      </c>
      <c r="AM1074" s="41">
        <v>3.694257947389163</v>
      </c>
      <c r="AN1074" s="41">
        <v>3.6913371088419225</v>
      </c>
      <c r="AO1074" s="41">
        <v>3.6526035606908578</v>
      </c>
      <c r="AP1074" s="41">
        <v>3.3767608087201628</v>
      </c>
      <c r="AQ1074" s="41">
        <v>3.5522736421680383</v>
      </c>
      <c r="AR1074" s="41">
        <v>3.4321530606024222</v>
      </c>
      <c r="AS1074" s="41">
        <v>3.3766814402515863</v>
      </c>
      <c r="AT1074" s="41">
        <v>3.29765701562257</v>
      </c>
      <c r="AU1074" s="41">
        <v>3.2401803632726942</v>
      </c>
      <c r="AV1074" s="41">
        <v>3.1015117990210674</v>
      </c>
      <c r="AW1074" s="41">
        <v>2.8968964961739583</v>
      </c>
      <c r="AX1074" s="41">
        <v>3.3787423332201496</v>
      </c>
      <c r="AY1074" s="41">
        <v>3.1002779606771997</v>
      </c>
      <c r="AZ1074" s="41">
        <v>2.9227105982848962</v>
      </c>
      <c r="BA1074" s="41"/>
      <c r="BB1074" s="41"/>
      <c r="BC1074" s="41">
        <v>3.9621423880520306</v>
      </c>
      <c r="BD1074" s="41">
        <v>3.5643194401215084</v>
      </c>
      <c r="BE1074" s="41">
        <v>3.6251885775559125</v>
      </c>
      <c r="BF1074" s="41">
        <v>3.8496473351827474</v>
      </c>
      <c r="BG1074" s="41"/>
      <c r="BH1074" s="41"/>
      <c r="BI1074" s="41"/>
      <c r="BJ1074" s="41"/>
      <c r="BK1074" s="41"/>
      <c r="BL1074" s="41"/>
      <c r="BM1074" s="41"/>
      <c r="BN1074" s="54">
        <f t="shared" si="18"/>
        <v>3.8496473351827474</v>
      </c>
    </row>
    <row r="1075" spans="2:66" x14ac:dyDescent="0.35">
      <c r="B1075" s="41" t="s">
        <v>559</v>
      </c>
      <c r="C1075" s="41" t="s">
        <v>560</v>
      </c>
      <c r="D1075" s="41" t="s">
        <v>628</v>
      </c>
      <c r="E1075" s="41" t="s">
        <v>629</v>
      </c>
      <c r="F1075" s="41">
        <v>5.5118203163146999</v>
      </c>
      <c r="G1075" s="41"/>
      <c r="H1075" s="41"/>
      <c r="I1075" s="41"/>
      <c r="J1075" s="41"/>
      <c r="K1075" s="41"/>
      <c r="L1075" s="41"/>
      <c r="M1075" s="41"/>
      <c r="N1075" s="41"/>
      <c r="O1075" s="41"/>
      <c r="P1075" s="41">
        <v>5.9127001762390101</v>
      </c>
      <c r="Q1075" s="41"/>
      <c r="R1075" s="41"/>
      <c r="S1075" s="41"/>
      <c r="T1075" s="41"/>
      <c r="U1075" s="41">
        <v>5.0018000602722203</v>
      </c>
      <c r="V1075" s="41"/>
      <c r="W1075" s="41"/>
      <c r="X1075" s="41"/>
      <c r="Y1075" s="41"/>
      <c r="Z1075" s="41"/>
      <c r="AA1075" s="41"/>
      <c r="AB1075" s="41"/>
      <c r="AC1075" s="41"/>
      <c r="AD1075" s="41"/>
      <c r="AE1075" s="41">
        <v>3.24580001831055</v>
      </c>
      <c r="AF1075" s="41"/>
      <c r="AG1075" s="41"/>
      <c r="AH1075" s="41"/>
      <c r="AI1075" s="41"/>
      <c r="AJ1075" s="41">
        <v>4.5226001739999999</v>
      </c>
      <c r="AK1075" s="41"/>
      <c r="AL1075" s="41"/>
      <c r="AM1075" s="41">
        <v>4.5</v>
      </c>
      <c r="AN1075" s="41"/>
      <c r="AO1075" s="41"/>
      <c r="AP1075" s="41">
        <v>4.3899998665000002</v>
      </c>
      <c r="AQ1075" s="41"/>
      <c r="AR1075" s="41"/>
      <c r="AS1075" s="41"/>
      <c r="AT1075" s="41"/>
      <c r="AU1075" s="41"/>
      <c r="AV1075" s="41"/>
      <c r="AW1075" s="41">
        <v>1.8999999761999999</v>
      </c>
      <c r="AX1075" s="41"/>
      <c r="AY1075" s="41">
        <v>2.4</v>
      </c>
      <c r="AZ1075" s="41">
        <v>2.9</v>
      </c>
      <c r="BA1075" s="41">
        <v>2.9</v>
      </c>
      <c r="BB1075" s="41"/>
      <c r="BC1075" s="41"/>
      <c r="BD1075" s="41">
        <v>1.2</v>
      </c>
      <c r="BE1075" s="41">
        <v>3</v>
      </c>
      <c r="BF1075" s="41">
        <v>2.5</v>
      </c>
      <c r="BG1075" s="41">
        <v>2.5</v>
      </c>
      <c r="BH1075" s="41">
        <v>2.8</v>
      </c>
      <c r="BI1075" s="41"/>
      <c r="BJ1075" s="41"/>
      <c r="BK1075" s="41"/>
      <c r="BL1075" s="41"/>
      <c r="BM1075" s="41"/>
      <c r="BN1075" s="54">
        <f t="shared" si="18"/>
        <v>2.8</v>
      </c>
    </row>
    <row r="1076" spans="2:66" x14ac:dyDescent="0.35">
      <c r="B1076" s="41" t="s">
        <v>556</v>
      </c>
      <c r="C1076" s="41" t="s">
        <v>149</v>
      </c>
      <c r="D1076" s="41" t="s">
        <v>628</v>
      </c>
      <c r="E1076" s="41" t="s">
        <v>629</v>
      </c>
      <c r="F1076" s="41">
        <v>9.1999998092651403</v>
      </c>
      <c r="G1076" s="41"/>
      <c r="H1076" s="41"/>
      <c r="I1076" s="41"/>
      <c r="J1076" s="41"/>
      <c r="K1076" s="41">
        <v>8.8000001907348597</v>
      </c>
      <c r="L1076" s="41"/>
      <c r="M1076" s="41"/>
      <c r="N1076" s="41"/>
      <c r="O1076" s="41"/>
      <c r="P1076" s="41">
        <v>7.9000000953674299</v>
      </c>
      <c r="Q1076" s="41">
        <v>7.5</v>
      </c>
      <c r="R1076" s="41">
        <v>7.4000000953674299</v>
      </c>
      <c r="S1076" s="41">
        <v>7.1999998092651403</v>
      </c>
      <c r="T1076" s="41">
        <v>7.0999999046325701</v>
      </c>
      <c r="U1076" s="41">
        <v>6.8000001907348597</v>
      </c>
      <c r="V1076" s="41">
        <v>6.5999999046325701</v>
      </c>
      <c r="W1076" s="41">
        <v>6.4000000953674299</v>
      </c>
      <c r="X1076" s="41">
        <v>6.1999998092651403</v>
      </c>
      <c r="Y1076" s="41">
        <v>6.0999999046325701</v>
      </c>
      <c r="Z1076" s="41">
        <v>6</v>
      </c>
      <c r="AA1076" s="41">
        <v>5.9000000953674299</v>
      </c>
      <c r="AB1076" s="41">
        <v>5.9000000953674299</v>
      </c>
      <c r="AC1076" s="41">
        <v>5.8000001907348597</v>
      </c>
      <c r="AD1076" s="41">
        <v>5.6999998092651403</v>
      </c>
      <c r="AE1076" s="41">
        <v>5.5</v>
      </c>
      <c r="AF1076" s="41">
        <v>5.4000000953674299</v>
      </c>
      <c r="AG1076" s="41">
        <v>5.1999998092651403</v>
      </c>
      <c r="AH1076" s="41">
        <v>5.0999999046325701</v>
      </c>
      <c r="AI1076" s="41">
        <v>5</v>
      </c>
      <c r="AJ1076" s="41">
        <v>4.9000000954000003</v>
      </c>
      <c r="AK1076" s="41">
        <v>4.8000001906999996</v>
      </c>
      <c r="AL1076" s="41">
        <v>4.5999999045999997</v>
      </c>
      <c r="AM1076" s="41">
        <v>4.5</v>
      </c>
      <c r="AN1076" s="41">
        <v>4.3000001906999996</v>
      </c>
      <c r="AO1076" s="41">
        <v>4.0999999045999997</v>
      </c>
      <c r="AP1076" s="41">
        <v>3.9000000953999998</v>
      </c>
      <c r="AQ1076" s="41">
        <v>3.7999999522999999</v>
      </c>
      <c r="AR1076" s="41">
        <v>3.7000000477000001</v>
      </c>
      <c r="AS1076" s="41">
        <v>3.5999999046000002</v>
      </c>
      <c r="AT1076" s="41">
        <v>3.5</v>
      </c>
      <c r="AU1076" s="41">
        <v>3.5</v>
      </c>
      <c r="AV1076" s="41">
        <v>3.4000000953999998</v>
      </c>
      <c r="AW1076" s="41">
        <v>3.3</v>
      </c>
      <c r="AX1076" s="41"/>
      <c r="AY1076" s="41">
        <v>3.2</v>
      </c>
      <c r="AZ1076" s="41">
        <v>3.1</v>
      </c>
      <c r="BA1076" s="41">
        <v>3.1</v>
      </c>
      <c r="BB1076" s="41">
        <v>3.1</v>
      </c>
      <c r="BC1076" s="41">
        <v>3.1</v>
      </c>
      <c r="BD1076" s="41">
        <v>3</v>
      </c>
      <c r="BE1076" s="41">
        <v>2.9</v>
      </c>
      <c r="BF1076" s="41">
        <v>2.9</v>
      </c>
      <c r="BG1076" s="41">
        <v>2.9</v>
      </c>
      <c r="BH1076" s="41"/>
      <c r="BI1076" s="41"/>
      <c r="BJ1076" s="41"/>
      <c r="BK1076" s="41"/>
      <c r="BL1076" s="41"/>
      <c r="BM1076" s="41"/>
      <c r="BN1076" s="54">
        <f t="shared" si="18"/>
        <v>2.9</v>
      </c>
    </row>
    <row r="1077" spans="2:66" x14ac:dyDescent="0.35">
      <c r="B1077" s="41" t="s">
        <v>561</v>
      </c>
      <c r="C1077" s="41" t="s">
        <v>150</v>
      </c>
      <c r="D1077" s="41" t="s">
        <v>628</v>
      </c>
      <c r="E1077" s="41" t="s">
        <v>629</v>
      </c>
      <c r="F1077" s="41"/>
      <c r="G1077" s="41"/>
      <c r="H1077" s="41"/>
      <c r="I1077" s="41"/>
      <c r="J1077" s="41"/>
      <c r="K1077" s="41"/>
      <c r="L1077" s="41"/>
      <c r="M1077" s="41"/>
      <c r="N1077" s="41"/>
      <c r="O1077" s="41"/>
      <c r="P1077" s="41"/>
      <c r="Q1077" s="41"/>
      <c r="R1077" s="41"/>
      <c r="S1077" s="41"/>
      <c r="T1077" s="41"/>
      <c r="U1077" s="41"/>
      <c r="V1077" s="41"/>
      <c r="W1077" s="41"/>
      <c r="X1077" s="41"/>
      <c r="Y1077" s="41"/>
      <c r="Z1077" s="41">
        <v>9.1763000488281303</v>
      </c>
      <c r="AA1077" s="41"/>
      <c r="AB1077" s="41"/>
      <c r="AC1077" s="41"/>
      <c r="AD1077" s="41"/>
      <c r="AE1077" s="41">
        <v>11.834199905395501</v>
      </c>
      <c r="AF1077" s="41">
        <v>11.9556999206543</v>
      </c>
      <c r="AG1077" s="41">
        <v>11.9456996917725</v>
      </c>
      <c r="AH1077" s="41">
        <v>12.216199874877899</v>
      </c>
      <c r="AI1077" s="41">
        <v>12.2850999832153</v>
      </c>
      <c r="AJ1077" s="41">
        <v>12.482799529999999</v>
      </c>
      <c r="AK1077" s="41">
        <v>10.9472999573</v>
      </c>
      <c r="AL1077" s="41">
        <v>10.754099845900001</v>
      </c>
      <c r="AM1077" s="41">
        <v>9.3942003249999999</v>
      </c>
      <c r="AN1077" s="41">
        <v>8.6632995605000005</v>
      </c>
      <c r="AO1077" s="41">
        <v>8.3000001907000005</v>
      </c>
      <c r="AP1077" s="41">
        <v>7.9299998282999997</v>
      </c>
      <c r="AQ1077" s="41">
        <v>6.4800000191000002</v>
      </c>
      <c r="AR1077" s="41">
        <v>5.5500001906999996</v>
      </c>
      <c r="AS1077" s="41">
        <v>5.3899998665000002</v>
      </c>
      <c r="AT1077" s="41">
        <v>5.3</v>
      </c>
      <c r="AU1077" s="41">
        <v>5.3</v>
      </c>
      <c r="AV1077" s="41">
        <v>5.5</v>
      </c>
      <c r="AW1077" s="41">
        <v>5.5</v>
      </c>
      <c r="AX1077" s="41">
        <v>5.3</v>
      </c>
      <c r="AY1077" s="41">
        <v>5.2</v>
      </c>
      <c r="AZ1077" s="41">
        <v>5.0999999999999996</v>
      </c>
      <c r="BA1077" s="41">
        <v>4.8</v>
      </c>
      <c r="BB1077" s="41">
        <v>4.7</v>
      </c>
      <c r="BC1077" s="41">
        <v>4.5999999999999996</v>
      </c>
      <c r="BD1077" s="41">
        <v>4.4000000000000004</v>
      </c>
      <c r="BE1077" s="41">
        <v>4.3</v>
      </c>
      <c r="BF1077" s="41">
        <v>4.2</v>
      </c>
      <c r="BG1077" s="41">
        <v>4</v>
      </c>
      <c r="BH1077" s="41"/>
      <c r="BI1077" s="41"/>
      <c r="BJ1077" s="41"/>
      <c r="BK1077" s="41"/>
      <c r="BL1077" s="41"/>
      <c r="BM1077" s="41"/>
      <c r="BN1077" s="54">
        <f t="shared" si="18"/>
        <v>4</v>
      </c>
    </row>
    <row r="1078" spans="2:66" x14ac:dyDescent="0.35">
      <c r="B1078" s="41" t="s">
        <v>535</v>
      </c>
      <c r="C1078" s="41" t="s">
        <v>536</v>
      </c>
      <c r="D1078" s="41" t="s">
        <v>628</v>
      </c>
      <c r="E1078" s="41" t="s">
        <v>629</v>
      </c>
      <c r="F1078" s="41">
        <v>4.8249998092651403</v>
      </c>
      <c r="G1078" s="41"/>
      <c r="H1078" s="41"/>
      <c r="I1078" s="41"/>
      <c r="J1078" s="41"/>
      <c r="K1078" s="41"/>
      <c r="L1078" s="41"/>
      <c r="M1078" s="41"/>
      <c r="N1078" s="41"/>
      <c r="O1078" s="41"/>
      <c r="P1078" s="41">
        <v>4.9885997772216797</v>
      </c>
      <c r="Q1078" s="41"/>
      <c r="R1078" s="41"/>
      <c r="S1078" s="41"/>
      <c r="T1078" s="41"/>
      <c r="U1078" s="41"/>
      <c r="V1078" s="41"/>
      <c r="W1078" s="41"/>
      <c r="X1078" s="41"/>
      <c r="Y1078" s="41"/>
      <c r="Z1078" s="41"/>
      <c r="AA1078" s="41"/>
      <c r="AB1078" s="41"/>
      <c r="AC1078" s="41"/>
      <c r="AD1078" s="41"/>
      <c r="AE1078" s="41"/>
      <c r="AF1078" s="41"/>
      <c r="AG1078" s="41"/>
      <c r="AH1078" s="41"/>
      <c r="AI1078" s="41"/>
      <c r="AJ1078" s="41">
        <v>4.6999998093000004</v>
      </c>
      <c r="AK1078" s="41"/>
      <c r="AL1078" s="41"/>
      <c r="AM1078" s="41">
        <v>5.0152997971</v>
      </c>
      <c r="AN1078" s="41"/>
      <c r="AO1078" s="41"/>
      <c r="AP1078" s="41">
        <v>1.8500000238000001</v>
      </c>
      <c r="AQ1078" s="41"/>
      <c r="AR1078" s="41"/>
      <c r="AS1078" s="41"/>
      <c r="AT1078" s="41"/>
      <c r="AU1078" s="41">
        <v>4.7</v>
      </c>
      <c r="AV1078" s="41">
        <v>4.5</v>
      </c>
      <c r="AW1078" s="41">
        <v>4.5</v>
      </c>
      <c r="AX1078" s="41">
        <v>4.5</v>
      </c>
      <c r="AY1078" s="41">
        <v>4.5</v>
      </c>
      <c r="AZ1078" s="41"/>
      <c r="BA1078" s="41">
        <v>3</v>
      </c>
      <c r="BB1078" s="41"/>
      <c r="BC1078" s="41"/>
      <c r="BD1078" s="41">
        <v>2.6</v>
      </c>
      <c r="BE1078" s="41">
        <v>2.7</v>
      </c>
      <c r="BF1078" s="41">
        <v>5.2</v>
      </c>
      <c r="BG1078" s="41">
        <v>2.5</v>
      </c>
      <c r="BH1078" s="41">
        <v>2.6</v>
      </c>
      <c r="BI1078" s="41"/>
      <c r="BJ1078" s="41"/>
      <c r="BK1078" s="41"/>
      <c r="BL1078" s="41"/>
      <c r="BM1078" s="41"/>
      <c r="BN1078" s="54">
        <f t="shared" si="18"/>
        <v>2.6</v>
      </c>
    </row>
    <row r="1079" spans="2:66" x14ac:dyDescent="0.35">
      <c r="B1079" s="41" t="s">
        <v>562</v>
      </c>
      <c r="C1079" s="41" t="s">
        <v>563</v>
      </c>
      <c r="D1079" s="41" t="s">
        <v>628</v>
      </c>
      <c r="E1079" s="41" t="s">
        <v>629</v>
      </c>
      <c r="F1079" s="41"/>
      <c r="G1079" s="41"/>
      <c r="H1079" s="41"/>
      <c r="I1079" s="41"/>
      <c r="J1079" s="41"/>
      <c r="K1079" s="41"/>
      <c r="L1079" s="41"/>
      <c r="M1079" s="41"/>
      <c r="N1079" s="41"/>
      <c r="O1079" s="41"/>
      <c r="P1079" s="41"/>
      <c r="Q1079" s="41"/>
      <c r="R1079" s="41"/>
      <c r="S1079" s="41"/>
      <c r="T1079" s="41">
        <v>0.34299999475479098</v>
      </c>
      <c r="U1079" s="41">
        <v>0.331499993801117</v>
      </c>
      <c r="V1079" s="41">
        <v>0.34290000796318099</v>
      </c>
      <c r="W1079" s="41"/>
      <c r="X1079" s="41"/>
      <c r="Y1079" s="41"/>
      <c r="Z1079" s="41">
        <v>0.33190000057220498</v>
      </c>
      <c r="AA1079" s="41"/>
      <c r="AB1079" s="41">
        <v>0.37040001153945901</v>
      </c>
      <c r="AC1079" s="41">
        <v>0.358200013637543</v>
      </c>
      <c r="AD1079" s="41">
        <v>0.37279999256134</v>
      </c>
      <c r="AE1079" s="41">
        <v>2.6930999755859402</v>
      </c>
      <c r="AF1079" s="41">
        <v>2.7000999450683598</v>
      </c>
      <c r="AG1079" s="41">
        <v>2.5982999801635698</v>
      </c>
      <c r="AH1079" s="41">
        <v>2.4995999336242698</v>
      </c>
      <c r="AI1079" s="41"/>
      <c r="AJ1079" s="41">
        <v>2.6779000758999998</v>
      </c>
      <c r="AK1079" s="41">
        <v>2.6775999068999998</v>
      </c>
      <c r="AL1079" s="41">
        <v>2.5729999542000002</v>
      </c>
      <c r="AM1079" s="41">
        <v>2.5999999046000002</v>
      </c>
      <c r="AN1079" s="41"/>
      <c r="AO1079" s="41"/>
      <c r="AP1079" s="41">
        <v>1.4700000285999999</v>
      </c>
      <c r="AQ1079" s="41"/>
      <c r="AR1079" s="41"/>
      <c r="AS1079" s="41"/>
      <c r="AT1079" s="41"/>
      <c r="AU1079" s="41">
        <v>0.80000001190000003</v>
      </c>
      <c r="AV1079" s="41"/>
      <c r="AW1079" s="41">
        <v>0.9</v>
      </c>
      <c r="AX1079" s="41"/>
      <c r="AY1079" s="41"/>
      <c r="AZ1079" s="41"/>
      <c r="BA1079" s="41">
        <v>1.3</v>
      </c>
      <c r="BB1079" s="41"/>
      <c r="BC1079" s="41">
        <v>1.1000000000000001</v>
      </c>
      <c r="BD1079" s="41"/>
      <c r="BE1079" s="41">
        <v>0.9</v>
      </c>
      <c r="BF1079" s="41"/>
      <c r="BG1079" s="41"/>
      <c r="BH1079" s="41">
        <v>0.8</v>
      </c>
      <c r="BI1079" s="41"/>
      <c r="BJ1079" s="41"/>
      <c r="BK1079" s="41"/>
      <c r="BL1079" s="41"/>
      <c r="BM1079" s="41"/>
      <c r="BN1079" s="54">
        <f t="shared" si="18"/>
        <v>0.8</v>
      </c>
    </row>
    <row r="1080" spans="2:66" x14ac:dyDescent="0.35">
      <c r="B1080" s="41" t="s">
        <v>337</v>
      </c>
      <c r="C1080" s="41" t="s">
        <v>338</v>
      </c>
      <c r="D1080" s="41" t="s">
        <v>628</v>
      </c>
      <c r="E1080" s="41" t="s">
        <v>629</v>
      </c>
      <c r="F1080" s="41"/>
      <c r="G1080" s="41"/>
      <c r="H1080" s="41"/>
      <c r="I1080" s="41"/>
      <c r="J1080" s="41"/>
      <c r="K1080" s="41"/>
      <c r="L1080" s="41"/>
      <c r="M1080" s="41"/>
      <c r="N1080" s="41"/>
      <c r="O1080" s="41"/>
      <c r="P1080" s="41"/>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41"/>
      <c r="BC1080" s="41"/>
      <c r="BD1080" s="41"/>
      <c r="BE1080" s="41"/>
      <c r="BF1080" s="41"/>
      <c r="BG1080" s="41"/>
      <c r="BH1080" s="41"/>
      <c r="BI1080" s="41"/>
      <c r="BJ1080" s="41"/>
      <c r="BK1080" s="41"/>
      <c r="BL1080" s="41"/>
      <c r="BM1080" s="41"/>
      <c r="BN1080" s="54" t="str">
        <f t="shared" si="18"/>
        <v>No reported value</v>
      </c>
    </row>
    <row r="1081" spans="2:66" x14ac:dyDescent="0.35">
      <c r="B1081" s="41" t="s">
        <v>565</v>
      </c>
      <c r="C1081" s="41" t="s">
        <v>566</v>
      </c>
      <c r="D1081" s="41" t="s">
        <v>628</v>
      </c>
      <c r="E1081" s="41" t="s">
        <v>629</v>
      </c>
      <c r="F1081" s="41"/>
      <c r="G1081" s="41"/>
      <c r="H1081" s="41"/>
      <c r="I1081" s="41"/>
      <c r="J1081" s="41"/>
      <c r="K1081" s="41"/>
      <c r="L1081" s="41"/>
      <c r="M1081" s="41"/>
      <c r="N1081" s="41"/>
      <c r="O1081" s="41"/>
      <c r="P1081" s="41"/>
      <c r="Q1081" s="41"/>
      <c r="R1081" s="41"/>
      <c r="S1081" s="41"/>
      <c r="T1081" s="41"/>
      <c r="U1081" s="41"/>
      <c r="V1081" s="41"/>
      <c r="W1081" s="41"/>
      <c r="X1081" s="41"/>
      <c r="Y1081" s="41"/>
      <c r="Z1081" s="41"/>
      <c r="AA1081" s="41"/>
      <c r="AB1081" s="41"/>
      <c r="AC1081" s="41"/>
      <c r="AD1081" s="41"/>
      <c r="AE1081" s="41"/>
      <c r="AF1081" s="41"/>
      <c r="AG1081" s="41"/>
      <c r="AH1081" s="41"/>
      <c r="AI1081" s="41"/>
      <c r="AJ1081" s="41">
        <v>4.8000001906999996</v>
      </c>
      <c r="AK1081" s="41"/>
      <c r="AL1081" s="41"/>
      <c r="AM1081" s="41"/>
      <c r="AN1081" s="41"/>
      <c r="AO1081" s="41"/>
      <c r="AP1081" s="41">
        <v>18.6800003052</v>
      </c>
      <c r="AQ1081" s="41"/>
      <c r="AR1081" s="41"/>
      <c r="AS1081" s="41"/>
      <c r="AT1081" s="41"/>
      <c r="AU1081" s="41"/>
      <c r="AV1081" s="41"/>
      <c r="AW1081" s="41"/>
      <c r="AX1081" s="41"/>
      <c r="AY1081" s="41"/>
      <c r="AZ1081" s="41"/>
      <c r="BA1081" s="41"/>
      <c r="BB1081" s="41"/>
      <c r="BC1081" s="41"/>
      <c r="BD1081" s="41"/>
      <c r="BE1081" s="41"/>
      <c r="BF1081" s="41"/>
      <c r="BG1081" s="41"/>
      <c r="BH1081" s="41"/>
      <c r="BI1081" s="41"/>
      <c r="BJ1081" s="41"/>
      <c r="BK1081" s="41"/>
      <c r="BL1081" s="41"/>
      <c r="BM1081" s="41"/>
      <c r="BN1081" s="54">
        <f t="shared" si="18"/>
        <v>18.6800003052</v>
      </c>
    </row>
    <row r="1082" spans="2:66" x14ac:dyDescent="0.35">
      <c r="B1082" s="41" t="s">
        <v>564</v>
      </c>
      <c r="C1082" s="41" t="s">
        <v>160</v>
      </c>
      <c r="D1082" s="41" t="s">
        <v>628</v>
      </c>
      <c r="E1082" s="41" t="s">
        <v>629</v>
      </c>
      <c r="F1082" s="41"/>
      <c r="G1082" s="41"/>
      <c r="H1082" s="41"/>
      <c r="I1082" s="41"/>
      <c r="J1082" s="41"/>
      <c r="K1082" s="41"/>
      <c r="L1082" s="41"/>
      <c r="M1082" s="41"/>
      <c r="N1082" s="41"/>
      <c r="O1082" s="41"/>
      <c r="P1082" s="41"/>
      <c r="Q1082" s="41"/>
      <c r="R1082" s="41"/>
      <c r="S1082" s="41"/>
      <c r="T1082" s="41"/>
      <c r="U1082" s="41"/>
      <c r="V1082" s="41"/>
      <c r="W1082" s="41"/>
      <c r="X1082" s="41"/>
      <c r="Y1082" s="41"/>
      <c r="Z1082" s="41">
        <v>3.4972999095916699</v>
      </c>
      <c r="AA1082" s="41">
        <v>3.6960999965667698</v>
      </c>
      <c r="AB1082" s="41"/>
      <c r="AC1082" s="41"/>
      <c r="AD1082" s="41"/>
      <c r="AE1082" s="41"/>
      <c r="AF1082" s="41"/>
      <c r="AG1082" s="41"/>
      <c r="AH1082" s="41"/>
      <c r="AI1082" s="41">
        <v>3.3017001152038601</v>
      </c>
      <c r="AJ1082" s="41">
        <v>3.8329000472999999</v>
      </c>
      <c r="AK1082" s="41"/>
      <c r="AL1082" s="41"/>
      <c r="AM1082" s="41"/>
      <c r="AN1082" s="41"/>
      <c r="AO1082" s="41"/>
      <c r="AP1082" s="41"/>
      <c r="AQ1082" s="41">
        <v>1.6699999570999999</v>
      </c>
      <c r="AR1082" s="41"/>
      <c r="AS1082" s="41"/>
      <c r="AT1082" s="41"/>
      <c r="AU1082" s="41">
        <v>2.4000000953999998</v>
      </c>
      <c r="AV1082" s="41">
        <v>1.4</v>
      </c>
      <c r="AW1082" s="41"/>
      <c r="AX1082" s="41">
        <v>2.8</v>
      </c>
      <c r="AY1082" s="41">
        <v>2.6</v>
      </c>
      <c r="AZ1082" s="41">
        <v>2.66</v>
      </c>
      <c r="BA1082" s="41"/>
      <c r="BB1082" s="41">
        <v>2.9</v>
      </c>
      <c r="BC1082" s="41">
        <v>3.1</v>
      </c>
      <c r="BD1082" s="41">
        <v>2</v>
      </c>
      <c r="BE1082" s="41"/>
      <c r="BF1082" s="41">
        <v>2.5</v>
      </c>
      <c r="BG1082" s="41"/>
      <c r="BH1082" s="41">
        <v>2.6</v>
      </c>
      <c r="BI1082" s="41"/>
      <c r="BJ1082" s="41"/>
      <c r="BK1082" s="41"/>
      <c r="BL1082" s="41"/>
      <c r="BM1082" s="41"/>
      <c r="BN1082" s="54">
        <f t="shared" si="18"/>
        <v>2.6</v>
      </c>
    </row>
    <row r="1083" spans="2:66" x14ac:dyDescent="0.35">
      <c r="B1083" s="41" t="s">
        <v>258</v>
      </c>
      <c r="C1083" s="41" t="s">
        <v>151</v>
      </c>
      <c r="D1083" s="41" t="s">
        <v>628</v>
      </c>
      <c r="E1083" s="41" t="s">
        <v>629</v>
      </c>
      <c r="F1083" s="41">
        <v>5.4307694435119602</v>
      </c>
      <c r="G1083" s="41"/>
      <c r="H1083" s="41"/>
      <c r="I1083" s="41"/>
      <c r="J1083" s="41"/>
      <c r="K1083" s="41"/>
      <c r="L1083" s="41"/>
      <c r="M1083" s="41"/>
      <c r="N1083" s="41"/>
      <c r="O1083" s="41"/>
      <c r="P1083" s="41">
        <v>10.734900474548301</v>
      </c>
      <c r="Q1083" s="41"/>
      <c r="R1083" s="41"/>
      <c r="S1083" s="41"/>
      <c r="T1083" s="41"/>
      <c r="U1083" s="41"/>
      <c r="V1083" s="41"/>
      <c r="W1083" s="41"/>
      <c r="X1083" s="41"/>
      <c r="Y1083" s="41"/>
      <c r="Z1083" s="41">
        <v>6.1793999671936</v>
      </c>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v>3.0999999046000002</v>
      </c>
      <c r="AV1083" s="41"/>
      <c r="AW1083" s="41">
        <v>3.7</v>
      </c>
      <c r="AX1083" s="41"/>
      <c r="AY1083" s="41">
        <v>4.0999999999999996</v>
      </c>
      <c r="AZ1083" s="41"/>
      <c r="BA1083" s="41"/>
      <c r="BB1083" s="41">
        <v>1.7</v>
      </c>
      <c r="BC1083" s="41"/>
      <c r="BD1083" s="41"/>
      <c r="BE1083" s="41"/>
      <c r="BF1083" s="41"/>
      <c r="BG1083" s="41"/>
      <c r="BH1083" s="41"/>
      <c r="BI1083" s="41"/>
      <c r="BJ1083" s="41"/>
      <c r="BK1083" s="41"/>
      <c r="BL1083" s="41"/>
      <c r="BM1083" s="41"/>
      <c r="BN1083" s="54">
        <f t="shared" ref="BN1083:BN1090" si="19">IFERROR(LOOKUP(2,1/(ISNUMBER(F1083:BM1083)),F1083:BM1083),"No reported value")</f>
        <v>1.7</v>
      </c>
    </row>
    <row r="1084" spans="2:66" x14ac:dyDescent="0.35">
      <c r="B1084" s="41" t="s">
        <v>569</v>
      </c>
      <c r="C1084" s="41" t="s">
        <v>570</v>
      </c>
      <c r="D1084" s="41" t="s">
        <v>628</v>
      </c>
      <c r="E1084" s="41" t="s">
        <v>629</v>
      </c>
      <c r="F1084" s="41"/>
      <c r="G1084" s="41"/>
      <c r="H1084" s="41"/>
      <c r="I1084" s="41"/>
      <c r="J1084" s="41"/>
      <c r="K1084" s="41"/>
      <c r="L1084" s="41"/>
      <c r="M1084" s="41"/>
      <c r="N1084" s="41"/>
      <c r="O1084" s="41"/>
      <c r="P1084" s="41">
        <v>3.0786857618760655</v>
      </c>
      <c r="Q1084" s="41"/>
      <c r="R1084" s="41"/>
      <c r="S1084" s="41"/>
      <c r="T1084" s="41"/>
      <c r="U1084" s="41">
        <v>2.3976383088529563</v>
      </c>
      <c r="V1084" s="41"/>
      <c r="W1084" s="41"/>
      <c r="X1084" s="41"/>
      <c r="Y1084" s="41"/>
      <c r="Z1084" s="41">
        <v>3.5952668129645122</v>
      </c>
      <c r="AA1084" s="41"/>
      <c r="AB1084" s="41"/>
      <c r="AC1084" s="41"/>
      <c r="AD1084" s="41"/>
      <c r="AE1084" s="41">
        <v>4.1255762508577174</v>
      </c>
      <c r="AF1084" s="41"/>
      <c r="AG1084" s="41"/>
      <c r="AH1084" s="41"/>
      <c r="AI1084" s="41"/>
      <c r="AJ1084" s="41">
        <v>3.6492762407434487</v>
      </c>
      <c r="AK1084" s="41">
        <v>3.4292390791487004</v>
      </c>
      <c r="AL1084" s="41"/>
      <c r="AM1084" s="41"/>
      <c r="AN1084" s="41"/>
      <c r="AO1084" s="41"/>
      <c r="AP1084" s="41"/>
      <c r="AQ1084" s="41"/>
      <c r="AR1084" s="41"/>
      <c r="AS1084" s="41"/>
      <c r="AT1084" s="41"/>
      <c r="AU1084" s="41"/>
      <c r="AV1084" s="41">
        <v>2.8759713672679572</v>
      </c>
      <c r="AW1084" s="41">
        <v>3.0584604523016719</v>
      </c>
      <c r="AX1084" s="41"/>
      <c r="AY1084" s="41">
        <v>2.8793498866461182</v>
      </c>
      <c r="AZ1084" s="41"/>
      <c r="BA1084" s="41"/>
      <c r="BB1084" s="41"/>
      <c r="BC1084" s="41"/>
      <c r="BD1084" s="41"/>
      <c r="BE1084" s="41">
        <v>2.7047692810942441</v>
      </c>
      <c r="BF1084" s="41"/>
      <c r="BG1084" s="41"/>
      <c r="BH1084" s="41"/>
      <c r="BI1084" s="41"/>
      <c r="BJ1084" s="41"/>
      <c r="BK1084" s="41"/>
      <c r="BL1084" s="41"/>
      <c r="BM1084" s="41"/>
      <c r="BN1084" s="54">
        <f t="shared" si="19"/>
        <v>2.7047692810942441</v>
      </c>
    </row>
    <row r="1085" spans="2:66" x14ac:dyDescent="0.35">
      <c r="B1085" s="41" t="s">
        <v>254</v>
      </c>
      <c r="C1085" s="41" t="s">
        <v>152</v>
      </c>
      <c r="D1085" s="41" t="s">
        <v>628</v>
      </c>
      <c r="E1085" s="41" t="s">
        <v>629</v>
      </c>
      <c r="F1085" s="41">
        <v>5</v>
      </c>
      <c r="G1085" s="41"/>
      <c r="H1085" s="41"/>
      <c r="I1085" s="41"/>
      <c r="J1085" s="41"/>
      <c r="K1085" s="41"/>
      <c r="L1085" s="41"/>
      <c r="M1085" s="41"/>
      <c r="N1085" s="41"/>
      <c r="O1085" s="41"/>
      <c r="P1085" s="41">
        <v>4.5581998825073198</v>
      </c>
      <c r="Q1085" s="41"/>
      <c r="R1085" s="41"/>
      <c r="S1085" s="41"/>
      <c r="T1085" s="41"/>
      <c r="U1085" s="41"/>
      <c r="V1085" s="41"/>
      <c r="W1085" s="41"/>
      <c r="X1085" s="41"/>
      <c r="Y1085" s="41"/>
      <c r="Z1085" s="41">
        <v>4.4967999458312997</v>
      </c>
      <c r="AA1085" s="41">
        <v>4.3639998435974103</v>
      </c>
      <c r="AB1085" s="41"/>
      <c r="AC1085" s="41"/>
      <c r="AD1085" s="41"/>
      <c r="AE1085" s="41"/>
      <c r="AF1085" s="41"/>
      <c r="AG1085" s="41"/>
      <c r="AH1085" s="41"/>
      <c r="AI1085" s="41"/>
      <c r="AJ1085" s="41"/>
      <c r="AK1085" s="41"/>
      <c r="AL1085" s="41"/>
      <c r="AM1085" s="41"/>
      <c r="AN1085" s="41"/>
      <c r="AO1085" s="41"/>
      <c r="AP1085" s="41"/>
      <c r="AQ1085" s="41"/>
      <c r="AR1085" s="41"/>
      <c r="AS1085" s="41"/>
      <c r="AT1085" s="41">
        <v>3.2999999522999999</v>
      </c>
      <c r="AU1085" s="41"/>
      <c r="AV1085" s="41">
        <v>1.5</v>
      </c>
      <c r="AW1085" s="41">
        <v>2.04</v>
      </c>
      <c r="AX1085" s="41"/>
      <c r="AY1085" s="41">
        <v>1</v>
      </c>
      <c r="AZ1085" s="41"/>
      <c r="BA1085" s="41"/>
      <c r="BB1085" s="41"/>
      <c r="BC1085" s="41"/>
      <c r="BD1085" s="41"/>
      <c r="BE1085" s="41"/>
      <c r="BF1085" s="41"/>
      <c r="BG1085" s="41"/>
      <c r="BH1085" s="41"/>
      <c r="BI1085" s="41"/>
      <c r="BJ1085" s="41"/>
      <c r="BK1085" s="41"/>
      <c r="BL1085" s="41"/>
      <c r="BM1085" s="41"/>
      <c r="BN1085" s="54">
        <f t="shared" si="19"/>
        <v>1</v>
      </c>
    </row>
    <row r="1086" spans="2:66" x14ac:dyDescent="0.35">
      <c r="B1086" s="41" t="s">
        <v>237</v>
      </c>
      <c r="C1086" s="41" t="s">
        <v>430</v>
      </c>
      <c r="D1086" s="41" t="s">
        <v>628</v>
      </c>
      <c r="E1086" s="41" t="s">
        <v>629</v>
      </c>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41"/>
      <c r="BE1086" s="41"/>
      <c r="BF1086" s="41"/>
      <c r="BG1086" s="41"/>
      <c r="BH1086" s="41"/>
      <c r="BI1086" s="41"/>
      <c r="BJ1086" s="41"/>
      <c r="BK1086" s="41"/>
      <c r="BL1086" s="41"/>
      <c r="BM1086" s="41"/>
      <c r="BN1086" s="54" t="str">
        <f t="shared" si="19"/>
        <v>No reported value</v>
      </c>
    </row>
    <row r="1087" spans="2:66" x14ac:dyDescent="0.35">
      <c r="B1087" s="41" t="s">
        <v>571</v>
      </c>
      <c r="C1087" s="41" t="s">
        <v>153</v>
      </c>
      <c r="D1087" s="41" t="s">
        <v>628</v>
      </c>
      <c r="E1087" s="41" t="s">
        <v>629</v>
      </c>
      <c r="F1087" s="41">
        <v>0.454545468091965</v>
      </c>
      <c r="G1087" s="41"/>
      <c r="H1087" s="41"/>
      <c r="I1087" s="41"/>
      <c r="J1087" s="41"/>
      <c r="K1087" s="41"/>
      <c r="L1087" s="41"/>
      <c r="M1087" s="41"/>
      <c r="N1087" s="41"/>
      <c r="O1087" s="41"/>
      <c r="P1087" s="41">
        <v>0.80970001220703103</v>
      </c>
      <c r="Q1087" s="41"/>
      <c r="R1087" s="41"/>
      <c r="S1087" s="41"/>
      <c r="T1087" s="41"/>
      <c r="U1087" s="41">
        <v>0.86549997329711903</v>
      </c>
      <c r="V1087" s="41"/>
      <c r="W1087" s="41"/>
      <c r="X1087" s="41"/>
      <c r="Y1087" s="41"/>
      <c r="Z1087" s="41"/>
      <c r="AA1087" s="41"/>
      <c r="AB1087" s="41"/>
      <c r="AC1087" s="41"/>
      <c r="AD1087" s="41"/>
      <c r="AE1087" s="41"/>
      <c r="AF1087" s="41"/>
      <c r="AG1087" s="41"/>
      <c r="AH1087" s="41"/>
      <c r="AI1087" s="41"/>
      <c r="AJ1087" s="41">
        <v>0.83619999889999996</v>
      </c>
      <c r="AK1087" s="41"/>
      <c r="AL1087" s="41"/>
      <c r="AM1087" s="41"/>
      <c r="AN1087" s="41"/>
      <c r="AO1087" s="41"/>
      <c r="AP1087" s="41">
        <v>0.68999999759999997</v>
      </c>
      <c r="AQ1087" s="41"/>
      <c r="AR1087" s="41">
        <v>0.60000002379999995</v>
      </c>
      <c r="AS1087" s="41"/>
      <c r="AT1087" s="41">
        <v>0.6</v>
      </c>
      <c r="AU1087" s="41">
        <v>0.6</v>
      </c>
      <c r="AV1087" s="41">
        <v>0.6</v>
      </c>
      <c r="AW1087" s="41">
        <v>0.6</v>
      </c>
      <c r="AX1087" s="41">
        <v>0.6</v>
      </c>
      <c r="AY1087" s="41">
        <v>0.6</v>
      </c>
      <c r="AZ1087" s="41">
        <v>0.7</v>
      </c>
      <c r="BA1087" s="41">
        <v>0.7</v>
      </c>
      <c r="BB1087" s="41">
        <v>0.7</v>
      </c>
      <c r="BC1087" s="41">
        <v>0.7</v>
      </c>
      <c r="BD1087" s="41">
        <v>0.7</v>
      </c>
      <c r="BE1087" s="41">
        <v>0.7</v>
      </c>
      <c r="BF1087" s="41">
        <v>0.7</v>
      </c>
      <c r="BG1087" s="41">
        <v>0.7</v>
      </c>
      <c r="BH1087" s="41">
        <v>0.7</v>
      </c>
      <c r="BI1087" s="41"/>
      <c r="BJ1087" s="41"/>
      <c r="BK1087" s="41"/>
      <c r="BL1087" s="41"/>
      <c r="BM1087" s="41"/>
      <c r="BN1087" s="54">
        <f t="shared" si="19"/>
        <v>0.7</v>
      </c>
    </row>
    <row r="1088" spans="2:66" x14ac:dyDescent="0.35">
      <c r="B1088" s="41" t="s">
        <v>178</v>
      </c>
      <c r="C1088" s="41" t="s">
        <v>154</v>
      </c>
      <c r="D1088" s="41" t="s">
        <v>628</v>
      </c>
      <c r="E1088" s="41" t="s">
        <v>629</v>
      </c>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v>2.8</v>
      </c>
      <c r="AZ1088" s="41"/>
      <c r="BA1088" s="41"/>
      <c r="BB1088" s="41"/>
      <c r="BC1088" s="41"/>
      <c r="BD1088" s="41"/>
      <c r="BE1088" s="41"/>
      <c r="BF1088" s="41"/>
      <c r="BG1088" s="41"/>
      <c r="BH1088" s="41"/>
      <c r="BI1088" s="41"/>
      <c r="BJ1088" s="41"/>
      <c r="BK1088" s="41"/>
      <c r="BL1088" s="41"/>
      <c r="BM1088" s="41"/>
      <c r="BN1088" s="54">
        <f t="shared" si="19"/>
        <v>2.8</v>
      </c>
    </row>
    <row r="1089" spans="2:66" x14ac:dyDescent="0.35">
      <c r="B1089" s="41" t="s">
        <v>217</v>
      </c>
      <c r="C1089" s="41" t="s">
        <v>155</v>
      </c>
      <c r="D1089" s="41" t="s">
        <v>628</v>
      </c>
      <c r="E1089" s="41" t="s">
        <v>629</v>
      </c>
      <c r="F1089" s="41">
        <v>2.8016555309295699</v>
      </c>
      <c r="G1089" s="41"/>
      <c r="H1089" s="41"/>
      <c r="I1089" s="41"/>
      <c r="J1089" s="41"/>
      <c r="K1089" s="41"/>
      <c r="L1089" s="41"/>
      <c r="M1089" s="41"/>
      <c r="N1089" s="41"/>
      <c r="O1089" s="41"/>
      <c r="P1089" s="41">
        <v>3.16109991073608</v>
      </c>
      <c r="Q1089" s="41"/>
      <c r="R1089" s="41"/>
      <c r="S1089" s="41"/>
      <c r="T1089" s="41"/>
      <c r="U1089" s="41">
        <v>3.3368000984191899</v>
      </c>
      <c r="V1089" s="41"/>
      <c r="W1089" s="41"/>
      <c r="X1089" s="41"/>
      <c r="Y1089" s="41"/>
      <c r="Z1089" s="41"/>
      <c r="AA1089" s="41">
        <v>3.48219990730286</v>
      </c>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v>2</v>
      </c>
      <c r="AY1089" s="41"/>
      <c r="AZ1089" s="41"/>
      <c r="BA1089" s="41"/>
      <c r="BB1089" s="41">
        <v>1.9</v>
      </c>
      <c r="BC1089" s="41"/>
      <c r="BD1089" s="41">
        <v>2</v>
      </c>
      <c r="BE1089" s="41"/>
      <c r="BF1089" s="41"/>
      <c r="BG1089" s="41"/>
      <c r="BH1089" s="41"/>
      <c r="BI1089" s="41"/>
      <c r="BJ1089" s="41"/>
      <c r="BK1089" s="41"/>
      <c r="BL1089" s="41"/>
      <c r="BM1089" s="41"/>
      <c r="BN1089" s="54">
        <f t="shared" si="19"/>
        <v>2</v>
      </c>
    </row>
    <row r="1090" spans="2:66" x14ac:dyDescent="0.35">
      <c r="B1090" s="41" t="s">
        <v>218</v>
      </c>
      <c r="C1090" s="41" t="s">
        <v>156</v>
      </c>
      <c r="D1090" s="41" t="s">
        <v>628</v>
      </c>
      <c r="E1090" s="41" t="s">
        <v>629</v>
      </c>
      <c r="F1090" s="41">
        <v>3.8766460418701199</v>
      </c>
      <c r="G1090" s="41"/>
      <c r="H1090" s="41"/>
      <c r="I1090" s="41"/>
      <c r="J1090" s="41"/>
      <c r="K1090" s="41"/>
      <c r="L1090" s="41"/>
      <c r="M1090" s="41"/>
      <c r="N1090" s="41"/>
      <c r="O1090" s="41"/>
      <c r="P1090" s="41">
        <v>3.49539995193481</v>
      </c>
      <c r="Q1090" s="41"/>
      <c r="R1090" s="41"/>
      <c r="S1090" s="41"/>
      <c r="T1090" s="41"/>
      <c r="U1090" s="41">
        <v>3.3136999607086199</v>
      </c>
      <c r="V1090" s="41"/>
      <c r="W1090" s="41"/>
      <c r="X1090" s="41"/>
      <c r="Y1090" s="41"/>
      <c r="Z1090" s="41">
        <v>3.0027000904083301</v>
      </c>
      <c r="AA1090" s="41"/>
      <c r="AB1090" s="41"/>
      <c r="AC1090" s="41"/>
      <c r="AD1090" s="41"/>
      <c r="AE1090" s="41">
        <v>1.39359998703003</v>
      </c>
      <c r="AF1090" s="41"/>
      <c r="AG1090" s="41">
        <v>1.9407999515533401</v>
      </c>
      <c r="AH1090" s="41"/>
      <c r="AI1090" s="41"/>
      <c r="AJ1090" s="41">
        <v>0.51050001379999999</v>
      </c>
      <c r="AK1090" s="41"/>
      <c r="AL1090" s="41"/>
      <c r="AM1090" s="41"/>
      <c r="AN1090" s="41"/>
      <c r="AO1090" s="41"/>
      <c r="AP1090" s="41"/>
      <c r="AQ1090" s="41"/>
      <c r="AR1090" s="41"/>
      <c r="AS1090" s="41"/>
      <c r="AT1090" s="41"/>
      <c r="AU1090" s="41"/>
      <c r="AV1090" s="41"/>
      <c r="AW1090" s="41"/>
      <c r="AX1090" s="41"/>
      <c r="AY1090" s="41"/>
      <c r="AZ1090" s="41">
        <v>3</v>
      </c>
      <c r="BA1090" s="41"/>
      <c r="BB1090" s="41"/>
      <c r="BC1090" s="41"/>
      <c r="BD1090" s="41"/>
      <c r="BE1090" s="41">
        <v>1.7</v>
      </c>
      <c r="BF1090" s="41"/>
      <c r="BG1090" s="41"/>
      <c r="BH1090" s="41"/>
      <c r="BI1090" s="41"/>
      <c r="BJ1090" s="41"/>
      <c r="BK1090" s="41"/>
      <c r="BL1090" s="41"/>
      <c r="BM1090" s="41"/>
      <c r="BN1090" s="54">
        <f t="shared" si="19"/>
        <v>1.7</v>
      </c>
    </row>
    <row r="1097" spans="2:66" x14ac:dyDescent="0.35">
      <c r="B1097" s="1389" t="s">
        <v>1898</v>
      </c>
      <c r="C1097" s="1389"/>
      <c r="D1097" s="1389"/>
      <c r="E1097" s="1389"/>
      <c r="F1097" s="1389"/>
      <c r="G1097" s="1389"/>
    </row>
    <row r="1098" spans="2:66" x14ac:dyDescent="0.35">
      <c r="B1098" s="909" t="s">
        <v>1897</v>
      </c>
      <c r="C1098" s="909"/>
      <c r="D1098" s="909"/>
      <c r="E1098" s="909"/>
      <c r="F1098" s="909"/>
      <c r="G1098" s="909"/>
    </row>
  </sheetData>
  <sheetProtection algorithmName="SHA-512" hashValue="a4mENkRFuHAbJN55jm3HN9m5Q0M5Ow3nFYezGoHlEmuUFoqzqWDnuC+4hqF+9tY8orp9L/AY088pMyFqq9wMgw==" saltValue="Qr7SdDq/zJlo4h9n7nUwOQ==" spinCount="100000" sheet="1" objects="1" scenarios="1"/>
  <mergeCells count="2">
    <mergeCell ref="B4:C6"/>
    <mergeCell ref="B1097:G1097"/>
  </mergeCells>
  <hyperlinks>
    <hyperlink ref="B824" location="'WB HCW &amp; Beds'!A1" display="Back to Top" xr:uid="{00000000-0004-0000-1100-000000000000}"/>
    <hyperlink ref="B553" location="'WB HCW &amp; Beds'!A1" display="Back to Top" xr:uid="{00000000-0004-0000-1100-000001000000}"/>
    <hyperlink ref="B282" location="'WB HCW and Hospital Bed Data'!A1" display="Back to Top" xr:uid="{00000000-0004-0000-1100-000002000000}"/>
    <hyperlink ref="B1097" r:id="rId1" display="https://creativecommons.org/licenses/by-nc-sa/3.0/igo" xr:uid="{55D09DEE-C07A-4300-B2F4-149F3FA92AD4}"/>
  </hyperlinks>
  <pageMargins left="0.7" right="0.7" top="0.75" bottom="0.75" header="0.3" footer="0.3"/>
  <pageSetup paperSize="9" orientation="portrait" verticalDpi="0"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theme="2" tint="-0.499984740745262"/>
  </sheetPr>
  <dimension ref="A1:I276"/>
  <sheetViews>
    <sheetView showGridLines="0" zoomScale="80" zoomScaleNormal="80" workbookViewId="0">
      <selection activeCell="B3" sqref="B3"/>
    </sheetView>
  </sheetViews>
  <sheetFormatPr defaultColWidth="8.453125" defaultRowHeight="14.5" outlineLevelRow="1" x14ac:dyDescent="0.35"/>
  <cols>
    <col min="1" max="1" width="4.453125" customWidth="1"/>
    <col min="2" max="2" width="23.453125" customWidth="1"/>
    <col min="3" max="3" width="23.453125" style="909" customWidth="1"/>
    <col min="4" max="4" width="12.453125" customWidth="1"/>
    <col min="5" max="5" width="16" bestFit="1" customWidth="1"/>
    <col min="6" max="6" width="17.81640625" bestFit="1" customWidth="1"/>
    <col min="7" max="8" width="13.81640625" bestFit="1" customWidth="1"/>
  </cols>
  <sheetData>
    <row r="1" spans="1:9" ht="41.5" customHeight="1" x14ac:dyDescent="0.35"/>
    <row r="2" spans="1:9" s="23" customFormat="1" ht="18.5" x14ac:dyDescent="0.45">
      <c r="B2" s="23" t="s">
        <v>1816</v>
      </c>
    </row>
    <row r="3" spans="1:9" s="14" customFormat="1" x14ac:dyDescent="0.35">
      <c r="B3" s="14" t="s">
        <v>1828</v>
      </c>
    </row>
    <row r="5" spans="1:9" s="27" customFormat="1" ht="29" x14ac:dyDescent="0.35">
      <c r="B5" s="190" t="s">
        <v>1814</v>
      </c>
      <c r="C5" s="190" t="s">
        <v>1815</v>
      </c>
      <c r="D5" s="190" t="s">
        <v>180</v>
      </c>
      <c r="E5" s="190" t="s">
        <v>1829</v>
      </c>
      <c r="F5" s="190" t="s">
        <v>1830</v>
      </c>
      <c r="G5" s="190" t="s">
        <v>1831</v>
      </c>
    </row>
    <row r="6" spans="1:9" x14ac:dyDescent="0.35">
      <c r="A6" t="s">
        <v>748</v>
      </c>
      <c r="B6" t="s">
        <v>230</v>
      </c>
      <c r="C6" s="909" t="s">
        <v>230</v>
      </c>
      <c r="D6" t="s">
        <v>0</v>
      </c>
      <c r="E6" s="28">
        <v>38054941</v>
      </c>
      <c r="F6" s="28">
        <v>33736494</v>
      </c>
      <c r="G6" s="1305">
        <f>(IFERROR(((E6/F6)^(1/5)-1),0))</f>
        <v>2.4382666308287337E-2</v>
      </c>
      <c r="H6" s="1306"/>
    </row>
    <row r="7" spans="1:9" x14ac:dyDescent="0.35">
      <c r="A7" s="41" t="s">
        <v>748</v>
      </c>
      <c r="B7" t="s">
        <v>311</v>
      </c>
      <c r="C7" s="909" t="s">
        <v>311</v>
      </c>
      <c r="D7" t="s">
        <v>312</v>
      </c>
      <c r="E7" s="28">
        <v>2942034</v>
      </c>
      <c r="F7" s="28">
        <v>2923352</v>
      </c>
      <c r="G7" s="1305">
        <f t="shared" ref="G7:G70" si="0">(IFERROR(((E7/F7)^(1/5)-1),0))</f>
        <v>1.2748671082947194E-3</v>
      </c>
      <c r="I7" s="80"/>
    </row>
    <row r="8" spans="1:9" x14ac:dyDescent="0.35">
      <c r="A8" s="41" t="s">
        <v>748</v>
      </c>
      <c r="B8" t="s">
        <v>313</v>
      </c>
      <c r="C8" s="909" t="s">
        <v>313</v>
      </c>
      <c r="D8" t="s">
        <v>37</v>
      </c>
      <c r="E8" s="28">
        <v>43333255</v>
      </c>
      <c r="F8" s="28">
        <v>39871528</v>
      </c>
      <c r="G8" s="1305">
        <f t="shared" si="0"/>
        <v>1.6790983955264238E-2</v>
      </c>
      <c r="I8" s="80"/>
    </row>
    <row r="9" spans="1:9" x14ac:dyDescent="0.35">
      <c r="A9" s="41" t="s">
        <v>748</v>
      </c>
      <c r="B9" t="s">
        <v>314</v>
      </c>
      <c r="C9" s="909" t="s">
        <v>314</v>
      </c>
      <c r="D9" t="s">
        <v>193</v>
      </c>
      <c r="E9" s="28">
        <v>55799</v>
      </c>
      <c r="F9" s="28">
        <v>55537</v>
      </c>
      <c r="G9" s="1305">
        <f t="shared" si="0"/>
        <v>9.4173971547628632E-4</v>
      </c>
      <c r="I9" s="80"/>
    </row>
    <row r="10" spans="1:9" x14ac:dyDescent="0.35">
      <c r="A10" s="41" t="s">
        <v>748</v>
      </c>
      <c r="B10" t="s">
        <v>315</v>
      </c>
      <c r="C10" s="909" t="s">
        <v>315</v>
      </c>
      <c r="D10" t="s">
        <v>1</v>
      </c>
      <c r="E10" s="28">
        <v>77184</v>
      </c>
      <c r="F10" s="28">
        <v>78014</v>
      </c>
      <c r="G10" s="1305">
        <f t="shared" si="0"/>
        <v>-2.1369367124518535E-3</v>
      </c>
      <c r="I10" s="80"/>
    </row>
    <row r="11" spans="1:9" x14ac:dyDescent="0.35">
      <c r="A11" s="41" t="s">
        <v>748</v>
      </c>
      <c r="B11" t="s">
        <v>182</v>
      </c>
      <c r="C11" s="909" t="s">
        <v>182</v>
      </c>
      <c r="D11" t="s">
        <v>165</v>
      </c>
      <c r="E11" s="28">
        <v>32827400.999999996</v>
      </c>
      <c r="F11" s="28">
        <v>27859305</v>
      </c>
      <c r="G11" s="1305">
        <f t="shared" si="0"/>
        <v>3.3363802026330047E-2</v>
      </c>
      <c r="I11" s="80"/>
    </row>
    <row r="12" spans="1:9" x14ac:dyDescent="0.35">
      <c r="A12" s="41" t="s">
        <v>748</v>
      </c>
      <c r="B12" t="s">
        <v>316</v>
      </c>
      <c r="C12" s="909" t="s">
        <v>316</v>
      </c>
      <c r="D12" t="s">
        <v>317</v>
      </c>
      <c r="E12" s="28">
        <v>105110</v>
      </c>
      <c r="F12" s="28">
        <v>99923</v>
      </c>
      <c r="G12" s="1305">
        <f t="shared" si="0"/>
        <v>1.0172901988951155E-2</v>
      </c>
      <c r="I12" s="80"/>
    </row>
    <row r="13" spans="1:9" x14ac:dyDescent="0.35">
      <c r="A13" s="41" t="s">
        <v>748</v>
      </c>
      <c r="B13" t="s">
        <v>320</v>
      </c>
      <c r="C13" s="909" t="s">
        <v>320</v>
      </c>
      <c r="D13" t="s">
        <v>321</v>
      </c>
      <c r="E13" s="28">
        <v>45510399</v>
      </c>
      <c r="F13" s="28">
        <v>43417765</v>
      </c>
      <c r="G13" s="1305">
        <f t="shared" si="0"/>
        <v>9.4588871911607253E-3</v>
      </c>
      <c r="I13" s="80"/>
    </row>
    <row r="14" spans="1:9" x14ac:dyDescent="0.35">
      <c r="A14" s="41" t="s">
        <v>748</v>
      </c>
      <c r="B14" t="s">
        <v>234</v>
      </c>
      <c r="C14" s="909" t="s">
        <v>234</v>
      </c>
      <c r="D14" t="s">
        <v>3</v>
      </c>
      <c r="E14" s="28">
        <v>2938679</v>
      </c>
      <c r="F14" s="28">
        <v>2916950</v>
      </c>
      <c r="G14" s="1305">
        <f t="shared" si="0"/>
        <v>1.4854243129578393E-3</v>
      </c>
      <c r="I14" s="80"/>
    </row>
    <row r="15" spans="1:9" x14ac:dyDescent="0.35">
      <c r="A15" s="41" t="s">
        <v>748</v>
      </c>
      <c r="B15" t="s">
        <v>322</v>
      </c>
      <c r="C15" s="909" t="s">
        <v>322</v>
      </c>
      <c r="D15" t="s">
        <v>323</v>
      </c>
      <c r="E15" s="28">
        <v>106438</v>
      </c>
      <c r="F15" s="28">
        <v>104341</v>
      </c>
      <c r="G15" s="1305">
        <f t="shared" si="0"/>
        <v>3.9875842224568192E-3</v>
      </c>
      <c r="I15" s="80"/>
    </row>
    <row r="16" spans="1:9" x14ac:dyDescent="0.35">
      <c r="A16" s="41" t="s">
        <v>748</v>
      </c>
      <c r="B16" t="s">
        <v>324</v>
      </c>
      <c r="C16" s="909" t="s">
        <v>324</v>
      </c>
      <c r="D16" t="s">
        <v>4</v>
      </c>
      <c r="E16" s="28">
        <v>25398177</v>
      </c>
      <c r="F16" s="28">
        <v>23799556</v>
      </c>
      <c r="G16" s="1305">
        <f t="shared" si="0"/>
        <v>1.3086989724987674E-2</v>
      </c>
      <c r="I16" s="80"/>
    </row>
    <row r="17" spans="1:9" x14ac:dyDescent="0.35">
      <c r="A17" s="41" t="s">
        <v>748</v>
      </c>
      <c r="B17" t="s">
        <v>325</v>
      </c>
      <c r="C17" s="909" t="s">
        <v>325</v>
      </c>
      <c r="D17" t="s">
        <v>5</v>
      </c>
      <c r="E17" s="28">
        <v>8782210</v>
      </c>
      <c r="F17" s="28">
        <v>8678657</v>
      </c>
      <c r="G17" s="1305">
        <f t="shared" si="0"/>
        <v>2.3750742715200612E-3</v>
      </c>
      <c r="I17" s="80"/>
    </row>
    <row r="18" spans="1:9" x14ac:dyDescent="0.35">
      <c r="A18" s="41" t="s">
        <v>748</v>
      </c>
      <c r="B18" t="s">
        <v>235</v>
      </c>
      <c r="C18" s="909" t="s">
        <v>235</v>
      </c>
      <c r="D18" t="s">
        <v>6</v>
      </c>
      <c r="E18" s="28">
        <v>10099743</v>
      </c>
      <c r="F18" s="28">
        <v>9617484</v>
      </c>
      <c r="G18" s="1305">
        <f t="shared" si="0"/>
        <v>9.8334913310615946E-3</v>
      </c>
      <c r="I18" s="80"/>
    </row>
    <row r="19" spans="1:9" x14ac:dyDescent="0.35">
      <c r="A19" s="41" t="s">
        <v>748</v>
      </c>
      <c r="B19" t="s">
        <v>326</v>
      </c>
      <c r="C19" s="909" t="s">
        <v>1128</v>
      </c>
      <c r="D19" t="s">
        <v>14</v>
      </c>
      <c r="E19" s="28">
        <v>406839</v>
      </c>
      <c r="F19" s="28">
        <v>386838</v>
      </c>
      <c r="G19" s="1305">
        <f t="shared" si="0"/>
        <v>1.0133303501842716E-2</v>
      </c>
      <c r="I19" s="80"/>
    </row>
    <row r="20" spans="1:9" x14ac:dyDescent="0.35">
      <c r="A20" s="41" t="s">
        <v>748</v>
      </c>
      <c r="B20" t="s">
        <v>327</v>
      </c>
      <c r="C20" s="909" t="s">
        <v>327</v>
      </c>
      <c r="D20" t="s">
        <v>13</v>
      </c>
      <c r="E20" s="28">
        <v>1697765</v>
      </c>
      <c r="F20" s="28">
        <v>1371855</v>
      </c>
      <c r="G20" s="1305">
        <f t="shared" si="0"/>
        <v>4.3551467509973962E-2</v>
      </c>
      <c r="I20" s="80"/>
    </row>
    <row r="21" spans="1:9" x14ac:dyDescent="0.35">
      <c r="A21" s="41" t="s">
        <v>748</v>
      </c>
      <c r="B21" t="s">
        <v>240</v>
      </c>
      <c r="C21" s="909" t="s">
        <v>240</v>
      </c>
      <c r="D21" t="s">
        <v>11</v>
      </c>
      <c r="E21" s="28">
        <v>169775309</v>
      </c>
      <c r="F21" s="28">
        <v>161200886</v>
      </c>
      <c r="G21" s="1305">
        <f t="shared" si="0"/>
        <v>1.0418806638693434E-2</v>
      </c>
      <c r="I21" s="80"/>
    </row>
    <row r="22" spans="1:9" x14ac:dyDescent="0.35">
      <c r="A22" s="41" t="s">
        <v>748</v>
      </c>
      <c r="B22" t="s">
        <v>328</v>
      </c>
      <c r="C22" s="909" t="s">
        <v>328</v>
      </c>
      <c r="D22" t="s">
        <v>329</v>
      </c>
      <c r="E22" s="28">
        <v>287568</v>
      </c>
      <c r="F22" s="28">
        <v>284217</v>
      </c>
      <c r="G22" s="1305">
        <f t="shared" si="0"/>
        <v>2.3470145578239343E-3</v>
      </c>
      <c r="I22" s="80"/>
    </row>
    <row r="23" spans="1:9" x14ac:dyDescent="0.35">
      <c r="A23" s="41" t="s">
        <v>748</v>
      </c>
      <c r="B23" t="s">
        <v>330</v>
      </c>
      <c r="C23" s="909" t="s">
        <v>330</v>
      </c>
      <c r="D23" t="s">
        <v>16</v>
      </c>
      <c r="E23" s="28">
        <v>9415431</v>
      </c>
      <c r="F23" s="28">
        <v>9485772</v>
      </c>
      <c r="G23" s="1305">
        <f t="shared" si="0"/>
        <v>-1.4875031030726626E-3</v>
      </c>
      <c r="I23" s="80"/>
    </row>
    <row r="24" spans="1:9" x14ac:dyDescent="0.35">
      <c r="A24" s="41" t="s">
        <v>748</v>
      </c>
      <c r="B24" t="s">
        <v>331</v>
      </c>
      <c r="C24" s="909" t="s">
        <v>331</v>
      </c>
      <c r="D24" t="s">
        <v>8</v>
      </c>
      <c r="E24" s="28">
        <v>11619972</v>
      </c>
      <c r="F24" s="28">
        <v>11287940</v>
      </c>
      <c r="G24" s="1305">
        <f t="shared" si="0"/>
        <v>5.8149299739598259E-3</v>
      </c>
      <c r="I24" s="80"/>
    </row>
    <row r="25" spans="1:9" x14ac:dyDescent="0.35">
      <c r="A25" s="41" t="s">
        <v>748</v>
      </c>
      <c r="B25" t="s">
        <v>332</v>
      </c>
      <c r="C25" s="909" t="s">
        <v>332</v>
      </c>
      <c r="D25" t="s">
        <v>17</v>
      </c>
      <c r="E25" s="28">
        <v>398007</v>
      </c>
      <c r="F25" s="28">
        <v>359288</v>
      </c>
      <c r="G25" s="1305">
        <f t="shared" si="0"/>
        <v>2.0679987463080085E-2</v>
      </c>
      <c r="I25" s="80"/>
    </row>
    <row r="26" spans="1:9" x14ac:dyDescent="0.35">
      <c r="A26" s="41" t="s">
        <v>748</v>
      </c>
      <c r="B26" t="s">
        <v>183</v>
      </c>
      <c r="C26" s="909" t="s">
        <v>183</v>
      </c>
      <c r="D26" t="s">
        <v>9</v>
      </c>
      <c r="E26" s="28">
        <v>12122985</v>
      </c>
      <c r="F26" s="28">
        <v>10575952</v>
      </c>
      <c r="G26" s="1305">
        <f t="shared" si="0"/>
        <v>2.7680271366820053E-2</v>
      </c>
      <c r="I26" s="80"/>
    </row>
    <row r="27" spans="1:9" x14ac:dyDescent="0.35">
      <c r="A27" s="41" t="s">
        <v>748</v>
      </c>
      <c r="B27" t="s">
        <v>333</v>
      </c>
      <c r="C27" s="909" t="s">
        <v>333</v>
      </c>
      <c r="D27" t="s">
        <v>334</v>
      </c>
      <c r="E27" s="28">
        <v>60639</v>
      </c>
      <c r="F27" s="28">
        <v>62003</v>
      </c>
      <c r="G27" s="1305">
        <f t="shared" si="0"/>
        <v>-4.4390223934734907E-3</v>
      </c>
      <c r="I27" s="80"/>
    </row>
    <row r="28" spans="1:9" x14ac:dyDescent="0.35">
      <c r="A28" s="41" t="s">
        <v>748</v>
      </c>
      <c r="B28" t="s">
        <v>241</v>
      </c>
      <c r="C28" s="909" t="s">
        <v>241</v>
      </c>
      <c r="D28" t="s">
        <v>21</v>
      </c>
      <c r="E28" s="28">
        <v>835245</v>
      </c>
      <c r="F28" s="28">
        <v>787386</v>
      </c>
      <c r="G28" s="1305">
        <f t="shared" si="0"/>
        <v>1.1871209406469907E-2</v>
      </c>
      <c r="I28" s="80"/>
    </row>
    <row r="29" spans="1:9" x14ac:dyDescent="0.35">
      <c r="A29" s="41" t="s">
        <v>748</v>
      </c>
      <c r="B29" t="s">
        <v>219</v>
      </c>
      <c r="C29" s="909" t="s">
        <v>1129</v>
      </c>
      <c r="D29" t="s">
        <v>18</v>
      </c>
      <c r="E29" s="28">
        <v>11543982</v>
      </c>
      <c r="F29" s="28">
        <v>10724705</v>
      </c>
      <c r="G29" s="1305">
        <f t="shared" si="0"/>
        <v>1.4831775893884069E-2</v>
      </c>
      <c r="I29" s="80"/>
    </row>
    <row r="30" spans="1:9" x14ac:dyDescent="0.35">
      <c r="A30" s="41" t="s">
        <v>748</v>
      </c>
      <c r="B30" t="s">
        <v>335</v>
      </c>
      <c r="C30" s="909" t="s">
        <v>335</v>
      </c>
      <c r="D30" t="s">
        <v>15</v>
      </c>
      <c r="E30" s="28">
        <v>3498210</v>
      </c>
      <c r="F30" s="28">
        <v>3535961</v>
      </c>
      <c r="G30" s="1305">
        <f t="shared" si="0"/>
        <v>-2.1444386396272108E-3</v>
      </c>
      <c r="I30" s="80"/>
    </row>
    <row r="31" spans="1:9" x14ac:dyDescent="0.35">
      <c r="A31" s="41" t="s">
        <v>748</v>
      </c>
      <c r="B31" t="s">
        <v>184</v>
      </c>
      <c r="C31" s="909" t="s">
        <v>184</v>
      </c>
      <c r="D31" t="s">
        <v>22</v>
      </c>
      <c r="E31" s="28">
        <v>2415766</v>
      </c>
      <c r="F31" s="28">
        <v>2209197</v>
      </c>
      <c r="G31" s="1305">
        <f t="shared" si="0"/>
        <v>1.8038222413050642E-2</v>
      </c>
      <c r="I31" s="80"/>
    </row>
    <row r="32" spans="1:9" x14ac:dyDescent="0.35">
      <c r="A32" s="41" t="s">
        <v>748</v>
      </c>
      <c r="B32" t="s">
        <v>336</v>
      </c>
      <c r="C32" s="909" t="s">
        <v>336</v>
      </c>
      <c r="D32" t="s">
        <v>19</v>
      </c>
      <c r="E32" s="28">
        <v>213863046</v>
      </c>
      <c r="F32" s="28">
        <v>205962108</v>
      </c>
      <c r="G32" s="1305">
        <f t="shared" si="0"/>
        <v>7.5571377256797856E-3</v>
      </c>
      <c r="I32" s="80"/>
    </row>
    <row r="33" spans="1:9" x14ac:dyDescent="0.35">
      <c r="A33" s="41" t="s">
        <v>748</v>
      </c>
      <c r="B33" t="s">
        <v>337</v>
      </c>
      <c r="C33" s="909" t="s">
        <v>337</v>
      </c>
      <c r="D33" t="s">
        <v>338</v>
      </c>
      <c r="E33" s="28">
        <v>32634</v>
      </c>
      <c r="F33" s="28">
        <v>30113</v>
      </c>
      <c r="G33" s="1305">
        <f t="shared" si="0"/>
        <v>1.6209515045879641E-2</v>
      </c>
      <c r="I33" s="80"/>
    </row>
    <row r="34" spans="1:9" x14ac:dyDescent="0.35">
      <c r="A34" s="41" t="s">
        <v>748</v>
      </c>
      <c r="B34" t="s">
        <v>339</v>
      </c>
      <c r="C34" s="909" t="s">
        <v>339</v>
      </c>
      <c r="D34" t="s">
        <v>20</v>
      </c>
      <c r="E34" s="28">
        <v>444519</v>
      </c>
      <c r="F34" s="28">
        <v>417542</v>
      </c>
      <c r="G34" s="1305">
        <f t="shared" si="0"/>
        <v>1.2600254749009832E-2</v>
      </c>
      <c r="I34" s="80"/>
    </row>
    <row r="35" spans="1:9" x14ac:dyDescent="0.35">
      <c r="A35" s="41" t="s">
        <v>748</v>
      </c>
      <c r="B35" t="s">
        <v>340</v>
      </c>
      <c r="C35" s="909" t="s">
        <v>340</v>
      </c>
      <c r="D35" t="s">
        <v>12</v>
      </c>
      <c r="E35" s="28">
        <v>6940527</v>
      </c>
      <c r="F35" s="28">
        <v>7177396</v>
      </c>
      <c r="G35" s="1305">
        <f t="shared" si="0"/>
        <v>-6.689313255086482E-3</v>
      </c>
      <c r="I35" s="80"/>
    </row>
    <row r="36" spans="1:9" x14ac:dyDescent="0.35">
      <c r="A36" s="41" t="s">
        <v>748</v>
      </c>
      <c r="B36" t="s">
        <v>185</v>
      </c>
      <c r="C36" s="909" t="s">
        <v>185</v>
      </c>
      <c r="D36" t="s">
        <v>10</v>
      </c>
      <c r="E36" s="28">
        <v>20903345</v>
      </c>
      <c r="F36" s="28">
        <v>18110624</v>
      </c>
      <c r="G36" s="1305">
        <f t="shared" si="0"/>
        <v>2.9097385535355347E-2</v>
      </c>
      <c r="I36" s="80"/>
    </row>
    <row r="37" spans="1:9" x14ac:dyDescent="0.35">
      <c r="A37" s="41" t="s">
        <v>748</v>
      </c>
      <c r="B37" t="s">
        <v>186</v>
      </c>
      <c r="C37" s="909" t="s">
        <v>186</v>
      </c>
      <c r="D37" t="s">
        <v>7</v>
      </c>
      <c r="E37" s="28">
        <v>11939227</v>
      </c>
      <c r="F37" s="28">
        <v>10199270</v>
      </c>
      <c r="G37" s="1305">
        <f t="shared" si="0"/>
        <v>3.2004103467554446E-2</v>
      </c>
      <c r="I37" s="80"/>
    </row>
    <row r="38" spans="1:9" x14ac:dyDescent="0.35">
      <c r="A38" s="41" t="s">
        <v>748</v>
      </c>
      <c r="B38" t="s">
        <v>341</v>
      </c>
      <c r="C38" s="909" t="s">
        <v>341</v>
      </c>
      <c r="D38" t="s">
        <v>30</v>
      </c>
      <c r="E38" s="28">
        <v>567348</v>
      </c>
      <c r="F38" s="28">
        <v>532913</v>
      </c>
      <c r="G38" s="1305">
        <f t="shared" si="0"/>
        <v>1.2601677975911052E-2</v>
      </c>
      <c r="I38" s="80"/>
    </row>
    <row r="39" spans="1:9" x14ac:dyDescent="0.35">
      <c r="A39" s="41" t="s">
        <v>748</v>
      </c>
      <c r="B39" t="s">
        <v>247</v>
      </c>
      <c r="C39" s="909" t="s">
        <v>247</v>
      </c>
      <c r="D39" t="s">
        <v>72</v>
      </c>
      <c r="E39" s="28">
        <v>16715508.000000002</v>
      </c>
      <c r="F39" s="28">
        <v>15517635</v>
      </c>
      <c r="G39" s="1305">
        <f t="shared" si="0"/>
        <v>1.498309626625538E-2</v>
      </c>
      <c r="I39" s="80"/>
    </row>
    <row r="40" spans="1:9" x14ac:dyDescent="0.35">
      <c r="A40" s="41" t="s">
        <v>748</v>
      </c>
      <c r="B40" t="s">
        <v>187</v>
      </c>
      <c r="C40" s="909" t="s">
        <v>187</v>
      </c>
      <c r="D40" t="s">
        <v>27</v>
      </c>
      <c r="E40" s="28">
        <v>25958184</v>
      </c>
      <c r="F40" s="28">
        <v>22834522</v>
      </c>
      <c r="G40" s="1305">
        <f t="shared" si="0"/>
        <v>2.5974286347397957E-2</v>
      </c>
      <c r="I40" s="80"/>
    </row>
    <row r="41" spans="1:9" x14ac:dyDescent="0.35">
      <c r="A41" s="41" t="s">
        <v>748</v>
      </c>
      <c r="B41" t="s">
        <v>342</v>
      </c>
      <c r="C41" s="909" t="s">
        <v>342</v>
      </c>
      <c r="D41" t="s">
        <v>159</v>
      </c>
      <c r="E41" s="28">
        <v>37603205</v>
      </c>
      <c r="F41" s="28">
        <v>35949709</v>
      </c>
      <c r="G41" s="1305">
        <f t="shared" si="0"/>
        <v>9.0342237836789074E-3</v>
      </c>
      <c r="I41" s="80"/>
    </row>
    <row r="42" spans="1:9" x14ac:dyDescent="0.35">
      <c r="A42" s="41" t="s">
        <v>748</v>
      </c>
      <c r="B42" t="s">
        <v>345</v>
      </c>
      <c r="C42" s="909" t="s">
        <v>345</v>
      </c>
      <c r="D42" t="s">
        <v>346</v>
      </c>
      <c r="E42" s="28">
        <v>63890</v>
      </c>
      <c r="F42" s="28">
        <v>59963</v>
      </c>
      <c r="G42" s="1305">
        <f t="shared" si="0"/>
        <v>1.276785165297234E-2</v>
      </c>
      <c r="I42" s="80"/>
    </row>
    <row r="43" spans="1:9" x14ac:dyDescent="0.35">
      <c r="A43" s="41" t="s">
        <v>748</v>
      </c>
      <c r="B43" t="s">
        <v>188</v>
      </c>
      <c r="C43" s="909" t="s">
        <v>188</v>
      </c>
      <c r="D43" t="s">
        <v>173</v>
      </c>
      <c r="E43" s="28">
        <v>4920889</v>
      </c>
      <c r="F43" s="28">
        <v>4546100</v>
      </c>
      <c r="G43" s="1305">
        <f t="shared" si="0"/>
        <v>1.5970076580426928E-2</v>
      </c>
      <c r="I43" s="80"/>
    </row>
    <row r="44" spans="1:9" x14ac:dyDescent="0.35">
      <c r="A44" s="41" t="s">
        <v>748</v>
      </c>
      <c r="B44" t="s">
        <v>189</v>
      </c>
      <c r="C44" s="909" t="s">
        <v>189</v>
      </c>
      <c r="D44" t="s">
        <v>169</v>
      </c>
      <c r="E44" s="28">
        <v>16285093</v>
      </c>
      <c r="F44" s="28">
        <v>14009413</v>
      </c>
      <c r="G44" s="1305">
        <f t="shared" si="0"/>
        <v>3.0561848739554698E-2</v>
      </c>
      <c r="I44" s="80"/>
    </row>
    <row r="45" spans="1:9" x14ac:dyDescent="0.35">
      <c r="A45" s="41" t="s">
        <v>748</v>
      </c>
      <c r="B45" t="s">
        <v>349</v>
      </c>
      <c r="C45" s="909" t="s">
        <v>349</v>
      </c>
      <c r="D45" t="s">
        <v>350</v>
      </c>
      <c r="E45" s="28">
        <v>167578</v>
      </c>
      <c r="F45" s="28">
        <v>163758</v>
      </c>
      <c r="G45" s="1305">
        <f t="shared" si="0"/>
        <v>4.6224881348255753E-3</v>
      </c>
      <c r="I45" s="80"/>
    </row>
    <row r="46" spans="1:9" x14ac:dyDescent="0.35">
      <c r="A46" s="41" t="s">
        <v>748</v>
      </c>
      <c r="B46" t="s">
        <v>220</v>
      </c>
      <c r="C46" s="909" t="s">
        <v>220</v>
      </c>
      <c r="D46" t="s">
        <v>24</v>
      </c>
      <c r="E46" s="28">
        <v>18472639</v>
      </c>
      <c r="F46" s="28">
        <v>17762681</v>
      </c>
      <c r="G46" s="1305">
        <f t="shared" si="0"/>
        <v>7.8689952715180755E-3</v>
      </c>
      <c r="I46" s="80"/>
    </row>
    <row r="47" spans="1:9" x14ac:dyDescent="0.35">
      <c r="A47" s="41" t="s">
        <v>748</v>
      </c>
      <c r="B47" t="s">
        <v>351</v>
      </c>
      <c r="C47" s="909" t="s">
        <v>351</v>
      </c>
      <c r="D47" t="s">
        <v>25</v>
      </c>
      <c r="E47" s="28">
        <v>1424548266</v>
      </c>
      <c r="F47" s="28">
        <v>1397028553</v>
      </c>
      <c r="G47" s="1305">
        <f t="shared" si="0"/>
        <v>3.9090682109488295E-3</v>
      </c>
      <c r="I47" s="80"/>
    </row>
    <row r="48" spans="1:9" x14ac:dyDescent="0.35">
      <c r="A48" s="41" t="s">
        <v>748</v>
      </c>
      <c r="B48" t="s">
        <v>352</v>
      </c>
      <c r="C48" s="909" t="s">
        <v>352</v>
      </c>
      <c r="D48" t="s">
        <v>353</v>
      </c>
      <c r="E48" s="28">
        <v>50220412</v>
      </c>
      <c r="F48" s="28">
        <v>48228697</v>
      </c>
      <c r="G48" s="1305">
        <f t="shared" si="0"/>
        <v>8.1263087035299275E-3</v>
      </c>
      <c r="I48" s="80"/>
    </row>
    <row r="49" spans="1:9" x14ac:dyDescent="0.35">
      <c r="A49" s="41" t="s">
        <v>748</v>
      </c>
      <c r="B49" t="s">
        <v>190</v>
      </c>
      <c r="C49" s="909" t="s">
        <v>190</v>
      </c>
      <c r="D49" t="s">
        <v>157</v>
      </c>
      <c r="E49" s="28">
        <v>869601</v>
      </c>
      <c r="F49" s="28">
        <v>777424</v>
      </c>
      <c r="G49" s="1305">
        <f t="shared" si="0"/>
        <v>2.2662703124402217E-2</v>
      </c>
      <c r="I49" s="80"/>
    </row>
    <row r="50" spans="1:9" x14ac:dyDescent="0.35">
      <c r="A50" s="41" t="s">
        <v>748</v>
      </c>
      <c r="B50" t="s">
        <v>354</v>
      </c>
      <c r="C50" s="909" t="s">
        <v>1817</v>
      </c>
      <c r="D50" t="s">
        <v>1095</v>
      </c>
      <c r="E50" s="28">
        <v>89505201</v>
      </c>
      <c r="F50" s="28">
        <v>76196619</v>
      </c>
      <c r="G50" s="1305">
        <f t="shared" si="0"/>
        <v>3.2719824977349043E-2</v>
      </c>
      <c r="I50" s="80"/>
    </row>
    <row r="51" spans="1:9" x14ac:dyDescent="0.35">
      <c r="A51" s="41" t="s">
        <v>748</v>
      </c>
      <c r="B51" t="s">
        <v>355</v>
      </c>
      <c r="C51" s="909" t="s">
        <v>1094</v>
      </c>
      <c r="D51" t="s">
        <v>29</v>
      </c>
      <c r="E51" s="28">
        <v>5686917</v>
      </c>
      <c r="F51" s="28">
        <v>4995648</v>
      </c>
      <c r="G51" s="1305">
        <f t="shared" si="0"/>
        <v>2.6259078491890131E-2</v>
      </c>
      <c r="I51" s="80"/>
    </row>
    <row r="52" spans="1:9" x14ac:dyDescent="0.35">
      <c r="A52" s="41" t="s">
        <v>748</v>
      </c>
      <c r="B52" t="s">
        <v>356</v>
      </c>
      <c r="C52" s="909" t="s">
        <v>356</v>
      </c>
      <c r="D52" t="s">
        <v>31</v>
      </c>
      <c r="E52" s="28">
        <v>5044179</v>
      </c>
      <c r="F52" s="28">
        <v>4807852</v>
      </c>
      <c r="G52" s="1305">
        <f t="shared" si="0"/>
        <v>9.6430959841031783E-3</v>
      </c>
      <c r="I52" s="80"/>
    </row>
    <row r="53" spans="1:9" x14ac:dyDescent="0.35">
      <c r="A53" s="41" t="s">
        <v>748</v>
      </c>
      <c r="B53" t="s">
        <v>357</v>
      </c>
      <c r="C53" s="909" t="s">
        <v>750</v>
      </c>
      <c r="D53" t="s">
        <v>26</v>
      </c>
      <c r="E53" s="28">
        <v>26171750</v>
      </c>
      <c r="F53" s="28">
        <v>23108472</v>
      </c>
      <c r="G53" s="1305">
        <f t="shared" si="0"/>
        <v>2.5208756002567778E-2</v>
      </c>
      <c r="I53" s="80"/>
    </row>
    <row r="54" spans="1:9" x14ac:dyDescent="0.35">
      <c r="A54" s="41" t="s">
        <v>748</v>
      </c>
      <c r="B54" t="s">
        <v>358</v>
      </c>
      <c r="C54" s="909" t="s">
        <v>358</v>
      </c>
      <c r="D54" t="s">
        <v>55</v>
      </c>
      <c r="E54" s="28">
        <v>4115947</v>
      </c>
      <c r="F54" s="28">
        <v>4236016</v>
      </c>
      <c r="G54" s="1305">
        <f t="shared" si="0"/>
        <v>-5.7343482141196667E-3</v>
      </c>
      <c r="I54" s="80"/>
    </row>
    <row r="55" spans="1:9" x14ac:dyDescent="0.35">
      <c r="A55" s="41" t="s">
        <v>748</v>
      </c>
      <c r="B55" t="s">
        <v>221</v>
      </c>
      <c r="C55" s="909" t="s">
        <v>221</v>
      </c>
      <c r="D55" t="s">
        <v>161</v>
      </c>
      <c r="E55" s="28">
        <v>11495492</v>
      </c>
      <c r="F55" s="28">
        <v>11461432</v>
      </c>
      <c r="G55" s="1305">
        <f t="shared" si="0"/>
        <v>5.9363586545635449E-4</v>
      </c>
      <c r="I55" s="80"/>
    </row>
    <row r="56" spans="1:9" x14ac:dyDescent="0.35">
      <c r="A56" s="41" t="s">
        <v>748</v>
      </c>
      <c r="B56" t="s">
        <v>359</v>
      </c>
      <c r="C56" s="909" t="s">
        <v>1818</v>
      </c>
      <c r="D56" t="s">
        <v>360</v>
      </c>
      <c r="E56" s="28">
        <v>163495</v>
      </c>
      <c r="F56" s="28">
        <v>158010</v>
      </c>
      <c r="G56" s="1305">
        <f t="shared" si="0"/>
        <v>6.84815947085049E-3</v>
      </c>
      <c r="I56" s="80"/>
    </row>
    <row r="57" spans="1:9" x14ac:dyDescent="0.35">
      <c r="A57" s="41" t="s">
        <v>748</v>
      </c>
      <c r="B57" t="s">
        <v>361</v>
      </c>
      <c r="C57" s="909" t="s">
        <v>361</v>
      </c>
      <c r="D57" t="s">
        <v>32</v>
      </c>
      <c r="E57" s="28">
        <v>1207343</v>
      </c>
      <c r="F57" s="28">
        <v>1160985</v>
      </c>
      <c r="G57" s="1305">
        <f t="shared" si="0"/>
        <v>7.8613987251874295E-3</v>
      </c>
      <c r="I57" s="80"/>
    </row>
    <row r="58" spans="1:9" x14ac:dyDescent="0.35">
      <c r="A58" s="41" t="s">
        <v>748</v>
      </c>
      <c r="B58" t="s">
        <v>362</v>
      </c>
      <c r="C58" s="909" t="s">
        <v>1130</v>
      </c>
      <c r="D58" t="s">
        <v>33</v>
      </c>
      <c r="E58" s="28">
        <v>10633424</v>
      </c>
      <c r="F58" s="28">
        <v>10603762</v>
      </c>
      <c r="G58" s="1305">
        <f t="shared" si="0"/>
        <v>5.5883687474067578E-4</v>
      </c>
      <c r="I58" s="80"/>
    </row>
    <row r="59" spans="1:9" x14ac:dyDescent="0.35">
      <c r="A59" s="41" t="s">
        <v>748</v>
      </c>
      <c r="B59" t="s">
        <v>363</v>
      </c>
      <c r="C59" s="909" t="s">
        <v>363</v>
      </c>
      <c r="D59" t="s">
        <v>36</v>
      </c>
      <c r="E59" s="28">
        <v>5796800</v>
      </c>
      <c r="F59" s="28">
        <v>5688695</v>
      </c>
      <c r="G59" s="1305">
        <f t="shared" si="0"/>
        <v>3.7721304556739277E-3</v>
      </c>
      <c r="I59" s="80"/>
    </row>
    <row r="60" spans="1:9" x14ac:dyDescent="0.35">
      <c r="A60" s="41" t="s">
        <v>748</v>
      </c>
      <c r="B60" t="s">
        <v>231</v>
      </c>
      <c r="C60" s="909" t="s">
        <v>231</v>
      </c>
      <c r="D60" t="s">
        <v>35</v>
      </c>
      <c r="E60" s="28">
        <v>999899</v>
      </c>
      <c r="F60" s="28">
        <v>927414</v>
      </c>
      <c r="G60" s="1305">
        <f t="shared" si="0"/>
        <v>1.5164675508373637E-2</v>
      </c>
      <c r="I60" s="80"/>
    </row>
    <row r="61" spans="1:9" x14ac:dyDescent="0.35">
      <c r="A61" s="41" t="s">
        <v>748</v>
      </c>
      <c r="B61" t="s">
        <v>364</v>
      </c>
      <c r="C61" s="909" t="s">
        <v>364</v>
      </c>
      <c r="D61" t="s">
        <v>365</v>
      </c>
      <c r="E61" s="28">
        <v>75052</v>
      </c>
      <c r="F61" s="28">
        <v>73162</v>
      </c>
      <c r="G61" s="1305">
        <f t="shared" si="0"/>
        <v>5.1140415240944481E-3</v>
      </c>
      <c r="I61" s="80"/>
    </row>
    <row r="62" spans="1:9" x14ac:dyDescent="0.35">
      <c r="A62" s="41" t="s">
        <v>748</v>
      </c>
      <c r="B62" t="s">
        <v>366</v>
      </c>
      <c r="C62" s="909" t="s">
        <v>366</v>
      </c>
      <c r="D62" t="s">
        <v>367</v>
      </c>
      <c r="E62" s="28">
        <v>11108358</v>
      </c>
      <c r="F62" s="28">
        <v>10528394</v>
      </c>
      <c r="G62" s="1305">
        <f t="shared" si="0"/>
        <v>1.0782112514840181E-2</v>
      </c>
      <c r="I62" s="80"/>
    </row>
    <row r="63" spans="1:9" x14ac:dyDescent="0.35">
      <c r="A63" s="41" t="s">
        <v>748</v>
      </c>
      <c r="B63" t="s">
        <v>376</v>
      </c>
      <c r="C63" s="909" t="s">
        <v>376</v>
      </c>
      <c r="D63" t="s">
        <v>38</v>
      </c>
      <c r="E63" s="28">
        <v>17335642</v>
      </c>
      <c r="F63" s="28">
        <v>16144368</v>
      </c>
      <c r="G63" s="1305">
        <f t="shared" si="0"/>
        <v>1.4340523748772371E-2</v>
      </c>
      <c r="I63" s="80"/>
    </row>
    <row r="64" spans="1:9" x14ac:dyDescent="0.35">
      <c r="A64" s="41" t="s">
        <v>748</v>
      </c>
      <c r="B64" t="s">
        <v>377</v>
      </c>
      <c r="C64" s="909" t="s">
        <v>1097</v>
      </c>
      <c r="D64" t="s">
        <v>39</v>
      </c>
      <c r="E64" s="28">
        <v>102941484</v>
      </c>
      <c r="F64" s="28">
        <v>93778172</v>
      </c>
      <c r="G64" s="1305">
        <f t="shared" si="0"/>
        <v>1.8820634704454164E-2</v>
      </c>
      <c r="I64" s="80"/>
    </row>
    <row r="65" spans="1:9" x14ac:dyDescent="0.35">
      <c r="A65" s="41" t="s">
        <v>748</v>
      </c>
      <c r="B65" t="s">
        <v>222</v>
      </c>
      <c r="C65" s="909" t="s">
        <v>222</v>
      </c>
      <c r="D65" t="s">
        <v>164</v>
      </c>
      <c r="E65" s="28">
        <v>6479066</v>
      </c>
      <c r="F65" s="28">
        <v>6312478</v>
      </c>
      <c r="G65" s="1305">
        <f t="shared" si="0"/>
        <v>5.2232045639224456E-3</v>
      </c>
      <c r="I65" s="80"/>
    </row>
    <row r="66" spans="1:9" x14ac:dyDescent="0.35">
      <c r="A66" s="41" t="s">
        <v>748</v>
      </c>
      <c r="B66" t="s">
        <v>191</v>
      </c>
      <c r="C66" s="909" t="s">
        <v>191</v>
      </c>
      <c r="D66" t="s">
        <v>174</v>
      </c>
      <c r="E66" s="28">
        <v>1406280</v>
      </c>
      <c r="F66" s="28">
        <v>1175389</v>
      </c>
      <c r="G66" s="1305">
        <f t="shared" si="0"/>
        <v>3.6520833646170647E-2</v>
      </c>
      <c r="I66" s="80"/>
    </row>
    <row r="67" spans="1:9" x14ac:dyDescent="0.35">
      <c r="A67" s="41" t="s">
        <v>748</v>
      </c>
      <c r="B67" t="s">
        <v>192</v>
      </c>
      <c r="C67" s="909" t="s">
        <v>192</v>
      </c>
      <c r="D67" t="s">
        <v>168</v>
      </c>
      <c r="E67" s="28">
        <v>5432216</v>
      </c>
      <c r="F67" s="28">
        <v>4846976</v>
      </c>
      <c r="G67" s="1305">
        <f t="shared" si="0"/>
        <v>2.3060300188497918E-2</v>
      </c>
      <c r="I67" s="80"/>
    </row>
    <row r="68" spans="1:9" x14ac:dyDescent="0.35">
      <c r="A68" s="41" t="s">
        <v>748</v>
      </c>
      <c r="B68" t="s">
        <v>378</v>
      </c>
      <c r="C68" s="909" t="s">
        <v>378</v>
      </c>
      <c r="D68" t="s">
        <v>41</v>
      </c>
      <c r="E68" s="28">
        <v>1300559</v>
      </c>
      <c r="F68" s="28">
        <v>1315321</v>
      </c>
      <c r="G68" s="1305">
        <f t="shared" si="0"/>
        <v>-2.2547682346624187E-3</v>
      </c>
      <c r="I68" s="80"/>
    </row>
    <row r="69" spans="1:9" x14ac:dyDescent="0.35">
      <c r="A69" s="41" t="s">
        <v>748</v>
      </c>
      <c r="B69" t="s">
        <v>379</v>
      </c>
      <c r="C69" s="909" t="s">
        <v>1819</v>
      </c>
      <c r="D69" t="s">
        <v>134</v>
      </c>
      <c r="E69" s="28">
        <v>1439295</v>
      </c>
      <c r="F69" s="28">
        <v>1319011</v>
      </c>
      <c r="G69" s="1305">
        <f t="shared" si="0"/>
        <v>1.760745476123704E-2</v>
      </c>
      <c r="I69" s="80"/>
    </row>
    <row r="70" spans="1:9" x14ac:dyDescent="0.35">
      <c r="A70" s="41" t="s">
        <v>748</v>
      </c>
      <c r="B70" t="s">
        <v>194</v>
      </c>
      <c r="C70" s="909" t="s">
        <v>194</v>
      </c>
      <c r="D70" t="s">
        <v>42</v>
      </c>
      <c r="E70" s="28">
        <v>112759070</v>
      </c>
      <c r="F70" s="28">
        <v>99873033</v>
      </c>
      <c r="G70" s="1305">
        <f t="shared" si="0"/>
        <v>2.4567673707273308E-2</v>
      </c>
      <c r="I70" s="80"/>
    </row>
    <row r="71" spans="1:9" x14ac:dyDescent="0.35">
      <c r="A71" s="41" t="s">
        <v>748</v>
      </c>
      <c r="B71" t="s">
        <v>390</v>
      </c>
      <c r="C71" s="909" t="s">
        <v>1820</v>
      </c>
      <c r="D71" t="s">
        <v>391</v>
      </c>
      <c r="E71" s="28">
        <v>49896</v>
      </c>
      <c r="F71" s="28">
        <v>48965</v>
      </c>
      <c r="G71" s="1305">
        <f t="shared" ref="G71:G134" si="1">(IFERROR(((E71/F71)^(1/5)-1),0))</f>
        <v>3.7741205341796924E-3</v>
      </c>
      <c r="I71" s="80"/>
    </row>
    <row r="72" spans="1:9" x14ac:dyDescent="0.35">
      <c r="A72" s="41" t="s">
        <v>748</v>
      </c>
      <c r="B72" t="s">
        <v>248</v>
      </c>
      <c r="C72" s="909" t="s">
        <v>248</v>
      </c>
      <c r="D72" t="s">
        <v>44</v>
      </c>
      <c r="E72" s="28">
        <v>924915</v>
      </c>
      <c r="F72" s="28">
        <v>892149</v>
      </c>
      <c r="G72" s="1305">
        <f t="shared" si="1"/>
        <v>7.2398181565680453E-3</v>
      </c>
      <c r="I72" s="80"/>
    </row>
    <row r="73" spans="1:9" x14ac:dyDescent="0.35">
      <c r="A73" s="41" t="s">
        <v>748</v>
      </c>
      <c r="B73" t="s">
        <v>392</v>
      </c>
      <c r="C73" s="909" t="s">
        <v>392</v>
      </c>
      <c r="D73" t="s">
        <v>43</v>
      </c>
      <c r="E73" s="28">
        <v>5580127</v>
      </c>
      <c r="F73" s="28">
        <v>5481966</v>
      </c>
      <c r="G73" s="1305">
        <f t="shared" si="1"/>
        <v>3.5558551550278761E-3</v>
      </c>
      <c r="I73" s="80"/>
    </row>
    <row r="74" spans="1:9" x14ac:dyDescent="0.35">
      <c r="A74" s="41" t="s">
        <v>748</v>
      </c>
      <c r="B74" t="s">
        <v>395</v>
      </c>
      <c r="C74" s="909" t="s">
        <v>395</v>
      </c>
      <c r="D74" t="s">
        <v>45</v>
      </c>
      <c r="E74" s="28">
        <v>65721164.999999993</v>
      </c>
      <c r="F74" s="28">
        <v>64457201</v>
      </c>
      <c r="G74" s="1305">
        <f t="shared" si="1"/>
        <v>3.8914654783102076E-3</v>
      </c>
      <c r="I74" s="80"/>
    </row>
    <row r="75" spans="1:9" x14ac:dyDescent="0.35">
      <c r="A75" s="41" t="s">
        <v>748</v>
      </c>
      <c r="B75" t="s">
        <v>396</v>
      </c>
      <c r="C75" s="909" t="s">
        <v>396</v>
      </c>
      <c r="D75" t="s">
        <v>397</v>
      </c>
      <c r="E75" s="28">
        <v>290744</v>
      </c>
      <c r="F75" s="28">
        <v>277690</v>
      </c>
      <c r="G75" s="1305">
        <f t="shared" si="1"/>
        <v>9.2298893932127868E-3</v>
      </c>
      <c r="I75" s="80"/>
    </row>
    <row r="76" spans="1:9" x14ac:dyDescent="0.35">
      <c r="A76" s="41" t="s">
        <v>748</v>
      </c>
      <c r="B76" t="s">
        <v>195</v>
      </c>
      <c r="C76" s="909" t="s">
        <v>195</v>
      </c>
      <c r="D76" t="s">
        <v>46</v>
      </c>
      <c r="E76" s="28">
        <v>2151289</v>
      </c>
      <c r="F76" s="28">
        <v>1930175</v>
      </c>
      <c r="G76" s="1305">
        <f t="shared" si="1"/>
        <v>2.1928271625029527E-2</v>
      </c>
      <c r="I76" s="80"/>
    </row>
    <row r="77" spans="1:9" x14ac:dyDescent="0.35">
      <c r="A77" s="41" t="s">
        <v>748</v>
      </c>
      <c r="B77" t="s">
        <v>398</v>
      </c>
      <c r="C77" s="909" t="s">
        <v>1092</v>
      </c>
      <c r="D77" t="s">
        <v>50</v>
      </c>
      <c r="E77" s="28">
        <v>2293493</v>
      </c>
      <c r="F77" s="28">
        <v>1977590</v>
      </c>
      <c r="G77" s="1305">
        <f t="shared" si="1"/>
        <v>3.0083029607968603E-2</v>
      </c>
      <c r="I77" s="80"/>
    </row>
    <row r="78" spans="1:9" x14ac:dyDescent="0.35">
      <c r="A78" s="41" t="s">
        <v>748</v>
      </c>
      <c r="B78" t="s">
        <v>236</v>
      </c>
      <c r="C78" s="909" t="s">
        <v>236</v>
      </c>
      <c r="D78" t="s">
        <v>48</v>
      </c>
      <c r="E78" s="28">
        <v>3898529</v>
      </c>
      <c r="F78" s="28">
        <v>3951524</v>
      </c>
      <c r="G78" s="1305">
        <f t="shared" si="1"/>
        <v>-2.696762144098086E-3</v>
      </c>
      <c r="I78" s="80"/>
    </row>
    <row r="79" spans="1:9" x14ac:dyDescent="0.35">
      <c r="A79" s="41" t="s">
        <v>748</v>
      </c>
      <c r="B79" t="s">
        <v>399</v>
      </c>
      <c r="C79" s="909" t="s">
        <v>399</v>
      </c>
      <c r="D79" t="s">
        <v>34</v>
      </c>
      <c r="E79" s="28">
        <v>82540450</v>
      </c>
      <c r="F79" s="28">
        <v>81707789</v>
      </c>
      <c r="G79" s="1305">
        <f t="shared" si="1"/>
        <v>2.0298858931342423E-3</v>
      </c>
      <c r="I79" s="80"/>
    </row>
    <row r="80" spans="1:9" x14ac:dyDescent="0.35">
      <c r="A80" s="41" t="s">
        <v>748</v>
      </c>
      <c r="B80" t="s">
        <v>196</v>
      </c>
      <c r="C80" s="909" t="s">
        <v>196</v>
      </c>
      <c r="D80" t="s">
        <v>162</v>
      </c>
      <c r="E80" s="28">
        <v>30733755</v>
      </c>
      <c r="F80" s="28">
        <v>27582821</v>
      </c>
      <c r="G80" s="1305">
        <f t="shared" si="1"/>
        <v>2.1869386867897411E-2</v>
      </c>
      <c r="I80" s="80"/>
    </row>
    <row r="81" spans="1:9" x14ac:dyDescent="0.35">
      <c r="A81" s="41" t="s">
        <v>748</v>
      </c>
      <c r="B81" t="s">
        <v>400</v>
      </c>
      <c r="C81" s="909" t="s">
        <v>400</v>
      </c>
      <c r="D81" t="s">
        <v>401</v>
      </c>
      <c r="E81" s="28">
        <v>35000</v>
      </c>
      <c r="F81" s="28">
        <v>34228</v>
      </c>
      <c r="G81" s="1305">
        <f t="shared" si="1"/>
        <v>4.4707720004142359E-3</v>
      </c>
      <c r="I81" s="80"/>
    </row>
    <row r="82" spans="1:9" x14ac:dyDescent="0.35">
      <c r="A82" s="41" t="s">
        <v>748</v>
      </c>
      <c r="B82" t="s">
        <v>402</v>
      </c>
      <c r="C82" s="909" t="s">
        <v>402</v>
      </c>
      <c r="D82" t="s">
        <v>51</v>
      </c>
      <c r="E82" s="28">
        <v>11102572</v>
      </c>
      <c r="F82" s="28">
        <v>11217800</v>
      </c>
      <c r="G82" s="1305">
        <f t="shared" si="1"/>
        <v>-2.0628712001914407E-3</v>
      </c>
      <c r="I82" s="80"/>
    </row>
    <row r="83" spans="1:9" x14ac:dyDescent="0.35">
      <c r="A83" s="41" t="s">
        <v>748</v>
      </c>
      <c r="B83" t="s">
        <v>403</v>
      </c>
      <c r="C83" s="909" t="s">
        <v>403</v>
      </c>
      <c r="D83" t="s">
        <v>404</v>
      </c>
      <c r="E83" s="28">
        <v>56772</v>
      </c>
      <c r="F83" s="28">
        <v>56377</v>
      </c>
      <c r="G83" s="1305">
        <f t="shared" si="1"/>
        <v>1.3973699177842747E-3</v>
      </c>
      <c r="I83" s="80"/>
    </row>
    <row r="84" spans="1:9" x14ac:dyDescent="0.35">
      <c r="A84" s="41" t="s">
        <v>748</v>
      </c>
      <c r="B84" t="s">
        <v>405</v>
      </c>
      <c r="C84" s="909" t="s">
        <v>405</v>
      </c>
      <c r="D84" t="s">
        <v>52</v>
      </c>
      <c r="E84" s="28">
        <v>109308</v>
      </c>
      <c r="F84" s="28">
        <v>106823</v>
      </c>
      <c r="G84" s="1305">
        <f t="shared" si="1"/>
        <v>4.6098581351319279E-3</v>
      </c>
      <c r="I84" s="80"/>
    </row>
    <row r="85" spans="1:9" x14ac:dyDescent="0.35">
      <c r="A85" s="41" t="s">
        <v>748</v>
      </c>
      <c r="B85" t="s">
        <v>406</v>
      </c>
      <c r="C85" s="909" t="s">
        <v>406</v>
      </c>
      <c r="D85" t="s">
        <v>407</v>
      </c>
      <c r="E85" s="28">
        <v>168727</v>
      </c>
      <c r="F85" s="28">
        <v>161797</v>
      </c>
      <c r="G85" s="1305">
        <f t="shared" si="1"/>
        <v>8.4231893252648682E-3</v>
      </c>
      <c r="I85" s="80"/>
    </row>
    <row r="86" spans="1:9" x14ac:dyDescent="0.35">
      <c r="A86" s="41" t="s">
        <v>748</v>
      </c>
      <c r="B86" t="s">
        <v>223</v>
      </c>
      <c r="C86" s="909" t="s">
        <v>223</v>
      </c>
      <c r="D86" t="s">
        <v>53</v>
      </c>
      <c r="E86" s="28">
        <v>17910812</v>
      </c>
      <c r="F86" s="28">
        <v>16252429</v>
      </c>
      <c r="G86" s="1305">
        <f t="shared" si="1"/>
        <v>1.9622474417229752E-2</v>
      </c>
      <c r="I86" s="80"/>
    </row>
    <row r="87" spans="1:9" x14ac:dyDescent="0.35">
      <c r="A87" s="41" t="s">
        <v>748</v>
      </c>
      <c r="B87" t="s">
        <v>197</v>
      </c>
      <c r="C87" s="909" t="s">
        <v>197</v>
      </c>
      <c r="D87" t="s">
        <v>49</v>
      </c>
      <c r="E87" s="28">
        <v>13750826</v>
      </c>
      <c r="F87" s="28">
        <v>12091533</v>
      </c>
      <c r="G87" s="1305">
        <f t="shared" si="1"/>
        <v>2.6052266940248758E-2</v>
      </c>
      <c r="I87" s="80"/>
    </row>
    <row r="88" spans="1:9" x14ac:dyDescent="0.35">
      <c r="A88" s="41" t="s">
        <v>748</v>
      </c>
      <c r="B88" t="s">
        <v>198</v>
      </c>
      <c r="C88" s="909" t="s">
        <v>198</v>
      </c>
      <c r="D88" t="s">
        <v>172</v>
      </c>
      <c r="E88" s="28">
        <v>2000694</v>
      </c>
      <c r="F88" s="28">
        <v>1770526</v>
      </c>
      <c r="G88" s="1305">
        <f t="shared" si="1"/>
        <v>2.4744679671390379E-2</v>
      </c>
      <c r="I88" s="80"/>
    </row>
    <row r="89" spans="1:9" x14ac:dyDescent="0.35">
      <c r="A89" s="41" t="s">
        <v>748</v>
      </c>
      <c r="B89" t="s">
        <v>224</v>
      </c>
      <c r="C89" s="909" t="s">
        <v>224</v>
      </c>
      <c r="D89" t="s">
        <v>54</v>
      </c>
      <c r="E89" s="28">
        <v>790782</v>
      </c>
      <c r="F89" s="28">
        <v>768514</v>
      </c>
      <c r="G89" s="1305">
        <f t="shared" si="1"/>
        <v>5.7290584752711649E-3</v>
      </c>
      <c r="I89" s="80"/>
    </row>
    <row r="90" spans="1:9" x14ac:dyDescent="0.35">
      <c r="A90" s="41" t="s">
        <v>748</v>
      </c>
      <c r="B90" t="s">
        <v>225</v>
      </c>
      <c r="C90" s="909" t="s">
        <v>225</v>
      </c>
      <c r="D90" t="s">
        <v>56</v>
      </c>
      <c r="E90" s="28">
        <v>11371185</v>
      </c>
      <c r="F90" s="28">
        <v>10711061</v>
      </c>
      <c r="G90" s="1305">
        <f t="shared" si="1"/>
        <v>1.2032935832082314E-2</v>
      </c>
      <c r="I90" s="80"/>
    </row>
    <row r="91" spans="1:9" x14ac:dyDescent="0.35">
      <c r="A91" s="41" t="s">
        <v>748</v>
      </c>
      <c r="B91" t="s">
        <v>226</v>
      </c>
      <c r="C91" s="909" t="s">
        <v>226</v>
      </c>
      <c r="D91" t="s">
        <v>166</v>
      </c>
      <c r="E91" s="28">
        <v>9719265</v>
      </c>
      <c r="F91" s="28">
        <v>8960829</v>
      </c>
      <c r="G91" s="1305">
        <f t="shared" si="1"/>
        <v>1.6382190994755907E-2</v>
      </c>
      <c r="I91" s="80"/>
    </row>
    <row r="92" spans="1:9" x14ac:dyDescent="0.35">
      <c r="A92" s="41" t="s">
        <v>748</v>
      </c>
      <c r="B92" t="s">
        <v>412</v>
      </c>
      <c r="C92" s="909" t="s">
        <v>1821</v>
      </c>
      <c r="D92" t="s">
        <v>413</v>
      </c>
      <c r="E92" s="28">
        <v>7547652</v>
      </c>
      <c r="F92" s="28">
        <v>7245701</v>
      </c>
      <c r="G92" s="1305">
        <f t="shared" si="1"/>
        <v>8.1990685662405305E-3</v>
      </c>
      <c r="I92" s="80"/>
    </row>
    <row r="93" spans="1:9" x14ac:dyDescent="0.35">
      <c r="A93" s="41" t="s">
        <v>748</v>
      </c>
      <c r="B93" t="s">
        <v>414</v>
      </c>
      <c r="C93" s="909" t="s">
        <v>414</v>
      </c>
      <c r="D93" t="s">
        <v>57</v>
      </c>
      <c r="E93" s="28">
        <v>9621254</v>
      </c>
      <c r="F93" s="28">
        <v>9783925</v>
      </c>
      <c r="G93" s="1305">
        <f t="shared" si="1"/>
        <v>-3.3476088542906401E-3</v>
      </c>
      <c r="I93" s="80"/>
    </row>
    <row r="94" spans="1:9" x14ac:dyDescent="0.35">
      <c r="A94" s="41" t="s">
        <v>748</v>
      </c>
      <c r="B94" t="s">
        <v>415</v>
      </c>
      <c r="C94" s="909" t="s">
        <v>415</v>
      </c>
      <c r="D94" t="s">
        <v>63</v>
      </c>
      <c r="E94" s="28">
        <v>343228</v>
      </c>
      <c r="F94" s="28">
        <v>330243</v>
      </c>
      <c r="G94" s="1305">
        <f t="shared" si="1"/>
        <v>7.7430641195161964E-3</v>
      </c>
      <c r="I94" s="80"/>
    </row>
    <row r="95" spans="1:9" x14ac:dyDescent="0.35">
      <c r="A95" s="41" t="s">
        <v>748</v>
      </c>
      <c r="B95" t="s">
        <v>416</v>
      </c>
      <c r="C95" s="909" t="s">
        <v>416</v>
      </c>
      <c r="D95" t="s">
        <v>59</v>
      </c>
      <c r="E95" s="28">
        <v>1383197753</v>
      </c>
      <c r="F95" s="28">
        <v>1309053980</v>
      </c>
      <c r="G95" s="1305">
        <f t="shared" si="1"/>
        <v>1.1079590475489454E-2</v>
      </c>
      <c r="I95" s="80"/>
    </row>
    <row r="96" spans="1:9" x14ac:dyDescent="0.35">
      <c r="A96" s="41" t="s">
        <v>748</v>
      </c>
      <c r="B96" t="s">
        <v>242</v>
      </c>
      <c r="C96" s="909" t="s">
        <v>242</v>
      </c>
      <c r="D96" t="s">
        <v>58</v>
      </c>
      <c r="E96" s="28">
        <v>272222987</v>
      </c>
      <c r="F96" s="28">
        <v>258162113</v>
      </c>
      <c r="G96" s="1305">
        <f t="shared" si="1"/>
        <v>1.0663211702400366E-2</v>
      </c>
      <c r="I96" s="80"/>
    </row>
    <row r="97" spans="1:9" x14ac:dyDescent="0.35">
      <c r="A97" s="41" t="s">
        <v>748</v>
      </c>
      <c r="B97" t="s">
        <v>417</v>
      </c>
      <c r="C97" s="909" t="s">
        <v>1133</v>
      </c>
      <c r="D97" t="s">
        <v>61</v>
      </c>
      <c r="E97" s="28">
        <v>83587129</v>
      </c>
      <c r="F97" s="28">
        <v>79360487</v>
      </c>
      <c r="G97" s="1305">
        <f t="shared" si="1"/>
        <v>1.0431825895781177E-2</v>
      </c>
      <c r="I97" s="80"/>
    </row>
    <row r="98" spans="1:9" x14ac:dyDescent="0.35">
      <c r="A98" s="41" t="s">
        <v>748</v>
      </c>
      <c r="B98" t="s">
        <v>418</v>
      </c>
      <c r="C98" s="909" t="s">
        <v>418</v>
      </c>
      <c r="D98" t="s">
        <v>62</v>
      </c>
      <c r="E98" s="28">
        <v>41502885</v>
      </c>
      <c r="F98" s="28">
        <v>36115649</v>
      </c>
      <c r="G98" s="1305">
        <f t="shared" si="1"/>
        <v>2.8197568923209682E-2</v>
      </c>
      <c r="I98" s="80"/>
    </row>
    <row r="99" spans="1:9" x14ac:dyDescent="0.35">
      <c r="A99" s="41" t="s">
        <v>748</v>
      </c>
      <c r="B99" t="s">
        <v>419</v>
      </c>
      <c r="C99" s="909" t="s">
        <v>419</v>
      </c>
      <c r="D99" t="s">
        <v>60</v>
      </c>
      <c r="E99" s="28">
        <v>4887992</v>
      </c>
      <c r="F99" s="28">
        <v>4700107</v>
      </c>
      <c r="G99" s="1305">
        <f t="shared" si="1"/>
        <v>7.8700696240616708E-3</v>
      </c>
      <c r="I99" s="80"/>
    </row>
    <row r="100" spans="1:9" x14ac:dyDescent="0.35">
      <c r="A100" s="41" t="s">
        <v>748</v>
      </c>
      <c r="B100" t="s">
        <v>420</v>
      </c>
      <c r="C100" s="909" t="s">
        <v>420</v>
      </c>
      <c r="D100" t="s">
        <v>421</v>
      </c>
      <c r="E100" s="28">
        <v>85895</v>
      </c>
      <c r="F100" s="28">
        <v>83167</v>
      </c>
      <c r="G100" s="1305">
        <f t="shared" si="1"/>
        <v>6.4758755023768266E-3</v>
      </c>
      <c r="I100" s="80"/>
    </row>
    <row r="101" spans="1:9" x14ac:dyDescent="0.35">
      <c r="A101" s="41" t="s">
        <v>748</v>
      </c>
      <c r="B101" t="s">
        <v>422</v>
      </c>
      <c r="C101" s="909" t="s">
        <v>422</v>
      </c>
      <c r="D101" t="s">
        <v>64</v>
      </c>
      <c r="E101" s="28">
        <v>8713559</v>
      </c>
      <c r="F101" s="28">
        <v>8064547</v>
      </c>
      <c r="G101" s="1305">
        <f t="shared" si="1"/>
        <v>1.5600999876209887E-2</v>
      </c>
      <c r="I101" s="80"/>
    </row>
    <row r="102" spans="1:9" x14ac:dyDescent="0.35">
      <c r="A102" s="41" t="s">
        <v>748</v>
      </c>
      <c r="B102" t="s">
        <v>423</v>
      </c>
      <c r="C102" s="909" t="s">
        <v>423</v>
      </c>
      <c r="D102" t="s">
        <v>65</v>
      </c>
      <c r="E102" s="28">
        <v>59132073</v>
      </c>
      <c r="F102" s="28">
        <v>59504212</v>
      </c>
      <c r="G102" s="1305">
        <f t="shared" si="1"/>
        <v>-1.2539396394221081E-3</v>
      </c>
      <c r="I102" s="80"/>
    </row>
    <row r="103" spans="1:9" x14ac:dyDescent="0.35">
      <c r="A103" s="41" t="s">
        <v>748</v>
      </c>
      <c r="B103" t="s">
        <v>424</v>
      </c>
      <c r="C103" s="909" t="s">
        <v>424</v>
      </c>
      <c r="D103" t="s">
        <v>66</v>
      </c>
      <c r="E103" s="28">
        <v>2913160</v>
      </c>
      <c r="F103" s="28">
        <v>2871934</v>
      </c>
      <c r="G103" s="1305">
        <f t="shared" si="1"/>
        <v>2.8546131189484125E-3</v>
      </c>
      <c r="I103" s="80"/>
    </row>
    <row r="104" spans="1:9" x14ac:dyDescent="0.35">
      <c r="A104" s="41" t="s">
        <v>748</v>
      </c>
      <c r="B104" t="s">
        <v>425</v>
      </c>
      <c r="C104" s="909" t="s">
        <v>425</v>
      </c>
      <c r="D104" t="s">
        <v>68</v>
      </c>
      <c r="E104" s="28">
        <v>126495647</v>
      </c>
      <c r="F104" s="28">
        <v>127974958</v>
      </c>
      <c r="G104" s="1305">
        <f t="shared" si="1"/>
        <v>-2.3226400170087702E-3</v>
      </c>
      <c r="I104" s="80"/>
    </row>
    <row r="105" spans="1:9" x14ac:dyDescent="0.35">
      <c r="A105" s="41" t="s">
        <v>748</v>
      </c>
      <c r="B105" t="s">
        <v>426</v>
      </c>
      <c r="C105" s="909" t="s">
        <v>426</v>
      </c>
      <c r="D105" t="s">
        <v>67</v>
      </c>
      <c r="E105" s="28">
        <v>10208662</v>
      </c>
      <c r="F105" s="28">
        <v>9159302</v>
      </c>
      <c r="G105" s="1305">
        <f t="shared" si="1"/>
        <v>2.1930330954599064E-2</v>
      </c>
      <c r="I105" s="80"/>
    </row>
    <row r="106" spans="1:9" x14ac:dyDescent="0.35">
      <c r="A106" s="41" t="s">
        <v>748</v>
      </c>
      <c r="B106" t="s">
        <v>427</v>
      </c>
      <c r="C106" s="909" t="s">
        <v>427</v>
      </c>
      <c r="D106" t="s">
        <v>69</v>
      </c>
      <c r="E106" s="28">
        <v>18777139</v>
      </c>
      <c r="F106" s="28">
        <v>17749648</v>
      </c>
      <c r="G106" s="1305">
        <f t="shared" si="1"/>
        <v>1.1318461427342053E-2</v>
      </c>
      <c r="I106" s="80"/>
    </row>
    <row r="107" spans="1:9" x14ac:dyDescent="0.35">
      <c r="A107" s="41" t="s">
        <v>748</v>
      </c>
      <c r="B107" t="s">
        <v>199</v>
      </c>
      <c r="C107" s="909" t="s">
        <v>199</v>
      </c>
      <c r="D107" t="s">
        <v>70</v>
      </c>
      <c r="E107" s="28">
        <v>53491697</v>
      </c>
      <c r="F107" s="28">
        <v>47236259</v>
      </c>
      <c r="G107" s="1305">
        <f t="shared" si="1"/>
        <v>2.5184841756465737E-2</v>
      </c>
      <c r="I107" s="80"/>
    </row>
    <row r="108" spans="1:9" x14ac:dyDescent="0.35">
      <c r="A108" s="41" t="s">
        <v>748</v>
      </c>
      <c r="B108" t="s">
        <v>249</v>
      </c>
      <c r="C108" s="909" t="s">
        <v>249</v>
      </c>
      <c r="D108" t="s">
        <v>73</v>
      </c>
      <c r="E108" s="28">
        <v>122439</v>
      </c>
      <c r="F108" s="28">
        <v>112407</v>
      </c>
      <c r="G108" s="1305">
        <f t="shared" si="1"/>
        <v>1.724434292154009E-2</v>
      </c>
      <c r="I108" s="80"/>
    </row>
    <row r="109" spans="1:9" x14ac:dyDescent="0.35">
      <c r="A109" s="41" t="s">
        <v>748</v>
      </c>
      <c r="B109" t="s">
        <v>428</v>
      </c>
      <c r="C109" s="909" t="s">
        <v>1822</v>
      </c>
      <c r="D109" t="s">
        <v>158</v>
      </c>
      <c r="E109" s="28">
        <v>25840863</v>
      </c>
      <c r="F109" s="28">
        <v>25243917</v>
      </c>
      <c r="G109" s="1305">
        <f t="shared" si="1"/>
        <v>4.6853139959663892E-3</v>
      </c>
      <c r="I109" s="80"/>
    </row>
    <row r="110" spans="1:9" x14ac:dyDescent="0.35">
      <c r="A110" s="41" t="s">
        <v>748</v>
      </c>
      <c r="B110" t="s">
        <v>429</v>
      </c>
      <c r="C110" s="909" t="s">
        <v>1136</v>
      </c>
      <c r="D110" t="s">
        <v>74</v>
      </c>
      <c r="E110" s="28">
        <v>51506975</v>
      </c>
      <c r="F110" s="28">
        <v>50593662</v>
      </c>
      <c r="G110" s="1305">
        <f t="shared" si="1"/>
        <v>3.5845941176644303E-3</v>
      </c>
      <c r="I110" s="80"/>
    </row>
    <row r="111" spans="1:9" x14ac:dyDescent="0.35">
      <c r="A111" s="41" t="s">
        <v>748</v>
      </c>
      <c r="B111" t="s">
        <v>237</v>
      </c>
      <c r="C111" s="909" t="s">
        <v>1817</v>
      </c>
      <c r="D111" t="s">
        <v>430</v>
      </c>
      <c r="E111" s="28">
        <v>1870000</v>
      </c>
      <c r="F111" s="28" t="e">
        <v>#N/A</v>
      </c>
      <c r="G111" s="1305">
        <f t="shared" si="1"/>
        <v>0</v>
      </c>
      <c r="I111" s="80"/>
    </row>
    <row r="112" spans="1:9" x14ac:dyDescent="0.35">
      <c r="A112" s="41" t="s">
        <v>748</v>
      </c>
      <c r="B112" t="s">
        <v>431</v>
      </c>
      <c r="C112" s="909" t="s">
        <v>431</v>
      </c>
      <c r="D112" t="s">
        <v>75</v>
      </c>
      <c r="E112" s="28">
        <v>4302875</v>
      </c>
      <c r="F112" s="28">
        <v>3935794</v>
      </c>
      <c r="G112" s="1305">
        <f t="shared" si="1"/>
        <v>1.7994130813359099E-2</v>
      </c>
      <c r="I112" s="80"/>
    </row>
    <row r="113" spans="1:9" x14ac:dyDescent="0.35">
      <c r="A113" s="41" t="s">
        <v>748</v>
      </c>
      <c r="B113" t="s">
        <v>432</v>
      </c>
      <c r="C113" s="909" t="s">
        <v>1099</v>
      </c>
      <c r="D113" t="s">
        <v>71</v>
      </c>
      <c r="E113" s="28">
        <v>6301718</v>
      </c>
      <c r="F113" s="28">
        <v>5865401</v>
      </c>
      <c r="G113" s="1305">
        <f t="shared" si="1"/>
        <v>1.4453748325704785E-2</v>
      </c>
      <c r="I113" s="80"/>
    </row>
    <row r="114" spans="1:9" ht="21.75" customHeight="1" x14ac:dyDescent="0.35">
      <c r="A114" s="41" t="s">
        <v>748</v>
      </c>
      <c r="B114" t="s">
        <v>433</v>
      </c>
      <c r="C114" s="909" t="s">
        <v>1134</v>
      </c>
      <c r="D114" t="s">
        <v>76</v>
      </c>
      <c r="E114" s="28">
        <v>7164822</v>
      </c>
      <c r="F114" s="28">
        <v>6663967</v>
      </c>
      <c r="G114" s="1305">
        <f t="shared" si="1"/>
        <v>1.4599195292863465E-2</v>
      </c>
      <c r="I114" s="80"/>
    </row>
    <row r="115" spans="1:9" x14ac:dyDescent="0.35">
      <c r="A115" s="41" t="s">
        <v>748</v>
      </c>
      <c r="B115" t="s">
        <v>442</v>
      </c>
      <c r="C115" s="909" t="s">
        <v>442</v>
      </c>
      <c r="D115" t="s">
        <v>84</v>
      </c>
      <c r="E115" s="28">
        <v>1892993</v>
      </c>
      <c r="F115" s="28">
        <v>1992663</v>
      </c>
      <c r="G115" s="1305">
        <f t="shared" si="1"/>
        <v>-1.0210071837546408E-2</v>
      </c>
      <c r="I115" s="80"/>
    </row>
    <row r="116" spans="1:9" x14ac:dyDescent="0.35">
      <c r="A116" s="41" t="s">
        <v>748</v>
      </c>
      <c r="B116" t="s">
        <v>445</v>
      </c>
      <c r="C116" s="909" t="s">
        <v>445</v>
      </c>
      <c r="D116" t="s">
        <v>77</v>
      </c>
      <c r="E116" s="28">
        <v>6019795</v>
      </c>
      <c r="F116" s="28">
        <v>5851479</v>
      </c>
      <c r="G116" s="1305">
        <f t="shared" si="1"/>
        <v>5.6878659890040595E-3</v>
      </c>
      <c r="I116" s="80"/>
    </row>
    <row r="117" spans="1:9" x14ac:dyDescent="0.35">
      <c r="A117" s="41" t="s">
        <v>748</v>
      </c>
      <c r="B117" t="s">
        <v>200</v>
      </c>
      <c r="C117" s="909" t="s">
        <v>200</v>
      </c>
      <c r="D117" t="s">
        <v>167</v>
      </c>
      <c r="E117" s="28">
        <v>2322217</v>
      </c>
      <c r="F117" s="28">
        <v>2174645</v>
      </c>
      <c r="G117" s="1305">
        <f t="shared" si="1"/>
        <v>1.3217975193328346E-2</v>
      </c>
      <c r="I117" s="80"/>
    </row>
    <row r="118" spans="1:9" x14ac:dyDescent="0.35">
      <c r="A118" s="41" t="s">
        <v>748</v>
      </c>
      <c r="B118" t="s">
        <v>201</v>
      </c>
      <c r="C118" s="909" t="s">
        <v>201</v>
      </c>
      <c r="D118" t="s">
        <v>78</v>
      </c>
      <c r="E118" s="28">
        <v>5103853</v>
      </c>
      <c r="F118" s="28">
        <v>4499621</v>
      </c>
      <c r="G118" s="1305">
        <f t="shared" si="1"/>
        <v>2.5520731928534213E-2</v>
      </c>
      <c r="I118" s="80"/>
    </row>
    <row r="119" spans="1:9" x14ac:dyDescent="0.35">
      <c r="A119" s="41" t="s">
        <v>748</v>
      </c>
      <c r="B119" t="s">
        <v>446</v>
      </c>
      <c r="C119" s="909" t="s">
        <v>446</v>
      </c>
      <c r="D119" t="s">
        <v>79</v>
      </c>
      <c r="E119" s="28">
        <v>6662173</v>
      </c>
      <c r="F119" s="28">
        <v>6234955</v>
      </c>
      <c r="G119" s="1305">
        <f t="shared" si="1"/>
        <v>1.334310436149333E-2</v>
      </c>
      <c r="I119" s="80"/>
    </row>
    <row r="120" spans="1:9" x14ac:dyDescent="0.35">
      <c r="A120" s="41" t="s">
        <v>748</v>
      </c>
      <c r="B120" t="s">
        <v>447</v>
      </c>
      <c r="C120" s="909" t="s">
        <v>447</v>
      </c>
      <c r="D120" t="s">
        <v>448</v>
      </c>
      <c r="E120" s="28">
        <v>38645</v>
      </c>
      <c r="F120" s="28">
        <v>37403</v>
      </c>
      <c r="G120" s="1305">
        <f t="shared" si="1"/>
        <v>6.5546856296052614E-3</v>
      </c>
      <c r="I120" s="80"/>
    </row>
    <row r="121" spans="1:9" x14ac:dyDescent="0.35">
      <c r="A121" s="41" t="s">
        <v>748</v>
      </c>
      <c r="B121" t="s">
        <v>449</v>
      </c>
      <c r="C121" s="909" t="s">
        <v>449</v>
      </c>
      <c r="D121" t="s">
        <v>82</v>
      </c>
      <c r="E121" s="28">
        <v>2852478</v>
      </c>
      <c r="F121" s="28">
        <v>2931926</v>
      </c>
      <c r="G121" s="1305">
        <f t="shared" si="1"/>
        <v>-5.4792249423425421E-3</v>
      </c>
      <c r="I121" s="80"/>
    </row>
    <row r="122" spans="1:9" x14ac:dyDescent="0.35">
      <c r="A122" s="41" t="s">
        <v>748</v>
      </c>
      <c r="B122" t="s">
        <v>456</v>
      </c>
      <c r="C122" s="909" t="s">
        <v>456</v>
      </c>
      <c r="D122" t="s">
        <v>83</v>
      </c>
      <c r="E122" s="28">
        <v>603944</v>
      </c>
      <c r="F122" s="28">
        <v>566741</v>
      </c>
      <c r="G122" s="1305">
        <f t="shared" si="1"/>
        <v>1.2797003559049891E-2</v>
      </c>
      <c r="I122" s="80"/>
    </row>
    <row r="123" spans="1:9" x14ac:dyDescent="0.35">
      <c r="A123" s="41" t="s">
        <v>748</v>
      </c>
      <c r="B123" t="s">
        <v>457</v>
      </c>
      <c r="C123" s="909" t="s">
        <v>1823</v>
      </c>
      <c r="D123" t="s">
        <v>458</v>
      </c>
      <c r="E123" s="28">
        <v>651875</v>
      </c>
      <c r="F123" s="28">
        <v>600942</v>
      </c>
      <c r="G123" s="1305">
        <f t="shared" si="1"/>
        <v>1.6403971973147691E-2</v>
      </c>
      <c r="I123" s="80"/>
    </row>
    <row r="124" spans="1:9" x14ac:dyDescent="0.35">
      <c r="A124" s="41" t="s">
        <v>748</v>
      </c>
      <c r="B124" t="s">
        <v>202</v>
      </c>
      <c r="C124" s="909" t="s">
        <v>202</v>
      </c>
      <c r="D124" t="s">
        <v>88</v>
      </c>
      <c r="E124" s="28">
        <v>27690798</v>
      </c>
      <c r="F124" s="28">
        <v>24234088</v>
      </c>
      <c r="G124" s="1305">
        <f t="shared" si="1"/>
        <v>2.7026756582183564E-2</v>
      </c>
      <c r="I124" s="80"/>
    </row>
    <row r="125" spans="1:9" x14ac:dyDescent="0.35">
      <c r="A125" s="41" t="s">
        <v>748</v>
      </c>
      <c r="B125" t="s">
        <v>203</v>
      </c>
      <c r="C125" s="909" t="s">
        <v>203</v>
      </c>
      <c r="D125" t="s">
        <v>100</v>
      </c>
      <c r="E125" s="28">
        <v>20283691</v>
      </c>
      <c r="F125" s="28">
        <v>17573607</v>
      </c>
      <c r="G125" s="1305">
        <f t="shared" si="1"/>
        <v>2.9099139794801498E-2</v>
      </c>
      <c r="I125" s="80"/>
    </row>
    <row r="126" spans="1:9" x14ac:dyDescent="0.35">
      <c r="A126" s="41" t="s">
        <v>748</v>
      </c>
      <c r="B126" t="s">
        <v>459</v>
      </c>
      <c r="C126" s="909" t="s">
        <v>459</v>
      </c>
      <c r="D126" t="s">
        <v>101</v>
      </c>
      <c r="E126" s="28">
        <v>32869322.999999996</v>
      </c>
      <c r="F126" s="28">
        <v>30723155</v>
      </c>
      <c r="G126" s="1305">
        <f t="shared" si="1"/>
        <v>1.3596236758058655E-2</v>
      </c>
      <c r="I126" s="80"/>
    </row>
    <row r="127" spans="1:9" x14ac:dyDescent="0.35">
      <c r="A127" s="41" t="s">
        <v>748</v>
      </c>
      <c r="B127" t="s">
        <v>243</v>
      </c>
      <c r="C127" s="909" t="s">
        <v>243</v>
      </c>
      <c r="D127" t="s">
        <v>89</v>
      </c>
      <c r="E127" s="28">
        <v>458909</v>
      </c>
      <c r="F127" s="28">
        <v>418403</v>
      </c>
      <c r="G127" s="1305">
        <f t="shared" si="1"/>
        <v>1.8653207570599406E-2</v>
      </c>
      <c r="I127" s="80"/>
    </row>
    <row r="128" spans="1:9" x14ac:dyDescent="0.35">
      <c r="A128" s="41" t="s">
        <v>748</v>
      </c>
      <c r="B128" t="s">
        <v>204</v>
      </c>
      <c r="C128" s="909" t="s">
        <v>204</v>
      </c>
      <c r="D128" t="s">
        <v>92</v>
      </c>
      <c r="E128" s="28">
        <v>20284180</v>
      </c>
      <c r="F128" s="28">
        <v>17467905</v>
      </c>
      <c r="G128" s="1305">
        <f t="shared" si="1"/>
        <v>3.0346563388922165E-2</v>
      </c>
      <c r="I128" s="80"/>
    </row>
    <row r="129" spans="1:9" x14ac:dyDescent="0.35">
      <c r="A129" s="41" t="s">
        <v>748</v>
      </c>
      <c r="B129" t="s">
        <v>460</v>
      </c>
      <c r="C129" s="909" t="s">
        <v>460</v>
      </c>
      <c r="D129" t="s">
        <v>93</v>
      </c>
      <c r="E129" s="28">
        <v>434363</v>
      </c>
      <c r="F129" s="28">
        <v>427616</v>
      </c>
      <c r="G129" s="1305">
        <f t="shared" si="1"/>
        <v>3.1359053839130624E-3</v>
      </c>
      <c r="I129" s="80"/>
    </row>
    <row r="130" spans="1:9" x14ac:dyDescent="0.35">
      <c r="A130" s="41" t="s">
        <v>748</v>
      </c>
      <c r="B130" t="s">
        <v>461</v>
      </c>
      <c r="C130" s="909" t="s">
        <v>461</v>
      </c>
      <c r="D130" t="s">
        <v>91</v>
      </c>
      <c r="E130" s="28">
        <v>53251</v>
      </c>
      <c r="F130" s="28">
        <v>52994</v>
      </c>
      <c r="G130" s="1305">
        <f t="shared" si="1"/>
        <v>9.6804508536108003E-4</v>
      </c>
      <c r="I130" s="80"/>
    </row>
    <row r="131" spans="1:9" x14ac:dyDescent="0.35">
      <c r="A131" s="41" t="s">
        <v>748</v>
      </c>
      <c r="B131" t="s">
        <v>205</v>
      </c>
      <c r="C131" s="909" t="s">
        <v>205</v>
      </c>
      <c r="D131" t="s">
        <v>98</v>
      </c>
      <c r="E131" s="28">
        <v>4783767</v>
      </c>
      <c r="F131" s="28">
        <v>4182341.0000000005</v>
      </c>
      <c r="G131" s="1305">
        <f t="shared" si="1"/>
        <v>2.7235727472586957E-2</v>
      </c>
      <c r="I131" s="80"/>
    </row>
    <row r="132" spans="1:9" x14ac:dyDescent="0.35">
      <c r="A132" s="41" t="s">
        <v>748</v>
      </c>
      <c r="B132" t="s">
        <v>206</v>
      </c>
      <c r="C132" s="909" t="s">
        <v>206</v>
      </c>
      <c r="D132" t="s">
        <v>99</v>
      </c>
      <c r="E132" s="28">
        <v>1274114</v>
      </c>
      <c r="F132" s="28">
        <v>1259456</v>
      </c>
      <c r="G132" s="1305">
        <f t="shared" si="1"/>
        <v>2.3169105768860998E-3</v>
      </c>
      <c r="I132" s="80"/>
    </row>
    <row r="133" spans="1:9" x14ac:dyDescent="0.35">
      <c r="A133" s="41" t="s">
        <v>748</v>
      </c>
      <c r="B133" t="s">
        <v>462</v>
      </c>
      <c r="C133" s="909" t="s">
        <v>462</v>
      </c>
      <c r="D133" t="s">
        <v>90</v>
      </c>
      <c r="E133" s="28">
        <v>133870027</v>
      </c>
      <c r="F133" s="28">
        <v>125890949</v>
      </c>
      <c r="G133" s="1305">
        <f t="shared" si="1"/>
        <v>1.2366507317728592E-2</v>
      </c>
      <c r="I133" s="80"/>
    </row>
    <row r="134" spans="1:9" x14ac:dyDescent="0.35">
      <c r="A134" s="41" t="s">
        <v>748</v>
      </c>
      <c r="B134" t="s">
        <v>463</v>
      </c>
      <c r="C134" s="909" t="s">
        <v>1824</v>
      </c>
      <c r="D134" t="s">
        <v>464</v>
      </c>
      <c r="E134" s="28">
        <v>107774</v>
      </c>
      <c r="F134" s="28">
        <v>104433</v>
      </c>
      <c r="G134" s="1305">
        <f t="shared" si="1"/>
        <v>6.3180199268806359E-3</v>
      </c>
      <c r="I134" s="80"/>
    </row>
    <row r="135" spans="1:9" x14ac:dyDescent="0.35">
      <c r="A135" s="41" t="s">
        <v>748</v>
      </c>
      <c r="B135" t="s">
        <v>473</v>
      </c>
      <c r="C135" s="909" t="s">
        <v>1137</v>
      </c>
      <c r="D135" t="s">
        <v>87</v>
      </c>
      <c r="E135" s="28">
        <v>4017687</v>
      </c>
      <c r="F135" s="28">
        <v>4065980</v>
      </c>
      <c r="G135" s="1305">
        <f t="shared" ref="G135:G198" si="2">(IFERROR(((E135/F135)^(1/5)-1),0))</f>
        <v>-2.3868334620955611E-3</v>
      </c>
      <c r="I135" s="80"/>
    </row>
    <row r="136" spans="1:9" x14ac:dyDescent="0.35">
      <c r="A136" s="41" t="s">
        <v>748</v>
      </c>
      <c r="B136" t="s">
        <v>474</v>
      </c>
      <c r="C136" s="909" t="s">
        <v>474</v>
      </c>
      <c r="D136" t="s">
        <v>86</v>
      </c>
      <c r="E136" s="28">
        <v>39297</v>
      </c>
      <c r="F136" s="28">
        <v>38307</v>
      </c>
      <c r="G136" s="1305">
        <f t="shared" si="2"/>
        <v>5.1161496202631884E-3</v>
      </c>
      <c r="I136" s="80"/>
    </row>
    <row r="137" spans="1:9" x14ac:dyDescent="0.35">
      <c r="A137" s="41" t="s">
        <v>748</v>
      </c>
      <c r="B137" t="s">
        <v>250</v>
      </c>
      <c r="C137" s="909" t="s">
        <v>250</v>
      </c>
      <c r="D137" t="s">
        <v>96</v>
      </c>
      <c r="E137" s="28">
        <v>3209404</v>
      </c>
      <c r="F137" s="28">
        <v>2976877</v>
      </c>
      <c r="G137" s="1305">
        <f t="shared" si="2"/>
        <v>1.5155798872611204E-2</v>
      </c>
      <c r="I137" s="80"/>
    </row>
    <row r="138" spans="1:9" x14ac:dyDescent="0.35">
      <c r="A138" s="41" t="s">
        <v>748</v>
      </c>
      <c r="B138" t="s">
        <v>475</v>
      </c>
      <c r="C138" s="909" t="s">
        <v>475</v>
      </c>
      <c r="D138" t="s">
        <v>95</v>
      </c>
      <c r="E138" s="28">
        <v>629397</v>
      </c>
      <c r="F138" s="28">
        <v>628178</v>
      </c>
      <c r="G138" s="1305">
        <f t="shared" si="2"/>
        <v>3.8780565266738343E-4</v>
      </c>
      <c r="I138" s="80"/>
    </row>
    <row r="139" spans="1:9" x14ac:dyDescent="0.35">
      <c r="A139" s="41" t="s">
        <v>748</v>
      </c>
      <c r="B139" t="s">
        <v>476</v>
      </c>
      <c r="C139" s="909" t="s">
        <v>476</v>
      </c>
      <c r="D139" t="s">
        <v>85</v>
      </c>
      <c r="E139" s="28">
        <v>37070718</v>
      </c>
      <c r="F139" s="28">
        <v>34803322</v>
      </c>
      <c r="G139" s="1305">
        <f t="shared" si="2"/>
        <v>1.2702913939437233E-2</v>
      </c>
      <c r="I139" s="80"/>
    </row>
    <row r="140" spans="1:9" x14ac:dyDescent="0.35">
      <c r="A140" s="41" t="s">
        <v>748</v>
      </c>
      <c r="B140" t="s">
        <v>207</v>
      </c>
      <c r="C140" s="909" t="s">
        <v>207</v>
      </c>
      <c r="D140" t="s">
        <v>97</v>
      </c>
      <c r="E140" s="28">
        <v>32309195</v>
      </c>
      <c r="F140" s="28">
        <v>28010691</v>
      </c>
      <c r="G140" s="1305">
        <f t="shared" si="2"/>
        <v>2.8964669202313553E-2</v>
      </c>
      <c r="I140" s="80"/>
    </row>
    <row r="141" spans="1:9" x14ac:dyDescent="0.35">
      <c r="A141" s="41" t="s">
        <v>748</v>
      </c>
      <c r="B141" t="s">
        <v>244</v>
      </c>
      <c r="C141" s="909" t="s">
        <v>244</v>
      </c>
      <c r="D141" t="s">
        <v>94</v>
      </c>
      <c r="E141" s="28">
        <v>54808276</v>
      </c>
      <c r="F141" s="28">
        <v>52403669</v>
      </c>
      <c r="G141" s="1305">
        <f t="shared" si="2"/>
        <v>9.0132966153517735E-3</v>
      </c>
      <c r="I141" s="80"/>
    </row>
    <row r="142" spans="1:9" x14ac:dyDescent="0.35">
      <c r="A142" s="41" t="s">
        <v>748</v>
      </c>
      <c r="B142" t="s">
        <v>208</v>
      </c>
      <c r="C142" s="909" t="s">
        <v>208</v>
      </c>
      <c r="D142" t="s">
        <v>102</v>
      </c>
      <c r="E142" s="28">
        <v>2696537</v>
      </c>
      <c r="F142" s="28">
        <v>2425561</v>
      </c>
      <c r="G142" s="1305">
        <f t="shared" si="2"/>
        <v>2.1407015651801586E-2</v>
      </c>
      <c r="I142" s="80"/>
    </row>
    <row r="143" spans="1:9" x14ac:dyDescent="0.35">
      <c r="A143" s="41" t="s">
        <v>748</v>
      </c>
      <c r="B143" t="s">
        <v>251</v>
      </c>
      <c r="C143" s="909" t="s">
        <v>251</v>
      </c>
      <c r="D143" t="s">
        <v>109</v>
      </c>
      <c r="E143" s="28">
        <v>11227</v>
      </c>
      <c r="F143" s="28">
        <v>11260</v>
      </c>
      <c r="G143" s="1305">
        <f t="shared" si="2"/>
        <v>-5.868339925197974E-4</v>
      </c>
      <c r="I143" s="80"/>
    </row>
    <row r="144" spans="1:9" x14ac:dyDescent="0.35">
      <c r="A144" s="41" t="s">
        <v>748</v>
      </c>
      <c r="B144" t="s">
        <v>179</v>
      </c>
      <c r="C144" s="909" t="s">
        <v>179</v>
      </c>
      <c r="D144" t="s">
        <v>108</v>
      </c>
      <c r="E144" s="28">
        <v>30260244</v>
      </c>
      <c r="F144" s="28">
        <v>28656282</v>
      </c>
      <c r="G144" s="1305">
        <f t="shared" si="2"/>
        <v>1.0951955478630371E-2</v>
      </c>
      <c r="I144" s="80"/>
    </row>
    <row r="145" spans="1:9" x14ac:dyDescent="0.35">
      <c r="A145" s="41" t="s">
        <v>748</v>
      </c>
      <c r="B145" t="s">
        <v>477</v>
      </c>
      <c r="C145" s="909" t="s">
        <v>477</v>
      </c>
      <c r="D145" t="s">
        <v>106</v>
      </c>
      <c r="E145" s="28">
        <v>17181248</v>
      </c>
      <c r="F145" s="28">
        <v>16938499</v>
      </c>
      <c r="G145" s="1305">
        <f t="shared" si="2"/>
        <v>2.8499490202138489E-3</v>
      </c>
      <c r="I145" s="80"/>
    </row>
    <row r="146" spans="1:9" x14ac:dyDescent="0.35">
      <c r="A146" s="41" t="s">
        <v>748</v>
      </c>
      <c r="B146" t="s">
        <v>478</v>
      </c>
      <c r="C146" s="909" t="s">
        <v>478</v>
      </c>
      <c r="D146" t="s">
        <v>479</v>
      </c>
      <c r="E146" s="28">
        <v>286913</v>
      </c>
      <c r="F146" s="28">
        <v>269091</v>
      </c>
      <c r="G146" s="1305">
        <f t="shared" si="2"/>
        <v>1.2908488746436797E-2</v>
      </c>
      <c r="I146" s="80"/>
    </row>
    <row r="147" spans="1:9" x14ac:dyDescent="0.35">
      <c r="A147" s="41" t="s">
        <v>748</v>
      </c>
      <c r="B147" t="s">
        <v>480</v>
      </c>
      <c r="C147" s="909" t="s">
        <v>480</v>
      </c>
      <c r="D147" t="s">
        <v>110</v>
      </c>
      <c r="E147" s="28">
        <v>4834420</v>
      </c>
      <c r="F147" s="28">
        <v>4614532</v>
      </c>
      <c r="G147" s="1305">
        <f t="shared" si="2"/>
        <v>9.3536159243783334E-3</v>
      </c>
      <c r="I147" s="80"/>
    </row>
    <row r="148" spans="1:9" x14ac:dyDescent="0.35">
      <c r="A148" s="41" t="s">
        <v>748</v>
      </c>
      <c r="B148" t="s">
        <v>227</v>
      </c>
      <c r="C148" s="909" t="s">
        <v>227</v>
      </c>
      <c r="D148" t="s">
        <v>105</v>
      </c>
      <c r="E148" s="28">
        <v>6416568</v>
      </c>
      <c r="F148" s="28">
        <v>6082035</v>
      </c>
      <c r="G148" s="1305">
        <f t="shared" si="2"/>
        <v>1.0766354816442947E-2</v>
      </c>
      <c r="I148" s="80"/>
    </row>
    <row r="149" spans="1:9" x14ac:dyDescent="0.35">
      <c r="A149" s="41" t="s">
        <v>748</v>
      </c>
      <c r="B149" t="s">
        <v>209</v>
      </c>
      <c r="C149" s="909" t="s">
        <v>209</v>
      </c>
      <c r="D149" t="s">
        <v>103</v>
      </c>
      <c r="E149" s="28">
        <v>24074693</v>
      </c>
      <c r="F149" s="28">
        <v>19896965</v>
      </c>
      <c r="G149" s="1305">
        <f t="shared" si="2"/>
        <v>3.8854641115531718E-2</v>
      </c>
      <c r="I149" s="80"/>
    </row>
    <row r="150" spans="1:9" x14ac:dyDescent="0.35">
      <c r="A150" s="41" t="s">
        <v>748</v>
      </c>
      <c r="B150" t="s">
        <v>177</v>
      </c>
      <c r="C150" s="909" t="s">
        <v>177</v>
      </c>
      <c r="D150" t="s">
        <v>104</v>
      </c>
      <c r="E150" s="28">
        <v>206152701</v>
      </c>
      <c r="F150" s="28">
        <v>181181744</v>
      </c>
      <c r="G150" s="1305">
        <f t="shared" si="2"/>
        <v>2.6159614810100651E-2</v>
      </c>
      <c r="I150" s="80"/>
    </row>
    <row r="151" spans="1:9" x14ac:dyDescent="0.35">
      <c r="A151" s="41" t="s">
        <v>748</v>
      </c>
      <c r="B151" t="s">
        <v>483</v>
      </c>
      <c r="C151" s="909" t="s">
        <v>1825</v>
      </c>
      <c r="D151" t="s">
        <v>484</v>
      </c>
      <c r="E151" s="28">
        <v>2088034.9999999998</v>
      </c>
      <c r="F151" s="28">
        <v>2079308</v>
      </c>
      <c r="G151" s="1305">
        <f t="shared" si="2"/>
        <v>8.3800818898782659E-4</v>
      </c>
      <c r="I151" s="80"/>
    </row>
    <row r="152" spans="1:9" x14ac:dyDescent="0.35">
      <c r="A152" s="41" t="s">
        <v>748</v>
      </c>
      <c r="B152" t="s">
        <v>485</v>
      </c>
      <c r="C152" s="909" t="s">
        <v>485</v>
      </c>
      <c r="D152" t="s">
        <v>486</v>
      </c>
      <c r="E152" s="28">
        <v>55347</v>
      </c>
      <c r="F152" s="28">
        <v>54816</v>
      </c>
      <c r="G152" s="1305">
        <f t="shared" si="2"/>
        <v>1.9299269167405431E-3</v>
      </c>
      <c r="I152" s="80"/>
    </row>
    <row r="153" spans="1:9" x14ac:dyDescent="0.35">
      <c r="A153" s="41" t="s">
        <v>748</v>
      </c>
      <c r="B153" t="s">
        <v>487</v>
      </c>
      <c r="C153" s="909" t="s">
        <v>487</v>
      </c>
      <c r="D153" t="s">
        <v>107</v>
      </c>
      <c r="E153" s="28">
        <v>5449693</v>
      </c>
      <c r="F153" s="28">
        <v>5199836</v>
      </c>
      <c r="G153" s="1305">
        <f t="shared" si="2"/>
        <v>9.4306288028846996E-3</v>
      </c>
      <c r="I153" s="80"/>
    </row>
    <row r="154" spans="1:9" x14ac:dyDescent="0.35">
      <c r="A154" s="41" t="s">
        <v>748</v>
      </c>
      <c r="B154" t="s">
        <v>492</v>
      </c>
      <c r="C154" s="909" t="s">
        <v>492</v>
      </c>
      <c r="D154" t="s">
        <v>111</v>
      </c>
      <c r="E154" s="28">
        <v>5149700</v>
      </c>
      <c r="F154" s="28">
        <v>4199810</v>
      </c>
      <c r="G154" s="1305">
        <f t="shared" si="2"/>
        <v>4.1622751296491955E-2</v>
      </c>
      <c r="I154" s="80"/>
    </row>
    <row r="155" spans="1:9" x14ac:dyDescent="0.35">
      <c r="A155" s="41" t="s">
        <v>748</v>
      </c>
      <c r="B155" t="s">
        <v>176</v>
      </c>
      <c r="C155" s="909" t="s">
        <v>176</v>
      </c>
      <c r="D155" t="s">
        <v>112</v>
      </c>
      <c r="E155" s="28">
        <v>208362334</v>
      </c>
      <c r="F155" s="28">
        <v>189380513</v>
      </c>
      <c r="G155" s="1305">
        <f t="shared" si="2"/>
        <v>1.9287703489355934E-2</v>
      </c>
      <c r="I155" s="80"/>
    </row>
    <row r="156" spans="1:9" x14ac:dyDescent="0.35">
      <c r="A156" s="41" t="s">
        <v>748</v>
      </c>
      <c r="B156" t="s">
        <v>497</v>
      </c>
      <c r="C156" s="909" t="s">
        <v>497</v>
      </c>
      <c r="D156" t="s">
        <v>498</v>
      </c>
      <c r="E156" s="28">
        <v>22442</v>
      </c>
      <c r="F156" s="28">
        <v>21288</v>
      </c>
      <c r="G156" s="1305">
        <f t="shared" si="2"/>
        <v>1.0614067688097917E-2</v>
      </c>
      <c r="I156" s="80"/>
    </row>
    <row r="157" spans="1:9" x14ac:dyDescent="0.35">
      <c r="A157" s="41" t="s">
        <v>748</v>
      </c>
      <c r="B157" t="s">
        <v>499</v>
      </c>
      <c r="C157" s="909" t="s">
        <v>499</v>
      </c>
      <c r="D157" t="s">
        <v>113</v>
      </c>
      <c r="E157" s="28">
        <v>4289330</v>
      </c>
      <c r="F157" s="28">
        <v>3969249</v>
      </c>
      <c r="G157" s="1305">
        <f t="shared" si="2"/>
        <v>1.5631642791849698E-2</v>
      </c>
      <c r="I157" s="80"/>
    </row>
    <row r="158" spans="1:9" x14ac:dyDescent="0.35">
      <c r="A158" s="41" t="s">
        <v>748</v>
      </c>
      <c r="B158" t="s">
        <v>252</v>
      </c>
      <c r="C158" s="909" t="s">
        <v>252</v>
      </c>
      <c r="D158" t="s">
        <v>116</v>
      </c>
      <c r="E158" s="28">
        <v>8755675</v>
      </c>
      <c r="F158" s="28">
        <v>7919825</v>
      </c>
      <c r="G158" s="1305">
        <f t="shared" si="2"/>
        <v>2.0269277892605686E-2</v>
      </c>
      <c r="I158" s="80"/>
    </row>
    <row r="159" spans="1:9" x14ac:dyDescent="0.35">
      <c r="A159" s="41" t="s">
        <v>748</v>
      </c>
      <c r="B159" t="s">
        <v>228</v>
      </c>
      <c r="C159" s="909" t="s">
        <v>228</v>
      </c>
      <c r="D159" t="s">
        <v>119</v>
      </c>
      <c r="E159" s="28">
        <v>7066330</v>
      </c>
      <c r="F159" s="28">
        <v>6639119</v>
      </c>
      <c r="G159" s="1305">
        <f t="shared" si="2"/>
        <v>1.2550499982397323E-2</v>
      </c>
      <c r="I159" s="80"/>
    </row>
    <row r="160" spans="1:9" x14ac:dyDescent="0.35">
      <c r="A160" s="41" t="s">
        <v>748</v>
      </c>
      <c r="B160" t="s">
        <v>500</v>
      </c>
      <c r="C160" s="909" t="s">
        <v>500</v>
      </c>
      <c r="D160" t="s">
        <v>114</v>
      </c>
      <c r="E160" s="28">
        <v>33312178</v>
      </c>
      <c r="F160" s="28">
        <v>31376671</v>
      </c>
      <c r="G160" s="1305">
        <f t="shared" si="2"/>
        <v>1.2043623506592382E-2</v>
      </c>
      <c r="I160" s="80"/>
    </row>
    <row r="161" spans="1:9" x14ac:dyDescent="0.35">
      <c r="A161" s="41" t="s">
        <v>748</v>
      </c>
      <c r="B161" t="s">
        <v>253</v>
      </c>
      <c r="C161" s="909" t="s">
        <v>253</v>
      </c>
      <c r="D161" t="s">
        <v>115</v>
      </c>
      <c r="E161" s="28">
        <v>109703396</v>
      </c>
      <c r="F161" s="28">
        <v>101716359</v>
      </c>
      <c r="G161" s="1305">
        <f t="shared" si="2"/>
        <v>1.5233297337932994E-2</v>
      </c>
      <c r="I161" s="80"/>
    </row>
    <row r="162" spans="1:9" x14ac:dyDescent="0.35">
      <c r="A162" s="41" t="s">
        <v>748</v>
      </c>
      <c r="B162" t="s">
        <v>501</v>
      </c>
      <c r="C162" s="909" t="s">
        <v>501</v>
      </c>
      <c r="D162" t="s">
        <v>117</v>
      </c>
      <c r="E162" s="28">
        <v>37942231</v>
      </c>
      <c r="F162" s="28">
        <v>38265226</v>
      </c>
      <c r="G162" s="1305">
        <f t="shared" si="2"/>
        <v>-1.6939197503730297E-3</v>
      </c>
      <c r="I162" s="80"/>
    </row>
    <row r="163" spans="1:9" x14ac:dyDescent="0.35">
      <c r="A163" s="41" t="s">
        <v>748</v>
      </c>
      <c r="B163" t="s">
        <v>502</v>
      </c>
      <c r="C163" s="909" t="s">
        <v>502</v>
      </c>
      <c r="D163" t="s">
        <v>118</v>
      </c>
      <c r="E163" s="28">
        <v>10218413</v>
      </c>
      <c r="F163" s="28">
        <v>10418473</v>
      </c>
      <c r="G163" s="1305">
        <f t="shared" si="2"/>
        <v>-3.8703291986296184E-3</v>
      </c>
      <c r="I163" s="80"/>
    </row>
    <row r="164" spans="1:9" x14ac:dyDescent="0.35">
      <c r="A164" s="41" t="s">
        <v>748</v>
      </c>
      <c r="B164" t="s">
        <v>507</v>
      </c>
      <c r="C164" s="909" t="s">
        <v>507</v>
      </c>
      <c r="D164" t="s">
        <v>508</v>
      </c>
      <c r="E164" s="28">
        <v>3650608</v>
      </c>
      <c r="F164" s="28">
        <v>3673728</v>
      </c>
      <c r="G164" s="1305">
        <f t="shared" si="2"/>
        <v>-1.2618474475230013E-3</v>
      </c>
      <c r="I164" s="80"/>
    </row>
    <row r="165" spans="1:9" x14ac:dyDescent="0.35">
      <c r="A165" s="41" t="s">
        <v>748</v>
      </c>
      <c r="B165" t="s">
        <v>509</v>
      </c>
      <c r="C165" s="909" t="s">
        <v>509</v>
      </c>
      <c r="D165" t="s">
        <v>120</v>
      </c>
      <c r="E165" s="28">
        <v>2791807</v>
      </c>
      <c r="F165" s="28">
        <v>2481539</v>
      </c>
      <c r="G165" s="1305">
        <f t="shared" si="2"/>
        <v>2.3841802404079404E-2</v>
      </c>
      <c r="I165" s="80"/>
    </row>
    <row r="166" spans="1:9" x14ac:dyDescent="0.35">
      <c r="A166" s="41" t="s">
        <v>748</v>
      </c>
      <c r="B166" t="s">
        <v>510</v>
      </c>
      <c r="C166" s="909" t="s">
        <v>510</v>
      </c>
      <c r="D166" t="s">
        <v>121</v>
      </c>
      <c r="E166" s="28">
        <v>19388362</v>
      </c>
      <c r="F166" s="28">
        <v>19876621</v>
      </c>
      <c r="G166" s="1305">
        <f t="shared" si="2"/>
        <v>-4.9618944903351281E-3</v>
      </c>
      <c r="I166" s="80"/>
    </row>
    <row r="167" spans="1:9" x14ac:dyDescent="0.35">
      <c r="A167" s="41" t="s">
        <v>748</v>
      </c>
      <c r="B167" t="s">
        <v>511</v>
      </c>
      <c r="C167" s="909" t="s">
        <v>511</v>
      </c>
      <c r="D167" t="s">
        <v>122</v>
      </c>
      <c r="E167" s="28">
        <v>143786842</v>
      </c>
      <c r="F167" s="28">
        <v>143888004</v>
      </c>
      <c r="G167" s="1305">
        <f t="shared" si="2"/>
        <v>-1.4065169910504327E-4</v>
      </c>
      <c r="I167" s="80"/>
    </row>
    <row r="168" spans="1:9" x14ac:dyDescent="0.35">
      <c r="A168" s="41" t="s">
        <v>748</v>
      </c>
      <c r="B168" t="s">
        <v>210</v>
      </c>
      <c r="C168" s="909" t="s">
        <v>210</v>
      </c>
      <c r="D168" t="s">
        <v>123</v>
      </c>
      <c r="E168" s="28">
        <v>13087173</v>
      </c>
      <c r="F168" s="28">
        <v>11629553</v>
      </c>
      <c r="G168" s="1305">
        <f t="shared" si="2"/>
        <v>2.3897692440756124E-2</v>
      </c>
      <c r="I168" s="80"/>
    </row>
    <row r="169" spans="1:9" x14ac:dyDescent="0.35">
      <c r="A169" s="41" t="s">
        <v>748</v>
      </c>
      <c r="B169" t="s">
        <v>254</v>
      </c>
      <c r="C169" s="909" t="s">
        <v>254</v>
      </c>
      <c r="D169" t="s">
        <v>152</v>
      </c>
      <c r="E169" s="28">
        <v>200117</v>
      </c>
      <c r="F169" s="28">
        <v>193759</v>
      </c>
      <c r="G169" s="1305">
        <f t="shared" si="2"/>
        <v>6.4783094030809174E-3</v>
      </c>
      <c r="I169" s="80"/>
    </row>
    <row r="170" spans="1:9" x14ac:dyDescent="0.35">
      <c r="A170" s="41" t="s">
        <v>748</v>
      </c>
      <c r="B170" t="s">
        <v>512</v>
      </c>
      <c r="C170" s="909" t="s">
        <v>512</v>
      </c>
      <c r="D170" t="s">
        <v>130</v>
      </c>
      <c r="E170" s="28">
        <v>33809</v>
      </c>
      <c r="F170" s="28">
        <v>32960</v>
      </c>
      <c r="G170" s="1305">
        <f t="shared" si="2"/>
        <v>5.0994248719173907E-3</v>
      </c>
      <c r="I170" s="80"/>
    </row>
    <row r="171" spans="1:9" x14ac:dyDescent="0.35">
      <c r="A171" s="41" t="s">
        <v>748</v>
      </c>
      <c r="B171" t="s">
        <v>211</v>
      </c>
      <c r="C171" s="909" t="s">
        <v>211</v>
      </c>
      <c r="D171" t="s">
        <v>175</v>
      </c>
      <c r="E171" s="28">
        <v>218011</v>
      </c>
      <c r="F171" s="28">
        <v>195553</v>
      </c>
      <c r="G171" s="1305">
        <f t="shared" si="2"/>
        <v>2.1980913080446474E-2</v>
      </c>
      <c r="I171" s="80"/>
    </row>
    <row r="172" spans="1:9" x14ac:dyDescent="0.35">
      <c r="A172" s="41" t="s">
        <v>748</v>
      </c>
      <c r="B172" t="s">
        <v>513</v>
      </c>
      <c r="C172" s="909" t="s">
        <v>513</v>
      </c>
      <c r="D172" t="s">
        <v>124</v>
      </c>
      <c r="E172" s="28">
        <v>34709640</v>
      </c>
      <c r="F172" s="28">
        <v>31557144</v>
      </c>
      <c r="G172" s="1305">
        <f t="shared" si="2"/>
        <v>1.9225975948413021E-2</v>
      </c>
      <c r="I172" s="80"/>
    </row>
    <row r="173" spans="1:9" x14ac:dyDescent="0.35">
      <c r="A173" s="41" t="s">
        <v>748</v>
      </c>
      <c r="B173" t="s">
        <v>212</v>
      </c>
      <c r="C173" s="909" t="s">
        <v>212</v>
      </c>
      <c r="D173" t="s">
        <v>126</v>
      </c>
      <c r="E173" s="28">
        <v>17200154</v>
      </c>
      <c r="F173" s="28">
        <v>14976994</v>
      </c>
      <c r="G173" s="1305">
        <f t="shared" si="2"/>
        <v>2.8067276928300133E-2</v>
      </c>
      <c r="I173" s="80"/>
    </row>
    <row r="174" spans="1:9" x14ac:dyDescent="0.35">
      <c r="A174" s="41" t="s">
        <v>748</v>
      </c>
      <c r="B174" t="s">
        <v>514</v>
      </c>
      <c r="C174" s="909" t="s">
        <v>514</v>
      </c>
      <c r="D174" t="s">
        <v>131</v>
      </c>
      <c r="E174" s="28">
        <v>8703942</v>
      </c>
      <c r="F174" s="28">
        <v>8851280</v>
      </c>
      <c r="G174" s="1305">
        <f t="shared" si="2"/>
        <v>-3.3515818367023664E-3</v>
      </c>
      <c r="I174" s="80"/>
    </row>
    <row r="175" spans="1:9" x14ac:dyDescent="0.35">
      <c r="A175" s="41" t="s">
        <v>748</v>
      </c>
      <c r="B175" t="s">
        <v>213</v>
      </c>
      <c r="C175" s="909" t="s">
        <v>213</v>
      </c>
      <c r="D175" t="s">
        <v>135</v>
      </c>
      <c r="E175" s="28">
        <v>96112</v>
      </c>
      <c r="F175" s="28">
        <v>93742</v>
      </c>
      <c r="G175" s="1305">
        <f t="shared" si="2"/>
        <v>5.0060586962428211E-3</v>
      </c>
      <c r="I175" s="80"/>
    </row>
    <row r="176" spans="1:9" x14ac:dyDescent="0.35">
      <c r="A176" s="41" t="s">
        <v>748</v>
      </c>
      <c r="B176" t="s">
        <v>214</v>
      </c>
      <c r="C176" s="909" t="s">
        <v>214</v>
      </c>
      <c r="D176" t="s">
        <v>129</v>
      </c>
      <c r="E176" s="28">
        <v>8046931</v>
      </c>
      <c r="F176" s="28">
        <v>7237025</v>
      </c>
      <c r="G176" s="1305">
        <f t="shared" si="2"/>
        <v>2.1442775084454579E-2</v>
      </c>
      <c r="I176" s="80"/>
    </row>
    <row r="177" spans="1:9" x14ac:dyDescent="0.35">
      <c r="A177" s="41" t="s">
        <v>748</v>
      </c>
      <c r="B177" t="s">
        <v>515</v>
      </c>
      <c r="C177" s="909" t="s">
        <v>515</v>
      </c>
      <c r="D177" t="s">
        <v>127</v>
      </c>
      <c r="E177" s="28">
        <v>5935053</v>
      </c>
      <c r="F177" s="28">
        <v>5535262</v>
      </c>
      <c r="G177" s="1305">
        <f t="shared" si="2"/>
        <v>1.4045130508548942E-2</v>
      </c>
      <c r="I177" s="80"/>
    </row>
    <row r="178" spans="1:9" x14ac:dyDescent="0.35">
      <c r="A178" s="41" t="s">
        <v>748</v>
      </c>
      <c r="B178" t="s">
        <v>516</v>
      </c>
      <c r="C178" s="909" t="s">
        <v>516</v>
      </c>
      <c r="D178" t="s">
        <v>517</v>
      </c>
      <c r="E178" s="28">
        <v>41364</v>
      </c>
      <c r="F178" s="28">
        <v>38750</v>
      </c>
      <c r="G178" s="1305">
        <f t="shared" si="2"/>
        <v>1.3141638482704776E-2</v>
      </c>
      <c r="I178" s="80"/>
    </row>
    <row r="179" spans="1:9" x14ac:dyDescent="0.35">
      <c r="A179" s="41" t="s">
        <v>748</v>
      </c>
      <c r="B179" t="s">
        <v>518</v>
      </c>
      <c r="C179" s="909" t="s">
        <v>1140</v>
      </c>
      <c r="D179" t="s">
        <v>519</v>
      </c>
      <c r="E179" s="28">
        <v>5451400</v>
      </c>
      <c r="F179" s="28">
        <v>5439318</v>
      </c>
      <c r="G179" s="1305">
        <f t="shared" si="2"/>
        <v>4.4385268532165512E-4</v>
      </c>
      <c r="I179" s="80"/>
    </row>
    <row r="180" spans="1:9" x14ac:dyDescent="0.35">
      <c r="A180" s="41" t="s">
        <v>748</v>
      </c>
      <c r="B180" t="s">
        <v>520</v>
      </c>
      <c r="C180" s="909" t="s">
        <v>520</v>
      </c>
      <c r="D180" t="s">
        <v>132</v>
      </c>
      <c r="E180" s="28">
        <v>2082054.9999999998</v>
      </c>
      <c r="F180" s="28">
        <v>2074788</v>
      </c>
      <c r="G180" s="1305">
        <f t="shared" si="2"/>
        <v>6.9952594669131507E-4</v>
      </c>
      <c r="I180" s="80"/>
    </row>
    <row r="181" spans="1:9" x14ac:dyDescent="0.35">
      <c r="A181" s="41" t="s">
        <v>748</v>
      </c>
      <c r="B181" t="s">
        <v>255</v>
      </c>
      <c r="C181" s="909" t="s">
        <v>255</v>
      </c>
      <c r="D181" t="s">
        <v>128</v>
      </c>
      <c r="E181" s="28">
        <v>647297</v>
      </c>
      <c r="F181" s="28">
        <v>587482</v>
      </c>
      <c r="G181" s="1305">
        <f t="shared" si="2"/>
        <v>1.9581169396492237E-2</v>
      </c>
      <c r="I181" s="80"/>
    </row>
    <row r="182" spans="1:9" x14ac:dyDescent="0.35">
      <c r="A182" s="41" t="s">
        <v>748</v>
      </c>
      <c r="B182" t="s">
        <v>232</v>
      </c>
      <c r="C182" s="909" t="s">
        <v>232</v>
      </c>
      <c r="D182" t="s">
        <v>171</v>
      </c>
      <c r="E182" s="28">
        <v>16105174</v>
      </c>
      <c r="F182" s="28">
        <v>13908129</v>
      </c>
      <c r="G182" s="1305">
        <f t="shared" si="2"/>
        <v>2.9767881931400009E-2</v>
      </c>
      <c r="I182" s="80"/>
    </row>
    <row r="183" spans="1:9" x14ac:dyDescent="0.35">
      <c r="A183" s="41" t="s">
        <v>748</v>
      </c>
      <c r="B183" t="s">
        <v>178</v>
      </c>
      <c r="C183" s="909" t="s">
        <v>178</v>
      </c>
      <c r="D183" t="s">
        <v>154</v>
      </c>
      <c r="E183" s="28">
        <v>58721229</v>
      </c>
      <c r="F183" s="28">
        <v>55291225</v>
      </c>
      <c r="G183" s="1305">
        <f t="shared" si="2"/>
        <v>1.2110160897487399E-2</v>
      </c>
      <c r="I183" s="80"/>
    </row>
    <row r="184" spans="1:9" x14ac:dyDescent="0.35">
      <c r="A184" s="41" t="s">
        <v>748</v>
      </c>
      <c r="B184" t="s">
        <v>527</v>
      </c>
      <c r="C184" s="909" t="s">
        <v>527</v>
      </c>
      <c r="D184" t="s">
        <v>528</v>
      </c>
      <c r="E184" s="28">
        <v>13610007</v>
      </c>
      <c r="F184" s="28">
        <v>11882136</v>
      </c>
      <c r="G184" s="1305">
        <f t="shared" si="2"/>
        <v>2.7525872425782527E-2</v>
      </c>
      <c r="I184" s="80"/>
    </row>
    <row r="185" spans="1:9" x14ac:dyDescent="0.35">
      <c r="A185" s="41" t="s">
        <v>748</v>
      </c>
      <c r="B185" t="s">
        <v>529</v>
      </c>
      <c r="C185" s="909" t="s">
        <v>529</v>
      </c>
      <c r="D185" t="s">
        <v>40</v>
      </c>
      <c r="E185" s="28">
        <v>46459219</v>
      </c>
      <c r="F185" s="28">
        <v>46397664</v>
      </c>
      <c r="G185" s="1305">
        <f t="shared" si="2"/>
        <v>2.6519593911000783E-4</v>
      </c>
      <c r="I185" s="80"/>
    </row>
    <row r="186" spans="1:9" x14ac:dyDescent="0.35">
      <c r="A186" s="41" t="s">
        <v>748</v>
      </c>
      <c r="B186" t="s">
        <v>245</v>
      </c>
      <c r="C186" s="909" t="s">
        <v>245</v>
      </c>
      <c r="D186" t="s">
        <v>81</v>
      </c>
      <c r="E186" s="28">
        <v>21084042</v>
      </c>
      <c r="F186" s="28">
        <v>20714040</v>
      </c>
      <c r="G186" s="1305">
        <f t="shared" si="2"/>
        <v>3.5472205075586238E-3</v>
      </c>
      <c r="I186" s="80"/>
    </row>
    <row r="187" spans="1:9" x14ac:dyDescent="0.35">
      <c r="A187" s="41" t="s">
        <v>748</v>
      </c>
      <c r="B187" t="s">
        <v>530</v>
      </c>
      <c r="C187" s="909" t="s">
        <v>1138</v>
      </c>
      <c r="D187" t="s">
        <v>531</v>
      </c>
      <c r="E187" s="28">
        <v>56813</v>
      </c>
      <c r="F187" s="28">
        <v>54288</v>
      </c>
      <c r="G187" s="1305">
        <f t="shared" si="2"/>
        <v>9.1338543179453335E-3</v>
      </c>
      <c r="I187" s="80"/>
    </row>
    <row r="188" spans="1:9" x14ac:dyDescent="0.35">
      <c r="A188" s="41" t="s">
        <v>748</v>
      </c>
      <c r="B188" t="s">
        <v>532</v>
      </c>
      <c r="C188" s="909" t="s">
        <v>1096</v>
      </c>
      <c r="D188" t="s">
        <v>80</v>
      </c>
      <c r="E188" s="28">
        <v>181203</v>
      </c>
      <c r="F188" s="28">
        <v>177206</v>
      </c>
      <c r="G188" s="1305">
        <f t="shared" si="2"/>
        <v>4.4709755437244425E-3</v>
      </c>
      <c r="I188" s="80"/>
    </row>
    <row r="189" spans="1:9" x14ac:dyDescent="0.35">
      <c r="A189" s="41" t="s">
        <v>748</v>
      </c>
      <c r="B189" t="s">
        <v>533</v>
      </c>
      <c r="C189" s="909" t="s">
        <v>1817</v>
      </c>
      <c r="D189" t="s">
        <v>534</v>
      </c>
      <c r="E189" s="28">
        <v>32556</v>
      </c>
      <c r="F189" s="28" t="e">
        <v>#N/A</v>
      </c>
      <c r="G189" s="1305">
        <f t="shared" si="2"/>
        <v>0</v>
      </c>
      <c r="I189" s="80"/>
    </row>
    <row r="190" spans="1:9" x14ac:dyDescent="0.35">
      <c r="A190" s="41" t="s">
        <v>748</v>
      </c>
      <c r="B190" t="s">
        <v>535</v>
      </c>
      <c r="C190" s="909" t="s">
        <v>1139</v>
      </c>
      <c r="D190" t="s">
        <v>536</v>
      </c>
      <c r="E190" s="28">
        <v>110757</v>
      </c>
      <c r="F190" s="28">
        <v>109455</v>
      </c>
      <c r="G190" s="1305">
        <f t="shared" si="2"/>
        <v>2.3678201608383631E-3</v>
      </c>
      <c r="I190" s="80"/>
    </row>
    <row r="191" spans="1:9" x14ac:dyDescent="0.35">
      <c r="A191" s="41" t="s">
        <v>748</v>
      </c>
      <c r="B191" t="s">
        <v>233</v>
      </c>
      <c r="C191" s="909" t="s">
        <v>233</v>
      </c>
      <c r="D191" t="s">
        <v>125</v>
      </c>
      <c r="E191" s="28">
        <v>43541203</v>
      </c>
      <c r="F191" s="28">
        <v>38647803</v>
      </c>
      <c r="G191" s="1305">
        <f t="shared" si="2"/>
        <v>2.4130081278528115E-2</v>
      </c>
      <c r="I191" s="80"/>
    </row>
    <row r="192" spans="1:9" x14ac:dyDescent="0.35">
      <c r="A192" s="41" t="s">
        <v>748</v>
      </c>
      <c r="B192" t="s">
        <v>229</v>
      </c>
      <c r="C192" s="909" t="s">
        <v>229</v>
      </c>
      <c r="D192" t="s">
        <v>170</v>
      </c>
      <c r="E192" s="28">
        <v>577752</v>
      </c>
      <c r="F192" s="28">
        <v>553208</v>
      </c>
      <c r="G192" s="1305">
        <f t="shared" si="2"/>
        <v>8.7199289734447571E-3</v>
      </c>
      <c r="I192" s="80"/>
    </row>
    <row r="193" spans="1:9" x14ac:dyDescent="0.35">
      <c r="A193" s="41" t="s">
        <v>748</v>
      </c>
      <c r="B193" t="s">
        <v>543</v>
      </c>
      <c r="C193" s="909" t="s">
        <v>543</v>
      </c>
      <c r="D193" t="s">
        <v>133</v>
      </c>
      <c r="E193" s="28">
        <v>10121686</v>
      </c>
      <c r="F193" s="28">
        <v>9763565</v>
      </c>
      <c r="G193" s="1305">
        <f t="shared" si="2"/>
        <v>7.2305451948178057E-3</v>
      </c>
      <c r="I193" s="80"/>
    </row>
    <row r="194" spans="1:9" x14ac:dyDescent="0.35">
      <c r="A194" s="41" t="s">
        <v>748</v>
      </c>
      <c r="B194" t="s">
        <v>544</v>
      </c>
      <c r="C194" s="909" t="s">
        <v>544</v>
      </c>
      <c r="D194" t="s">
        <v>23</v>
      </c>
      <c r="E194" s="28">
        <v>8670535</v>
      </c>
      <c r="F194" s="28">
        <v>8319769</v>
      </c>
      <c r="G194" s="1305">
        <f t="shared" si="2"/>
        <v>8.2934024756449176E-3</v>
      </c>
      <c r="I194" s="80"/>
    </row>
    <row r="195" spans="1:9" x14ac:dyDescent="0.35">
      <c r="A195" s="41" t="s">
        <v>748</v>
      </c>
      <c r="B195" t="s">
        <v>545</v>
      </c>
      <c r="C195" s="909" t="s">
        <v>545</v>
      </c>
      <c r="D195" t="s">
        <v>136</v>
      </c>
      <c r="E195" s="28">
        <v>18924442</v>
      </c>
      <c r="F195" s="28">
        <v>18734987</v>
      </c>
      <c r="G195" s="1305">
        <f t="shared" si="2"/>
        <v>2.0143412096012003E-3</v>
      </c>
      <c r="I195" s="80"/>
    </row>
    <row r="196" spans="1:9" x14ac:dyDescent="0.35">
      <c r="A196" s="41" t="s">
        <v>748</v>
      </c>
      <c r="B196" t="s">
        <v>238</v>
      </c>
      <c r="C196" s="909" t="s">
        <v>238</v>
      </c>
      <c r="D196" t="s">
        <v>163</v>
      </c>
      <c r="E196" s="28">
        <v>9475246</v>
      </c>
      <c r="F196" s="28">
        <v>8548651</v>
      </c>
      <c r="G196" s="1305">
        <f t="shared" si="2"/>
        <v>2.0795110977392728E-2</v>
      </c>
      <c r="I196" s="80"/>
    </row>
    <row r="197" spans="1:9" x14ac:dyDescent="0.35">
      <c r="A197" s="41" t="s">
        <v>748</v>
      </c>
      <c r="B197" t="s">
        <v>546</v>
      </c>
      <c r="C197" s="909" t="s">
        <v>1143</v>
      </c>
      <c r="D197" t="s">
        <v>146</v>
      </c>
      <c r="E197" s="28">
        <v>62774619</v>
      </c>
      <c r="F197" s="28">
        <v>53879957</v>
      </c>
      <c r="G197" s="1305">
        <f t="shared" si="2"/>
        <v>3.1030158651800921E-2</v>
      </c>
      <c r="I197" s="80"/>
    </row>
    <row r="198" spans="1:9" x14ac:dyDescent="0.35">
      <c r="A198" s="41" t="s">
        <v>748</v>
      </c>
      <c r="B198" t="s">
        <v>547</v>
      </c>
      <c r="C198" s="909" t="s">
        <v>547</v>
      </c>
      <c r="D198" t="s">
        <v>138</v>
      </c>
      <c r="E198" s="28">
        <v>69410868</v>
      </c>
      <c r="F198" s="28">
        <v>68657600</v>
      </c>
      <c r="G198" s="1305">
        <f t="shared" si="2"/>
        <v>2.1847074245910925E-3</v>
      </c>
      <c r="I198" s="80"/>
    </row>
    <row r="199" spans="1:9" x14ac:dyDescent="0.35">
      <c r="A199" s="41" t="s">
        <v>748</v>
      </c>
      <c r="B199" t="s">
        <v>246</v>
      </c>
      <c r="C199" s="909" t="s">
        <v>246</v>
      </c>
      <c r="D199" t="s">
        <v>140</v>
      </c>
      <c r="E199" s="28">
        <v>1381400</v>
      </c>
      <c r="F199" s="28">
        <v>1240977</v>
      </c>
      <c r="G199" s="1305">
        <f t="shared" ref="G199:G262" si="3">(IFERROR(((E199/F199)^(1/5)-1),0))</f>
        <v>2.1671182742143857E-2</v>
      </c>
      <c r="I199" s="80"/>
    </row>
    <row r="200" spans="1:9" x14ac:dyDescent="0.35">
      <c r="A200" s="41" t="s">
        <v>748</v>
      </c>
      <c r="B200" t="s">
        <v>215</v>
      </c>
      <c r="C200" s="909" t="s">
        <v>215</v>
      </c>
      <c r="D200" t="s">
        <v>137</v>
      </c>
      <c r="E200" s="28">
        <v>8384290.9999999991</v>
      </c>
      <c r="F200" s="28">
        <v>7416802</v>
      </c>
      <c r="G200" s="1305">
        <f t="shared" si="3"/>
        <v>2.4825520087228714E-2</v>
      </c>
      <c r="I200" s="80"/>
    </row>
    <row r="201" spans="1:9" x14ac:dyDescent="0.35">
      <c r="A201" s="41" t="s">
        <v>748</v>
      </c>
      <c r="B201" t="s">
        <v>256</v>
      </c>
      <c r="C201" s="909" t="s">
        <v>256</v>
      </c>
      <c r="D201" t="s">
        <v>141</v>
      </c>
      <c r="E201" s="28">
        <v>111037</v>
      </c>
      <c r="F201" s="28">
        <v>106364</v>
      </c>
      <c r="G201" s="1305">
        <f t="shared" si="3"/>
        <v>8.6363409179424089E-3</v>
      </c>
      <c r="I201" s="80"/>
    </row>
    <row r="202" spans="1:9" x14ac:dyDescent="0.35">
      <c r="A202" s="41" t="s">
        <v>748</v>
      </c>
      <c r="B202" t="s">
        <v>548</v>
      </c>
      <c r="C202" s="909" t="s">
        <v>548</v>
      </c>
      <c r="D202" t="s">
        <v>142</v>
      </c>
      <c r="E202" s="28">
        <v>1377729</v>
      </c>
      <c r="F202" s="28">
        <v>1360092</v>
      </c>
      <c r="G202" s="1305">
        <f t="shared" si="3"/>
        <v>2.5801522590653825E-3</v>
      </c>
      <c r="I202" s="80"/>
    </row>
    <row r="203" spans="1:9" x14ac:dyDescent="0.35">
      <c r="A203" s="41" t="s">
        <v>748</v>
      </c>
      <c r="B203" t="s">
        <v>549</v>
      </c>
      <c r="C203" s="909" t="s">
        <v>549</v>
      </c>
      <c r="D203" t="s">
        <v>143</v>
      </c>
      <c r="E203" s="28">
        <v>11903136</v>
      </c>
      <c r="F203" s="28">
        <v>11273661</v>
      </c>
      <c r="G203" s="1305">
        <f t="shared" si="3"/>
        <v>1.0925810406002379E-2</v>
      </c>
      <c r="I203" s="80"/>
    </row>
    <row r="204" spans="1:9" x14ac:dyDescent="0.35">
      <c r="A204" s="41" t="s">
        <v>748</v>
      </c>
      <c r="B204" t="s">
        <v>550</v>
      </c>
      <c r="C204" s="909" t="s">
        <v>550</v>
      </c>
      <c r="D204" t="s">
        <v>144</v>
      </c>
      <c r="E204" s="28">
        <v>83835750</v>
      </c>
      <c r="F204" s="28">
        <v>78271472</v>
      </c>
      <c r="G204" s="1305">
        <f t="shared" si="3"/>
        <v>1.3830028770608571E-2</v>
      </c>
      <c r="I204" s="80"/>
    </row>
    <row r="205" spans="1:9" x14ac:dyDescent="0.35">
      <c r="A205" s="41" t="s">
        <v>748</v>
      </c>
      <c r="B205" t="s">
        <v>551</v>
      </c>
      <c r="C205" s="909" t="s">
        <v>551</v>
      </c>
      <c r="D205" t="s">
        <v>139</v>
      </c>
      <c r="E205" s="28">
        <v>6031195</v>
      </c>
      <c r="F205" s="28">
        <v>5565284</v>
      </c>
      <c r="G205" s="1305">
        <f t="shared" si="3"/>
        <v>1.6209399758578602E-2</v>
      </c>
      <c r="I205" s="80"/>
    </row>
    <row r="206" spans="1:9" x14ac:dyDescent="0.35">
      <c r="A206" s="41" t="s">
        <v>748</v>
      </c>
      <c r="B206" t="s">
        <v>552</v>
      </c>
      <c r="C206" s="909" t="s">
        <v>552</v>
      </c>
      <c r="D206" t="s">
        <v>553</v>
      </c>
      <c r="E206" s="28">
        <v>36953</v>
      </c>
      <c r="F206" s="28">
        <v>34339</v>
      </c>
      <c r="G206" s="1305">
        <f t="shared" si="3"/>
        <v>1.4781197289142289E-2</v>
      </c>
      <c r="I206" s="80"/>
    </row>
    <row r="207" spans="1:9" x14ac:dyDescent="0.35">
      <c r="A207" s="41" t="s">
        <v>748</v>
      </c>
      <c r="B207" t="s">
        <v>257</v>
      </c>
      <c r="C207" s="909" t="s">
        <v>257</v>
      </c>
      <c r="D207" t="s">
        <v>145</v>
      </c>
      <c r="E207" s="28">
        <v>11499</v>
      </c>
      <c r="F207" s="28">
        <v>11001</v>
      </c>
      <c r="G207" s="1305">
        <f t="shared" si="3"/>
        <v>8.8940989910706314E-3</v>
      </c>
      <c r="I207" s="80"/>
    </row>
    <row r="208" spans="1:9" x14ac:dyDescent="0.35">
      <c r="A208" s="41" t="s">
        <v>748</v>
      </c>
      <c r="B208" t="s">
        <v>216</v>
      </c>
      <c r="C208" s="909" t="s">
        <v>216</v>
      </c>
      <c r="D208" t="s">
        <v>147</v>
      </c>
      <c r="E208" s="28">
        <v>47187703</v>
      </c>
      <c r="F208" s="28">
        <v>40144870</v>
      </c>
      <c r="G208" s="1305">
        <f t="shared" si="3"/>
        <v>3.2855951362060543E-2</v>
      </c>
      <c r="I208" s="80"/>
    </row>
    <row r="209" spans="1:9" x14ac:dyDescent="0.35">
      <c r="A209" s="41" t="s">
        <v>748</v>
      </c>
      <c r="B209" t="s">
        <v>239</v>
      </c>
      <c r="C209" s="909" t="s">
        <v>239</v>
      </c>
      <c r="D209" t="s">
        <v>148</v>
      </c>
      <c r="E209" s="28">
        <v>43579234</v>
      </c>
      <c r="F209" s="28">
        <v>44657704</v>
      </c>
      <c r="G209" s="1305">
        <f t="shared" si="3"/>
        <v>-4.8772836248148765E-3</v>
      </c>
      <c r="I209" s="80"/>
    </row>
    <row r="210" spans="1:9" x14ac:dyDescent="0.35">
      <c r="A210" s="41" t="s">
        <v>748</v>
      </c>
      <c r="B210" t="s">
        <v>554</v>
      </c>
      <c r="C210" s="909" t="s">
        <v>554</v>
      </c>
      <c r="D210" t="s">
        <v>2</v>
      </c>
      <c r="E210" s="28">
        <v>9813170</v>
      </c>
      <c r="F210" s="28">
        <v>9154302</v>
      </c>
      <c r="G210" s="1305">
        <f t="shared" si="3"/>
        <v>1.3997343821947394E-2</v>
      </c>
      <c r="I210" s="80"/>
    </row>
    <row r="211" spans="1:9" x14ac:dyDescent="0.35">
      <c r="A211" s="41" t="s">
        <v>748</v>
      </c>
      <c r="B211" t="s">
        <v>555</v>
      </c>
      <c r="C211" s="909" t="s">
        <v>555</v>
      </c>
      <c r="D211" t="s">
        <v>47</v>
      </c>
      <c r="E211" s="28">
        <v>67334208</v>
      </c>
      <c r="F211" s="28">
        <v>65397080</v>
      </c>
      <c r="G211" s="1305">
        <f t="shared" si="3"/>
        <v>5.8552331770032051E-3</v>
      </c>
      <c r="I211" s="80"/>
    </row>
    <row r="212" spans="1:9" x14ac:dyDescent="0.35">
      <c r="A212" s="41" t="s">
        <v>748</v>
      </c>
      <c r="B212" t="s">
        <v>556</v>
      </c>
      <c r="C212" s="909" t="s">
        <v>1144</v>
      </c>
      <c r="D212" t="s">
        <v>149</v>
      </c>
      <c r="E212" s="28">
        <v>331431534</v>
      </c>
      <c r="F212" s="28">
        <v>319929162</v>
      </c>
      <c r="G212" s="1305">
        <f t="shared" si="3"/>
        <v>7.0893416069726101E-3</v>
      </c>
      <c r="I212" s="80"/>
    </row>
    <row r="213" spans="1:9" x14ac:dyDescent="0.35">
      <c r="A213" s="41" t="s">
        <v>748</v>
      </c>
      <c r="B213" t="s">
        <v>559</v>
      </c>
      <c r="C213" s="909" t="s">
        <v>559</v>
      </c>
      <c r="D213" t="s">
        <v>560</v>
      </c>
      <c r="E213" s="28">
        <v>3494387</v>
      </c>
      <c r="F213" s="28">
        <v>3431552</v>
      </c>
      <c r="G213" s="1305">
        <f t="shared" si="3"/>
        <v>3.6356590148109991E-3</v>
      </c>
      <c r="I213" s="80"/>
    </row>
    <row r="214" spans="1:9" x14ac:dyDescent="0.35">
      <c r="A214" s="41" t="s">
        <v>748</v>
      </c>
      <c r="B214" t="s">
        <v>561</v>
      </c>
      <c r="C214" s="909" t="s">
        <v>561</v>
      </c>
      <c r="D214" t="s">
        <v>150</v>
      </c>
      <c r="E214" s="28">
        <v>33235824.999999996</v>
      </c>
      <c r="F214" s="28">
        <v>30976021</v>
      </c>
      <c r="G214" s="1305">
        <f t="shared" si="3"/>
        <v>1.4182626797715203E-2</v>
      </c>
      <c r="I214" s="80"/>
    </row>
    <row r="215" spans="1:9" x14ac:dyDescent="0.35">
      <c r="A215" s="41" t="s">
        <v>748</v>
      </c>
      <c r="B215" t="s">
        <v>258</v>
      </c>
      <c r="C215" s="909" t="s">
        <v>258</v>
      </c>
      <c r="D215" t="s">
        <v>151</v>
      </c>
      <c r="E215" s="28">
        <v>293934</v>
      </c>
      <c r="F215" s="28">
        <v>264603</v>
      </c>
      <c r="G215" s="1305">
        <f t="shared" si="3"/>
        <v>2.1247513646476701E-2</v>
      </c>
      <c r="I215" s="80"/>
    </row>
    <row r="216" spans="1:9" x14ac:dyDescent="0.35">
      <c r="A216" s="41" t="s">
        <v>748</v>
      </c>
      <c r="B216" t="s">
        <v>562</v>
      </c>
      <c r="C216" s="909" t="s">
        <v>1145</v>
      </c>
      <c r="D216" t="s">
        <v>563</v>
      </c>
      <c r="E216" s="28">
        <v>33172392</v>
      </c>
      <c r="F216" s="28">
        <v>31155134</v>
      </c>
      <c r="G216" s="1305">
        <f t="shared" si="3"/>
        <v>1.262683706737322E-2</v>
      </c>
      <c r="I216" s="80"/>
    </row>
    <row r="217" spans="1:9" x14ac:dyDescent="0.35">
      <c r="A217" s="41" t="s">
        <v>748</v>
      </c>
      <c r="B217" t="s">
        <v>564</v>
      </c>
      <c r="C217" s="909" t="s">
        <v>1146</v>
      </c>
      <c r="D217" t="s">
        <v>160</v>
      </c>
      <c r="E217" s="28">
        <v>98360145</v>
      </c>
      <c r="F217" s="28">
        <v>93571567</v>
      </c>
      <c r="G217" s="1305">
        <f t="shared" si="3"/>
        <v>1.0031809701368077E-2</v>
      </c>
      <c r="I217" s="80"/>
    </row>
    <row r="218" spans="1:9" x14ac:dyDescent="0.35">
      <c r="A218" s="41" t="s">
        <v>748</v>
      </c>
      <c r="B218" t="s">
        <v>565</v>
      </c>
      <c r="C218" s="909" t="s">
        <v>1826</v>
      </c>
      <c r="D218" t="s">
        <v>566</v>
      </c>
      <c r="E218" s="28">
        <v>104858</v>
      </c>
      <c r="F218" s="28">
        <v>104977</v>
      </c>
      <c r="G218" s="1305">
        <f t="shared" si="3"/>
        <v>-2.2681919890088498E-4</v>
      </c>
      <c r="I218" s="80"/>
    </row>
    <row r="219" spans="1:9" x14ac:dyDescent="0.35">
      <c r="A219" s="41" t="s">
        <v>748</v>
      </c>
      <c r="B219" t="s">
        <v>567</v>
      </c>
      <c r="C219" s="909" t="s">
        <v>1827</v>
      </c>
      <c r="D219" t="s">
        <v>568</v>
      </c>
      <c r="E219" s="28">
        <v>5322629</v>
      </c>
      <c r="F219" s="28">
        <v>4662884</v>
      </c>
      <c r="G219" s="1305">
        <f t="shared" si="3"/>
        <v>2.6819994726169138E-2</v>
      </c>
      <c r="I219" s="80"/>
    </row>
    <row r="220" spans="1:9" x14ac:dyDescent="0.35">
      <c r="A220" s="41" t="s">
        <v>748</v>
      </c>
      <c r="B220" t="s">
        <v>571</v>
      </c>
      <c r="C220" s="909" t="s">
        <v>1098</v>
      </c>
      <c r="D220" t="s">
        <v>153</v>
      </c>
      <c r="E220" s="28">
        <v>30245305</v>
      </c>
      <c r="F220" s="28">
        <v>26916207</v>
      </c>
      <c r="G220" s="1305">
        <f t="shared" si="3"/>
        <v>2.3596569597165384E-2</v>
      </c>
      <c r="I220" s="80"/>
    </row>
    <row r="221" spans="1:9" x14ac:dyDescent="0.35">
      <c r="A221" s="41" t="s">
        <v>748</v>
      </c>
      <c r="B221" t="s">
        <v>217</v>
      </c>
      <c r="C221" s="909" t="s">
        <v>217</v>
      </c>
      <c r="D221" t="s">
        <v>155</v>
      </c>
      <c r="E221" s="28">
        <v>18679273</v>
      </c>
      <c r="F221" s="28">
        <v>16100587</v>
      </c>
      <c r="G221" s="1305">
        <f t="shared" si="3"/>
        <v>3.0157554927151331E-2</v>
      </c>
      <c r="I221" s="80"/>
    </row>
    <row r="222" spans="1:9" x14ac:dyDescent="0.35">
      <c r="A222" s="41"/>
      <c r="B222" t="s">
        <v>218</v>
      </c>
      <c r="C222" s="909" t="s">
        <v>218</v>
      </c>
      <c r="D222" t="s">
        <v>156</v>
      </c>
      <c r="E222" s="28">
        <v>17680465</v>
      </c>
      <c r="F222" s="28">
        <v>15777451</v>
      </c>
      <c r="G222" s="1305">
        <f t="shared" si="3"/>
        <v>2.3037064808118179E-2</v>
      </c>
      <c r="I222" s="80"/>
    </row>
    <row r="223" spans="1:9" x14ac:dyDescent="0.35">
      <c r="A223" s="41"/>
      <c r="B223" t="s">
        <v>689</v>
      </c>
      <c r="F223" s="28"/>
      <c r="G223" s="1305">
        <f t="shared" si="3"/>
        <v>0</v>
      </c>
      <c r="H223" s="909" t="str">
        <f t="shared" ref="H223:H263" si="4">IF(ISERROR(F223),"World Bank population data used due to being unreported in UNDP dataset","")</f>
        <v/>
      </c>
      <c r="I223" s="80"/>
    </row>
    <row r="224" spans="1:9" s="41" customFormat="1" hidden="1" outlineLevel="1" x14ac:dyDescent="0.35">
      <c r="B224" s="28">
        <v>100</v>
      </c>
      <c r="C224" s="909"/>
      <c r="E224" s="28">
        <v>100</v>
      </c>
      <c r="F224" s="28"/>
      <c r="G224" s="1305">
        <f t="shared" si="3"/>
        <v>0</v>
      </c>
      <c r="H224" s="909" t="str">
        <f t="shared" si="4"/>
        <v/>
      </c>
      <c r="I224" s="80"/>
    </row>
    <row r="225" spans="1:9" s="41" customFormat="1" hidden="1" outlineLevel="1" x14ac:dyDescent="0.35">
      <c r="B225" s="28">
        <v>1000</v>
      </c>
      <c r="C225" s="909"/>
      <c r="E225" s="28">
        <v>1000</v>
      </c>
      <c r="F225" s="28"/>
      <c r="G225" s="1305">
        <f t="shared" si="3"/>
        <v>0</v>
      </c>
      <c r="H225" s="909" t="str">
        <f t="shared" si="4"/>
        <v/>
      </c>
      <c r="I225" s="80"/>
    </row>
    <row r="226" spans="1:9" s="41" customFormat="1" hidden="1" outlineLevel="1" x14ac:dyDescent="0.35">
      <c r="B226" s="28">
        <v>10000</v>
      </c>
      <c r="C226" s="909"/>
      <c r="E226" s="28">
        <v>10000</v>
      </c>
      <c r="F226" s="28"/>
      <c r="G226" s="1305">
        <f t="shared" si="3"/>
        <v>0</v>
      </c>
      <c r="H226" s="909" t="str">
        <f t="shared" si="4"/>
        <v/>
      </c>
      <c r="I226" s="80"/>
    </row>
    <row r="227" spans="1:9" s="41" customFormat="1" hidden="1" outlineLevel="1" x14ac:dyDescent="0.35">
      <c r="B227" s="28">
        <v>100000</v>
      </c>
      <c r="C227" s="909"/>
      <c r="E227" s="28">
        <v>100000</v>
      </c>
      <c r="F227" s="28"/>
      <c r="G227" s="1305">
        <f t="shared" si="3"/>
        <v>0</v>
      </c>
      <c r="H227" s="909" t="str">
        <f t="shared" si="4"/>
        <v/>
      </c>
      <c r="I227" s="80"/>
    </row>
    <row r="228" spans="1:9" hidden="1" outlineLevel="1" x14ac:dyDescent="0.35">
      <c r="A228" s="41" t="s">
        <v>742</v>
      </c>
      <c r="B228" t="s">
        <v>569</v>
      </c>
      <c r="D228" t="s">
        <v>570</v>
      </c>
      <c r="E228" s="28">
        <v>7754179000</v>
      </c>
      <c r="F228" s="28"/>
      <c r="G228" s="1305">
        <f t="shared" si="3"/>
        <v>0</v>
      </c>
      <c r="H228" s="909" t="str">
        <f t="shared" si="4"/>
        <v/>
      </c>
      <c r="I228" s="80"/>
    </row>
    <row r="229" spans="1:9" hidden="1" outlineLevel="1" x14ac:dyDescent="0.35">
      <c r="A229" s="41" t="s">
        <v>742</v>
      </c>
      <c r="B229" t="s">
        <v>557</v>
      </c>
      <c r="D229" t="s">
        <v>558</v>
      </c>
      <c r="E229" s="28">
        <v>2685886000</v>
      </c>
      <c r="F229" s="28"/>
      <c r="G229" s="1305">
        <f t="shared" si="3"/>
        <v>0</v>
      </c>
      <c r="H229" s="909" t="str">
        <f t="shared" si="4"/>
        <v/>
      </c>
      <c r="I229" s="80"/>
    </row>
    <row r="230" spans="1:9" hidden="1" outlineLevel="1" x14ac:dyDescent="0.35">
      <c r="A230" s="41" t="s">
        <v>742</v>
      </c>
      <c r="B230" t="s">
        <v>537</v>
      </c>
      <c r="D230" t="s">
        <v>538</v>
      </c>
      <c r="E230" s="28">
        <v>1136052000</v>
      </c>
      <c r="F230" s="28"/>
      <c r="G230" s="1305">
        <f t="shared" si="3"/>
        <v>0</v>
      </c>
      <c r="H230" s="909" t="str">
        <f t="shared" si="4"/>
        <v/>
      </c>
      <c r="I230" s="80"/>
    </row>
    <row r="231" spans="1:9" hidden="1" outlineLevel="1" x14ac:dyDescent="0.35">
      <c r="A231" s="41" t="s">
        <v>742</v>
      </c>
      <c r="B231" t="s">
        <v>539</v>
      </c>
      <c r="D231" t="s">
        <v>540</v>
      </c>
      <c r="E231" s="28">
        <v>1135954000</v>
      </c>
      <c r="F231" s="28"/>
      <c r="G231" s="1305">
        <f t="shared" si="3"/>
        <v>0</v>
      </c>
      <c r="H231" s="909" t="str">
        <f t="shared" si="4"/>
        <v/>
      </c>
      <c r="I231" s="80"/>
    </row>
    <row r="232" spans="1:9" hidden="1" outlineLevel="1" x14ac:dyDescent="0.35">
      <c r="A232" s="41" t="s">
        <v>742</v>
      </c>
      <c r="B232" t="s">
        <v>541</v>
      </c>
      <c r="D232" t="s">
        <v>542</v>
      </c>
      <c r="E232" s="28">
        <v>1136052000</v>
      </c>
      <c r="F232" s="28"/>
      <c r="G232" s="1305">
        <f t="shared" si="3"/>
        <v>0</v>
      </c>
      <c r="H232" s="909" t="str">
        <f t="shared" si="4"/>
        <v/>
      </c>
      <c r="I232" s="80"/>
    </row>
    <row r="233" spans="1:9" hidden="1" outlineLevel="1" x14ac:dyDescent="0.35">
      <c r="A233" s="41" t="s">
        <v>742</v>
      </c>
      <c r="B233" t="s">
        <v>523</v>
      </c>
      <c r="D233" t="s">
        <v>524</v>
      </c>
      <c r="E233" s="28">
        <v>1856800000</v>
      </c>
      <c r="F233" s="28"/>
      <c r="G233" s="1305">
        <f t="shared" si="3"/>
        <v>0</v>
      </c>
      <c r="H233" s="909" t="str">
        <f t="shared" si="4"/>
        <v/>
      </c>
      <c r="I233" s="80"/>
    </row>
    <row r="234" spans="1:9" hidden="1" outlineLevel="1" x14ac:dyDescent="0.35">
      <c r="A234" s="41" t="s">
        <v>742</v>
      </c>
      <c r="B234" t="s">
        <v>525</v>
      </c>
      <c r="D234" t="s">
        <v>526</v>
      </c>
      <c r="E234" s="28">
        <v>1856800000</v>
      </c>
      <c r="F234" s="28"/>
      <c r="G234" s="1305">
        <f t="shared" si="3"/>
        <v>0</v>
      </c>
      <c r="H234" s="909" t="str">
        <f t="shared" si="4"/>
        <v/>
      </c>
      <c r="I234" s="80"/>
    </row>
    <row r="235" spans="1:9" hidden="1" outlineLevel="1" x14ac:dyDescent="0.35">
      <c r="A235" s="41" t="s">
        <v>742</v>
      </c>
      <c r="B235" t="s">
        <v>521</v>
      </c>
      <c r="D235" t="s">
        <v>522</v>
      </c>
      <c r="E235" s="28">
        <v>41855000</v>
      </c>
      <c r="F235" s="28"/>
      <c r="G235" s="1305">
        <f t="shared" si="3"/>
        <v>0</v>
      </c>
      <c r="H235" s="909" t="str">
        <f t="shared" si="4"/>
        <v/>
      </c>
      <c r="I235" s="80"/>
    </row>
    <row r="236" spans="1:9" hidden="1" outlineLevel="1" x14ac:dyDescent="0.35">
      <c r="A236" s="41" t="s">
        <v>742</v>
      </c>
      <c r="B236" t="s">
        <v>503</v>
      </c>
      <c r="D236" t="s">
        <v>504</v>
      </c>
      <c r="E236" s="28">
        <v>1116268000</v>
      </c>
      <c r="F236" s="28"/>
      <c r="G236" s="1305">
        <f t="shared" si="3"/>
        <v>0</v>
      </c>
      <c r="H236" s="909" t="str">
        <f t="shared" si="4"/>
        <v/>
      </c>
      <c r="I236" s="80"/>
    </row>
    <row r="237" spans="1:9" hidden="1" outlineLevel="1" x14ac:dyDescent="0.35">
      <c r="A237" s="41" t="s">
        <v>742</v>
      </c>
      <c r="B237" t="s">
        <v>505</v>
      </c>
      <c r="D237" t="s">
        <v>506</v>
      </c>
      <c r="E237" s="28">
        <v>970795000</v>
      </c>
      <c r="F237" s="28"/>
      <c r="G237" s="1305">
        <f t="shared" si="3"/>
        <v>0</v>
      </c>
      <c r="H237" s="909" t="str">
        <f t="shared" si="4"/>
        <v/>
      </c>
      <c r="I237" s="80"/>
    </row>
    <row r="238" spans="1:9" hidden="1" outlineLevel="1" x14ac:dyDescent="0.35">
      <c r="A238" s="41" t="s">
        <v>742</v>
      </c>
      <c r="B238" t="s">
        <v>493</v>
      </c>
      <c r="D238" t="s">
        <v>494</v>
      </c>
      <c r="E238" s="28">
        <v>31882000</v>
      </c>
      <c r="F238" s="28"/>
      <c r="G238" s="1305">
        <f t="shared" si="3"/>
        <v>0</v>
      </c>
      <c r="H238" s="909" t="str">
        <f t="shared" si="4"/>
        <v/>
      </c>
      <c r="I238" s="80"/>
    </row>
    <row r="239" spans="1:9" hidden="1" outlineLevel="1" x14ac:dyDescent="0.35">
      <c r="A239" s="41" t="s">
        <v>742</v>
      </c>
      <c r="B239" t="s">
        <v>495</v>
      </c>
      <c r="D239" t="s">
        <v>496</v>
      </c>
      <c r="E239" s="28">
        <v>2530000</v>
      </c>
      <c r="F239" s="28"/>
      <c r="G239" s="1305">
        <f t="shared" si="3"/>
        <v>0</v>
      </c>
      <c r="H239" s="909" t="str">
        <f t="shared" si="4"/>
        <v/>
      </c>
      <c r="I239" s="80"/>
    </row>
    <row r="240" spans="1:9" hidden="1" outlineLevel="1" x14ac:dyDescent="0.35">
      <c r="A240" s="41" t="s">
        <v>742</v>
      </c>
      <c r="B240" t="s">
        <v>488</v>
      </c>
      <c r="D240" t="s">
        <v>489</v>
      </c>
      <c r="E240" s="28">
        <v>0</v>
      </c>
      <c r="F240" s="28"/>
      <c r="G240" s="1305">
        <f t="shared" si="3"/>
        <v>0</v>
      </c>
      <c r="H240" s="909" t="str">
        <f t="shared" si="4"/>
        <v/>
      </c>
      <c r="I240" s="80"/>
    </row>
    <row r="241" spans="1:9" hidden="1" outlineLevel="1" x14ac:dyDescent="0.35">
      <c r="A241" s="41" t="s">
        <v>742</v>
      </c>
      <c r="B241" t="s">
        <v>490</v>
      </c>
      <c r="D241" t="s">
        <v>491</v>
      </c>
      <c r="E241" s="28">
        <v>1315534000</v>
      </c>
      <c r="F241" s="28"/>
      <c r="G241" s="1305">
        <f t="shared" si="3"/>
        <v>0</v>
      </c>
      <c r="H241" s="909" t="str">
        <f t="shared" si="4"/>
        <v/>
      </c>
      <c r="I241" s="80"/>
    </row>
    <row r="242" spans="1:9" hidden="1" outlineLevel="1" x14ac:dyDescent="0.35">
      <c r="A242" s="41" t="s">
        <v>742</v>
      </c>
      <c r="B242" t="s">
        <v>481</v>
      </c>
      <c r="D242" t="s">
        <v>482</v>
      </c>
      <c r="E242" s="28">
        <v>369599000</v>
      </c>
      <c r="F242" s="28"/>
      <c r="G242" s="1305">
        <f t="shared" si="3"/>
        <v>0</v>
      </c>
      <c r="H242" s="909" t="str">
        <f t="shared" si="4"/>
        <v/>
      </c>
      <c r="I242" s="80"/>
    </row>
    <row r="243" spans="1:9" hidden="1" outlineLevel="1" x14ac:dyDescent="0.35">
      <c r="A243" s="41" t="s">
        <v>742</v>
      </c>
      <c r="B243" t="s">
        <v>465</v>
      </c>
      <c r="D243" t="s">
        <v>466</v>
      </c>
      <c r="E243" s="28">
        <v>464460000</v>
      </c>
      <c r="F243" s="28"/>
      <c r="G243" s="1305">
        <f t="shared" si="3"/>
        <v>0</v>
      </c>
      <c r="H243" s="909" t="str">
        <f t="shared" si="4"/>
        <v/>
      </c>
      <c r="I243" s="80"/>
    </row>
    <row r="244" spans="1:9" hidden="1" outlineLevel="1" x14ac:dyDescent="0.35">
      <c r="A244" s="41" t="s">
        <v>742</v>
      </c>
      <c r="B244" t="s">
        <v>467</v>
      </c>
      <c r="D244" t="s">
        <v>468</v>
      </c>
      <c r="E244" s="28">
        <v>396157000</v>
      </c>
      <c r="F244" s="28"/>
      <c r="G244" s="1305">
        <f t="shared" si="3"/>
        <v>0</v>
      </c>
      <c r="H244" s="909" t="str">
        <f t="shared" si="4"/>
        <v/>
      </c>
      <c r="I244" s="80"/>
    </row>
    <row r="245" spans="1:9" hidden="1" outlineLevel="1" x14ac:dyDescent="0.35">
      <c r="A245" s="41" t="s">
        <v>742</v>
      </c>
      <c r="B245" t="s">
        <v>469</v>
      </c>
      <c r="D245" t="s">
        <v>470</v>
      </c>
      <c r="E245" s="28">
        <v>391344000</v>
      </c>
      <c r="F245" s="28"/>
      <c r="G245" s="1305">
        <f t="shared" si="3"/>
        <v>0</v>
      </c>
      <c r="H245" s="909" t="str">
        <f t="shared" si="4"/>
        <v/>
      </c>
      <c r="I245" s="80"/>
    </row>
    <row r="246" spans="1:9" hidden="1" outlineLevel="1" x14ac:dyDescent="0.35">
      <c r="A246" s="41" t="s">
        <v>742</v>
      </c>
      <c r="B246" t="s">
        <v>471</v>
      </c>
      <c r="D246" t="s">
        <v>472</v>
      </c>
      <c r="E246" s="28">
        <v>5791067000</v>
      </c>
      <c r="F246" s="28"/>
      <c r="G246" s="1305">
        <f t="shared" si="3"/>
        <v>0</v>
      </c>
      <c r="H246" s="909" t="str">
        <f t="shared" si="4"/>
        <v/>
      </c>
      <c r="I246" s="80"/>
    </row>
    <row r="247" spans="1:9" hidden="1" outlineLevel="1" x14ac:dyDescent="0.35">
      <c r="A247" s="41" t="s">
        <v>742</v>
      </c>
      <c r="B247" t="s">
        <v>318</v>
      </c>
      <c r="D247" t="s">
        <v>319</v>
      </c>
      <c r="E247" s="28">
        <v>436091000</v>
      </c>
      <c r="F247" s="28"/>
      <c r="G247" s="1305">
        <f t="shared" si="3"/>
        <v>0</v>
      </c>
      <c r="H247" s="909" t="str">
        <f t="shared" si="4"/>
        <v/>
      </c>
      <c r="I247" s="80"/>
    </row>
    <row r="248" spans="1:9" hidden="1" outlineLevel="1" x14ac:dyDescent="0.35">
      <c r="A248" s="41" t="s">
        <v>742</v>
      </c>
      <c r="B248" t="s">
        <v>343</v>
      </c>
      <c r="D248" t="s">
        <v>344</v>
      </c>
      <c r="E248" s="28">
        <v>7443000</v>
      </c>
      <c r="F248" s="28"/>
      <c r="G248" s="1305">
        <f t="shared" si="3"/>
        <v>0</v>
      </c>
      <c r="H248" s="909" t="str">
        <f t="shared" si="4"/>
        <v/>
      </c>
      <c r="I248" s="80"/>
    </row>
    <row r="249" spans="1:9" hidden="1" outlineLevel="1" x14ac:dyDescent="0.35">
      <c r="A249" s="41" t="s">
        <v>742</v>
      </c>
      <c r="B249" t="s">
        <v>347</v>
      </c>
      <c r="D249" t="s">
        <v>348</v>
      </c>
      <c r="E249" s="28">
        <v>101847000</v>
      </c>
      <c r="F249" s="28"/>
      <c r="G249" s="1305">
        <f t="shared" si="3"/>
        <v>0</v>
      </c>
      <c r="H249" s="909" t="str">
        <f t="shared" si="4"/>
        <v/>
      </c>
      <c r="I249" s="80"/>
    </row>
    <row r="250" spans="1:9" hidden="1" outlineLevel="1" x14ac:dyDescent="0.35">
      <c r="A250" s="41" t="s">
        <v>742</v>
      </c>
      <c r="B250" t="s">
        <v>368</v>
      </c>
      <c r="D250" t="s">
        <v>369</v>
      </c>
      <c r="E250" s="28">
        <v>3332556000</v>
      </c>
      <c r="F250" s="28"/>
      <c r="G250" s="1305">
        <f t="shared" si="3"/>
        <v>0</v>
      </c>
      <c r="H250" s="909" t="str">
        <f t="shared" si="4"/>
        <v/>
      </c>
      <c r="I250" s="80"/>
    </row>
    <row r="251" spans="1:9" hidden="1" outlineLevel="1" x14ac:dyDescent="0.35">
      <c r="A251" s="41" t="s">
        <v>742</v>
      </c>
      <c r="B251" t="s">
        <v>370</v>
      </c>
      <c r="D251" t="s">
        <v>371</v>
      </c>
      <c r="E251" s="28">
        <v>2351307000</v>
      </c>
      <c r="F251" s="28"/>
      <c r="G251" s="1305">
        <f t="shared" si="3"/>
        <v>0</v>
      </c>
      <c r="H251" s="909" t="str">
        <f t="shared" si="4"/>
        <v/>
      </c>
      <c r="I251" s="80"/>
    </row>
    <row r="252" spans="1:9" hidden="1" outlineLevel="1" x14ac:dyDescent="0.35">
      <c r="A252" s="41" t="s">
        <v>742</v>
      </c>
      <c r="B252" t="s">
        <v>372</v>
      </c>
      <c r="D252" t="s">
        <v>373</v>
      </c>
      <c r="E252" s="28">
        <v>2104283000</v>
      </c>
      <c r="F252" s="28"/>
      <c r="G252" s="1305">
        <f t="shared" si="3"/>
        <v>0</v>
      </c>
      <c r="H252" s="909" t="str">
        <f t="shared" si="4"/>
        <v/>
      </c>
      <c r="I252" s="80"/>
    </row>
    <row r="253" spans="1:9" hidden="1" outlineLevel="1" x14ac:dyDescent="0.35">
      <c r="A253" s="41" t="s">
        <v>742</v>
      </c>
      <c r="B253" t="s">
        <v>374</v>
      </c>
      <c r="D253" t="s">
        <v>375</v>
      </c>
      <c r="E253" s="28">
        <v>2078467000</v>
      </c>
      <c r="F253" s="28"/>
      <c r="G253" s="1305">
        <f t="shared" si="3"/>
        <v>0</v>
      </c>
      <c r="H253" s="909" t="str">
        <f t="shared" si="4"/>
        <v/>
      </c>
      <c r="I253" s="80"/>
    </row>
    <row r="254" spans="1:9" hidden="1" outlineLevel="1" x14ac:dyDescent="0.35">
      <c r="A254" s="41" t="s">
        <v>742</v>
      </c>
      <c r="B254" t="s">
        <v>380</v>
      </c>
      <c r="D254" t="s">
        <v>381</v>
      </c>
      <c r="E254" s="28">
        <v>341989000</v>
      </c>
      <c r="F254" s="28"/>
      <c r="G254" s="1305">
        <f t="shared" si="3"/>
        <v>0</v>
      </c>
      <c r="H254" s="909" t="str">
        <f t="shared" si="4"/>
        <v/>
      </c>
      <c r="I254" s="80"/>
    </row>
    <row r="255" spans="1:9" hidden="1" outlineLevel="1" x14ac:dyDescent="0.35">
      <c r="A255" s="41" t="s">
        <v>742</v>
      </c>
      <c r="B255" t="s">
        <v>382</v>
      </c>
      <c r="D255" t="s">
        <v>383</v>
      </c>
      <c r="E255" s="28">
        <v>922779000</v>
      </c>
      <c r="F255" s="28"/>
      <c r="G255" s="1305">
        <f t="shared" si="3"/>
        <v>0</v>
      </c>
      <c r="H255" s="909" t="str">
        <f t="shared" si="4"/>
        <v/>
      </c>
      <c r="I255" s="80"/>
    </row>
    <row r="256" spans="1:9" hidden="1" outlineLevel="1" x14ac:dyDescent="0.35">
      <c r="A256" s="41" t="s">
        <v>742</v>
      </c>
      <c r="B256" t="s">
        <v>384</v>
      </c>
      <c r="D256" t="s">
        <v>385</v>
      </c>
      <c r="E256" s="28">
        <v>420757000</v>
      </c>
      <c r="F256" s="28"/>
      <c r="G256" s="1305">
        <f t="shared" si="3"/>
        <v>0</v>
      </c>
      <c r="H256" s="909" t="str">
        <f t="shared" si="4"/>
        <v/>
      </c>
      <c r="I256" s="80"/>
    </row>
    <row r="257" spans="1:9" hidden="1" outlineLevel="1" x14ac:dyDescent="0.35">
      <c r="A257" s="41" t="s">
        <v>742</v>
      </c>
      <c r="B257" t="s">
        <v>386</v>
      </c>
      <c r="D257" t="s">
        <v>387</v>
      </c>
      <c r="E257" s="28">
        <v>462615000</v>
      </c>
      <c r="F257" s="28"/>
      <c r="G257" s="1305">
        <f t="shared" si="3"/>
        <v>0</v>
      </c>
      <c r="H257" s="909" t="str">
        <f t="shared" si="4"/>
        <v/>
      </c>
      <c r="I257" s="80"/>
    </row>
    <row r="258" spans="1:9" hidden="1" outlineLevel="1" x14ac:dyDescent="0.35">
      <c r="A258" s="41" t="s">
        <v>742</v>
      </c>
      <c r="B258" t="s">
        <v>388</v>
      </c>
      <c r="D258" t="s">
        <v>389</v>
      </c>
      <c r="E258" s="28">
        <v>513719000</v>
      </c>
      <c r="F258" s="28"/>
      <c r="G258" s="1305">
        <f t="shared" si="3"/>
        <v>0</v>
      </c>
      <c r="H258" s="909" t="str">
        <f t="shared" si="4"/>
        <v/>
      </c>
      <c r="I258" s="80"/>
    </row>
    <row r="259" spans="1:9" hidden="1" outlineLevel="1" x14ac:dyDescent="0.35">
      <c r="A259" s="41" t="s">
        <v>742</v>
      </c>
      <c r="B259" t="s">
        <v>393</v>
      </c>
      <c r="D259" t="s">
        <v>394</v>
      </c>
      <c r="E259" s="28">
        <v>538961000</v>
      </c>
      <c r="F259" s="28"/>
      <c r="G259" s="1305">
        <f t="shared" si="3"/>
        <v>0</v>
      </c>
      <c r="H259" s="909" t="str">
        <f t="shared" si="4"/>
        <v/>
      </c>
      <c r="I259" s="80"/>
    </row>
    <row r="260" spans="1:9" hidden="1" outlineLevel="1" x14ac:dyDescent="0.35">
      <c r="A260" s="41" t="s">
        <v>742</v>
      </c>
      <c r="B260" t="s">
        <v>408</v>
      </c>
      <c r="D260" t="s">
        <v>409</v>
      </c>
      <c r="E260" s="28">
        <v>823482000</v>
      </c>
      <c r="F260" s="28"/>
      <c r="G260" s="1305">
        <f t="shared" si="3"/>
        <v>0</v>
      </c>
      <c r="H260" s="909" t="str">
        <f t="shared" si="4"/>
        <v/>
      </c>
      <c r="I260" s="80"/>
    </row>
    <row r="261" spans="1:9" hidden="1" outlineLevel="1" x14ac:dyDescent="0.35">
      <c r="A261" s="41" t="s">
        <v>742</v>
      </c>
      <c r="B261" t="s">
        <v>410</v>
      </c>
      <c r="D261" t="s">
        <v>411</v>
      </c>
      <c r="E261" s="28">
        <v>1219876000</v>
      </c>
      <c r="F261" s="28"/>
      <c r="G261" s="1305">
        <f t="shared" si="3"/>
        <v>0</v>
      </c>
      <c r="H261" s="909" t="str">
        <f t="shared" si="4"/>
        <v/>
      </c>
      <c r="I261" s="80"/>
    </row>
    <row r="262" spans="1:9" hidden="1" outlineLevel="1" x14ac:dyDescent="0.35">
      <c r="A262" s="41" t="s">
        <v>742</v>
      </c>
      <c r="B262" t="s">
        <v>450</v>
      </c>
      <c r="D262" t="s">
        <v>451</v>
      </c>
      <c r="E262" s="28">
        <v>6534303000</v>
      </c>
      <c r="F262" s="28"/>
      <c r="G262" s="1305">
        <f t="shared" si="3"/>
        <v>0</v>
      </c>
      <c r="H262" s="909" t="str">
        <f t="shared" si="4"/>
        <v/>
      </c>
      <c r="I262" s="80"/>
    </row>
    <row r="263" spans="1:9" hidden="1" outlineLevel="1" x14ac:dyDescent="0.35">
      <c r="A263" s="41" t="s">
        <v>742</v>
      </c>
      <c r="B263" t="s">
        <v>452</v>
      </c>
      <c r="D263" t="s">
        <v>453</v>
      </c>
      <c r="E263" s="28">
        <v>743236000</v>
      </c>
      <c r="F263" s="28"/>
      <c r="G263" s="1305">
        <f t="shared" ref="G263:G269" si="5">(IFERROR(((E263/F263)^(1/5)-1),0))</f>
        <v>0</v>
      </c>
      <c r="H263" s="909" t="str">
        <f t="shared" si="4"/>
        <v/>
      </c>
      <c r="I263" s="80"/>
    </row>
    <row r="264" spans="1:9" hidden="1" outlineLevel="1" x14ac:dyDescent="0.35">
      <c r="A264" s="41" t="s">
        <v>742</v>
      </c>
      <c r="B264" t="s">
        <v>454</v>
      </c>
      <c r="D264" t="s">
        <v>455</v>
      </c>
      <c r="E264" s="28">
        <v>3105181000</v>
      </c>
      <c r="F264" s="28"/>
      <c r="G264" s="1305">
        <f t="shared" si="5"/>
        <v>0</v>
      </c>
      <c r="H264" s="909" t="str">
        <f t="shared" ref="H264:H269" si="6">IF(ISERROR(F264),"World Bank population data used due to being unreported in UNDP dataset","")</f>
        <v/>
      </c>
      <c r="I264" s="80"/>
    </row>
    <row r="265" spans="1:9" hidden="1" outlineLevel="1" x14ac:dyDescent="0.35">
      <c r="A265" s="41" t="s">
        <v>742</v>
      </c>
      <c r="B265" t="s">
        <v>434</v>
      </c>
      <c r="D265" t="s">
        <v>435</v>
      </c>
      <c r="E265" s="28">
        <v>2307681000</v>
      </c>
      <c r="F265" s="28"/>
      <c r="G265" s="1305">
        <f t="shared" si="5"/>
        <v>0</v>
      </c>
      <c r="H265" s="909" t="str">
        <f t="shared" si="6"/>
        <v/>
      </c>
      <c r="I265" s="80"/>
    </row>
    <row r="266" spans="1:9" hidden="1" outlineLevel="1" x14ac:dyDescent="0.35">
      <c r="A266" s="41" t="s">
        <v>742</v>
      </c>
      <c r="B266" t="s">
        <v>436</v>
      </c>
      <c r="D266" t="s">
        <v>437</v>
      </c>
      <c r="E266" s="28">
        <v>653182000</v>
      </c>
      <c r="F266" s="28"/>
      <c r="G266" s="1305">
        <f t="shared" si="5"/>
        <v>0</v>
      </c>
      <c r="H266" s="909" t="str">
        <f t="shared" si="6"/>
        <v/>
      </c>
      <c r="I266" s="80"/>
    </row>
    <row r="267" spans="1:9" hidden="1" outlineLevel="1" x14ac:dyDescent="0.35">
      <c r="A267" s="41" t="s">
        <v>742</v>
      </c>
      <c r="B267" t="s">
        <v>438</v>
      </c>
      <c r="D267" t="s">
        <v>439</v>
      </c>
      <c r="E267" s="28">
        <v>620352000</v>
      </c>
      <c r="F267" s="28"/>
      <c r="G267" s="1305">
        <f t="shared" si="5"/>
        <v>0</v>
      </c>
      <c r="H267" s="909" t="str">
        <f t="shared" si="6"/>
        <v/>
      </c>
      <c r="I267" s="80"/>
    </row>
    <row r="268" spans="1:9" hidden="1" outlineLevel="1" x14ac:dyDescent="0.35">
      <c r="A268" s="41" t="s">
        <v>742</v>
      </c>
      <c r="B268" t="s">
        <v>440</v>
      </c>
      <c r="D268" t="s">
        <v>441</v>
      </c>
      <c r="E268" s="28">
        <v>637480000</v>
      </c>
      <c r="F268" s="28"/>
      <c r="G268" s="1305">
        <f t="shared" si="5"/>
        <v>0</v>
      </c>
      <c r="H268" s="909" t="str">
        <f t="shared" si="6"/>
        <v/>
      </c>
      <c r="I268" s="80"/>
    </row>
    <row r="269" spans="1:9" hidden="1" outlineLevel="1" x14ac:dyDescent="0.35">
      <c r="A269" s="41" t="s">
        <v>742</v>
      </c>
      <c r="B269" t="s">
        <v>443</v>
      </c>
      <c r="D269" t="s">
        <v>444</v>
      </c>
      <c r="E269" s="28">
        <v>1057439000</v>
      </c>
      <c r="F269" s="28"/>
      <c r="G269" s="1305">
        <f t="shared" si="5"/>
        <v>0</v>
      </c>
      <c r="H269" s="909" t="str">
        <f t="shared" si="6"/>
        <v/>
      </c>
      <c r="I269" s="80"/>
    </row>
    <row r="270" spans="1:9" collapsed="1" x14ac:dyDescent="0.35"/>
    <row r="275" spans="2:7" x14ac:dyDescent="0.35">
      <c r="B275" s="1389" t="s">
        <v>1898</v>
      </c>
      <c r="C275" s="1389"/>
      <c r="D275" s="1389"/>
      <c r="E275" s="1389"/>
      <c r="F275" s="1389"/>
      <c r="G275" s="1389"/>
    </row>
    <row r="276" spans="2:7" x14ac:dyDescent="0.35">
      <c r="B276" s="909" t="s">
        <v>1897</v>
      </c>
      <c r="D276" s="909"/>
      <c r="E276" s="909"/>
      <c r="F276" s="909"/>
      <c r="G276" s="909"/>
    </row>
  </sheetData>
  <sheetProtection algorithmName="SHA-512" hashValue="YzMKJr9QlmI4MKOVf9OaVkbmxjqJGnTTUm+HJR+l426tgce1Mw07YqsfTiixMurbiGGanqvhLBErygVdV/oS7g==" saltValue="IG3kbhIW1Xcm3BlptvE01g==" spinCount="100000" sheet="1" objects="1" scenarios="1"/>
  <mergeCells count="1">
    <mergeCell ref="B275:G275"/>
  </mergeCells>
  <hyperlinks>
    <hyperlink ref="B275" r:id="rId1" display="https://creativecommons.org/licenses/by-nc-sa/3.0/igo" xr:uid="{CE63455C-F917-400B-8733-080BB7217AB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theme="2" tint="-0.499984740745262"/>
  </sheetPr>
  <dimension ref="A3:AH44"/>
  <sheetViews>
    <sheetView showGridLines="0" topLeftCell="A34" workbookViewId="0">
      <selection activeCell="B44" sqref="B44"/>
    </sheetView>
  </sheetViews>
  <sheetFormatPr defaultColWidth="8.81640625" defaultRowHeight="14.5" x14ac:dyDescent="0.35"/>
  <cols>
    <col min="1" max="1" width="3.453125" customWidth="1"/>
    <col min="2" max="2" width="24.453125" bestFit="1" customWidth="1"/>
    <col min="3" max="3" width="11.453125" bestFit="1" customWidth="1"/>
  </cols>
  <sheetData>
    <row r="3" spans="1:34" s="19" customFormat="1" ht="18.5" x14ac:dyDescent="0.45">
      <c r="B3" s="19" t="s">
        <v>619</v>
      </c>
    </row>
    <row r="4" spans="1:34" s="41" customFormat="1" x14ac:dyDescent="0.35"/>
    <row r="5" spans="1:34" s="41" customFormat="1" x14ac:dyDescent="0.35">
      <c r="A5" s="14"/>
      <c r="B5" s="13" t="s">
        <v>278</v>
      </c>
      <c r="C5" s="13"/>
      <c r="D5" s="13"/>
      <c r="E5" s="13"/>
      <c r="F5" s="13"/>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41" customFormat="1" x14ac:dyDescent="0.35">
      <c r="B6" s="41" t="s">
        <v>279</v>
      </c>
      <c r="G6" s="10"/>
      <c r="H6" s="33"/>
    </row>
    <row r="7" spans="1:34" s="41" customFormat="1" x14ac:dyDescent="0.35">
      <c r="B7" s="41" t="s">
        <v>280</v>
      </c>
      <c r="G7" s="11"/>
      <c r="H7" s="33"/>
    </row>
    <row r="8" spans="1:34" s="41" customFormat="1" x14ac:dyDescent="0.35">
      <c r="B8" s="5" t="s">
        <v>281</v>
      </c>
      <c r="C8" s="5"/>
      <c r="D8" s="5"/>
      <c r="E8" s="5"/>
      <c r="F8" s="5"/>
      <c r="G8" s="12"/>
      <c r="H8" s="33"/>
      <c r="Q8" s="33"/>
      <c r="R8" s="33"/>
      <c r="S8" s="33"/>
      <c r="T8" s="33"/>
      <c r="U8" s="33"/>
      <c r="V8" s="33"/>
      <c r="W8" s="33"/>
      <c r="X8" s="33"/>
      <c r="Y8" s="33"/>
      <c r="Z8" s="33"/>
      <c r="AA8" s="33"/>
      <c r="AB8" s="33"/>
      <c r="AC8" s="33"/>
      <c r="AD8" s="33"/>
      <c r="AE8" s="33"/>
      <c r="AF8" s="33"/>
      <c r="AG8" s="33"/>
      <c r="AH8" s="33"/>
    </row>
    <row r="9" spans="1:34" s="41" customFormat="1" x14ac:dyDescent="0.35">
      <c r="B9" s="5"/>
      <c r="C9" s="5"/>
      <c r="D9" s="5"/>
      <c r="E9" s="5"/>
      <c r="F9" s="5"/>
      <c r="G9" s="6"/>
      <c r="H9" s="33"/>
      <c r="Q9" s="33"/>
      <c r="R9" s="33"/>
      <c r="S9" s="33"/>
      <c r="T9" s="33"/>
      <c r="U9" s="33"/>
      <c r="V9" s="33"/>
      <c r="W9" s="33"/>
      <c r="X9" s="33"/>
      <c r="Y9" s="33"/>
      <c r="Z9" s="33"/>
      <c r="AA9" s="33"/>
      <c r="AB9" s="33"/>
      <c r="AC9" s="33"/>
      <c r="AD9" s="33"/>
      <c r="AE9" s="33"/>
      <c r="AF9" s="33"/>
      <c r="AG9" s="33"/>
      <c r="AH9" s="33"/>
    </row>
    <row r="10" spans="1:34" s="37" customFormat="1" x14ac:dyDescent="0.35">
      <c r="B10" s="37" t="s">
        <v>614</v>
      </c>
      <c r="C10" s="37" t="s">
        <v>615</v>
      </c>
    </row>
    <row r="11" spans="1:34" x14ac:dyDescent="0.35">
      <c r="B11" s="129" t="s">
        <v>1002</v>
      </c>
      <c r="C11" s="129" t="s">
        <v>1003</v>
      </c>
    </row>
    <row r="12" spans="1:34" x14ac:dyDescent="0.35">
      <c r="B12" s="42" t="str">
        <f>'Back Calculations'!B93</f>
        <v>Very fast</v>
      </c>
      <c r="C12" t="s">
        <v>584</v>
      </c>
    </row>
    <row r="13" spans="1:34" x14ac:dyDescent="0.35">
      <c r="B13" s="42" t="str">
        <f>'Back Calculations'!B92</f>
        <v>Fast</v>
      </c>
      <c r="C13" t="s">
        <v>585</v>
      </c>
    </row>
    <row r="14" spans="1:34" x14ac:dyDescent="0.35">
      <c r="B14" s="42" t="str">
        <f>'Back Calculations'!B91</f>
        <v>Medium</v>
      </c>
      <c r="C14" t="s">
        <v>586</v>
      </c>
    </row>
    <row r="15" spans="1:34" s="129" customFormat="1" x14ac:dyDescent="0.35">
      <c r="B15" s="42" t="str">
        <f>'Back Calculations'!B90</f>
        <v>Slow</v>
      </c>
      <c r="L15"/>
    </row>
    <row r="16" spans="1:34" s="129" customFormat="1" x14ac:dyDescent="0.35">
      <c r="B16" s="42" t="str">
        <f>'Back Calculations'!B89</f>
        <v>Very slow</v>
      </c>
      <c r="L16"/>
    </row>
    <row r="17" spans="2:3" x14ac:dyDescent="0.35">
      <c r="B17" s="42" t="s">
        <v>605</v>
      </c>
      <c r="C17" t="s">
        <v>606</v>
      </c>
    </row>
    <row r="19" spans="2:3" s="37" customFormat="1" x14ac:dyDescent="0.35">
      <c r="B19" s="37" t="s">
        <v>616</v>
      </c>
      <c r="C19" s="37" t="s">
        <v>615</v>
      </c>
    </row>
    <row r="20" spans="2:3" x14ac:dyDescent="0.35">
      <c r="B20" s="129" t="s">
        <v>1002</v>
      </c>
      <c r="C20" s="129" t="s">
        <v>1003</v>
      </c>
    </row>
    <row r="21" spans="2:3" x14ac:dyDescent="0.35">
      <c r="B21" s="42" t="s">
        <v>811</v>
      </c>
      <c r="C21" t="s">
        <v>617</v>
      </c>
    </row>
    <row r="22" spans="2:3" x14ac:dyDescent="0.35">
      <c r="B22" s="42" t="s">
        <v>812</v>
      </c>
    </row>
    <row r="24" spans="2:3" s="37" customFormat="1" x14ac:dyDescent="0.35">
      <c r="B24" s="37" t="s">
        <v>618</v>
      </c>
      <c r="C24" s="37" t="s">
        <v>615</v>
      </c>
    </row>
    <row r="25" spans="2:3" x14ac:dyDescent="0.35">
      <c r="B25" t="s">
        <v>1002</v>
      </c>
      <c r="C25" t="s">
        <v>1003</v>
      </c>
    </row>
    <row r="26" spans="2:3" x14ac:dyDescent="0.35">
      <c r="B26" s="42" t="s">
        <v>613</v>
      </c>
      <c r="C26" t="str">
        <f>INDEX('Back Calculations'!$E$102:$E$105,MATCH($B26,'Back Calculations'!$B$102:$B$105,0))</f>
        <v>Based on China, low</v>
      </c>
    </row>
    <row r="27" spans="2:3" x14ac:dyDescent="0.35">
      <c r="B27" s="42" t="s">
        <v>577</v>
      </c>
      <c r="C27" s="41" t="str">
        <f>INDEX('Back Calculations'!$E$102:$E$105,MATCH($B27,'Back Calculations'!$B$102:$B$105,0))</f>
        <v>Based on China, high</v>
      </c>
    </row>
    <row r="28" spans="2:3" x14ac:dyDescent="0.35">
      <c r="B28" s="42" t="s">
        <v>578</v>
      </c>
      <c r="C28" s="41" t="str">
        <f>INDEX('Back Calculations'!$E$102:$E$105,MATCH($B28,'Back Calculations'!$B$102:$B$105,0))</f>
        <v>Based on academic modelling groups</v>
      </c>
    </row>
    <row r="29" spans="2:3" x14ac:dyDescent="0.35">
      <c r="B29" s="42" t="s">
        <v>576</v>
      </c>
      <c r="C29" s="41" t="str">
        <f>INDEX('Back Calculations'!$E$102:$E$105,MATCH($B29,'Back Calculations'!$B$102:$B$105,0))</f>
        <v>Based on academic modelling groups</v>
      </c>
    </row>
    <row r="30" spans="2:3" s="41" customFormat="1" x14ac:dyDescent="0.35">
      <c r="B30" s="42" t="s">
        <v>689</v>
      </c>
    </row>
    <row r="32" spans="2:3" s="37" customFormat="1" x14ac:dyDescent="0.35">
      <c r="B32" s="37" t="s">
        <v>690</v>
      </c>
      <c r="C32" s="37" t="s">
        <v>615</v>
      </c>
    </row>
    <row r="33" spans="2:3" x14ac:dyDescent="0.35">
      <c r="B33" s="42" t="s">
        <v>691</v>
      </c>
    </row>
    <row r="34" spans="2:3" x14ac:dyDescent="0.35">
      <c r="B34" s="42" t="s">
        <v>983</v>
      </c>
    </row>
    <row r="35" spans="2:3" x14ac:dyDescent="0.35">
      <c r="B35" s="42" t="s">
        <v>692</v>
      </c>
    </row>
    <row r="37" spans="2:3" s="37" customFormat="1" x14ac:dyDescent="0.35">
      <c r="B37" s="37" t="s">
        <v>1314</v>
      </c>
      <c r="C37" s="37" t="s">
        <v>615</v>
      </c>
    </row>
    <row r="38" spans="2:3" x14ac:dyDescent="0.35">
      <c r="B38" s="42" t="s">
        <v>1034</v>
      </c>
    </row>
    <row r="39" spans="2:3" x14ac:dyDescent="0.35">
      <c r="B39" s="42" t="s">
        <v>934</v>
      </c>
    </row>
    <row r="40" spans="2:3" x14ac:dyDescent="0.35">
      <c r="B40" s="42" t="s">
        <v>935</v>
      </c>
    </row>
    <row r="42" spans="2:3" x14ac:dyDescent="0.35">
      <c r="B42" s="1353">
        <v>43831</v>
      </c>
    </row>
    <row r="43" spans="2:3" x14ac:dyDescent="0.35">
      <c r="B43" s="1353">
        <v>46012</v>
      </c>
    </row>
    <row r="44" spans="2:3" x14ac:dyDescent="0.35">
      <c r="B44" s="1353"/>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sheetPr>
  <dimension ref="B1:R183"/>
  <sheetViews>
    <sheetView showGridLines="0" showRuler="0" zoomScale="80" zoomScaleNormal="80" workbookViewId="0">
      <selection activeCell="B9" sqref="B9"/>
    </sheetView>
  </sheetViews>
  <sheetFormatPr defaultColWidth="8.81640625" defaultRowHeight="14.5" x14ac:dyDescent="0.35"/>
  <cols>
    <col min="1" max="1" width="3.453125" style="910" customWidth="1"/>
    <col min="2" max="2" width="47.453125" style="910" customWidth="1"/>
    <col min="3" max="3" width="23.453125" style="910" customWidth="1"/>
    <col min="4" max="4" width="13.453125" style="910" customWidth="1"/>
    <col min="5" max="5" width="8.81640625" style="910"/>
    <col min="6" max="6" width="12" style="910" customWidth="1"/>
    <col min="7" max="7" width="13.453125" style="910" bestFit="1" customWidth="1"/>
    <col min="8" max="8" width="11.453125" style="910" bestFit="1" customWidth="1"/>
    <col min="9" max="9" width="10.453125" style="910" bestFit="1" customWidth="1"/>
    <col min="10" max="10" width="13.453125" style="910" bestFit="1" customWidth="1"/>
    <col min="11" max="11" width="8.81640625" style="910"/>
    <col min="12" max="12" width="12.453125" style="910" bestFit="1" customWidth="1"/>
    <col min="13" max="16384" width="8.81640625" style="910"/>
  </cols>
  <sheetData>
    <row r="1" spans="2:18" s="1103" customFormat="1" ht="19" thickBot="1" x14ac:dyDescent="0.5"/>
    <row r="2" spans="2:18" x14ac:dyDescent="0.35">
      <c r="C2" s="1104" t="s">
        <v>1469</v>
      </c>
      <c r="D2" s="1105" t="s">
        <v>1470</v>
      </c>
      <c r="E2" s="1106"/>
      <c r="F2" s="1107"/>
      <c r="J2" s="93"/>
    </row>
    <row r="3" spans="2:18" x14ac:dyDescent="0.35">
      <c r="C3" s="1108"/>
      <c r="D3" s="1109" t="s">
        <v>262</v>
      </c>
      <c r="E3" s="93"/>
      <c r="F3" s="645"/>
      <c r="J3" s="93"/>
    </row>
    <row r="4" spans="2:18" x14ac:dyDescent="0.35">
      <c r="C4" s="1108"/>
      <c r="D4" s="1109" t="s">
        <v>1471</v>
      </c>
      <c r="E4" s="93"/>
      <c r="F4" s="645"/>
      <c r="J4" s="93"/>
    </row>
    <row r="5" spans="2:18" x14ac:dyDescent="0.35">
      <c r="C5" s="1108"/>
      <c r="D5" s="1109" t="s">
        <v>1472</v>
      </c>
      <c r="E5" s="93"/>
      <c r="F5" s="645"/>
      <c r="J5" s="93"/>
    </row>
    <row r="6" spans="2:18" ht="15" thickBot="1" x14ac:dyDescent="0.4">
      <c r="C6" s="1110"/>
      <c r="D6" s="1111" t="s">
        <v>1473</v>
      </c>
      <c r="E6" s="121"/>
      <c r="F6" s="647"/>
      <c r="J6" s="93"/>
    </row>
    <row r="7" spans="2:18" s="1103" customFormat="1" ht="18.5" x14ac:dyDescent="0.45">
      <c r="B7" s="1103" t="s">
        <v>741</v>
      </c>
    </row>
    <row r="8" spans="2:18" x14ac:dyDescent="0.35">
      <c r="M8" s="90"/>
    </row>
    <row r="9" spans="2:18" s="1113" customFormat="1" x14ac:dyDescent="0.35">
      <c r="B9" s="1112" t="s">
        <v>1006</v>
      </c>
      <c r="M9" s="1114"/>
      <c r="N9" s="1115"/>
      <c r="O9" s="1115"/>
      <c r="P9" s="1115"/>
      <c r="Q9" s="1115"/>
      <c r="R9" s="1115"/>
    </row>
    <row r="10" spans="2:18" x14ac:dyDescent="0.35">
      <c r="D10" s="1116"/>
      <c r="E10" s="85"/>
      <c r="F10" s="85"/>
      <c r="G10" s="85"/>
      <c r="H10" s="85"/>
      <c r="I10" s="85"/>
      <c r="M10" s="1117"/>
      <c r="N10" s="1118"/>
      <c r="O10" s="1118"/>
      <c r="P10" s="1118"/>
      <c r="Q10" s="1118"/>
      <c r="R10" s="1118"/>
    </row>
    <row r="11" spans="2:18" x14ac:dyDescent="0.35">
      <c r="B11" s="1119" t="s">
        <v>1008</v>
      </c>
      <c r="C11" s="1120"/>
      <c r="M11" s="1117"/>
      <c r="N11" s="1118"/>
      <c r="O11" s="1118"/>
      <c r="P11" s="1118"/>
      <c r="Q11" s="1118"/>
      <c r="R11" s="1118"/>
    </row>
    <row r="12" spans="2:18" x14ac:dyDescent="0.35">
      <c r="B12" s="910" t="s">
        <v>1011</v>
      </c>
      <c r="C12" s="1091">
        <f>IFERROR(INDEX('WB Beds'!$BN$827:$BN$1090,MATCH(Inputs!E35,'WB Beds'!$B$827:$B$1090,0)),"")</f>
        <v>2</v>
      </c>
      <c r="D12" s="910" t="s">
        <v>1464</v>
      </c>
      <c r="M12" s="1117"/>
      <c r="N12" s="1118"/>
      <c r="O12" s="1118"/>
      <c r="P12" s="1118"/>
      <c r="Q12" s="1118"/>
      <c r="R12" s="1118"/>
    </row>
    <row r="13" spans="2:18" x14ac:dyDescent="0.35">
      <c r="B13" s="910" t="s">
        <v>1009</v>
      </c>
      <c r="C13" s="1091">
        <f>'WB Beds'!$BR$833</f>
        <v>2.7</v>
      </c>
      <c r="D13" s="910" t="s">
        <v>1846</v>
      </c>
      <c r="M13" s="1117"/>
      <c r="N13" s="1118"/>
      <c r="O13" s="1118"/>
      <c r="P13" s="1118"/>
      <c r="Q13" s="1118"/>
      <c r="R13" s="1118"/>
    </row>
    <row r="14" spans="2:18" x14ac:dyDescent="0.35">
      <c r="C14" s="85"/>
      <c r="L14" s="1121"/>
      <c r="M14" s="1117"/>
      <c r="N14" s="1118"/>
      <c r="O14" s="1118"/>
      <c r="P14" s="1118"/>
      <c r="Q14" s="1118"/>
      <c r="R14" s="1118"/>
    </row>
    <row r="15" spans="2:18" x14ac:dyDescent="0.35">
      <c r="C15" s="85"/>
      <c r="J15" s="1121"/>
      <c r="L15" s="1121"/>
      <c r="M15" s="1117"/>
      <c r="N15" s="1118"/>
      <c r="O15" s="1118"/>
      <c r="P15" s="1118"/>
      <c r="Q15" s="1118"/>
      <c r="R15" s="1118"/>
    </row>
    <row r="16" spans="2:18" x14ac:dyDescent="0.35">
      <c r="B16" s="1122" t="s">
        <v>1010</v>
      </c>
      <c r="C16" s="85"/>
      <c r="J16" s="1121"/>
      <c r="L16" s="1121"/>
      <c r="M16" s="1117"/>
      <c r="N16" s="1118"/>
      <c r="O16" s="1118"/>
      <c r="P16" s="1118"/>
      <c r="Q16" s="1118"/>
      <c r="R16" s="1118"/>
    </row>
    <row r="17" spans="2:18" x14ac:dyDescent="0.35">
      <c r="B17" s="910" t="s">
        <v>1011</v>
      </c>
      <c r="C17" s="1123">
        <f>IF(ISNUMBER($C$12),$C$12*'Back Calculations'!$C$86/1000,CONCATENATE("No reported value. The average based on population size would be: ",$C$18," beds"))</f>
        <v>37358.546000000002</v>
      </c>
      <c r="D17" s="910" t="s">
        <v>1462</v>
      </c>
      <c r="J17" s="1121"/>
      <c r="L17" s="1121"/>
      <c r="M17" s="1117"/>
      <c r="N17" s="1118"/>
      <c r="O17" s="1118"/>
      <c r="P17" s="1118"/>
      <c r="Q17" s="1118"/>
      <c r="R17" s="1118"/>
    </row>
    <row r="18" spans="2:18" x14ac:dyDescent="0.35">
      <c r="B18" s="910" t="s">
        <v>1009</v>
      </c>
      <c r="C18" s="1123">
        <f>ROUNDUP($C$13*'Back Calculations'!$C$86/1000,0)</f>
        <v>50435</v>
      </c>
      <c r="D18" s="910" t="s">
        <v>1462</v>
      </c>
      <c r="J18" s="1121"/>
      <c r="L18" s="1121"/>
      <c r="M18" s="1117"/>
      <c r="N18" s="1118"/>
      <c r="O18" s="1118"/>
      <c r="P18" s="1118"/>
      <c r="Q18" s="1118"/>
      <c r="R18" s="1118"/>
    </row>
    <row r="19" spans="2:18" ht="15" thickBot="1" x14ac:dyDescent="0.4">
      <c r="B19" s="122" t="s">
        <v>1012</v>
      </c>
      <c r="C19" s="1124">
        <f>IF(LEFT($C$17,2)="No",$C$18,$C$17)</f>
        <v>37358.546000000002</v>
      </c>
      <c r="D19" s="910" t="s">
        <v>1461</v>
      </c>
      <c r="J19" s="1121"/>
      <c r="L19" s="1121"/>
      <c r="M19" s="1117"/>
      <c r="N19" s="1118"/>
      <c r="O19" s="1118"/>
      <c r="P19" s="1118"/>
      <c r="Q19" s="1118"/>
      <c r="R19" s="1118"/>
    </row>
    <row r="20" spans="2:18" x14ac:dyDescent="0.35">
      <c r="C20" s="1121"/>
      <c r="J20" s="1121"/>
      <c r="L20" s="1121"/>
      <c r="M20" s="1117"/>
      <c r="N20" s="1118"/>
      <c r="O20" s="1118"/>
      <c r="P20" s="1118"/>
      <c r="Q20" s="1118"/>
      <c r="R20" s="1118"/>
    </row>
    <row r="21" spans="2:18" s="1113" customFormat="1" x14ac:dyDescent="0.35">
      <c r="B21" s="1112" t="s">
        <v>1013</v>
      </c>
      <c r="C21" s="1112"/>
    </row>
    <row r="23" spans="2:18" x14ac:dyDescent="0.35">
      <c r="B23" s="1119" t="s">
        <v>1014</v>
      </c>
      <c r="C23" s="93"/>
    </row>
    <row r="24" spans="2:18" x14ac:dyDescent="0.35">
      <c r="B24" s="89" t="s">
        <v>766</v>
      </c>
      <c r="C24" s="1125">
        <f>INDEX('HCW, Staff, Beds Summary'!$H$7:$H$275,MATCH(Inputs!$E$35,'HCW, Staff, Beds Summary'!$B$7:$B$275,0))</f>
        <v>21851.675490962065</v>
      </c>
      <c r="D24" s="910" t="s">
        <v>1466</v>
      </c>
    </row>
    <row r="25" spans="2:18" x14ac:dyDescent="0.35">
      <c r="B25" s="89" t="s">
        <v>1465</v>
      </c>
      <c r="C25" s="1125">
        <f>INDEX('HCW, Staff, Beds Summary'!$I$7:$I$275,MATCH(Inputs!$E$35,'HCW, Staff, Beds Summary'!$B$7:$B$275,0))</f>
        <v>24113.145087933564</v>
      </c>
      <c r="D25" s="910" t="s">
        <v>1466</v>
      </c>
    </row>
    <row r="26" spans="2:18" x14ac:dyDescent="0.35">
      <c r="B26" s="89" t="s">
        <v>767</v>
      </c>
      <c r="D26" s="910" t="s">
        <v>1467</v>
      </c>
    </row>
    <row r="27" spans="2:18" x14ac:dyDescent="0.35">
      <c r="B27" s="89" t="s">
        <v>770</v>
      </c>
      <c r="C27" s="1125">
        <f>INDEX('HCW, Staff, Beds Summary'!$J$7:$J$275,MATCH(Inputs!$E$35,'HCW, Staff, Beds Summary'!$B$7:$B$275,0))</f>
        <v>468.00004329630764</v>
      </c>
      <c r="D27" s="910" t="s">
        <v>1466</v>
      </c>
    </row>
    <row r="29" spans="2:18" x14ac:dyDescent="0.35">
      <c r="B29" s="1119" t="s">
        <v>1015</v>
      </c>
      <c r="C29" s="93"/>
      <c r="K29" s="1126"/>
    </row>
    <row r="30" spans="2:18" x14ac:dyDescent="0.35">
      <c r="B30" s="910" t="s">
        <v>768</v>
      </c>
      <c r="C30" s="1127">
        <f ca="1">Inputs!I66*SUM($C$24:$C$26)</f>
        <v>24155.155027029097</v>
      </c>
      <c r="D30" s="910" t="s">
        <v>1016</v>
      </c>
    </row>
    <row r="31" spans="2:18" x14ac:dyDescent="0.35">
      <c r="B31" s="910" t="s">
        <v>769</v>
      </c>
      <c r="C31" s="1127">
        <f ca="1">Inputs!I67*SUM($C$24:$C$26)</f>
        <v>3423.737320308277</v>
      </c>
      <c r="D31" s="910" t="s">
        <v>1016</v>
      </c>
    </row>
    <row r="32" spans="2:18" x14ac:dyDescent="0.35">
      <c r="B32" s="910" t="s">
        <v>799</v>
      </c>
      <c r="C32" s="1128">
        <f>C27</f>
        <v>468.00004329630764</v>
      </c>
      <c r="D32" s="910" t="s">
        <v>1016</v>
      </c>
    </row>
    <row r="33" spans="2:18" x14ac:dyDescent="0.35">
      <c r="B33" s="910" t="s">
        <v>876</v>
      </c>
      <c r="C33" s="1125">
        <f ca="1">IF(ISBLANK(Inputs!$I$97),'Weekly Summary'!$D$11*Hygienists_per_bed,Inputs!$I$97*Hygienists_per_bed)</f>
        <v>26862.195500635196</v>
      </c>
      <c r="D33" s="910" t="s">
        <v>1468</v>
      </c>
    </row>
    <row r="35" spans="2:18" x14ac:dyDescent="0.35">
      <c r="B35" s="1119" t="s">
        <v>1224</v>
      </c>
      <c r="C35" s="1119"/>
    </row>
    <row r="36" spans="2:18" ht="15.5" x14ac:dyDescent="0.35">
      <c r="B36" s="1129" t="s">
        <v>1157</v>
      </c>
      <c r="C36" s="1130">
        <f ca="1">'Weekly Summary'!$BF$65/SUM('Weekly Summary'!$BF$64:$BF$65)</f>
        <v>0.30089203677916004</v>
      </c>
      <c r="D36" s="910" t="s">
        <v>1227</v>
      </c>
    </row>
    <row r="37" spans="2:18" ht="15.5" x14ac:dyDescent="0.35">
      <c r="B37" s="1129" t="s">
        <v>1225</v>
      </c>
      <c r="C37" s="1131">
        <f ca="1">1-C36</f>
        <v>0.6991079632208399</v>
      </c>
      <c r="D37" s="910" t="s">
        <v>1227</v>
      </c>
    </row>
    <row r="38" spans="2:18" ht="15.5" x14ac:dyDescent="0.35">
      <c r="B38" s="1129"/>
      <c r="C38" s="1132"/>
    </row>
    <row r="39" spans="2:18" x14ac:dyDescent="0.35">
      <c r="B39" s="1119" t="s">
        <v>1346</v>
      </c>
      <c r="C39" s="1119"/>
      <c r="D39" s="1120"/>
      <c r="E39" s="1120"/>
      <c r="F39" s="1120"/>
    </row>
    <row r="40" spans="2:18" ht="15.5" x14ac:dyDescent="0.35">
      <c r="B40" s="1133" t="s">
        <v>1347</v>
      </c>
      <c r="C40" s="1130">
        <f>MildCasePercentage+ModerateCasePercentage</f>
        <v>0.8</v>
      </c>
      <c r="D40" s="93"/>
      <c r="E40" s="93"/>
      <c r="F40" s="93"/>
    </row>
    <row r="41" spans="2:18" ht="15.5" x14ac:dyDescent="0.35">
      <c r="B41" s="1133" t="s">
        <v>1348</v>
      </c>
      <c r="C41" s="1130">
        <f>SevereCasePercentage+CriticalCasePercentage</f>
        <v>0.2</v>
      </c>
      <c r="D41" s="93"/>
      <c r="E41" s="93"/>
      <c r="F41" s="93"/>
    </row>
    <row r="42" spans="2:18" ht="15.5" x14ac:dyDescent="0.35">
      <c r="B42" s="1133" t="s">
        <v>1349</v>
      </c>
      <c r="C42" s="1134">
        <f>1/Inputs!$E$78</f>
        <v>0.1</v>
      </c>
      <c r="D42" s="93"/>
      <c r="E42" s="93"/>
      <c r="F42" s="93"/>
    </row>
    <row r="43" spans="2:18" ht="15.5" x14ac:dyDescent="0.35">
      <c r="B43" s="1133" t="s">
        <v>1350</v>
      </c>
      <c r="C43" s="1134">
        <f ca="1">Inputs!$E$72</f>
        <v>2.8220804071328884</v>
      </c>
      <c r="D43" s="93"/>
      <c r="E43" s="93"/>
      <c r="F43" s="93"/>
    </row>
    <row r="44" spans="2:18" ht="31" x14ac:dyDescent="0.35">
      <c r="B44" s="1135" t="s">
        <v>1351</v>
      </c>
      <c r="C44" s="1130">
        <f ca="1">(C41*C43)/(C40*C42+C41*C43)</f>
        <v>0.87585660521863473</v>
      </c>
    </row>
    <row r="45" spans="2:18" ht="15.5" x14ac:dyDescent="0.35">
      <c r="B45" s="1135"/>
      <c r="C45" s="1126"/>
    </row>
    <row r="46" spans="2:18" s="1136" customFormat="1" ht="18.5" x14ac:dyDescent="0.45">
      <c r="B46" s="1103" t="s">
        <v>1007</v>
      </c>
      <c r="C46" s="1103"/>
      <c r="D46" s="1103"/>
      <c r="E46" s="1103"/>
      <c r="F46" s="1103"/>
      <c r="G46" s="1103"/>
      <c r="H46" s="1103"/>
    </row>
    <row r="48" spans="2:18" s="1113" customFormat="1" x14ac:dyDescent="0.35">
      <c r="B48" s="1112" t="s">
        <v>1019</v>
      </c>
      <c r="M48" s="1114"/>
      <c r="N48" s="1115"/>
      <c r="O48" s="1115"/>
      <c r="P48" s="1115"/>
      <c r="Q48" s="1115"/>
      <c r="R48" s="1115"/>
    </row>
    <row r="49" spans="2:18" x14ac:dyDescent="0.35">
      <c r="B49" s="1119" t="s">
        <v>1005</v>
      </c>
      <c r="E49" s="1120" t="s">
        <v>1769</v>
      </c>
      <c r="F49" s="1126">
        <f>Inputs!$I$173</f>
        <v>0.1</v>
      </c>
      <c r="M49" s="1117"/>
      <c r="N49" s="1118"/>
      <c r="O49" s="1118"/>
      <c r="P49" s="1118"/>
      <c r="Q49" s="1118"/>
      <c r="R49" s="1118"/>
    </row>
    <row r="50" spans="2:18" x14ac:dyDescent="0.35">
      <c r="B50" s="910" t="s">
        <v>574</v>
      </c>
      <c r="C50" s="1137">
        <f>250-(250*Inputs!$I$173)</f>
        <v>225</v>
      </c>
      <c r="M50" s="1117"/>
      <c r="N50" s="1118"/>
      <c r="O50" s="1118"/>
      <c r="P50" s="1118"/>
      <c r="Q50" s="1118"/>
      <c r="R50" s="1118"/>
    </row>
    <row r="51" spans="2:18" x14ac:dyDescent="0.35">
      <c r="B51"/>
      <c r="C51"/>
      <c r="M51" s="85"/>
      <c r="N51" s="85"/>
      <c r="O51" s="85"/>
      <c r="P51" s="85"/>
      <c r="Q51" s="85"/>
      <c r="R51" s="85"/>
    </row>
    <row r="52" spans="2:18" x14ac:dyDescent="0.35">
      <c r="B52"/>
      <c r="C52"/>
      <c r="M52" s="85"/>
      <c r="N52" s="85"/>
      <c r="O52" s="85"/>
      <c r="P52" s="85"/>
      <c r="Q52" s="85"/>
      <c r="R52" s="85"/>
    </row>
    <row r="53" spans="2:18" x14ac:dyDescent="0.35">
      <c r="B53" s="910" t="s">
        <v>575</v>
      </c>
      <c r="C53" s="1137">
        <f>100-(100*Inputs!$I$173)</f>
        <v>90</v>
      </c>
      <c r="M53" s="1117"/>
      <c r="N53" s="1118"/>
      <c r="O53" s="1118"/>
      <c r="P53" s="1118"/>
      <c r="Q53" s="1118"/>
      <c r="R53" s="1118"/>
    </row>
    <row r="54" spans="2:18" x14ac:dyDescent="0.35">
      <c r="M54" s="1117"/>
      <c r="N54" s="1118"/>
      <c r="O54" s="1118"/>
      <c r="P54" s="1118"/>
      <c r="Q54" s="1118"/>
      <c r="R54" s="1118"/>
    </row>
    <row r="55" spans="2:18" s="85" customFormat="1" x14ac:dyDescent="0.35">
      <c r="B55" s="1138" t="s">
        <v>1017</v>
      </c>
      <c r="C55" s="1138"/>
      <c r="D55" s="1139"/>
      <c r="E55" s="1139"/>
      <c r="F55" s="1139"/>
    </row>
    <row r="56" spans="2:18" ht="29" x14ac:dyDescent="0.35">
      <c r="B56" s="124" t="s">
        <v>1293</v>
      </c>
      <c r="C56" s="1140">
        <f ca="1">IF(Inputs!I138=0,0,Total_tests_conducted-'Diagnostics Module'!J5-'Diagnostics Module'!J6-'Diagnostics Module'!J8)</f>
        <v>112.16757015792956</v>
      </c>
      <c r="H56" s="113"/>
    </row>
    <row r="57" spans="2:18" ht="29" x14ac:dyDescent="0.35">
      <c r="B57" s="124" t="s">
        <v>1313</v>
      </c>
      <c r="C57" s="1140">
        <f ca="1">'User Dashboard'!C79</f>
        <v>2887.5941249875659</v>
      </c>
      <c r="H57" s="113"/>
    </row>
    <row r="58" spans="2:18" x14ac:dyDescent="0.35">
      <c r="B58" s="124" t="s">
        <v>608</v>
      </c>
      <c r="C58" s="1140">
        <f ca="1">Max_hospitals_operating</f>
        <v>8</v>
      </c>
    </row>
    <row r="59" spans="2:18" x14ac:dyDescent="0.35">
      <c r="B59" s="910" t="s">
        <v>684</v>
      </c>
      <c r="C59" s="1140">
        <f ca="1">Total_hospitals_operating_per_week_over_time</f>
        <v>15</v>
      </c>
    </row>
    <row r="60" spans="2:18" x14ac:dyDescent="0.35">
      <c r="B60" s="85"/>
      <c r="C60" s="85"/>
      <c r="D60" s="85"/>
      <c r="E60" s="85"/>
      <c r="F60" s="85"/>
      <c r="G60" s="1121"/>
    </row>
    <row r="61" spans="2:18" s="86" customFormat="1" x14ac:dyDescent="0.35">
      <c r="B61" s="88" t="s">
        <v>1018</v>
      </c>
      <c r="C61" s="88"/>
      <c r="D61" s="88"/>
      <c r="E61" s="88"/>
      <c r="F61" s="88"/>
    </row>
    <row r="62" spans="2:18" x14ac:dyDescent="0.35">
      <c r="B62" s="1122" t="s">
        <v>293</v>
      </c>
      <c r="C62" s="1122" t="s">
        <v>593</v>
      </c>
    </row>
    <row r="63" spans="2:18" x14ac:dyDescent="0.35">
      <c r="B63" s="910" t="s">
        <v>261</v>
      </c>
      <c r="C63" s="910" t="s">
        <v>1888</v>
      </c>
      <c r="F63" s="1128">
        <f ca="1">C58*Inputs!$I$172</f>
        <v>32</v>
      </c>
    </row>
    <row r="64" spans="2:18" x14ac:dyDescent="0.35">
      <c r="B64" s="910" t="s">
        <v>1068</v>
      </c>
      <c r="C64" s="910" t="s">
        <v>598</v>
      </c>
      <c r="F64" s="1128">
        <f ca="1">C57</f>
        <v>2887.5941249875659</v>
      </c>
    </row>
    <row r="65" spans="2:8" x14ac:dyDescent="0.35">
      <c r="B65" s="910" t="s">
        <v>299</v>
      </c>
      <c r="C65" s="910" t="s">
        <v>609</v>
      </c>
      <c r="F65" s="1128">
        <f ca="1">$C$59*Inputs!$I$171</f>
        <v>120</v>
      </c>
    </row>
    <row r="66" spans="2:8" x14ac:dyDescent="0.35">
      <c r="B66" s="910" t="s">
        <v>1069</v>
      </c>
      <c r="C66" s="910" t="s">
        <v>594</v>
      </c>
      <c r="F66" s="1125">
        <f ca="1">$C$56/'Back Calculations'!$C50</f>
        <v>0.49852253403524249</v>
      </c>
    </row>
    <row r="67" spans="2:8" x14ac:dyDescent="0.35">
      <c r="B67"/>
      <c r="C67"/>
      <c r="D67"/>
      <c r="E67"/>
      <c r="F67"/>
    </row>
    <row r="68" spans="2:8" x14ac:dyDescent="0.35">
      <c r="B68"/>
      <c r="C68"/>
      <c r="D68"/>
      <c r="E68"/>
      <c r="F68"/>
    </row>
    <row r="69" spans="2:8" x14ac:dyDescent="0.35">
      <c r="B69" s="910" t="s">
        <v>1070</v>
      </c>
      <c r="C69" s="910" t="s">
        <v>595</v>
      </c>
      <c r="F69" s="1125">
        <f ca="1">$C$56/'Back Calculations'!$C53</f>
        <v>1.2463063350881063</v>
      </c>
    </row>
    <row r="71" spans="2:8" s="1136" customFormat="1" ht="18.5" x14ac:dyDescent="0.45">
      <c r="B71" s="1103" t="s">
        <v>1020</v>
      </c>
      <c r="C71" s="1103"/>
      <c r="D71" s="1103"/>
      <c r="E71" s="1103"/>
      <c r="F71" s="1103"/>
      <c r="G71" s="1103"/>
      <c r="H71" s="1103"/>
    </row>
    <row r="73" spans="2:8" x14ac:dyDescent="0.35">
      <c r="B73" s="1122" t="s">
        <v>591</v>
      </c>
    </row>
    <row r="74" spans="2:8" x14ac:dyDescent="0.35">
      <c r="B74" s="910" t="s">
        <v>643</v>
      </c>
      <c r="C74" s="1125">
        <f ca="1">Max_severe_capped_beds</f>
        <v>214.1022124010056</v>
      </c>
    </row>
    <row r="75" spans="2:8" x14ac:dyDescent="0.35">
      <c r="B75" s="910" t="s">
        <v>644</v>
      </c>
      <c r="C75" s="1125">
        <f ca="1">Max_critical_capped_beds</f>
        <v>92.146237628515948</v>
      </c>
    </row>
    <row r="76" spans="2:8" s="85" customFormat="1" x14ac:dyDescent="0.35">
      <c r="C76" s="1121"/>
    </row>
    <row r="77" spans="2:8" x14ac:dyDescent="0.35">
      <c r="B77" s="1119" t="s">
        <v>1021</v>
      </c>
      <c r="C77" s="1119"/>
    </row>
    <row r="78" spans="2:8" x14ac:dyDescent="0.35">
      <c r="B78" s="910" t="s">
        <v>620</v>
      </c>
      <c r="C78" s="1141">
        <f ca="1">'Back Calculations'!$C$74*Inputs!$I$184*1440*0.001</f>
        <v>3083.0718585744803</v>
      </c>
      <c r="D78" s="910" t="s">
        <v>622</v>
      </c>
      <c r="E78" s="910" t="s">
        <v>1000</v>
      </c>
    </row>
    <row r="79" spans="2:8" x14ac:dyDescent="0.35">
      <c r="B79" s="910" t="s">
        <v>621</v>
      </c>
      <c r="C79" s="1141">
        <f ca="1">('Back Calculations'!$C$75*Inputs!$I$185*Inputs!$I$180*1440*0.001)+('Back Calculations'!$C$75*Inputs!$I$186*Inputs!$I$181*1440*0.001)</f>
        <v>3980.7174655518884</v>
      </c>
      <c r="D79" s="910" t="s">
        <v>622</v>
      </c>
      <c r="E79" s="910" t="s">
        <v>837</v>
      </c>
    </row>
    <row r="80" spans="2:8" ht="15" thickBot="1" x14ac:dyDescent="0.4">
      <c r="B80" s="910" t="s">
        <v>259</v>
      </c>
      <c r="C80" s="1142">
        <f ca="1">SUM(C78:C79)</f>
        <v>7063.7893241263682</v>
      </c>
      <c r="D80" s="910" t="s">
        <v>622</v>
      </c>
    </row>
    <row r="81" spans="2:11" s="85" customFormat="1" ht="19.5" customHeight="1" x14ac:dyDescent="0.35">
      <c r="C81" s="1143"/>
    </row>
    <row r="82" spans="2:11" s="1136" customFormat="1" ht="18.5" x14ac:dyDescent="0.45">
      <c r="B82" s="1103" t="s">
        <v>855</v>
      </c>
      <c r="C82" s="1103"/>
      <c r="D82" s="1103"/>
      <c r="E82" s="1103"/>
      <c r="F82" s="1103"/>
      <c r="G82" s="1103"/>
      <c r="H82" s="1103"/>
    </row>
    <row r="83" spans="2:11" x14ac:dyDescent="0.35">
      <c r="E83" s="1144"/>
    </row>
    <row r="84" spans="2:11" s="1113" customFormat="1" x14ac:dyDescent="0.35">
      <c r="B84" s="1112" t="s">
        <v>591</v>
      </c>
      <c r="C84" s="1112"/>
    </row>
    <row r="85" spans="2:11" ht="15" thickBot="1" x14ac:dyDescent="0.4">
      <c r="B85" s="1139"/>
      <c r="C85" s="1139"/>
      <c r="D85" s="85"/>
      <c r="E85" s="85"/>
      <c r="F85" s="85"/>
      <c r="G85" s="85"/>
      <c r="H85" s="85"/>
      <c r="I85" s="85"/>
      <c r="J85" s="85"/>
      <c r="K85" s="85"/>
    </row>
    <row r="86" spans="2:11" ht="15" thickBot="1" x14ac:dyDescent="0.4">
      <c r="B86" s="1145" t="s">
        <v>583</v>
      </c>
      <c r="C86" s="1146">
        <f>IF(Inputs!$E$35="Manual",Inputs!$C$24,INDEX('UNDP Population Data'!$E$6:$E$227,MATCH(Inputs!$E$35,'UNDP Population Data'!$B$6:$B$227,0)))</f>
        <v>18679273</v>
      </c>
      <c r="D86" s="1144"/>
      <c r="E86" s="1144"/>
      <c r="F86" s="1147"/>
      <c r="G86" s="1148"/>
      <c r="H86" s="1149"/>
      <c r="I86" s="1149"/>
      <c r="J86" s="1149"/>
      <c r="K86" s="1149"/>
    </row>
    <row r="87" spans="2:11" x14ac:dyDescent="0.35">
      <c r="B87" s="1144"/>
      <c r="C87" s="1144"/>
      <c r="D87" s="1144"/>
      <c r="E87" s="1144"/>
      <c r="F87" s="1150"/>
      <c r="G87" s="1148"/>
      <c r="H87" s="1149"/>
      <c r="I87" s="1149"/>
      <c r="J87" s="1149"/>
      <c r="K87" s="1149"/>
    </row>
    <row r="88" spans="2:11" x14ac:dyDescent="0.35">
      <c r="B88" s="1151" t="s">
        <v>579</v>
      </c>
      <c r="C88" s="1152"/>
      <c r="D88" s="1144"/>
      <c r="E88" s="1144"/>
      <c r="F88" s="1153"/>
      <c r="G88" s="1148"/>
      <c r="H88" s="1149"/>
      <c r="I88" s="1149"/>
      <c r="J88" s="1149"/>
      <c r="K88" s="1149"/>
    </row>
    <row r="89" spans="2:11" x14ac:dyDescent="0.35">
      <c r="B89" s="1150" t="s">
        <v>788</v>
      </c>
      <c r="C89" s="1157">
        <v>7</v>
      </c>
      <c r="D89" s="910" t="s">
        <v>698</v>
      </c>
      <c r="E89" s="1144"/>
      <c r="F89" s="1153"/>
      <c r="G89" s="1155"/>
      <c r="H89" s="1149"/>
      <c r="I89" s="1149"/>
      <c r="J89" s="1149"/>
      <c r="K89" s="1149"/>
    </row>
    <row r="90" spans="2:11" x14ac:dyDescent="0.35">
      <c r="B90" s="1150" t="s">
        <v>603</v>
      </c>
      <c r="C90" s="1157">
        <v>5</v>
      </c>
      <c r="D90" s="910" t="s">
        <v>698</v>
      </c>
      <c r="E90" s="1144"/>
      <c r="F90" s="1153"/>
      <c r="G90" s="1156"/>
      <c r="H90" s="1156"/>
      <c r="I90" s="1156"/>
      <c r="J90" s="1156"/>
      <c r="K90" s="1156"/>
    </row>
    <row r="91" spans="2:11" x14ac:dyDescent="0.35">
      <c r="B91" s="1150" t="s">
        <v>578</v>
      </c>
      <c r="C91" s="1157">
        <v>4</v>
      </c>
      <c r="D91" s="910" t="s">
        <v>698</v>
      </c>
      <c r="E91" s="1144"/>
      <c r="F91" s="1153"/>
      <c r="G91" s="1158"/>
      <c r="H91" s="1149"/>
      <c r="I91" s="1149"/>
      <c r="J91" s="1159"/>
      <c r="K91" s="1159"/>
    </row>
    <row r="92" spans="2:11" x14ac:dyDescent="0.35">
      <c r="B92" s="1150" t="s">
        <v>604</v>
      </c>
      <c r="C92" s="1154">
        <v>3.2</v>
      </c>
      <c r="D92" s="910" t="s">
        <v>607</v>
      </c>
      <c r="E92" s="1144"/>
      <c r="F92" s="1160"/>
      <c r="G92" s="1158"/>
      <c r="H92" s="1149"/>
      <c r="I92" s="1149"/>
      <c r="J92" s="1159"/>
      <c r="K92" s="1161"/>
    </row>
    <row r="93" spans="2:11" x14ac:dyDescent="0.35">
      <c r="B93" s="910" t="s">
        <v>688</v>
      </c>
      <c r="C93" s="1154">
        <v>2.2999999999999998</v>
      </c>
      <c r="D93" s="910" t="s">
        <v>580</v>
      </c>
      <c r="E93" s="1144"/>
      <c r="F93" s="1160"/>
      <c r="G93" s="1158"/>
      <c r="H93" s="1149"/>
      <c r="I93" s="1149"/>
      <c r="J93" s="1159"/>
      <c r="K93" s="1161"/>
    </row>
    <row r="94" spans="2:11" ht="26" x14ac:dyDescent="0.35">
      <c r="B94" s="1150" t="s">
        <v>605</v>
      </c>
      <c r="C94" s="1162" t="str">
        <f>CONCATENATE('User Dashboard'!C17," days until week ",'User Dashboard'!C18, " then ",'User Dashboard'!C19)</f>
        <v xml:space="preserve"> days until week  then </v>
      </c>
      <c r="D94" s="1144"/>
      <c r="E94" s="1163" t="s">
        <v>679</v>
      </c>
      <c r="F94" s="1164">
        <f>'User Dashboard'!C17</f>
        <v>0</v>
      </c>
      <c r="G94" s="1165" t="s">
        <v>680</v>
      </c>
      <c r="H94" s="1164">
        <f>'User Dashboard'!C19</f>
        <v>0</v>
      </c>
      <c r="I94" s="1165" t="s">
        <v>681</v>
      </c>
      <c r="J94" s="1164">
        <f>'User Dashboard'!C18</f>
        <v>0</v>
      </c>
      <c r="K94" s="1161"/>
    </row>
    <row r="95" spans="2:11" x14ac:dyDescent="0.35">
      <c r="B95" s="1150" t="s">
        <v>689</v>
      </c>
      <c r="C95" s="1166">
        <f>'User Dashboard'!E14</f>
        <v>0</v>
      </c>
      <c r="D95" s="1144"/>
      <c r="E95" s="1144"/>
      <c r="F95" s="1160"/>
      <c r="G95" s="1158"/>
      <c r="H95" s="1149"/>
      <c r="I95" s="1149"/>
      <c r="J95" s="1159"/>
      <c r="K95" s="1161"/>
    </row>
    <row r="96" spans="2:11" x14ac:dyDescent="0.35">
      <c r="B96" s="1150" t="s">
        <v>803</v>
      </c>
      <c r="C96" s="1167">
        <f>(ROUND((365/12)*3,0)/((LN(100)/LN(2))))</f>
        <v>13.696864802711143</v>
      </c>
      <c r="D96" s="1144"/>
      <c r="E96" s="1144"/>
      <c r="F96" s="1160"/>
      <c r="G96" s="1158"/>
      <c r="H96" s="1149"/>
      <c r="I96" s="1149"/>
      <c r="J96" s="1159"/>
      <c r="K96" s="1161"/>
    </row>
    <row r="97" spans="2:11" x14ac:dyDescent="0.35">
      <c r="B97" s="1150" t="s">
        <v>804</v>
      </c>
      <c r="C97" s="1167">
        <f>(ROUND((365/12)*3,0))/((LN(1000)/LN(2)))</f>
        <v>9.131243201807429</v>
      </c>
      <c r="D97" s="1144"/>
      <c r="E97" s="1144"/>
      <c r="F97" s="1160"/>
      <c r="G97" s="1158"/>
      <c r="H97" s="1149"/>
      <c r="I97" s="1149"/>
      <c r="J97" s="1159"/>
      <c r="K97" s="1161"/>
    </row>
    <row r="98" spans="2:11" x14ac:dyDescent="0.35">
      <c r="B98" s="1150" t="s">
        <v>810</v>
      </c>
      <c r="C98" s="1167">
        <f>(2*ROUND((365/12)*3,0))/((LN(10000)/LN(2)))</f>
        <v>13.696864802711143</v>
      </c>
      <c r="D98" s="1144"/>
      <c r="E98" s="1144"/>
      <c r="F98" s="1160"/>
      <c r="G98" s="1158"/>
      <c r="H98" s="1149"/>
      <c r="I98" s="1149"/>
      <c r="J98" s="1159"/>
      <c r="K98" s="1161"/>
    </row>
    <row r="99" spans="2:11" x14ac:dyDescent="0.35">
      <c r="B99" s="1150" t="s">
        <v>805</v>
      </c>
      <c r="C99" s="1167">
        <f>(2*ROUND((365/12)*3,0))/((LN(100000)/LN(2)))</f>
        <v>10.957491842168915</v>
      </c>
      <c r="D99" s="1144"/>
      <c r="E99" s="1144"/>
      <c r="F99" s="1160"/>
      <c r="G99" s="1158"/>
      <c r="H99" s="1149"/>
      <c r="I99" s="1149"/>
      <c r="J99" s="1159"/>
      <c r="K99" s="1161"/>
    </row>
    <row r="100" spans="2:11" s="85" customFormat="1" x14ac:dyDescent="0.35">
      <c r="B100" s="1168"/>
      <c r="C100" s="1169"/>
      <c r="D100" s="1170"/>
      <c r="E100" s="1170"/>
      <c r="F100" s="1171"/>
      <c r="G100" s="1158"/>
      <c r="H100" s="1149"/>
      <c r="I100" s="1149"/>
      <c r="J100" s="1159"/>
      <c r="K100" s="1161"/>
    </row>
    <row r="101" spans="2:11" x14ac:dyDescent="0.35">
      <c r="B101" s="1151" t="s">
        <v>581</v>
      </c>
      <c r="C101" s="1172" t="s">
        <v>582</v>
      </c>
      <c r="D101" s="1172" t="s">
        <v>181</v>
      </c>
      <c r="E101" s="1144"/>
      <c r="F101" s="1160"/>
      <c r="G101" s="1161"/>
      <c r="H101" s="1149"/>
      <c r="I101" s="1149"/>
      <c r="J101" s="1159"/>
      <c r="K101" s="1161"/>
    </row>
    <row r="102" spans="2:11" x14ac:dyDescent="0.35">
      <c r="B102" s="910" t="s">
        <v>613</v>
      </c>
      <c r="C102" s="1173">
        <v>0.05</v>
      </c>
      <c r="D102" s="1125">
        <f>$C$86*C102</f>
        <v>933963.65</v>
      </c>
      <c r="E102" s="910" t="s">
        <v>611</v>
      </c>
      <c r="F102" s="1160"/>
      <c r="G102" s="1174"/>
      <c r="H102" s="1149"/>
      <c r="I102" s="1149"/>
      <c r="J102" s="1159"/>
      <c r="K102" s="1161"/>
    </row>
    <row r="103" spans="2:11" x14ac:dyDescent="0.35">
      <c r="B103" s="910" t="s">
        <v>577</v>
      </c>
      <c r="C103" s="1173">
        <v>0.1</v>
      </c>
      <c r="D103" s="1125">
        <f>$C$86*C103</f>
        <v>1867927.3</v>
      </c>
      <c r="E103" s="910" t="s">
        <v>612</v>
      </c>
      <c r="F103" s="1160"/>
      <c r="G103" s="1161"/>
      <c r="H103" s="1149"/>
      <c r="I103" s="1149"/>
      <c r="J103" s="1159"/>
      <c r="K103" s="1161"/>
    </row>
    <row r="104" spans="2:11" x14ac:dyDescent="0.35">
      <c r="B104" s="89" t="s">
        <v>578</v>
      </c>
      <c r="C104" s="1175">
        <v>0.2</v>
      </c>
      <c r="D104" s="1125">
        <f>$C$86*C104</f>
        <v>3735854.6</v>
      </c>
      <c r="E104" s="910" t="s">
        <v>698</v>
      </c>
      <c r="F104" s="1160"/>
      <c r="G104" s="1161"/>
      <c r="H104" s="1149"/>
      <c r="I104" s="1149"/>
      <c r="J104" s="1159"/>
      <c r="K104" s="1161"/>
    </row>
    <row r="105" spans="2:11" x14ac:dyDescent="0.35">
      <c r="B105" s="89" t="s">
        <v>576</v>
      </c>
      <c r="C105" s="1173">
        <v>0.3</v>
      </c>
      <c r="D105" s="1125">
        <f>$C$86*C105</f>
        <v>5603781.8999999994</v>
      </c>
      <c r="E105" s="910" t="s">
        <v>698</v>
      </c>
      <c r="F105" s="1160"/>
      <c r="G105" s="1174"/>
      <c r="H105" s="1149"/>
      <c r="I105" s="1149"/>
      <c r="J105" s="1159"/>
      <c r="K105" s="1161"/>
    </row>
    <row r="106" spans="2:11" x14ac:dyDescent="0.35">
      <c r="B106" s="1144"/>
      <c r="C106" s="1144"/>
      <c r="D106" s="1144"/>
      <c r="E106" s="1144"/>
      <c r="F106" s="1160"/>
      <c r="G106" s="1161"/>
      <c r="H106" s="1149"/>
      <c r="I106" s="1149"/>
      <c r="J106" s="1159"/>
      <c r="K106" s="1161"/>
    </row>
    <row r="107" spans="2:11" x14ac:dyDescent="0.35">
      <c r="B107" s="1150" t="s">
        <v>1022</v>
      </c>
      <c r="C107" s="1176">
        <f>IF(Attack_rate_modelled="Manual",'User Dashboard'!E13,INDEX($C$102:$C$105,MATCH(Attack_rate_modelled,$B$102:$B$105,0)))</f>
        <v>0.2</v>
      </c>
      <c r="D107" s="1144"/>
      <c r="E107" s="1144"/>
      <c r="F107" s="1160"/>
      <c r="G107" s="1161"/>
      <c r="H107" s="1149"/>
      <c r="I107" s="1149"/>
      <c r="J107" s="1159"/>
      <c r="K107" s="1161"/>
    </row>
    <row r="108" spans="2:11" x14ac:dyDescent="0.35">
      <c r="B108" s="1144"/>
      <c r="C108" s="1144"/>
      <c r="D108" s="1144"/>
      <c r="E108" s="1144"/>
      <c r="F108" s="1160"/>
      <c r="G108" s="1161"/>
      <c r="H108" s="1149"/>
      <c r="I108" s="1149"/>
      <c r="J108" s="1159"/>
      <c r="K108" s="1161"/>
    </row>
    <row r="109" spans="2:11" x14ac:dyDescent="0.35">
      <c r="B109" s="1151" t="s">
        <v>673</v>
      </c>
      <c r="C109" s="1177"/>
      <c r="D109" s="1144"/>
      <c r="E109" s="1144"/>
      <c r="F109" s="1160"/>
      <c r="G109" s="1178" t="s">
        <v>1046</v>
      </c>
      <c r="H109" s="1149"/>
      <c r="I109" s="1149"/>
      <c r="J109" s="1159"/>
      <c r="K109" s="1161"/>
    </row>
    <row r="110" spans="2:11" x14ac:dyDescent="0.35">
      <c r="B110" s="1150" t="s">
        <v>674</v>
      </c>
      <c r="C110" s="1179">
        <f>IF(Inputs!E22=3,H110,IF(Current_known_cases&gt;C111,C111,Current_known_cases))</f>
        <v>1</v>
      </c>
      <c r="D110" s="1150" t="s">
        <v>1023</v>
      </c>
      <c r="E110" s="1144"/>
      <c r="F110" s="1144"/>
      <c r="G110" s="1144" t="e">
        <f>#REF!</f>
        <v>#REF!</v>
      </c>
      <c r="H110" s="1164" t="e">
        <f>#REF!</f>
        <v>#REF!</v>
      </c>
      <c r="I110" s="1144"/>
      <c r="J110" s="1144"/>
      <c r="K110" s="1144"/>
    </row>
    <row r="111" spans="2:11" x14ac:dyDescent="0.35">
      <c r="B111" s="1150" t="s">
        <v>675</v>
      </c>
      <c r="C111" s="1164">
        <f>C86*AttackRate</f>
        <v>3735854.6</v>
      </c>
      <c r="D111" s="1144"/>
      <c r="E111" s="1144"/>
      <c r="F111" s="1144"/>
      <c r="G111" s="1144"/>
      <c r="H111" s="1144"/>
      <c r="I111" s="1144"/>
      <c r="J111" s="1144"/>
      <c r="K111" s="1144"/>
    </row>
    <row r="112" spans="2:11" x14ac:dyDescent="0.35">
      <c r="B112" s="1144"/>
      <c r="C112" s="1144"/>
      <c r="D112" s="1144"/>
      <c r="E112" s="1180"/>
      <c r="F112" s="1144"/>
      <c r="G112" s="1144"/>
      <c r="H112" s="1144"/>
      <c r="I112" s="1144"/>
      <c r="J112" s="1144"/>
      <c r="K112" s="1144"/>
    </row>
    <row r="113" spans="2:11" x14ac:dyDescent="0.35">
      <c r="B113" s="1151" t="s">
        <v>1024</v>
      </c>
      <c r="C113" s="1181"/>
      <c r="D113" s="1144"/>
      <c r="F113" s="1144"/>
      <c r="G113" s="1144"/>
      <c r="H113" s="1144"/>
      <c r="I113" s="1144"/>
      <c r="J113" s="1144"/>
      <c r="K113" s="1144"/>
    </row>
    <row r="114" spans="2:11" x14ac:dyDescent="0.35">
      <c r="B114" s="1150" t="s">
        <v>677</v>
      </c>
      <c r="C114" s="1182">
        <v>0</v>
      </c>
      <c r="D114" s="1144"/>
      <c r="F114" s="1144"/>
      <c r="G114" s="1144"/>
      <c r="H114" s="1144"/>
      <c r="I114" s="1144"/>
      <c r="J114" s="1144"/>
      <c r="K114" s="1144"/>
    </row>
    <row r="115" spans="2:11" x14ac:dyDescent="0.35">
      <c r="B115" s="1183" t="s">
        <v>678</v>
      </c>
      <c r="C115" s="1182">
        <f>IF(Doubling_rate_modelled="Combined","",
(((LN(C111))/(LN(2)))*(VLOOKUP(Doubling_rate_modelled,'Back Calculations'!B89:C99,2,FALSE)/7))-((LN(C110)/LN(2))*(VLOOKUP(Doubling_rate_modelled,'Back Calculations'!B89:C99,2,FALSE)/7)))</f>
        <v>21.833006875565275</v>
      </c>
      <c r="D115" s="1144"/>
      <c r="F115" s="1144"/>
      <c r="G115" s="1144"/>
      <c r="H115" s="1144"/>
      <c r="I115" s="1144"/>
      <c r="J115" s="1144"/>
      <c r="K115" s="1144"/>
    </row>
    <row r="116" spans="2:11" x14ac:dyDescent="0.35">
      <c r="B116" s="1144"/>
      <c r="C116" s="1144"/>
      <c r="D116" s="1144"/>
      <c r="F116" s="1144"/>
      <c r="G116" s="1144"/>
      <c r="H116" s="1144"/>
      <c r="I116" s="1144"/>
      <c r="J116" s="1144"/>
      <c r="K116" s="1144"/>
    </row>
    <row r="117" spans="2:11" x14ac:dyDescent="0.35">
      <c r="B117" s="1151" t="s">
        <v>1025</v>
      </c>
      <c r="C117" s="1177"/>
      <c r="D117" s="1144"/>
      <c r="F117" s="1144"/>
      <c r="G117" s="1144"/>
      <c r="H117" s="1144"/>
      <c r="I117" s="1144"/>
      <c r="J117" s="1144"/>
      <c r="K117" s="1144"/>
    </row>
    <row r="118" spans="2:11" x14ac:dyDescent="0.35">
      <c r="B118" s="1150" t="s">
        <v>682</v>
      </c>
      <c r="C118" s="1182" t="e">
        <f>(2^(J94/(F94/7)))*C110</f>
        <v>#DIV/0!</v>
      </c>
      <c r="D118" s="1144"/>
      <c r="F118" s="1144"/>
      <c r="G118" s="1144"/>
      <c r="H118" s="1144"/>
      <c r="I118" s="1144"/>
      <c r="J118" s="1144"/>
      <c r="K118" s="1144"/>
    </row>
    <row r="119" spans="2:11" x14ac:dyDescent="0.35">
      <c r="B119" s="1150" t="s">
        <v>683</v>
      </c>
      <c r="C119" s="1184" t="e">
        <f>((((LN($C$111/$C$118)/LN(2)))*($H$94/7))+($J$94))</f>
        <v>#DIV/0!</v>
      </c>
      <c r="D119" s="1144"/>
      <c r="E119" s="1150"/>
      <c r="F119" s="1144"/>
      <c r="G119" s="1144"/>
      <c r="H119" s="1144"/>
      <c r="I119" s="1144"/>
      <c r="J119" s="1144"/>
      <c r="K119" s="1144"/>
    </row>
    <row r="120" spans="2:11" x14ac:dyDescent="0.35">
      <c r="B120" s="1150" t="s">
        <v>676</v>
      </c>
      <c r="C120" s="1185">
        <v>0</v>
      </c>
      <c r="D120" s="1144"/>
      <c r="E120" s="1150"/>
      <c r="F120" s="1144"/>
      <c r="G120" s="1144"/>
      <c r="H120" s="1144"/>
      <c r="I120" s="1144"/>
      <c r="J120" s="1144"/>
      <c r="K120" s="1144"/>
    </row>
    <row r="121" spans="2:11" x14ac:dyDescent="0.35">
      <c r="B121" s="1144"/>
      <c r="C121" s="1144"/>
      <c r="D121" s="1144"/>
      <c r="E121" s="1144"/>
      <c r="F121" s="1144"/>
      <c r="G121" s="1144"/>
      <c r="H121" s="1144"/>
      <c r="I121" s="1144"/>
      <c r="J121" s="1144"/>
      <c r="K121" s="1144"/>
    </row>
    <row r="122" spans="2:11" x14ac:dyDescent="0.35">
      <c r="B122" s="1151" t="s">
        <v>807</v>
      </c>
      <c r="C122" s="1177"/>
      <c r="D122" s="1144"/>
      <c r="E122" s="1150"/>
      <c r="F122" s="1144"/>
      <c r="G122" s="1144"/>
      <c r="H122" s="1144"/>
      <c r="I122" s="1144"/>
      <c r="J122" s="1144"/>
      <c r="K122" s="1144"/>
    </row>
    <row r="123" spans="2:11" x14ac:dyDescent="0.35">
      <c r="B123" s="383" t="s">
        <v>806</v>
      </c>
      <c r="C123" s="1102">
        <f>'User Dashboard'!H13+1</f>
        <v>1</v>
      </c>
      <c r="D123" s="1186"/>
      <c r="E123" s="1144"/>
      <c r="F123" s="1144"/>
      <c r="G123" s="1144"/>
      <c r="H123" s="1144"/>
      <c r="I123" s="1144"/>
      <c r="J123" s="1144"/>
      <c r="K123" s="1144"/>
    </row>
    <row r="124" spans="2:11" ht="29" x14ac:dyDescent="0.35">
      <c r="B124" s="383" t="s">
        <v>808</v>
      </c>
      <c r="C124" s="1102">
        <f>ROUNDUP('User Dashboard'!I12,0)+'User Dashboard'!H13</f>
        <v>6</v>
      </c>
      <c r="D124" s="1187"/>
      <c r="E124" s="1150"/>
      <c r="F124" s="1144"/>
      <c r="G124" s="1188"/>
      <c r="H124" s="1144"/>
      <c r="I124" s="1144"/>
      <c r="J124" s="1144"/>
      <c r="K124" s="1144"/>
    </row>
    <row r="125" spans="2:11" x14ac:dyDescent="0.35">
      <c r="B125" s="383"/>
      <c r="C125" s="1144"/>
      <c r="D125" s="1144"/>
      <c r="E125" s="1144"/>
      <c r="F125" s="1144"/>
      <c r="G125" s="1188"/>
      <c r="H125" s="1144"/>
      <c r="I125" s="1144"/>
      <c r="J125" s="1144"/>
      <c r="K125" s="1144"/>
    </row>
    <row r="128" spans="2:11" s="1190" customFormat="1" x14ac:dyDescent="0.35">
      <c r="B128" s="1189" t="s">
        <v>1026</v>
      </c>
    </row>
    <row r="130" spans="2:11" s="1192" customFormat="1" x14ac:dyDescent="0.35">
      <c r="B130" s="1191"/>
      <c r="C130" s="1191" t="s">
        <v>923</v>
      </c>
      <c r="F130" s="1191" t="s">
        <v>924</v>
      </c>
    </row>
    <row r="132" spans="2:11" x14ac:dyDescent="0.35">
      <c r="C132" s="1193"/>
      <c r="D132" s="1193" t="s">
        <v>965</v>
      </c>
      <c r="E132" s="1193"/>
      <c r="F132" s="910" t="s">
        <v>928</v>
      </c>
      <c r="G132" s="1193"/>
      <c r="H132" s="1193"/>
      <c r="I132" s="1194">
        <v>1</v>
      </c>
    </row>
    <row r="133" spans="2:11" x14ac:dyDescent="0.35">
      <c r="C133" s="910" t="s">
        <v>1034</v>
      </c>
      <c r="D133" s="1195">
        <v>8</v>
      </c>
      <c r="F133" s="910" t="s">
        <v>927</v>
      </c>
      <c r="I133" s="1194">
        <v>0.75</v>
      </c>
    </row>
    <row r="134" spans="2:11" x14ac:dyDescent="0.35">
      <c r="C134" s="910" t="s">
        <v>934</v>
      </c>
      <c r="D134" s="1195">
        <v>16</v>
      </c>
      <c r="F134" s="910" t="s">
        <v>926</v>
      </c>
      <c r="I134" s="1194">
        <v>0.5</v>
      </c>
    </row>
    <row r="135" spans="2:11" x14ac:dyDescent="0.35">
      <c r="C135" s="910" t="s">
        <v>935</v>
      </c>
      <c r="D135" s="1195">
        <v>24</v>
      </c>
      <c r="F135" s="910" t="s">
        <v>929</v>
      </c>
      <c r="I135" s="1194">
        <v>0.25</v>
      </c>
    </row>
    <row r="138" spans="2:11" ht="15" thickBot="1" x14ac:dyDescent="0.4">
      <c r="B138" s="1196" t="s">
        <v>904</v>
      </c>
      <c r="C138" s="1197"/>
      <c r="E138" s="142"/>
      <c r="F138" s="1198"/>
      <c r="G138" s="1199"/>
    </row>
    <row r="139" spans="2:11" ht="15" thickTop="1" x14ac:dyDescent="0.35">
      <c r="G139" s="1200"/>
      <c r="H139" s="1608" t="s">
        <v>1027</v>
      </c>
      <c r="I139" s="1608"/>
      <c r="J139" s="1608"/>
    </row>
    <row r="140" spans="2:11" x14ac:dyDescent="0.35">
      <c r="B140" s="90" t="s">
        <v>895</v>
      </c>
      <c r="C140" s="90" t="s">
        <v>903</v>
      </c>
      <c r="G140" s="93"/>
      <c r="H140" s="1201">
        <v>8</v>
      </c>
      <c r="I140" s="1201">
        <v>16</v>
      </c>
      <c r="J140" s="1202">
        <v>24</v>
      </c>
    </row>
    <row r="141" spans="2:11" x14ac:dyDescent="0.35">
      <c r="B141" s="307" t="s">
        <v>894</v>
      </c>
      <c r="C141" s="1203">
        <f>Inputs!I124</f>
        <v>15</v>
      </c>
      <c r="E141" s="1204"/>
      <c r="G141" s="307" t="s">
        <v>894</v>
      </c>
      <c r="H141" s="1205">
        <v>384</v>
      </c>
      <c r="I141" s="1205">
        <v>768</v>
      </c>
      <c r="J141" s="1205">
        <v>1344</v>
      </c>
    </row>
    <row r="142" spans="2:11" x14ac:dyDescent="0.35">
      <c r="B142" s="307" t="s">
        <v>893</v>
      </c>
      <c r="C142" s="1203">
        <f>Inputs!I125</f>
        <v>11</v>
      </c>
      <c r="E142" s="1204"/>
      <c r="G142" s="307" t="s">
        <v>893</v>
      </c>
      <c r="H142" s="1205">
        <v>960</v>
      </c>
      <c r="I142" s="1205">
        <v>1920</v>
      </c>
      <c r="J142" s="1205">
        <v>3072</v>
      </c>
    </row>
    <row r="143" spans="2:11" x14ac:dyDescent="0.35">
      <c r="B143" s="307" t="s">
        <v>892</v>
      </c>
      <c r="C143" s="1203">
        <f>Inputs!I126</f>
        <v>65</v>
      </c>
      <c r="E143" s="1204"/>
      <c r="G143" s="307" t="s">
        <v>892</v>
      </c>
      <c r="H143" s="1205">
        <v>94</v>
      </c>
      <c r="I143" s="1205">
        <v>282</v>
      </c>
      <c r="J143" s="1205">
        <v>470</v>
      </c>
    </row>
    <row r="144" spans="2:11" x14ac:dyDescent="0.35">
      <c r="B144" s="307" t="s">
        <v>891</v>
      </c>
      <c r="C144" s="1203">
        <f>Inputs!I127</f>
        <v>9</v>
      </c>
      <c r="E144" s="1204"/>
      <c r="G144" s="307" t="s">
        <v>891</v>
      </c>
      <c r="H144" s="1205">
        <v>275</v>
      </c>
      <c r="I144" s="1205">
        <v>550</v>
      </c>
      <c r="J144" s="1205">
        <v>825</v>
      </c>
      <c r="K144" s="1206"/>
    </row>
    <row r="145" spans="2:12" x14ac:dyDescent="0.35">
      <c r="B145" s="307" t="s">
        <v>890</v>
      </c>
      <c r="C145" s="1203">
        <f>Inputs!I128</f>
        <v>0</v>
      </c>
      <c r="E145" s="1204"/>
      <c r="G145" s="307" t="s">
        <v>890</v>
      </c>
      <c r="H145" s="1205">
        <v>383.33333333333331</v>
      </c>
      <c r="I145" s="1205">
        <v>766.66666666666663</v>
      </c>
      <c r="J145" s="1205">
        <v>1150</v>
      </c>
      <c r="K145" s="1206"/>
    </row>
    <row r="146" spans="2:12" x14ac:dyDescent="0.35">
      <c r="B146" s="307" t="s">
        <v>1565</v>
      </c>
      <c r="C146" s="1203">
        <f>Inputs!I133</f>
        <v>300.57512932651366</v>
      </c>
      <c r="E146" s="1204"/>
      <c r="G146" s="307" t="s">
        <v>889</v>
      </c>
      <c r="H146" s="1205">
        <v>10</v>
      </c>
      <c r="I146" s="1205">
        <v>21</v>
      </c>
      <c r="J146" s="1205">
        <v>42</v>
      </c>
    </row>
    <row r="147" spans="2:12" x14ac:dyDescent="0.35">
      <c r="B147" s="1207" t="s">
        <v>888</v>
      </c>
      <c r="C147" s="1203">
        <f>Inputs!I138</f>
        <v>3</v>
      </c>
      <c r="E147" s="1204"/>
      <c r="G147" s="1207" t="s">
        <v>888</v>
      </c>
      <c r="H147" s="1205">
        <v>188</v>
      </c>
      <c r="I147" s="1205">
        <v>376</v>
      </c>
      <c r="J147" s="1205">
        <v>564</v>
      </c>
      <c r="K147" s="1208"/>
    </row>
    <row r="148" spans="2:12" x14ac:dyDescent="0.35">
      <c r="J148" s="811"/>
    </row>
    <row r="149" spans="2:12" x14ac:dyDescent="0.35">
      <c r="B149" s="1209" t="s">
        <v>899</v>
      </c>
      <c r="D149" s="90" t="s">
        <v>965</v>
      </c>
      <c r="E149" s="90" t="s">
        <v>936</v>
      </c>
      <c r="G149" s="1210"/>
      <c r="H149" s="1211"/>
      <c r="I149" s="1212"/>
      <c r="J149" s="1213"/>
      <c r="K149" s="1213"/>
      <c r="L149" s="1211"/>
    </row>
    <row r="150" spans="2:12" x14ac:dyDescent="0.35">
      <c r="B150" s="1214" t="s">
        <v>920</v>
      </c>
      <c r="C150" s="1203" t="str">
        <f>Inputs!I129</f>
        <v>1 (8 hours)</v>
      </c>
      <c r="D150" s="1203">
        <f>VLOOKUP(C150,$C$133:$D$135,2,0)</f>
        <v>8</v>
      </c>
      <c r="E150" s="1203">
        <f>IF(D150=8,1,IF(D150=16,2,3))</f>
        <v>1</v>
      </c>
      <c r="G150" s="1215"/>
      <c r="H150" s="1216"/>
      <c r="I150" s="1217"/>
      <c r="J150" s="1217"/>
      <c r="K150" s="1217"/>
      <c r="L150" s="1218"/>
    </row>
    <row r="151" spans="2:12" x14ac:dyDescent="0.35">
      <c r="B151" s="1214" t="s">
        <v>898</v>
      </c>
      <c r="C151" s="1203">
        <f>Inputs!I130</f>
        <v>5</v>
      </c>
      <c r="D151" s="1203">
        <f>IF(ISBLANK(Inputs!$I130), Inputs!$E130, Inputs!$I130)</f>
        <v>5</v>
      </c>
      <c r="E151" s="1219"/>
      <c r="G151" s="1220"/>
      <c r="H151" s="1221"/>
      <c r="I151" s="1222"/>
      <c r="J151" s="1223"/>
      <c r="K151" s="1222"/>
      <c r="L151" s="1218"/>
    </row>
    <row r="152" spans="2:12" x14ac:dyDescent="0.35">
      <c r="B152" s="1214" t="s">
        <v>921</v>
      </c>
      <c r="C152" s="1203" t="str">
        <f>Inputs!I134</f>
        <v>1 (8 hours)</v>
      </c>
      <c r="D152" s="1203">
        <f>VLOOKUP(C152,$C$133:$D$135,2,0)</f>
        <v>8</v>
      </c>
      <c r="E152" s="1203">
        <f>IF(D152=8,1,IF(D152=16,2,3))</f>
        <v>1</v>
      </c>
      <c r="G152" s="1220"/>
      <c r="H152" s="1221"/>
      <c r="I152" s="1222"/>
      <c r="J152" s="1223"/>
      <c r="K152" s="1222"/>
      <c r="L152" s="1218"/>
    </row>
    <row r="153" spans="2:12" x14ac:dyDescent="0.35">
      <c r="B153" s="1214" t="s">
        <v>897</v>
      </c>
      <c r="C153" s="1203">
        <f>Inputs!I135</f>
        <v>5</v>
      </c>
      <c r="D153" s="1203">
        <f>IF(ISBLANK(Inputs!$I135), Inputs!$E135, Inputs!$I135)</f>
        <v>5</v>
      </c>
      <c r="E153" s="1219"/>
      <c r="G153" s="1220"/>
      <c r="H153" s="1221"/>
      <c r="I153" s="1222"/>
      <c r="J153" s="1223"/>
      <c r="K153" s="1222"/>
      <c r="L153" s="1218"/>
    </row>
    <row r="154" spans="2:12" x14ac:dyDescent="0.35">
      <c r="B154" s="1214" t="s">
        <v>922</v>
      </c>
      <c r="C154" s="1203" t="str">
        <f>Inputs!I139</f>
        <v>1 (8 hours)</v>
      </c>
      <c r="D154" s="1203">
        <f>VLOOKUP(C154,$C$133:$D$135,2,0)</f>
        <v>8</v>
      </c>
      <c r="E154" s="1203">
        <f>IF(D154=8,1,IF(D154=16,2,3))</f>
        <v>1</v>
      </c>
      <c r="G154" s="1220"/>
      <c r="H154" s="1221"/>
      <c r="I154" s="1222"/>
      <c r="J154" s="1223"/>
      <c r="K154" s="1222"/>
      <c r="L154" s="1206"/>
    </row>
    <row r="155" spans="2:12" x14ac:dyDescent="0.35">
      <c r="B155" s="1214" t="s">
        <v>896</v>
      </c>
      <c r="C155" s="1203">
        <f>Inputs!I140</f>
        <v>5</v>
      </c>
      <c r="D155" s="1203">
        <f>IF(ISBLANK(Inputs!$I140), Inputs!$E140, Inputs!$I140)</f>
        <v>5</v>
      </c>
      <c r="E155" s="1219"/>
      <c r="G155" s="1220"/>
      <c r="H155" s="1221"/>
      <c r="I155" s="1224"/>
      <c r="J155" s="1225"/>
      <c r="K155" s="1222"/>
      <c r="L155" s="1206"/>
    </row>
    <row r="156" spans="2:12" x14ac:dyDescent="0.35">
      <c r="C156" s="85"/>
      <c r="G156" s="1220"/>
      <c r="H156" s="1221"/>
      <c r="I156" s="1224"/>
      <c r="J156" s="1225"/>
      <c r="K156" s="1222"/>
      <c r="L156" s="1226"/>
    </row>
    <row r="157" spans="2:12" x14ac:dyDescent="0.35">
      <c r="B157" s="90" t="s">
        <v>925</v>
      </c>
      <c r="G157" s="1227"/>
      <c r="H157" s="1228"/>
      <c r="I157" s="1222"/>
      <c r="J157" s="1223"/>
      <c r="K157" s="1222"/>
      <c r="L157" s="1226"/>
    </row>
    <row r="158" spans="2:12" ht="29" x14ac:dyDescent="0.35">
      <c r="B158" s="1229" t="s">
        <v>902</v>
      </c>
      <c r="C158" s="1130" t="str">
        <f>IF(ISBLANK(Inputs!I131), Inputs!E131, Inputs!I131)</f>
        <v>Split evenly - 50%</v>
      </c>
      <c r="D158" s="1130">
        <f>VLOOKUP(C158,$F$132:$I$135,4,0)</f>
        <v>0.5</v>
      </c>
      <c r="G158" s="1227"/>
      <c r="H158" s="1227"/>
      <c r="I158" s="1222"/>
      <c r="J158" s="1223"/>
      <c r="K158" s="1222"/>
      <c r="L158" s="1206"/>
    </row>
    <row r="159" spans="2:12" ht="29" x14ac:dyDescent="0.35">
      <c r="B159" s="1229" t="s">
        <v>901</v>
      </c>
      <c r="C159" s="1130" t="str">
        <f>IF(ISBLANK(Inputs!I136), Inputs!E136, Inputs!I136)</f>
        <v>Split evenly - 50%</v>
      </c>
      <c r="D159" s="1130">
        <f>VLOOKUP(C159,$F$132:$I$135,4,0)</f>
        <v>0.5</v>
      </c>
      <c r="G159" s="1227"/>
      <c r="H159" s="1227"/>
      <c r="I159" s="1222"/>
      <c r="J159" s="1223"/>
      <c r="K159" s="1222"/>
      <c r="L159" s="1206"/>
    </row>
    <row r="160" spans="2:12" ht="29" x14ac:dyDescent="0.35">
      <c r="B160" s="1230" t="s">
        <v>900</v>
      </c>
      <c r="C160" s="1130" t="str">
        <f>IF(ISBLANK(Inputs!I141), Inputs!E141, Inputs!I141)</f>
        <v>Fully dedicated - 100%</v>
      </c>
      <c r="D160" s="1130">
        <f>VLOOKUP(C160,$F$132:$I$135,4,0)</f>
        <v>1</v>
      </c>
      <c r="G160" s="1220"/>
      <c r="H160" s="1220"/>
      <c r="I160" s="1223"/>
      <c r="J160" s="1223"/>
      <c r="K160" s="1222"/>
      <c r="L160" s="1218"/>
    </row>
    <row r="161" spans="2:12" x14ac:dyDescent="0.35">
      <c r="G161" s="1220"/>
      <c r="H161" s="1220"/>
      <c r="I161" s="1223"/>
      <c r="J161" s="1223"/>
      <c r="K161" s="1223"/>
      <c r="L161" s="1218"/>
    </row>
    <row r="162" spans="2:12" x14ac:dyDescent="0.35">
      <c r="G162" s="1220"/>
      <c r="H162" s="1220"/>
      <c r="I162" s="1222"/>
      <c r="J162" s="1223"/>
      <c r="K162" s="1222"/>
      <c r="L162" s="1218"/>
    </row>
    <row r="163" spans="2:12" ht="29" x14ac:dyDescent="0.35">
      <c r="C163" s="1231" t="s">
        <v>933</v>
      </c>
      <c r="D163" s="1232" t="s">
        <v>937</v>
      </c>
      <c r="G163" s="1220"/>
      <c r="H163" s="1220"/>
      <c r="I163" s="1222"/>
      <c r="J163" s="1223"/>
      <c r="K163" s="1223"/>
      <c r="L163" s="1218"/>
    </row>
    <row r="164" spans="2:12" x14ac:dyDescent="0.35">
      <c r="B164" s="910" t="s">
        <v>931</v>
      </c>
      <c r="C164" s="1233">
        <f>(C141+C142+C143+C144+C145)*E150*D151</f>
        <v>500</v>
      </c>
      <c r="D164" s="1233">
        <f>C164</f>
        <v>500</v>
      </c>
      <c r="G164" s="1220"/>
      <c r="H164" s="1220"/>
      <c r="I164" s="1223"/>
      <c r="J164" s="1223"/>
      <c r="K164" s="1223"/>
      <c r="L164" s="1218"/>
    </row>
    <row r="165" spans="2:12" x14ac:dyDescent="0.35">
      <c r="B165" s="910" t="s">
        <v>932</v>
      </c>
      <c r="C165" s="1233">
        <f>(C146/4)*E152*D153</f>
        <v>375.71891165814208</v>
      </c>
      <c r="D165" s="1233">
        <f>C165</f>
        <v>375.71891165814208</v>
      </c>
      <c r="G165" s="1227"/>
      <c r="H165" s="1220"/>
      <c r="I165" s="1222"/>
      <c r="J165" s="1223"/>
      <c r="K165" s="1222"/>
      <c r="L165" s="1218"/>
    </row>
    <row r="166" spans="2:12" x14ac:dyDescent="0.35">
      <c r="B166" s="1234" t="s">
        <v>689</v>
      </c>
      <c r="C166" s="1233">
        <f>C147*E154*D155</f>
        <v>15</v>
      </c>
      <c r="D166" s="1233">
        <f>C166</f>
        <v>15</v>
      </c>
      <c r="G166" s="1227"/>
      <c r="H166" s="1235"/>
      <c r="I166" s="1222"/>
      <c r="J166" s="1223"/>
      <c r="K166" s="1222"/>
      <c r="L166" s="1218"/>
    </row>
    <row r="167" spans="2:12" x14ac:dyDescent="0.35">
      <c r="G167" s="1227"/>
      <c r="H167" s="1220"/>
      <c r="I167" s="1222"/>
      <c r="J167" s="1223"/>
      <c r="K167" s="1222"/>
      <c r="L167" s="1218"/>
    </row>
    <row r="172" spans="2:12" x14ac:dyDescent="0.35">
      <c r="B172" s="1389" t="s">
        <v>1898</v>
      </c>
      <c r="C172" s="1389"/>
      <c r="D172" s="1389"/>
      <c r="E172" s="1389"/>
      <c r="F172" s="1389"/>
      <c r="G172" s="1389"/>
    </row>
    <row r="173" spans="2:12" x14ac:dyDescent="0.35">
      <c r="B173" s="909" t="s">
        <v>1897</v>
      </c>
      <c r="C173" s="909"/>
      <c r="D173" s="909"/>
      <c r="E173" s="909"/>
      <c r="F173" s="909"/>
      <c r="G173" s="909"/>
    </row>
    <row r="182" spans="3:8" x14ac:dyDescent="0.35">
      <c r="C182" s="1389"/>
      <c r="D182" s="1389"/>
      <c r="E182" s="1389"/>
      <c r="F182" s="1389"/>
      <c r="G182" s="1389"/>
      <c r="H182" s="1389"/>
    </row>
    <row r="183" spans="3:8" x14ac:dyDescent="0.35">
      <c r="C183" s="909"/>
      <c r="D183" s="909"/>
      <c r="E183" s="909"/>
      <c r="F183" s="909"/>
      <c r="G183" s="909"/>
      <c r="H183" s="909"/>
    </row>
  </sheetData>
  <sheetProtection algorithmName="SHA-512" hashValue="Nlwj5JNUOyAsluaUPdCEB+t7RyUhLRDrH4IQPURyNHeoqNQEf7YsdI1+5eUDvEJqnVpZTbxeBSgF+1SIGoapZg==" saltValue="YcA6V9bAXy4kxudeYvydVw==" spinCount="100000" sheet="1" objects="1" scenarios="1"/>
  <mergeCells count="3">
    <mergeCell ref="H139:J139"/>
    <mergeCell ref="B172:G172"/>
    <mergeCell ref="C182:H182"/>
  </mergeCells>
  <conditionalFormatting sqref="D150:D155 C141:C147">
    <cfRule type="expression" dxfId="8" priority="10">
      <formula>IF($F$58,TRUE,FALSE)</formula>
    </cfRule>
  </conditionalFormatting>
  <conditionalFormatting sqref="C150:C155">
    <cfRule type="expression" dxfId="7" priority="9">
      <formula>IF($F$58,TRUE,FALSE)</formula>
    </cfRule>
  </conditionalFormatting>
  <conditionalFormatting sqref="C36">
    <cfRule type="expression" dxfId="6" priority="8">
      <formula>IF($G$51,TRUE,FALSE)</formula>
    </cfRule>
  </conditionalFormatting>
  <conditionalFormatting sqref="C40">
    <cfRule type="expression" dxfId="5" priority="7">
      <formula>IF($G$51,TRUE,FALSE)</formula>
    </cfRule>
  </conditionalFormatting>
  <conditionalFormatting sqref="C41">
    <cfRule type="expression" dxfId="4" priority="6">
      <formula>IF($G$51,TRUE,FALSE)</formula>
    </cfRule>
  </conditionalFormatting>
  <conditionalFormatting sqref="C44">
    <cfRule type="expression" dxfId="3" priority="5">
      <formula>IF($G$51,TRUE,FALSE)</formula>
    </cfRule>
  </conditionalFormatting>
  <conditionalFormatting sqref="E150">
    <cfRule type="expression" dxfId="2" priority="4">
      <formula>IF($F$58,TRUE,FALSE)</formula>
    </cfRule>
  </conditionalFormatting>
  <conditionalFormatting sqref="E152">
    <cfRule type="expression" dxfId="1" priority="3">
      <formula>IF($F$58,TRUE,FALSE)</formula>
    </cfRule>
  </conditionalFormatting>
  <conditionalFormatting sqref="E154">
    <cfRule type="expression" dxfId="0" priority="2">
      <formula>IF($F$58,TRUE,FALSE)</formula>
    </cfRule>
  </conditionalFormatting>
  <dataValidations count="2">
    <dataValidation type="whole" allowBlank="1" showInputMessage="1" showErrorMessage="1" sqref="C123" xr:uid="{00000000-0002-0000-1300-000000000000}">
      <formula1>0</formula1>
      <formula2>12</formula2>
    </dataValidation>
    <dataValidation type="whole" operator="greaterThanOrEqual" allowBlank="1" showInputMessage="1" showErrorMessage="1" errorTitle="Please enter a positive integer" error="Please enter a positive integer" sqref="I147" xr:uid="{00000000-0002-0000-1300-000001000000}">
      <formula1>0</formula1>
    </dataValidation>
  </dataValidations>
  <hyperlinks>
    <hyperlink ref="D2" location="'Back Calculations'!B7" display="Staff &amp; Infrastructure assumptions" xr:uid="{00000000-0004-0000-1300-000000000000}"/>
    <hyperlink ref="D3" location="'Back Calculations'!B46" display="Diagnostics" xr:uid="{00000000-0004-0000-1300-000001000000}"/>
    <hyperlink ref="D4" location="'Back Calculations'!B71" display="Oxygen" xr:uid="{00000000-0004-0000-1300-000002000000}"/>
    <hyperlink ref="D5" location="'Back Calculations'!B82" display="Patients" xr:uid="{00000000-0004-0000-1300-000003000000}"/>
    <hyperlink ref="D6" location="'Back Calculations'!B129" display="Diagnostics footprint" xr:uid="{00000000-0004-0000-1300-000004000000}"/>
    <hyperlink ref="B172" r:id="rId1" display="https://creativecommons.org/licenses/by-nc-sa/3.0/igo" xr:uid="{474F729F-4143-4B15-A12E-15F7826EFF16}"/>
  </hyperlinks>
  <pageMargins left="0.7" right="0.7" top="0.75" bottom="0.75" header="0.3" footer="0.3"/>
  <pageSetup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B2"/>
  <sheetViews>
    <sheetView showGridLines="0" workbookViewId="0">
      <selection activeCell="F14" sqref="F14"/>
    </sheetView>
  </sheetViews>
  <sheetFormatPr defaultColWidth="8.81640625" defaultRowHeight="14.5" x14ac:dyDescent="0.35"/>
  <sheetData>
    <row r="2" spans="2:2" x14ac:dyDescent="0.35">
      <c r="B2" t="s">
        <v>1891</v>
      </c>
    </row>
  </sheetData>
  <sheetProtection algorithmName="SHA-512" hashValue="otosmElIpxC90qt1b4C/pTnpzTuRrRfaW/mAF3tieaNaN2Au5gzdeAQk//E6qBWZSU7aLQ/HB8ZkFz8GaFR4Tg==" saltValue="uchIPTwqM31Sj8WOnD4Ygw==" spinCount="100000" sheet="1" objects="1" scenarios="1"/>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A1"/>
  <sheetViews>
    <sheetView workbookViewId="0"/>
  </sheetViews>
  <sheetFormatPr defaultColWidth="8.81640625" defaultRowHeight="14.5" x14ac:dyDescent="0.35"/>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
  <sheetViews>
    <sheetView workbookViewId="0"/>
  </sheetViews>
  <sheetFormatPr defaultColWidth="8.81640625" defaultRowHeight="14.5" x14ac:dyDescent="0.35"/>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
  <sheetViews>
    <sheetView workbookViewId="0"/>
  </sheetViews>
  <sheetFormatPr defaultColWidth="8.81640625" defaultRowHeight="14.5" x14ac:dyDescent="0.35"/>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
  <sheetViews>
    <sheetView workbookViewId="0"/>
  </sheetViews>
  <sheetFormatPr defaultColWidth="8.81640625" defaultRowHeight="14.5" x14ac:dyDescent="0.35"/>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2" tint="-0.499984740745262"/>
  </sheetPr>
  <dimension ref="A1:BB152"/>
  <sheetViews>
    <sheetView topLeftCell="A16" workbookViewId="0">
      <selection activeCell="A5" sqref="A5"/>
    </sheetView>
  </sheetViews>
  <sheetFormatPr defaultColWidth="8.453125" defaultRowHeight="14.5" x14ac:dyDescent="0.35"/>
  <cols>
    <col min="1" max="2" width="31.453125" style="129" customWidth="1"/>
    <col min="3" max="18" width="8.453125" style="129"/>
    <col min="19" max="19" width="12.453125" style="129" customWidth="1"/>
    <col min="20" max="53" width="8.453125" style="129"/>
    <col min="54" max="54" width="11" style="129" customWidth="1"/>
    <col min="55" max="16384" width="8.453125" style="129"/>
  </cols>
  <sheetData>
    <row r="1" spans="1:54" ht="34.5" customHeight="1" x14ac:dyDescent="0.35">
      <c r="A1" s="1588" t="s">
        <v>1067</v>
      </c>
      <c r="B1" s="1588"/>
      <c r="C1" s="1588"/>
      <c r="D1" s="1588"/>
      <c r="E1" s="1588"/>
      <c r="F1" s="1588"/>
      <c r="G1" s="1588"/>
      <c r="H1" s="1588"/>
      <c r="I1" s="1588"/>
      <c r="J1" s="1588"/>
      <c r="K1" s="1588"/>
      <c r="L1" s="1588"/>
      <c r="M1" s="1588"/>
      <c r="N1" s="1588"/>
      <c r="O1" s="1588"/>
      <c r="P1" s="1588"/>
      <c r="Q1" s="1588"/>
      <c r="R1" s="1588"/>
    </row>
    <row r="2" spans="1:54" ht="18.649999999999999" customHeight="1" x14ac:dyDescent="0.35">
      <c r="C2" s="1609" t="s">
        <v>1047</v>
      </c>
      <c r="D2" s="1609"/>
      <c r="E2" s="1609"/>
      <c r="F2" s="1609"/>
      <c r="G2" s="1609"/>
      <c r="H2" s="1609"/>
      <c r="I2" s="1609"/>
      <c r="J2" s="1609"/>
      <c r="K2" s="1609"/>
      <c r="L2" s="1609"/>
      <c r="M2" s="1609"/>
      <c r="N2" s="1609"/>
      <c r="O2" s="1609"/>
      <c r="P2" s="1609"/>
      <c r="Q2" s="1609"/>
      <c r="R2" s="1609"/>
      <c r="T2" s="1609" t="s">
        <v>1048</v>
      </c>
      <c r="U2" s="1609"/>
      <c r="V2" s="1609"/>
      <c r="W2" s="1609"/>
      <c r="X2" s="1609"/>
      <c r="Y2" s="1609"/>
      <c r="Z2" s="1609"/>
      <c r="AA2" s="1609"/>
      <c r="AB2" s="1609"/>
      <c r="AC2" s="1609"/>
      <c r="AD2" s="1609"/>
      <c r="AE2" s="1609"/>
      <c r="AF2" s="1609"/>
      <c r="AG2" s="1609"/>
      <c r="AH2" s="1609"/>
      <c r="AI2" s="1609"/>
      <c r="AK2" s="1609" t="s">
        <v>1049</v>
      </c>
      <c r="AL2" s="1609"/>
      <c r="AM2" s="1609"/>
      <c r="AN2" s="1609"/>
      <c r="AO2" s="1609"/>
      <c r="AP2" s="1609"/>
      <c r="AQ2" s="1609"/>
      <c r="AR2" s="1609"/>
      <c r="AS2" s="1609"/>
      <c r="AT2" s="1609"/>
      <c r="AU2" s="1609"/>
      <c r="AV2" s="1609"/>
      <c r="AW2" s="1609"/>
      <c r="AX2" s="1609"/>
      <c r="AY2" s="1609"/>
      <c r="AZ2" s="1609"/>
      <c r="BB2" s="1" t="s">
        <v>1050</v>
      </c>
    </row>
    <row r="3" spans="1:54" x14ac:dyDescent="0.35">
      <c r="A3" s="129" t="s">
        <v>260</v>
      </c>
      <c r="B3" s="129" t="s">
        <v>1235</v>
      </c>
      <c r="C3" s="394" t="s">
        <v>1051</v>
      </c>
      <c r="D3" s="394" t="s">
        <v>1052</v>
      </c>
      <c r="E3" s="394" t="s">
        <v>1053</v>
      </c>
      <c r="F3" s="394" t="s">
        <v>1054</v>
      </c>
      <c r="G3" s="394" t="s">
        <v>1055</v>
      </c>
      <c r="H3" s="394" t="s">
        <v>1056</v>
      </c>
      <c r="I3" s="394" t="s">
        <v>1057</v>
      </c>
      <c r="J3" s="394" t="s">
        <v>1058</v>
      </c>
      <c r="K3" s="394" t="s">
        <v>1059</v>
      </c>
      <c r="L3" s="394" t="s">
        <v>1060</v>
      </c>
      <c r="M3" s="394" t="s">
        <v>1061</v>
      </c>
      <c r="N3" s="394" t="s">
        <v>1062</v>
      </c>
      <c r="O3" s="394" t="s">
        <v>1063</v>
      </c>
      <c r="P3" s="394" t="s">
        <v>1064</v>
      </c>
      <c r="Q3" s="394" t="s">
        <v>1065</v>
      </c>
      <c r="R3" s="394" t="s">
        <v>1066</v>
      </c>
      <c r="T3" s="394" t="s">
        <v>1051</v>
      </c>
      <c r="U3" s="394" t="s">
        <v>1052</v>
      </c>
      <c r="V3" s="394" t="s">
        <v>1053</v>
      </c>
      <c r="W3" s="394" t="s">
        <v>1054</v>
      </c>
      <c r="X3" s="394" t="s">
        <v>1055</v>
      </c>
      <c r="Y3" s="394" t="s">
        <v>1056</v>
      </c>
      <c r="Z3" s="394" t="s">
        <v>1057</v>
      </c>
      <c r="AA3" s="394" t="s">
        <v>1058</v>
      </c>
      <c r="AB3" s="394" t="s">
        <v>1059</v>
      </c>
      <c r="AC3" s="394" t="s">
        <v>1060</v>
      </c>
      <c r="AD3" s="394" t="s">
        <v>1061</v>
      </c>
      <c r="AE3" s="394" t="s">
        <v>1062</v>
      </c>
      <c r="AF3" s="394" t="s">
        <v>1063</v>
      </c>
      <c r="AG3" s="394" t="s">
        <v>1064</v>
      </c>
      <c r="AH3" s="394" t="s">
        <v>1065</v>
      </c>
      <c r="AI3" s="394" t="s">
        <v>1066</v>
      </c>
      <c r="AK3" s="394" t="s">
        <v>1051</v>
      </c>
      <c r="AL3" s="394" t="s">
        <v>1052</v>
      </c>
      <c r="AM3" s="394" t="s">
        <v>1053</v>
      </c>
      <c r="AN3" s="394" t="s">
        <v>1054</v>
      </c>
      <c r="AO3" s="394" t="s">
        <v>1055</v>
      </c>
      <c r="AP3" s="394" t="s">
        <v>1056</v>
      </c>
      <c r="AQ3" s="394" t="s">
        <v>1057</v>
      </c>
      <c r="AR3" s="394" t="s">
        <v>1058</v>
      </c>
      <c r="AS3" s="394" t="s">
        <v>1059</v>
      </c>
      <c r="AT3" s="394" t="s">
        <v>1060</v>
      </c>
      <c r="AU3" s="394" t="s">
        <v>1061</v>
      </c>
      <c r="AV3" s="394" t="s">
        <v>1062</v>
      </c>
      <c r="AW3" s="394" t="s">
        <v>1063</v>
      </c>
      <c r="AX3" s="394" t="s">
        <v>1064</v>
      </c>
      <c r="AY3" s="394" t="s">
        <v>1065</v>
      </c>
      <c r="AZ3" s="394" t="s">
        <v>1066</v>
      </c>
    </row>
    <row r="4" spans="1:54" x14ac:dyDescent="0.35">
      <c r="A4" s="129" t="s">
        <v>423</v>
      </c>
      <c r="B4" s="129" t="str">
        <f>VLOOKUP(A4,'HCW, Staff, Beds Summary'!B:E,4,FALSE)</f>
        <v>High income</v>
      </c>
      <c r="C4" s="691">
        <v>12.099957234167301</v>
      </c>
      <c r="D4" s="691">
        <v>14.9194673738977</v>
      </c>
      <c r="E4" s="691">
        <v>21.1006384516038</v>
      </c>
      <c r="F4" s="691">
        <v>21.6929083463152</v>
      </c>
      <c r="G4" s="691">
        <v>16.174202898371099</v>
      </c>
      <c r="H4" s="691">
        <v>18.864270446353999</v>
      </c>
      <c r="I4" s="691">
        <v>20.671231971035802</v>
      </c>
      <c r="J4" s="691">
        <v>21.777875897131199</v>
      </c>
      <c r="K4" s="691">
        <v>23.402800403568499</v>
      </c>
      <c r="L4" s="691">
        <v>18.008052633081299</v>
      </c>
      <c r="M4" s="691">
        <v>14.4669847686782</v>
      </c>
      <c r="N4" s="691">
        <v>10.6245023453782</v>
      </c>
      <c r="O4" s="691">
        <v>8.1066432542081905</v>
      </c>
      <c r="P4" s="691">
        <v>8.5159816528958903</v>
      </c>
      <c r="Q4" s="691">
        <v>5.1030819020015699</v>
      </c>
      <c r="R4" s="691">
        <v>2.3733363140325601</v>
      </c>
      <c r="S4" s="691"/>
      <c r="T4" s="691">
        <v>3.8439834024896265E-2</v>
      </c>
      <c r="U4" s="691">
        <v>4.4165975103734441E-2</v>
      </c>
      <c r="V4" s="691">
        <v>4.7253112033195023E-2</v>
      </c>
      <c r="W4" s="691">
        <v>4.7568464730290458E-2</v>
      </c>
      <c r="X4" s="691">
        <v>4.8663900414937761E-2</v>
      </c>
      <c r="Y4" s="691">
        <v>5.2282157676348549E-2</v>
      </c>
      <c r="Z4" s="691">
        <v>5.5668049792531121E-2</v>
      </c>
      <c r="AA4" s="691">
        <v>6.0082987551867223E-2</v>
      </c>
      <c r="AB4" s="691">
        <v>6.9278008298755189E-2</v>
      </c>
      <c r="AC4" s="691">
        <v>7.9933609958506222E-2</v>
      </c>
      <c r="AD4" s="691">
        <v>8.117842323651453E-2</v>
      </c>
      <c r="AE4" s="691">
        <v>7.7062240663900411E-2</v>
      </c>
      <c r="AF4" s="691">
        <v>6.5377593360995856E-2</v>
      </c>
      <c r="AG4" s="691">
        <v>5.8406639004149379E-2</v>
      </c>
      <c r="AH4" s="691">
        <v>5.6099585062240664E-2</v>
      </c>
      <c r="AI4" s="691">
        <v>4.3618257261410789E-2</v>
      </c>
      <c r="AJ4" s="691"/>
      <c r="AK4" s="691">
        <f t="shared" ref="AK4:AK35" si="0">C4/T4/16</f>
        <v>19.673532581999673</v>
      </c>
      <c r="AL4" s="691">
        <f t="shared" ref="AL4:AL35" si="1">D4/U4/16</f>
        <v>21.112784415570658</v>
      </c>
      <c r="AM4" s="691">
        <f t="shared" ref="AM4:AM35" si="2">E4/V4/16</f>
        <v>27.909059244580455</v>
      </c>
      <c r="AN4" s="691">
        <f t="shared" ref="AN4:AN35" si="3">F4/W4/16</f>
        <v>28.502218419955746</v>
      </c>
      <c r="AO4" s="691">
        <f t="shared" ref="AO4:AO35" si="4">G4/X4/16</f>
        <v>20.772845426050022</v>
      </c>
      <c r="AP4" s="691">
        <f t="shared" ref="AP4:AP35" si="5">H4/Y4/16</f>
        <v>22.551037587159293</v>
      </c>
      <c r="AQ4" s="691">
        <f t="shared" ref="AQ4:AQ35" si="6">I4/Z4/16</f>
        <v>23.208141887576531</v>
      </c>
      <c r="AR4" s="691">
        <f t="shared" ref="AR4:AR35" si="7">J4/AA4/16</f>
        <v>22.653954122965377</v>
      </c>
      <c r="AS4" s="691">
        <f t="shared" ref="AS4:AS35" si="8">K4/AB4/16</f>
        <v>21.113121770409109</v>
      </c>
      <c r="AT4" s="691">
        <f t="shared" ref="AT4:AT35" si="9">L4/AC4/16</f>
        <v>14.0804761620529</v>
      </c>
      <c r="AU4" s="691">
        <f t="shared" ref="AU4:AU35" si="10">M4/AD4/16</f>
        <v>11.138262015856439</v>
      </c>
      <c r="AV4" s="691">
        <f t="shared" ref="AV4:AV35" si="11">N4/AE4/16</f>
        <v>8.6168192212609931</v>
      </c>
      <c r="AW4" s="691">
        <f t="shared" ref="AW4:AW35" si="12">O4/AF4/16</f>
        <v>7.7498295263081278</v>
      </c>
      <c r="AX4" s="691">
        <f t="shared" ref="AX4:AX35" si="13">P4/AG4/16</f>
        <v>9.112814268737166</v>
      </c>
      <c r="AY4" s="691">
        <f t="shared" ref="AY4:AY35" si="14">Q4/AH4/16</f>
        <v>5.6852937240309647</v>
      </c>
      <c r="AZ4" s="691">
        <f t="shared" ref="AZ4:AZ35" si="15">R4/AI4/16</f>
        <v>3.4007209123016966</v>
      </c>
      <c r="BA4" s="691"/>
      <c r="BB4" s="691">
        <f t="shared" ref="BB4:BB35" si="16">IFERROR(AVERAGE(AK4:AZ4),"")</f>
        <v>16.705056955425945</v>
      </c>
    </row>
    <row r="5" spans="1:54" x14ac:dyDescent="0.35">
      <c r="A5" s="129" t="s">
        <v>216</v>
      </c>
      <c r="B5" s="129" t="str">
        <f>VLOOKUP(A5,'HCW, Staff, Beds Summary'!B:E,4,FALSE)</f>
        <v>Low income</v>
      </c>
      <c r="C5" s="691">
        <v>25.1232764530677</v>
      </c>
      <c r="D5" s="691">
        <v>48.884356919917302</v>
      </c>
      <c r="E5" s="691">
        <v>38.215903538424399</v>
      </c>
      <c r="F5" s="691">
        <v>30.680421752297299</v>
      </c>
      <c r="G5" s="691">
        <v>19.746340176476501</v>
      </c>
      <c r="H5" s="691">
        <v>19.5708576104822</v>
      </c>
      <c r="I5" s="691">
        <v>18.376614001014499</v>
      </c>
      <c r="J5" s="691">
        <v>17.8265847611232</v>
      </c>
      <c r="K5" s="691">
        <v>15.8543292634492</v>
      </c>
      <c r="L5" s="691">
        <v>12.6636106276859</v>
      </c>
      <c r="M5" s="691">
        <v>9.84885812684721</v>
      </c>
      <c r="N5" s="691">
        <v>6.3860927707087001</v>
      </c>
      <c r="O5" s="691">
        <v>2.7949262266477999</v>
      </c>
      <c r="P5" s="691">
        <v>0.74068581016649104</v>
      </c>
      <c r="Q5" s="691">
        <v>0.35037298903526098</v>
      </c>
      <c r="R5" s="691">
        <v>0.226774142380234</v>
      </c>
      <c r="S5" s="691"/>
      <c r="T5" s="691">
        <v>0.17043790035198181</v>
      </c>
      <c r="U5" s="691">
        <v>0.15434730329463719</v>
      </c>
      <c r="V5" s="691">
        <v>0.13537089263461666</v>
      </c>
      <c r="W5" s="691">
        <v>0.11492971294899543</v>
      </c>
      <c r="X5" s="691">
        <v>9.4641568833213091E-2</v>
      </c>
      <c r="Y5" s="691">
        <v>7.7479722786996344E-2</v>
      </c>
      <c r="Z5" s="691">
        <v>6.2263614700159592E-2</v>
      </c>
      <c r="AA5" s="691">
        <v>4.9255591263855182E-2</v>
      </c>
      <c r="AB5" s="691">
        <v>3.8586825823659299E-2</v>
      </c>
      <c r="AC5" s="691">
        <v>2.9907522791368792E-2</v>
      </c>
      <c r="AD5" s="691">
        <v>2.3283268839771758E-2</v>
      </c>
      <c r="AE5" s="691">
        <v>1.7205570494742136E-2</v>
      </c>
      <c r="AF5" s="691">
        <v>1.2417743381211604E-2</v>
      </c>
      <c r="AG5" s="691">
        <v>8.8760630506547738E-3</v>
      </c>
      <c r="AH5" s="691">
        <v>5.72790275682648E-3</v>
      </c>
      <c r="AI5" s="691">
        <v>3.2793336394044731E-3</v>
      </c>
      <c r="AJ5" s="691"/>
      <c r="AK5" s="691">
        <f t="shared" si="0"/>
        <v>9.2127676712398152</v>
      </c>
      <c r="AL5" s="691">
        <f t="shared" si="1"/>
        <v>19.794789039252279</v>
      </c>
      <c r="AM5" s="691">
        <f t="shared" si="2"/>
        <v>17.644073439024854</v>
      </c>
      <c r="AN5" s="691">
        <f t="shared" si="3"/>
        <v>16.684339587357698</v>
      </c>
      <c r="AO5" s="691">
        <f t="shared" si="4"/>
        <v>13.040213473264778</v>
      </c>
      <c r="AP5" s="691">
        <f t="shared" si="5"/>
        <v>15.78708024056621</v>
      </c>
      <c r="AQ5" s="691">
        <f t="shared" si="6"/>
        <v>18.446381254836819</v>
      </c>
      <c r="AR5" s="691">
        <f t="shared" si="7"/>
        <v>22.620001485756113</v>
      </c>
      <c r="AS5" s="691">
        <f t="shared" si="8"/>
        <v>25.679634378166782</v>
      </c>
      <c r="AT5" s="691">
        <f t="shared" si="9"/>
        <v>26.464099676579895</v>
      </c>
      <c r="AU5" s="691">
        <f t="shared" si="10"/>
        <v>26.437595045781585</v>
      </c>
      <c r="AV5" s="691">
        <f t="shared" si="11"/>
        <v>23.197765996266408</v>
      </c>
      <c r="AW5" s="691">
        <f t="shared" si="12"/>
        <v>14.067200762884795</v>
      </c>
      <c r="AX5" s="691">
        <f t="shared" si="13"/>
        <v>5.2154725435384028</v>
      </c>
      <c r="AY5" s="691">
        <f t="shared" si="14"/>
        <v>3.8230942012075073</v>
      </c>
      <c r="AZ5" s="691">
        <f t="shared" si="15"/>
        <v>4.3220316860892849</v>
      </c>
      <c r="BA5" s="691"/>
      <c r="BB5" s="691">
        <f t="shared" si="16"/>
        <v>16.402283780113329</v>
      </c>
    </row>
    <row r="6" spans="1:54" x14ac:dyDescent="0.35">
      <c r="A6" s="129" t="s">
        <v>197</v>
      </c>
      <c r="B6" s="129" t="str">
        <f>VLOOKUP(A6,'HCW, Staff, Beds Summary'!B:E,4,FALSE)</f>
        <v>Low income</v>
      </c>
      <c r="C6" s="691">
        <v>19.853808231389301</v>
      </c>
      <c r="D6" s="691">
        <v>34.001951737619002</v>
      </c>
      <c r="E6" s="691">
        <v>42.361766027947198</v>
      </c>
      <c r="F6" s="691">
        <v>36.582706522826797</v>
      </c>
      <c r="G6" s="691">
        <v>20.025353784519801</v>
      </c>
      <c r="H6" s="691">
        <v>17.654342510989299</v>
      </c>
      <c r="I6" s="691">
        <v>16.921483792898201</v>
      </c>
      <c r="J6" s="691">
        <v>16.9298571938013</v>
      </c>
      <c r="K6" s="691">
        <v>16.108015401971599</v>
      </c>
      <c r="L6" s="691">
        <v>12.399124350164501</v>
      </c>
      <c r="M6" s="691">
        <v>10.156892855031399</v>
      </c>
      <c r="N6" s="691">
        <v>6.1809279538337396</v>
      </c>
      <c r="O6" s="691">
        <v>3.1800663894971501</v>
      </c>
      <c r="P6" s="691">
        <v>1.4803827401742</v>
      </c>
      <c r="Q6" s="691">
        <v>0.83981510976214702</v>
      </c>
      <c r="R6" s="691">
        <v>0.87173699742212196</v>
      </c>
      <c r="S6" s="691"/>
      <c r="T6" s="691">
        <v>0.15990253559735018</v>
      </c>
      <c r="U6" s="691">
        <v>0.14208482448793117</v>
      </c>
      <c r="V6" s="691">
        <v>0.1285311809944415</v>
      </c>
      <c r="W6" s="691">
        <v>0.11505368156552197</v>
      </c>
      <c r="X6" s="691">
        <v>9.9368004264067611E-2</v>
      </c>
      <c r="Y6" s="691">
        <v>8.0712708444376766E-2</v>
      </c>
      <c r="Z6" s="691">
        <v>6.3047285464098074E-2</v>
      </c>
      <c r="AA6" s="691">
        <v>4.8960633518617222E-2</v>
      </c>
      <c r="AB6" s="691">
        <v>3.8072032285083379E-2</v>
      </c>
      <c r="AC6" s="691">
        <v>3.0381481763496535E-2</v>
      </c>
      <c r="AD6" s="691">
        <v>2.5355973501865529E-2</v>
      </c>
      <c r="AE6" s="691">
        <v>2.1396482144216859E-2</v>
      </c>
      <c r="AF6" s="691">
        <v>1.7513134851138354E-2</v>
      </c>
      <c r="AG6" s="691">
        <v>1.3553643493489682E-2</v>
      </c>
      <c r="AH6" s="691">
        <v>7.9951267798675091E-3</v>
      </c>
      <c r="AI6" s="691">
        <v>4.9493641970608394E-3</v>
      </c>
      <c r="AJ6" s="691"/>
      <c r="AK6" s="691">
        <f t="shared" si="0"/>
        <v>7.7601209375843956</v>
      </c>
      <c r="AL6" s="691">
        <f t="shared" si="1"/>
        <v>14.956713296159913</v>
      </c>
      <c r="AM6" s="691">
        <f t="shared" si="2"/>
        <v>20.598973387330808</v>
      </c>
      <c r="AN6" s="691">
        <f t="shared" si="3"/>
        <v>19.872629250673572</v>
      </c>
      <c r="AO6" s="691">
        <f t="shared" si="4"/>
        <v>12.595448814755677</v>
      </c>
      <c r="AP6" s="691">
        <f t="shared" si="5"/>
        <v>13.670665105944719</v>
      </c>
      <c r="AQ6" s="691">
        <f t="shared" si="6"/>
        <v>16.774595912751515</v>
      </c>
      <c r="AR6" s="691">
        <f t="shared" si="7"/>
        <v>21.611568285982941</v>
      </c>
      <c r="AS6" s="691">
        <f t="shared" si="8"/>
        <v>26.443320784261626</v>
      </c>
      <c r="AT6" s="691">
        <f t="shared" si="9"/>
        <v>25.507158535512279</v>
      </c>
      <c r="AU6" s="691">
        <f t="shared" si="10"/>
        <v>25.035749599310694</v>
      </c>
      <c r="AV6" s="691">
        <f t="shared" si="11"/>
        <v>18.054743509274576</v>
      </c>
      <c r="AW6" s="691">
        <f t="shared" si="12"/>
        <v>11.348861927517955</v>
      </c>
      <c r="AX6" s="691">
        <f t="shared" si="13"/>
        <v>6.826498078197953</v>
      </c>
      <c r="AY6" s="691">
        <f t="shared" si="14"/>
        <v>6.5650546645870698</v>
      </c>
      <c r="AZ6" s="691">
        <f t="shared" si="15"/>
        <v>11.008194218408391</v>
      </c>
      <c r="BA6" s="691"/>
      <c r="BB6" s="691">
        <f t="shared" si="16"/>
        <v>16.164393519265879</v>
      </c>
    </row>
    <row r="7" spans="1:54" x14ac:dyDescent="0.35">
      <c r="A7" s="129" t="s">
        <v>546</v>
      </c>
      <c r="B7" s="129" t="str">
        <f>VLOOKUP(A7,'HCW, Staff, Beds Summary'!B:E,4,FALSE)</f>
        <v>Low income</v>
      </c>
      <c r="C7" s="691">
        <v>19.246884228658001</v>
      </c>
      <c r="D7" s="691">
        <v>38.654826247125101</v>
      </c>
      <c r="E7" s="691">
        <v>42.496231025839101</v>
      </c>
      <c r="F7" s="691">
        <v>28.926138132444901</v>
      </c>
      <c r="G7" s="691">
        <v>19.117707644587298</v>
      </c>
      <c r="H7" s="691">
        <v>20.0767003403027</v>
      </c>
      <c r="I7" s="691">
        <v>18.8795344518376</v>
      </c>
      <c r="J7" s="691">
        <v>18.375031401615701</v>
      </c>
      <c r="K7" s="691">
        <v>16.5614486304545</v>
      </c>
      <c r="L7" s="691">
        <v>13.1187815079311</v>
      </c>
      <c r="M7" s="691">
        <v>10.7332986960288</v>
      </c>
      <c r="N7" s="691">
        <v>6.8981385552491696</v>
      </c>
      <c r="O7" s="691">
        <v>3.6180875349358899</v>
      </c>
      <c r="P7" s="691">
        <v>1.2908160792215</v>
      </c>
      <c r="Q7" s="691">
        <v>0.69366041037112203</v>
      </c>
      <c r="R7" s="691">
        <v>0.405153624077977</v>
      </c>
      <c r="S7" s="691"/>
      <c r="T7" s="691">
        <v>0.1630394750058593</v>
      </c>
      <c r="U7" s="691">
        <v>0.14437338868985838</v>
      </c>
      <c r="V7" s="691">
        <v>0.12813473063916697</v>
      </c>
      <c r="W7" s="691">
        <v>0.10771085144139016</v>
      </c>
      <c r="X7" s="691">
        <v>8.8107275588442099E-2</v>
      </c>
      <c r="Y7" s="691">
        <v>7.6740214952958116E-2</v>
      </c>
      <c r="Z7" s="691">
        <v>6.5339672548297451E-2</v>
      </c>
      <c r="AA7" s="691">
        <v>5.4558542873405433E-2</v>
      </c>
      <c r="AB7" s="691">
        <v>4.4932534235108984E-2</v>
      </c>
      <c r="AC7" s="691">
        <v>3.5758529480697757E-2</v>
      </c>
      <c r="AD7" s="691">
        <v>2.7806609301235477E-2</v>
      </c>
      <c r="AE7" s="691">
        <v>2.1193959888840527E-2</v>
      </c>
      <c r="AF7" s="691">
        <v>1.5870358589747884E-2</v>
      </c>
      <c r="AG7" s="691">
        <v>1.1300097097130613E-2</v>
      </c>
      <c r="AH7" s="691">
        <v>7.9016975256972575E-3</v>
      </c>
      <c r="AI7" s="691">
        <v>4.503297954263903E-3</v>
      </c>
      <c r="AJ7" s="691"/>
      <c r="AK7" s="691">
        <f t="shared" si="0"/>
        <v>7.37815344564802</v>
      </c>
      <c r="AL7" s="691">
        <f t="shared" si="1"/>
        <v>16.733877776015845</v>
      </c>
      <c r="AM7" s="691">
        <f t="shared" si="2"/>
        <v>20.728294552664234</v>
      </c>
      <c r="AN7" s="691">
        <f t="shared" si="3"/>
        <v>16.784600707214249</v>
      </c>
      <c r="AO7" s="691">
        <f t="shared" si="4"/>
        <v>13.561385479310488</v>
      </c>
      <c r="AP7" s="691">
        <f t="shared" si="5"/>
        <v>16.351189165134727</v>
      </c>
      <c r="AQ7" s="691">
        <f t="shared" si="6"/>
        <v>18.059026885505816</v>
      </c>
      <c r="AR7" s="691">
        <f t="shared" si="7"/>
        <v>21.049672555694084</v>
      </c>
      <c r="AS7" s="691">
        <f t="shared" si="8"/>
        <v>23.036549284919175</v>
      </c>
      <c r="AT7" s="691">
        <f t="shared" si="9"/>
        <v>22.929462037533838</v>
      </c>
      <c r="AU7" s="691">
        <f t="shared" si="10"/>
        <v>24.124882010407298</v>
      </c>
      <c r="AV7" s="691">
        <f t="shared" si="11"/>
        <v>20.342289122198551</v>
      </c>
      <c r="AW7" s="691">
        <f t="shared" si="12"/>
        <v>14.248605011330461</v>
      </c>
      <c r="AX7" s="691">
        <f t="shared" si="13"/>
        <v>7.1394081181682481</v>
      </c>
      <c r="AY7" s="691">
        <f t="shared" si="14"/>
        <v>5.4866407512061182</v>
      </c>
      <c r="AZ7" s="691">
        <f t="shared" si="15"/>
        <v>5.6230126813833365</v>
      </c>
      <c r="BA7" s="691"/>
      <c r="BB7" s="691">
        <f t="shared" si="16"/>
        <v>15.848565599020906</v>
      </c>
    </row>
    <row r="8" spans="1:54" x14ac:dyDescent="0.35">
      <c r="A8" s="129" t="s">
        <v>194</v>
      </c>
      <c r="B8" s="129" t="str">
        <f>VLOOKUP(A8,'HCW, Staff, Beds Summary'!B:E,4,FALSE)</f>
        <v>Low income</v>
      </c>
      <c r="C8" s="691">
        <v>19.615051842564601</v>
      </c>
      <c r="D8" s="691">
        <v>42.710178533208001</v>
      </c>
      <c r="E8" s="691">
        <v>45.050174940930098</v>
      </c>
      <c r="F8" s="691">
        <v>30.0899433372937</v>
      </c>
      <c r="G8" s="691">
        <v>20.7301278417304</v>
      </c>
      <c r="H8" s="691">
        <v>21.319742500013799</v>
      </c>
      <c r="I8" s="691">
        <v>19.840062189350501</v>
      </c>
      <c r="J8" s="691">
        <v>18.3731249096037</v>
      </c>
      <c r="K8" s="691">
        <v>16.559959885217602</v>
      </c>
      <c r="L8" s="691">
        <v>12.8898544454418</v>
      </c>
      <c r="M8" s="691">
        <v>10.487235732828699</v>
      </c>
      <c r="N8" s="691">
        <v>6.5566878589293998</v>
      </c>
      <c r="O8" s="691">
        <v>3.4209454426510999</v>
      </c>
      <c r="P8" s="691">
        <v>1.3828902405643799</v>
      </c>
      <c r="Q8" s="691">
        <v>0.62443930041983597</v>
      </c>
      <c r="R8" s="691">
        <v>0.44761306949246599</v>
      </c>
      <c r="S8" s="691"/>
      <c r="T8" s="691">
        <v>0.14605441703489788</v>
      </c>
      <c r="U8" s="691">
        <v>0.13262412581329808</v>
      </c>
      <c r="V8" s="691">
        <v>0.12049859086322674</v>
      </c>
      <c r="W8" s="691">
        <v>0.11287011586235692</v>
      </c>
      <c r="X8" s="691">
        <v>0.10217981281096691</v>
      </c>
      <c r="Y8" s="691">
        <v>8.4304651891026761E-2</v>
      </c>
      <c r="Z8" s="691">
        <v>6.5403082704150864E-2</v>
      </c>
      <c r="AA8" s="691">
        <v>5.4573605650464492E-2</v>
      </c>
      <c r="AB8" s="691">
        <v>4.291778295814342E-2</v>
      </c>
      <c r="AC8" s="691">
        <v>3.5698131589019168E-2</v>
      </c>
      <c r="AD8" s="691">
        <v>2.808705333843638E-2</v>
      </c>
      <c r="AE8" s="691">
        <v>2.1528478480219895E-2</v>
      </c>
      <c r="AF8" s="691">
        <v>1.78925576702272E-2</v>
      </c>
      <c r="AG8" s="691">
        <v>1.3647750600187886E-2</v>
      </c>
      <c r="AH8" s="691">
        <v>1.0342368045649072E-2</v>
      </c>
      <c r="AI8" s="691">
        <v>6.4454959813506837E-3</v>
      </c>
      <c r="AJ8" s="691"/>
      <c r="AK8" s="691">
        <f t="shared" si="0"/>
        <v>8.3937258800421226</v>
      </c>
      <c r="AL8" s="691">
        <f t="shared" si="1"/>
        <v>20.127455257147819</v>
      </c>
      <c r="AM8" s="691">
        <f t="shared" si="2"/>
        <v>23.366546559901682</v>
      </c>
      <c r="AN8" s="691">
        <f t="shared" si="3"/>
        <v>16.661819155694324</v>
      </c>
      <c r="AO8" s="691">
        <f t="shared" si="4"/>
        <v>12.679931137719704</v>
      </c>
      <c r="AP8" s="691">
        <f t="shared" si="5"/>
        <v>15.805579838859281</v>
      </c>
      <c r="AQ8" s="691">
        <f t="shared" si="6"/>
        <v>18.959410406441108</v>
      </c>
      <c r="AR8" s="691">
        <f t="shared" si="7"/>
        <v>21.041679272669747</v>
      </c>
      <c r="AS8" s="691">
        <f t="shared" si="8"/>
        <v>24.115819166043732</v>
      </c>
      <c r="AT8" s="691">
        <f t="shared" si="9"/>
        <v>22.567452888428534</v>
      </c>
      <c r="AU8" s="691">
        <f t="shared" si="10"/>
        <v>23.336454180646456</v>
      </c>
      <c r="AV8" s="691">
        <f t="shared" si="11"/>
        <v>19.034925833685847</v>
      </c>
      <c r="AW8" s="691">
        <f t="shared" si="12"/>
        <v>11.949610229367437</v>
      </c>
      <c r="AX8" s="691">
        <f t="shared" si="13"/>
        <v>6.3329586367209751</v>
      </c>
      <c r="AY8" s="691">
        <f t="shared" si="14"/>
        <v>3.7735512896060777</v>
      </c>
      <c r="AZ8" s="691">
        <f t="shared" si="15"/>
        <v>4.3403668118363576</v>
      </c>
      <c r="BA8" s="691"/>
      <c r="BB8" s="691">
        <f t="shared" si="16"/>
        <v>15.780455409050699</v>
      </c>
    </row>
    <row r="9" spans="1:54" x14ac:dyDescent="0.35">
      <c r="A9" s="129" t="s">
        <v>456</v>
      </c>
      <c r="B9" s="129" t="str">
        <f>VLOOKUP(A9,'HCW, Staff, Beds Summary'!B:E,4,FALSE)</f>
        <v>High income</v>
      </c>
      <c r="C9" s="691">
        <v>6.0402057993079401</v>
      </c>
      <c r="D9" s="691">
        <v>19.447258637664</v>
      </c>
      <c r="E9" s="691">
        <v>23.009182486704798</v>
      </c>
      <c r="F9" s="691">
        <v>26.8569256002441</v>
      </c>
      <c r="G9" s="691">
        <v>13.7413989071629</v>
      </c>
      <c r="H9" s="691">
        <v>22.111065504571201</v>
      </c>
      <c r="I9" s="691">
        <v>25.012864448611602</v>
      </c>
      <c r="J9" s="691">
        <v>26.2497806176568</v>
      </c>
      <c r="K9" s="691">
        <v>25.796363441817199</v>
      </c>
      <c r="L9" s="691">
        <v>20.547832067139801</v>
      </c>
      <c r="M9" s="691">
        <v>14.436474337074699</v>
      </c>
      <c r="N9" s="691">
        <v>8.1420584689897897</v>
      </c>
      <c r="O9" s="691">
        <v>6.2396430435136399</v>
      </c>
      <c r="P9" s="691">
        <v>4.9022095993039096</v>
      </c>
      <c r="Q9" s="691">
        <v>3.6340117402904002</v>
      </c>
      <c r="R9" s="691">
        <v>3.5639845862160602</v>
      </c>
      <c r="S9" s="691"/>
      <c r="T9" s="691">
        <v>5.3054662379421219E-2</v>
      </c>
      <c r="U9" s="691">
        <v>5.3054662379421219E-2</v>
      </c>
      <c r="V9" s="691">
        <v>4.9839228295819937E-2</v>
      </c>
      <c r="W9" s="691">
        <v>5.6270096463022508E-2</v>
      </c>
      <c r="X9" s="691">
        <v>6.2700964630225078E-2</v>
      </c>
      <c r="Y9" s="691">
        <v>7.2347266881028938E-2</v>
      </c>
      <c r="Z9" s="691">
        <v>7.7170418006430874E-2</v>
      </c>
      <c r="AA9" s="691">
        <v>7.7170418006430874E-2</v>
      </c>
      <c r="AB9" s="691">
        <v>7.3954983922829579E-2</v>
      </c>
      <c r="AC9" s="691">
        <v>7.7170418006430874E-2</v>
      </c>
      <c r="AD9" s="691">
        <v>7.7170418006430874E-2</v>
      </c>
      <c r="AE9" s="691">
        <v>6.9131832797427656E-2</v>
      </c>
      <c r="AF9" s="691">
        <v>5.6270096463022508E-2</v>
      </c>
      <c r="AG9" s="691">
        <v>4.5016077170418008E-2</v>
      </c>
      <c r="AH9" s="691">
        <v>3.5369774919614148E-2</v>
      </c>
      <c r="AI9" s="691">
        <v>2.4919614147909969E-2</v>
      </c>
      <c r="AJ9" s="691"/>
      <c r="AK9" s="691">
        <f t="shared" si="0"/>
        <v>7.115545468124127</v>
      </c>
      <c r="AL9" s="691">
        <f t="shared" si="1"/>
        <v>22.909459986036001</v>
      </c>
      <c r="AM9" s="691">
        <f t="shared" si="2"/>
        <v>28.854257070020935</v>
      </c>
      <c r="AN9" s="691">
        <f t="shared" si="3"/>
        <v>29.830370934556839</v>
      </c>
      <c r="AO9" s="691">
        <f t="shared" si="4"/>
        <v>13.697355961947634</v>
      </c>
      <c r="AP9" s="691">
        <f t="shared" si="5"/>
        <v>19.101503810893455</v>
      </c>
      <c r="AQ9" s="691">
        <f t="shared" si="6"/>
        <v>20.257814696661999</v>
      </c>
      <c r="AR9" s="691">
        <f t="shared" si="7"/>
        <v>21.259587948154334</v>
      </c>
      <c r="AS9" s="691">
        <f t="shared" si="8"/>
        <v>21.800731060883557</v>
      </c>
      <c r="AT9" s="691">
        <f t="shared" si="9"/>
        <v>16.641603575209576</v>
      </c>
      <c r="AU9" s="691">
        <f t="shared" si="10"/>
        <v>11.692040413620393</v>
      </c>
      <c r="AV9" s="691">
        <f t="shared" si="11"/>
        <v>7.3609889065576297</v>
      </c>
      <c r="AW9" s="691">
        <f t="shared" si="12"/>
        <v>6.9304606661883641</v>
      </c>
      <c r="AX9" s="691">
        <f t="shared" si="13"/>
        <v>6.8061927918906955</v>
      </c>
      <c r="AY9" s="691">
        <f t="shared" si="14"/>
        <v>6.4214639274449681</v>
      </c>
      <c r="AZ9" s="691">
        <f t="shared" si="15"/>
        <v>8.9387032767193126</v>
      </c>
      <c r="BA9" s="691"/>
      <c r="BB9" s="691">
        <f t="shared" si="16"/>
        <v>15.601130030931865</v>
      </c>
    </row>
    <row r="10" spans="1:54" x14ac:dyDescent="0.35">
      <c r="A10" s="129" t="s">
        <v>187</v>
      </c>
      <c r="B10" s="129" t="str">
        <f>VLOOKUP(A10,'HCW, Staff, Beds Summary'!B:E,4,FALSE)</f>
        <v>Lower middle income</v>
      </c>
      <c r="C10" s="691">
        <v>20.053710271039002</v>
      </c>
      <c r="D10" s="691">
        <v>38.099714098665203</v>
      </c>
      <c r="E10" s="691">
        <v>38.488082406141203</v>
      </c>
      <c r="F10" s="691">
        <v>30.008540726266201</v>
      </c>
      <c r="G10" s="691">
        <v>19.916369148734901</v>
      </c>
      <c r="H10" s="691">
        <v>20.367691210634302</v>
      </c>
      <c r="I10" s="691">
        <v>18.937948025073499</v>
      </c>
      <c r="J10" s="691">
        <v>17.819765562931401</v>
      </c>
      <c r="K10" s="691">
        <v>16.642626884634002</v>
      </c>
      <c r="L10" s="691">
        <v>13.143589760437701</v>
      </c>
      <c r="M10" s="691">
        <v>10.349269048080799</v>
      </c>
      <c r="N10" s="691">
        <v>6.4297816934967704</v>
      </c>
      <c r="O10" s="691">
        <v>3.44196763026165</v>
      </c>
      <c r="P10" s="691">
        <v>1.2300462950484701</v>
      </c>
      <c r="Q10" s="691">
        <v>0.64170584839842104</v>
      </c>
      <c r="R10" s="691">
        <v>0.35217417846649801</v>
      </c>
      <c r="S10" s="691"/>
      <c r="T10" s="691">
        <v>0.15505160852859187</v>
      </c>
      <c r="U10" s="691">
        <v>0.14051081142168312</v>
      </c>
      <c r="V10" s="691">
        <v>0.12510359376177202</v>
      </c>
      <c r="W10" s="691">
        <v>0.10758683040759437</v>
      </c>
      <c r="X10" s="691">
        <v>9.1162510359376184E-2</v>
      </c>
      <c r="Y10" s="691">
        <v>8.0313418217433888E-2</v>
      </c>
      <c r="Z10" s="691">
        <v>7.0104723875536804E-2</v>
      </c>
      <c r="AA10" s="691">
        <v>5.7974836133504105E-2</v>
      </c>
      <c r="AB10" s="691">
        <v>4.5317561967904769E-2</v>
      </c>
      <c r="AC10" s="691">
        <v>3.5334890378964819E-2</v>
      </c>
      <c r="AD10" s="691">
        <v>2.7461764484291419E-2</v>
      </c>
      <c r="AE10" s="691">
        <v>2.1095456942665562E-2</v>
      </c>
      <c r="AF10" s="691">
        <v>1.5859263165825359E-2</v>
      </c>
      <c r="AG10" s="691">
        <v>1.1790853612597001E-2</v>
      </c>
      <c r="AH10" s="691">
        <v>7.910796353499585E-3</v>
      </c>
      <c r="AI10" s="691">
        <v>4.633466435621186E-3</v>
      </c>
      <c r="AJ10" s="691"/>
      <c r="AK10" s="691">
        <f t="shared" si="0"/>
        <v>8.0834820343628735</v>
      </c>
      <c r="AL10" s="691">
        <f t="shared" si="1"/>
        <v>16.946967333498097</v>
      </c>
      <c r="AM10" s="691">
        <f t="shared" si="2"/>
        <v>19.228105908488114</v>
      </c>
      <c r="AN10" s="691">
        <f t="shared" si="3"/>
        <v>17.432745144421013</v>
      </c>
      <c r="AO10" s="691">
        <f t="shared" si="4"/>
        <v>13.65444048094826</v>
      </c>
      <c r="AP10" s="691">
        <f t="shared" si="5"/>
        <v>15.850162138763432</v>
      </c>
      <c r="AQ10" s="691">
        <f t="shared" si="6"/>
        <v>16.883623329983916</v>
      </c>
      <c r="AR10" s="691">
        <f t="shared" si="7"/>
        <v>19.210668316828176</v>
      </c>
      <c r="AS10" s="691">
        <f t="shared" si="8"/>
        <v>22.952783316681952</v>
      </c>
      <c r="AT10" s="691">
        <f t="shared" si="9"/>
        <v>23.248249852117482</v>
      </c>
      <c r="AU10" s="691">
        <f t="shared" si="10"/>
        <v>23.553814827705153</v>
      </c>
      <c r="AV10" s="691">
        <f t="shared" si="11"/>
        <v>19.049663486112195</v>
      </c>
      <c r="AW10" s="691">
        <f t="shared" si="12"/>
        <v>13.564500105838148</v>
      </c>
      <c r="AX10" s="691">
        <f t="shared" si="13"/>
        <v>6.5201295823395942</v>
      </c>
      <c r="AY10" s="691">
        <f t="shared" si="14"/>
        <v>5.0698581701144301</v>
      </c>
      <c r="AZ10" s="691">
        <f t="shared" si="15"/>
        <v>4.7504145028311262</v>
      </c>
      <c r="BA10" s="691"/>
      <c r="BB10" s="691">
        <f t="shared" si="16"/>
        <v>15.374975533189623</v>
      </c>
    </row>
    <row r="11" spans="1:54" x14ac:dyDescent="0.35">
      <c r="A11" s="129" t="s">
        <v>217</v>
      </c>
      <c r="B11" s="129" t="str">
        <f>VLOOKUP(A11,'HCW, Staff, Beds Summary'!B:E,4,FALSE)</f>
        <v>Lower middle income</v>
      </c>
      <c r="C11" s="691">
        <v>20.0301288869437</v>
      </c>
      <c r="D11" s="691">
        <v>40.2185821614666</v>
      </c>
      <c r="E11" s="691">
        <v>40.030733927317002</v>
      </c>
      <c r="F11" s="691">
        <v>31.4016686613869</v>
      </c>
      <c r="G11" s="691">
        <v>20.359794407039299</v>
      </c>
      <c r="H11" s="691">
        <v>19.263572827201799</v>
      </c>
      <c r="I11" s="691">
        <v>17.619842488227899</v>
      </c>
      <c r="J11" s="691">
        <v>16.3960932417945</v>
      </c>
      <c r="K11" s="691">
        <v>14.8296327478929</v>
      </c>
      <c r="L11" s="691">
        <v>11.8403349291361</v>
      </c>
      <c r="M11" s="691">
        <v>8.9849297230673102</v>
      </c>
      <c r="N11" s="691">
        <v>5.78906701524678</v>
      </c>
      <c r="O11" s="691">
        <v>2.9076651233056401</v>
      </c>
      <c r="P11" s="691">
        <v>0.89686634698119305</v>
      </c>
      <c r="Q11" s="691">
        <v>0.51946194732369</v>
      </c>
      <c r="R11" s="691">
        <v>0.266131258601919</v>
      </c>
      <c r="S11" s="691"/>
      <c r="T11" s="691">
        <v>0.16024804177545693</v>
      </c>
      <c r="U11" s="691">
        <v>0.14779155787641426</v>
      </c>
      <c r="V11" s="691">
        <v>0.13212576153176675</v>
      </c>
      <c r="W11" s="691">
        <v>0.11537206266318538</v>
      </c>
      <c r="X11" s="691">
        <v>9.5028285465622281E-2</v>
      </c>
      <c r="Y11" s="691">
        <v>7.8002610966057442E-2</v>
      </c>
      <c r="Z11" s="691">
        <v>6.494778067885118E-2</v>
      </c>
      <c r="AA11" s="691">
        <v>5.3959965187119235E-2</v>
      </c>
      <c r="AB11" s="691">
        <v>4.3951261966927765E-2</v>
      </c>
      <c r="AC11" s="691">
        <v>3.2963446475195821E-2</v>
      </c>
      <c r="AD11" s="691">
        <v>2.3553089643167973E-2</v>
      </c>
      <c r="AE11" s="691">
        <v>1.7841601392515231E-2</v>
      </c>
      <c r="AF11" s="691">
        <v>1.2891644908616188E-2</v>
      </c>
      <c r="AG11" s="691">
        <v>9.0295909486510003E-3</v>
      </c>
      <c r="AH11" s="691">
        <v>6.1466492602262838E-3</v>
      </c>
      <c r="AI11" s="691">
        <v>3.6444734551784159E-3</v>
      </c>
      <c r="AJ11" s="691"/>
      <c r="AK11" s="691">
        <f t="shared" si="0"/>
        <v>7.8121582115065547</v>
      </c>
      <c r="AL11" s="691">
        <f t="shared" si="1"/>
        <v>17.008152706486982</v>
      </c>
      <c r="AM11" s="691">
        <f t="shared" si="2"/>
        <v>18.935905015433196</v>
      </c>
      <c r="AN11" s="691">
        <f t="shared" si="3"/>
        <v>17.011087832123312</v>
      </c>
      <c r="AO11" s="691">
        <f t="shared" si="4"/>
        <v>13.390614638630884</v>
      </c>
      <c r="AP11" s="691">
        <f t="shared" si="5"/>
        <v>15.435038478699349</v>
      </c>
      <c r="AQ11" s="691">
        <f t="shared" si="6"/>
        <v>16.955778072842424</v>
      </c>
      <c r="AR11" s="691">
        <f t="shared" si="7"/>
        <v>18.991039450425284</v>
      </c>
      <c r="AS11" s="691">
        <f t="shared" si="8"/>
        <v>21.088178251644727</v>
      </c>
      <c r="AT11" s="691">
        <f t="shared" si="9"/>
        <v>22.449743949797657</v>
      </c>
      <c r="AU11" s="691">
        <f t="shared" si="10"/>
        <v>23.842226909478843</v>
      </c>
      <c r="AV11" s="691">
        <f t="shared" si="11"/>
        <v>20.279384147922411</v>
      </c>
      <c r="AW11" s="691">
        <f t="shared" si="12"/>
        <v>14.096654964886838</v>
      </c>
      <c r="AX11" s="691">
        <f t="shared" si="13"/>
        <v>6.2078279077192224</v>
      </c>
      <c r="AY11" s="691">
        <f t="shared" si="14"/>
        <v>5.281962632521414</v>
      </c>
      <c r="AZ11" s="691">
        <f t="shared" si="15"/>
        <v>4.5639524796060442</v>
      </c>
      <c r="BA11" s="691"/>
      <c r="BB11" s="691">
        <f t="shared" si="16"/>
        <v>15.209356603107825</v>
      </c>
    </row>
    <row r="12" spans="1:54" x14ac:dyDescent="0.35">
      <c r="A12" s="129" t="s">
        <v>243</v>
      </c>
      <c r="B12" s="129" t="str">
        <f>VLOOKUP(A12,'HCW, Staff, Beds Summary'!B:E,4,FALSE)</f>
        <v>Upper middle income</v>
      </c>
      <c r="C12" s="691">
        <v>10.2401872454864</v>
      </c>
      <c r="D12" s="691">
        <v>22.484377089425401</v>
      </c>
      <c r="E12" s="691">
        <v>35.9507590616358</v>
      </c>
      <c r="F12" s="691">
        <v>43.723577518033899</v>
      </c>
      <c r="G12" s="691">
        <v>23.626884354802801</v>
      </c>
      <c r="H12" s="691">
        <v>18.4225324065814</v>
      </c>
      <c r="I12" s="691">
        <v>16.848933600659301</v>
      </c>
      <c r="J12" s="691">
        <v>16.591107186602098</v>
      </c>
      <c r="K12" s="691">
        <v>15.240632252369601</v>
      </c>
      <c r="L12" s="691">
        <v>11.875841336301001</v>
      </c>
      <c r="M12" s="691">
        <v>8.3470153815999701</v>
      </c>
      <c r="N12" s="691">
        <v>4.9705633984797899</v>
      </c>
      <c r="O12" s="691">
        <v>2.6543595495563599</v>
      </c>
      <c r="P12" s="691">
        <v>1.5088361566006301</v>
      </c>
      <c r="Q12" s="691">
        <v>0.85404779457972402</v>
      </c>
      <c r="R12" s="691">
        <v>0.47268833895991902</v>
      </c>
      <c r="S12" s="691"/>
      <c r="T12" s="691">
        <v>6.4695009242144177E-2</v>
      </c>
      <c r="U12" s="691">
        <v>6.839186691312385E-2</v>
      </c>
      <c r="V12" s="691">
        <v>6.0998151571164512E-2</v>
      </c>
      <c r="W12" s="691">
        <v>4.9907578558225509E-2</v>
      </c>
      <c r="X12" s="691">
        <v>9.4269870609981515E-2</v>
      </c>
      <c r="Y12" s="691">
        <v>0.16451016635859519</v>
      </c>
      <c r="Z12" s="691">
        <v>0.15157116451016636</v>
      </c>
      <c r="AA12" s="691">
        <v>0.10166358595194085</v>
      </c>
      <c r="AB12" s="691">
        <v>6.6543438077634007E-2</v>
      </c>
      <c r="AC12" s="691">
        <v>5.1756007393715345E-2</v>
      </c>
      <c r="AD12" s="691">
        <v>3.752310536044362E-2</v>
      </c>
      <c r="AE12" s="691">
        <v>2.8280961182994453E-2</v>
      </c>
      <c r="AF12" s="691">
        <v>2.144177449168207E-2</v>
      </c>
      <c r="AG12" s="691">
        <v>1.2199630314232901E-2</v>
      </c>
      <c r="AH12" s="691">
        <v>8.1330868761552676E-3</v>
      </c>
      <c r="AI12" s="691">
        <v>7.5785582255083177E-3</v>
      </c>
      <c r="AJ12" s="691"/>
      <c r="AK12" s="691">
        <f t="shared" si="0"/>
        <v>9.8927523210859682</v>
      </c>
      <c r="AL12" s="691">
        <f t="shared" si="1"/>
        <v>20.547378387464764</v>
      </c>
      <c r="AM12" s="691">
        <f t="shared" si="2"/>
        <v>36.835910326410925</v>
      </c>
      <c r="AN12" s="691">
        <f t="shared" si="3"/>
        <v>54.755683882537824</v>
      </c>
      <c r="AO12" s="691">
        <f t="shared" si="4"/>
        <v>15.664392691113132</v>
      </c>
      <c r="AP12" s="691">
        <f t="shared" si="5"/>
        <v>6.9990098539048722</v>
      </c>
      <c r="AQ12" s="691">
        <f t="shared" si="6"/>
        <v>6.9476166752718607</v>
      </c>
      <c r="AR12" s="691">
        <f t="shared" si="7"/>
        <v>10.199760213581518</v>
      </c>
      <c r="AS12" s="691">
        <f t="shared" si="8"/>
        <v>14.314552167590199</v>
      </c>
      <c r="AT12" s="691">
        <f t="shared" si="9"/>
        <v>14.341138756559912</v>
      </c>
      <c r="AU12" s="691">
        <f t="shared" si="10"/>
        <v>13.903125989672365</v>
      </c>
      <c r="AV12" s="691">
        <f t="shared" si="11"/>
        <v>10.984782673927967</v>
      </c>
      <c r="AW12" s="691">
        <f t="shared" si="12"/>
        <v>7.7371148508081395</v>
      </c>
      <c r="AX12" s="691">
        <f t="shared" si="13"/>
        <v>7.7299276583422438</v>
      </c>
      <c r="AY12" s="691">
        <f t="shared" si="14"/>
        <v>6.5630661486879367</v>
      </c>
      <c r="AZ12" s="691">
        <f t="shared" si="15"/>
        <v>3.8982376734346982</v>
      </c>
      <c r="BA12" s="691"/>
      <c r="BB12" s="691">
        <f t="shared" si="16"/>
        <v>15.082153141899644</v>
      </c>
    </row>
    <row r="13" spans="1:54" x14ac:dyDescent="0.35">
      <c r="A13" s="129" t="s">
        <v>183</v>
      </c>
      <c r="B13" s="129" t="str">
        <f>VLOOKUP(A13,'HCW, Staff, Beds Summary'!B:E,4,FALSE)</f>
        <v>Low income</v>
      </c>
      <c r="C13" s="691">
        <v>19.9674068732797</v>
      </c>
      <c r="D13" s="691">
        <v>43.059165501399598</v>
      </c>
      <c r="E13" s="691">
        <v>38.121208011376403</v>
      </c>
      <c r="F13" s="691">
        <v>30.123468601885701</v>
      </c>
      <c r="G13" s="691">
        <v>18.212689791303401</v>
      </c>
      <c r="H13" s="691">
        <v>18.931797853514301</v>
      </c>
      <c r="I13" s="691">
        <v>18.567334951225401</v>
      </c>
      <c r="J13" s="691">
        <v>18.553893230737</v>
      </c>
      <c r="K13" s="691">
        <v>16.745818193086102</v>
      </c>
      <c r="L13" s="691">
        <v>13.164207195337299</v>
      </c>
      <c r="M13" s="691">
        <v>10.544370499886501</v>
      </c>
      <c r="N13" s="691">
        <v>6.5332872585963502</v>
      </c>
      <c r="O13" s="691">
        <v>3.5107700554713901</v>
      </c>
      <c r="P13" s="691">
        <v>1.0515088257167</v>
      </c>
      <c r="Q13" s="691">
        <v>0.59985988974696502</v>
      </c>
      <c r="R13" s="691">
        <v>0.31779639101901602</v>
      </c>
      <c r="S13" s="691"/>
      <c r="T13" s="691">
        <v>0.15746927328219087</v>
      </c>
      <c r="U13" s="691">
        <v>0.13923946217932856</v>
      </c>
      <c r="V13" s="691">
        <v>0.12274189557040337</v>
      </c>
      <c r="W13" s="691">
        <v>0.10657428029365669</v>
      </c>
      <c r="X13" s="691">
        <v>9.2056421677802522E-2</v>
      </c>
      <c r="Y13" s="691">
        <v>7.8033490060216121E-2</v>
      </c>
      <c r="Z13" s="691">
        <v>6.4752948940031349E-2</v>
      </c>
      <c r="AA13" s="691">
        <v>5.3699579312051472E-2</v>
      </c>
      <c r="AB13" s="691">
        <v>4.446094201105337E-2</v>
      </c>
      <c r="AC13" s="691">
        <v>3.6542110038769282E-2</v>
      </c>
      <c r="AD13" s="691">
        <v>2.9943083395199209E-2</v>
      </c>
      <c r="AE13" s="691">
        <v>2.3674008083807638E-2</v>
      </c>
      <c r="AF13" s="691">
        <v>1.8064835436773077E-2</v>
      </c>
      <c r="AG13" s="691">
        <v>1.3198053287140146E-2</v>
      </c>
      <c r="AH13" s="691">
        <v>9.1561494679534769E-3</v>
      </c>
      <c r="AI13" s="691">
        <v>6.0216118122576922E-3</v>
      </c>
      <c r="AJ13" s="691"/>
      <c r="AK13" s="691">
        <f t="shared" si="0"/>
        <v>7.9251202699309129</v>
      </c>
      <c r="AL13" s="691">
        <f t="shared" si="1"/>
        <v>19.327838543152669</v>
      </c>
      <c r="AM13" s="691">
        <f t="shared" si="2"/>
        <v>19.411265319300913</v>
      </c>
      <c r="AN13" s="691">
        <f t="shared" si="3"/>
        <v>17.665770600844638</v>
      </c>
      <c r="AO13" s="691">
        <f t="shared" si="4"/>
        <v>12.365167917785122</v>
      </c>
      <c r="AP13" s="691">
        <f t="shared" si="5"/>
        <v>15.163199351093674</v>
      </c>
      <c r="AQ13" s="691">
        <f t="shared" si="6"/>
        <v>17.921321784530694</v>
      </c>
      <c r="AR13" s="691">
        <f t="shared" si="7"/>
        <v>21.594551424368724</v>
      </c>
      <c r="AS13" s="691">
        <f t="shared" si="8"/>
        <v>23.540068872307838</v>
      </c>
      <c r="AT13" s="691">
        <f t="shared" si="9"/>
        <v>22.515474580851308</v>
      </c>
      <c r="AU13" s="691">
        <f t="shared" si="10"/>
        <v>22.009194829566813</v>
      </c>
      <c r="AV13" s="691">
        <f t="shared" si="11"/>
        <v>17.24804909319764</v>
      </c>
      <c r="AW13" s="691">
        <f t="shared" si="12"/>
        <v>12.146422768972505</v>
      </c>
      <c r="AX13" s="691">
        <f t="shared" si="13"/>
        <v>4.9794693336576383</v>
      </c>
      <c r="AY13" s="691">
        <f t="shared" si="14"/>
        <v>4.0946517136275098</v>
      </c>
      <c r="AZ13" s="691">
        <f t="shared" si="15"/>
        <v>3.2984979865783659</v>
      </c>
      <c r="BA13" s="691"/>
      <c r="BB13" s="691">
        <f t="shared" si="16"/>
        <v>15.075379024360435</v>
      </c>
    </row>
    <row r="14" spans="1:54" x14ac:dyDescent="0.35">
      <c r="A14" s="129" t="s">
        <v>185</v>
      </c>
      <c r="B14" s="129" t="str">
        <f>VLOOKUP(A14,'HCW, Staff, Beds Summary'!B:E,4,FALSE)</f>
        <v>Low income</v>
      </c>
      <c r="C14" s="691">
        <v>20.755529317092801</v>
      </c>
      <c r="D14" s="691">
        <v>41.873498123681998</v>
      </c>
      <c r="E14" s="691">
        <v>40.675007874454501</v>
      </c>
      <c r="F14" s="691">
        <v>30.146801163632901</v>
      </c>
      <c r="G14" s="691">
        <v>17.775644559538101</v>
      </c>
      <c r="H14" s="691">
        <v>18.015327695088398</v>
      </c>
      <c r="I14" s="691">
        <v>16.359383349583101</v>
      </c>
      <c r="J14" s="691">
        <v>15.6733700974813</v>
      </c>
      <c r="K14" s="691">
        <v>13.986401141943899</v>
      </c>
      <c r="L14" s="691">
        <v>11.0764156931515</v>
      </c>
      <c r="M14" s="691">
        <v>9.0770764788306604</v>
      </c>
      <c r="N14" s="691">
        <v>5.7800301291892504</v>
      </c>
      <c r="O14" s="691">
        <v>3.2361140431998998</v>
      </c>
      <c r="P14" s="691">
        <v>1.31724329020444</v>
      </c>
      <c r="Q14" s="691">
        <v>0.66104866395491702</v>
      </c>
      <c r="R14" s="691">
        <v>0.37730404784108501</v>
      </c>
      <c r="S14" s="691"/>
      <c r="T14" s="691">
        <v>0.16614839975123188</v>
      </c>
      <c r="U14" s="691">
        <v>0.14734727072668996</v>
      </c>
      <c r="V14" s="691">
        <v>0.1302205425058604</v>
      </c>
      <c r="W14" s="691">
        <v>0.11036693297612783</v>
      </c>
      <c r="X14" s="691">
        <v>9.1852844089365157E-2</v>
      </c>
      <c r="Y14" s="691">
        <v>7.5969956465579108E-2</v>
      </c>
      <c r="Z14" s="691">
        <v>6.3148830311438545E-2</v>
      </c>
      <c r="AA14" s="691">
        <v>5.3006745443237815E-2</v>
      </c>
      <c r="AB14" s="691">
        <v>4.2721140506147441E-2</v>
      </c>
      <c r="AC14" s="691">
        <v>3.3200975936468452E-2</v>
      </c>
      <c r="AD14" s="691">
        <v>2.6503372721618908E-2</v>
      </c>
      <c r="AE14" s="691">
        <v>2.0284169736401472E-2</v>
      </c>
      <c r="AF14" s="691">
        <v>1.5165287279337894E-2</v>
      </c>
      <c r="AG14" s="691">
        <v>1.0620485097832847E-2</v>
      </c>
      <c r="AH14" s="691">
        <v>7.0803233985552317E-3</v>
      </c>
      <c r="AI14" s="691">
        <v>4.1142419748361478E-3</v>
      </c>
      <c r="AJ14" s="691"/>
      <c r="AK14" s="691">
        <f t="shared" si="0"/>
        <v>7.8076020248198752</v>
      </c>
      <c r="AL14" s="691">
        <f t="shared" si="1"/>
        <v>17.761398767843438</v>
      </c>
      <c r="AM14" s="691">
        <f t="shared" si="2"/>
        <v>19.522173254953216</v>
      </c>
      <c r="AN14" s="691">
        <f t="shared" si="3"/>
        <v>17.071916577899287</v>
      </c>
      <c r="AO14" s="691">
        <f t="shared" si="4"/>
        <v>12.095191999610186</v>
      </c>
      <c r="AP14" s="691">
        <f t="shared" si="5"/>
        <v>14.821095513634791</v>
      </c>
      <c r="AQ14" s="691">
        <f t="shared" si="6"/>
        <v>16.191296882402252</v>
      </c>
      <c r="AR14" s="691">
        <f t="shared" si="7"/>
        <v>18.480395710043524</v>
      </c>
      <c r="AS14" s="691">
        <f t="shared" si="8"/>
        <v>20.461768132002614</v>
      </c>
      <c r="AT14" s="691">
        <f t="shared" si="9"/>
        <v>20.851073237927395</v>
      </c>
      <c r="AU14" s="691">
        <f t="shared" si="10"/>
        <v>21.405474913921175</v>
      </c>
      <c r="AV14" s="691">
        <f t="shared" si="11"/>
        <v>17.809547433732739</v>
      </c>
      <c r="AW14" s="691">
        <f t="shared" si="12"/>
        <v>13.33684776123965</v>
      </c>
      <c r="AX14" s="691">
        <f t="shared" si="13"/>
        <v>7.7517839231822663</v>
      </c>
      <c r="AY14" s="691">
        <f t="shared" si="14"/>
        <v>5.8352619183486611</v>
      </c>
      <c r="AZ14" s="691">
        <f t="shared" si="15"/>
        <v>5.7316762442021805</v>
      </c>
      <c r="BA14" s="691"/>
      <c r="BB14" s="691">
        <f t="shared" si="16"/>
        <v>14.808406518485205</v>
      </c>
    </row>
    <row r="15" spans="1:54" x14ac:dyDescent="0.35">
      <c r="A15" s="129" t="s">
        <v>501</v>
      </c>
      <c r="B15" s="129" t="str">
        <f>VLOOKUP(A15,'HCW, Staff, Beds Summary'!B:E,4,FALSE)</f>
        <v>High income</v>
      </c>
      <c r="C15" s="691">
        <v>6.6846972091384202</v>
      </c>
      <c r="D15" s="691">
        <v>10.752499156741999</v>
      </c>
      <c r="E15" s="691">
        <v>18.572328576745001</v>
      </c>
      <c r="F15" s="691">
        <v>23.609648462812501</v>
      </c>
      <c r="G15" s="691">
        <v>20.666763597577901</v>
      </c>
      <c r="H15" s="691">
        <v>26.043145771757299</v>
      </c>
      <c r="I15" s="691">
        <v>23.790161236585099</v>
      </c>
      <c r="J15" s="691">
        <v>20.710570320749699</v>
      </c>
      <c r="K15" s="691">
        <v>18.5782924307107</v>
      </c>
      <c r="L15" s="691">
        <v>15.7754997008223</v>
      </c>
      <c r="M15" s="691">
        <v>12.4493212744836</v>
      </c>
      <c r="N15" s="691">
        <v>8.1510435130571608</v>
      </c>
      <c r="O15" s="691">
        <v>5.6853031693805303</v>
      </c>
      <c r="P15" s="691">
        <v>3.99842692362839</v>
      </c>
      <c r="Q15" s="691">
        <v>4.1036167206168797</v>
      </c>
      <c r="R15" s="691">
        <v>4.3190928679511096</v>
      </c>
      <c r="S15" s="691"/>
      <c r="T15" s="691">
        <v>4.9806908956250333E-2</v>
      </c>
      <c r="U15" s="691">
        <v>5.0203671374914036E-2</v>
      </c>
      <c r="V15" s="691">
        <v>5.2161032640321639E-2</v>
      </c>
      <c r="W15" s="691">
        <v>4.5839284769613291E-2</v>
      </c>
      <c r="X15" s="691">
        <v>5.1949426017034332E-2</v>
      </c>
      <c r="Y15" s="691">
        <v>6.5148389144580224E-2</v>
      </c>
      <c r="Z15" s="691">
        <v>7.4670687192509119E-2</v>
      </c>
      <c r="AA15" s="691">
        <v>8.4007829445061633E-2</v>
      </c>
      <c r="AB15" s="691">
        <v>7.8162196476749726E-2</v>
      </c>
      <c r="AC15" s="691">
        <v>6.8084431042691643E-2</v>
      </c>
      <c r="AD15" s="691">
        <v>5.9144051208802832E-2</v>
      </c>
      <c r="AE15" s="691">
        <v>6.1418822409141406E-2</v>
      </c>
      <c r="AF15" s="691">
        <v>7.1999153573506849E-2</v>
      </c>
      <c r="AG15" s="691">
        <v>6.4698725070094693E-2</v>
      </c>
      <c r="AH15" s="691">
        <v>4.9039834946833838E-2</v>
      </c>
      <c r="AI15" s="691">
        <v>2.7588213511082899E-2</v>
      </c>
      <c r="AJ15" s="691"/>
      <c r="AK15" s="691">
        <f t="shared" si="0"/>
        <v>8.3882654901980587</v>
      </c>
      <c r="AL15" s="691">
        <f t="shared" si="1"/>
        <v>13.386096651731691</v>
      </c>
      <c r="AM15" s="691">
        <f t="shared" si="2"/>
        <v>22.253595783862245</v>
      </c>
      <c r="AN15" s="691">
        <f t="shared" si="3"/>
        <v>32.190795217292603</v>
      </c>
      <c r="AO15" s="691">
        <f t="shared" si="4"/>
        <v>24.864042278832425</v>
      </c>
      <c r="AP15" s="691">
        <f t="shared" si="5"/>
        <v>24.984449072448651</v>
      </c>
      <c r="AQ15" s="691">
        <f t="shared" si="6"/>
        <v>19.912567209314922</v>
      </c>
      <c r="AR15" s="691">
        <f t="shared" si="7"/>
        <v>15.408214372368214</v>
      </c>
      <c r="AS15" s="691">
        <f t="shared" si="8"/>
        <v>14.855560990597477</v>
      </c>
      <c r="AT15" s="691">
        <f t="shared" si="9"/>
        <v>14.481559384452403</v>
      </c>
      <c r="AU15" s="691">
        <f t="shared" si="10"/>
        <v>13.15572003866075</v>
      </c>
      <c r="AV15" s="691">
        <f t="shared" si="11"/>
        <v>8.2945292596532898</v>
      </c>
      <c r="AW15" s="691">
        <f t="shared" si="12"/>
        <v>4.9352170192321898</v>
      </c>
      <c r="AX15" s="691">
        <f t="shared" si="13"/>
        <v>3.8625441607393429</v>
      </c>
      <c r="AY15" s="691">
        <f t="shared" si="14"/>
        <v>5.2299532679221192</v>
      </c>
      <c r="AZ15" s="691">
        <f t="shared" si="15"/>
        <v>9.7847330396548209</v>
      </c>
      <c r="BA15" s="691"/>
      <c r="BB15" s="691">
        <f t="shared" si="16"/>
        <v>14.749240202310075</v>
      </c>
    </row>
    <row r="16" spans="1:54" x14ac:dyDescent="0.35">
      <c r="A16" s="129" t="s">
        <v>449</v>
      </c>
      <c r="B16" s="129" t="str">
        <f>VLOOKUP(A16,'HCW, Staff, Beds Summary'!B:E,4,FALSE)</f>
        <v>High income</v>
      </c>
      <c r="C16" s="691">
        <v>8.7334868966276709</v>
      </c>
      <c r="D16" s="691">
        <v>15.921840933183701</v>
      </c>
      <c r="E16" s="691">
        <v>22.734850160944202</v>
      </c>
      <c r="F16" s="691">
        <v>23.350649834570401</v>
      </c>
      <c r="G16" s="691">
        <v>15.711129741726999</v>
      </c>
      <c r="H16" s="691">
        <v>17.932683976763201</v>
      </c>
      <c r="I16" s="691">
        <v>19.2921945623435</v>
      </c>
      <c r="J16" s="691">
        <v>20.6365410291811</v>
      </c>
      <c r="K16" s="691">
        <v>20.134149323853499</v>
      </c>
      <c r="L16" s="691">
        <v>15.1934140848851</v>
      </c>
      <c r="M16" s="691">
        <v>11.807742890446001</v>
      </c>
      <c r="N16" s="691">
        <v>7.02113604219028</v>
      </c>
      <c r="O16" s="691">
        <v>4.7963363465070596</v>
      </c>
      <c r="P16" s="691">
        <v>4.1590100796454301</v>
      </c>
      <c r="Q16" s="691">
        <v>2.87716507539752</v>
      </c>
      <c r="R16" s="691">
        <v>1.65634650404119</v>
      </c>
      <c r="S16" s="691"/>
      <c r="T16" s="691">
        <v>5.3487531622696059E-2</v>
      </c>
      <c r="U16" s="691">
        <v>5.7101554029634981E-2</v>
      </c>
      <c r="V16" s="691">
        <v>4.4452475605348755E-2</v>
      </c>
      <c r="W16" s="691">
        <v>4.4813877846042648E-2</v>
      </c>
      <c r="X16" s="691">
        <v>4.9150704734369353E-2</v>
      </c>
      <c r="Y16" s="691">
        <v>6.758221900975786E-2</v>
      </c>
      <c r="Z16" s="691">
        <v>6.8305023491145644E-2</v>
      </c>
      <c r="AA16" s="691">
        <v>5.529454282616552E-2</v>
      </c>
      <c r="AB16" s="691">
        <v>5.8908565233104448E-2</v>
      </c>
      <c r="AC16" s="691">
        <v>7.1557643657390674E-2</v>
      </c>
      <c r="AD16" s="691">
        <v>6.758221900975786E-2</v>
      </c>
      <c r="AE16" s="691">
        <v>8.6375135525840266E-2</v>
      </c>
      <c r="AF16" s="691">
        <v>6.8305023491145644E-2</v>
      </c>
      <c r="AG16" s="691">
        <v>6.1076978677267801E-2</v>
      </c>
      <c r="AH16" s="691">
        <v>3.9754246476328151E-2</v>
      </c>
      <c r="AI16" s="691">
        <v>4.2284062161185403E-2</v>
      </c>
      <c r="AJ16" s="691"/>
      <c r="AK16" s="691">
        <f t="shared" si="0"/>
        <v>10.205049933686134</v>
      </c>
      <c r="AL16" s="691">
        <f t="shared" si="1"/>
        <v>17.427109913813016</v>
      </c>
      <c r="AM16" s="691">
        <f t="shared" si="2"/>
        <v>31.965106908197463</v>
      </c>
      <c r="AN16" s="691">
        <f t="shared" si="3"/>
        <v>32.5661532723066</v>
      </c>
      <c r="AO16" s="691">
        <f t="shared" si="4"/>
        <v>19.978261027278773</v>
      </c>
      <c r="AP16" s="691">
        <f t="shared" si="5"/>
        <v>16.584136552040032</v>
      </c>
      <c r="AQ16" s="691">
        <f t="shared" si="6"/>
        <v>17.652613212303063</v>
      </c>
      <c r="AR16" s="691">
        <f t="shared" si="7"/>
        <v>23.325698132248409</v>
      </c>
      <c r="AS16" s="691">
        <f t="shared" si="8"/>
        <v>21.361653059471866</v>
      </c>
      <c r="AT16" s="691">
        <f t="shared" si="9"/>
        <v>13.270257819721298</v>
      </c>
      <c r="AU16" s="691">
        <f t="shared" si="10"/>
        <v>10.91979431078345</v>
      </c>
      <c r="AV16" s="691">
        <f t="shared" si="11"/>
        <v>5.0804088464279555</v>
      </c>
      <c r="AW16" s="691">
        <f t="shared" si="12"/>
        <v>4.3887112006564264</v>
      </c>
      <c r="AX16" s="691">
        <f t="shared" si="13"/>
        <v>4.2559100925957489</v>
      </c>
      <c r="AY16" s="691">
        <f t="shared" si="14"/>
        <v>4.5233612293323517</v>
      </c>
      <c r="AZ16" s="691">
        <f t="shared" si="15"/>
        <v>2.4482429362617375</v>
      </c>
      <c r="BA16" s="691"/>
      <c r="BB16" s="691">
        <f t="shared" si="16"/>
        <v>14.747029277945272</v>
      </c>
    </row>
    <row r="17" spans="1:54" x14ac:dyDescent="0.35">
      <c r="A17" s="129" t="s">
        <v>477</v>
      </c>
      <c r="B17" s="129" t="str">
        <f>VLOOKUP(A17,'HCW, Staff, Beds Summary'!B:E,4,FALSE)</f>
        <v>High income</v>
      </c>
      <c r="C17" s="691">
        <v>6.9504164375480197</v>
      </c>
      <c r="D17" s="691">
        <v>18.912426083919399</v>
      </c>
      <c r="E17" s="691">
        <v>22.521289844586601</v>
      </c>
      <c r="F17" s="691">
        <v>19.314338653783501</v>
      </c>
      <c r="G17" s="691">
        <v>14.550486639420299</v>
      </c>
      <c r="H17" s="691">
        <v>15.4181482202964</v>
      </c>
      <c r="I17" s="691">
        <v>20.212491799834702</v>
      </c>
      <c r="J17" s="691">
        <v>25.3866027401954</v>
      </c>
      <c r="K17" s="691">
        <v>22.486784117910901</v>
      </c>
      <c r="L17" s="691">
        <v>22.041626453387</v>
      </c>
      <c r="M17" s="691">
        <v>14.8832549242771</v>
      </c>
      <c r="N17" s="691">
        <v>8.2627317374104603</v>
      </c>
      <c r="O17" s="691">
        <v>5.6901712003404503</v>
      </c>
      <c r="P17" s="691">
        <v>3.9603718571831199</v>
      </c>
      <c r="Q17" s="691">
        <v>4.0819145043232901</v>
      </c>
      <c r="R17" s="691">
        <v>1.4931856683170801</v>
      </c>
      <c r="S17" s="691"/>
      <c r="T17" s="691">
        <v>5.00865551067513E-2</v>
      </c>
      <c r="U17" s="691">
        <v>5.2163877668782457E-2</v>
      </c>
      <c r="V17" s="691">
        <v>5.4702827466820543E-2</v>
      </c>
      <c r="W17" s="691">
        <v>5.9319099826889786E-2</v>
      </c>
      <c r="X17" s="691">
        <v>5.954991344489325E-2</v>
      </c>
      <c r="Y17" s="691">
        <v>6.2839007501442584E-2</v>
      </c>
      <c r="Z17" s="691">
        <v>6.2896710905943454E-2</v>
      </c>
      <c r="AA17" s="691">
        <v>5.954991344489325E-2</v>
      </c>
      <c r="AB17" s="691">
        <v>5.8684362377380263E-2</v>
      </c>
      <c r="AC17" s="691">
        <v>6.6935949221004043E-2</v>
      </c>
      <c r="AD17" s="691">
        <v>7.4321984997114829E-2</v>
      </c>
      <c r="AE17" s="691">
        <v>7.2994806693594927E-2</v>
      </c>
      <c r="AF17" s="691">
        <v>6.5666474321984997E-2</v>
      </c>
      <c r="AG17" s="691">
        <v>5.86266589728794E-2</v>
      </c>
      <c r="AH17" s="691">
        <v>5.5568378534333523E-2</v>
      </c>
      <c r="AI17" s="691">
        <v>3.7276399307559147E-2</v>
      </c>
      <c r="AJ17" s="691"/>
      <c r="AK17" s="691">
        <f t="shared" si="0"/>
        <v>8.6730066865428554</v>
      </c>
      <c r="AL17" s="691">
        <f t="shared" si="1"/>
        <v>22.659868918302212</v>
      </c>
      <c r="AM17" s="691">
        <f t="shared" si="2"/>
        <v>25.731405129660192</v>
      </c>
      <c r="AN17" s="691">
        <f t="shared" si="3"/>
        <v>20.350041881691883</v>
      </c>
      <c r="AO17" s="691">
        <f t="shared" si="4"/>
        <v>15.271313799730727</v>
      </c>
      <c r="AP17" s="691">
        <f t="shared" si="5"/>
        <v>15.334969505150173</v>
      </c>
      <c r="AQ17" s="691">
        <f t="shared" si="6"/>
        <v>20.085004752932072</v>
      </c>
      <c r="AR17" s="691">
        <f t="shared" si="7"/>
        <v>26.644248152106726</v>
      </c>
      <c r="AS17" s="691">
        <f t="shared" si="8"/>
        <v>23.948867303551864</v>
      </c>
      <c r="AT17" s="691">
        <f t="shared" si="9"/>
        <v>20.580893665797234</v>
      </c>
      <c r="AU17" s="691">
        <f t="shared" si="10"/>
        <v>12.515858299578909</v>
      </c>
      <c r="AV17" s="691">
        <f t="shared" si="11"/>
        <v>7.074759931290675</v>
      </c>
      <c r="AW17" s="691">
        <f t="shared" si="12"/>
        <v>5.4157879449637525</v>
      </c>
      <c r="AX17" s="691">
        <f t="shared" si="13"/>
        <v>4.2220253620191599</v>
      </c>
      <c r="AY17" s="691">
        <f t="shared" si="14"/>
        <v>4.5910941303168888</v>
      </c>
      <c r="AZ17" s="691">
        <f t="shared" si="15"/>
        <v>2.5035707848234323</v>
      </c>
      <c r="BA17" s="691"/>
      <c r="BB17" s="691">
        <f t="shared" si="16"/>
        <v>14.725169765528674</v>
      </c>
    </row>
    <row r="18" spans="1:54" x14ac:dyDescent="0.35">
      <c r="A18" s="129" t="s">
        <v>207</v>
      </c>
      <c r="B18" s="129" t="str">
        <f>VLOOKUP(A18,'HCW, Staff, Beds Summary'!B:E,4,FALSE)</f>
        <v>Low income</v>
      </c>
      <c r="C18" s="691">
        <v>21.5180340832353</v>
      </c>
      <c r="D18" s="691">
        <v>44.218040884075101</v>
      </c>
      <c r="E18" s="691">
        <v>33.9611326731982</v>
      </c>
      <c r="F18" s="691">
        <v>23.195754143657201</v>
      </c>
      <c r="G18" s="691">
        <v>17.878389018903899</v>
      </c>
      <c r="H18" s="691">
        <v>18.1840416411167</v>
      </c>
      <c r="I18" s="691">
        <v>17.370604120684</v>
      </c>
      <c r="J18" s="691">
        <v>16.192016774669799</v>
      </c>
      <c r="K18" s="691">
        <v>14.3457701705104</v>
      </c>
      <c r="L18" s="691">
        <v>11.5636876032416</v>
      </c>
      <c r="M18" s="691">
        <v>9.1117728784116601</v>
      </c>
      <c r="N18" s="691">
        <v>6.0850711939826096</v>
      </c>
      <c r="O18" s="691">
        <v>3.30840639772889</v>
      </c>
      <c r="P18" s="691">
        <v>1.0372172810025699</v>
      </c>
      <c r="Q18" s="691">
        <v>0.55937607524355604</v>
      </c>
      <c r="R18" s="691">
        <v>0.33075005877347802</v>
      </c>
      <c r="S18" s="691"/>
      <c r="T18" s="691">
        <v>0.16499760038393857</v>
      </c>
      <c r="U18" s="691">
        <v>0.14592865141577346</v>
      </c>
      <c r="V18" s="691">
        <v>0.12970724684050552</v>
      </c>
      <c r="W18" s="691">
        <v>0.11329387298032315</v>
      </c>
      <c r="X18" s="691">
        <v>9.3169092945128776E-2</v>
      </c>
      <c r="Y18" s="691">
        <v>7.621180611102224E-2</v>
      </c>
      <c r="Z18" s="691">
        <v>6.2773956167013284E-2</v>
      </c>
      <c r="AA18" s="691">
        <v>5.2055671092625183E-2</v>
      </c>
      <c r="AB18" s="691">
        <v>4.1209406494960805E-2</v>
      </c>
      <c r="AC18" s="691">
        <v>3.205887058070709E-2</v>
      </c>
      <c r="AD18" s="691">
        <v>2.5019996800511916E-2</v>
      </c>
      <c r="AE18" s="691">
        <v>1.9772836346184611E-2</v>
      </c>
      <c r="AF18" s="691">
        <v>1.5197568389057751E-2</v>
      </c>
      <c r="AG18" s="691">
        <v>1.1806111022236443E-2</v>
      </c>
      <c r="AH18" s="691">
        <v>8.3826587745960638E-3</v>
      </c>
      <c r="AI18" s="691">
        <v>5.055191169412894E-3</v>
      </c>
      <c r="AJ18" s="691"/>
      <c r="AK18" s="691">
        <f t="shared" si="0"/>
        <v>8.1508890254934947</v>
      </c>
      <c r="AL18" s="691">
        <f t="shared" si="1"/>
        <v>18.938210751915253</v>
      </c>
      <c r="AM18" s="691">
        <f t="shared" si="2"/>
        <v>16.364319217143713</v>
      </c>
      <c r="AN18" s="691">
        <f t="shared" si="3"/>
        <v>12.796231568765988</v>
      </c>
      <c r="AO18" s="691">
        <f t="shared" si="4"/>
        <v>11.993240229778532</v>
      </c>
      <c r="AP18" s="691">
        <f t="shared" si="5"/>
        <v>14.912421848580562</v>
      </c>
      <c r="AQ18" s="691">
        <f t="shared" si="6"/>
        <v>17.29479586493305</v>
      </c>
      <c r="AR18" s="691">
        <f t="shared" si="7"/>
        <v>19.440745401517539</v>
      </c>
      <c r="AS18" s="691">
        <f t="shared" si="8"/>
        <v>21.757426566348144</v>
      </c>
      <c r="AT18" s="691">
        <f t="shared" si="9"/>
        <v>22.543853295865532</v>
      </c>
      <c r="AU18" s="691">
        <f t="shared" si="10"/>
        <v>22.761226128097544</v>
      </c>
      <c r="AV18" s="691">
        <f t="shared" si="11"/>
        <v>19.234314337371202</v>
      </c>
      <c r="AW18" s="691">
        <f t="shared" si="12"/>
        <v>13.60582131066006</v>
      </c>
      <c r="AX18" s="691">
        <f t="shared" si="13"/>
        <v>5.4908919576109962</v>
      </c>
      <c r="AY18" s="691">
        <f t="shared" si="14"/>
        <v>4.1706343587159695</v>
      </c>
      <c r="AZ18" s="691">
        <f t="shared" si="15"/>
        <v>4.0892377717425061</v>
      </c>
      <c r="BA18" s="691"/>
      <c r="BB18" s="691">
        <f t="shared" si="16"/>
        <v>14.596516227158755</v>
      </c>
    </row>
    <row r="19" spans="1:54" x14ac:dyDescent="0.35">
      <c r="A19" s="129" t="s">
        <v>209</v>
      </c>
      <c r="B19" s="129" t="str">
        <f>VLOOKUP(A19,'HCW, Staff, Beds Summary'!B:E,4,FALSE)</f>
        <v>Low income</v>
      </c>
      <c r="C19" s="691">
        <v>22.135090828226101</v>
      </c>
      <c r="D19" s="691">
        <v>49.364568580402597</v>
      </c>
      <c r="E19" s="691">
        <v>45.4470318549699</v>
      </c>
      <c r="F19" s="691">
        <v>24.455361097984898</v>
      </c>
      <c r="G19" s="691">
        <v>14.784176148336901</v>
      </c>
      <c r="H19" s="691">
        <v>15.1222978468757</v>
      </c>
      <c r="I19" s="691">
        <v>14.62782539292</v>
      </c>
      <c r="J19" s="691">
        <v>14.211258585786201</v>
      </c>
      <c r="K19" s="691">
        <v>12.3532877209209</v>
      </c>
      <c r="L19" s="691">
        <v>9.5799669622152894</v>
      </c>
      <c r="M19" s="691">
        <v>7.4410678234700001</v>
      </c>
      <c r="N19" s="691">
        <v>5.1801913054354598</v>
      </c>
      <c r="O19" s="691">
        <v>3.0732018330413</v>
      </c>
      <c r="P19" s="691">
        <v>1.19296296750136</v>
      </c>
      <c r="Q19" s="691">
        <v>0.50853933396065099</v>
      </c>
      <c r="R19" s="691">
        <v>0.32121089611185599</v>
      </c>
      <c r="S19" s="691"/>
      <c r="T19" s="691">
        <v>0.19775271615648365</v>
      </c>
      <c r="U19" s="691">
        <v>0.16404345850373858</v>
      </c>
      <c r="V19" s="691">
        <v>0.13487834097575083</v>
      </c>
      <c r="W19" s="691">
        <v>0.10885281117032264</v>
      </c>
      <c r="X19" s="691">
        <v>8.6214731276077164E-2</v>
      </c>
      <c r="Y19" s="691">
        <v>6.7377204940719623E-2</v>
      </c>
      <c r="Z19" s="691">
        <v>5.2298921799479488E-2</v>
      </c>
      <c r="AA19" s="691">
        <v>4.1021192217127279E-2</v>
      </c>
      <c r="AB19" s="691">
        <v>3.4659396042467053E-2</v>
      </c>
      <c r="AC19" s="691">
        <v>2.8504151691659436E-2</v>
      </c>
      <c r="AD19" s="691">
        <v>2.321642500103276E-2</v>
      </c>
      <c r="AE19" s="691">
        <v>2.003552691370265E-2</v>
      </c>
      <c r="AF19" s="691">
        <v>1.516090387078118E-2</v>
      </c>
      <c r="AG19" s="691">
        <v>1.1484281406204817E-2</v>
      </c>
      <c r="AH19" s="691">
        <v>7.8489693063989747E-3</v>
      </c>
      <c r="AI19" s="691">
        <v>4.4202090304457384E-3</v>
      </c>
      <c r="AJ19" s="691"/>
      <c r="AK19" s="691">
        <f t="shared" si="0"/>
        <v>6.9958238938644932</v>
      </c>
      <c r="AL19" s="691">
        <f t="shared" si="1"/>
        <v>18.807732807003994</v>
      </c>
      <c r="AM19" s="691">
        <f t="shared" si="2"/>
        <v>21.059270675981168</v>
      </c>
      <c r="AN19" s="691">
        <f t="shared" si="3"/>
        <v>14.041530505192609</v>
      </c>
      <c r="AO19" s="691">
        <f t="shared" si="4"/>
        <v>10.717553666231174</v>
      </c>
      <c r="AP19" s="691">
        <f t="shared" si="5"/>
        <v>14.02764653507511</v>
      </c>
      <c r="AQ19" s="691">
        <f t="shared" si="6"/>
        <v>17.481031264139734</v>
      </c>
      <c r="AR19" s="691">
        <f t="shared" si="7"/>
        <v>21.652312222188225</v>
      </c>
      <c r="AS19" s="691">
        <f t="shared" si="8"/>
        <v>22.276224363850734</v>
      </c>
      <c r="AT19" s="691">
        <f t="shared" si="9"/>
        <v>21.005639515792165</v>
      </c>
      <c r="AU19" s="691">
        <f t="shared" si="10"/>
        <v>20.031798131977123</v>
      </c>
      <c r="AV19" s="691">
        <f t="shared" si="11"/>
        <v>16.159393161169607</v>
      </c>
      <c r="AW19" s="691">
        <f t="shared" si="12"/>
        <v>12.669107079773628</v>
      </c>
      <c r="AX19" s="691">
        <f t="shared" si="13"/>
        <v>6.4923683800147076</v>
      </c>
      <c r="AY19" s="691">
        <f t="shared" si="14"/>
        <v>4.0494117293373293</v>
      </c>
      <c r="AZ19" s="691">
        <f t="shared" si="15"/>
        <v>4.5417944872544966</v>
      </c>
      <c r="BA19" s="691"/>
      <c r="BB19" s="691">
        <f t="shared" si="16"/>
        <v>14.500539901177893</v>
      </c>
    </row>
    <row r="20" spans="1:54" x14ac:dyDescent="0.35">
      <c r="A20" s="129" t="s">
        <v>214</v>
      </c>
      <c r="B20" s="129" t="str">
        <f>VLOOKUP(A20,'HCW, Staff, Beds Summary'!B:E,4,FALSE)</f>
        <v>Low income</v>
      </c>
      <c r="C20" s="691">
        <v>19.1818920490044</v>
      </c>
      <c r="D20" s="691">
        <v>44.220435062955403</v>
      </c>
      <c r="E20" s="691">
        <v>34.480927384844897</v>
      </c>
      <c r="F20" s="691">
        <v>28.295921992857199</v>
      </c>
      <c r="G20" s="691">
        <v>16.462078617903501</v>
      </c>
      <c r="H20" s="691">
        <v>19.691453899648799</v>
      </c>
      <c r="I20" s="691">
        <v>17.6262201871846</v>
      </c>
      <c r="J20" s="691">
        <v>17.687070220902299</v>
      </c>
      <c r="K20" s="691">
        <v>15.2376589792977</v>
      </c>
      <c r="L20" s="691">
        <v>12.2010811494506</v>
      </c>
      <c r="M20" s="691">
        <v>10.014360684996999</v>
      </c>
      <c r="N20" s="691">
        <v>6.2350181379933503</v>
      </c>
      <c r="O20" s="691">
        <v>3.0727062875821498</v>
      </c>
      <c r="P20" s="691">
        <v>1.42465273679525</v>
      </c>
      <c r="Q20" s="691">
        <v>0.71079238578125004</v>
      </c>
      <c r="R20" s="691">
        <v>0.427389293305241</v>
      </c>
      <c r="S20" s="691"/>
      <c r="T20" s="691">
        <v>0.14529271656011031</v>
      </c>
      <c r="U20" s="691">
        <v>0.13375955873135265</v>
      </c>
      <c r="V20" s="691">
        <v>0.12435752789269149</v>
      </c>
      <c r="W20" s="691">
        <v>0.10969035978438009</v>
      </c>
      <c r="X20" s="691">
        <v>9.4521750031340099E-2</v>
      </c>
      <c r="Y20" s="691">
        <v>8.1734988090760935E-2</v>
      </c>
      <c r="Z20" s="691">
        <v>6.9324307383728218E-2</v>
      </c>
      <c r="AA20" s="691">
        <v>5.8041870377334839E-2</v>
      </c>
      <c r="AB20" s="691">
        <v>4.6759433370941454E-2</v>
      </c>
      <c r="AC20" s="691">
        <v>3.7482762943462457E-2</v>
      </c>
      <c r="AD20" s="691">
        <v>2.9585057038987089E-2</v>
      </c>
      <c r="AE20" s="691">
        <v>2.2815594835151061E-2</v>
      </c>
      <c r="AF20" s="691">
        <v>1.6923655509590071E-2</v>
      </c>
      <c r="AG20" s="691">
        <v>1.228532029585057E-2</v>
      </c>
      <c r="AH20" s="691">
        <v>8.5245079603861098E-3</v>
      </c>
      <c r="AI20" s="691">
        <v>5.1397768584680956E-3</v>
      </c>
      <c r="AJ20" s="691"/>
      <c r="AK20" s="691">
        <f t="shared" si="0"/>
        <v>8.2513995294924563</v>
      </c>
      <c r="AL20" s="691">
        <f t="shared" si="1"/>
        <v>20.662278028186225</v>
      </c>
      <c r="AM20" s="691">
        <f t="shared" si="2"/>
        <v>17.329533628333401</v>
      </c>
      <c r="AN20" s="691">
        <f t="shared" si="3"/>
        <v>16.12261212407299</v>
      </c>
      <c r="AO20" s="691">
        <f t="shared" si="4"/>
        <v>10.885112826178402</v>
      </c>
      <c r="AP20" s="691">
        <f t="shared" si="5"/>
        <v>15.057393381662047</v>
      </c>
      <c r="AQ20" s="691">
        <f t="shared" si="6"/>
        <v>15.891089334671289</v>
      </c>
      <c r="AR20" s="691">
        <f t="shared" si="7"/>
        <v>19.045593838031539</v>
      </c>
      <c r="AS20" s="691">
        <f t="shared" si="8"/>
        <v>20.367092104198687</v>
      </c>
      <c r="AT20" s="691">
        <f t="shared" si="9"/>
        <v>20.344486690879478</v>
      </c>
      <c r="AU20" s="691">
        <f t="shared" si="10"/>
        <v>21.155867368702612</v>
      </c>
      <c r="AV20" s="691">
        <f t="shared" si="11"/>
        <v>17.079924342985215</v>
      </c>
      <c r="AW20" s="691">
        <f t="shared" si="12"/>
        <v>11.347675025945746</v>
      </c>
      <c r="AX20" s="691">
        <f t="shared" si="13"/>
        <v>7.2477390825355288</v>
      </c>
      <c r="AY20" s="691">
        <f t="shared" si="14"/>
        <v>5.2113886593538892</v>
      </c>
      <c r="AZ20" s="691">
        <f t="shared" si="15"/>
        <v>5.1970798669144935</v>
      </c>
      <c r="BA20" s="691"/>
      <c r="BB20" s="691">
        <f t="shared" si="16"/>
        <v>14.449766614509</v>
      </c>
    </row>
    <row r="21" spans="1:54" x14ac:dyDescent="0.35">
      <c r="A21" s="129" t="s">
        <v>412</v>
      </c>
      <c r="B21" s="129" t="str">
        <f>VLOOKUP(A21,'HCW, Staff, Beds Summary'!B:E,4,FALSE)</f>
        <v>High income</v>
      </c>
      <c r="C21" s="691">
        <v>6.1155179472815098</v>
      </c>
      <c r="D21" s="691">
        <v>12.8526491643626</v>
      </c>
      <c r="E21" s="691">
        <v>18.056993259937599</v>
      </c>
      <c r="F21" s="691">
        <v>25.242676768952801</v>
      </c>
      <c r="G21" s="691">
        <v>15.0523853589811</v>
      </c>
      <c r="H21" s="691">
        <v>17.6506764906939</v>
      </c>
      <c r="I21" s="691">
        <v>18.398090985204899</v>
      </c>
      <c r="J21" s="691">
        <v>18.734950354215499</v>
      </c>
      <c r="K21" s="691">
        <v>17.991572873395501</v>
      </c>
      <c r="L21" s="691">
        <v>15.821357835508801</v>
      </c>
      <c r="M21" s="691">
        <v>12.8047135595298</v>
      </c>
      <c r="N21" s="691">
        <v>8.2087087880489698</v>
      </c>
      <c r="O21" s="691">
        <v>5.1001813796292303</v>
      </c>
      <c r="P21" s="691">
        <v>3.21133943148326</v>
      </c>
      <c r="Q21" s="691">
        <v>2.18497446550567</v>
      </c>
      <c r="R21" s="691">
        <v>1.5859122564892001</v>
      </c>
      <c r="S21" s="691"/>
      <c r="T21" s="691">
        <v>4.8387096774193547E-2</v>
      </c>
      <c r="U21" s="691">
        <v>4.0190375462718142E-2</v>
      </c>
      <c r="V21" s="691">
        <v>3.807509254362771E-2</v>
      </c>
      <c r="W21" s="691">
        <v>3.556319407720783E-2</v>
      </c>
      <c r="X21" s="691">
        <v>4.9973558963511369E-2</v>
      </c>
      <c r="Y21" s="691">
        <v>6.5705975674246436E-2</v>
      </c>
      <c r="Z21" s="691">
        <v>7.1523003701745108E-2</v>
      </c>
      <c r="AA21" s="691">
        <v>7.8133262823902691E-2</v>
      </c>
      <c r="AB21" s="691">
        <v>7.5489159175039663E-2</v>
      </c>
      <c r="AC21" s="691">
        <v>7.5092543627710201E-2</v>
      </c>
      <c r="AD21" s="691">
        <v>7.5885774722369112E-2</v>
      </c>
      <c r="AE21" s="691">
        <v>8.5272342675832891E-2</v>
      </c>
      <c r="AF21" s="691">
        <v>7.8662083553675308E-2</v>
      </c>
      <c r="AG21" s="691">
        <v>6.1343204653622425E-2</v>
      </c>
      <c r="AH21" s="691">
        <v>4.6007403490216814E-2</v>
      </c>
      <c r="AI21" s="691">
        <v>2.4193548387096774E-2</v>
      </c>
      <c r="AJ21" s="691"/>
      <c r="AK21" s="691">
        <f t="shared" si="0"/>
        <v>7.8992106819052834</v>
      </c>
      <c r="AL21" s="691">
        <f t="shared" si="1"/>
        <v>19.987137804119797</v>
      </c>
      <c r="AM21" s="691">
        <f t="shared" si="2"/>
        <v>29.640429040401042</v>
      </c>
      <c r="AN21" s="691">
        <f t="shared" si="3"/>
        <v>44.362362239860353</v>
      </c>
      <c r="AO21" s="691">
        <f t="shared" si="4"/>
        <v>18.825436980048451</v>
      </c>
      <c r="AP21" s="691">
        <f t="shared" si="5"/>
        <v>16.789451329930664</v>
      </c>
      <c r="AQ21" s="691">
        <f t="shared" si="6"/>
        <v>16.077074885869902</v>
      </c>
      <c r="AR21" s="691">
        <f t="shared" si="7"/>
        <v>14.98637526219184</v>
      </c>
      <c r="AS21" s="691">
        <f t="shared" si="8"/>
        <v>14.895825001572195</v>
      </c>
      <c r="AT21" s="691">
        <f t="shared" si="9"/>
        <v>13.168216402705609</v>
      </c>
      <c r="AU21" s="691">
        <f t="shared" si="10"/>
        <v>10.546042395936782</v>
      </c>
      <c r="AV21" s="691">
        <f t="shared" si="11"/>
        <v>6.0165381078296907</v>
      </c>
      <c r="AW21" s="691">
        <f t="shared" si="12"/>
        <v>4.0522869701171738</v>
      </c>
      <c r="AX21" s="691">
        <f t="shared" si="13"/>
        <v>3.2718980953312737</v>
      </c>
      <c r="AY21" s="691">
        <f t="shared" si="14"/>
        <v>2.9682375820913953</v>
      </c>
      <c r="AZ21" s="691">
        <f t="shared" si="15"/>
        <v>4.096939995930434</v>
      </c>
      <c r="BA21" s="691"/>
      <c r="BB21" s="691">
        <f t="shared" si="16"/>
        <v>14.223966423490118</v>
      </c>
    </row>
    <row r="22" spans="1:54" x14ac:dyDescent="0.35">
      <c r="A22" s="129" t="s">
        <v>442</v>
      </c>
      <c r="B22" s="129" t="str">
        <f>VLOOKUP(A22,'HCW, Staff, Beds Summary'!B:E,4,FALSE)</f>
        <v>High income</v>
      </c>
      <c r="C22" s="691">
        <v>10.1483236039335</v>
      </c>
      <c r="D22" s="691">
        <v>13.734361141290099</v>
      </c>
      <c r="E22" s="691">
        <v>14.981519945200199</v>
      </c>
      <c r="F22" s="691">
        <v>21.572544650093</v>
      </c>
      <c r="G22" s="691">
        <v>17.596746908872799</v>
      </c>
      <c r="H22" s="691">
        <v>19.191932619788499</v>
      </c>
      <c r="I22" s="691">
        <v>18.698759168138</v>
      </c>
      <c r="J22" s="691">
        <v>19.476412949760601</v>
      </c>
      <c r="K22" s="691">
        <v>18.695870840420799</v>
      </c>
      <c r="L22" s="691">
        <v>16.013829896925198</v>
      </c>
      <c r="M22" s="691">
        <v>13.336349164725799</v>
      </c>
      <c r="N22" s="691">
        <v>7.8426428952852998</v>
      </c>
      <c r="O22" s="691">
        <v>5.1027969666772899</v>
      </c>
      <c r="P22" s="691">
        <v>4.49310802615926</v>
      </c>
      <c r="Q22" s="691">
        <v>3.5642321232744001</v>
      </c>
      <c r="R22" s="691">
        <v>2.0540355355567699</v>
      </c>
      <c r="S22" s="691"/>
      <c r="T22" s="691">
        <v>6.0367454068241469E-2</v>
      </c>
      <c r="U22" s="691">
        <v>4.9343832020997375E-2</v>
      </c>
      <c r="V22" s="691">
        <v>5.4068241469816272E-2</v>
      </c>
      <c r="W22" s="691">
        <v>4.5669291338582677E-2</v>
      </c>
      <c r="X22" s="691">
        <v>3.7270341207349081E-2</v>
      </c>
      <c r="Y22" s="691">
        <v>6.2992125984251968E-2</v>
      </c>
      <c r="Z22" s="691">
        <v>7.5065616797900261E-2</v>
      </c>
      <c r="AA22" s="691">
        <v>6.4041994750656167E-2</v>
      </c>
      <c r="AB22" s="691">
        <v>6.4041994750656167E-2</v>
      </c>
      <c r="AC22" s="691">
        <v>7.0341207349081364E-2</v>
      </c>
      <c r="AD22" s="691">
        <v>6.2992125984251968E-2</v>
      </c>
      <c r="AE22" s="691">
        <v>7.6640419947506561E-2</v>
      </c>
      <c r="AF22" s="691">
        <v>6.8766404199475065E-2</v>
      </c>
      <c r="AG22" s="691">
        <v>6.3517060367454067E-2</v>
      </c>
      <c r="AH22" s="691">
        <v>3.937007874015748E-2</v>
      </c>
      <c r="AI22" s="691">
        <v>4.6719160104986876E-2</v>
      </c>
      <c r="AJ22" s="691"/>
      <c r="AK22" s="691">
        <f t="shared" si="0"/>
        <v>10.506824166028977</v>
      </c>
      <c r="AL22" s="691">
        <f t="shared" si="1"/>
        <v>17.396248653030344</v>
      </c>
      <c r="AM22" s="691">
        <f t="shared" si="2"/>
        <v>17.317837072576687</v>
      </c>
      <c r="AN22" s="691">
        <f t="shared" si="3"/>
        <v>29.522771234502276</v>
      </c>
      <c r="AO22" s="691">
        <f t="shared" si="4"/>
        <v>29.50862927940377</v>
      </c>
      <c r="AP22" s="691">
        <f t="shared" si="5"/>
        <v>19.041995646196401</v>
      </c>
      <c r="AQ22" s="691">
        <f t="shared" si="6"/>
        <v>15.568678415779235</v>
      </c>
      <c r="AR22" s="691">
        <f t="shared" si="7"/>
        <v>19.00746243303993</v>
      </c>
      <c r="AS22" s="691">
        <f t="shared" si="8"/>
        <v>18.245714114242634</v>
      </c>
      <c r="AT22" s="691">
        <f t="shared" si="9"/>
        <v>14.228706135094452</v>
      </c>
      <c r="AU22" s="691">
        <f t="shared" si="10"/>
        <v>13.232158936876379</v>
      </c>
      <c r="AV22" s="691">
        <f t="shared" si="11"/>
        <v>6.3956484227390824</v>
      </c>
      <c r="AW22" s="691">
        <f t="shared" si="12"/>
        <v>4.6377997240077464</v>
      </c>
      <c r="AX22" s="691">
        <f t="shared" si="13"/>
        <v>4.4211625980544369</v>
      </c>
      <c r="AY22" s="691">
        <f t="shared" si="14"/>
        <v>5.6582184956981099</v>
      </c>
      <c r="AZ22" s="691">
        <f t="shared" si="15"/>
        <v>2.7478495050812124</v>
      </c>
      <c r="BA22" s="691"/>
      <c r="BB22" s="691">
        <f t="shared" si="16"/>
        <v>14.214856552021981</v>
      </c>
    </row>
    <row r="23" spans="1:54" x14ac:dyDescent="0.35">
      <c r="A23" s="129" t="s">
        <v>218</v>
      </c>
      <c r="B23" s="129" t="str">
        <f>VLOOKUP(A23,'HCW, Staff, Beds Summary'!B:E,4,FALSE)</f>
        <v>Lower middle income</v>
      </c>
      <c r="C23" s="691">
        <v>16.2449730536737</v>
      </c>
      <c r="D23" s="691">
        <v>34.619876407883197</v>
      </c>
      <c r="E23" s="691">
        <v>38.292091744362097</v>
      </c>
      <c r="F23" s="691">
        <v>36.379728975117402</v>
      </c>
      <c r="G23" s="691">
        <v>21.5597215779772</v>
      </c>
      <c r="H23" s="691">
        <v>19.316845790021802</v>
      </c>
      <c r="I23" s="691">
        <v>17.039655728870699</v>
      </c>
      <c r="J23" s="691">
        <v>15.505658891827901</v>
      </c>
      <c r="K23" s="691">
        <v>14.1304548353064</v>
      </c>
      <c r="L23" s="691">
        <v>10.871311423533101</v>
      </c>
      <c r="M23" s="691">
        <v>8.6822546082304797</v>
      </c>
      <c r="N23" s="691">
        <v>5.3573004843296497</v>
      </c>
      <c r="O23" s="691">
        <v>2.7422633273693999</v>
      </c>
      <c r="P23" s="691">
        <v>1.14547017194193</v>
      </c>
      <c r="Q23" s="691">
        <v>0.72690605028086197</v>
      </c>
      <c r="R23" s="691">
        <v>0.60438651996463999</v>
      </c>
      <c r="S23" s="691"/>
      <c r="T23" s="691">
        <v>0.14115589046625848</v>
      </c>
      <c r="U23" s="691">
        <v>0.14875866245038014</v>
      </c>
      <c r="V23" s="691">
        <v>0.12924712373006794</v>
      </c>
      <c r="W23" s="691">
        <v>0.11027383435376438</v>
      </c>
      <c r="X23" s="691">
        <v>9.2713449505483408E-2</v>
      </c>
      <c r="Y23" s="691">
        <v>7.4412971809190612E-2</v>
      </c>
      <c r="Z23" s="691">
        <v>6.694476216107112E-2</v>
      </c>
      <c r="AA23" s="691">
        <v>5.8736459664939782E-2</v>
      </c>
      <c r="AB23" s="691">
        <v>4.9653501984794457E-2</v>
      </c>
      <c r="AC23" s="691">
        <v>3.5053488528560856E-2</v>
      </c>
      <c r="AD23" s="691">
        <v>2.6172374352418759E-2</v>
      </c>
      <c r="AE23" s="691">
        <v>2.0789880912332637E-2</v>
      </c>
      <c r="AF23" s="691">
        <v>1.614748032025836E-2</v>
      </c>
      <c r="AG23" s="691">
        <v>1.2447016080199153E-2</v>
      </c>
      <c r="AH23" s="691">
        <v>7.6700531521227211E-3</v>
      </c>
      <c r="AI23" s="691">
        <v>5.7861804480925788E-3</v>
      </c>
      <c r="AJ23" s="691"/>
      <c r="AK23" s="691">
        <f t="shared" si="0"/>
        <v>7.1928334871530097</v>
      </c>
      <c r="AL23" s="691">
        <f t="shared" si="1"/>
        <v>14.545319511826323</v>
      </c>
      <c r="AM23" s="691">
        <f t="shared" si="2"/>
        <v>18.516897436115755</v>
      </c>
      <c r="AN23" s="691">
        <f t="shared" si="3"/>
        <v>20.618971619782258</v>
      </c>
      <c r="AO23" s="691">
        <f t="shared" si="4"/>
        <v>14.533841700538604</v>
      </c>
      <c r="AP23" s="691">
        <f t="shared" si="5"/>
        <v>16.224360249609745</v>
      </c>
      <c r="AQ23" s="691">
        <f t="shared" si="6"/>
        <v>15.908316777525451</v>
      </c>
      <c r="AR23" s="691">
        <f t="shared" si="7"/>
        <v>16.499184429355534</v>
      </c>
      <c r="AS23" s="691">
        <f t="shared" si="8"/>
        <v>17.786327084786503</v>
      </c>
      <c r="AT23" s="691">
        <f t="shared" si="9"/>
        <v>19.383433503835469</v>
      </c>
      <c r="AU23" s="691">
        <f t="shared" si="10"/>
        <v>20.733346761267612</v>
      </c>
      <c r="AV23" s="691">
        <f t="shared" si="11"/>
        <v>16.105492940653637</v>
      </c>
      <c r="AW23" s="691">
        <f t="shared" si="12"/>
        <v>10.614130165284216</v>
      </c>
      <c r="AX23" s="691">
        <f t="shared" si="13"/>
        <v>5.7517307991800353</v>
      </c>
      <c r="AY23" s="691">
        <f t="shared" si="14"/>
        <v>5.9232481498489316</v>
      </c>
      <c r="AZ23" s="691">
        <f t="shared" si="15"/>
        <v>6.5283407312750326</v>
      </c>
      <c r="BA23" s="691"/>
      <c r="BB23" s="691">
        <f t="shared" si="16"/>
        <v>14.179110959252382</v>
      </c>
    </row>
    <row r="24" spans="1:54" x14ac:dyDescent="0.35">
      <c r="A24" s="129" t="s">
        <v>210</v>
      </c>
      <c r="B24" s="129" t="str">
        <f>VLOOKUP(A24,'HCW, Staff, Beds Summary'!B:E,4,FALSE)</f>
        <v>Low income</v>
      </c>
      <c r="C24" s="691">
        <v>20.174875853001101</v>
      </c>
      <c r="D24" s="691">
        <v>33.586386146442202</v>
      </c>
      <c r="E24" s="691">
        <v>33.221738681858596</v>
      </c>
      <c r="F24" s="691">
        <v>26.948987666138901</v>
      </c>
      <c r="G24" s="691">
        <v>20.8144260317715</v>
      </c>
      <c r="H24" s="691">
        <v>22.284775160928199</v>
      </c>
      <c r="I24" s="691">
        <v>19.554744410364801</v>
      </c>
      <c r="J24" s="691">
        <v>17.450742715688701</v>
      </c>
      <c r="K24" s="691">
        <v>15.619856767962199</v>
      </c>
      <c r="L24" s="691">
        <v>12.5766138361594</v>
      </c>
      <c r="M24" s="691">
        <v>10.2536716041467</v>
      </c>
      <c r="N24" s="691">
        <v>6.3933139318210497</v>
      </c>
      <c r="O24" s="691">
        <v>3.5743591970161499</v>
      </c>
      <c r="P24" s="691">
        <v>1.03033676267853</v>
      </c>
      <c r="Q24" s="691">
        <v>0.50931236368928301</v>
      </c>
      <c r="R24" s="691">
        <v>0.31685734567887702</v>
      </c>
      <c r="S24" s="691"/>
      <c r="T24" s="691">
        <v>0.14553736874613959</v>
      </c>
      <c r="U24" s="691">
        <v>0.12940086473131562</v>
      </c>
      <c r="V24" s="691">
        <v>0.11982705373687462</v>
      </c>
      <c r="W24" s="691">
        <v>0.10453983940704138</v>
      </c>
      <c r="X24" s="691">
        <v>9.1337245213094498E-2</v>
      </c>
      <c r="Y24" s="691">
        <v>7.9369981470043233E-2</v>
      </c>
      <c r="Z24" s="691">
        <v>7.5586781964175412E-2</v>
      </c>
      <c r="AA24" s="691">
        <v>6.4391599752933903E-2</v>
      </c>
      <c r="AB24" s="691">
        <v>4.7019765287214327E-2</v>
      </c>
      <c r="AC24" s="691">
        <v>3.5592958616429894E-2</v>
      </c>
      <c r="AD24" s="691">
        <v>2.740889437924645E-2</v>
      </c>
      <c r="AE24" s="691">
        <v>2.887584928968499E-2</v>
      </c>
      <c r="AF24" s="691">
        <v>1.9996911673872762E-2</v>
      </c>
      <c r="AG24" s="691">
        <v>1.436071649166152E-2</v>
      </c>
      <c r="AH24" s="691">
        <v>8.4156886967263738E-3</v>
      </c>
      <c r="AI24" s="691">
        <v>5.0957381099444102E-3</v>
      </c>
      <c r="AJ24" s="691"/>
      <c r="AK24" s="691">
        <f t="shared" si="0"/>
        <v>8.6639586222834968</v>
      </c>
      <c r="AL24" s="691">
        <f t="shared" si="1"/>
        <v>16.222064191852603</v>
      </c>
      <c r="AM24" s="691">
        <f t="shared" si="2"/>
        <v>17.327962282837973</v>
      </c>
      <c r="AN24" s="691">
        <f t="shared" si="3"/>
        <v>16.11167320217093</v>
      </c>
      <c r="AO24" s="691">
        <f t="shared" si="4"/>
        <v>14.242838438477625</v>
      </c>
      <c r="AP24" s="691">
        <f t="shared" si="5"/>
        <v>17.548176549388501</v>
      </c>
      <c r="AQ24" s="691">
        <f t="shared" si="6"/>
        <v>16.169117058417065</v>
      </c>
      <c r="AR24" s="691">
        <f t="shared" si="7"/>
        <v>16.938100993225426</v>
      </c>
      <c r="AS24" s="691">
        <f t="shared" si="8"/>
        <v>20.762354767923483</v>
      </c>
      <c r="AT24" s="691">
        <f t="shared" si="9"/>
        <v>22.08409739776797</v>
      </c>
      <c r="AU24" s="691">
        <f t="shared" si="10"/>
        <v>23.381259615652827</v>
      </c>
      <c r="AV24" s="691">
        <f t="shared" si="11"/>
        <v>13.837934833714277</v>
      </c>
      <c r="AW24" s="691">
        <f t="shared" si="12"/>
        <v>11.171597567508005</v>
      </c>
      <c r="AX24" s="691">
        <f t="shared" si="13"/>
        <v>4.4841806956358603</v>
      </c>
      <c r="AY24" s="691">
        <f t="shared" si="14"/>
        <v>3.7824620037291248</v>
      </c>
      <c r="AZ24" s="691">
        <f t="shared" si="15"/>
        <v>3.8863033534401659</v>
      </c>
      <c r="BA24" s="691"/>
      <c r="BB24" s="691">
        <f t="shared" si="16"/>
        <v>14.163380098376583</v>
      </c>
    </row>
    <row r="25" spans="1:54" x14ac:dyDescent="0.35">
      <c r="A25" s="129" t="s">
        <v>425</v>
      </c>
      <c r="B25" s="129" t="str">
        <f>VLOOKUP(A25,'HCW, Staff, Beds Summary'!B:E,4,FALSE)</f>
        <v>High income</v>
      </c>
      <c r="C25" s="691">
        <v>7.8776674415298302</v>
      </c>
      <c r="D25" s="691">
        <v>12.4331475623604</v>
      </c>
      <c r="E25" s="691">
        <v>15.6564332783975</v>
      </c>
      <c r="F25" s="691">
        <v>17.958501320624801</v>
      </c>
      <c r="G25" s="691">
        <v>12.351118030151101</v>
      </c>
      <c r="H25" s="691">
        <v>15.0284618470978</v>
      </c>
      <c r="I25" s="691">
        <v>17.243180355720099</v>
      </c>
      <c r="J25" s="691">
        <v>19.433150201190202</v>
      </c>
      <c r="K25" s="691">
        <v>18.340416113397399</v>
      </c>
      <c r="L25" s="691">
        <v>14.483722785909</v>
      </c>
      <c r="M25" s="691">
        <v>11.789984923266401</v>
      </c>
      <c r="N25" s="691">
        <v>9.0150629503242303</v>
      </c>
      <c r="O25" s="691">
        <v>7.4859446425132399</v>
      </c>
      <c r="P25" s="691">
        <v>6.1429287714943897</v>
      </c>
      <c r="Q25" s="691">
        <v>4.4836934208555199</v>
      </c>
      <c r="R25" s="691">
        <v>2.8158088499743501</v>
      </c>
      <c r="S25" s="691"/>
      <c r="T25" s="691">
        <v>3.7784197165389423E-2</v>
      </c>
      <c r="U25" s="691">
        <v>4.2710148733497266E-2</v>
      </c>
      <c r="V25" s="691">
        <v>4.3991373616316914E-2</v>
      </c>
      <c r="W25" s="691">
        <v>4.5089566373019474E-2</v>
      </c>
      <c r="X25" s="691">
        <v>4.7413278582853866E-2</v>
      </c>
      <c r="Y25" s="691">
        <v>4.8630840117458878E-2</v>
      </c>
      <c r="Z25" s="691">
        <v>5.3684118381996007E-2</v>
      </c>
      <c r="AA25" s="691">
        <v>6.0607507500338213E-2</v>
      </c>
      <c r="AB25" s="691">
        <v>6.6949968566221818E-2</v>
      </c>
      <c r="AC25" s="691">
        <v>7.9101710156691415E-2</v>
      </c>
      <c r="AD25" s="691">
        <v>6.8461973086319544E-2</v>
      </c>
      <c r="AE25" s="691">
        <v>6.2326417902133516E-2</v>
      </c>
      <c r="AF25" s="691">
        <v>5.9262619269303922E-2</v>
      </c>
      <c r="AG25" s="691">
        <v>6.6257629654387598E-2</v>
      </c>
      <c r="AH25" s="691">
        <v>7.2170363119822376E-2</v>
      </c>
      <c r="AI25" s="691">
        <v>5.5800924710132815E-2</v>
      </c>
      <c r="AJ25" s="691"/>
      <c r="AK25" s="691">
        <f t="shared" si="0"/>
        <v>13.030691453902696</v>
      </c>
      <c r="AL25" s="691">
        <f t="shared" si="1"/>
        <v>18.194076716901552</v>
      </c>
      <c r="AM25" s="691">
        <f t="shared" si="2"/>
        <v>22.243612769047445</v>
      </c>
      <c r="AN25" s="691">
        <f t="shared" si="3"/>
        <v>24.89281718199604</v>
      </c>
      <c r="AO25" s="691">
        <f t="shared" si="4"/>
        <v>16.281195900331671</v>
      </c>
      <c r="AP25" s="691">
        <f t="shared" si="5"/>
        <v>19.314469237524101</v>
      </c>
      <c r="AQ25" s="691">
        <f t="shared" si="6"/>
        <v>20.074815508080189</v>
      </c>
      <c r="AR25" s="691">
        <f t="shared" si="7"/>
        <v>20.039957715925041</v>
      </c>
      <c r="AS25" s="691">
        <f t="shared" si="8"/>
        <v>17.121382304362523</v>
      </c>
      <c r="AT25" s="691">
        <f t="shared" si="9"/>
        <v>11.443907752767297</v>
      </c>
      <c r="AU25" s="691">
        <f t="shared" si="10"/>
        <v>10.763260602715471</v>
      </c>
      <c r="AV25" s="691">
        <f t="shared" si="11"/>
        <v>9.0401703380417935</v>
      </c>
      <c r="AW25" s="691">
        <f t="shared" si="12"/>
        <v>7.8948845988557155</v>
      </c>
      <c r="AX25" s="691">
        <f t="shared" si="13"/>
        <v>5.7945484953365698</v>
      </c>
      <c r="AY25" s="691">
        <f t="shared" si="14"/>
        <v>3.882907424730714</v>
      </c>
      <c r="AZ25" s="691">
        <f t="shared" si="15"/>
        <v>3.153855496796802</v>
      </c>
      <c r="BA25" s="691"/>
      <c r="BB25" s="691">
        <f t="shared" si="16"/>
        <v>13.947909593582228</v>
      </c>
    </row>
    <row r="26" spans="1:54" x14ac:dyDescent="0.35">
      <c r="A26" s="129" t="s">
        <v>515</v>
      </c>
      <c r="B26" s="129" t="str">
        <f>VLOOKUP(A26,'HCW, Staff, Beds Summary'!B:E,4,FALSE)</f>
        <v>High income</v>
      </c>
      <c r="C26" s="691">
        <v>6.5909913178782702</v>
      </c>
      <c r="D26" s="691">
        <v>16.458507845121002</v>
      </c>
      <c r="E26" s="691">
        <v>21.025815008742899</v>
      </c>
      <c r="F26" s="691">
        <v>24.0172351318441</v>
      </c>
      <c r="G26" s="691">
        <v>15.867297503148301</v>
      </c>
      <c r="H26" s="691">
        <v>17.509223189538002</v>
      </c>
      <c r="I26" s="691">
        <v>19.203245013171699</v>
      </c>
      <c r="J26" s="691">
        <v>20.4413036874295</v>
      </c>
      <c r="K26" s="691">
        <v>19.4831017902439</v>
      </c>
      <c r="L26" s="691">
        <v>15.819224977291601</v>
      </c>
      <c r="M26" s="691">
        <v>12.8188567940305</v>
      </c>
      <c r="N26" s="691">
        <v>8.6263418509292205</v>
      </c>
      <c r="O26" s="691">
        <v>4.9728785381344904</v>
      </c>
      <c r="P26" s="691">
        <v>2.8822642198187598</v>
      </c>
      <c r="Q26" s="691">
        <v>1.7755223913987701</v>
      </c>
      <c r="R26" s="691">
        <v>0.98567232220930801</v>
      </c>
      <c r="S26" s="691"/>
      <c r="T26" s="691">
        <v>4.4005544005544003E-2</v>
      </c>
      <c r="U26" s="691">
        <v>3.7768537768537766E-2</v>
      </c>
      <c r="V26" s="691">
        <v>4.1060291060291063E-2</v>
      </c>
      <c r="W26" s="691">
        <v>4.5391545391545392E-2</v>
      </c>
      <c r="X26" s="691">
        <v>6.7914067914067913E-2</v>
      </c>
      <c r="Y26" s="691">
        <v>7.4497574497574492E-2</v>
      </c>
      <c r="Z26" s="691">
        <v>7.4151074151074151E-2</v>
      </c>
      <c r="AA26" s="691">
        <v>7.9002079002079006E-2</v>
      </c>
      <c r="AB26" s="691">
        <v>8.0907830907830908E-2</v>
      </c>
      <c r="AC26" s="691">
        <v>8.4026334026334026E-2</v>
      </c>
      <c r="AD26" s="691">
        <v>7.969507969507969E-2</v>
      </c>
      <c r="AE26" s="691">
        <v>8.1947331947331947E-2</v>
      </c>
      <c r="AF26" s="691">
        <v>7.5883575883575888E-2</v>
      </c>
      <c r="AG26" s="691">
        <v>6.0810810810810814E-2</v>
      </c>
      <c r="AH26" s="691">
        <v>3.2571032571032568E-2</v>
      </c>
      <c r="AI26" s="691">
        <v>1.7151767151767153E-2</v>
      </c>
      <c r="AJ26" s="691"/>
      <c r="AK26" s="691">
        <f t="shared" si="0"/>
        <v>9.3610240863172685</v>
      </c>
      <c r="AL26" s="691">
        <f t="shared" si="1"/>
        <v>27.235810573978906</v>
      </c>
      <c r="AM26" s="691">
        <f t="shared" si="2"/>
        <v>32.004484237991562</v>
      </c>
      <c r="AN26" s="691">
        <f t="shared" si="3"/>
        <v>33.069532724476176</v>
      </c>
      <c r="AO26" s="691">
        <f t="shared" si="4"/>
        <v>14.602366260869259</v>
      </c>
      <c r="AP26" s="691">
        <f t="shared" si="5"/>
        <v>14.689423873548453</v>
      </c>
      <c r="AQ26" s="691">
        <f t="shared" si="6"/>
        <v>16.18591270677965</v>
      </c>
      <c r="AR26" s="691">
        <f t="shared" si="7"/>
        <v>16.171491897456562</v>
      </c>
      <c r="AS26" s="691">
        <f t="shared" si="8"/>
        <v>15.050383235183055</v>
      </c>
      <c r="AT26" s="691">
        <f t="shared" si="9"/>
        <v>11.766567856820505</v>
      </c>
      <c r="AU26" s="691">
        <f t="shared" si="10"/>
        <v>10.053049105318486</v>
      </c>
      <c r="AV26" s="691">
        <f t="shared" si="11"/>
        <v>6.5791814433884062</v>
      </c>
      <c r="AW26" s="691">
        <f t="shared" si="12"/>
        <v>4.0958126315799479</v>
      </c>
      <c r="AX26" s="691">
        <f t="shared" si="13"/>
        <v>2.9623271148137253</v>
      </c>
      <c r="AY26" s="691">
        <f t="shared" si="14"/>
        <v>3.4070196951973744</v>
      </c>
      <c r="AZ26" s="691">
        <f t="shared" si="15"/>
        <v>3.5917302044142208</v>
      </c>
      <c r="BA26" s="691"/>
      <c r="BB26" s="691">
        <f t="shared" si="16"/>
        <v>13.801632353008346</v>
      </c>
    </row>
    <row r="27" spans="1:54" x14ac:dyDescent="0.35">
      <c r="A27" s="129" t="s">
        <v>179</v>
      </c>
      <c r="B27" s="129" t="str">
        <f>VLOOKUP(A27,'HCW, Staff, Beds Summary'!B:E,4,FALSE)</f>
        <v>Low income</v>
      </c>
      <c r="C27" s="691">
        <v>11.521551259965401</v>
      </c>
      <c r="D27" s="691">
        <v>31.013232585484499</v>
      </c>
      <c r="E27" s="691">
        <v>37.379904000187302</v>
      </c>
      <c r="F27" s="691">
        <v>34.754189691465399</v>
      </c>
      <c r="G27" s="691">
        <v>20.207920629143601</v>
      </c>
      <c r="H27" s="691">
        <v>20.990768994444402</v>
      </c>
      <c r="I27" s="691">
        <v>20.039823054418701</v>
      </c>
      <c r="J27" s="691">
        <v>19.739086232119998</v>
      </c>
      <c r="K27" s="691">
        <v>18.358349009641199</v>
      </c>
      <c r="L27" s="691">
        <v>14.0833985136299</v>
      </c>
      <c r="M27" s="691">
        <v>11.250857226961701</v>
      </c>
      <c r="N27" s="691">
        <v>6.5465791658376</v>
      </c>
      <c r="O27" s="691">
        <v>3.8083269126409802</v>
      </c>
      <c r="P27" s="691">
        <v>1.71617894198409</v>
      </c>
      <c r="Q27" s="691">
        <v>0.84092696654371601</v>
      </c>
      <c r="R27" s="691">
        <v>0.47514461680507197</v>
      </c>
      <c r="S27" s="691"/>
      <c r="T27" s="691">
        <v>9.290592717163744E-2</v>
      </c>
      <c r="U27" s="691">
        <v>9.4587637711500847E-2</v>
      </c>
      <c r="V27" s="691">
        <v>0.10059374678244157</v>
      </c>
      <c r="W27" s="691">
        <v>0.10944846758417133</v>
      </c>
      <c r="X27" s="691">
        <v>0.11054672752857192</v>
      </c>
      <c r="Y27" s="691">
        <v>9.1464460994611668E-2</v>
      </c>
      <c r="Z27" s="691">
        <v>7.1009369530150662E-2</v>
      </c>
      <c r="AA27" s="691">
        <v>5.9168754504581804E-2</v>
      </c>
      <c r="AB27" s="691">
        <v>5.481003535024196E-2</v>
      </c>
      <c r="AC27" s="691">
        <v>4.9730583107389231E-2</v>
      </c>
      <c r="AD27" s="691">
        <v>4.3346947180560799E-2</v>
      </c>
      <c r="AE27" s="691">
        <v>3.5830730686069262E-2</v>
      </c>
      <c r="AF27" s="691">
        <v>2.8245872945052684E-2</v>
      </c>
      <c r="AG27" s="691">
        <v>2.2823214469574766E-2</v>
      </c>
      <c r="AH27" s="691">
        <v>1.6267975426433743E-2</v>
      </c>
      <c r="AI27" s="691">
        <v>1.1600370662731235E-2</v>
      </c>
      <c r="AJ27" s="691"/>
      <c r="AK27" s="691">
        <f t="shared" si="0"/>
        <v>7.7508182273183381</v>
      </c>
      <c r="AL27" s="691">
        <f t="shared" si="1"/>
        <v>20.492392911902709</v>
      </c>
      <c r="AM27" s="691">
        <f t="shared" si="2"/>
        <v>23.22454501137533</v>
      </c>
      <c r="AN27" s="691">
        <f t="shared" si="3"/>
        <v>19.846206197872124</v>
      </c>
      <c r="AO27" s="691">
        <f t="shared" si="4"/>
        <v>11.424988034992182</v>
      </c>
      <c r="AP27" s="691">
        <f t="shared" si="5"/>
        <v>14.343528053262816</v>
      </c>
      <c r="AQ27" s="691">
        <f t="shared" si="6"/>
        <v>17.638361658307083</v>
      </c>
      <c r="AR27" s="691">
        <f t="shared" si="7"/>
        <v>20.850411671450129</v>
      </c>
      <c r="AS27" s="691">
        <f t="shared" si="8"/>
        <v>20.934064460469457</v>
      </c>
      <c r="AT27" s="691">
        <f t="shared" si="9"/>
        <v>17.699619672689543</v>
      </c>
      <c r="AU27" s="691">
        <f t="shared" si="10"/>
        <v>16.222101495545481</v>
      </c>
      <c r="AV27" s="691">
        <f t="shared" si="11"/>
        <v>11.419281438877523</v>
      </c>
      <c r="AW27" s="691">
        <f t="shared" si="12"/>
        <v>8.4267330842664219</v>
      </c>
      <c r="AX27" s="691">
        <f t="shared" si="13"/>
        <v>4.6996528038148906</v>
      </c>
      <c r="AY27" s="691">
        <f t="shared" si="14"/>
        <v>3.2307606835685991</v>
      </c>
      <c r="AZ27" s="691">
        <f t="shared" si="15"/>
        <v>2.5599646264514391</v>
      </c>
      <c r="BA27" s="691"/>
      <c r="BB27" s="691">
        <f t="shared" si="16"/>
        <v>13.797714377010257</v>
      </c>
    </row>
    <row r="28" spans="1:54" x14ac:dyDescent="0.35">
      <c r="A28" s="129" t="s">
        <v>544</v>
      </c>
      <c r="B28" s="129" t="str">
        <f>VLOOKUP(A28,'HCW, Staff, Beds Summary'!B:E,4,FALSE)</f>
        <v>High income</v>
      </c>
      <c r="C28" s="691">
        <v>5.6491178461756197</v>
      </c>
      <c r="D28" s="691">
        <v>14.344650087576101</v>
      </c>
      <c r="E28" s="691">
        <v>20.2739706738633</v>
      </c>
      <c r="F28" s="691">
        <v>24.157767948515001</v>
      </c>
      <c r="G28" s="691">
        <v>14.8296689637576</v>
      </c>
      <c r="H28" s="691">
        <v>17.154615064396999</v>
      </c>
      <c r="I28" s="691">
        <v>18.506570486048201</v>
      </c>
      <c r="J28" s="691">
        <v>19.200355543657601</v>
      </c>
      <c r="K28" s="691">
        <v>20.343671092621701</v>
      </c>
      <c r="L28" s="691">
        <v>17.454078599612</v>
      </c>
      <c r="M28" s="691">
        <v>13.9804451498183</v>
      </c>
      <c r="N28" s="691">
        <v>8.8226773143135802</v>
      </c>
      <c r="O28" s="691">
        <v>5.3972964988313796</v>
      </c>
      <c r="P28" s="691">
        <v>4.5209851058509098</v>
      </c>
      <c r="Q28" s="691">
        <v>2.8592534138361998</v>
      </c>
      <c r="R28" s="691">
        <v>1.9637697688182101</v>
      </c>
      <c r="S28" s="691"/>
      <c r="T28" s="691">
        <v>5.2193033213748408E-2</v>
      </c>
      <c r="U28" s="691">
        <v>4.9994213632681403E-2</v>
      </c>
      <c r="V28" s="691">
        <v>4.7332484666126606E-2</v>
      </c>
      <c r="W28" s="691">
        <v>4.9068394861705819E-2</v>
      </c>
      <c r="X28" s="691">
        <v>5.6012035644022684E-2</v>
      </c>
      <c r="Y28" s="691">
        <v>6.422867723643097E-2</v>
      </c>
      <c r="Z28" s="691">
        <v>6.9089225784052771E-2</v>
      </c>
      <c r="AA28" s="691">
        <v>7.1866682096979523E-2</v>
      </c>
      <c r="AB28" s="691">
        <v>6.5964587432010183E-2</v>
      </c>
      <c r="AC28" s="691">
        <v>6.8857771091308875E-2</v>
      </c>
      <c r="AD28" s="691">
        <v>7.8115958801064686E-2</v>
      </c>
      <c r="AE28" s="691">
        <v>7.4412683717162365E-2</v>
      </c>
      <c r="AF28" s="691">
        <v>6.1914130308992017E-2</v>
      </c>
      <c r="AG28" s="691">
        <v>5.1035759750028935E-2</v>
      </c>
      <c r="AH28" s="691">
        <v>4.8721212822589975E-2</v>
      </c>
      <c r="AI28" s="691">
        <v>3.8190024302742737E-2</v>
      </c>
      <c r="AJ28" s="691"/>
      <c r="AK28" s="691">
        <f t="shared" si="0"/>
        <v>6.7646933631933939</v>
      </c>
      <c r="AL28" s="691">
        <f t="shared" si="1"/>
        <v>17.932887935003631</v>
      </c>
      <c r="AM28" s="691">
        <f t="shared" si="2"/>
        <v>26.770687743406597</v>
      </c>
      <c r="AN28" s="691">
        <f t="shared" si="3"/>
        <v>30.77052960541246</v>
      </c>
      <c r="AO28" s="691">
        <f t="shared" si="4"/>
        <v>16.547413418882932</v>
      </c>
      <c r="AP28" s="691">
        <f t="shared" si="5"/>
        <v>16.692908645434063</v>
      </c>
      <c r="AQ28" s="691">
        <f t="shared" si="6"/>
        <v>16.741548949952104</v>
      </c>
      <c r="AR28" s="691">
        <f t="shared" si="7"/>
        <v>16.697893745244095</v>
      </c>
      <c r="AS28" s="691">
        <f t="shared" si="8"/>
        <v>19.275182227121068</v>
      </c>
      <c r="AT28" s="691">
        <f t="shared" si="9"/>
        <v>15.842509787736061</v>
      </c>
      <c r="AU28" s="691">
        <f t="shared" si="10"/>
        <v>11.18565060551666</v>
      </c>
      <c r="AV28" s="691">
        <f t="shared" si="11"/>
        <v>7.4102599798778819</v>
      </c>
      <c r="AW28" s="691">
        <f t="shared" si="12"/>
        <v>5.4483690474768629</v>
      </c>
      <c r="AX28" s="691">
        <f t="shared" si="13"/>
        <v>5.5365408587950267</v>
      </c>
      <c r="AY28" s="691">
        <f t="shared" si="14"/>
        <v>3.667875408099555</v>
      </c>
      <c r="AZ28" s="691">
        <f t="shared" si="15"/>
        <v>3.213813365976923</v>
      </c>
      <c r="BA28" s="691"/>
      <c r="BB28" s="691">
        <f t="shared" si="16"/>
        <v>13.781172792945581</v>
      </c>
    </row>
    <row r="29" spans="1:54" x14ac:dyDescent="0.35">
      <c r="A29" s="129" t="s">
        <v>509</v>
      </c>
      <c r="B29" s="129" t="str">
        <f>VLOOKUP(A29,'HCW, Staff, Beds Summary'!B:E,4,FALSE)</f>
        <v>High income</v>
      </c>
      <c r="C29" s="691">
        <v>9.5159266734935404</v>
      </c>
      <c r="D29" s="691">
        <v>14.613599918523599</v>
      </c>
      <c r="E29" s="691">
        <v>15.0028306802941</v>
      </c>
      <c r="F29" s="691">
        <v>17.3921494151244</v>
      </c>
      <c r="G29" s="691">
        <v>24.760621595727098</v>
      </c>
      <c r="H29" s="691">
        <v>33.246693599333902</v>
      </c>
      <c r="I29" s="691">
        <v>31.594773272066401</v>
      </c>
      <c r="J29" s="691">
        <v>27.794267034598001</v>
      </c>
      <c r="K29" s="691">
        <v>21.797979610499699</v>
      </c>
      <c r="L29" s="691">
        <v>15.2678435752585</v>
      </c>
      <c r="M29" s="691">
        <v>11.2330762249375</v>
      </c>
      <c r="N29" s="691">
        <v>5.8866226570960496</v>
      </c>
      <c r="O29" s="691">
        <v>1.8831895640498699</v>
      </c>
      <c r="P29" s="691">
        <v>0.54613044233503205</v>
      </c>
      <c r="Q29" s="691">
        <v>0.25897794045915801</v>
      </c>
      <c r="R29" s="691">
        <v>0.27813991686669798</v>
      </c>
      <c r="S29" s="691"/>
      <c r="T29" s="691">
        <v>4.6858729607775075E-2</v>
      </c>
      <c r="U29" s="691">
        <v>4.7205831308573414E-2</v>
      </c>
      <c r="V29" s="691">
        <v>4.2346407497396737E-2</v>
      </c>
      <c r="W29" s="691">
        <v>3.6792780284623391E-2</v>
      </c>
      <c r="X29" s="691">
        <v>8.2263103089205133E-2</v>
      </c>
      <c r="Y29" s="691">
        <v>0.16660881638320027</v>
      </c>
      <c r="Z29" s="691">
        <v>0.17181534189517528</v>
      </c>
      <c r="AA29" s="691">
        <v>0.1218326969802152</v>
      </c>
      <c r="AB29" s="691">
        <v>8.8510933703575143E-2</v>
      </c>
      <c r="AC29" s="691">
        <v>7.1850052065255118E-2</v>
      </c>
      <c r="AD29" s="691">
        <v>5.4147865324540093E-2</v>
      </c>
      <c r="AE29" s="691">
        <v>3.4015966678236725E-2</v>
      </c>
      <c r="AF29" s="691">
        <v>1.8743491843110031E-2</v>
      </c>
      <c r="AG29" s="691">
        <v>9.6841374522735162E-3</v>
      </c>
      <c r="AH29" s="691">
        <v>4.4776119402985077E-3</v>
      </c>
      <c r="AI29" s="691">
        <v>1.3189864630336688E-3</v>
      </c>
      <c r="AJ29" s="691"/>
      <c r="AK29" s="691">
        <f t="shared" si="0"/>
        <v>12.69230775293282</v>
      </c>
      <c r="AL29" s="691">
        <f t="shared" si="1"/>
        <v>19.348245112714377</v>
      </c>
      <c r="AM29" s="691">
        <f t="shared" si="2"/>
        <v>22.143009830905381</v>
      </c>
      <c r="AN29" s="691">
        <f t="shared" si="3"/>
        <v>29.544093434536205</v>
      </c>
      <c r="AO29" s="691">
        <f t="shared" si="4"/>
        <v>18.812065088947726</v>
      </c>
      <c r="AP29" s="691">
        <f t="shared" si="5"/>
        <v>12.471839096312626</v>
      </c>
      <c r="AQ29" s="691">
        <f t="shared" si="6"/>
        <v>11.492997701619105</v>
      </c>
      <c r="AR29" s="691">
        <f t="shared" si="7"/>
        <v>14.258419395775791</v>
      </c>
      <c r="AS29" s="691">
        <f t="shared" si="8"/>
        <v>15.392151778884715</v>
      </c>
      <c r="AT29" s="691">
        <f t="shared" si="9"/>
        <v>13.280995573768037</v>
      </c>
      <c r="AU29" s="691">
        <f t="shared" si="10"/>
        <v>12.96574222918467</v>
      </c>
      <c r="AV29" s="691">
        <f t="shared" si="11"/>
        <v>10.815918287687319</v>
      </c>
      <c r="AW29" s="691">
        <f t="shared" si="12"/>
        <v>6.2794781643838835</v>
      </c>
      <c r="AX29" s="691">
        <f t="shared" si="13"/>
        <v>3.5246456191022117</v>
      </c>
      <c r="AY29" s="691">
        <f t="shared" si="14"/>
        <v>3.6149004189090803</v>
      </c>
      <c r="AZ29" s="691">
        <f t="shared" si="15"/>
        <v>13.179623363371002</v>
      </c>
      <c r="BA29" s="691"/>
      <c r="BB29" s="691">
        <f t="shared" si="16"/>
        <v>13.738527053064683</v>
      </c>
    </row>
    <row r="30" spans="1:54" x14ac:dyDescent="0.35">
      <c r="A30" s="129" t="s">
        <v>247</v>
      </c>
      <c r="B30" s="129" t="str">
        <f>VLOOKUP(A30,'HCW, Staff, Beds Summary'!B:E,4,FALSE)</f>
        <v>Lower middle income</v>
      </c>
      <c r="C30" s="691">
        <v>11.1633902055299</v>
      </c>
      <c r="D30" s="691">
        <v>21.640139534163701</v>
      </c>
      <c r="E30" s="691">
        <v>31.325572671448001</v>
      </c>
      <c r="F30" s="691">
        <v>40.5948457368685</v>
      </c>
      <c r="G30" s="691">
        <v>23.231002395950501</v>
      </c>
      <c r="H30" s="691">
        <v>21.946782828461899</v>
      </c>
      <c r="I30" s="691">
        <v>20.1397805864679</v>
      </c>
      <c r="J30" s="691">
        <v>17.342698459147599</v>
      </c>
      <c r="K30" s="691">
        <v>17.202094735684302</v>
      </c>
      <c r="L30" s="691">
        <v>14.018067965685701</v>
      </c>
      <c r="M30" s="691">
        <v>10.044727178377901</v>
      </c>
      <c r="N30" s="691">
        <v>6.7653985909888004</v>
      </c>
      <c r="O30" s="691">
        <v>3.3281786211401698</v>
      </c>
      <c r="P30" s="691">
        <v>1.3585456431719201</v>
      </c>
      <c r="Q30" s="691">
        <v>0.73228379873532601</v>
      </c>
      <c r="R30" s="691">
        <v>0.45684892616970502</v>
      </c>
      <c r="S30" s="691"/>
      <c r="T30" s="691">
        <v>0.10640588551946886</v>
      </c>
      <c r="U30" s="691">
        <v>0.10479095639691369</v>
      </c>
      <c r="V30" s="691">
        <v>9.8091991147795918E-2</v>
      </c>
      <c r="W30" s="691">
        <v>8.7325796997428082E-2</v>
      </c>
      <c r="X30" s="691">
        <v>9.1393025898678149E-2</v>
      </c>
      <c r="Y30" s="691">
        <v>9.5041569471858364E-2</v>
      </c>
      <c r="Z30" s="691">
        <v>7.4226927447813867E-2</v>
      </c>
      <c r="AA30" s="691">
        <v>9.8570488665590053E-2</v>
      </c>
      <c r="AB30" s="691">
        <v>3.7502242957114663E-2</v>
      </c>
      <c r="AC30" s="691">
        <v>4.7969376158861175E-2</v>
      </c>
      <c r="AD30" s="691">
        <v>4.3782522878162568E-2</v>
      </c>
      <c r="AE30" s="691">
        <v>3.9117172079669839E-2</v>
      </c>
      <c r="AF30" s="691">
        <v>2.7154734134816675E-2</v>
      </c>
      <c r="AG30" s="691">
        <v>2.1711824869908487E-2</v>
      </c>
      <c r="AH30" s="691">
        <v>1.3218493929062743E-2</v>
      </c>
      <c r="AI30" s="691">
        <v>7.8353968538788198E-3</v>
      </c>
      <c r="AJ30" s="691"/>
      <c r="AK30" s="691">
        <f t="shared" si="0"/>
        <v>6.5570798498543565</v>
      </c>
      <c r="AL30" s="691">
        <f t="shared" si="1"/>
        <v>12.906731338173621</v>
      </c>
      <c r="AM30" s="691">
        <f t="shared" si="2"/>
        <v>19.959308288640973</v>
      </c>
      <c r="AN30" s="691">
        <f t="shared" si="3"/>
        <v>29.054162066554127</v>
      </c>
      <c r="AO30" s="691">
        <f t="shared" si="4"/>
        <v>15.886744480444062</v>
      </c>
      <c r="AP30" s="691">
        <f t="shared" si="5"/>
        <v>14.432357697807367</v>
      </c>
      <c r="AQ30" s="691">
        <f t="shared" si="6"/>
        <v>16.957946798204915</v>
      </c>
      <c r="AR30" s="691">
        <f t="shared" si="7"/>
        <v>10.99638105045846</v>
      </c>
      <c r="AS30" s="691">
        <f t="shared" si="8"/>
        <v>28.668443170445158</v>
      </c>
      <c r="AT30" s="691">
        <f t="shared" si="9"/>
        <v>18.264345255478432</v>
      </c>
      <c r="AU30" s="691">
        <f t="shared" si="10"/>
        <v>14.338950964421118</v>
      </c>
      <c r="AV30" s="691">
        <f t="shared" si="11"/>
        <v>10.809508700567827</v>
      </c>
      <c r="AW30" s="691">
        <f t="shared" si="12"/>
        <v>7.660217286184265</v>
      </c>
      <c r="AX30" s="691">
        <f t="shared" si="13"/>
        <v>3.9107308209695821</v>
      </c>
      <c r="AY30" s="691">
        <f t="shared" si="14"/>
        <v>3.4624018187375327</v>
      </c>
      <c r="AZ30" s="691">
        <f t="shared" si="15"/>
        <v>3.6441112579347799</v>
      </c>
      <c r="BA30" s="691"/>
      <c r="BB30" s="691">
        <f t="shared" si="16"/>
        <v>13.594338802804785</v>
      </c>
    </row>
    <row r="31" spans="1:54" x14ac:dyDescent="0.35">
      <c r="A31" s="129" t="s">
        <v>340</v>
      </c>
      <c r="B31" s="129" t="str">
        <f>VLOOKUP(A31,'HCW, Staff, Beds Summary'!B:E,4,FALSE)</f>
        <v>Upper middle income</v>
      </c>
      <c r="C31" s="691">
        <v>10.2482144374833</v>
      </c>
      <c r="D31" s="691">
        <v>14.540625337551401</v>
      </c>
      <c r="E31" s="691">
        <v>16.1362106740896</v>
      </c>
      <c r="F31" s="691">
        <v>19.104776421262699</v>
      </c>
      <c r="G31" s="691">
        <v>14.418003230488001</v>
      </c>
      <c r="H31" s="691">
        <v>16.953551954473799</v>
      </c>
      <c r="I31" s="691">
        <v>18.655511148480201</v>
      </c>
      <c r="J31" s="691">
        <v>19.480074983959401</v>
      </c>
      <c r="K31" s="691">
        <v>18.178289790606801</v>
      </c>
      <c r="L31" s="691">
        <v>14.914513084602</v>
      </c>
      <c r="M31" s="691">
        <v>12.467861397713801</v>
      </c>
      <c r="N31" s="691">
        <v>8.5147453748558206</v>
      </c>
      <c r="O31" s="691">
        <v>6.6817692072944901</v>
      </c>
      <c r="P31" s="691">
        <v>5.2821087184422604</v>
      </c>
      <c r="Q31" s="691">
        <v>3.5998978541455999</v>
      </c>
      <c r="R31" s="691">
        <v>2.4049719878028899</v>
      </c>
      <c r="S31" s="691"/>
      <c r="T31" s="691">
        <v>4.4968189705031809E-2</v>
      </c>
      <c r="U31" s="691">
        <v>4.8438403701561598E-2</v>
      </c>
      <c r="V31" s="691">
        <v>5.3354540196645463E-2</v>
      </c>
      <c r="W31" s="691">
        <v>4.5401966454598035E-2</v>
      </c>
      <c r="X31" s="691">
        <v>4.3088490456911509E-2</v>
      </c>
      <c r="Y31" s="691">
        <v>5.6246385193753613E-2</v>
      </c>
      <c r="Z31" s="691">
        <v>6.9259687680740312E-2</v>
      </c>
      <c r="AA31" s="691">
        <v>6.8536726431463274E-2</v>
      </c>
      <c r="AB31" s="691">
        <v>7.6923076923076927E-2</v>
      </c>
      <c r="AC31" s="691">
        <v>7.5910931174089064E-2</v>
      </c>
      <c r="AD31" s="691">
        <v>6.8536726431463274E-2</v>
      </c>
      <c r="AE31" s="691">
        <v>6.7379988432620011E-2</v>
      </c>
      <c r="AF31" s="691">
        <v>6.7235396182764598E-2</v>
      </c>
      <c r="AG31" s="691">
        <v>6.550028918449971E-2</v>
      </c>
      <c r="AH31" s="691">
        <v>6.1162521688837478E-2</v>
      </c>
      <c r="AI31" s="691">
        <v>4.1064198958935802E-2</v>
      </c>
      <c r="AJ31" s="691"/>
      <c r="AK31" s="691">
        <f t="shared" si="0"/>
        <v>14.243699969781854</v>
      </c>
      <c r="AL31" s="691">
        <f t="shared" si="1"/>
        <v>18.761747170616694</v>
      </c>
      <c r="AM31" s="691">
        <f t="shared" si="2"/>
        <v>18.902105864160514</v>
      </c>
      <c r="AN31" s="691">
        <f t="shared" si="3"/>
        <v>26.299489197741405</v>
      </c>
      <c r="AO31" s="691">
        <f t="shared" si="4"/>
        <v>20.913362068384021</v>
      </c>
      <c r="AP31" s="691">
        <f t="shared" si="5"/>
        <v>18.838490571520051</v>
      </c>
      <c r="AQ31" s="691">
        <f t="shared" si="6"/>
        <v>16.834748839103479</v>
      </c>
      <c r="AR31" s="691">
        <f t="shared" si="7"/>
        <v>17.764266691595889</v>
      </c>
      <c r="AS31" s="691">
        <f t="shared" si="8"/>
        <v>14.769860454868025</v>
      </c>
      <c r="AT31" s="691">
        <f t="shared" si="9"/>
        <v>12.279615772988981</v>
      </c>
      <c r="AU31" s="691">
        <f t="shared" si="10"/>
        <v>11.369690061522764</v>
      </c>
      <c r="AV31" s="691">
        <f t="shared" si="11"/>
        <v>7.8980658546811773</v>
      </c>
      <c r="AW31" s="691">
        <f t="shared" si="12"/>
        <v>6.2111714835549323</v>
      </c>
      <c r="AX31" s="691">
        <f t="shared" si="13"/>
        <v>5.0401578223988235</v>
      </c>
      <c r="AY31" s="691">
        <f t="shared" si="14"/>
        <v>3.6786190247149779</v>
      </c>
      <c r="AZ31" s="691">
        <f t="shared" si="15"/>
        <v>3.6603843018584477</v>
      </c>
      <c r="BA31" s="691"/>
      <c r="BB31" s="691">
        <f t="shared" si="16"/>
        <v>13.59159219684325</v>
      </c>
    </row>
    <row r="32" spans="1:54" x14ac:dyDescent="0.35">
      <c r="A32" s="129" t="s">
        <v>177</v>
      </c>
      <c r="B32" s="129" t="str">
        <f>VLOOKUP(A32,'HCW, Staff, Beds Summary'!B:E,4,FALSE)</f>
        <v>Lower middle income</v>
      </c>
      <c r="C32" s="691">
        <v>19.8277755215755</v>
      </c>
      <c r="D32" s="691">
        <v>40.192717454067903</v>
      </c>
      <c r="E32" s="691">
        <v>35.568094431435199</v>
      </c>
      <c r="F32" s="691">
        <v>34.632939109226903</v>
      </c>
      <c r="G32" s="691">
        <v>18.9985926639892</v>
      </c>
      <c r="H32" s="691">
        <v>17.961918861010499</v>
      </c>
      <c r="I32" s="691">
        <v>15.9222497422315</v>
      </c>
      <c r="J32" s="691">
        <v>14.840991889859399</v>
      </c>
      <c r="K32" s="691">
        <v>13.1138863690351</v>
      </c>
      <c r="L32" s="691">
        <v>10.1541323752697</v>
      </c>
      <c r="M32" s="691">
        <v>8.2388768365735601</v>
      </c>
      <c r="N32" s="691">
        <v>5.2618797361161</v>
      </c>
      <c r="O32" s="691">
        <v>3.1812503354448798</v>
      </c>
      <c r="P32" s="691">
        <v>0.96814538560273899</v>
      </c>
      <c r="Q32" s="691">
        <v>0.60585570276237299</v>
      </c>
      <c r="R32" s="691">
        <v>0.33368610703630702</v>
      </c>
      <c r="S32" s="691"/>
      <c r="T32" s="691">
        <v>0.16463568448627147</v>
      </c>
      <c r="U32" s="691">
        <v>0.14511497040846028</v>
      </c>
      <c r="V32" s="691">
        <v>0.12511885126612982</v>
      </c>
      <c r="W32" s="691">
        <v>0.10628698942466284</v>
      </c>
      <c r="X32" s="691">
        <v>8.7649170466673129E-2</v>
      </c>
      <c r="Y32" s="691">
        <v>7.3294848161443674E-2</v>
      </c>
      <c r="Z32" s="691">
        <v>6.3282235374017656E-2</v>
      </c>
      <c r="AA32" s="691">
        <v>5.4928689240322112E-2</v>
      </c>
      <c r="AB32" s="691">
        <v>4.5886290870282335E-2</v>
      </c>
      <c r="AC32" s="691">
        <v>3.6761424274764726E-2</v>
      </c>
      <c r="AD32" s="691">
        <v>2.8834772484719124E-2</v>
      </c>
      <c r="AE32" s="691">
        <v>2.3071698845444844E-2</v>
      </c>
      <c r="AF32" s="691">
        <v>1.7740370621907441E-2</v>
      </c>
      <c r="AG32" s="691">
        <v>1.2617638498108081E-2</v>
      </c>
      <c r="AH32" s="691">
        <v>8.3292907732608907E-3</v>
      </c>
      <c r="AI32" s="691">
        <v>4.3950713107596779E-3</v>
      </c>
      <c r="AJ32" s="691"/>
      <c r="AK32" s="691">
        <f t="shared" si="0"/>
        <v>7.5271407530231107</v>
      </c>
      <c r="AL32" s="691">
        <f t="shared" si="1"/>
        <v>17.310721518314079</v>
      </c>
      <c r="AM32" s="691">
        <f t="shared" si="2"/>
        <v>17.767154025705771</v>
      </c>
      <c r="AN32" s="691">
        <f t="shared" si="3"/>
        <v>20.365227259173992</v>
      </c>
      <c r="AO32" s="691">
        <f t="shared" si="4"/>
        <v>13.547327774777003</v>
      </c>
      <c r="AP32" s="691">
        <f t="shared" si="5"/>
        <v>15.316491635816005</v>
      </c>
      <c r="AQ32" s="691">
        <f t="shared" si="6"/>
        <v>15.7254338916424</v>
      </c>
      <c r="AR32" s="691">
        <f t="shared" si="7"/>
        <v>16.886658064203484</v>
      </c>
      <c r="AS32" s="691">
        <f t="shared" si="8"/>
        <v>17.861933978967752</v>
      </c>
      <c r="AT32" s="691">
        <f t="shared" si="9"/>
        <v>17.263565979134466</v>
      </c>
      <c r="AU32" s="691">
        <f t="shared" si="10"/>
        <v>17.857945734051917</v>
      </c>
      <c r="AV32" s="691">
        <f t="shared" si="11"/>
        <v>14.254151188012154</v>
      </c>
      <c r="AW32" s="691">
        <f t="shared" si="12"/>
        <v>11.2076658488619</v>
      </c>
      <c r="AX32" s="691">
        <f t="shared" si="13"/>
        <v>4.7955951986771588</v>
      </c>
      <c r="AY32" s="691">
        <f t="shared" si="14"/>
        <v>4.5461231278187091</v>
      </c>
      <c r="AZ32" s="691">
        <f t="shared" si="15"/>
        <v>4.7451748140496912</v>
      </c>
      <c r="BA32" s="691"/>
      <c r="BB32" s="691">
        <f t="shared" si="16"/>
        <v>13.561144424514348</v>
      </c>
    </row>
    <row r="33" spans="1:54" x14ac:dyDescent="0.35">
      <c r="A33" s="129" t="s">
        <v>362</v>
      </c>
      <c r="B33" s="129" t="str">
        <f>VLOOKUP(A33,'HCW, Staff, Beds Summary'!B:E,4,FALSE)</f>
        <v>High income</v>
      </c>
      <c r="C33" s="691">
        <v>7.0521284950559897</v>
      </c>
      <c r="D33" s="691">
        <v>16.325874014199201</v>
      </c>
      <c r="E33" s="691">
        <v>17.0055856033418</v>
      </c>
      <c r="F33" s="691">
        <v>20.6508876694257</v>
      </c>
      <c r="G33" s="691">
        <v>14.2320593365317</v>
      </c>
      <c r="H33" s="691">
        <v>17.061031071599299</v>
      </c>
      <c r="I33" s="691">
        <v>20.0033356249143</v>
      </c>
      <c r="J33" s="691">
        <v>21.699297609071699</v>
      </c>
      <c r="K33" s="691">
        <v>19.143516434275401</v>
      </c>
      <c r="L33" s="691">
        <v>15.6786695342544</v>
      </c>
      <c r="M33" s="691">
        <v>12.156072956540701</v>
      </c>
      <c r="N33" s="691">
        <v>8.0670805812351407</v>
      </c>
      <c r="O33" s="691">
        <v>6.2746574179312304</v>
      </c>
      <c r="P33" s="691">
        <v>5.0198660876116099</v>
      </c>
      <c r="Q33" s="691">
        <v>2.8277386544538499</v>
      </c>
      <c r="R33" s="691">
        <v>1.73973859062584</v>
      </c>
      <c r="S33" s="691"/>
      <c r="T33" s="691">
        <v>5.220581318784686E-2</v>
      </c>
      <c r="U33" s="691">
        <v>5.1829555074781299E-2</v>
      </c>
      <c r="V33" s="691">
        <v>5.3522716583576331E-2</v>
      </c>
      <c r="W33" s="691">
        <v>4.5527231680933117E-2</v>
      </c>
      <c r="X33" s="691">
        <v>4.4022199228670865E-2</v>
      </c>
      <c r="Y33" s="691">
        <v>5.9166588279559777E-2</v>
      </c>
      <c r="Z33" s="691">
        <v>6.6879879597403824E-2</v>
      </c>
      <c r="AA33" s="691">
        <v>7.1018718841125011E-2</v>
      </c>
      <c r="AB33" s="691">
        <v>8.6915624118145046E-2</v>
      </c>
      <c r="AC33" s="691">
        <v>8.1083623365628826E-2</v>
      </c>
      <c r="AD33" s="691">
        <v>6.4810459975543216E-2</v>
      </c>
      <c r="AE33" s="691">
        <v>6.1424136957953158E-2</v>
      </c>
      <c r="AF33" s="691">
        <v>6.0107233562223687E-2</v>
      </c>
      <c r="AG33" s="691">
        <v>6.3587621108080139E-2</v>
      </c>
      <c r="AH33" s="691">
        <v>5.7285297714231964E-2</v>
      </c>
      <c r="AI33" s="691">
        <v>3.9036779230552161E-2</v>
      </c>
      <c r="AJ33" s="691"/>
      <c r="AK33" s="691">
        <f t="shared" si="0"/>
        <v>8.4427002287094854</v>
      </c>
      <c r="AL33" s="691">
        <f t="shared" si="1"/>
        <v>19.686974437948244</v>
      </c>
      <c r="AM33" s="691">
        <f t="shared" si="2"/>
        <v>19.857906475079819</v>
      </c>
      <c r="AN33" s="691">
        <f t="shared" si="3"/>
        <v>28.349636726971156</v>
      </c>
      <c r="AO33" s="691">
        <f t="shared" si="4"/>
        <v>20.205798985933296</v>
      </c>
      <c r="AP33" s="691">
        <f t="shared" si="5"/>
        <v>18.02223979751313</v>
      </c>
      <c r="AQ33" s="691">
        <f t="shared" si="6"/>
        <v>18.6933422141758</v>
      </c>
      <c r="AR33" s="691">
        <f t="shared" si="7"/>
        <v>19.096459675665667</v>
      </c>
      <c r="AS33" s="691">
        <f t="shared" si="8"/>
        <v>13.765876840691408</v>
      </c>
      <c r="AT33" s="691">
        <f t="shared" si="9"/>
        <v>12.085262167826169</v>
      </c>
      <c r="AU33" s="691">
        <f t="shared" si="10"/>
        <v>11.722715130713372</v>
      </c>
      <c r="AV33" s="691">
        <f t="shared" si="11"/>
        <v>8.2083780301599134</v>
      </c>
      <c r="AW33" s="691">
        <f t="shared" si="12"/>
        <v>6.5244408264893297</v>
      </c>
      <c r="AX33" s="691">
        <f t="shared" si="13"/>
        <v>4.9340048425849696</v>
      </c>
      <c r="AY33" s="691">
        <f t="shared" si="14"/>
        <v>3.0851487721160589</v>
      </c>
      <c r="AZ33" s="691">
        <f t="shared" si="15"/>
        <v>2.7854158067685697</v>
      </c>
      <c r="BA33" s="691"/>
      <c r="BB33" s="691">
        <f t="shared" si="16"/>
        <v>13.466643809959152</v>
      </c>
    </row>
    <row r="34" spans="1:54" x14ac:dyDescent="0.35">
      <c r="A34" s="129" t="s">
        <v>236</v>
      </c>
      <c r="B34" s="129" t="str">
        <f>VLOOKUP(A34,'HCW, Staff, Beds Summary'!B:E,4,FALSE)</f>
        <v>Upper middle income</v>
      </c>
      <c r="C34" s="691">
        <v>8.7950288383912607</v>
      </c>
      <c r="D34" s="691">
        <v>18.0583831457085</v>
      </c>
      <c r="E34" s="691">
        <v>20.664560648872399</v>
      </c>
      <c r="F34" s="691">
        <v>25.3725854989863</v>
      </c>
      <c r="G34" s="691">
        <v>17.228235330978901</v>
      </c>
      <c r="H34" s="691">
        <v>18.8688220480567</v>
      </c>
      <c r="I34" s="691">
        <v>18.806075322666601</v>
      </c>
      <c r="J34" s="691">
        <v>19.504738318925401</v>
      </c>
      <c r="K34" s="691">
        <v>18.480481554285898</v>
      </c>
      <c r="L34" s="691">
        <v>15.620346827224299</v>
      </c>
      <c r="M34" s="691">
        <v>13.3109449944712</v>
      </c>
      <c r="N34" s="691">
        <v>8.8566234685998708</v>
      </c>
      <c r="O34" s="691">
        <v>5.3078840847323896</v>
      </c>
      <c r="P34" s="691">
        <v>2.7894155566226</v>
      </c>
      <c r="Q34" s="691">
        <v>2.9126760113872301</v>
      </c>
      <c r="R34" s="691">
        <v>1.63895312098045</v>
      </c>
      <c r="S34" s="691"/>
      <c r="T34" s="691">
        <v>6.7367286445701974E-2</v>
      </c>
      <c r="U34" s="691">
        <v>7.1139854486661283E-2</v>
      </c>
      <c r="V34" s="691">
        <v>6.3594718404742651E-2</v>
      </c>
      <c r="W34" s="691">
        <v>5.4432767448127188E-2</v>
      </c>
      <c r="X34" s="691">
        <v>5.8744273780652112E-2</v>
      </c>
      <c r="Y34" s="691">
        <v>6.7097817299919163E-2</v>
      </c>
      <c r="Z34" s="691">
        <v>7.2487200215575323E-2</v>
      </c>
      <c r="AA34" s="691">
        <v>6.8984101320398811E-2</v>
      </c>
      <c r="AB34" s="691">
        <v>6.6019940716787934E-2</v>
      </c>
      <c r="AC34" s="691">
        <v>6.3594718404742651E-2</v>
      </c>
      <c r="AD34" s="691">
        <v>6.1438965238480192E-2</v>
      </c>
      <c r="AE34" s="691">
        <v>6.9792508757747243E-2</v>
      </c>
      <c r="AF34" s="691">
        <v>6.2516841821611421E-2</v>
      </c>
      <c r="AG34" s="691">
        <v>5.2815952573430344E-2</v>
      </c>
      <c r="AH34" s="691">
        <v>3.77256804095931E-2</v>
      </c>
      <c r="AI34" s="691">
        <v>2.4521692266235517E-2</v>
      </c>
      <c r="AJ34" s="691"/>
      <c r="AK34" s="691">
        <f t="shared" si="0"/>
        <v>8.1595880048174916</v>
      </c>
      <c r="AL34" s="691">
        <f t="shared" si="1"/>
        <v>15.86521303355214</v>
      </c>
      <c r="AM34" s="691">
        <f t="shared" si="2"/>
        <v>20.308841252109502</v>
      </c>
      <c r="AN34" s="691">
        <f t="shared" si="3"/>
        <v>29.132940837480866</v>
      </c>
      <c r="AO34" s="691">
        <f t="shared" si="4"/>
        <v>18.329696477426236</v>
      </c>
      <c r="AP34" s="691">
        <f t="shared" si="5"/>
        <v>17.575853067354018</v>
      </c>
      <c r="AQ34" s="691">
        <f t="shared" si="6"/>
        <v>16.214996636249012</v>
      </c>
      <c r="AR34" s="691">
        <f t="shared" si="7"/>
        <v>17.671407202522502</v>
      </c>
      <c r="AS34" s="691">
        <f t="shared" si="8"/>
        <v>17.495170165294635</v>
      </c>
      <c r="AT34" s="691">
        <f t="shared" si="9"/>
        <v>15.351458441692102</v>
      </c>
      <c r="AU34" s="691">
        <f t="shared" si="10"/>
        <v>13.540821511645456</v>
      </c>
      <c r="AV34" s="691">
        <f t="shared" si="11"/>
        <v>7.9312089025034069</v>
      </c>
      <c r="AW34" s="691">
        <f t="shared" si="12"/>
        <v>5.3064541590630112</v>
      </c>
      <c r="AX34" s="691">
        <f t="shared" si="13"/>
        <v>3.3008677074701747</v>
      </c>
      <c r="AY34" s="691">
        <f t="shared" si="14"/>
        <v>4.8254199456508982</v>
      </c>
      <c r="AZ34" s="691">
        <f t="shared" si="15"/>
        <v>4.177304280191243</v>
      </c>
      <c r="BA34" s="691"/>
      <c r="BB34" s="691">
        <f t="shared" si="16"/>
        <v>13.449202601563918</v>
      </c>
    </row>
    <row r="35" spans="1:54" x14ac:dyDescent="0.35">
      <c r="A35" s="129" t="s">
        <v>354</v>
      </c>
      <c r="B35" s="129" t="str">
        <f>VLOOKUP(A35,'HCW, Staff, Beds Summary'!B:E,4,FALSE)</f>
        <v>Low income</v>
      </c>
      <c r="C35" s="691">
        <v>18.633646111357201</v>
      </c>
      <c r="D35" s="691">
        <v>35.037200727985898</v>
      </c>
      <c r="E35" s="691">
        <v>31.992196428901099</v>
      </c>
      <c r="F35" s="691">
        <v>24.771817708290399</v>
      </c>
      <c r="G35" s="691">
        <v>17.879980987571301</v>
      </c>
      <c r="H35" s="691">
        <v>18.8151999368608</v>
      </c>
      <c r="I35" s="691">
        <v>17.8285970789806</v>
      </c>
      <c r="J35" s="691">
        <v>16.462954358164701</v>
      </c>
      <c r="K35" s="691">
        <v>13.506696674761001</v>
      </c>
      <c r="L35" s="691">
        <v>10.4372072167711</v>
      </c>
      <c r="M35" s="691">
        <v>7.9047439348667101</v>
      </c>
      <c r="N35" s="691">
        <v>3.92261520493168</v>
      </c>
      <c r="O35" s="691">
        <v>2.35017522860077</v>
      </c>
      <c r="P35" s="691">
        <v>1.2555147792546699</v>
      </c>
      <c r="Q35" s="691">
        <v>0.64000294450739603</v>
      </c>
      <c r="R35" s="691">
        <v>0.37552886137416802</v>
      </c>
      <c r="S35" s="691"/>
      <c r="T35" s="691">
        <v>0.17672871004120097</v>
      </c>
      <c r="U35" s="691">
        <v>0.1525105793816505</v>
      </c>
      <c r="V35" s="691">
        <v>0.12871674054554996</v>
      </c>
      <c r="W35" s="691">
        <v>0.10577148535634931</v>
      </c>
      <c r="X35" s="691">
        <v>8.6309889349158675E-2</v>
      </c>
      <c r="Y35" s="691">
        <v>7.189513292616205E-2</v>
      </c>
      <c r="Z35" s="691">
        <v>5.9635332343319081E-2</v>
      </c>
      <c r="AA35" s="691">
        <v>4.9363003986110023E-2</v>
      </c>
      <c r="AB35" s="691">
        <v>4.0519869139469186E-2</v>
      </c>
      <c r="AC35" s="691">
        <v>3.3239914695012335E-2</v>
      </c>
      <c r="AD35" s="691">
        <v>2.703185538348165E-2</v>
      </c>
      <c r="AE35" s="691">
        <v>2.1493730530029811E-2</v>
      </c>
      <c r="AF35" s="691">
        <v>1.6592043411752883E-2</v>
      </c>
      <c r="AG35" s="691">
        <v>1.2270966157144294E-2</v>
      </c>
      <c r="AH35" s="691">
        <v>8.8096381237368938E-3</v>
      </c>
      <c r="AI35" s="691">
        <v>5.3594756646308103E-3</v>
      </c>
      <c r="AJ35" s="691"/>
      <c r="AK35" s="691">
        <f t="shared" si="0"/>
        <v>6.5897775278748982</v>
      </c>
      <c r="AL35" s="691">
        <f t="shared" si="1"/>
        <v>14.358512402075302</v>
      </c>
      <c r="AM35" s="691">
        <f t="shared" si="2"/>
        <v>15.534205328161928</v>
      </c>
      <c r="AN35" s="691">
        <f t="shared" si="3"/>
        <v>14.637580266099681</v>
      </c>
      <c r="AO35" s="691">
        <f t="shared" si="4"/>
        <v>12.94751760371825</v>
      </c>
      <c r="AP35" s="691">
        <f t="shared" si="5"/>
        <v>16.356461810308183</v>
      </c>
      <c r="AQ35" s="691">
        <f t="shared" si="6"/>
        <v>18.685018992119705</v>
      </c>
      <c r="AR35" s="691">
        <f t="shared" si="7"/>
        <v>20.844246992642912</v>
      </c>
      <c r="AS35" s="691">
        <f t="shared" si="8"/>
        <v>20.833446901492664</v>
      </c>
      <c r="AT35" s="691">
        <f t="shared" si="9"/>
        <v>19.624763090805267</v>
      </c>
      <c r="AU35" s="691">
        <f t="shared" si="10"/>
        <v>18.276455275469779</v>
      </c>
      <c r="AV35" s="691">
        <f t="shared" si="11"/>
        <v>11.406277284704098</v>
      </c>
      <c r="AW35" s="691">
        <f t="shared" si="12"/>
        <v>8.8527945679977105</v>
      </c>
      <c r="AX35" s="691">
        <f t="shared" si="13"/>
        <v>6.3947428995011082</v>
      </c>
      <c r="AY35" s="691">
        <f t="shared" si="14"/>
        <v>4.5405025121219031</v>
      </c>
      <c r="AZ35" s="691">
        <f t="shared" si="15"/>
        <v>4.3792630668661277</v>
      </c>
      <c r="BA35" s="691"/>
      <c r="BB35" s="691">
        <f t="shared" si="16"/>
        <v>13.391347907622466</v>
      </c>
    </row>
    <row r="36" spans="1:54" x14ac:dyDescent="0.35">
      <c r="A36" s="129" t="s">
        <v>325</v>
      </c>
      <c r="B36" s="129" t="str">
        <f>VLOOKUP(A36,'HCW, Staff, Beds Summary'!B:E,4,FALSE)</f>
        <v>High income</v>
      </c>
      <c r="C36" s="691">
        <v>5.8137957071791497</v>
      </c>
      <c r="D36" s="691">
        <v>14.7184668303412</v>
      </c>
      <c r="E36" s="691">
        <v>18.7432308307501</v>
      </c>
      <c r="F36" s="691">
        <v>24.850372398981001</v>
      </c>
      <c r="G36" s="691">
        <v>14.657010007940499</v>
      </c>
      <c r="H36" s="691">
        <v>16.587794437317299</v>
      </c>
      <c r="I36" s="691">
        <v>17.426417168236799</v>
      </c>
      <c r="J36" s="691">
        <v>18.536415042719501</v>
      </c>
      <c r="K36" s="691">
        <v>19.5499400236165</v>
      </c>
      <c r="L36" s="691">
        <v>16.398364872585599</v>
      </c>
      <c r="M36" s="691">
        <v>12.005199278425801</v>
      </c>
      <c r="N36" s="691">
        <v>6.7380178346898703</v>
      </c>
      <c r="O36" s="691">
        <v>5.0906593967053402</v>
      </c>
      <c r="P36" s="691">
        <v>4.2923403689020398</v>
      </c>
      <c r="Q36" s="691">
        <v>3.5091008956311098</v>
      </c>
      <c r="R36" s="691">
        <v>1.83639351114806</v>
      </c>
      <c r="S36" s="691"/>
      <c r="T36" s="691">
        <v>4.9757964651581672E-2</v>
      </c>
      <c r="U36" s="691">
        <v>4.7281323877068557E-2</v>
      </c>
      <c r="V36" s="691">
        <v>4.7056174715749181E-2</v>
      </c>
      <c r="W36" s="691">
        <v>5.0208262974220423E-2</v>
      </c>
      <c r="X36" s="691">
        <v>5.6512439491162893E-2</v>
      </c>
      <c r="Y36" s="691">
        <v>6.7432173815152541E-2</v>
      </c>
      <c r="Z36" s="691">
        <v>6.8783068783068779E-2</v>
      </c>
      <c r="AA36" s="691">
        <v>6.9120792525047839E-2</v>
      </c>
      <c r="AB36" s="691">
        <v>6.2816616008105369E-2</v>
      </c>
      <c r="AC36" s="691">
        <v>6.7995046718450969E-2</v>
      </c>
      <c r="AD36" s="691">
        <v>7.9139930203759992E-2</v>
      </c>
      <c r="AE36" s="691">
        <v>7.7001013171225943E-2</v>
      </c>
      <c r="AF36" s="691">
        <v>6.473038387932005E-2</v>
      </c>
      <c r="AG36" s="691">
        <v>5.0095688393560732E-2</v>
      </c>
      <c r="AH36" s="691">
        <v>4.5254981425194192E-2</v>
      </c>
      <c r="AI36" s="691">
        <v>4.2553191489361701E-2</v>
      </c>
      <c r="AJ36" s="691"/>
      <c r="AK36" s="691">
        <f t="shared" ref="AK36:AK67" si="17">C36/T36/16</f>
        <v>7.3025943533473399</v>
      </c>
      <c r="AL36" s="691">
        <f t="shared" ref="AL36:AL67" si="18">D36/U36/16</f>
        <v>19.455973341357275</v>
      </c>
      <c r="AM36" s="691">
        <f t="shared" ref="AM36:AM67" si="19">E36/V36/16</f>
        <v>24.894754705375771</v>
      </c>
      <c r="AN36" s="691">
        <f t="shared" ref="AN36:AN67" si="20">F36/W36/16</f>
        <v>30.93411687502077</v>
      </c>
      <c r="AO36" s="691">
        <f t="shared" ref="AO36:AO67" si="21">G36/X36/16</f>
        <v>16.20993773662045</v>
      </c>
      <c r="AP36" s="691">
        <f t="shared" ref="AP36:AP67" si="22">H36/Y36/16</f>
        <v>15.374517736507675</v>
      </c>
      <c r="AQ36" s="691">
        <f t="shared" ref="AQ36:AQ67" si="23">I36/Z36/16</f>
        <v>15.834580984599786</v>
      </c>
      <c r="AR36" s="691">
        <f t="shared" ref="AR36:AR67" si="24">J36/AA36/16</f>
        <v>16.76088913115608</v>
      </c>
      <c r="AS36" s="691">
        <f t="shared" ref="AS36:AS67" si="25">K36/AB36/16</f>
        <v>19.451402019465206</v>
      </c>
      <c r="AT36" s="691">
        <f t="shared" ref="AT36:AT67" si="26">L36/AC36/16</f>
        <v>15.073124499501024</v>
      </c>
      <c r="AU36" s="691">
        <f t="shared" ref="AU36:AU67" si="27">M36/AD36/16</f>
        <v>9.480990859731186</v>
      </c>
      <c r="AV36" s="691">
        <f t="shared" ref="AV36:AV67" si="28">N36/AE36/16</f>
        <v>5.4690983575977805</v>
      </c>
      <c r="AW36" s="691">
        <f t="shared" ref="AW36:AW67" si="29">O36/AF36/16</f>
        <v>4.9152529805362537</v>
      </c>
      <c r="AX36" s="691">
        <f t="shared" ref="AX36:AX67" si="30">P36/AG36/16</f>
        <v>5.3551768956400032</v>
      </c>
      <c r="AY36" s="691">
        <f t="shared" ref="AY36:AY67" si="31">Q36/AH36/16</f>
        <v>4.8462909290875542</v>
      </c>
      <c r="AZ36" s="691">
        <f t="shared" ref="AZ36:AZ67" si="32">R36/AI36/16</f>
        <v>2.6972029694987132</v>
      </c>
      <c r="BA36" s="691"/>
      <c r="BB36" s="691">
        <f t="shared" ref="BB36:BB67" si="33">IFERROR(AVERAGE(AK36:AZ36),"")</f>
        <v>13.378494023440179</v>
      </c>
    </row>
    <row r="37" spans="1:54" x14ac:dyDescent="0.35">
      <c r="A37" s="129" t="s">
        <v>418</v>
      </c>
      <c r="B37" s="129" t="str">
        <f>VLOOKUP(A37,'HCW, Staff, Beds Summary'!B:E,4,FALSE)</f>
        <v>Upper middle income</v>
      </c>
      <c r="C37" s="691">
        <v>18.498253750038</v>
      </c>
      <c r="D37" s="691">
        <v>34.904678464527102</v>
      </c>
      <c r="E37" s="691">
        <v>36.313068671956103</v>
      </c>
      <c r="F37" s="691">
        <v>36.800408064111203</v>
      </c>
      <c r="G37" s="691">
        <v>18.952928677028499</v>
      </c>
      <c r="H37" s="691">
        <v>18.0252971242837</v>
      </c>
      <c r="I37" s="691">
        <v>16.9841296608598</v>
      </c>
      <c r="J37" s="691">
        <v>16.2421743789759</v>
      </c>
      <c r="K37" s="691">
        <v>14.2276954889391</v>
      </c>
      <c r="L37" s="691">
        <v>11.1976491866817</v>
      </c>
      <c r="M37" s="691">
        <v>8.8333779450608905</v>
      </c>
      <c r="N37" s="691">
        <v>5.9377861715039302</v>
      </c>
      <c r="O37" s="691">
        <v>3.3625533489217001</v>
      </c>
      <c r="P37" s="691">
        <v>1.0655174010006301</v>
      </c>
      <c r="Q37" s="691">
        <v>0.52663514947239798</v>
      </c>
      <c r="R37" s="691">
        <v>0.33000968653059198</v>
      </c>
      <c r="S37" s="691"/>
      <c r="T37" s="691">
        <v>0.13375764506986226</v>
      </c>
      <c r="U37" s="691">
        <v>0.13000348068221371</v>
      </c>
      <c r="V37" s="691">
        <v>0.11334593008801154</v>
      </c>
      <c r="W37" s="691">
        <v>0.10322708965242902</v>
      </c>
      <c r="X37" s="691">
        <v>9.4450798070707567E-2</v>
      </c>
      <c r="Y37" s="691">
        <v>8.3685545224006758E-2</v>
      </c>
      <c r="Z37" s="691">
        <v>7.2795982298244744E-2</v>
      </c>
      <c r="AA37" s="691">
        <v>6.1558351151111329E-2</v>
      </c>
      <c r="AB37" s="691">
        <v>5.3453333996320421E-2</v>
      </c>
      <c r="AC37" s="691">
        <v>4.4403560240664317E-2</v>
      </c>
      <c r="AD37" s="691">
        <v>3.5179752374322512E-2</v>
      </c>
      <c r="AE37" s="691">
        <v>2.3022226642136143E-2</v>
      </c>
      <c r="AF37" s="691">
        <v>1.6632688578389936E-2</v>
      </c>
      <c r="AG37" s="691">
        <v>1.5489035851026801E-2</v>
      </c>
      <c r="AH37" s="691">
        <v>8.2541892496643624E-3</v>
      </c>
      <c r="AI37" s="691">
        <v>6.0166078265625773E-3</v>
      </c>
      <c r="AJ37" s="691"/>
      <c r="AK37" s="691">
        <f t="shared" si="17"/>
        <v>8.6435497483042329</v>
      </c>
      <c r="AL37" s="691">
        <f t="shared" si="18"/>
        <v>16.780646122588081</v>
      </c>
      <c r="AM37" s="691">
        <f t="shared" si="19"/>
        <v>20.023363787609924</v>
      </c>
      <c r="AN37" s="691">
        <f t="shared" si="20"/>
        <v>22.281220092044208</v>
      </c>
      <c r="AO37" s="691">
        <f t="shared" si="21"/>
        <v>12.541535556189793</v>
      </c>
      <c r="AP37" s="691">
        <f t="shared" si="22"/>
        <v>13.462074809360869</v>
      </c>
      <c r="AQ37" s="691">
        <f t="shared" si="23"/>
        <v>14.581960024314867</v>
      </c>
      <c r="AR37" s="691">
        <f t="shared" si="24"/>
        <v>16.490628480189031</v>
      </c>
      <c r="AS37" s="691">
        <f t="shared" si="25"/>
        <v>16.635650231282224</v>
      </c>
      <c r="AT37" s="691">
        <f t="shared" si="26"/>
        <v>15.761192804686145</v>
      </c>
      <c r="AU37" s="691">
        <f t="shared" si="27"/>
        <v>15.693291859816215</v>
      </c>
      <c r="AV37" s="691">
        <f t="shared" si="28"/>
        <v>16.11971081197564</v>
      </c>
      <c r="AW37" s="691">
        <f t="shared" si="29"/>
        <v>12.635334529178683</v>
      </c>
      <c r="AX37" s="691">
        <f t="shared" si="30"/>
        <v>4.2994824340938349</v>
      </c>
      <c r="AY37" s="691">
        <f t="shared" si="31"/>
        <v>3.9876353505419413</v>
      </c>
      <c r="AZ37" s="691">
        <f t="shared" si="32"/>
        <v>3.4281119864755869</v>
      </c>
      <c r="BA37" s="691"/>
      <c r="BB37" s="691">
        <f t="shared" si="33"/>
        <v>13.335336789290706</v>
      </c>
    </row>
    <row r="38" spans="1:54" x14ac:dyDescent="0.35">
      <c r="A38" s="129" t="s">
        <v>378</v>
      </c>
      <c r="B38" s="129" t="str">
        <f>VLOOKUP(A38,'HCW, Staff, Beds Summary'!B:E,4,FALSE)</f>
        <v>High income</v>
      </c>
      <c r="C38" s="691">
        <v>10.584485163232401</v>
      </c>
      <c r="D38" s="691">
        <v>13.463581945955299</v>
      </c>
      <c r="E38" s="691">
        <v>14.5032176523698</v>
      </c>
      <c r="F38" s="691">
        <v>18.350283073936399</v>
      </c>
      <c r="G38" s="691">
        <v>15.803409599432801</v>
      </c>
      <c r="H38" s="691">
        <v>18.096253943760601</v>
      </c>
      <c r="I38" s="691">
        <v>18.980020059168702</v>
      </c>
      <c r="J38" s="691">
        <v>19.785725900557001</v>
      </c>
      <c r="K38" s="691">
        <v>18.800110326938601</v>
      </c>
      <c r="L38" s="691">
        <v>15.6351202425758</v>
      </c>
      <c r="M38" s="691">
        <v>12.9821901035948</v>
      </c>
      <c r="N38" s="691">
        <v>8.4762215807279695</v>
      </c>
      <c r="O38" s="691">
        <v>5.6708535592290197</v>
      </c>
      <c r="P38" s="691">
        <v>4.2265314863084997</v>
      </c>
      <c r="Q38" s="691">
        <v>3.7878453515208399</v>
      </c>
      <c r="R38" s="691">
        <v>2.1570243052511699</v>
      </c>
      <c r="S38" s="691"/>
      <c r="T38" s="691">
        <v>5.1789794364051789E-2</v>
      </c>
      <c r="U38" s="691">
        <v>5.6359482102056359E-2</v>
      </c>
      <c r="V38" s="691">
        <v>5.6359482102056359E-2</v>
      </c>
      <c r="W38" s="691">
        <v>4.7220106626047219E-2</v>
      </c>
      <c r="X38" s="691">
        <v>4.3412033511043412E-2</v>
      </c>
      <c r="Y38" s="691">
        <v>6.6260472201066262E-2</v>
      </c>
      <c r="Z38" s="691">
        <v>7.6161462300076158E-2</v>
      </c>
      <c r="AA38" s="691">
        <v>6.9306930693069313E-2</v>
      </c>
      <c r="AB38" s="691">
        <v>6.6260472201066262E-2</v>
      </c>
      <c r="AC38" s="691">
        <v>7.311500380807312E-2</v>
      </c>
      <c r="AD38" s="691">
        <v>5.7882711348057884E-2</v>
      </c>
      <c r="AE38" s="691">
        <v>6.7022086824067018E-2</v>
      </c>
      <c r="AF38" s="691">
        <v>6.4737242955064736E-2</v>
      </c>
      <c r="AG38" s="691">
        <v>6.321401370906321E-2</v>
      </c>
      <c r="AH38" s="691">
        <v>3.9603960396039604E-2</v>
      </c>
      <c r="AI38" s="691">
        <v>4.112718964204113E-2</v>
      </c>
      <c r="AJ38" s="691"/>
      <c r="AK38" s="691">
        <f t="shared" si="17"/>
        <v>12.77337226040822</v>
      </c>
      <c r="AL38" s="691">
        <f t="shared" si="18"/>
        <v>14.930475587026443</v>
      </c>
      <c r="AM38" s="691">
        <f t="shared" si="19"/>
        <v>16.083382413481036</v>
      </c>
      <c r="AN38" s="691">
        <f t="shared" si="20"/>
        <v>24.288227496046868</v>
      </c>
      <c r="AO38" s="691">
        <f t="shared" si="21"/>
        <v>22.752057899183406</v>
      </c>
      <c r="AP38" s="691">
        <f t="shared" si="22"/>
        <v>17.069239531722463</v>
      </c>
      <c r="AQ38" s="691">
        <f t="shared" si="23"/>
        <v>15.575478961055316</v>
      </c>
      <c r="AR38" s="691">
        <f t="shared" si="24"/>
        <v>17.842484963895149</v>
      </c>
      <c r="AS38" s="691">
        <f t="shared" si="25"/>
        <v>17.733150042579297</v>
      </c>
      <c r="AT38" s="691">
        <f t="shared" si="26"/>
        <v>13.365177655274755</v>
      </c>
      <c r="AU38" s="691">
        <f t="shared" si="27"/>
        <v>14.017775991792739</v>
      </c>
      <c r="AV38" s="691">
        <f t="shared" si="28"/>
        <v>7.9043174257782844</v>
      </c>
      <c r="AW38" s="691">
        <f t="shared" si="29"/>
        <v>5.4748755318144875</v>
      </c>
      <c r="AX38" s="691">
        <f t="shared" si="30"/>
        <v>4.1787920493396538</v>
      </c>
      <c r="AY38" s="691">
        <f t="shared" si="31"/>
        <v>5.9776934453688257</v>
      </c>
      <c r="AZ38" s="691">
        <f t="shared" si="32"/>
        <v>3.2779779083272986</v>
      </c>
      <c r="BA38" s="691"/>
      <c r="BB38" s="691">
        <f t="shared" si="33"/>
        <v>13.32777994769339</v>
      </c>
    </row>
    <row r="39" spans="1:54" x14ac:dyDescent="0.35">
      <c r="A39" s="129" t="s">
        <v>415</v>
      </c>
      <c r="B39" s="129" t="str">
        <f>VLOOKUP(A39,'HCW, Staff, Beds Summary'!B:E,4,FALSE)</f>
        <v>High income</v>
      </c>
      <c r="C39" s="691">
        <v>11.8457660379439</v>
      </c>
      <c r="D39" s="691">
        <v>15.910682715738901</v>
      </c>
      <c r="E39" s="691">
        <v>20.849644741398301</v>
      </c>
      <c r="F39" s="691">
        <v>25.368387455755599</v>
      </c>
      <c r="G39" s="691">
        <v>16.7675146455889</v>
      </c>
      <c r="H39" s="691">
        <v>18.252732487816399</v>
      </c>
      <c r="I39" s="691">
        <v>19.557019192249602</v>
      </c>
      <c r="J39" s="691">
        <v>20.1912448605847</v>
      </c>
      <c r="K39" s="691">
        <v>19.192806337318501</v>
      </c>
      <c r="L39" s="691">
        <v>16.399523092028002</v>
      </c>
      <c r="M39" s="691">
        <v>13.2747411371393</v>
      </c>
      <c r="N39" s="691">
        <v>9.1138738616505002</v>
      </c>
      <c r="O39" s="691">
        <v>4.90481383661034</v>
      </c>
      <c r="P39" s="691">
        <v>3.1754847209077299</v>
      </c>
      <c r="Q39" s="691">
        <v>1.8456122130052599</v>
      </c>
      <c r="R39" s="691">
        <v>1.2917856369699801</v>
      </c>
      <c r="S39" s="691"/>
      <c r="T39" s="691">
        <v>5.8495821727019497E-2</v>
      </c>
      <c r="U39" s="691">
        <v>6.6852367688022288E-2</v>
      </c>
      <c r="V39" s="691">
        <v>6.9637883008356549E-2</v>
      </c>
      <c r="W39" s="691">
        <v>6.1281337047353758E-2</v>
      </c>
      <c r="X39" s="691">
        <v>6.4066852367688026E-2</v>
      </c>
      <c r="Y39" s="691">
        <v>7.5208913649025072E-2</v>
      </c>
      <c r="Z39" s="691">
        <v>6.6852367688022288E-2</v>
      </c>
      <c r="AA39" s="691">
        <v>6.9637883008356549E-2</v>
      </c>
      <c r="AB39" s="691">
        <v>6.4066852367688026E-2</v>
      </c>
      <c r="AC39" s="691">
        <v>6.1281337047353758E-2</v>
      </c>
      <c r="AD39" s="691">
        <v>6.1281337047353758E-2</v>
      </c>
      <c r="AE39" s="691">
        <v>6.1281337047353758E-2</v>
      </c>
      <c r="AF39" s="691">
        <v>6.1281337047353758E-2</v>
      </c>
      <c r="AG39" s="691">
        <v>5.0139275766016712E-2</v>
      </c>
      <c r="AH39" s="691">
        <v>4.094707520891365E-2</v>
      </c>
      <c r="AI39" s="691">
        <v>2.7576601671309191E-2</v>
      </c>
      <c r="AJ39" s="691"/>
      <c r="AK39" s="691">
        <f t="shared" si="17"/>
        <v>12.656636927446012</v>
      </c>
      <c r="AL39" s="691">
        <f t="shared" si="18"/>
        <v>14.874830976432982</v>
      </c>
      <c r="AM39" s="691">
        <f t="shared" si="19"/>
        <v>18.712556155404975</v>
      </c>
      <c r="AN39" s="691">
        <f t="shared" si="20"/>
        <v>25.872872433568922</v>
      </c>
      <c r="AO39" s="691">
        <f t="shared" si="21"/>
        <v>16.357439559147867</v>
      </c>
      <c r="AP39" s="691">
        <f t="shared" si="22"/>
        <v>15.168358710940016</v>
      </c>
      <c r="AQ39" s="691">
        <f t="shared" si="23"/>
        <v>18.283775755254183</v>
      </c>
      <c r="AR39" s="691">
        <f t="shared" si="24"/>
        <v>18.121642262374767</v>
      </c>
      <c r="AS39" s="691">
        <f t="shared" si="25"/>
        <v>18.723417051894948</v>
      </c>
      <c r="AT39" s="691">
        <f t="shared" si="26"/>
        <v>16.725649971699013</v>
      </c>
      <c r="AU39" s="691">
        <f t="shared" si="27"/>
        <v>13.538727466571048</v>
      </c>
      <c r="AV39" s="691">
        <f t="shared" si="28"/>
        <v>9.2951156713992322</v>
      </c>
      <c r="AW39" s="691">
        <f t="shared" si="29"/>
        <v>5.0023527481338412</v>
      </c>
      <c r="AX39" s="691">
        <f t="shared" si="30"/>
        <v>3.9583299125203997</v>
      </c>
      <c r="AY39" s="691">
        <f t="shared" si="31"/>
        <v>2.8170696618575182</v>
      </c>
      <c r="AZ39" s="691">
        <f t="shared" si="32"/>
        <v>2.9277212353044373</v>
      </c>
      <c r="BA39" s="691"/>
      <c r="BB39" s="691">
        <f t="shared" si="33"/>
        <v>13.314781031246886</v>
      </c>
    </row>
    <row r="40" spans="1:54" x14ac:dyDescent="0.35">
      <c r="A40" s="129" t="s">
        <v>196</v>
      </c>
      <c r="B40" s="129" t="str">
        <f>VLOOKUP(A40,'HCW, Staff, Beds Summary'!B:E,4,FALSE)</f>
        <v>Lower middle income</v>
      </c>
      <c r="C40" s="691">
        <v>18.3133798196247</v>
      </c>
      <c r="D40" s="691">
        <v>30.1421788642282</v>
      </c>
      <c r="E40" s="691">
        <v>31.423523609852001</v>
      </c>
      <c r="F40" s="691">
        <v>28.915976755637502</v>
      </c>
      <c r="G40" s="691">
        <v>19.191936366316099</v>
      </c>
      <c r="H40" s="691">
        <v>19.688568753254799</v>
      </c>
      <c r="I40" s="691">
        <v>18.488186897426999</v>
      </c>
      <c r="J40" s="691">
        <v>18.212124293919999</v>
      </c>
      <c r="K40" s="691">
        <v>16.671769937206498</v>
      </c>
      <c r="L40" s="691">
        <v>13.156062486579099</v>
      </c>
      <c r="M40" s="691">
        <v>10.358344107510399</v>
      </c>
      <c r="N40" s="691">
        <v>6.0288373073915196</v>
      </c>
      <c r="O40" s="691">
        <v>3.1443623760335799</v>
      </c>
      <c r="P40" s="691">
        <v>1.0830111761219801</v>
      </c>
      <c r="Q40" s="691">
        <v>0.79360200990934104</v>
      </c>
      <c r="R40" s="691">
        <v>0.39171528908532899</v>
      </c>
      <c r="S40" s="691"/>
      <c r="T40" s="691">
        <v>0.13416792713931711</v>
      </c>
      <c r="U40" s="691">
        <v>0.12512470633669101</v>
      </c>
      <c r="V40" s="691">
        <v>0.1119621536382068</v>
      </c>
      <c r="W40" s="691">
        <v>0.10095581372896083</v>
      </c>
      <c r="X40" s="691">
        <v>9.2041322048080326E-2</v>
      </c>
      <c r="Y40" s="691">
        <v>8.1710810027998584E-2</v>
      </c>
      <c r="Z40" s="691">
        <v>7.2957229749300037E-2</v>
      </c>
      <c r="AA40" s="691">
        <v>6.1918707559617675E-2</v>
      </c>
      <c r="AB40" s="691">
        <v>5.2328387989572941E-2</v>
      </c>
      <c r="AC40" s="691">
        <v>4.5216104013130372E-2</v>
      </c>
      <c r="AD40" s="691">
        <v>3.8296913719306151E-2</v>
      </c>
      <c r="AE40" s="691">
        <v>3.044443729282657E-2</v>
      </c>
      <c r="AF40" s="691">
        <v>2.1465581051073278E-2</v>
      </c>
      <c r="AG40" s="691">
        <v>1.364528690503009E-2</v>
      </c>
      <c r="AH40" s="691">
        <v>9.5903195700447336E-3</v>
      </c>
      <c r="AI40" s="691">
        <v>5.1169825893862837E-3</v>
      </c>
      <c r="AJ40" s="691"/>
      <c r="AK40" s="691">
        <f t="shared" si="17"/>
        <v>8.5309974084792248</v>
      </c>
      <c r="AL40" s="691">
        <f t="shared" si="18"/>
        <v>15.056068734699121</v>
      </c>
      <c r="AM40" s="691">
        <f t="shared" si="19"/>
        <v>17.541375918527795</v>
      </c>
      <c r="AN40" s="691">
        <f t="shared" si="20"/>
        <v>17.901381609179236</v>
      </c>
      <c r="AO40" s="691">
        <f t="shared" si="21"/>
        <v>13.032146824968098</v>
      </c>
      <c r="AP40" s="691">
        <f t="shared" si="22"/>
        <v>15.059642006446593</v>
      </c>
      <c r="AQ40" s="691">
        <f t="shared" si="23"/>
        <v>15.838206646001023</v>
      </c>
      <c r="AR40" s="691">
        <f t="shared" si="24"/>
        <v>18.383099603202187</v>
      </c>
      <c r="AS40" s="691">
        <f t="shared" si="25"/>
        <v>19.912434934610143</v>
      </c>
      <c r="AT40" s="691">
        <f t="shared" si="26"/>
        <v>18.184979076755887</v>
      </c>
      <c r="AU40" s="691">
        <f t="shared" si="27"/>
        <v>16.904665254867155</v>
      </c>
      <c r="AV40" s="691">
        <f t="shared" si="28"/>
        <v>12.376721832226261</v>
      </c>
      <c r="AW40" s="691">
        <f t="shared" si="29"/>
        <v>9.1552447629770839</v>
      </c>
      <c r="AX40" s="691">
        <f t="shared" si="30"/>
        <v>4.9605551703476252</v>
      </c>
      <c r="AY40" s="691">
        <f t="shared" si="31"/>
        <v>5.1718949777501999</v>
      </c>
      <c r="AZ40" s="691">
        <f t="shared" si="32"/>
        <v>4.7845004629514261</v>
      </c>
      <c r="BA40" s="691"/>
      <c r="BB40" s="691">
        <f t="shared" si="33"/>
        <v>13.299619701499315</v>
      </c>
    </row>
    <row r="41" spans="1:54" x14ac:dyDescent="0.35">
      <c r="A41" s="129" t="s">
        <v>429</v>
      </c>
      <c r="B41" s="129" t="str">
        <f>VLOOKUP(A41,'HCW, Staff, Beds Summary'!B:E,4,FALSE)</f>
        <v>High income</v>
      </c>
      <c r="C41" s="691">
        <v>6.2851747122138502</v>
      </c>
      <c r="D41" s="691">
        <v>13.852040874859</v>
      </c>
      <c r="E41" s="691">
        <v>21.039026702129199</v>
      </c>
      <c r="F41" s="691">
        <v>25.008325657643201</v>
      </c>
      <c r="G41" s="691">
        <v>14.219284009188099</v>
      </c>
      <c r="H41" s="691">
        <v>15.8679643205804</v>
      </c>
      <c r="I41" s="691">
        <v>17.758673380136901</v>
      </c>
      <c r="J41" s="691">
        <v>18.607223096541201</v>
      </c>
      <c r="K41" s="691">
        <v>19.266900682035999</v>
      </c>
      <c r="L41" s="691">
        <v>15.697122783924399</v>
      </c>
      <c r="M41" s="691">
        <v>13.062920272526</v>
      </c>
      <c r="N41" s="691">
        <v>8.3571721760084792</v>
      </c>
      <c r="O41" s="691">
        <v>4.7818216659270103</v>
      </c>
      <c r="P41" s="691">
        <v>3.1934652656002598</v>
      </c>
      <c r="Q41" s="691">
        <v>2.2765722913258402</v>
      </c>
      <c r="R41" s="691">
        <v>1.4376860152423501</v>
      </c>
      <c r="S41" s="691"/>
      <c r="T41" s="691">
        <v>3.6997804398906049E-2</v>
      </c>
      <c r="U41" s="691">
        <v>4.4008320172566541E-2</v>
      </c>
      <c r="V41" s="691">
        <v>4.4412773005662341E-2</v>
      </c>
      <c r="W41" s="691">
        <v>4.8303224066869536E-2</v>
      </c>
      <c r="X41" s="691">
        <v>6.2747968106005164E-2</v>
      </c>
      <c r="Y41" s="691">
        <v>6.8275490158314397E-2</v>
      </c>
      <c r="Z41" s="691">
        <v>6.4038365240167941E-2</v>
      </c>
      <c r="AA41" s="691">
        <v>7.4072647432687488E-2</v>
      </c>
      <c r="AB41" s="691">
        <v>7.6537883748699978E-2</v>
      </c>
      <c r="AC41" s="691">
        <v>8.3740996109548937E-2</v>
      </c>
      <c r="AD41" s="691">
        <v>8.4164708601363589E-2</v>
      </c>
      <c r="AE41" s="691">
        <v>8.116020184122337E-2</v>
      </c>
      <c r="AF41" s="691">
        <v>7.3629675282154E-2</v>
      </c>
      <c r="AG41" s="691">
        <v>5.2251454104233271E-2</v>
      </c>
      <c r="AH41" s="691">
        <v>3.8981549246947342E-2</v>
      </c>
      <c r="AI41" s="691">
        <v>3.0468780093216748E-2</v>
      </c>
      <c r="AJ41" s="691"/>
      <c r="AK41" s="691">
        <f t="shared" si="17"/>
        <v>10.617479223307116</v>
      </c>
      <c r="AL41" s="691">
        <f t="shared" si="18"/>
        <v>19.672474461280881</v>
      </c>
      <c r="AM41" s="691">
        <f t="shared" si="19"/>
        <v>29.607229629985696</v>
      </c>
      <c r="AN41" s="691">
        <f t="shared" si="20"/>
        <v>32.358509888261324</v>
      </c>
      <c r="AO41" s="691">
        <f t="shared" si="21"/>
        <v>14.163092087267197</v>
      </c>
      <c r="AP41" s="691">
        <f t="shared" si="22"/>
        <v>14.52567777597277</v>
      </c>
      <c r="AQ41" s="691">
        <f t="shared" si="23"/>
        <v>17.332064647433615</v>
      </c>
      <c r="AR41" s="691">
        <f t="shared" si="24"/>
        <v>15.700146867177137</v>
      </c>
      <c r="AS41" s="691">
        <f t="shared" si="25"/>
        <v>15.733140683390053</v>
      </c>
      <c r="AT41" s="691">
        <f t="shared" si="26"/>
        <v>11.71553026085158</v>
      </c>
      <c r="AU41" s="691">
        <f t="shared" si="27"/>
        <v>9.7004139929933491</v>
      </c>
      <c r="AV41" s="691">
        <f t="shared" si="28"/>
        <v>6.4357067768556044</v>
      </c>
      <c r="AW41" s="691">
        <f t="shared" si="29"/>
        <v>4.0590136106830732</v>
      </c>
      <c r="AX41" s="691">
        <f t="shared" si="30"/>
        <v>3.8198282233804068</v>
      </c>
      <c r="AY41" s="691">
        <f t="shared" si="31"/>
        <v>3.6500798700043315</v>
      </c>
      <c r="AZ41" s="691">
        <f t="shared" si="32"/>
        <v>2.9490966056974282</v>
      </c>
      <c r="BA41" s="691"/>
      <c r="BB41" s="691">
        <f t="shared" si="33"/>
        <v>13.252467787783848</v>
      </c>
    </row>
    <row r="42" spans="1:54" x14ac:dyDescent="0.35">
      <c r="A42" s="129" t="s">
        <v>427</v>
      </c>
      <c r="B42" s="129" t="str">
        <f>VLOOKUP(A42,'HCW, Staff, Beds Summary'!B:E,4,FALSE)</f>
        <v>Upper middle income</v>
      </c>
      <c r="C42" s="691">
        <v>11.944009752582501</v>
      </c>
      <c r="D42" s="691">
        <v>16.571864753338598</v>
      </c>
      <c r="E42" s="691">
        <v>23.313202995353699</v>
      </c>
      <c r="F42" s="691">
        <v>31.6401837560283</v>
      </c>
      <c r="G42" s="691">
        <v>21.856920552988399</v>
      </c>
      <c r="H42" s="691">
        <v>21.5585999641605</v>
      </c>
      <c r="I42" s="691">
        <v>20.530845378787301</v>
      </c>
      <c r="J42" s="691">
        <v>20.423006266900199</v>
      </c>
      <c r="K42" s="691">
        <v>18.7562324267018</v>
      </c>
      <c r="L42" s="691">
        <v>15.6295483952228</v>
      </c>
      <c r="M42" s="691">
        <v>11.414653328369599</v>
      </c>
      <c r="N42" s="691">
        <v>5.6846965929205897</v>
      </c>
      <c r="O42" s="691">
        <v>2.4404149154350199</v>
      </c>
      <c r="P42" s="691">
        <v>2.1941900505207399</v>
      </c>
      <c r="Q42" s="691">
        <v>1.34533272101344</v>
      </c>
      <c r="R42" s="691">
        <v>0.70944685359639104</v>
      </c>
      <c r="S42" s="691"/>
      <c r="T42" s="691">
        <v>0.10228369250562883</v>
      </c>
      <c r="U42" s="691">
        <v>0.10373110324863299</v>
      </c>
      <c r="V42" s="691">
        <v>8.5450841642543157E-2</v>
      </c>
      <c r="W42" s="691">
        <v>5.9451056073764337E-2</v>
      </c>
      <c r="X42" s="691">
        <v>5.8593331189021124E-2</v>
      </c>
      <c r="Y42" s="691">
        <v>7.8428219148708053E-2</v>
      </c>
      <c r="Z42" s="691">
        <v>8.829205532325507E-2</v>
      </c>
      <c r="AA42" s="691">
        <v>7.1137557628390691E-2</v>
      </c>
      <c r="AB42" s="691">
        <v>6.3042779028626567E-2</v>
      </c>
      <c r="AC42" s="691">
        <v>5.8700546799614027E-2</v>
      </c>
      <c r="AD42" s="691">
        <v>5.210678674815053E-2</v>
      </c>
      <c r="AE42" s="691">
        <v>5.655623458775598E-2</v>
      </c>
      <c r="AF42" s="691">
        <v>4.3207891068939637E-2</v>
      </c>
      <c r="AG42" s="691">
        <v>3.3397662699689072E-2</v>
      </c>
      <c r="AH42" s="691">
        <v>1.7047282084271469E-2</v>
      </c>
      <c r="AI42" s="691">
        <v>1.2383403023480219E-2</v>
      </c>
      <c r="AJ42" s="691"/>
      <c r="AK42" s="691">
        <f t="shared" si="17"/>
        <v>7.2983345756248017</v>
      </c>
      <c r="AL42" s="691">
        <f t="shared" si="18"/>
        <v>9.984869674056144</v>
      </c>
      <c r="AM42" s="691">
        <f t="shared" si="19"/>
        <v>17.051618909791713</v>
      </c>
      <c r="AN42" s="691">
        <f t="shared" si="20"/>
        <v>33.262848725481959</v>
      </c>
      <c r="AO42" s="691">
        <f t="shared" si="21"/>
        <v>23.314215233042404</v>
      </c>
      <c r="AP42" s="691">
        <f t="shared" si="22"/>
        <v>17.180200091056474</v>
      </c>
      <c r="AQ42" s="691">
        <f t="shared" si="23"/>
        <v>14.533332942315509</v>
      </c>
      <c r="AR42" s="691">
        <f t="shared" si="24"/>
        <v>17.9432346883363</v>
      </c>
      <c r="AS42" s="691">
        <f t="shared" si="25"/>
        <v>18.594747007211701</v>
      </c>
      <c r="AT42" s="691">
        <f t="shared" si="26"/>
        <v>16.641186972858794</v>
      </c>
      <c r="AU42" s="691">
        <f t="shared" si="27"/>
        <v>13.691418672029739</v>
      </c>
      <c r="AV42" s="691">
        <f t="shared" si="28"/>
        <v>6.2821285689775284</v>
      </c>
      <c r="AW42" s="691">
        <f t="shared" si="29"/>
        <v>3.5300480639364813</v>
      </c>
      <c r="AX42" s="691">
        <f t="shared" si="30"/>
        <v>4.1061819023288404</v>
      </c>
      <c r="AY42" s="691">
        <f t="shared" si="31"/>
        <v>4.9323578179608321</v>
      </c>
      <c r="AZ42" s="691">
        <f t="shared" si="32"/>
        <v>3.5806335516739929</v>
      </c>
      <c r="BA42" s="691"/>
      <c r="BB42" s="691">
        <f t="shared" si="33"/>
        <v>13.245459837292701</v>
      </c>
    </row>
    <row r="43" spans="1:54" x14ac:dyDescent="0.35">
      <c r="A43" s="129" t="s">
        <v>502</v>
      </c>
      <c r="B43" s="129" t="str">
        <f>VLOOKUP(A43,'HCW, Staff, Beds Summary'!B:E,4,FALSE)</f>
        <v>High income</v>
      </c>
      <c r="C43" s="691">
        <v>7.6618412774173299</v>
      </c>
      <c r="D43" s="691">
        <v>12.963366524567199</v>
      </c>
      <c r="E43" s="691">
        <v>16.505900360264899</v>
      </c>
      <c r="F43" s="691">
        <v>18.036926013195899</v>
      </c>
      <c r="G43" s="691">
        <v>13.143157571563499</v>
      </c>
      <c r="H43" s="691">
        <v>16.510225940335399</v>
      </c>
      <c r="I43" s="691">
        <v>18.745553942273801</v>
      </c>
      <c r="J43" s="691">
        <v>20.191246764283399</v>
      </c>
      <c r="K43" s="691">
        <v>18.8002961722203</v>
      </c>
      <c r="L43" s="691">
        <v>14.8429032535142</v>
      </c>
      <c r="M43" s="691">
        <v>11.2747339360076</v>
      </c>
      <c r="N43" s="691">
        <v>7.4159658021604002</v>
      </c>
      <c r="O43" s="691">
        <v>5.4232363654986102</v>
      </c>
      <c r="P43" s="691">
        <v>4.8100081872560496</v>
      </c>
      <c r="Q43" s="691">
        <v>3.4036880307079902</v>
      </c>
      <c r="R43" s="691">
        <v>2.2698574187967799</v>
      </c>
      <c r="S43" s="691"/>
      <c r="T43" s="691">
        <v>3.9234919077979401E-2</v>
      </c>
      <c r="U43" s="691">
        <v>4.3256498283472292E-2</v>
      </c>
      <c r="V43" s="691">
        <v>4.8062775870524765E-2</v>
      </c>
      <c r="W43" s="691">
        <v>5.1495831289847964E-2</v>
      </c>
      <c r="X43" s="691">
        <v>5.2967140755272195E-2</v>
      </c>
      <c r="Y43" s="691">
        <v>5.2378616969102502E-2</v>
      </c>
      <c r="Z43" s="691">
        <v>5.5026974006866111E-2</v>
      </c>
      <c r="AA43" s="691">
        <v>6.4247179990191264E-2</v>
      </c>
      <c r="AB43" s="691">
        <v>7.503678273663561E-2</v>
      </c>
      <c r="AC43" s="691">
        <v>7.9450711132908289E-2</v>
      </c>
      <c r="AD43" s="691">
        <v>7.2878862187346738E-2</v>
      </c>
      <c r="AE43" s="691">
        <v>7.2388425698871994E-2</v>
      </c>
      <c r="AF43" s="691">
        <v>6.6012751348700341E-2</v>
      </c>
      <c r="AG43" s="691">
        <v>6.0912211868563021E-2</v>
      </c>
      <c r="AH43" s="691">
        <v>5.5615497793035804E-2</v>
      </c>
      <c r="AI43" s="691">
        <v>4.4237371260421772E-2</v>
      </c>
      <c r="AJ43" s="691"/>
      <c r="AK43" s="691">
        <f t="shared" si="17"/>
        <v>12.205073722385887</v>
      </c>
      <c r="AL43" s="691">
        <f t="shared" si="18"/>
        <v>18.730374393135289</v>
      </c>
      <c r="AM43" s="691">
        <f t="shared" si="19"/>
        <v>21.46398650164549</v>
      </c>
      <c r="AN43" s="691">
        <f t="shared" si="20"/>
        <v>21.891245321968118</v>
      </c>
      <c r="AO43" s="691">
        <f t="shared" si="21"/>
        <v>15.508621694686328</v>
      </c>
      <c r="AP43" s="691">
        <f t="shared" si="22"/>
        <v>19.700579759096371</v>
      </c>
      <c r="AQ43" s="691">
        <f t="shared" si="23"/>
        <v>21.291323801412812</v>
      </c>
      <c r="AR43" s="691">
        <f t="shared" si="24"/>
        <v>19.642152744453174</v>
      </c>
      <c r="AS43" s="691">
        <f t="shared" si="25"/>
        <v>15.659233617302773</v>
      </c>
      <c r="AT43" s="691">
        <f t="shared" si="26"/>
        <v>11.676188168948864</v>
      </c>
      <c r="AU43" s="691">
        <f t="shared" si="27"/>
        <v>9.6690706996633136</v>
      </c>
      <c r="AV43" s="691">
        <f t="shared" si="28"/>
        <v>6.4029277907372357</v>
      </c>
      <c r="AW43" s="691">
        <f t="shared" si="29"/>
        <v>5.1346484719779282</v>
      </c>
      <c r="AX43" s="691">
        <f t="shared" si="30"/>
        <v>4.9353898418956748</v>
      </c>
      <c r="AY43" s="691">
        <f t="shared" si="31"/>
        <v>3.8250219877720415</v>
      </c>
      <c r="AZ43" s="691">
        <f t="shared" si="32"/>
        <v>3.2069285455422913</v>
      </c>
      <c r="BA43" s="691"/>
      <c r="BB43" s="691">
        <f t="shared" si="33"/>
        <v>13.183922941413972</v>
      </c>
    </row>
    <row r="44" spans="1:54" x14ac:dyDescent="0.35">
      <c r="A44" s="129" t="s">
        <v>543</v>
      </c>
      <c r="B44" s="129" t="str">
        <f>VLOOKUP(A44,'HCW, Staff, Beds Summary'!B:E,4,FALSE)</f>
        <v>High income</v>
      </c>
      <c r="C44" s="691">
        <v>9.7002815234252306</v>
      </c>
      <c r="D44" s="691">
        <v>13.231674128525199</v>
      </c>
      <c r="E44" s="691">
        <v>15.5932129437124</v>
      </c>
      <c r="F44" s="691">
        <v>21.765502191271899</v>
      </c>
      <c r="G44" s="691">
        <v>15.201380434852799</v>
      </c>
      <c r="H44" s="691">
        <v>16.920881859828398</v>
      </c>
      <c r="I44" s="691">
        <v>18.516799508365001</v>
      </c>
      <c r="J44" s="691">
        <v>19.769201381724201</v>
      </c>
      <c r="K44" s="691">
        <v>19.385205241088801</v>
      </c>
      <c r="L44" s="691">
        <v>16.1045673164455</v>
      </c>
      <c r="M44" s="691">
        <v>12.7493828462786</v>
      </c>
      <c r="N44" s="691">
        <v>8.6905305689049506</v>
      </c>
      <c r="O44" s="691">
        <v>5.8134477475113497</v>
      </c>
      <c r="P44" s="691">
        <v>5.2186755495585304</v>
      </c>
      <c r="Q44" s="691">
        <v>3.1178345687626501</v>
      </c>
      <c r="R44" s="691">
        <v>1.8338114835603001</v>
      </c>
      <c r="S44" s="691"/>
      <c r="T44" s="691">
        <v>5.9598798333171818E-2</v>
      </c>
      <c r="U44" s="691">
        <v>5.8726620796588816E-2</v>
      </c>
      <c r="V44" s="691">
        <v>5.8048260490357592E-2</v>
      </c>
      <c r="W44" s="691">
        <v>5.3590464192266693E-2</v>
      </c>
      <c r="X44" s="691">
        <v>5.3784281422618471E-2</v>
      </c>
      <c r="Y44" s="691">
        <v>7.2681461381916848E-2</v>
      </c>
      <c r="Z44" s="691">
        <v>6.8611299544529505E-2</v>
      </c>
      <c r="AA44" s="691">
        <v>6.2118422327744935E-2</v>
      </c>
      <c r="AB44" s="691">
        <v>6.0277158639403042E-2</v>
      </c>
      <c r="AC44" s="691">
        <v>6.483186355266983E-2</v>
      </c>
      <c r="AD44" s="691">
        <v>6.7254578932067058E-2</v>
      </c>
      <c r="AE44" s="691">
        <v>6.1052427560810155E-2</v>
      </c>
      <c r="AF44" s="691">
        <v>5.6206996802015699E-2</v>
      </c>
      <c r="AG44" s="691">
        <v>5.2136834964628356E-2</v>
      </c>
      <c r="AH44" s="691">
        <v>5.5916270956488032E-2</v>
      </c>
      <c r="AI44" s="691">
        <v>4.2639790677391223E-2</v>
      </c>
      <c r="AJ44" s="691"/>
      <c r="AK44" s="691">
        <f t="shared" si="17"/>
        <v>10.172480187014731</v>
      </c>
      <c r="AL44" s="691">
        <f t="shared" si="18"/>
        <v>14.081852860174457</v>
      </c>
      <c r="AM44" s="691">
        <f t="shared" si="19"/>
        <v>16.78906139045996</v>
      </c>
      <c r="AN44" s="691">
        <f t="shared" si="20"/>
        <v>25.384066129264774</v>
      </c>
      <c r="AO44" s="691">
        <f t="shared" si="21"/>
        <v>17.66475728685203</v>
      </c>
      <c r="AP44" s="691">
        <f t="shared" si="22"/>
        <v>14.550548325964105</v>
      </c>
      <c r="AQ44" s="691">
        <f t="shared" si="23"/>
        <v>16.867483591703607</v>
      </c>
      <c r="AR44" s="691">
        <f t="shared" si="24"/>
        <v>19.890638558698523</v>
      </c>
      <c r="AS44" s="691">
        <f t="shared" si="25"/>
        <v>20.100073641759984</v>
      </c>
      <c r="AT44" s="691">
        <f t="shared" si="26"/>
        <v>15.525320453886502</v>
      </c>
      <c r="AU44" s="691">
        <f t="shared" si="27"/>
        <v>11.848062102913264</v>
      </c>
      <c r="AV44" s="691">
        <f t="shared" si="28"/>
        <v>8.896585807592281</v>
      </c>
      <c r="AW44" s="691">
        <f t="shared" si="29"/>
        <v>6.4643283735527604</v>
      </c>
      <c r="AX44" s="691">
        <f t="shared" si="30"/>
        <v>6.255984316437555</v>
      </c>
      <c r="AY44" s="691">
        <f t="shared" si="31"/>
        <v>3.4849366242484603</v>
      </c>
      <c r="AZ44" s="691">
        <f t="shared" si="32"/>
        <v>2.6879404401787976</v>
      </c>
      <c r="BA44" s="691"/>
      <c r="BB44" s="691">
        <f t="shared" si="33"/>
        <v>13.166507505668864</v>
      </c>
    </row>
    <row r="45" spans="1:54" x14ac:dyDescent="0.35">
      <c r="A45" s="129" t="s">
        <v>518</v>
      </c>
      <c r="B45" s="129" t="str">
        <f>VLOOKUP(A45,'HCW, Staff, Beds Summary'!B:E,4,FALSE)</f>
        <v>High income</v>
      </c>
      <c r="C45" s="691">
        <v>6.5485355843318098</v>
      </c>
      <c r="D45" s="691">
        <v>14.950782602810699</v>
      </c>
      <c r="E45" s="691">
        <v>18.987486706584299</v>
      </c>
      <c r="F45" s="691">
        <v>23.917205937722699</v>
      </c>
      <c r="G45" s="691">
        <v>16.111340026131501</v>
      </c>
      <c r="H45" s="691">
        <v>19.294165808060999</v>
      </c>
      <c r="I45" s="691">
        <v>20.677269486119201</v>
      </c>
      <c r="J45" s="691">
        <v>20.729964650594301</v>
      </c>
      <c r="K45" s="691">
        <v>18.1647994062908</v>
      </c>
      <c r="L45" s="691">
        <v>15.3455318390341</v>
      </c>
      <c r="M45" s="691">
        <v>12.180233848183899</v>
      </c>
      <c r="N45" s="691">
        <v>7.3620183882102301</v>
      </c>
      <c r="O45" s="691">
        <v>4.9124496766595698</v>
      </c>
      <c r="P45" s="691">
        <v>3.59387969378579</v>
      </c>
      <c r="Q45" s="691">
        <v>2.2834320828472898</v>
      </c>
      <c r="R45" s="691">
        <v>1.51647317813975</v>
      </c>
      <c r="S45" s="691"/>
      <c r="T45" s="691">
        <v>5.1945668135095449E-2</v>
      </c>
      <c r="U45" s="691">
        <v>5.1762114537444934E-2</v>
      </c>
      <c r="V45" s="691">
        <v>5.1762114537444934E-2</v>
      </c>
      <c r="W45" s="691">
        <v>4.8091042584434654E-2</v>
      </c>
      <c r="X45" s="691">
        <v>5.3230543318649043E-2</v>
      </c>
      <c r="Y45" s="691">
        <v>6.6997063142437585E-2</v>
      </c>
      <c r="Z45" s="691">
        <v>7.5073421439060206E-2</v>
      </c>
      <c r="AA45" s="691">
        <v>8.002936857562408E-2</v>
      </c>
      <c r="AB45" s="691">
        <v>8.3883994126284875E-2</v>
      </c>
      <c r="AC45" s="691">
        <v>7.3788546255506612E-2</v>
      </c>
      <c r="AD45" s="691">
        <v>6.3509544787077821E-2</v>
      </c>
      <c r="AE45" s="691">
        <v>6.6262848751835537E-2</v>
      </c>
      <c r="AF45" s="691">
        <v>6.6262848751835537E-2</v>
      </c>
      <c r="AG45" s="691">
        <v>6.1123348017621149E-2</v>
      </c>
      <c r="AH45" s="691">
        <v>4.3318649045521289E-2</v>
      </c>
      <c r="AI45" s="691">
        <v>2.9735682819383259E-2</v>
      </c>
      <c r="AJ45" s="691"/>
      <c r="AK45" s="691">
        <f t="shared" si="17"/>
        <v>7.8790684327384497</v>
      </c>
      <c r="AL45" s="691">
        <f t="shared" si="18"/>
        <v>18.052274738500152</v>
      </c>
      <c r="AM45" s="691">
        <f t="shared" si="19"/>
        <v>22.926380225503383</v>
      </c>
      <c r="AN45" s="691">
        <f t="shared" si="20"/>
        <v>31.083239014483127</v>
      </c>
      <c r="AO45" s="691">
        <f t="shared" si="21"/>
        <v>18.91693544447509</v>
      </c>
      <c r="AP45" s="691">
        <f t="shared" si="22"/>
        <v>17.999077966150058</v>
      </c>
      <c r="AQ45" s="691">
        <f t="shared" si="23"/>
        <v>17.214206014727598</v>
      </c>
      <c r="AR45" s="691">
        <f t="shared" si="24"/>
        <v>16.189341659466422</v>
      </c>
      <c r="AS45" s="691">
        <f t="shared" si="25"/>
        <v>13.534166734884066</v>
      </c>
      <c r="AT45" s="691">
        <f t="shared" si="26"/>
        <v>12.997894505450525</v>
      </c>
      <c r="AU45" s="691">
        <f t="shared" si="27"/>
        <v>11.986617414180976</v>
      </c>
      <c r="AV45" s="691">
        <f t="shared" si="28"/>
        <v>6.9439536320930282</v>
      </c>
      <c r="AW45" s="691">
        <f t="shared" si="29"/>
        <v>4.6334878529157439</v>
      </c>
      <c r="AX45" s="691">
        <f t="shared" si="30"/>
        <v>3.6748229301323168</v>
      </c>
      <c r="AY45" s="691">
        <f t="shared" si="31"/>
        <v>3.2945280686843317</v>
      </c>
      <c r="AZ45" s="691">
        <f t="shared" si="32"/>
        <v>3.187401957756697</v>
      </c>
      <c r="BA45" s="691"/>
      <c r="BB45" s="691">
        <f t="shared" si="33"/>
        <v>13.157087287008874</v>
      </c>
    </row>
    <row r="46" spans="1:54" x14ac:dyDescent="0.35">
      <c r="A46" s="129" t="s">
        <v>460</v>
      </c>
      <c r="B46" s="129" t="str">
        <f>VLOOKUP(A46,'HCW, Staff, Beds Summary'!B:E,4,FALSE)</f>
        <v>High income</v>
      </c>
      <c r="C46" s="691">
        <v>6.0811975912082303</v>
      </c>
      <c r="D46" s="691">
        <v>14.486981664253999</v>
      </c>
      <c r="E46" s="691">
        <v>19.024142630271999</v>
      </c>
      <c r="F46" s="691">
        <v>24.939963030113201</v>
      </c>
      <c r="G46" s="691">
        <v>15.8676924060227</v>
      </c>
      <c r="H46" s="691">
        <v>16.838994911365099</v>
      </c>
      <c r="I46" s="691">
        <v>17.244333873014298</v>
      </c>
      <c r="J46" s="691">
        <v>16.520992102276001</v>
      </c>
      <c r="K46" s="691">
        <v>15.3541246710236</v>
      </c>
      <c r="L46" s="691">
        <v>12.9213523671099</v>
      </c>
      <c r="M46" s="691">
        <v>11.332510935523301</v>
      </c>
      <c r="N46" s="691">
        <v>7.7155237136602404</v>
      </c>
      <c r="O46" s="691">
        <v>6.5266031462304497</v>
      </c>
      <c r="P46" s="691">
        <v>4.8178705901258398</v>
      </c>
      <c r="Q46" s="691">
        <v>2.8753395136404101</v>
      </c>
      <c r="R46" s="691">
        <v>1.9278241968171901</v>
      </c>
      <c r="S46" s="691"/>
      <c r="T46" s="691">
        <v>4.9382716049382713E-2</v>
      </c>
      <c r="U46" s="691">
        <v>4.7325102880658436E-2</v>
      </c>
      <c r="V46" s="691">
        <v>4.7325102880658436E-2</v>
      </c>
      <c r="W46" s="691">
        <v>4.7325102880658436E-2</v>
      </c>
      <c r="X46" s="691">
        <v>5.5555555555555552E-2</v>
      </c>
      <c r="Y46" s="691">
        <v>6.7901234567901231E-2</v>
      </c>
      <c r="Z46" s="691">
        <v>7.407407407407407E-2</v>
      </c>
      <c r="AA46" s="691">
        <v>7.407407407407407E-2</v>
      </c>
      <c r="AB46" s="691">
        <v>7.2016460905349799E-2</v>
      </c>
      <c r="AC46" s="691">
        <v>6.3786008230452676E-2</v>
      </c>
      <c r="AD46" s="691">
        <v>5.7613168724279837E-2</v>
      </c>
      <c r="AE46" s="691">
        <v>6.3786008230452676E-2</v>
      </c>
      <c r="AF46" s="691">
        <v>6.7901234567901231E-2</v>
      </c>
      <c r="AG46" s="691">
        <v>6.1728395061728392E-2</v>
      </c>
      <c r="AH46" s="691">
        <v>6.3786008230452676E-2</v>
      </c>
      <c r="AI46" s="691">
        <v>3.847736625514403E-2</v>
      </c>
      <c r="AJ46" s="691"/>
      <c r="AK46" s="691">
        <f t="shared" si="17"/>
        <v>7.6965157013729169</v>
      </c>
      <c r="AL46" s="691">
        <f t="shared" si="18"/>
        <v>19.132263828335446</v>
      </c>
      <c r="AM46" s="691">
        <f t="shared" si="19"/>
        <v>25.124275321500519</v>
      </c>
      <c r="AN46" s="691">
        <f t="shared" si="20"/>
        <v>32.937016393029936</v>
      </c>
      <c r="AO46" s="691">
        <f t="shared" si="21"/>
        <v>17.851153956775537</v>
      </c>
      <c r="AP46" s="691">
        <f t="shared" si="22"/>
        <v>15.499529407051966</v>
      </c>
      <c r="AQ46" s="691">
        <f t="shared" si="23"/>
        <v>14.549906705355815</v>
      </c>
      <c r="AR46" s="691">
        <f t="shared" si="24"/>
        <v>13.939587086295376</v>
      </c>
      <c r="AS46" s="691">
        <f t="shared" si="25"/>
        <v>13.325186768066908</v>
      </c>
      <c r="AT46" s="691">
        <f t="shared" si="26"/>
        <v>12.660841230676233</v>
      </c>
      <c r="AU46" s="691">
        <f t="shared" si="27"/>
        <v>12.293750702375723</v>
      </c>
      <c r="AV46" s="691">
        <f t="shared" si="28"/>
        <v>7.5599688000783809</v>
      </c>
      <c r="AW46" s="691">
        <f t="shared" si="29"/>
        <v>6.0074415323257551</v>
      </c>
      <c r="AX46" s="691">
        <f t="shared" si="30"/>
        <v>4.8780939725024135</v>
      </c>
      <c r="AY46" s="691">
        <f t="shared" si="31"/>
        <v>2.8173689589299178</v>
      </c>
      <c r="AZ46" s="691">
        <f t="shared" si="32"/>
        <v>3.1314256672899545</v>
      </c>
      <c r="BA46" s="691"/>
      <c r="BB46" s="691">
        <f t="shared" si="33"/>
        <v>13.087770376997675</v>
      </c>
    </row>
    <row r="47" spans="1:54" x14ac:dyDescent="0.35">
      <c r="A47" s="129" t="s">
        <v>239</v>
      </c>
      <c r="B47" s="129" t="str">
        <f>VLOOKUP(A47,'HCW, Staff, Beds Summary'!B:E,4,FALSE)</f>
        <v>Lower middle income</v>
      </c>
      <c r="C47" s="691">
        <v>6.9144110142766904</v>
      </c>
      <c r="D47" s="691">
        <v>16.071233159164098</v>
      </c>
      <c r="E47" s="691">
        <v>16.693548504870002</v>
      </c>
      <c r="F47" s="691">
        <v>22.929265626897902</v>
      </c>
      <c r="G47" s="691">
        <v>16.206193084612998</v>
      </c>
      <c r="H47" s="691">
        <v>18.8971804304669</v>
      </c>
      <c r="I47" s="691">
        <v>18.406041848604399</v>
      </c>
      <c r="J47" s="691">
        <v>18.4599101762382</v>
      </c>
      <c r="K47" s="691">
        <v>17.530490169000899</v>
      </c>
      <c r="L47" s="691">
        <v>14.7718367884763</v>
      </c>
      <c r="M47" s="691">
        <v>11.8769014058099</v>
      </c>
      <c r="N47" s="691">
        <v>7.7585821521570697</v>
      </c>
      <c r="O47" s="691">
        <v>5.73687741467125</v>
      </c>
      <c r="P47" s="691">
        <v>3.3739968691546101</v>
      </c>
      <c r="Q47" s="691">
        <v>3.6946337602547601</v>
      </c>
      <c r="R47" s="691">
        <v>1.8063056617639</v>
      </c>
      <c r="S47" s="691"/>
      <c r="T47" s="691">
        <v>4.8326464060872321E-2</v>
      </c>
      <c r="U47" s="691">
        <v>5.6614882920422119E-2</v>
      </c>
      <c r="V47" s="691">
        <v>5.4961728339145796E-2</v>
      </c>
      <c r="W47" s="691">
        <v>4.5269260383169529E-2</v>
      </c>
      <c r="X47" s="691">
        <v>4.9051134562253726E-2</v>
      </c>
      <c r="Y47" s="691">
        <v>6.2933103854341227E-2</v>
      </c>
      <c r="Z47" s="691">
        <v>8.1978350468771236E-2</v>
      </c>
      <c r="AA47" s="691">
        <v>8.2884188595497982E-2</v>
      </c>
      <c r="AB47" s="691">
        <v>7.631686217672902E-2</v>
      </c>
      <c r="AC47" s="691">
        <v>7.0179808868155266E-2</v>
      </c>
      <c r="AD47" s="691">
        <v>6.4110693419086012E-2</v>
      </c>
      <c r="AE47" s="691">
        <v>7.0949771275873E-2</v>
      </c>
      <c r="AF47" s="691">
        <v>6.694143756510712E-2</v>
      </c>
      <c r="AG47" s="691">
        <v>5.9717378504461252E-2</v>
      </c>
      <c r="AH47" s="691">
        <v>4.0468318311517731E-2</v>
      </c>
      <c r="AI47" s="691">
        <v>2.7763938584175009E-2</v>
      </c>
      <c r="AJ47" s="691"/>
      <c r="AK47" s="691">
        <f t="shared" si="17"/>
        <v>8.9423196335646118</v>
      </c>
      <c r="AL47" s="691">
        <f t="shared" si="18"/>
        <v>17.741837846059205</v>
      </c>
      <c r="AM47" s="691">
        <f t="shared" si="19"/>
        <v>18.98315087757647</v>
      </c>
      <c r="AN47" s="691">
        <f t="shared" si="20"/>
        <v>31.6567818769559</v>
      </c>
      <c r="AO47" s="691">
        <f t="shared" si="21"/>
        <v>20.649615484485825</v>
      </c>
      <c r="AP47" s="691">
        <f t="shared" si="22"/>
        <v>18.767130565143876</v>
      </c>
      <c r="AQ47" s="691">
        <f t="shared" si="23"/>
        <v>14.032700206330681</v>
      </c>
      <c r="AR47" s="691">
        <f t="shared" si="24"/>
        <v>13.919957540340274</v>
      </c>
      <c r="AS47" s="691">
        <f t="shared" si="25"/>
        <v>14.356665149902479</v>
      </c>
      <c r="AT47" s="691">
        <f t="shared" si="26"/>
        <v>13.155347872409171</v>
      </c>
      <c r="AU47" s="691">
        <f t="shared" si="27"/>
        <v>11.578510514786151</v>
      </c>
      <c r="AV47" s="691">
        <f t="shared" si="28"/>
        <v>6.834572906857483</v>
      </c>
      <c r="AW47" s="691">
        <f t="shared" si="29"/>
        <v>5.3562464664464864</v>
      </c>
      <c r="AX47" s="691">
        <f t="shared" si="30"/>
        <v>3.5312133520129234</v>
      </c>
      <c r="AY47" s="691">
        <f t="shared" si="31"/>
        <v>5.7060589530403503</v>
      </c>
      <c r="AZ47" s="691">
        <f t="shared" si="32"/>
        <v>4.0662135711750764</v>
      </c>
      <c r="BA47" s="691"/>
      <c r="BB47" s="691">
        <f t="shared" si="33"/>
        <v>13.079895176067936</v>
      </c>
    </row>
    <row r="48" spans="1:54" x14ac:dyDescent="0.35">
      <c r="A48" s="129" t="s">
        <v>547</v>
      </c>
      <c r="B48" s="129" t="str">
        <f>VLOOKUP(A48,'HCW, Staff, Beds Summary'!B:E,4,FALSE)</f>
        <v>Upper middle income</v>
      </c>
      <c r="C48" s="691">
        <v>10.6056219100674</v>
      </c>
      <c r="D48" s="691">
        <v>16.926809418657001</v>
      </c>
      <c r="E48" s="691">
        <v>20.3068651049316</v>
      </c>
      <c r="F48" s="691">
        <v>23.262210417836702</v>
      </c>
      <c r="G48" s="691">
        <v>17.468207007369401</v>
      </c>
      <c r="H48" s="691">
        <v>19.514312534424398</v>
      </c>
      <c r="I48" s="691">
        <v>20.561419126987101</v>
      </c>
      <c r="J48" s="691">
        <v>21.352742188540301</v>
      </c>
      <c r="K48" s="691">
        <v>20.407761829610301</v>
      </c>
      <c r="L48" s="691">
        <v>16.1196369921973</v>
      </c>
      <c r="M48" s="691">
        <v>12.613699123876501</v>
      </c>
      <c r="N48" s="691">
        <v>7.6662019183671504</v>
      </c>
      <c r="O48" s="691">
        <v>4.0492260442045396</v>
      </c>
      <c r="P48" s="691">
        <v>2.57702906932166</v>
      </c>
      <c r="Q48" s="691">
        <v>1.51241834325195</v>
      </c>
      <c r="R48" s="691">
        <v>0.89721590890781799</v>
      </c>
      <c r="S48" s="691"/>
      <c r="T48" s="691">
        <v>5.1518624641833814E-2</v>
      </c>
      <c r="U48" s="691">
        <v>5.5071633237822347E-2</v>
      </c>
      <c r="V48" s="691">
        <v>5.8939828080229226E-2</v>
      </c>
      <c r="W48" s="691">
        <v>6.2736389684813751E-2</v>
      </c>
      <c r="X48" s="691">
        <v>6.8882521489971343E-2</v>
      </c>
      <c r="Y48" s="691">
        <v>6.9083094555873928E-2</v>
      </c>
      <c r="Z48" s="691">
        <v>6.3997134670487107E-2</v>
      </c>
      <c r="AA48" s="691">
        <v>6.8237822349570196E-2</v>
      </c>
      <c r="AB48" s="691">
        <v>7.60458452722063E-2</v>
      </c>
      <c r="AC48" s="691">
        <v>8.0300859598853871E-2</v>
      </c>
      <c r="AD48" s="691">
        <v>8.0214899713467055E-2</v>
      </c>
      <c r="AE48" s="691">
        <v>7.2822349570200576E-2</v>
      </c>
      <c r="AF48" s="691">
        <v>6.2578796561604588E-2</v>
      </c>
      <c r="AG48" s="691">
        <v>4.666189111747851E-2</v>
      </c>
      <c r="AH48" s="691">
        <v>3.2693409742120344E-2</v>
      </c>
      <c r="AI48" s="691">
        <v>2.2693409742120346E-2</v>
      </c>
      <c r="AJ48" s="691"/>
      <c r="AK48" s="691">
        <f t="shared" si="17"/>
        <v>12.866247381164914</v>
      </c>
      <c r="AL48" s="691">
        <f t="shared" si="18"/>
        <v>19.209991178171482</v>
      </c>
      <c r="AM48" s="691">
        <f t="shared" si="19"/>
        <v>21.533470836233374</v>
      </c>
      <c r="AN48" s="691">
        <f t="shared" si="20"/>
        <v>23.174558791462118</v>
      </c>
      <c r="AO48" s="691">
        <f t="shared" si="21"/>
        <v>15.849636661740643</v>
      </c>
      <c r="AP48" s="691">
        <f t="shared" si="22"/>
        <v>17.654746667653761</v>
      </c>
      <c r="AQ48" s="691">
        <f t="shared" si="23"/>
        <v>20.080409881683732</v>
      </c>
      <c r="AR48" s="691">
        <f t="shared" si="24"/>
        <v>19.557282762441123</v>
      </c>
      <c r="AS48" s="691">
        <f t="shared" si="25"/>
        <v>16.772581194739061</v>
      </c>
      <c r="AT48" s="691">
        <f t="shared" si="26"/>
        <v>12.546283029163375</v>
      </c>
      <c r="AU48" s="691">
        <f t="shared" si="27"/>
        <v>9.8280518713897536</v>
      </c>
      <c r="AV48" s="691">
        <f t="shared" si="28"/>
        <v>6.5795407965525659</v>
      </c>
      <c r="AW48" s="691">
        <f t="shared" si="29"/>
        <v>4.0441274308247026</v>
      </c>
      <c r="AX48" s="691">
        <f t="shared" si="30"/>
        <v>3.4517314445550329</v>
      </c>
      <c r="AY48" s="691">
        <f t="shared" si="31"/>
        <v>2.8912905444507588</v>
      </c>
      <c r="AZ48" s="691">
        <f t="shared" si="32"/>
        <v>2.471025506698457</v>
      </c>
      <c r="BA48" s="691"/>
      <c r="BB48" s="691">
        <f t="shared" si="33"/>
        <v>13.031935998682805</v>
      </c>
    </row>
    <row r="49" spans="1:54" x14ac:dyDescent="0.35">
      <c r="A49" s="129" t="s">
        <v>511</v>
      </c>
      <c r="B49" s="129" t="str">
        <f>VLOOKUP(A49,'HCW, Staff, Beds Summary'!B:E,4,FALSE)</f>
        <v>Upper middle income</v>
      </c>
      <c r="C49" s="691">
        <v>9.7349438011301803</v>
      </c>
      <c r="D49" s="691">
        <v>13.714624070426501</v>
      </c>
      <c r="E49" s="691">
        <v>15.5038299245253</v>
      </c>
      <c r="F49" s="691">
        <v>21.199868282762399</v>
      </c>
      <c r="G49" s="691">
        <v>18.245517250504601</v>
      </c>
      <c r="H49" s="691">
        <v>19.9408344497873</v>
      </c>
      <c r="I49" s="691">
        <v>19.640328365227798</v>
      </c>
      <c r="J49" s="691">
        <v>19.7147111596115</v>
      </c>
      <c r="K49" s="691">
        <v>18.112770507213099</v>
      </c>
      <c r="L49" s="691">
        <v>15.5431292324218</v>
      </c>
      <c r="M49" s="691">
        <v>12.166465267089</v>
      </c>
      <c r="N49" s="691">
        <v>7.43898221239475</v>
      </c>
      <c r="O49" s="691">
        <v>4.7872447416420103</v>
      </c>
      <c r="P49" s="691">
        <v>2.6971676603163499</v>
      </c>
      <c r="Q49" s="691">
        <v>3.0136017702482198</v>
      </c>
      <c r="R49" s="691">
        <v>1.4076415360113901</v>
      </c>
      <c r="S49" s="691"/>
      <c r="T49" s="691">
        <v>6.3533996200302312E-2</v>
      </c>
      <c r="U49" s="691">
        <v>6.407482908294157E-2</v>
      </c>
      <c r="V49" s="691">
        <v>5.6010872127692034E-2</v>
      </c>
      <c r="W49" s="691">
        <v>4.8522416829609907E-2</v>
      </c>
      <c r="X49" s="691">
        <v>4.5325955818113745E-2</v>
      </c>
      <c r="Y49" s="691">
        <v>6.1620279846347992E-2</v>
      </c>
      <c r="Z49" s="691">
        <v>8.5957759565114894E-2</v>
      </c>
      <c r="AA49" s="691">
        <v>8.1714301562868352E-2</v>
      </c>
      <c r="AB49" s="691">
        <v>7.2665751411019122E-2</v>
      </c>
      <c r="AC49" s="691">
        <v>6.6952337368778689E-2</v>
      </c>
      <c r="AD49" s="691">
        <v>5.8104866109192771E-2</v>
      </c>
      <c r="AE49" s="691">
        <v>7.1389940508382904E-2</v>
      </c>
      <c r="AF49" s="691">
        <v>6.903246384046817E-2</v>
      </c>
      <c r="AG49" s="691">
        <v>5.7751244609005561E-2</v>
      </c>
      <c r="AH49" s="691">
        <v>3.6936112382299512E-2</v>
      </c>
      <c r="AI49" s="691">
        <v>2.1647182815381843E-2</v>
      </c>
      <c r="AJ49" s="691"/>
      <c r="AK49" s="691">
        <f t="shared" si="17"/>
        <v>9.5765105921</v>
      </c>
      <c r="AL49" s="691">
        <f t="shared" si="18"/>
        <v>13.377546482287164</v>
      </c>
      <c r="AM49" s="691">
        <f t="shared" si="19"/>
        <v>17.300022896871809</v>
      </c>
      <c r="AN49" s="691">
        <f t="shared" si="20"/>
        <v>27.30679661578807</v>
      </c>
      <c r="AO49" s="691">
        <f t="shared" si="21"/>
        <v>25.15875964607498</v>
      </c>
      <c r="AP49" s="691">
        <f t="shared" si="22"/>
        <v>20.225519199513503</v>
      </c>
      <c r="AQ49" s="691">
        <f t="shared" si="23"/>
        <v>14.280508578133235</v>
      </c>
      <c r="AR49" s="691">
        <f t="shared" si="24"/>
        <v>15.078993810253976</v>
      </c>
      <c r="AS49" s="691">
        <f t="shared" si="25"/>
        <v>15.578840577834493</v>
      </c>
      <c r="AT49" s="691">
        <f t="shared" si="26"/>
        <v>14.509509528779624</v>
      </c>
      <c r="AU49" s="691">
        <f t="shared" si="27"/>
        <v>13.08675383166848</v>
      </c>
      <c r="AV49" s="691">
        <f t="shared" si="28"/>
        <v>6.5126316812111238</v>
      </c>
      <c r="AW49" s="691">
        <f t="shared" si="29"/>
        <v>4.3342331956175544</v>
      </c>
      <c r="AX49" s="691">
        <f t="shared" si="30"/>
        <v>2.9189497111458804</v>
      </c>
      <c r="AY49" s="691">
        <f t="shared" si="31"/>
        <v>5.099348537037014</v>
      </c>
      <c r="AZ49" s="691">
        <f t="shared" si="32"/>
        <v>4.0641591449118089</v>
      </c>
      <c r="BA49" s="691"/>
      <c r="BB49" s="691">
        <f t="shared" si="33"/>
        <v>13.025567751826793</v>
      </c>
    </row>
    <row r="50" spans="1:54" x14ac:dyDescent="0.35">
      <c r="A50" s="129" t="s">
        <v>402</v>
      </c>
      <c r="B50" s="129" t="str">
        <f>VLOOKUP(A50,'HCW, Staff, Beds Summary'!B:E,4,FALSE)</f>
        <v>High income</v>
      </c>
      <c r="C50" s="691">
        <v>6.0925179567108101</v>
      </c>
      <c r="D50" s="691">
        <v>15.0565796280051</v>
      </c>
      <c r="E50" s="691">
        <v>17.826324608367301</v>
      </c>
      <c r="F50" s="691">
        <v>19.829448820254399</v>
      </c>
      <c r="G50" s="691">
        <v>12.5126326592196</v>
      </c>
      <c r="H50" s="691">
        <v>15.9682655803692</v>
      </c>
      <c r="I50" s="691">
        <v>18.043940067112501</v>
      </c>
      <c r="J50" s="691">
        <v>19.132067332836499</v>
      </c>
      <c r="K50" s="691">
        <v>18.1912477937496</v>
      </c>
      <c r="L50" s="691">
        <v>13.4793549802628</v>
      </c>
      <c r="M50" s="691">
        <v>10.427844311751601</v>
      </c>
      <c r="N50" s="691">
        <v>6.8322459302195702</v>
      </c>
      <c r="O50" s="691">
        <v>5.1801790022716396</v>
      </c>
      <c r="P50" s="691">
        <v>4.5885342773958904</v>
      </c>
      <c r="Q50" s="691">
        <v>3.6682488010194398</v>
      </c>
      <c r="R50" s="691">
        <v>2.54029922677271</v>
      </c>
      <c r="S50" s="691"/>
      <c r="T50" s="691">
        <v>3.9287388654477264E-2</v>
      </c>
      <c r="U50" s="691">
        <v>4.5194561650257856E-2</v>
      </c>
      <c r="V50" s="691">
        <v>5.2039381153305204E-2</v>
      </c>
      <c r="W50" s="691">
        <v>5.0539146741678385E-2</v>
      </c>
      <c r="X50" s="691">
        <v>5.0820440693858417E-2</v>
      </c>
      <c r="Y50" s="691">
        <v>5.0632911392405063E-2</v>
      </c>
      <c r="Z50" s="691">
        <v>5.7290201593999064E-2</v>
      </c>
      <c r="AA50" s="691">
        <v>7.0886075949367092E-2</v>
      </c>
      <c r="AB50" s="691">
        <v>7.4917955930614163E-2</v>
      </c>
      <c r="AC50" s="691">
        <v>7.6136896390060951E-2</v>
      </c>
      <c r="AD50" s="691">
        <v>7.6418190342240969E-2</v>
      </c>
      <c r="AE50" s="691">
        <v>6.8073136427566808E-2</v>
      </c>
      <c r="AF50" s="691">
        <v>6.4978902953586493E-2</v>
      </c>
      <c r="AG50" s="691">
        <v>5.5696202531645568E-2</v>
      </c>
      <c r="AH50" s="691">
        <v>5.2789498359118614E-2</v>
      </c>
      <c r="AI50" s="691">
        <v>3.9006094702297232E-2</v>
      </c>
      <c r="AJ50" s="691"/>
      <c r="AK50" s="691">
        <f t="shared" si="17"/>
        <v>9.6922291181862743</v>
      </c>
      <c r="AL50" s="691">
        <f t="shared" si="18"/>
        <v>20.821890784838484</v>
      </c>
      <c r="AM50" s="691">
        <f t="shared" si="19"/>
        <v>21.409656750927621</v>
      </c>
      <c r="AN50" s="691">
        <f t="shared" si="20"/>
        <v>24.52238771660635</v>
      </c>
      <c r="AO50" s="691">
        <f t="shared" si="21"/>
        <v>15.388287282123734</v>
      </c>
      <c r="AP50" s="691">
        <f t="shared" si="22"/>
        <v>19.710827825768231</v>
      </c>
      <c r="AQ50" s="691">
        <f t="shared" si="23"/>
        <v>19.684801638272791</v>
      </c>
      <c r="AR50" s="691">
        <f t="shared" si="24"/>
        <v>16.868675438550039</v>
      </c>
      <c r="AS50" s="691">
        <f t="shared" si="25"/>
        <v>15.175974477498395</v>
      </c>
      <c r="AT50" s="691">
        <f t="shared" si="26"/>
        <v>11.065064721713574</v>
      </c>
      <c r="AU50" s="691">
        <f t="shared" si="27"/>
        <v>8.5286011951557388</v>
      </c>
      <c r="AV50" s="691">
        <f t="shared" si="28"/>
        <v>6.2728910852093422</v>
      </c>
      <c r="AW50" s="691">
        <f t="shared" si="29"/>
        <v>4.9825585370875762</v>
      </c>
      <c r="AX50" s="691">
        <f t="shared" si="30"/>
        <v>5.1490654533277747</v>
      </c>
      <c r="AY50" s="691">
        <f t="shared" si="31"/>
        <v>4.3430143719884908</v>
      </c>
      <c r="AZ50" s="691">
        <f t="shared" si="32"/>
        <v>4.0703562580425112</v>
      </c>
      <c r="BA50" s="691"/>
      <c r="BB50" s="691">
        <f t="shared" si="33"/>
        <v>12.98039266595606</v>
      </c>
    </row>
    <row r="51" spans="1:54" x14ac:dyDescent="0.35">
      <c r="A51" s="129" t="s">
        <v>363</v>
      </c>
      <c r="B51" s="129" t="str">
        <f>VLOOKUP(A51,'HCW, Staff, Beds Summary'!B:E,4,FALSE)</f>
        <v>High income</v>
      </c>
      <c r="C51" s="691">
        <v>9.1311871306395105</v>
      </c>
      <c r="D51" s="691">
        <v>13.682767005139899</v>
      </c>
      <c r="E51" s="691">
        <v>18.069724535695499</v>
      </c>
      <c r="F51" s="691">
        <v>22.145564163175401</v>
      </c>
      <c r="G51" s="691">
        <v>13.9802564014851</v>
      </c>
      <c r="H51" s="691">
        <v>15.6022367283849</v>
      </c>
      <c r="I51" s="691">
        <v>17.254140524738801</v>
      </c>
      <c r="J51" s="691">
        <v>19.002406016547301</v>
      </c>
      <c r="K51" s="691">
        <v>18.632325284014701</v>
      </c>
      <c r="L51" s="691">
        <v>16.133771095978599</v>
      </c>
      <c r="M51" s="691">
        <v>12.512019279910101</v>
      </c>
      <c r="N51" s="691">
        <v>7.7264641307136204</v>
      </c>
      <c r="O51" s="691">
        <v>5.4773644579537297</v>
      </c>
      <c r="P51" s="691">
        <v>5.48582413915699</v>
      </c>
      <c r="Q51" s="691">
        <v>3.1609349237628801</v>
      </c>
      <c r="R51" s="691">
        <v>1.76615864628453</v>
      </c>
      <c r="S51" s="691"/>
      <c r="T51" s="691">
        <v>5.325342465753425E-2</v>
      </c>
      <c r="U51" s="691">
        <v>5.1369863013698627E-2</v>
      </c>
      <c r="V51" s="691">
        <v>5.8219178082191778E-2</v>
      </c>
      <c r="W51" s="691">
        <v>5.8561643835616441E-2</v>
      </c>
      <c r="X51" s="691">
        <v>6.4554794520547951E-2</v>
      </c>
      <c r="Y51" s="691">
        <v>6.934931506849315E-2</v>
      </c>
      <c r="Z51" s="691">
        <v>6.1301369863013697E-2</v>
      </c>
      <c r="AA51" s="691">
        <v>5.4794520547945202E-2</v>
      </c>
      <c r="AB51" s="691">
        <v>6.2328767123287672E-2</v>
      </c>
      <c r="AC51" s="691">
        <v>6.5068493150684928E-2</v>
      </c>
      <c r="AD51" s="691">
        <v>7.294520547945206E-2</v>
      </c>
      <c r="AE51" s="691">
        <v>6.6952054794520544E-2</v>
      </c>
      <c r="AF51" s="691">
        <v>5.9760273972602737E-2</v>
      </c>
      <c r="AG51" s="691">
        <v>5.325342465753425E-2</v>
      </c>
      <c r="AH51" s="691">
        <v>6.0616438356164384E-2</v>
      </c>
      <c r="AI51" s="691">
        <v>4.0582191780821918E-2</v>
      </c>
      <c r="AJ51" s="691"/>
      <c r="AK51" s="691">
        <f t="shared" si="17"/>
        <v>10.716666568113894</v>
      </c>
      <c r="AL51" s="691">
        <f t="shared" si="18"/>
        <v>16.647366522920212</v>
      </c>
      <c r="AM51" s="691">
        <f t="shared" si="19"/>
        <v>19.398380751555464</v>
      </c>
      <c r="AN51" s="691">
        <f t="shared" si="20"/>
        <v>23.634885729704738</v>
      </c>
      <c r="AO51" s="691">
        <f t="shared" si="21"/>
        <v>13.535261502764088</v>
      </c>
      <c r="AP51" s="691">
        <f t="shared" si="22"/>
        <v>14.061275076198738</v>
      </c>
      <c r="AQ51" s="691">
        <f t="shared" si="23"/>
        <v>17.591511987513023</v>
      </c>
      <c r="AR51" s="691">
        <f t="shared" si="24"/>
        <v>21.674619362624266</v>
      </c>
      <c r="AS51" s="691">
        <f t="shared" si="25"/>
        <v>18.683512990838917</v>
      </c>
      <c r="AT51" s="691">
        <f t="shared" si="26"/>
        <v>15.496911710611023</v>
      </c>
      <c r="AU51" s="691">
        <f t="shared" si="27"/>
        <v>10.72039210602626</v>
      </c>
      <c r="AV51" s="691">
        <f t="shared" si="28"/>
        <v>7.2126839071879072</v>
      </c>
      <c r="AW51" s="691">
        <f t="shared" si="29"/>
        <v>5.7284757225017522</v>
      </c>
      <c r="AX51" s="691">
        <f t="shared" si="30"/>
        <v>6.4383466584961457</v>
      </c>
      <c r="AY51" s="691">
        <f t="shared" si="31"/>
        <v>3.2591560654617266</v>
      </c>
      <c r="AZ51" s="691">
        <f t="shared" si="32"/>
        <v>2.7200333582019134</v>
      </c>
      <c r="BA51" s="691"/>
      <c r="BB51" s="691">
        <f t="shared" si="33"/>
        <v>12.969967501295002</v>
      </c>
    </row>
    <row r="52" spans="1:54" x14ac:dyDescent="0.35">
      <c r="A52" s="129" t="s">
        <v>480</v>
      </c>
      <c r="B52" s="129" t="str">
        <f>VLOOKUP(A52,'HCW, Staff, Beds Summary'!B:E,4,FALSE)</f>
        <v>High income</v>
      </c>
      <c r="C52" s="691">
        <v>10.9669052547797</v>
      </c>
      <c r="D52" s="691">
        <v>15.676112981292199</v>
      </c>
      <c r="E52" s="691">
        <v>19.524644586526499</v>
      </c>
      <c r="F52" s="691">
        <v>24.176994794195501</v>
      </c>
      <c r="G52" s="691">
        <v>16.407591767411699</v>
      </c>
      <c r="H52" s="691">
        <v>17.126067203963</v>
      </c>
      <c r="I52" s="691">
        <v>17.713599450200199</v>
      </c>
      <c r="J52" s="691">
        <v>18.740198976928799</v>
      </c>
      <c r="K52" s="691">
        <v>19.1201730219754</v>
      </c>
      <c r="L52" s="691">
        <v>16.021041832440499</v>
      </c>
      <c r="M52" s="691">
        <v>13.0659318295692</v>
      </c>
      <c r="N52" s="691">
        <v>8.6155493841127893</v>
      </c>
      <c r="O52" s="691">
        <v>5.0098153058066401</v>
      </c>
      <c r="P52" s="691">
        <v>3.7390721936825799</v>
      </c>
      <c r="Q52" s="691">
        <v>2.4409066881768999</v>
      </c>
      <c r="R52" s="691">
        <v>1.41692762628352</v>
      </c>
      <c r="S52" s="691"/>
      <c r="T52" s="691">
        <v>6.2361697847515593E-2</v>
      </c>
      <c r="U52" s="691">
        <v>6.5178032589016291E-2</v>
      </c>
      <c r="V52" s="691">
        <v>6.658619995976664E-2</v>
      </c>
      <c r="W52" s="691">
        <v>6.2764031382015695E-2</v>
      </c>
      <c r="X52" s="691">
        <v>6.7189700261516799E-2</v>
      </c>
      <c r="Y52" s="691">
        <v>7.2017702675518006E-2</v>
      </c>
      <c r="Z52" s="691">
        <v>6.7189700261516799E-2</v>
      </c>
      <c r="AA52" s="691">
        <v>6.1154697244015288E-2</v>
      </c>
      <c r="AB52" s="691">
        <v>5.7734862200764431E-2</v>
      </c>
      <c r="AC52" s="691">
        <v>6.4976865821766247E-2</v>
      </c>
      <c r="AD52" s="691">
        <v>6.4574532287266145E-2</v>
      </c>
      <c r="AE52" s="691">
        <v>6.578153289076645E-2</v>
      </c>
      <c r="AF52" s="691">
        <v>5.8539529269764634E-2</v>
      </c>
      <c r="AG52" s="691">
        <v>4.9889358278012469E-2</v>
      </c>
      <c r="AH52" s="691">
        <v>4.4256688795011066E-2</v>
      </c>
      <c r="AI52" s="691">
        <v>3.0778515389257695E-2</v>
      </c>
      <c r="AJ52" s="691"/>
      <c r="AK52" s="691">
        <f t="shared" si="17"/>
        <v>10.991227020465702</v>
      </c>
      <c r="AL52" s="691">
        <f t="shared" si="18"/>
        <v>15.032013431713644</v>
      </c>
      <c r="AM52" s="691">
        <f t="shared" si="19"/>
        <v>18.326474365487773</v>
      </c>
      <c r="AN52" s="691">
        <f t="shared" si="20"/>
        <v>24.075288686287227</v>
      </c>
      <c r="AO52" s="691">
        <f t="shared" si="21"/>
        <v>15.262376249214736</v>
      </c>
      <c r="AP52" s="691">
        <f t="shared" si="22"/>
        <v>14.862723476064957</v>
      </c>
      <c r="AQ52" s="691">
        <f t="shared" si="23"/>
        <v>16.47722733288645</v>
      </c>
      <c r="AR52" s="691">
        <f t="shared" si="24"/>
        <v>19.152452531725547</v>
      </c>
      <c r="AS52" s="691">
        <f t="shared" si="25"/>
        <v>20.698253504407603</v>
      </c>
      <c r="AT52" s="691">
        <f t="shared" si="26"/>
        <v>15.410332613982531</v>
      </c>
      <c r="AU52" s="691">
        <f t="shared" si="27"/>
        <v>12.646173505605235</v>
      </c>
      <c r="AV52" s="691">
        <f t="shared" si="28"/>
        <v>8.1857599366255105</v>
      </c>
      <c r="AW52" s="691">
        <f t="shared" si="29"/>
        <v>5.3487525526556716</v>
      </c>
      <c r="AX52" s="691">
        <f t="shared" si="30"/>
        <v>4.6842056136078893</v>
      </c>
      <c r="AY52" s="691">
        <f t="shared" si="31"/>
        <v>3.4470872576498208</v>
      </c>
      <c r="AZ52" s="691">
        <f t="shared" si="32"/>
        <v>2.8772660254311182</v>
      </c>
      <c r="BA52" s="691"/>
      <c r="BB52" s="691">
        <f t="shared" si="33"/>
        <v>12.967350881488214</v>
      </c>
    </row>
    <row r="53" spans="1:54" x14ac:dyDescent="0.35">
      <c r="A53" s="129" t="s">
        <v>520</v>
      </c>
      <c r="B53" s="129" t="str">
        <f>VLOOKUP(A53,'HCW, Staff, Beds Summary'!B:E,4,FALSE)</f>
        <v>High income</v>
      </c>
      <c r="C53" s="691">
        <v>9.7986388280358003</v>
      </c>
      <c r="D53" s="691">
        <v>12.794163310163199</v>
      </c>
      <c r="E53" s="691">
        <v>15.5628960760003</v>
      </c>
      <c r="F53" s="691">
        <v>17.7974149563446</v>
      </c>
      <c r="G53" s="691">
        <v>13.5752664002293</v>
      </c>
      <c r="H53" s="691">
        <v>17.4790790137681</v>
      </c>
      <c r="I53" s="691">
        <v>19.293468273356002</v>
      </c>
      <c r="J53" s="691">
        <v>19.607348168626501</v>
      </c>
      <c r="K53" s="691">
        <v>18.462553678270801</v>
      </c>
      <c r="L53" s="691">
        <v>15.2470116027395</v>
      </c>
      <c r="M53" s="691">
        <v>10.819091619989001</v>
      </c>
      <c r="N53" s="691">
        <v>7.1864871204220604</v>
      </c>
      <c r="O53" s="691">
        <v>5.2225723288827899</v>
      </c>
      <c r="P53" s="691">
        <v>4.2295974502172902</v>
      </c>
      <c r="Q53" s="691">
        <v>3.0389325889651202</v>
      </c>
      <c r="R53" s="691">
        <v>2.0768710010599598</v>
      </c>
      <c r="S53" s="691"/>
      <c r="T53" s="691">
        <v>4.8863086598935658E-2</v>
      </c>
      <c r="U53" s="691">
        <v>5.2733430091920656E-2</v>
      </c>
      <c r="V53" s="691">
        <v>5.0314465408805034E-2</v>
      </c>
      <c r="W53" s="691">
        <v>4.40251572327044E-2</v>
      </c>
      <c r="X53" s="691">
        <v>4.6444121915820029E-2</v>
      </c>
      <c r="Y53" s="691">
        <v>5.2733430091920656E-2</v>
      </c>
      <c r="Z53" s="691">
        <v>6.4344460570875658E-2</v>
      </c>
      <c r="AA53" s="691">
        <v>7.2085147556845669E-2</v>
      </c>
      <c r="AB53" s="691">
        <v>7.5955491049830667E-2</v>
      </c>
      <c r="AC53" s="691">
        <v>7.06337687469763E-2</v>
      </c>
      <c r="AD53" s="691">
        <v>7.2568940493468792E-2</v>
      </c>
      <c r="AE53" s="691">
        <v>7.2085147556845669E-2</v>
      </c>
      <c r="AF53" s="691">
        <v>6.966618287373004E-2</v>
      </c>
      <c r="AG53" s="691">
        <v>6.6763425253991288E-2</v>
      </c>
      <c r="AH53" s="691">
        <v>4.6927914852443152E-2</v>
      </c>
      <c r="AI53" s="691">
        <v>3.8703434929850025E-2</v>
      </c>
      <c r="AJ53" s="691"/>
      <c r="AK53" s="691">
        <f t="shared" si="17"/>
        <v>12.533283698978959</v>
      </c>
      <c r="AL53" s="691">
        <f t="shared" si="18"/>
        <v>15.163724519556958</v>
      </c>
      <c r="AM53" s="691">
        <f t="shared" si="19"/>
        <v>19.332034969406621</v>
      </c>
      <c r="AN53" s="691">
        <f t="shared" si="20"/>
        <v>25.265973018382066</v>
      </c>
      <c r="AO53" s="691">
        <f t="shared" si="21"/>
        <v>18.26827841749607</v>
      </c>
      <c r="AP53" s="691">
        <f t="shared" si="22"/>
        <v>20.716316698084096</v>
      </c>
      <c r="AQ53" s="691">
        <f t="shared" si="23"/>
        <v>18.740413026798336</v>
      </c>
      <c r="AR53" s="691">
        <f t="shared" si="24"/>
        <v>17.000163030432457</v>
      </c>
      <c r="AS53" s="691">
        <f t="shared" si="25"/>
        <v>15.191918173959294</v>
      </c>
      <c r="AT53" s="691">
        <f t="shared" si="26"/>
        <v>13.491255557732254</v>
      </c>
      <c r="AU53" s="691">
        <f t="shared" si="27"/>
        <v>9.3179426577155269</v>
      </c>
      <c r="AV53" s="691">
        <f t="shared" si="28"/>
        <v>6.2309013749632545</v>
      </c>
      <c r="AW53" s="691">
        <f t="shared" si="29"/>
        <v>4.6853546023440655</v>
      </c>
      <c r="AX53" s="691">
        <f t="shared" si="30"/>
        <v>3.9595008739126536</v>
      </c>
      <c r="AY53" s="691">
        <f t="shared" si="31"/>
        <v>4.047341276669397</v>
      </c>
      <c r="AZ53" s="691">
        <f t="shared" si="32"/>
        <v>3.3538221556179195</v>
      </c>
      <c r="BA53" s="691"/>
      <c r="BB53" s="691">
        <f t="shared" si="33"/>
        <v>12.956139003253117</v>
      </c>
    </row>
    <row r="54" spans="1:54" x14ac:dyDescent="0.35">
      <c r="A54" s="129" t="s">
        <v>208</v>
      </c>
      <c r="B54" s="129" t="str">
        <f>VLOOKUP(A54,'HCW, Staff, Beds Summary'!B:E,4,FALSE)</f>
        <v>Upper middle income</v>
      </c>
      <c r="C54" s="691">
        <v>13.469788009642301</v>
      </c>
      <c r="D54" s="691">
        <v>28.585277542169599</v>
      </c>
      <c r="E54" s="691">
        <v>33.527078265394202</v>
      </c>
      <c r="F54" s="691">
        <v>28.6023028079303</v>
      </c>
      <c r="G54" s="691">
        <v>21.538518589743301</v>
      </c>
      <c r="H54" s="691">
        <v>21.009856231486499</v>
      </c>
      <c r="I54" s="691">
        <v>19.602842334540799</v>
      </c>
      <c r="J54" s="691">
        <v>18.520115278931598</v>
      </c>
      <c r="K54" s="691">
        <v>15.973795140501</v>
      </c>
      <c r="L54" s="691">
        <v>11.9270565859584</v>
      </c>
      <c r="M54" s="691">
        <v>9.0064888962630292</v>
      </c>
      <c r="N54" s="691">
        <v>4.8889693712435101</v>
      </c>
      <c r="O54" s="691">
        <v>2.59188285254164</v>
      </c>
      <c r="P54" s="691">
        <v>2.1572899987262</v>
      </c>
      <c r="Q54" s="691">
        <v>0.25938909306216701</v>
      </c>
      <c r="R54" s="691">
        <v>0.14598259507974901</v>
      </c>
      <c r="S54" s="691"/>
      <c r="T54" s="691">
        <v>0.13223140495867769</v>
      </c>
      <c r="U54" s="691">
        <v>0.12514757969303425</v>
      </c>
      <c r="V54" s="691">
        <v>0.11097992916174734</v>
      </c>
      <c r="W54" s="691">
        <v>9.6418732782369149E-2</v>
      </c>
      <c r="X54" s="691">
        <v>9.6418732782369149E-2</v>
      </c>
      <c r="Y54" s="691">
        <v>9.012199921290831E-2</v>
      </c>
      <c r="Z54" s="691">
        <v>7.752853207398662E-2</v>
      </c>
      <c r="AA54" s="691">
        <v>6.2967335694608426E-2</v>
      </c>
      <c r="AB54" s="691">
        <v>5.1160960251869343E-2</v>
      </c>
      <c r="AC54" s="691">
        <v>4.2109405745769379E-2</v>
      </c>
      <c r="AD54" s="691">
        <v>3.2664305391578122E-2</v>
      </c>
      <c r="AE54" s="691">
        <v>2.6761117670208581E-2</v>
      </c>
      <c r="AF54" s="691">
        <v>2.0070838252656435E-2</v>
      </c>
      <c r="AG54" s="691">
        <v>1.4167650531286895E-2</v>
      </c>
      <c r="AH54" s="691">
        <v>9.5631641086186547E-3</v>
      </c>
      <c r="AI54" s="691">
        <v>6.7296340023612752E-3</v>
      </c>
      <c r="AJ54" s="691"/>
      <c r="AK54" s="691">
        <f t="shared" si="17"/>
        <v>6.3665794889324934</v>
      </c>
      <c r="AL54" s="691">
        <f t="shared" si="18"/>
        <v>14.275784244232105</v>
      </c>
      <c r="AM54" s="691">
        <f t="shared" si="19"/>
        <v>18.881273464620271</v>
      </c>
      <c r="AN54" s="691">
        <f t="shared" si="20"/>
        <v>18.540421284426248</v>
      </c>
      <c r="AO54" s="691">
        <f t="shared" si="21"/>
        <v>13.961575442994318</v>
      </c>
      <c r="AP54" s="691">
        <f t="shared" si="22"/>
        <v>14.570427042632966</v>
      </c>
      <c r="AQ54" s="691">
        <f t="shared" si="23"/>
        <v>15.802925879463253</v>
      </c>
      <c r="AR54" s="691">
        <f t="shared" si="24"/>
        <v>18.382661298345777</v>
      </c>
      <c r="AS54" s="691">
        <f t="shared" si="25"/>
        <v>19.514141082698579</v>
      </c>
      <c r="AT54" s="691">
        <f t="shared" si="26"/>
        <v>17.702482935116997</v>
      </c>
      <c r="AU54" s="691">
        <f t="shared" si="27"/>
        <v>17.233048407684002</v>
      </c>
      <c r="AV54" s="691">
        <f t="shared" si="28"/>
        <v>11.418080121626616</v>
      </c>
      <c r="AW54" s="691">
        <f t="shared" si="29"/>
        <v>8.0710469709660622</v>
      </c>
      <c r="AX54" s="691">
        <f t="shared" si="30"/>
        <v>9.5167949422973503</v>
      </c>
      <c r="AY54" s="691">
        <f t="shared" si="31"/>
        <v>1.6952358165405512</v>
      </c>
      <c r="AZ54" s="691">
        <f t="shared" si="32"/>
        <v>1.3557813380761776</v>
      </c>
      <c r="BA54" s="691"/>
      <c r="BB54" s="691">
        <f t="shared" si="33"/>
        <v>12.955516235040859</v>
      </c>
    </row>
    <row r="55" spans="1:54" x14ac:dyDescent="0.35">
      <c r="A55" s="129" t="s">
        <v>234</v>
      </c>
      <c r="B55" s="129" t="str">
        <f>VLOOKUP(A55,'HCW, Staff, Beds Summary'!B:E,4,FALSE)</f>
        <v>Upper middle income</v>
      </c>
      <c r="C55" s="691">
        <v>8.4252202827997795</v>
      </c>
      <c r="D55" s="691">
        <v>17.8379897492845</v>
      </c>
      <c r="E55" s="691">
        <v>20.2048295904656</v>
      </c>
      <c r="F55" s="691">
        <v>28.0874469572123</v>
      </c>
      <c r="G55" s="691">
        <v>19.0928736041975</v>
      </c>
      <c r="H55" s="691">
        <v>19.4333608076535</v>
      </c>
      <c r="I55" s="691">
        <v>18.162129014717902</v>
      </c>
      <c r="J55" s="691">
        <v>17.504995508417501</v>
      </c>
      <c r="K55" s="691">
        <v>16.362890126004999</v>
      </c>
      <c r="L55" s="691">
        <v>14.758606446284199</v>
      </c>
      <c r="M55" s="691">
        <v>12.7296999884106</v>
      </c>
      <c r="N55" s="691">
        <v>8.0580716267184904</v>
      </c>
      <c r="O55" s="691">
        <v>4.3585193012743897</v>
      </c>
      <c r="P55" s="691">
        <v>2.1146337241137201</v>
      </c>
      <c r="Q55" s="691">
        <v>2.2934684623671102</v>
      </c>
      <c r="R55" s="691">
        <v>1.3781876259325501</v>
      </c>
      <c r="S55" s="691"/>
      <c r="T55" s="691">
        <v>6.9186635167060417E-2</v>
      </c>
      <c r="U55" s="691">
        <v>7.2224097198785017E-2</v>
      </c>
      <c r="V55" s="691">
        <v>6.7161660479244004E-2</v>
      </c>
      <c r="W55" s="691">
        <v>5.7374282821464728E-2</v>
      </c>
      <c r="X55" s="691">
        <v>5.9736753290583866E-2</v>
      </c>
      <c r="Y55" s="691">
        <v>7.8299021262234217E-2</v>
      </c>
      <c r="Z55" s="691">
        <v>9.0111373607829906E-2</v>
      </c>
      <c r="AA55" s="691">
        <v>7.9649004387445155E-2</v>
      </c>
      <c r="AB55" s="691">
        <v>6.4461694228822142E-2</v>
      </c>
      <c r="AC55" s="691">
        <v>5.4674316571042859E-2</v>
      </c>
      <c r="AD55" s="691">
        <v>5.5011812352345597E-2</v>
      </c>
      <c r="AE55" s="691">
        <v>6.7161660479244004E-2</v>
      </c>
      <c r="AF55" s="691">
        <v>6.6486668916638542E-2</v>
      </c>
      <c r="AG55" s="691">
        <v>4.4549443131960853E-2</v>
      </c>
      <c r="AH55" s="691">
        <v>2.8687141410732364E-2</v>
      </c>
      <c r="AI55" s="691">
        <v>1.4174822814714817E-2</v>
      </c>
      <c r="AJ55" s="691"/>
      <c r="AK55" s="691">
        <f t="shared" si="17"/>
        <v>7.6109535664438246</v>
      </c>
      <c r="AL55" s="691">
        <f t="shared" si="18"/>
        <v>15.436321152783286</v>
      </c>
      <c r="AM55" s="691">
        <f t="shared" si="19"/>
        <v>18.802421506454014</v>
      </c>
      <c r="AN55" s="691">
        <f t="shared" si="20"/>
        <v>30.596729902286782</v>
      </c>
      <c r="AO55" s="691">
        <f t="shared" si="21"/>
        <v>19.976053845069632</v>
      </c>
      <c r="AP55" s="691">
        <f t="shared" si="22"/>
        <v>15.512135795548849</v>
      </c>
      <c r="AQ55" s="691">
        <f t="shared" si="23"/>
        <v>12.597000999674425</v>
      </c>
      <c r="AR55" s="691">
        <f t="shared" si="24"/>
        <v>13.736043880148586</v>
      </c>
      <c r="AS55" s="691">
        <f t="shared" si="25"/>
        <v>15.864935681725395</v>
      </c>
      <c r="AT55" s="691">
        <f t="shared" si="26"/>
        <v>16.871045872044785</v>
      </c>
      <c r="AU55" s="691">
        <f t="shared" si="27"/>
        <v>14.462462065053913</v>
      </c>
      <c r="AV55" s="691">
        <f t="shared" si="28"/>
        <v>7.4987645194619628</v>
      </c>
      <c r="AW55" s="691">
        <f t="shared" si="29"/>
        <v>4.0971740766738636</v>
      </c>
      <c r="AX55" s="691">
        <f t="shared" si="30"/>
        <v>2.9666949453356781</v>
      </c>
      <c r="AY55" s="691">
        <f t="shared" si="31"/>
        <v>4.9967257749954026</v>
      </c>
      <c r="AZ55" s="691">
        <f t="shared" si="32"/>
        <v>6.0767409756520028</v>
      </c>
      <c r="BA55" s="691"/>
      <c r="BB55" s="691">
        <f t="shared" si="33"/>
        <v>12.943887784959527</v>
      </c>
    </row>
    <row r="56" spans="1:54" x14ac:dyDescent="0.35">
      <c r="A56" s="129" t="s">
        <v>212</v>
      </c>
      <c r="B56" s="129" t="str">
        <f>VLOOKUP(A56,'HCW, Staff, Beds Summary'!B:E,4,FALSE)</f>
        <v>Lower middle income</v>
      </c>
      <c r="C56" s="691">
        <v>21.117687142856798</v>
      </c>
      <c r="D56" s="691">
        <v>35.725721935914898</v>
      </c>
      <c r="E56" s="691">
        <v>43.589615301962397</v>
      </c>
      <c r="F56" s="691">
        <v>32.315102005232802</v>
      </c>
      <c r="G56" s="691">
        <v>18.0095383289589</v>
      </c>
      <c r="H56" s="691">
        <v>16.836953735415001</v>
      </c>
      <c r="I56" s="691">
        <v>15.0675203755961</v>
      </c>
      <c r="J56" s="691">
        <v>14.481176175265199</v>
      </c>
      <c r="K56" s="691">
        <v>12.2988449777858</v>
      </c>
      <c r="L56" s="691">
        <v>9.4219135475397309</v>
      </c>
      <c r="M56" s="691">
        <v>7.1103384549199697</v>
      </c>
      <c r="N56" s="691">
        <v>4.3143414549649703</v>
      </c>
      <c r="O56" s="691">
        <v>2.1283114325527599</v>
      </c>
      <c r="P56" s="691">
        <v>1.1616852619548499</v>
      </c>
      <c r="Q56" s="691">
        <v>0.66670609523801505</v>
      </c>
      <c r="R56" s="691">
        <v>0.38679902239340302</v>
      </c>
      <c r="S56" s="691"/>
      <c r="T56" s="691">
        <v>0.1561753463927377</v>
      </c>
      <c r="U56" s="691">
        <v>0.14435021500238893</v>
      </c>
      <c r="V56" s="691">
        <v>0.12535833731485904</v>
      </c>
      <c r="W56" s="691">
        <v>0.10541089345437171</v>
      </c>
      <c r="X56" s="691">
        <v>9.0719063545150497E-2</v>
      </c>
      <c r="Y56" s="691">
        <v>7.793836598184424E-2</v>
      </c>
      <c r="Z56" s="691">
        <v>6.6292403248924991E-2</v>
      </c>
      <c r="AA56" s="691">
        <v>5.6139512661251792E-2</v>
      </c>
      <c r="AB56" s="691">
        <v>4.4314381270903008E-2</v>
      </c>
      <c r="AC56" s="691">
        <v>3.5236502627806976E-2</v>
      </c>
      <c r="AD56" s="691">
        <v>2.7890587673196368E-2</v>
      </c>
      <c r="AE56" s="691">
        <v>2.197802197802198E-2</v>
      </c>
      <c r="AF56" s="691">
        <v>1.7080745341614908E-2</v>
      </c>
      <c r="AG56" s="691">
        <v>1.307931199235547E-2</v>
      </c>
      <c r="AH56" s="691">
        <v>8.659818442427138E-3</v>
      </c>
      <c r="AI56" s="691">
        <v>5.613951266125179E-3</v>
      </c>
      <c r="AJ56" s="691"/>
      <c r="AK56" s="691">
        <f t="shared" si="17"/>
        <v>8.4511126558316025</v>
      </c>
      <c r="AL56" s="691">
        <f t="shared" si="18"/>
        <v>15.468335956117061</v>
      </c>
      <c r="AM56" s="691">
        <f t="shared" si="19"/>
        <v>21.732507105051763</v>
      </c>
      <c r="AN56" s="691">
        <f t="shared" si="20"/>
        <v>19.160200707351915</v>
      </c>
      <c r="AO56" s="691">
        <f t="shared" si="21"/>
        <v>12.407492996218229</v>
      </c>
      <c r="AP56" s="691">
        <f t="shared" si="22"/>
        <v>13.501817688974558</v>
      </c>
      <c r="AQ56" s="691">
        <f t="shared" si="23"/>
        <v>14.205549615370556</v>
      </c>
      <c r="AR56" s="691">
        <f t="shared" si="24"/>
        <v>16.121862624909607</v>
      </c>
      <c r="AS56" s="691">
        <f t="shared" si="25"/>
        <v>17.346012492254502</v>
      </c>
      <c r="AT56" s="691">
        <f t="shared" si="26"/>
        <v>16.711919538136151</v>
      </c>
      <c r="AU56" s="691">
        <f t="shared" si="27"/>
        <v>15.933552875960917</v>
      </c>
      <c r="AV56" s="691">
        <f t="shared" si="28"/>
        <v>12.268908512556633</v>
      </c>
      <c r="AW56" s="691">
        <f t="shared" si="29"/>
        <v>7.7876850145680532</v>
      </c>
      <c r="AX56" s="691">
        <f t="shared" si="30"/>
        <v>5.5511581124920113</v>
      </c>
      <c r="AY56" s="691">
        <f t="shared" si="31"/>
        <v>4.8117788183902261</v>
      </c>
      <c r="AZ56" s="691">
        <f t="shared" si="32"/>
        <v>4.3062252865393225</v>
      </c>
      <c r="BA56" s="691"/>
      <c r="BB56" s="691">
        <f t="shared" si="33"/>
        <v>12.860382500045194</v>
      </c>
    </row>
    <row r="57" spans="1:54" x14ac:dyDescent="0.35">
      <c r="A57" s="129" t="s">
        <v>201</v>
      </c>
      <c r="B57" s="129" t="str">
        <f>VLOOKUP(A57,'HCW, Staff, Beds Summary'!B:E,4,FALSE)</f>
        <v>Low income</v>
      </c>
      <c r="C57" s="691">
        <v>18.549605594809201</v>
      </c>
      <c r="D57" s="691">
        <v>36.924590251338302</v>
      </c>
      <c r="E57" s="691">
        <v>35.6603234535349</v>
      </c>
      <c r="F57" s="691">
        <v>31.149811957828501</v>
      </c>
      <c r="G57" s="691">
        <v>18.397647945902801</v>
      </c>
      <c r="H57" s="691">
        <v>17.9400710898109</v>
      </c>
      <c r="I57" s="691">
        <v>15.8861784403052</v>
      </c>
      <c r="J57" s="691">
        <v>16.072153213724199</v>
      </c>
      <c r="K57" s="691">
        <v>13.8338202779927</v>
      </c>
      <c r="L57" s="691">
        <v>10.4979952303375</v>
      </c>
      <c r="M57" s="691">
        <v>7.9369395614081704</v>
      </c>
      <c r="N57" s="691">
        <v>4.8806014553536201</v>
      </c>
      <c r="O57" s="691">
        <v>2.7208086355370198</v>
      </c>
      <c r="P57" s="691">
        <v>1.20267850462267</v>
      </c>
      <c r="Q57" s="691">
        <v>0.57131202842629603</v>
      </c>
      <c r="R57" s="691">
        <v>0.395695262366626</v>
      </c>
      <c r="S57" s="691"/>
      <c r="T57" s="691">
        <v>0.1465005931198102</v>
      </c>
      <c r="U57" s="691">
        <v>0.13404507710557534</v>
      </c>
      <c r="V57" s="691">
        <v>0.12317121391854488</v>
      </c>
      <c r="W57" s="691">
        <v>0.10913404507710557</v>
      </c>
      <c r="X57" s="691">
        <v>9.1538157374456308E-2</v>
      </c>
      <c r="Y57" s="691">
        <v>7.4733096085409248E-2</v>
      </c>
      <c r="Z57" s="691">
        <v>6.6034005535784895E-2</v>
      </c>
      <c r="AA57" s="691">
        <v>5.852115460656386E-2</v>
      </c>
      <c r="AB57" s="691">
        <v>4.8438117833135626E-2</v>
      </c>
      <c r="AC57" s="691">
        <v>3.9343614076710165E-2</v>
      </c>
      <c r="AD57" s="691">
        <v>3.1237643337287464E-2</v>
      </c>
      <c r="AE57" s="691">
        <v>2.491103202846975E-2</v>
      </c>
      <c r="AF57" s="691">
        <v>1.937524713325425E-2</v>
      </c>
      <c r="AG57" s="691">
        <v>1.4037168841439305E-2</v>
      </c>
      <c r="AH57" s="691">
        <v>8.8967971530249119E-3</v>
      </c>
      <c r="AI57" s="691">
        <v>6.3266113088177147E-3</v>
      </c>
      <c r="AJ57" s="691"/>
      <c r="AK57" s="691">
        <f t="shared" si="17"/>
        <v>7.91362222491101</v>
      </c>
      <c r="AL57" s="691">
        <f t="shared" si="18"/>
        <v>17.216498662543245</v>
      </c>
      <c r="AM57" s="691">
        <f t="shared" si="19"/>
        <v>18.094895267654447</v>
      </c>
      <c r="AN57" s="691">
        <f t="shared" si="20"/>
        <v>17.839192581827056</v>
      </c>
      <c r="AO57" s="691">
        <f t="shared" si="21"/>
        <v>12.561461030018407</v>
      </c>
      <c r="AP57" s="691">
        <f t="shared" si="22"/>
        <v>15.003452310228759</v>
      </c>
      <c r="AQ57" s="691">
        <f t="shared" si="23"/>
        <v>15.035982513297848</v>
      </c>
      <c r="AR57" s="691">
        <f t="shared" si="24"/>
        <v>17.164896738812711</v>
      </c>
      <c r="AS57" s="691">
        <f t="shared" si="25"/>
        <v>17.849863001552826</v>
      </c>
      <c r="AT57" s="691">
        <f t="shared" si="26"/>
        <v>16.676777598946945</v>
      </c>
      <c r="AU57" s="691">
        <f t="shared" si="27"/>
        <v>15.880158347152898</v>
      </c>
      <c r="AV57" s="691">
        <f t="shared" si="28"/>
        <v>12.245080437092565</v>
      </c>
      <c r="AW57" s="691">
        <f t="shared" si="29"/>
        <v>8.7766901011136778</v>
      </c>
      <c r="AX57" s="691">
        <f t="shared" si="30"/>
        <v>5.3548836939977686</v>
      </c>
      <c r="AY57" s="691">
        <f t="shared" si="31"/>
        <v>4.013466999694729</v>
      </c>
      <c r="AZ57" s="691">
        <f t="shared" si="32"/>
        <v>3.9090364004890512</v>
      </c>
      <c r="BA57" s="691"/>
      <c r="BB57" s="691">
        <f t="shared" si="33"/>
        <v>12.845997369333373</v>
      </c>
    </row>
    <row r="58" spans="1:54" x14ac:dyDescent="0.35">
      <c r="A58" s="129" t="s">
        <v>554</v>
      </c>
      <c r="B58" s="129" t="str">
        <f>VLOOKUP(A58,'HCW, Staff, Beds Summary'!B:E,4,FALSE)</f>
        <v>High income</v>
      </c>
      <c r="C58" s="691">
        <v>11.195001906218</v>
      </c>
      <c r="D58" s="691">
        <v>16.456209310131701</v>
      </c>
      <c r="E58" s="691">
        <v>16.927970790179899</v>
      </c>
      <c r="F58" s="691">
        <v>17.735322361141499</v>
      </c>
      <c r="G58" s="691">
        <v>22.030781405656999</v>
      </c>
      <c r="H58" s="691">
        <v>31.067652754033201</v>
      </c>
      <c r="I58" s="691">
        <v>29.682685917754402</v>
      </c>
      <c r="J58" s="691">
        <v>24.184241400644499</v>
      </c>
      <c r="K58" s="691">
        <v>17.5149571932124</v>
      </c>
      <c r="L58" s="691">
        <v>12.303542356123</v>
      </c>
      <c r="M58" s="691">
        <v>8.5292570211787009</v>
      </c>
      <c r="N58" s="691">
        <v>4.08502934506767</v>
      </c>
      <c r="O58" s="691">
        <v>1.6068573143390601</v>
      </c>
      <c r="P58" s="691">
        <v>0.53793702711769797</v>
      </c>
      <c r="Q58" s="691">
        <v>0.27497892498722498</v>
      </c>
      <c r="R58" s="691">
        <v>0.27968512371727899</v>
      </c>
      <c r="S58" s="691"/>
      <c r="T58" s="691">
        <v>5.0455005055611728E-2</v>
      </c>
      <c r="U58" s="691">
        <v>5.1870576339737108E-2</v>
      </c>
      <c r="V58" s="691">
        <v>4.5803842264914053E-2</v>
      </c>
      <c r="W58" s="691">
        <v>3.9433771486349849E-2</v>
      </c>
      <c r="X58" s="691">
        <v>7.2396359959555109E-2</v>
      </c>
      <c r="Y58" s="691">
        <v>0.14489383215369059</v>
      </c>
      <c r="Z58" s="691">
        <v>0.18159757330637008</v>
      </c>
      <c r="AA58" s="691">
        <v>0.13892821031344793</v>
      </c>
      <c r="AB58" s="691">
        <v>9.2618806875631954E-2</v>
      </c>
      <c r="AC58" s="691">
        <v>6.9969666329625882E-2</v>
      </c>
      <c r="AD58" s="691">
        <v>4.6208291203235594E-2</v>
      </c>
      <c r="AE58" s="691">
        <v>3.4479271991911024E-2</v>
      </c>
      <c r="AF58" s="691">
        <v>1.8806875631951468E-2</v>
      </c>
      <c r="AG58" s="691">
        <v>5.7633973710819013E-3</v>
      </c>
      <c r="AH58" s="691">
        <v>3.640040444893832E-3</v>
      </c>
      <c r="AI58" s="691">
        <v>2.0222446916076846E-3</v>
      </c>
      <c r="AJ58" s="691"/>
      <c r="AK58" s="691">
        <f t="shared" si="17"/>
        <v>13.867556219000003</v>
      </c>
      <c r="AL58" s="691">
        <f t="shared" si="18"/>
        <v>19.828449083479839</v>
      </c>
      <c r="AM58" s="691">
        <f t="shared" si="19"/>
        <v>23.098459039028587</v>
      </c>
      <c r="AN58" s="691">
        <f t="shared" si="20"/>
        <v>28.10934906277074</v>
      </c>
      <c r="AO58" s="691">
        <f t="shared" si="21"/>
        <v>19.019241279848789</v>
      </c>
      <c r="AP58" s="691">
        <f t="shared" si="22"/>
        <v>13.401041771519033</v>
      </c>
      <c r="AQ58" s="691">
        <f t="shared" si="23"/>
        <v>10.215818615207093</v>
      </c>
      <c r="AR58" s="691">
        <f t="shared" si="24"/>
        <v>10.879828395759375</v>
      </c>
      <c r="AS58" s="691">
        <f t="shared" si="25"/>
        <v>11.819249907264645</v>
      </c>
      <c r="AT58" s="691">
        <f t="shared" si="26"/>
        <v>10.990068090864927</v>
      </c>
      <c r="AU58" s="691">
        <f t="shared" si="27"/>
        <v>11.536426687562548</v>
      </c>
      <c r="AV58" s="691">
        <f t="shared" si="28"/>
        <v>7.4048644103224435</v>
      </c>
      <c r="AW58" s="691">
        <f t="shared" si="29"/>
        <v>5.339992889386191</v>
      </c>
      <c r="AX58" s="691">
        <f t="shared" si="30"/>
        <v>5.8335495594232816</v>
      </c>
      <c r="AY58" s="691">
        <f t="shared" si="31"/>
        <v>4.7214263335480124</v>
      </c>
      <c r="AZ58" s="691">
        <f t="shared" si="32"/>
        <v>8.6440183548871534</v>
      </c>
      <c r="BA58" s="691"/>
      <c r="BB58" s="691">
        <f t="shared" si="33"/>
        <v>12.794333731242039</v>
      </c>
    </row>
    <row r="59" spans="1:54" x14ac:dyDescent="0.35">
      <c r="A59" s="129" t="s">
        <v>529</v>
      </c>
      <c r="B59" s="129" t="str">
        <f>VLOOKUP(A59,'HCW, Staff, Beds Summary'!B:E,4,FALSE)</f>
        <v>High income</v>
      </c>
      <c r="C59" s="691">
        <v>9.6917826867591099</v>
      </c>
      <c r="D59" s="691">
        <v>13.575947668548899</v>
      </c>
      <c r="E59" s="691">
        <v>14.3308178458791</v>
      </c>
      <c r="F59" s="691">
        <v>15.8373101640197</v>
      </c>
      <c r="G59" s="691">
        <v>12.964780874093099</v>
      </c>
      <c r="H59" s="691">
        <v>16.4586321596651</v>
      </c>
      <c r="I59" s="691">
        <v>19.510481236152199</v>
      </c>
      <c r="J59" s="691">
        <v>20.4065809681546</v>
      </c>
      <c r="K59" s="691">
        <v>19.300376374099301</v>
      </c>
      <c r="L59" s="691">
        <v>15.2259401809763</v>
      </c>
      <c r="M59" s="691">
        <v>11.885104546366</v>
      </c>
      <c r="N59" s="691">
        <v>7.3072705263042401</v>
      </c>
      <c r="O59" s="691">
        <v>4.8555108368859896</v>
      </c>
      <c r="P59" s="691">
        <v>4.1628735694752397</v>
      </c>
      <c r="Q59" s="691">
        <v>2.7302201750874699</v>
      </c>
      <c r="R59" s="691">
        <v>2.1020914401241</v>
      </c>
      <c r="S59" s="691"/>
      <c r="T59" s="691">
        <v>4.2580976643617138E-2</v>
      </c>
      <c r="U59" s="691">
        <v>4.8018667979704992E-2</v>
      </c>
      <c r="V59" s="691">
        <v>5.3413542848579562E-2</v>
      </c>
      <c r="W59" s="691">
        <v>4.786881034445848E-2</v>
      </c>
      <c r="X59" s="691">
        <v>4.825415854937809E-2</v>
      </c>
      <c r="Y59" s="691">
        <v>5.0502023078075831E-2</v>
      </c>
      <c r="Z59" s="691">
        <v>5.6025347348590271E-2</v>
      </c>
      <c r="AA59" s="691">
        <v>7.0219006229795974E-2</v>
      </c>
      <c r="AB59" s="691">
        <v>8.5590117959367176E-2</v>
      </c>
      <c r="AC59" s="691">
        <v>8.4219991008541883E-2</v>
      </c>
      <c r="AD59" s="691">
        <v>7.7690479758515119E-2</v>
      </c>
      <c r="AE59" s="691">
        <v>7.3023484832266491E-2</v>
      </c>
      <c r="AF59" s="691">
        <v>6.2875982102716707E-2</v>
      </c>
      <c r="AG59" s="691">
        <v>5.135835242234163E-2</v>
      </c>
      <c r="AH59" s="691">
        <v>4.7140930401832544E-2</v>
      </c>
      <c r="AI59" s="691">
        <v>3.8727494594421014E-2</v>
      </c>
      <c r="AJ59" s="691"/>
      <c r="AK59" s="691">
        <f t="shared" si="17"/>
        <v>14.225517253682904</v>
      </c>
      <c r="AL59" s="691">
        <f t="shared" si="18"/>
        <v>17.670142987783873</v>
      </c>
      <c r="AM59" s="691">
        <f t="shared" si="19"/>
        <v>16.768708226424316</v>
      </c>
      <c r="AN59" s="691">
        <f t="shared" si="20"/>
        <v>20.678013055442872</v>
      </c>
      <c r="AO59" s="691">
        <f t="shared" si="21"/>
        <v>16.792310320811968</v>
      </c>
      <c r="AP59" s="691">
        <f t="shared" si="22"/>
        <v>20.368778264362984</v>
      </c>
      <c r="AQ59" s="691">
        <f t="shared" si="23"/>
        <v>21.765239038543783</v>
      </c>
      <c r="AR59" s="691">
        <f t="shared" si="24"/>
        <v>18.163334672322211</v>
      </c>
      <c r="AS59" s="691">
        <f t="shared" si="25"/>
        <v>14.093607441385574</v>
      </c>
      <c r="AT59" s="691">
        <f t="shared" si="26"/>
        <v>11.29923252086909</v>
      </c>
      <c r="AU59" s="691">
        <f t="shared" si="27"/>
        <v>9.5612620292315764</v>
      </c>
      <c r="AV59" s="691">
        <f t="shared" si="28"/>
        <v>6.2542127227022384</v>
      </c>
      <c r="AW59" s="691">
        <f t="shared" si="29"/>
        <v>4.8264761385295678</v>
      </c>
      <c r="AX59" s="691">
        <f t="shared" si="30"/>
        <v>5.0659646546414629</v>
      </c>
      <c r="AY59" s="691">
        <f t="shared" si="31"/>
        <v>3.6197580210748983</v>
      </c>
      <c r="AZ59" s="691">
        <f t="shared" si="32"/>
        <v>3.3924403420272538</v>
      </c>
      <c r="BA59" s="691"/>
      <c r="BB59" s="691">
        <f t="shared" si="33"/>
        <v>12.784062355614786</v>
      </c>
    </row>
    <row r="60" spans="1:54" x14ac:dyDescent="0.35">
      <c r="A60" s="129" t="s">
        <v>342</v>
      </c>
      <c r="B60" s="129" t="str">
        <f>VLOOKUP(A60,'HCW, Staff, Beds Summary'!B:E,4,FALSE)</f>
        <v>High income</v>
      </c>
      <c r="C60" s="691">
        <v>8.7420896435365893</v>
      </c>
      <c r="D60" s="691">
        <v>13.287164514153099</v>
      </c>
      <c r="E60" s="691">
        <v>17.282081731730901</v>
      </c>
      <c r="F60" s="691">
        <v>22.9570884189163</v>
      </c>
      <c r="G60" s="691">
        <v>15.4743363225582</v>
      </c>
      <c r="H60" s="691">
        <v>17.227675939916502</v>
      </c>
      <c r="I60" s="691">
        <v>18.199809007417102</v>
      </c>
      <c r="J60" s="691">
        <v>18.454431396172598</v>
      </c>
      <c r="K60" s="691">
        <v>18.0519418019616</v>
      </c>
      <c r="L60" s="691">
        <v>15.6200378201228</v>
      </c>
      <c r="M60" s="691">
        <v>12.587361967195999</v>
      </c>
      <c r="N60" s="691">
        <v>8.36404525461543</v>
      </c>
      <c r="O60" s="691">
        <v>5.1603445250488402</v>
      </c>
      <c r="P60" s="691">
        <v>3.9735680847482699</v>
      </c>
      <c r="Q60" s="691">
        <v>2.4251651725337502</v>
      </c>
      <c r="R60" s="691">
        <v>1.47824516157764</v>
      </c>
      <c r="S60" s="691"/>
      <c r="T60" s="691">
        <v>5.2807557584120583E-2</v>
      </c>
      <c r="U60" s="691">
        <v>5.2409510667657359E-2</v>
      </c>
      <c r="V60" s="691">
        <v>5.2542192973145101E-2</v>
      </c>
      <c r="W60" s="691">
        <v>5.2701411739730392E-2</v>
      </c>
      <c r="X60" s="691">
        <v>6.2599511729115806E-2</v>
      </c>
      <c r="Y60" s="691">
        <v>7.2418002335208578E-2</v>
      </c>
      <c r="Z60" s="691">
        <v>6.957860099777094E-2</v>
      </c>
      <c r="AA60" s="691">
        <v>7.0268548986307189E-2</v>
      </c>
      <c r="AB60" s="691">
        <v>6.5253157838870604E-2</v>
      </c>
      <c r="AC60" s="691">
        <v>6.3156777412164314E-2</v>
      </c>
      <c r="AD60" s="691">
        <v>6.421823585606623E-2</v>
      </c>
      <c r="AE60" s="691">
        <v>7.3107950323744827E-2</v>
      </c>
      <c r="AF60" s="691">
        <v>6.7880267487527859E-2</v>
      </c>
      <c r="AG60" s="691">
        <v>5.6973781976435621E-2</v>
      </c>
      <c r="AH60" s="691">
        <v>4.7500265364610973E-2</v>
      </c>
      <c r="AI60" s="691">
        <v>3.2480628383398789E-2</v>
      </c>
      <c r="AJ60" s="691"/>
      <c r="AK60" s="691">
        <f t="shared" si="17"/>
        <v>10.3466364989646</v>
      </c>
      <c r="AL60" s="691">
        <f t="shared" si="18"/>
        <v>15.84536416301726</v>
      </c>
      <c r="AM60" s="691">
        <f t="shared" si="19"/>
        <v>20.557385352858184</v>
      </c>
      <c r="AN60" s="691">
        <f t="shared" si="20"/>
        <v>27.225419183611589</v>
      </c>
      <c r="AO60" s="691">
        <f t="shared" si="21"/>
        <v>15.449737441163713</v>
      </c>
      <c r="AP60" s="691">
        <f t="shared" si="22"/>
        <v>14.868260812564433</v>
      </c>
      <c r="AQ60" s="691">
        <f t="shared" si="23"/>
        <v>16.348245676857029</v>
      </c>
      <c r="AR60" s="691">
        <f t="shared" si="24"/>
        <v>16.414199224258123</v>
      </c>
      <c r="AS60" s="691">
        <f t="shared" si="25"/>
        <v>17.290295213123247</v>
      </c>
      <c r="AT60" s="691">
        <f t="shared" si="26"/>
        <v>15.457602552875725</v>
      </c>
      <c r="AU60" s="691">
        <f t="shared" si="27"/>
        <v>12.250572013734867</v>
      </c>
      <c r="AV60" s="691">
        <f t="shared" si="28"/>
        <v>7.1504238061462759</v>
      </c>
      <c r="AW60" s="691">
        <f t="shared" si="29"/>
        <v>4.7513297273734487</v>
      </c>
      <c r="AX60" s="691">
        <f t="shared" si="30"/>
        <v>4.3589875321860099</v>
      </c>
      <c r="AY60" s="691">
        <f t="shared" si="31"/>
        <v>3.1909889791117965</v>
      </c>
      <c r="AZ60" s="691">
        <f t="shared" si="32"/>
        <v>2.8444746052334451</v>
      </c>
      <c r="BA60" s="691"/>
      <c r="BB60" s="691">
        <f t="shared" si="33"/>
        <v>12.771870173942485</v>
      </c>
    </row>
    <row r="61" spans="1:54" x14ac:dyDescent="0.35">
      <c r="A61" s="129" t="s">
        <v>199</v>
      </c>
      <c r="B61" s="129" t="str">
        <f>VLOOKUP(A61,'HCW, Staff, Beds Summary'!B:E,4,FALSE)</f>
        <v>Lower middle income</v>
      </c>
      <c r="C61" s="691">
        <v>19.390935729044301</v>
      </c>
      <c r="D61" s="691">
        <v>34.1262799005952</v>
      </c>
      <c r="E61" s="691">
        <v>36.9293971294626</v>
      </c>
      <c r="F61" s="691">
        <v>31.857985542278499</v>
      </c>
      <c r="G61" s="691">
        <v>19.106514101112101</v>
      </c>
      <c r="H61" s="691">
        <v>18.683171101220001</v>
      </c>
      <c r="I61" s="691">
        <v>17.200466724462999</v>
      </c>
      <c r="J61" s="691">
        <v>15.9387795828907</v>
      </c>
      <c r="K61" s="691">
        <v>13.6866970979755</v>
      </c>
      <c r="L61" s="691">
        <v>10.6525626655673</v>
      </c>
      <c r="M61" s="691">
        <v>6.8580327453683498</v>
      </c>
      <c r="N61" s="691">
        <v>4.29250018037507</v>
      </c>
      <c r="O61" s="691">
        <v>2.6689118036642099</v>
      </c>
      <c r="P61" s="691">
        <v>0.92985311113996705</v>
      </c>
      <c r="Q61" s="691">
        <v>0.58999228558447903</v>
      </c>
      <c r="R61" s="691">
        <v>0.322928067757353</v>
      </c>
      <c r="S61" s="691"/>
      <c r="T61" s="691">
        <v>0.13099998140261479</v>
      </c>
      <c r="U61" s="691">
        <v>0.12960517751204181</v>
      </c>
      <c r="V61" s="691">
        <v>0.12527198675866172</v>
      </c>
      <c r="W61" s="691">
        <v>0.11178888248312287</v>
      </c>
      <c r="X61" s="691">
        <v>9.7375908947202022E-2</v>
      </c>
      <c r="Y61" s="691">
        <v>8.1047404734894274E-2</v>
      </c>
      <c r="Z61" s="691">
        <v>7.4817280690334942E-2</v>
      </c>
      <c r="AA61" s="691">
        <v>6.4105186810734405E-2</v>
      </c>
      <c r="AB61" s="691">
        <v>5.1310185787878222E-2</v>
      </c>
      <c r="AC61" s="691">
        <v>3.9854196499972107E-2</v>
      </c>
      <c r="AD61" s="691">
        <v>2.9830205873054249E-2</v>
      </c>
      <c r="AE61" s="691">
        <v>2.2354057019583047E-2</v>
      </c>
      <c r="AF61" s="691">
        <v>1.6514478064384146E-2</v>
      </c>
      <c r="AG61" s="691">
        <v>1.1716352680813077E-2</v>
      </c>
      <c r="AH61" s="691">
        <v>7.0856037641107662E-3</v>
      </c>
      <c r="AI61" s="691">
        <v>3.5892953450744826E-3</v>
      </c>
      <c r="AJ61" s="691"/>
      <c r="AK61" s="691">
        <f t="shared" si="17"/>
        <v>9.2514019474591951</v>
      </c>
      <c r="AL61" s="691">
        <f t="shared" si="18"/>
        <v>16.456846360084878</v>
      </c>
      <c r="AM61" s="691">
        <f t="shared" si="19"/>
        <v>18.424608568218655</v>
      </c>
      <c r="AN61" s="691">
        <f t="shared" si="20"/>
        <v>17.811467939962746</v>
      </c>
      <c r="AO61" s="691">
        <f t="shared" si="21"/>
        <v>12.263373397284411</v>
      </c>
      <c r="AP61" s="691">
        <f t="shared" si="22"/>
        <v>14.407595130847016</v>
      </c>
      <c r="AQ61" s="691">
        <f t="shared" si="23"/>
        <v>14.368728191665111</v>
      </c>
      <c r="AR61" s="691">
        <f t="shared" si="24"/>
        <v>15.539674299238756</v>
      </c>
      <c r="AS61" s="691">
        <f t="shared" si="25"/>
        <v>16.671515713465944</v>
      </c>
      <c r="AT61" s="691">
        <f t="shared" si="26"/>
        <v>16.705522255314374</v>
      </c>
      <c r="AU61" s="691">
        <f t="shared" si="27"/>
        <v>14.368893342861655</v>
      </c>
      <c r="AV61" s="691">
        <f t="shared" si="28"/>
        <v>12.001457321076741</v>
      </c>
      <c r="AW61" s="691">
        <f t="shared" si="29"/>
        <v>10.10065150582969</v>
      </c>
      <c r="AX61" s="691">
        <f t="shared" si="30"/>
        <v>4.9602313134034892</v>
      </c>
      <c r="AY61" s="691">
        <f t="shared" si="31"/>
        <v>5.20414619228396</v>
      </c>
      <c r="AZ61" s="691">
        <f t="shared" si="32"/>
        <v>5.6231104700066803</v>
      </c>
      <c r="BA61" s="691"/>
      <c r="BB61" s="691">
        <f t="shared" si="33"/>
        <v>12.759951496812706</v>
      </c>
    </row>
    <row r="62" spans="1:54" x14ac:dyDescent="0.35">
      <c r="A62" s="129" t="s">
        <v>316</v>
      </c>
      <c r="B62" s="129" t="str">
        <f>VLOOKUP(A62,'HCW, Staff, Beds Summary'!B:E,4,FALSE)</f>
        <v>High income</v>
      </c>
      <c r="C62" s="691">
        <v>11.4374155043744</v>
      </c>
      <c r="D62" s="691">
        <v>24.737252862833898</v>
      </c>
      <c r="E62" s="691">
        <v>28.0428892615015</v>
      </c>
      <c r="F62" s="691">
        <v>27.0424840498134</v>
      </c>
      <c r="G62" s="691">
        <v>18.058650456449399</v>
      </c>
      <c r="H62" s="691">
        <v>20.312690385214498</v>
      </c>
      <c r="I62" s="691">
        <v>21.540604184057202</v>
      </c>
      <c r="J62" s="691">
        <v>21.6781442518738</v>
      </c>
      <c r="K62" s="691">
        <v>18.5586966492952</v>
      </c>
      <c r="L62" s="691">
        <v>13.901749030107799</v>
      </c>
      <c r="M62" s="691">
        <v>10.1782451692298</v>
      </c>
      <c r="N62" s="691">
        <v>5.6190327557998803</v>
      </c>
      <c r="O62" s="691">
        <v>3.0861295027623701</v>
      </c>
      <c r="P62" s="691">
        <v>1.7498224227152399</v>
      </c>
      <c r="Q62" s="691">
        <v>1.07184890882448</v>
      </c>
      <c r="R62" s="691">
        <v>0.68783572916928803</v>
      </c>
      <c r="S62" s="691"/>
      <c r="T62" s="691">
        <v>7.4489795918367352E-2</v>
      </c>
      <c r="U62" s="691">
        <v>7.4489795918367352E-2</v>
      </c>
      <c r="V62" s="691">
        <v>6.9387755102040816E-2</v>
      </c>
      <c r="W62" s="691">
        <v>7.2448979591836729E-2</v>
      </c>
      <c r="X62" s="691">
        <v>7.7551020408163265E-2</v>
      </c>
      <c r="Y62" s="691">
        <v>7.4489795918367352E-2</v>
      </c>
      <c r="Z62" s="691">
        <v>7.2448979591836729E-2</v>
      </c>
      <c r="AA62" s="691">
        <v>7.1428571428571425E-2</v>
      </c>
      <c r="AB62" s="691">
        <v>7.040816326530612E-2</v>
      </c>
      <c r="AC62" s="691">
        <v>7.1428571428571425E-2</v>
      </c>
      <c r="AD62" s="691">
        <v>6.9387755102040816E-2</v>
      </c>
      <c r="AE62" s="691">
        <v>6.1224489795918366E-2</v>
      </c>
      <c r="AF62" s="691">
        <v>4.7959183673469387E-2</v>
      </c>
      <c r="AG62" s="691">
        <v>3.4693877551020408E-2</v>
      </c>
      <c r="AH62" s="691">
        <v>2.5510204081632654E-2</v>
      </c>
      <c r="AI62" s="691">
        <v>1.6326530612244899E-2</v>
      </c>
      <c r="AJ62" s="691"/>
      <c r="AK62" s="691">
        <f t="shared" si="17"/>
        <v>9.5964616389442732</v>
      </c>
      <c r="AL62" s="691">
        <f t="shared" si="18"/>
        <v>20.755571751350359</v>
      </c>
      <c r="AM62" s="691">
        <f t="shared" si="19"/>
        <v>25.259220106867161</v>
      </c>
      <c r="AN62" s="691">
        <f t="shared" si="20"/>
        <v>23.328903493677053</v>
      </c>
      <c r="AO62" s="691">
        <f t="shared" si="21"/>
        <v>14.553846584967443</v>
      </c>
      <c r="AP62" s="691">
        <f t="shared" si="22"/>
        <v>17.043182001292987</v>
      </c>
      <c r="AQ62" s="691">
        <f t="shared" si="23"/>
        <v>18.582563468640899</v>
      </c>
      <c r="AR62" s="691">
        <f t="shared" si="24"/>
        <v>18.968376220389576</v>
      </c>
      <c r="AS62" s="691">
        <f t="shared" si="25"/>
        <v>16.474205358975812</v>
      </c>
      <c r="AT62" s="691">
        <f t="shared" si="26"/>
        <v>12.164030401344325</v>
      </c>
      <c r="AU62" s="691">
        <f t="shared" si="27"/>
        <v>9.1679046561077246</v>
      </c>
      <c r="AV62" s="691">
        <f t="shared" si="28"/>
        <v>5.7360959382123777</v>
      </c>
      <c r="AW62" s="691">
        <f t="shared" si="29"/>
        <v>4.021817703067982</v>
      </c>
      <c r="AX62" s="691">
        <f t="shared" si="30"/>
        <v>3.1522536291561307</v>
      </c>
      <c r="AY62" s="691">
        <f t="shared" si="31"/>
        <v>2.626029826619976</v>
      </c>
      <c r="AZ62" s="691">
        <f t="shared" si="32"/>
        <v>2.6331211507261805</v>
      </c>
      <c r="BA62" s="691"/>
      <c r="BB62" s="691">
        <f t="shared" si="33"/>
        <v>12.753973995646268</v>
      </c>
    </row>
    <row r="63" spans="1:54" x14ac:dyDescent="0.35">
      <c r="A63" s="129" t="s">
        <v>351</v>
      </c>
      <c r="B63" s="129" t="str">
        <f>VLOOKUP(A63,'HCW, Staff, Beds Summary'!B:E,4,FALSE)</f>
        <v>Upper middle income</v>
      </c>
      <c r="C63" s="691">
        <v>7.8106602075983904</v>
      </c>
      <c r="D63" s="691">
        <v>17.358468749937</v>
      </c>
      <c r="E63" s="691">
        <v>20.161391865306999</v>
      </c>
      <c r="F63" s="691">
        <v>26.151847421589402</v>
      </c>
      <c r="G63" s="691">
        <v>18.979558862839401</v>
      </c>
      <c r="H63" s="691">
        <v>18.507990075711099</v>
      </c>
      <c r="I63" s="691">
        <v>18.074858445870699</v>
      </c>
      <c r="J63" s="691">
        <v>19.923117754400899</v>
      </c>
      <c r="K63" s="691">
        <v>19.7637719865888</v>
      </c>
      <c r="L63" s="691">
        <v>15.7738553353496</v>
      </c>
      <c r="M63" s="691">
        <v>10.8194367195255</v>
      </c>
      <c r="N63" s="691">
        <v>7.8366909177386104</v>
      </c>
      <c r="O63" s="691">
        <v>4.26032680197559</v>
      </c>
      <c r="P63" s="691">
        <v>2.66660890653724</v>
      </c>
      <c r="Q63" s="691">
        <v>1.66020245913773</v>
      </c>
      <c r="R63" s="691">
        <v>1.0436139458476099</v>
      </c>
      <c r="S63" s="691"/>
      <c r="T63" s="691">
        <v>5.8313275709140786E-2</v>
      </c>
      <c r="U63" s="691">
        <v>6.0261356849217809E-2</v>
      </c>
      <c r="V63" s="691">
        <v>5.8543049382072943E-2</v>
      </c>
      <c r="W63" s="691">
        <v>5.7208649480261942E-2</v>
      </c>
      <c r="X63" s="691">
        <v>6.0554639394482149E-2</v>
      </c>
      <c r="Y63" s="691">
        <v>6.8080083974428052E-2</v>
      </c>
      <c r="Z63" s="691">
        <v>8.9444040477272738E-2</v>
      </c>
      <c r="AA63" s="691">
        <v>6.9540788038068221E-2</v>
      </c>
      <c r="AB63" s="691">
        <v>6.6888400639655649E-2</v>
      </c>
      <c r="AC63" s="691">
        <v>8.3260131627489783E-2</v>
      </c>
      <c r="AD63" s="691">
        <v>8.5766234544687764E-2</v>
      </c>
      <c r="AE63" s="691">
        <v>6.860171302695417E-2</v>
      </c>
      <c r="AF63" s="691">
        <v>5.3854096572019415E-2</v>
      </c>
      <c r="AG63" s="691">
        <v>5.151711278676218E-2</v>
      </c>
      <c r="AH63" s="691">
        <v>3.1229239199388602E-2</v>
      </c>
      <c r="AI63" s="691">
        <v>1.8441834792729161E-2</v>
      </c>
      <c r="AJ63" s="691"/>
      <c r="AK63" s="691">
        <f t="shared" si="17"/>
        <v>8.3714429868390638</v>
      </c>
      <c r="AL63" s="691">
        <f t="shared" si="18"/>
        <v>18.003316778705166</v>
      </c>
      <c r="AM63" s="691">
        <f t="shared" si="19"/>
        <v>21.524109264584215</v>
      </c>
      <c r="AN63" s="691">
        <f t="shared" si="20"/>
        <v>28.570687801558179</v>
      </c>
      <c r="AO63" s="691">
        <f t="shared" si="21"/>
        <v>19.589290610746389</v>
      </c>
      <c r="AP63" s="691">
        <f t="shared" si="22"/>
        <v>16.991009884277418</v>
      </c>
      <c r="AQ63" s="691">
        <f t="shared" si="23"/>
        <v>12.630004713997286</v>
      </c>
      <c r="AR63" s="691">
        <f t="shared" si="24"/>
        <v>17.905964179876822</v>
      </c>
      <c r="AS63" s="691">
        <f t="shared" si="25"/>
        <v>18.467114437618569</v>
      </c>
      <c r="AT63" s="691">
        <f t="shared" si="26"/>
        <v>11.840792696199019</v>
      </c>
      <c r="AU63" s="691">
        <f t="shared" si="27"/>
        <v>7.8843941157053807</v>
      </c>
      <c r="AV63" s="691">
        <f t="shared" si="28"/>
        <v>7.1396640221829362</v>
      </c>
      <c r="AW63" s="691">
        <f t="shared" si="29"/>
        <v>4.9442928592700337</v>
      </c>
      <c r="AX63" s="691">
        <f t="shared" si="30"/>
        <v>3.2351008750902515</v>
      </c>
      <c r="AY63" s="691">
        <f t="shared" si="31"/>
        <v>3.3226122811899805</v>
      </c>
      <c r="AZ63" s="691">
        <f t="shared" si="32"/>
        <v>3.5368428547679778</v>
      </c>
      <c r="BA63" s="691"/>
      <c r="BB63" s="691">
        <f t="shared" si="33"/>
        <v>12.747290022663041</v>
      </c>
    </row>
    <row r="64" spans="1:54" x14ac:dyDescent="0.35">
      <c r="A64" s="129" t="s">
        <v>358</v>
      </c>
      <c r="B64" s="129" t="str">
        <f>VLOOKUP(A64,'HCW, Staff, Beds Summary'!B:E,4,FALSE)</f>
        <v>High income</v>
      </c>
      <c r="C64" s="691">
        <v>7.7904433735082197</v>
      </c>
      <c r="D64" s="691">
        <v>12.3897302380617</v>
      </c>
      <c r="E64" s="691">
        <v>18.434686101868099</v>
      </c>
      <c r="F64" s="691">
        <v>20.482272528954201</v>
      </c>
      <c r="G64" s="691">
        <v>13.5780340730332</v>
      </c>
      <c r="H64" s="691">
        <v>16.796089641719998</v>
      </c>
      <c r="I64" s="691">
        <v>17.427520830370099</v>
      </c>
      <c r="J64" s="691">
        <v>17.646039378350501</v>
      </c>
      <c r="K64" s="691">
        <v>16.7468092884973</v>
      </c>
      <c r="L64" s="691">
        <v>13.554322632155801</v>
      </c>
      <c r="M64" s="691">
        <v>10.8908100031977</v>
      </c>
      <c r="N64" s="691">
        <v>7.59990841874564</v>
      </c>
      <c r="O64" s="691">
        <v>5.5948198312148598</v>
      </c>
      <c r="P64" s="691">
        <v>4.4860294228659301</v>
      </c>
      <c r="Q64" s="691">
        <v>3.65467929831122</v>
      </c>
      <c r="R64" s="691">
        <v>2.3321365335718802</v>
      </c>
      <c r="S64" s="691"/>
      <c r="T64" s="691">
        <v>4.491609081934847E-2</v>
      </c>
      <c r="U64" s="691">
        <v>4.9111549851924972E-2</v>
      </c>
      <c r="V64" s="691">
        <v>5.1579466929911152E-2</v>
      </c>
      <c r="W64" s="691">
        <v>4.7877591312931886E-2</v>
      </c>
      <c r="X64" s="691">
        <v>5.7749259624876606E-2</v>
      </c>
      <c r="Y64" s="691">
        <v>5.7502467917077985E-2</v>
      </c>
      <c r="Z64" s="691">
        <v>6.2685093780848966E-2</v>
      </c>
      <c r="AA64" s="691">
        <v>6.8608094768015798E-2</v>
      </c>
      <c r="AB64" s="691">
        <v>7.0088845014807499E-2</v>
      </c>
      <c r="AC64" s="691">
        <v>6.5399802566633761E-2</v>
      </c>
      <c r="AD64" s="691">
        <v>6.8361303060217177E-2</v>
      </c>
      <c r="AE64" s="691">
        <v>7.3297137216189537E-2</v>
      </c>
      <c r="AF64" s="691">
        <v>7.0582428430404742E-2</v>
      </c>
      <c r="AG64" s="691">
        <v>6.7374136229022705E-2</v>
      </c>
      <c r="AH64" s="691">
        <v>5.0345508390918066E-2</v>
      </c>
      <c r="AI64" s="691">
        <v>3.8005923000987166E-2</v>
      </c>
      <c r="AJ64" s="691"/>
      <c r="AK64" s="691">
        <f t="shared" si="17"/>
        <v>10.840273540334927</v>
      </c>
      <c r="AL64" s="691">
        <f t="shared" si="18"/>
        <v>15.767332576829778</v>
      </c>
      <c r="AM64" s="691">
        <f t="shared" si="19"/>
        <v>22.337723709560269</v>
      </c>
      <c r="AN64" s="691">
        <f t="shared" si="20"/>
        <v>26.737811948235318</v>
      </c>
      <c r="AO64" s="691">
        <f t="shared" si="21"/>
        <v>14.695030465793408</v>
      </c>
      <c r="AP64" s="691">
        <f t="shared" si="22"/>
        <v>18.255835629895234</v>
      </c>
      <c r="AQ64" s="691">
        <f t="shared" si="23"/>
        <v>17.376061615319792</v>
      </c>
      <c r="AR64" s="691">
        <f t="shared" si="24"/>
        <v>16.075034073982966</v>
      </c>
      <c r="AS64" s="691">
        <f t="shared" si="25"/>
        <v>14.933554409549089</v>
      </c>
      <c r="AT64" s="691">
        <f t="shared" si="26"/>
        <v>12.953329081484741</v>
      </c>
      <c r="AU64" s="691">
        <f t="shared" si="27"/>
        <v>9.957031167183457</v>
      </c>
      <c r="AV64" s="691">
        <f t="shared" si="28"/>
        <v>6.4803932897216612</v>
      </c>
      <c r="AW64" s="691">
        <f t="shared" si="29"/>
        <v>4.9541542736194515</v>
      </c>
      <c r="AX64" s="691">
        <f t="shared" si="30"/>
        <v>4.1614906642520033</v>
      </c>
      <c r="AY64" s="691">
        <f t="shared" si="31"/>
        <v>4.5369977073397862</v>
      </c>
      <c r="AZ64" s="691">
        <f t="shared" si="32"/>
        <v>3.8351530982277837</v>
      </c>
      <c r="BA64" s="691"/>
      <c r="BB64" s="691">
        <f t="shared" si="33"/>
        <v>12.743575453208106</v>
      </c>
    </row>
    <row r="65" spans="1:54" x14ac:dyDescent="0.35">
      <c r="A65" s="129" t="s">
        <v>330</v>
      </c>
      <c r="B65" s="129" t="str">
        <f>VLOOKUP(A65,'HCW, Staff, Beds Summary'!B:E,4,FALSE)</f>
        <v>Upper middle income</v>
      </c>
      <c r="C65" s="691">
        <v>9.51980683229608</v>
      </c>
      <c r="D65" s="691">
        <v>12.189492343678401</v>
      </c>
      <c r="E65" s="691">
        <v>15.1102511089424</v>
      </c>
      <c r="F65" s="691">
        <v>21.665764168366</v>
      </c>
      <c r="G65" s="691">
        <v>17.139264539943401</v>
      </c>
      <c r="H65" s="691">
        <v>18.8873462818826</v>
      </c>
      <c r="I65" s="691">
        <v>18.5062763371496</v>
      </c>
      <c r="J65" s="691">
        <v>19.0498583097188</v>
      </c>
      <c r="K65" s="691">
        <v>17.934899184371201</v>
      </c>
      <c r="L65" s="691">
        <v>15.140961900590099</v>
      </c>
      <c r="M65" s="691">
        <v>11.3794059451682</v>
      </c>
      <c r="N65" s="691">
        <v>6.7504090604051701</v>
      </c>
      <c r="O65" s="691">
        <v>4.6354541730721204</v>
      </c>
      <c r="P65" s="691">
        <v>2.9517811305563901</v>
      </c>
      <c r="Q65" s="691">
        <v>2.83753781094194</v>
      </c>
      <c r="R65" s="691">
        <v>1.62046578137979</v>
      </c>
      <c r="S65" s="691"/>
      <c r="T65" s="691">
        <v>5.8001693480101611E-2</v>
      </c>
      <c r="U65" s="691">
        <v>6.3082133784928024E-2</v>
      </c>
      <c r="V65" s="691">
        <v>5.1333615580016936E-2</v>
      </c>
      <c r="W65" s="691">
        <v>4.6994072819644371E-2</v>
      </c>
      <c r="X65" s="691">
        <v>4.5088907705334462E-2</v>
      </c>
      <c r="Y65" s="691">
        <v>6.9115156646909398E-2</v>
      </c>
      <c r="Z65" s="691">
        <v>8.6155800169348012E-2</v>
      </c>
      <c r="AA65" s="691">
        <v>7.588907705334462E-2</v>
      </c>
      <c r="AB65" s="691">
        <v>6.9115156646909398E-2</v>
      </c>
      <c r="AC65" s="691">
        <v>6.6998306519898396E-2</v>
      </c>
      <c r="AD65" s="691">
        <v>6.2658763759525823E-2</v>
      </c>
      <c r="AE65" s="691">
        <v>7.9699407281964438E-2</v>
      </c>
      <c r="AF65" s="691">
        <v>7.0385266723116E-2</v>
      </c>
      <c r="AG65" s="691">
        <v>6.1282811176968668E-2</v>
      </c>
      <c r="AH65" s="691">
        <v>2.8471634208298052E-2</v>
      </c>
      <c r="AI65" s="691">
        <v>2.7095681625740897E-2</v>
      </c>
      <c r="AJ65" s="691"/>
      <c r="AK65" s="691">
        <f t="shared" si="17"/>
        <v>10.258113019107363</v>
      </c>
      <c r="AL65" s="691">
        <f t="shared" si="18"/>
        <v>12.077005417688081</v>
      </c>
      <c r="AM65" s="691">
        <f t="shared" si="19"/>
        <v>18.397120164598942</v>
      </c>
      <c r="AN65" s="691">
        <f t="shared" si="20"/>
        <v>28.814490408603881</v>
      </c>
      <c r="AO65" s="691">
        <f t="shared" si="21"/>
        <v>23.757595565344079</v>
      </c>
      <c r="AP65" s="691">
        <f t="shared" si="22"/>
        <v>17.079598743417574</v>
      </c>
      <c r="AQ65" s="691">
        <f t="shared" si="23"/>
        <v>13.425007588558771</v>
      </c>
      <c r="AR65" s="691">
        <f t="shared" si="24"/>
        <v>15.688900044475526</v>
      </c>
      <c r="AS65" s="691">
        <f t="shared" si="25"/>
        <v>16.218312355851751</v>
      </c>
      <c r="AT65" s="691">
        <f t="shared" si="26"/>
        <v>14.124388629223464</v>
      </c>
      <c r="AU65" s="691">
        <f t="shared" si="27"/>
        <v>11.350572990915241</v>
      </c>
      <c r="AV65" s="691">
        <f t="shared" si="28"/>
        <v>5.2936474769843995</v>
      </c>
      <c r="AW65" s="691">
        <f t="shared" si="29"/>
        <v>4.1161438935324624</v>
      </c>
      <c r="AX65" s="691">
        <f t="shared" si="30"/>
        <v>3.010408907760878</v>
      </c>
      <c r="AY65" s="691">
        <f t="shared" si="31"/>
        <v>6.2288701760639986</v>
      </c>
      <c r="AZ65" s="691">
        <f t="shared" si="32"/>
        <v>3.7378322027529922</v>
      </c>
      <c r="BA65" s="691"/>
      <c r="BB65" s="691">
        <f t="shared" si="33"/>
        <v>12.723625474054963</v>
      </c>
    </row>
    <row r="66" spans="1:54" x14ac:dyDescent="0.35">
      <c r="A66" s="129" t="s">
        <v>564</v>
      </c>
      <c r="B66" s="129" t="str">
        <f>VLOOKUP(A66,'HCW, Staff, Beds Summary'!B:E,4,FALSE)</f>
        <v>Lower middle income</v>
      </c>
      <c r="C66" s="691">
        <v>11.972622751430499</v>
      </c>
      <c r="D66" s="691">
        <v>19.141239771386001</v>
      </c>
      <c r="E66" s="691">
        <v>22.174999770787601</v>
      </c>
      <c r="F66" s="691">
        <v>27.5225531131635</v>
      </c>
      <c r="G66" s="691">
        <v>19.617250412143701</v>
      </c>
      <c r="H66" s="691">
        <v>21.812135095334</v>
      </c>
      <c r="I66" s="691">
        <v>21.230583513023301</v>
      </c>
      <c r="J66" s="691">
        <v>21.2829096559026</v>
      </c>
      <c r="K66" s="691">
        <v>19.899406077306899</v>
      </c>
      <c r="L66" s="691">
        <v>15.833707805982201</v>
      </c>
      <c r="M66" s="691">
        <v>12.247871173984301</v>
      </c>
      <c r="N66" s="691">
        <v>7.1772049421401398</v>
      </c>
      <c r="O66" s="691">
        <v>3.2955238439937702</v>
      </c>
      <c r="P66" s="691">
        <v>1.6825366633346599</v>
      </c>
      <c r="Q66" s="691">
        <v>1.10097999588187</v>
      </c>
      <c r="R66" s="691">
        <v>0.74848799391377596</v>
      </c>
      <c r="S66" s="691"/>
      <c r="T66" s="691">
        <v>8.1087744891564534E-2</v>
      </c>
      <c r="U66" s="691">
        <v>7.7933818921501141E-2</v>
      </c>
      <c r="V66" s="691">
        <v>7.2920412167784748E-2</v>
      </c>
      <c r="W66" s="691">
        <v>6.6787207594078427E-2</v>
      </c>
      <c r="X66" s="691">
        <v>7.0064414058085653E-2</v>
      </c>
      <c r="Y66" s="691">
        <v>8.8042819424896501E-2</v>
      </c>
      <c r="Z66" s="691">
        <v>8.6676460617018877E-2</v>
      </c>
      <c r="AA66" s="691">
        <v>7.9762479581668197E-2</v>
      </c>
      <c r="AB66" s="691">
        <v>7.2262916200084237E-2</v>
      </c>
      <c r="AC66" s="691">
        <v>6.7177595824900599E-2</v>
      </c>
      <c r="AD66" s="691">
        <v>6.0284161538540562E-2</v>
      </c>
      <c r="AE66" s="691">
        <v>5.3853029104469943E-2</v>
      </c>
      <c r="AF66" s="691">
        <v>4.449398493923299E-2</v>
      </c>
      <c r="AG66" s="691">
        <v>3.0933130605409958E-2</v>
      </c>
      <c r="AH66" s="691">
        <v>1.6971614666269428E-2</v>
      </c>
      <c r="AI66" s="691">
        <v>1.1578093056226179E-2</v>
      </c>
      <c r="AJ66" s="691"/>
      <c r="AK66" s="691">
        <f t="shared" si="17"/>
        <v>9.2281382712648341</v>
      </c>
      <c r="AL66" s="691">
        <f t="shared" si="18"/>
        <v>15.350556437079341</v>
      </c>
      <c r="AM66" s="691">
        <f t="shared" si="19"/>
        <v>19.00616637335072</v>
      </c>
      <c r="AN66" s="691">
        <f t="shared" si="20"/>
        <v>25.755824079778321</v>
      </c>
      <c r="AO66" s="691">
        <f t="shared" si="21"/>
        <v>17.499299283977784</v>
      </c>
      <c r="AP66" s="691">
        <f t="shared" si="22"/>
        <v>15.48403892973101</v>
      </c>
      <c r="AQ66" s="691">
        <f t="shared" si="23"/>
        <v>15.308786954591199</v>
      </c>
      <c r="AR66" s="691">
        <f t="shared" si="24"/>
        <v>16.676786635399786</v>
      </c>
      <c r="AS66" s="691">
        <f t="shared" si="25"/>
        <v>17.210942281765146</v>
      </c>
      <c r="AT66" s="691">
        <f t="shared" si="26"/>
        <v>14.731202058098539</v>
      </c>
      <c r="AU66" s="691">
        <f t="shared" si="27"/>
        <v>12.698060798019533</v>
      </c>
      <c r="AV66" s="691">
        <f t="shared" si="28"/>
        <v>8.3296207538031659</v>
      </c>
      <c r="AW66" s="691">
        <f t="shared" si="29"/>
        <v>4.6291704492396324</v>
      </c>
      <c r="AX66" s="691">
        <f t="shared" si="30"/>
        <v>3.3995440939956092</v>
      </c>
      <c r="AY66" s="691">
        <f t="shared" si="31"/>
        <v>4.0544904592594335</v>
      </c>
      <c r="AZ66" s="691">
        <f t="shared" si="32"/>
        <v>4.0404321672345294</v>
      </c>
      <c r="BA66" s="691"/>
      <c r="BB66" s="691">
        <f t="shared" si="33"/>
        <v>12.712691251661788</v>
      </c>
    </row>
    <row r="67" spans="1:54" x14ac:dyDescent="0.35">
      <c r="A67" s="129" t="s">
        <v>200</v>
      </c>
      <c r="B67" s="129" t="str">
        <f>VLOOKUP(A67,'HCW, Staff, Beds Summary'!B:E,4,FALSE)</f>
        <v>Lower middle income</v>
      </c>
      <c r="C67" s="691">
        <v>11.4980665084059</v>
      </c>
      <c r="D67" s="691">
        <v>29.058962812863399</v>
      </c>
      <c r="E67" s="691">
        <v>33.878947455428502</v>
      </c>
      <c r="F67" s="691">
        <v>32.693425327180499</v>
      </c>
      <c r="G67" s="691">
        <v>21.859696197947699</v>
      </c>
      <c r="H67" s="691">
        <v>19.6640820821926</v>
      </c>
      <c r="I67" s="691">
        <v>16.8753149462419</v>
      </c>
      <c r="J67" s="691">
        <v>15.9590308727738</v>
      </c>
      <c r="K67" s="691">
        <v>14.834540272755</v>
      </c>
      <c r="L67" s="691">
        <v>11.969405734005701</v>
      </c>
      <c r="M67" s="691">
        <v>8.90968581121823</v>
      </c>
      <c r="N67" s="691">
        <v>5.8154944874297403</v>
      </c>
      <c r="O67" s="691">
        <v>2.8164570880042499</v>
      </c>
      <c r="P67" s="691">
        <v>1.4543591599825101</v>
      </c>
      <c r="Q67" s="691">
        <v>1.03558715500024</v>
      </c>
      <c r="R67" s="691">
        <v>0.54511458136481705</v>
      </c>
      <c r="S67" s="691"/>
      <c r="T67" s="691">
        <v>0.11858076563958916</v>
      </c>
      <c r="U67" s="691">
        <v>0.10550887021475257</v>
      </c>
      <c r="V67" s="691">
        <v>9.8506069094304385E-2</v>
      </c>
      <c r="W67" s="691">
        <v>0.10084033613445378</v>
      </c>
      <c r="X67" s="691">
        <v>9.5238095238095233E-2</v>
      </c>
      <c r="Y67" s="691">
        <v>8.9169000933706818E-2</v>
      </c>
      <c r="Z67" s="691">
        <v>8.1699346405228759E-2</v>
      </c>
      <c r="AA67" s="691">
        <v>7.1428571428571425E-2</v>
      </c>
      <c r="AB67" s="691">
        <v>5.5555555555555552E-2</v>
      </c>
      <c r="AC67" s="691">
        <v>4.2016806722689079E-2</v>
      </c>
      <c r="AD67" s="691">
        <v>3.454715219421102E-2</v>
      </c>
      <c r="AE67" s="691">
        <v>3.081232492997199E-2</v>
      </c>
      <c r="AF67" s="691">
        <v>2.5676937441643323E-2</v>
      </c>
      <c r="AG67" s="691">
        <v>1.9140989729225025E-2</v>
      </c>
      <c r="AH67" s="691">
        <v>1.353874883286648E-2</v>
      </c>
      <c r="AI67" s="691">
        <v>8.5901027077497673E-3</v>
      </c>
      <c r="AJ67" s="691"/>
      <c r="AK67" s="691">
        <f t="shared" si="17"/>
        <v>6.0602506055623619</v>
      </c>
      <c r="AL67" s="691">
        <f t="shared" si="18"/>
        <v>17.213578082177378</v>
      </c>
      <c r="AM67" s="691">
        <f t="shared" si="19"/>
        <v>21.495469623675312</v>
      </c>
      <c r="AN67" s="691">
        <f t="shared" si="20"/>
        <v>20.263112572575412</v>
      </c>
      <c r="AO67" s="691">
        <f t="shared" si="21"/>
        <v>14.345425629903177</v>
      </c>
      <c r="AP67" s="691">
        <f t="shared" si="22"/>
        <v>13.782874286667719</v>
      </c>
      <c r="AQ67" s="691">
        <f t="shared" si="23"/>
        <v>12.909615933875054</v>
      </c>
      <c r="AR67" s="691">
        <f t="shared" si="24"/>
        <v>13.964152013677076</v>
      </c>
      <c r="AS67" s="691">
        <f t="shared" si="25"/>
        <v>16.688857806849377</v>
      </c>
      <c r="AT67" s="691">
        <f t="shared" si="26"/>
        <v>17.80449102933348</v>
      </c>
      <c r="AU67" s="691">
        <f t="shared" si="27"/>
        <v>16.118705242930275</v>
      </c>
      <c r="AV67" s="691">
        <f t="shared" si="28"/>
        <v>11.796201886434188</v>
      </c>
      <c r="AW67" s="691">
        <f t="shared" si="29"/>
        <v>6.8555125937557992</v>
      </c>
      <c r="AX67" s="691">
        <f t="shared" si="30"/>
        <v>4.748837379089232</v>
      </c>
      <c r="AY67" s="691">
        <f t="shared" si="31"/>
        <v>4.7806631164019695</v>
      </c>
      <c r="AZ67" s="691">
        <f t="shared" si="32"/>
        <v>3.966152966316026</v>
      </c>
      <c r="BA67" s="691"/>
      <c r="BB67" s="691">
        <f t="shared" si="33"/>
        <v>12.674618798076491</v>
      </c>
    </row>
    <row r="68" spans="1:54" x14ac:dyDescent="0.35">
      <c r="A68" s="129" t="s">
        <v>225</v>
      </c>
      <c r="B68" s="129" t="str">
        <f>VLOOKUP(A68,'HCW, Staff, Beds Summary'!B:E,4,FALSE)</f>
        <v>Low income</v>
      </c>
      <c r="C68" s="691">
        <v>14.831881395465899</v>
      </c>
      <c r="D68" s="691">
        <v>28.4213649884178</v>
      </c>
      <c r="E68" s="691">
        <v>32.174716622987297</v>
      </c>
      <c r="F68" s="691">
        <v>28.149724857443498</v>
      </c>
      <c r="G68" s="691">
        <v>19.691270998433801</v>
      </c>
      <c r="H68" s="691">
        <v>20.082064092031601</v>
      </c>
      <c r="I68" s="691">
        <v>18.417653266449001</v>
      </c>
      <c r="J68" s="691">
        <v>17.166074966526299</v>
      </c>
      <c r="K68" s="691">
        <v>15.767841794381299</v>
      </c>
      <c r="L68" s="691">
        <v>12.5115983054549</v>
      </c>
      <c r="M68" s="691">
        <v>9.7246567336279401</v>
      </c>
      <c r="N68" s="691">
        <v>6.1809422533802403</v>
      </c>
      <c r="O68" s="691">
        <v>3.3485618013379201</v>
      </c>
      <c r="P68" s="691">
        <v>1.4310888701736</v>
      </c>
      <c r="Q68" s="691">
        <v>0.80982801791292003</v>
      </c>
      <c r="R68" s="691">
        <v>0.45786751875968501</v>
      </c>
      <c r="S68" s="691"/>
      <c r="T68" s="691">
        <v>0.11076032622993949</v>
      </c>
      <c r="U68" s="691">
        <v>0.10856792072261685</v>
      </c>
      <c r="V68" s="691">
        <v>0.10541085679207227</v>
      </c>
      <c r="W68" s="691">
        <v>0.10041217223537666</v>
      </c>
      <c r="X68" s="691">
        <v>9.3396474611944225E-2</v>
      </c>
      <c r="Y68" s="691">
        <v>8.5854599666754364E-2</v>
      </c>
      <c r="Z68" s="691">
        <v>7.9452775585372268E-2</v>
      </c>
      <c r="AA68" s="691">
        <v>7.2437077961939836E-2</v>
      </c>
      <c r="AB68" s="691">
        <v>5.498553012365167E-2</v>
      </c>
      <c r="AC68" s="691">
        <v>4.2006489520301678E-2</v>
      </c>
      <c r="AD68" s="691">
        <v>3.7183197404191883E-2</v>
      </c>
      <c r="AE68" s="691">
        <v>3.2009120406910459E-2</v>
      </c>
      <c r="AF68" s="691">
        <v>2.5694992545821273E-2</v>
      </c>
      <c r="AG68" s="691">
        <v>2.0257826887661142E-2</v>
      </c>
      <c r="AH68" s="691">
        <v>1.3242129264228712E-2</v>
      </c>
      <c r="AI68" s="691">
        <v>9.5588880119266851E-3</v>
      </c>
      <c r="AJ68" s="691"/>
      <c r="AK68" s="691">
        <f t="shared" ref="AK68:AK99" si="34">C68/T68/16</f>
        <v>8.3693558765091876</v>
      </c>
      <c r="AL68" s="691">
        <f t="shared" ref="AL68:AL99" si="35">D68/U68/16</f>
        <v>16.361511761052512</v>
      </c>
      <c r="AM68" s="691">
        <f t="shared" ref="AM68:AM99" si="36">E68/V68/16</f>
        <v>19.076970343798052</v>
      </c>
      <c r="AN68" s="691">
        <f t="shared" ref="AN68:AN99" si="37">F68/W68/16</f>
        <v>17.521359855318135</v>
      </c>
      <c r="AO68" s="691">
        <f t="shared" ref="AO68:AO99" si="38">G68/X68/16</f>
        <v>13.177204412860366</v>
      </c>
      <c r="AP68" s="691">
        <f t="shared" ref="AP68:AP99" si="39">H68/Y68/16</f>
        <v>14.619240094575865</v>
      </c>
      <c r="AQ68" s="691">
        <f t="shared" ref="AQ68:AQ99" si="40">I68/Z68/16</f>
        <v>14.487893225532421</v>
      </c>
      <c r="AR68" s="691">
        <f t="shared" ref="AR68:AR99" si="41">J68/AA68/16</f>
        <v>14.811194979063211</v>
      </c>
      <c r="AS68" s="691">
        <f t="shared" ref="AS68:AS99" si="42">K68/AB68/16</f>
        <v>17.922717302764152</v>
      </c>
      <c r="AT68" s="691">
        <f t="shared" ref="AT68:AT99" si="43">L68/AC68/16</f>
        <v>18.615573522586406</v>
      </c>
      <c r="AU68" s="691">
        <f t="shared" ref="AU68:AU99" si="44">M68/AD68/16</f>
        <v>16.345852112847787</v>
      </c>
      <c r="AV68" s="691">
        <f t="shared" ref="AV68:AV99" si="45">N68/AE68/16</f>
        <v>12.068713101934057</v>
      </c>
      <c r="AW68" s="691">
        <f t="shared" ref="AW68:AW99" si="46">O68/AF68/16</f>
        <v>8.1449765829045013</v>
      </c>
      <c r="AX68" s="691">
        <f t="shared" ref="AX68:AX99" si="47">P68/AG68/16</f>
        <v>4.4152344119560496</v>
      </c>
      <c r="AY68" s="691">
        <f t="shared" ref="AY68:AY99" si="48">Q68/AH68/16</f>
        <v>3.8222139438166503</v>
      </c>
      <c r="AZ68" s="691">
        <f t="shared" ref="AZ68:AZ99" si="49">R68/AI68/16</f>
        <v>2.993728965835257</v>
      </c>
      <c r="BA68" s="691"/>
      <c r="BB68" s="691">
        <f t="shared" ref="BB68:BB99" si="50">IFERROR(AVERAGE(AK68:AZ68),"")</f>
        <v>12.672108780834662</v>
      </c>
    </row>
    <row r="69" spans="1:54" x14ac:dyDescent="0.35">
      <c r="A69" s="129" t="s">
        <v>414</v>
      </c>
      <c r="B69" s="129" t="str">
        <f>VLOOKUP(A69,'HCW, Staff, Beds Summary'!B:E,4,FALSE)</f>
        <v>High income</v>
      </c>
      <c r="C69" s="691">
        <v>8.8236131327793093</v>
      </c>
      <c r="D69" s="691">
        <v>13.2165582694569</v>
      </c>
      <c r="E69" s="691">
        <v>15.917982522355301</v>
      </c>
      <c r="F69" s="691">
        <v>19.805382354606099</v>
      </c>
      <c r="G69" s="691">
        <v>13.6402976105765</v>
      </c>
      <c r="H69" s="691">
        <v>15.678987283926901</v>
      </c>
      <c r="I69" s="691">
        <v>18.5159752119982</v>
      </c>
      <c r="J69" s="691">
        <v>19.967225065625801</v>
      </c>
      <c r="K69" s="691">
        <v>18.081940366623801</v>
      </c>
      <c r="L69" s="691">
        <v>13.736700562305099</v>
      </c>
      <c r="M69" s="691">
        <v>11.115026142641801</v>
      </c>
      <c r="N69" s="691">
        <v>8.0103263992931506</v>
      </c>
      <c r="O69" s="691">
        <v>5.8872026030942601</v>
      </c>
      <c r="P69" s="691">
        <v>4.7904349544314702</v>
      </c>
      <c r="Q69" s="691">
        <v>3.1399190892095699</v>
      </c>
      <c r="R69" s="691">
        <v>1.9703626981694999</v>
      </c>
      <c r="S69" s="691"/>
      <c r="T69" s="691">
        <v>4.7756575554409486E-2</v>
      </c>
      <c r="U69" s="691">
        <v>4.6312532233109847E-2</v>
      </c>
      <c r="V69" s="691">
        <v>5.002578648788035E-2</v>
      </c>
      <c r="W69" s="691">
        <v>5.0335224342444557E-2</v>
      </c>
      <c r="X69" s="691">
        <v>5.363589479112945E-2</v>
      </c>
      <c r="Y69" s="691">
        <v>6.5600825167612176E-2</v>
      </c>
      <c r="Z69" s="691">
        <v>6.3331614234141312E-2</v>
      </c>
      <c r="AA69" s="691">
        <v>6.6735430634347601E-2</v>
      </c>
      <c r="AB69" s="691">
        <v>8.4270242392986069E-2</v>
      </c>
      <c r="AC69" s="691">
        <v>8.0041258380608563E-2</v>
      </c>
      <c r="AD69" s="691">
        <v>6.714801444043321E-2</v>
      </c>
      <c r="AE69" s="691">
        <v>5.7246003094378543E-2</v>
      </c>
      <c r="AF69" s="691">
        <v>6.5910263022176382E-2</v>
      </c>
      <c r="AG69" s="691">
        <v>6.9417225373904073E-2</v>
      </c>
      <c r="AH69" s="691">
        <v>4.9200618875709132E-2</v>
      </c>
      <c r="AI69" s="691">
        <v>3.8370293965961838E-2</v>
      </c>
      <c r="AJ69" s="691"/>
      <c r="AK69" s="691">
        <f t="shared" si="34"/>
        <v>11.547641647178105</v>
      </c>
      <c r="AL69" s="691">
        <f t="shared" si="35"/>
        <v>17.836098611133721</v>
      </c>
      <c r="AM69" s="691">
        <f t="shared" si="36"/>
        <v>19.887221720906528</v>
      </c>
      <c r="AN69" s="691">
        <f t="shared" si="37"/>
        <v>24.591852193635521</v>
      </c>
      <c r="AO69" s="691">
        <f t="shared" si="38"/>
        <v>15.894553525785957</v>
      </c>
      <c r="AP69" s="691">
        <f t="shared" si="39"/>
        <v>14.937871631060466</v>
      </c>
      <c r="AQ69" s="691">
        <f t="shared" si="40"/>
        <v>18.272839951172898</v>
      </c>
      <c r="AR69" s="691">
        <f t="shared" si="41"/>
        <v>18.699985221333282</v>
      </c>
      <c r="AS69" s="691">
        <f t="shared" si="42"/>
        <v>13.410680221421188</v>
      </c>
      <c r="AT69" s="691">
        <f t="shared" si="43"/>
        <v>10.726265460015137</v>
      </c>
      <c r="AU69" s="691">
        <f t="shared" si="44"/>
        <v>10.345639252391731</v>
      </c>
      <c r="AV69" s="691">
        <f t="shared" si="45"/>
        <v>8.7455083830120603</v>
      </c>
      <c r="AW69" s="691">
        <f t="shared" si="46"/>
        <v>5.5825928439944104</v>
      </c>
      <c r="AX69" s="691">
        <f t="shared" si="47"/>
        <v>4.3130819913830889</v>
      </c>
      <c r="AY69" s="691">
        <f t="shared" si="48"/>
        <v>3.9886681826371566</v>
      </c>
      <c r="AZ69" s="691">
        <f t="shared" si="49"/>
        <v>3.209453353285165</v>
      </c>
      <c r="BA69" s="691"/>
      <c r="BB69" s="691">
        <f t="shared" si="50"/>
        <v>12.62437213689665</v>
      </c>
    </row>
    <row r="70" spans="1:54" x14ac:dyDescent="0.35">
      <c r="A70" s="129" t="s">
        <v>311</v>
      </c>
      <c r="B70" s="129" t="str">
        <f>VLOOKUP(A70,'HCW, Staff, Beds Summary'!B:E,4,FALSE)</f>
        <v>Upper middle income</v>
      </c>
      <c r="C70" s="691">
        <v>8.7371909913939696</v>
      </c>
      <c r="D70" s="691">
        <v>15.211480417144999</v>
      </c>
      <c r="E70" s="691">
        <v>23.7873463939566</v>
      </c>
      <c r="F70" s="691">
        <v>30.1081143978654</v>
      </c>
      <c r="G70" s="691">
        <v>16.900972959893899</v>
      </c>
      <c r="H70" s="691">
        <v>16.063040972122501</v>
      </c>
      <c r="I70" s="691">
        <v>15.857187297590499</v>
      </c>
      <c r="J70" s="691">
        <v>16.726380900863699</v>
      </c>
      <c r="K70" s="691">
        <v>16.976080548185099</v>
      </c>
      <c r="L70" s="691">
        <v>14.066886084257201</v>
      </c>
      <c r="M70" s="691">
        <v>11.045940752380099</v>
      </c>
      <c r="N70" s="691">
        <v>6.8048025244828398</v>
      </c>
      <c r="O70" s="691">
        <v>4.1132490037404796</v>
      </c>
      <c r="P70" s="691">
        <v>3.1263048837661702</v>
      </c>
      <c r="Q70" s="691">
        <v>2.2511098579386899</v>
      </c>
      <c r="R70" s="691">
        <v>1.3217220086575501</v>
      </c>
      <c r="S70" s="691"/>
      <c r="T70" s="691">
        <v>5.7551447506103942E-2</v>
      </c>
      <c r="U70" s="691">
        <v>5.824904080920823E-2</v>
      </c>
      <c r="V70" s="691">
        <v>5.6505057551447503E-2</v>
      </c>
      <c r="W70" s="691">
        <v>6.941053365887688E-2</v>
      </c>
      <c r="X70" s="691">
        <v>7.9525636553889084E-2</v>
      </c>
      <c r="Y70" s="691">
        <v>8.5106382978723402E-2</v>
      </c>
      <c r="Z70" s="691">
        <v>7.7781653296128364E-2</v>
      </c>
      <c r="AA70" s="691">
        <v>5.7900244157656086E-2</v>
      </c>
      <c r="AB70" s="691">
        <v>5.3017091035926056E-2</v>
      </c>
      <c r="AC70" s="691">
        <v>5.9295430763864669E-2</v>
      </c>
      <c r="AD70" s="691">
        <v>6.3829787234042548E-2</v>
      </c>
      <c r="AE70" s="691">
        <v>7.0108126961981168E-2</v>
      </c>
      <c r="AF70" s="691">
        <v>6.4876177188698994E-2</v>
      </c>
      <c r="AG70" s="691">
        <v>5.0226717823508897E-2</v>
      </c>
      <c r="AH70" s="691">
        <v>3.7321241716079527E-2</v>
      </c>
      <c r="AI70" s="691">
        <v>2.9996512033484479E-2</v>
      </c>
      <c r="AJ70" s="691"/>
      <c r="AK70" s="691">
        <f t="shared" si="34"/>
        <v>9.4884570349721624</v>
      </c>
      <c r="AL70" s="691">
        <f t="shared" si="35"/>
        <v>16.321599684114787</v>
      </c>
      <c r="AM70" s="691">
        <f t="shared" si="36"/>
        <v>26.3110810615253</v>
      </c>
      <c r="AN70" s="691">
        <f t="shared" si="37"/>
        <v>27.110541450590482</v>
      </c>
      <c r="AO70" s="691">
        <f t="shared" si="38"/>
        <v>13.282645141451702</v>
      </c>
      <c r="AP70" s="691">
        <f t="shared" si="39"/>
        <v>11.796295713902461</v>
      </c>
      <c r="AQ70" s="691">
        <f t="shared" si="40"/>
        <v>12.74174775285649</v>
      </c>
      <c r="AR70" s="691">
        <f t="shared" si="41"/>
        <v>18.055170949840445</v>
      </c>
      <c r="AS70" s="691">
        <f t="shared" si="42"/>
        <v>20.012509429131036</v>
      </c>
      <c r="AT70" s="691">
        <f t="shared" si="43"/>
        <v>14.82711853072257</v>
      </c>
      <c r="AU70" s="691">
        <f t="shared" si="44"/>
        <v>10.815816986705515</v>
      </c>
      <c r="AV70" s="691">
        <f t="shared" si="45"/>
        <v>6.06634603162074</v>
      </c>
      <c r="AW70" s="691">
        <f t="shared" si="46"/>
        <v>3.9625957304179953</v>
      </c>
      <c r="AX70" s="691">
        <f t="shared" si="47"/>
        <v>3.8902413636100737</v>
      </c>
      <c r="AY70" s="691">
        <f t="shared" si="48"/>
        <v>3.7698200716765324</v>
      </c>
      <c r="AZ70" s="691">
        <f t="shared" si="49"/>
        <v>2.7539077026316834</v>
      </c>
      <c r="BA70" s="691"/>
      <c r="BB70" s="691">
        <f t="shared" si="50"/>
        <v>12.575368414735626</v>
      </c>
    </row>
    <row r="71" spans="1:54" x14ac:dyDescent="0.35">
      <c r="A71" s="129" t="s">
        <v>559</v>
      </c>
      <c r="B71" s="129" t="str">
        <f>VLOOKUP(A71,'HCW, Staff, Beds Summary'!B:E,4,FALSE)</f>
        <v>High income</v>
      </c>
      <c r="C71" s="691">
        <v>10.377589351853</v>
      </c>
      <c r="D71" s="691">
        <v>17.7313096080774</v>
      </c>
      <c r="E71" s="691">
        <v>21.859524387309801</v>
      </c>
      <c r="F71" s="691">
        <v>24.211621571456799</v>
      </c>
      <c r="G71" s="691">
        <v>16.406859231673799</v>
      </c>
      <c r="H71" s="691">
        <v>17.7607396598892</v>
      </c>
      <c r="I71" s="691">
        <v>18.991159941511299</v>
      </c>
      <c r="J71" s="691">
        <v>19.4445211876325</v>
      </c>
      <c r="K71" s="691">
        <v>17.975680721270201</v>
      </c>
      <c r="L71" s="691">
        <v>14.262996716292699</v>
      </c>
      <c r="M71" s="691">
        <v>11.263211258398799</v>
      </c>
      <c r="N71" s="691">
        <v>7.0222535520264397</v>
      </c>
      <c r="O71" s="691">
        <v>4.1489822558784404</v>
      </c>
      <c r="P71" s="691">
        <v>3.3547541859169998</v>
      </c>
      <c r="Q71" s="691">
        <v>2.3534602473469501</v>
      </c>
      <c r="R71" s="691">
        <v>1.5270039689958199</v>
      </c>
      <c r="S71" s="691"/>
      <c r="T71" s="691">
        <v>6.8221070811744389E-2</v>
      </c>
      <c r="U71" s="691">
        <v>6.8221070811744389E-2</v>
      </c>
      <c r="V71" s="691">
        <v>6.7069660333909042E-2</v>
      </c>
      <c r="W71" s="691">
        <v>7.0523891767415081E-2</v>
      </c>
      <c r="X71" s="691">
        <v>7.3114565342544624E-2</v>
      </c>
      <c r="Y71" s="691">
        <v>7.426597582037997E-2</v>
      </c>
      <c r="Z71" s="691">
        <v>6.9084628670120898E-2</v>
      </c>
      <c r="AA71" s="691">
        <v>6.3903281519861826E-2</v>
      </c>
      <c r="AB71" s="691">
        <v>6.7357512953367879E-2</v>
      </c>
      <c r="AC71" s="691">
        <v>6.361542890040299E-2</v>
      </c>
      <c r="AD71" s="691">
        <v>5.6706966033390906E-2</v>
      </c>
      <c r="AE71" s="691">
        <v>5.6131260794473233E-2</v>
      </c>
      <c r="AF71" s="691">
        <v>5.1525618883131834E-2</v>
      </c>
      <c r="AG71" s="691">
        <v>4.2890040299366723E-2</v>
      </c>
      <c r="AH71" s="691">
        <v>3.5405872193436959E-2</v>
      </c>
      <c r="AI71" s="691">
        <v>2.7921704087507198E-2</v>
      </c>
      <c r="AJ71" s="691"/>
      <c r="AK71" s="691">
        <f t="shared" si="34"/>
        <v>9.5073168270931756</v>
      </c>
      <c r="AL71" s="691">
        <f t="shared" si="35"/>
        <v>16.244348517526603</v>
      </c>
      <c r="AM71" s="691">
        <f t="shared" si="36"/>
        <v>20.370168380234507</v>
      </c>
      <c r="AN71" s="691">
        <f t="shared" si="37"/>
        <v>21.456931974296154</v>
      </c>
      <c r="AO71" s="691">
        <f t="shared" si="38"/>
        <v>14.024957916051864</v>
      </c>
      <c r="AP71" s="691">
        <f t="shared" si="39"/>
        <v>14.946901545168382</v>
      </c>
      <c r="AQ71" s="691">
        <f t="shared" si="40"/>
        <v>17.181065009586003</v>
      </c>
      <c r="AR71" s="691">
        <f t="shared" si="41"/>
        <v>19.017530012904086</v>
      </c>
      <c r="AS71" s="691">
        <f t="shared" si="42"/>
        <v>16.679357592332444</v>
      </c>
      <c r="AT71" s="691">
        <f t="shared" si="43"/>
        <v>14.012910235407478</v>
      </c>
      <c r="AU71" s="691">
        <f t="shared" si="44"/>
        <v>12.41383119025299</v>
      </c>
      <c r="AV71" s="691">
        <f t="shared" si="45"/>
        <v>7.8190092435063621</v>
      </c>
      <c r="AW71" s="691">
        <f t="shared" si="46"/>
        <v>5.0326691190369077</v>
      </c>
      <c r="AX71" s="691">
        <f t="shared" si="47"/>
        <v>4.8885973330015347</v>
      </c>
      <c r="AY71" s="691">
        <f t="shared" si="48"/>
        <v>4.1544313512618416</v>
      </c>
      <c r="AZ71" s="691">
        <f t="shared" si="49"/>
        <v>3.4180488326620346</v>
      </c>
      <c r="BA71" s="691"/>
      <c r="BB71" s="691">
        <f t="shared" si="50"/>
        <v>12.573004692520149</v>
      </c>
    </row>
    <row r="72" spans="1:54" x14ac:dyDescent="0.35">
      <c r="A72" s="129" t="s">
        <v>235</v>
      </c>
      <c r="B72" s="129" t="str">
        <f>VLOOKUP(A72,'HCW, Staff, Beds Summary'!B:E,4,FALSE)</f>
        <v>Upper middle income</v>
      </c>
      <c r="C72" s="691">
        <v>9.8287095480605995</v>
      </c>
      <c r="D72" s="691">
        <v>16.806042637449</v>
      </c>
      <c r="E72" s="691">
        <v>24.268201921501898</v>
      </c>
      <c r="F72" s="691">
        <v>32.923191554319999</v>
      </c>
      <c r="G72" s="691">
        <v>20.7120254151131</v>
      </c>
      <c r="H72" s="691">
        <v>20.365108537573501</v>
      </c>
      <c r="I72" s="691">
        <v>18.697262061416598</v>
      </c>
      <c r="J72" s="691">
        <v>19.412596801743302</v>
      </c>
      <c r="K72" s="691">
        <v>18.965786800237801</v>
      </c>
      <c r="L72" s="691">
        <v>15.666407667672001</v>
      </c>
      <c r="M72" s="691">
        <v>10.517614723891199</v>
      </c>
      <c r="N72" s="691">
        <v>5.1620829757768298</v>
      </c>
      <c r="O72" s="691">
        <v>2.3142633957160599</v>
      </c>
      <c r="P72" s="691">
        <v>1.3960425461680599</v>
      </c>
      <c r="Q72" s="691">
        <v>1.2420111182276099</v>
      </c>
      <c r="R72" s="691">
        <v>0.71374159997526598</v>
      </c>
      <c r="S72" s="691"/>
      <c r="T72" s="691">
        <v>8.1463173504695993E-2</v>
      </c>
      <c r="U72" s="691">
        <v>8.4824518042511121E-2</v>
      </c>
      <c r="V72" s="691">
        <v>6.8808699950568458E-2</v>
      </c>
      <c r="W72" s="691">
        <v>6.2876915472071179E-2</v>
      </c>
      <c r="X72" s="691">
        <v>7.0884824518042511E-2</v>
      </c>
      <c r="Y72" s="691">
        <v>8.7790410281759768E-2</v>
      </c>
      <c r="Z72" s="691">
        <v>9.2832427088482453E-2</v>
      </c>
      <c r="AA72" s="691">
        <v>8.1364310430054376E-2</v>
      </c>
      <c r="AB72" s="691">
        <v>6.5546218487394961E-2</v>
      </c>
      <c r="AC72" s="691">
        <v>6.0800790904597134E-2</v>
      </c>
      <c r="AD72" s="691">
        <v>6.1888284725654968E-2</v>
      </c>
      <c r="AE72" s="691">
        <v>6.4359861591695502E-2</v>
      </c>
      <c r="AF72" s="691">
        <v>4.8937221947602569E-2</v>
      </c>
      <c r="AG72" s="691">
        <v>3.0350963914977755E-2</v>
      </c>
      <c r="AH72" s="691">
        <v>1.4928324270884825E-2</v>
      </c>
      <c r="AI72" s="691">
        <v>8.8976767177459219E-3</v>
      </c>
      <c r="AJ72" s="691"/>
      <c r="AK72" s="691">
        <f t="shared" si="34"/>
        <v>7.540761307541942</v>
      </c>
      <c r="AL72" s="691">
        <f t="shared" si="35"/>
        <v>12.38294881102831</v>
      </c>
      <c r="AM72" s="691">
        <f t="shared" si="36"/>
        <v>22.043180894036613</v>
      </c>
      <c r="AN72" s="691">
        <f t="shared" si="37"/>
        <v>32.725833586079681</v>
      </c>
      <c r="AO72" s="691">
        <f t="shared" si="38"/>
        <v>18.262041237261943</v>
      </c>
      <c r="AP72" s="691">
        <f t="shared" si="39"/>
        <v>14.498386321618522</v>
      </c>
      <c r="AQ72" s="691">
        <f t="shared" si="40"/>
        <v>12.588046176200006</v>
      </c>
      <c r="AR72" s="691">
        <f t="shared" si="41"/>
        <v>14.911787412639239</v>
      </c>
      <c r="AS72" s="691">
        <f t="shared" si="42"/>
        <v>18.08436401625239</v>
      </c>
      <c r="AT72" s="691">
        <f t="shared" si="43"/>
        <v>16.104239182774624</v>
      </c>
      <c r="AU72" s="691">
        <f t="shared" si="44"/>
        <v>10.62157277677311</v>
      </c>
      <c r="AV72" s="691">
        <f t="shared" si="45"/>
        <v>5.012909879030591</v>
      </c>
      <c r="AW72" s="691">
        <f t="shared" si="46"/>
        <v>2.9556533140994881</v>
      </c>
      <c r="AX72" s="691">
        <f t="shared" si="47"/>
        <v>2.8747903816143987</v>
      </c>
      <c r="AY72" s="691">
        <f t="shared" si="48"/>
        <v>5.1998934026789216</v>
      </c>
      <c r="AZ72" s="691">
        <f t="shared" si="49"/>
        <v>5.0135390859373716</v>
      </c>
      <c r="BA72" s="691"/>
      <c r="BB72" s="691">
        <f t="shared" si="50"/>
        <v>12.551246736597946</v>
      </c>
    </row>
    <row r="73" spans="1:54" x14ac:dyDescent="0.35">
      <c r="A73" s="129" t="s">
        <v>532</v>
      </c>
      <c r="B73" s="129" t="str">
        <f>VLOOKUP(A73,'HCW, Staff, Beds Summary'!B:E,4,FALSE)</f>
        <v>Upper middle income</v>
      </c>
      <c r="C73" s="691">
        <v>12.074780113862399</v>
      </c>
      <c r="D73" s="691">
        <v>18.343472589876001</v>
      </c>
      <c r="E73" s="691">
        <v>26.670632676244001</v>
      </c>
      <c r="F73" s="691">
        <v>33.900256733655098</v>
      </c>
      <c r="G73" s="691">
        <v>21.7495096013674</v>
      </c>
      <c r="H73" s="691">
        <v>19.960745856860001</v>
      </c>
      <c r="I73" s="691">
        <v>19.105405800517701</v>
      </c>
      <c r="J73" s="691">
        <v>18.328894275942002</v>
      </c>
      <c r="K73" s="691">
        <v>16.711687707149</v>
      </c>
      <c r="L73" s="691">
        <v>12.582460448229799</v>
      </c>
      <c r="M73" s="691">
        <v>8.3173897960692305</v>
      </c>
      <c r="N73" s="691">
        <v>4.9553155347994</v>
      </c>
      <c r="O73" s="691">
        <v>2.8653050026175499</v>
      </c>
      <c r="P73" s="691">
        <v>1.75420073764412</v>
      </c>
      <c r="Q73" s="691">
        <v>1.0892398126282401</v>
      </c>
      <c r="R73" s="691">
        <v>0.67318469041089102</v>
      </c>
      <c r="S73" s="691"/>
      <c r="T73" s="691">
        <v>5.8695652173913045E-2</v>
      </c>
      <c r="U73" s="691">
        <v>5.9782608695652176E-2</v>
      </c>
      <c r="V73" s="691">
        <v>6.0326086956521738E-2</v>
      </c>
      <c r="W73" s="691">
        <v>7.1739130434782611E-2</v>
      </c>
      <c r="X73" s="691">
        <v>8.641304347826087E-2</v>
      </c>
      <c r="Y73" s="691">
        <v>9.2391304347826081E-2</v>
      </c>
      <c r="Z73" s="691">
        <v>7.7717391304347822E-2</v>
      </c>
      <c r="AA73" s="691">
        <v>7.6630434782608697E-2</v>
      </c>
      <c r="AB73" s="691">
        <v>7.0108695652173911E-2</v>
      </c>
      <c r="AC73" s="691">
        <v>6.8478260869565211E-2</v>
      </c>
      <c r="AD73" s="691">
        <v>6.7391304347826086E-2</v>
      </c>
      <c r="AE73" s="691">
        <v>5.9782608695652176E-2</v>
      </c>
      <c r="AF73" s="691">
        <v>4.5652173913043478E-2</v>
      </c>
      <c r="AG73" s="691">
        <v>3.3152173913043481E-2</v>
      </c>
      <c r="AH73" s="691">
        <v>2.6630434782608695E-2</v>
      </c>
      <c r="AI73" s="691">
        <v>1.8478260869565218E-2</v>
      </c>
      <c r="AJ73" s="691"/>
      <c r="AK73" s="691">
        <f t="shared" si="34"/>
        <v>12.857404750871998</v>
      </c>
      <c r="AL73" s="691">
        <f t="shared" si="35"/>
        <v>19.177266798506729</v>
      </c>
      <c r="AM73" s="691">
        <f t="shared" si="36"/>
        <v>27.631736556469011</v>
      </c>
      <c r="AN73" s="691">
        <f t="shared" si="37"/>
        <v>29.534314578563151</v>
      </c>
      <c r="AO73" s="691">
        <f t="shared" si="38"/>
        <v>15.730777384636799</v>
      </c>
      <c r="AP73" s="691">
        <f t="shared" si="39"/>
        <v>13.502857491405296</v>
      </c>
      <c r="AQ73" s="691">
        <f t="shared" si="40"/>
        <v>15.364487182234516</v>
      </c>
      <c r="AR73" s="691">
        <f t="shared" si="41"/>
        <v>14.949098168321491</v>
      </c>
      <c r="AS73" s="691">
        <f t="shared" si="42"/>
        <v>14.898016173039807</v>
      </c>
      <c r="AT73" s="691">
        <f t="shared" si="43"/>
        <v>11.483991678939898</v>
      </c>
      <c r="AU73" s="691">
        <f t="shared" si="44"/>
        <v>7.713708278612593</v>
      </c>
      <c r="AV73" s="691">
        <f t="shared" si="45"/>
        <v>5.1805571500175542</v>
      </c>
      <c r="AW73" s="691">
        <f t="shared" si="46"/>
        <v>3.9227389916787887</v>
      </c>
      <c r="AX73" s="691">
        <f t="shared" si="47"/>
        <v>3.3070997512962914</v>
      </c>
      <c r="AY73" s="691">
        <f t="shared" si="48"/>
        <v>2.5563791520866861</v>
      </c>
      <c r="AZ73" s="691">
        <f t="shared" si="49"/>
        <v>2.276948217566249</v>
      </c>
      <c r="BA73" s="691"/>
      <c r="BB73" s="691">
        <f t="shared" si="50"/>
        <v>12.505461394015429</v>
      </c>
    </row>
    <row r="74" spans="1:54" x14ac:dyDescent="0.35">
      <c r="A74" s="129" t="s">
        <v>510</v>
      </c>
      <c r="B74" s="129" t="str">
        <f>VLOOKUP(A74,'HCW, Staff, Beds Summary'!B:E,4,FALSE)</f>
        <v>Upper middle income</v>
      </c>
      <c r="C74" s="691">
        <v>9.1987105864194394</v>
      </c>
      <c r="D74" s="691">
        <v>13.672356166969699</v>
      </c>
      <c r="E74" s="691">
        <v>16.5847306578674</v>
      </c>
      <c r="F74" s="691">
        <v>18.801398031620302</v>
      </c>
      <c r="G74" s="691">
        <v>15.533228400309101</v>
      </c>
      <c r="H74" s="691">
        <v>17.196611678458599</v>
      </c>
      <c r="I74" s="691">
        <v>18.954880965732599</v>
      </c>
      <c r="J74" s="691">
        <v>19.286350382312801</v>
      </c>
      <c r="K74" s="691">
        <v>18.863176162471401</v>
      </c>
      <c r="L74" s="691">
        <v>12.1986329771188</v>
      </c>
      <c r="M74" s="691">
        <v>10.0773677072373</v>
      </c>
      <c r="N74" s="691">
        <v>7.0939790364076298</v>
      </c>
      <c r="O74" s="691">
        <v>4.9899035193494097</v>
      </c>
      <c r="P74" s="691">
        <v>3.7787629325686898</v>
      </c>
      <c r="Q74" s="691">
        <v>2.8976131596042398</v>
      </c>
      <c r="R74" s="691">
        <v>1.8039726097334301</v>
      </c>
      <c r="S74" s="691"/>
      <c r="T74" s="691">
        <v>4.8838780069621238E-2</v>
      </c>
      <c r="U74" s="691">
        <v>5.0189639943887358E-2</v>
      </c>
      <c r="V74" s="691">
        <v>5.6216553229074664E-2</v>
      </c>
      <c r="W74" s="691">
        <v>5.1696368265184187E-2</v>
      </c>
      <c r="X74" s="691">
        <v>5.2527666649347951E-2</v>
      </c>
      <c r="Y74" s="691">
        <v>5.5956772484023483E-2</v>
      </c>
      <c r="Z74" s="691">
        <v>7.2582740167298807E-2</v>
      </c>
      <c r="AA74" s="691">
        <v>6.1879773471190315E-2</v>
      </c>
      <c r="AB74" s="691">
        <v>7.9181171091598695E-2</v>
      </c>
      <c r="AC74" s="691">
        <v>7.8142048111393983E-2</v>
      </c>
      <c r="AD74" s="691">
        <v>7.9337039538629403E-2</v>
      </c>
      <c r="AE74" s="691">
        <v>5.424221956668572E-2</v>
      </c>
      <c r="AF74" s="691">
        <v>6.7023432223203616E-2</v>
      </c>
      <c r="AG74" s="691">
        <v>6.4737361666753257E-2</v>
      </c>
      <c r="AH74" s="691">
        <v>4.8215306281498414E-2</v>
      </c>
      <c r="AI74" s="691">
        <v>3.1329557853171923E-2</v>
      </c>
      <c r="AJ74" s="691"/>
      <c r="AK74" s="691">
        <f t="shared" si="34"/>
        <v>11.771780761756313</v>
      </c>
      <c r="AL74" s="691">
        <f t="shared" si="35"/>
        <v>17.025869509942147</v>
      </c>
      <c r="AM74" s="691">
        <f t="shared" si="36"/>
        <v>18.438442177216604</v>
      </c>
      <c r="AN74" s="691">
        <f t="shared" si="37"/>
        <v>22.730559542374117</v>
      </c>
      <c r="AO74" s="691">
        <f t="shared" si="38"/>
        <v>18.482198752519118</v>
      </c>
      <c r="AP74" s="691">
        <f t="shared" si="39"/>
        <v>19.20747359420222</v>
      </c>
      <c r="AQ74" s="691">
        <f t="shared" si="40"/>
        <v>16.321787488701471</v>
      </c>
      <c r="AR74" s="691">
        <f t="shared" si="41"/>
        <v>19.479659204889508</v>
      </c>
      <c r="AS74" s="691">
        <f t="shared" si="42"/>
        <v>14.889253264398254</v>
      </c>
      <c r="AT74" s="691">
        <f t="shared" si="43"/>
        <v>9.7567772984792871</v>
      </c>
      <c r="AU74" s="691">
        <f t="shared" si="44"/>
        <v>7.9387318378027301</v>
      </c>
      <c r="AV74" s="691">
        <f t="shared" si="45"/>
        <v>8.1739592022113055</v>
      </c>
      <c r="AW74" s="691">
        <f t="shared" si="46"/>
        <v>4.6531333835716131</v>
      </c>
      <c r="AX74" s="691">
        <f t="shared" si="47"/>
        <v>3.6481666414099907</v>
      </c>
      <c r="AY74" s="691">
        <f t="shared" si="48"/>
        <v>3.756085700626536</v>
      </c>
      <c r="AZ74" s="691">
        <f t="shared" si="49"/>
        <v>3.5987832524398145</v>
      </c>
      <c r="BA74" s="691"/>
      <c r="BB74" s="691">
        <f t="shared" si="50"/>
        <v>12.492041350783811</v>
      </c>
    </row>
    <row r="75" spans="1:54" x14ac:dyDescent="0.35">
      <c r="A75" s="129" t="s">
        <v>241</v>
      </c>
      <c r="B75" s="129" t="str">
        <f>VLOOKUP(A75,'HCW, Staff, Beds Summary'!B:E,4,FALSE)</f>
        <v>Lower middle income</v>
      </c>
      <c r="C75" s="691">
        <v>13.4014068169959</v>
      </c>
      <c r="D75" s="691">
        <v>26.0049139718381</v>
      </c>
      <c r="E75" s="691">
        <v>28.437709677231201</v>
      </c>
      <c r="F75" s="691">
        <v>29.493413588071899</v>
      </c>
      <c r="G75" s="691">
        <v>21.5326551926516</v>
      </c>
      <c r="H75" s="691">
        <v>21.959524997460999</v>
      </c>
      <c r="I75" s="691">
        <v>20.291777014034299</v>
      </c>
      <c r="J75" s="691">
        <v>18.414564339664899</v>
      </c>
      <c r="K75" s="691">
        <v>16.469614192256</v>
      </c>
      <c r="L75" s="691">
        <v>12.659892790208801</v>
      </c>
      <c r="M75" s="691">
        <v>9.7781560578688094</v>
      </c>
      <c r="N75" s="691">
        <v>6.1368022755349401</v>
      </c>
      <c r="O75" s="691">
        <v>2.8267742365156399</v>
      </c>
      <c r="P75" s="691">
        <v>1.4340869050565701</v>
      </c>
      <c r="Q75" s="691">
        <v>0.83231202565547902</v>
      </c>
      <c r="R75" s="691">
        <v>0.48293905870317499</v>
      </c>
      <c r="S75" s="691"/>
      <c r="T75" s="691">
        <v>8.1606217616580309E-2</v>
      </c>
      <c r="U75" s="691">
        <v>7.901554404145078E-2</v>
      </c>
      <c r="V75" s="691">
        <v>8.6787564766839381E-2</v>
      </c>
      <c r="W75" s="691">
        <v>9.0673575129533682E-2</v>
      </c>
      <c r="X75" s="691">
        <v>9.7150259067357511E-2</v>
      </c>
      <c r="Y75" s="691">
        <v>0.10233160621761658</v>
      </c>
      <c r="Z75" s="691">
        <v>9.8445595854922283E-2</v>
      </c>
      <c r="AA75" s="691">
        <v>8.1606217616580309E-2</v>
      </c>
      <c r="AB75" s="691">
        <v>6.4766839378238336E-2</v>
      </c>
      <c r="AC75" s="691">
        <v>5.0518134715025906E-2</v>
      </c>
      <c r="AD75" s="691">
        <v>4.2746113989637305E-2</v>
      </c>
      <c r="AE75" s="691">
        <v>3.367875647668394E-2</v>
      </c>
      <c r="AF75" s="691">
        <v>2.7202072538860103E-2</v>
      </c>
      <c r="AG75" s="691">
        <v>2.0207253886010364E-2</v>
      </c>
      <c r="AH75" s="691">
        <v>1.6580310880829015E-2</v>
      </c>
      <c r="AI75" s="691">
        <v>1.2305699481865285E-2</v>
      </c>
      <c r="AJ75" s="691"/>
      <c r="AK75" s="691">
        <f t="shared" si="34"/>
        <v>10.263775855873844</v>
      </c>
      <c r="AL75" s="691">
        <f t="shared" si="35"/>
        <v>20.569460641658825</v>
      </c>
      <c r="AM75" s="691">
        <f t="shared" si="36"/>
        <v>20.479395401886649</v>
      </c>
      <c r="AN75" s="691">
        <f t="shared" si="37"/>
        <v>20.329388651778128</v>
      </c>
      <c r="AO75" s="691">
        <f t="shared" si="38"/>
        <v>13.852674840605863</v>
      </c>
      <c r="AP75" s="691">
        <f t="shared" si="39"/>
        <v>13.411988368702445</v>
      </c>
      <c r="AQ75" s="691">
        <f t="shared" si="40"/>
        <v>12.882608433252038</v>
      </c>
      <c r="AR75" s="691">
        <f t="shared" si="41"/>
        <v>14.103217926806847</v>
      </c>
      <c r="AS75" s="691">
        <f t="shared" si="42"/>
        <v>15.893177695527042</v>
      </c>
      <c r="AT75" s="691">
        <f t="shared" si="43"/>
        <v>15.662559669937812</v>
      </c>
      <c r="AU75" s="691">
        <f t="shared" si="44"/>
        <v>14.296849387641517</v>
      </c>
      <c r="AV75" s="691">
        <f t="shared" si="45"/>
        <v>11.388488838252339</v>
      </c>
      <c r="AW75" s="691">
        <f t="shared" si="46"/>
        <v>6.4948503291371251</v>
      </c>
      <c r="AX75" s="691">
        <f t="shared" si="47"/>
        <v>4.435557254421763</v>
      </c>
      <c r="AY75" s="691">
        <f t="shared" si="48"/>
        <v>3.1374261904591298</v>
      </c>
      <c r="AZ75" s="691">
        <f t="shared" si="49"/>
        <v>2.4528220613082308</v>
      </c>
      <c r="BA75" s="691"/>
      <c r="BB75" s="691">
        <f t="shared" si="50"/>
        <v>12.478390096703102</v>
      </c>
    </row>
    <row r="76" spans="1:54" x14ac:dyDescent="0.35">
      <c r="A76" s="129" t="s">
        <v>483</v>
      </c>
      <c r="B76" s="129" t="str">
        <f>VLOOKUP(A76,'HCW, Staff, Beds Summary'!B:E,4,FALSE)</f>
        <v>Upper middle income</v>
      </c>
      <c r="C76" s="691">
        <v>7.5896279718609501</v>
      </c>
      <c r="D76" s="691">
        <v>14.086572132726101</v>
      </c>
      <c r="E76" s="691">
        <v>21.049350616928098</v>
      </c>
      <c r="F76" s="691">
        <v>26.186402743234499</v>
      </c>
      <c r="G76" s="691">
        <v>16.376457667378499</v>
      </c>
      <c r="H76" s="691">
        <v>18.7821153022708</v>
      </c>
      <c r="I76" s="691">
        <v>18.5783755942685</v>
      </c>
      <c r="J76" s="691">
        <v>18.536468452714001</v>
      </c>
      <c r="K76" s="691">
        <v>17.153692623681099</v>
      </c>
      <c r="L76" s="691">
        <v>14.079307096717701</v>
      </c>
      <c r="M76" s="691">
        <v>11.1630090970999</v>
      </c>
      <c r="N76" s="691">
        <v>7.0847228461386296</v>
      </c>
      <c r="O76" s="691">
        <v>4.5668504965898</v>
      </c>
      <c r="P76" s="691">
        <v>3.46632040666297</v>
      </c>
      <c r="Q76" s="691">
        <v>2.3323702265449802</v>
      </c>
      <c r="R76" s="691">
        <v>1.53733790804781</v>
      </c>
      <c r="S76" s="691"/>
      <c r="T76" s="691">
        <v>5.3768602976476239E-2</v>
      </c>
      <c r="U76" s="691">
        <v>5.5688910225636101E-2</v>
      </c>
      <c r="V76" s="691">
        <v>5.3768602976476239E-2</v>
      </c>
      <c r="W76" s="691">
        <v>5.8089294287085931E-2</v>
      </c>
      <c r="X76" s="691">
        <v>6.240998559769563E-2</v>
      </c>
      <c r="Y76" s="691">
        <v>7.2971675468074898E-2</v>
      </c>
      <c r="Z76" s="691">
        <v>7.7772443590974558E-2</v>
      </c>
      <c r="AA76" s="691">
        <v>7.8732597215554492E-2</v>
      </c>
      <c r="AB76" s="691">
        <v>7.4411905904944786E-2</v>
      </c>
      <c r="AC76" s="691">
        <v>7.0091214594335094E-2</v>
      </c>
      <c r="AD76" s="691">
        <v>6.9611137782045127E-2</v>
      </c>
      <c r="AE76" s="691">
        <v>6.6250600096015369E-2</v>
      </c>
      <c r="AF76" s="691">
        <v>6.1929908785405663E-2</v>
      </c>
      <c r="AG76" s="691">
        <v>5.5688910225636101E-2</v>
      </c>
      <c r="AH76" s="691">
        <v>3.8406144983197311E-2</v>
      </c>
      <c r="AI76" s="691">
        <v>2.5924147863658185E-2</v>
      </c>
      <c r="AJ76" s="691"/>
      <c r="AK76" s="691">
        <f t="shared" si="34"/>
        <v>8.8220954605950652</v>
      </c>
      <c r="AL76" s="691">
        <f t="shared" si="35"/>
        <v>15.809444909735166</v>
      </c>
      <c r="AM76" s="691">
        <f t="shared" si="36"/>
        <v>24.467520834297559</v>
      </c>
      <c r="AN76" s="691">
        <f t="shared" si="37"/>
        <v>28.174729811031749</v>
      </c>
      <c r="AO76" s="691">
        <f t="shared" si="38"/>
        <v>16.400077558244909</v>
      </c>
      <c r="AP76" s="691">
        <f t="shared" si="39"/>
        <v>16.086819973120917</v>
      </c>
      <c r="AQ76" s="691">
        <f t="shared" si="40"/>
        <v>14.930075757276731</v>
      </c>
      <c r="AR76" s="691">
        <f t="shared" si="41"/>
        <v>14.714734674925024</v>
      </c>
      <c r="AS76" s="691">
        <f t="shared" si="42"/>
        <v>14.407718441583762</v>
      </c>
      <c r="AT76" s="691">
        <f t="shared" si="43"/>
        <v>12.554450634615998</v>
      </c>
      <c r="AU76" s="691">
        <f t="shared" si="44"/>
        <v>10.02264997812892</v>
      </c>
      <c r="AV76" s="691">
        <f t="shared" si="45"/>
        <v>6.6836402574758891</v>
      </c>
      <c r="AW76" s="691">
        <f t="shared" si="46"/>
        <v>4.6088903025177101</v>
      </c>
      <c r="AX76" s="691">
        <f t="shared" si="47"/>
        <v>3.890272309848581</v>
      </c>
      <c r="AY76" s="691">
        <f t="shared" si="48"/>
        <v>3.7955681108540578</v>
      </c>
      <c r="AZ76" s="691">
        <f t="shared" si="49"/>
        <v>3.7063366463698939</v>
      </c>
      <c r="BA76" s="691"/>
      <c r="BB76" s="691">
        <f t="shared" si="50"/>
        <v>12.442189103788872</v>
      </c>
    </row>
    <row r="77" spans="1:54" x14ac:dyDescent="0.35">
      <c r="A77" s="129" t="s">
        <v>395</v>
      </c>
      <c r="B77" s="129" t="str">
        <f>VLOOKUP(A77,'HCW, Staff, Beds Summary'!B:E,4,FALSE)</f>
        <v>High income</v>
      </c>
      <c r="C77" s="691">
        <v>9.8409890767149104</v>
      </c>
      <c r="D77" s="691">
        <v>14.0007464862767</v>
      </c>
      <c r="E77" s="691">
        <v>16.746278859997702</v>
      </c>
      <c r="F77" s="691">
        <v>19.039653347555301</v>
      </c>
      <c r="G77" s="691">
        <v>14.161991631425201</v>
      </c>
      <c r="H77" s="691">
        <v>16.073345553132501</v>
      </c>
      <c r="I77" s="691">
        <v>17.282854513282299</v>
      </c>
      <c r="J77" s="691">
        <v>18.790409544160799</v>
      </c>
      <c r="K77" s="691">
        <v>18.063757140901</v>
      </c>
      <c r="L77" s="691">
        <v>14.905791424048701</v>
      </c>
      <c r="M77" s="691">
        <v>11.446974742626301</v>
      </c>
      <c r="N77" s="691">
        <v>6.7450372094841402</v>
      </c>
      <c r="O77" s="691">
        <v>5.1555118753874201</v>
      </c>
      <c r="P77" s="691">
        <v>3.6658003398467698</v>
      </c>
      <c r="Q77" s="691">
        <v>2.7390231624413701</v>
      </c>
      <c r="R77" s="691">
        <v>1.92872571009497</v>
      </c>
      <c r="S77" s="691"/>
      <c r="T77" s="691">
        <v>5.5454235428435868E-2</v>
      </c>
      <c r="U77" s="691">
        <v>5.9857954124223421E-2</v>
      </c>
      <c r="V77" s="691">
        <v>6.1222069006420236E-2</v>
      </c>
      <c r="W77" s="691">
        <v>5.9561407410702372E-2</v>
      </c>
      <c r="X77" s="691">
        <v>5.6640422282520052E-2</v>
      </c>
      <c r="Y77" s="691">
        <v>5.6284566226294797E-2</v>
      </c>
      <c r="Z77" s="691">
        <v>6.0376910872885249E-2</v>
      </c>
      <c r="AA77" s="691">
        <v>6.2348946517800215E-2</v>
      </c>
      <c r="AB77" s="691">
        <v>6.0406565544237359E-2</v>
      </c>
      <c r="AC77" s="691">
        <v>6.7138175941165126E-2</v>
      </c>
      <c r="AD77" s="691">
        <v>6.6856456563320135E-2</v>
      </c>
      <c r="AE77" s="691">
        <v>6.5433032338419114E-2</v>
      </c>
      <c r="AF77" s="691">
        <v>6.0866212950194981E-2</v>
      </c>
      <c r="AG77" s="691">
        <v>5.8078673843097131E-2</v>
      </c>
      <c r="AH77" s="691">
        <v>5.3971501860830627E-2</v>
      </c>
      <c r="AI77" s="691">
        <v>3.3761843334371246E-2</v>
      </c>
      <c r="AJ77" s="691"/>
      <c r="AK77" s="691">
        <f t="shared" si="34"/>
        <v>11.091340680161826</v>
      </c>
      <c r="AL77" s="691">
        <f t="shared" si="35"/>
        <v>14.618719737335265</v>
      </c>
      <c r="AM77" s="691">
        <f t="shared" si="36"/>
        <v>17.095835631430507</v>
      </c>
      <c r="AN77" s="691">
        <f t="shared" si="37"/>
        <v>19.979016379125781</v>
      </c>
      <c r="AO77" s="691">
        <f t="shared" si="38"/>
        <v>15.627081177981182</v>
      </c>
      <c r="AP77" s="691">
        <f t="shared" si="39"/>
        <v>17.848304862683008</v>
      </c>
      <c r="AQ77" s="691">
        <f t="shared" si="40"/>
        <v>17.890587502138047</v>
      </c>
      <c r="AR77" s="691">
        <f t="shared" si="41"/>
        <v>18.835933277152748</v>
      </c>
      <c r="AS77" s="691">
        <f t="shared" si="42"/>
        <v>18.689770079372025</v>
      </c>
      <c r="AT77" s="691">
        <f t="shared" si="43"/>
        <v>13.876039242106291</v>
      </c>
      <c r="AU77" s="691">
        <f t="shared" si="44"/>
        <v>10.701074483906432</v>
      </c>
      <c r="AV77" s="691">
        <f t="shared" si="45"/>
        <v>6.4426912604696183</v>
      </c>
      <c r="AW77" s="691">
        <f t="shared" si="46"/>
        <v>5.2938974940888208</v>
      </c>
      <c r="AX77" s="691">
        <f t="shared" si="47"/>
        <v>3.9448648889501805</v>
      </c>
      <c r="AY77" s="691">
        <f t="shared" si="48"/>
        <v>3.1718396144322343</v>
      </c>
      <c r="AZ77" s="691">
        <f t="shared" si="49"/>
        <v>3.5704613544668167</v>
      </c>
      <c r="BA77" s="691"/>
      <c r="BB77" s="691">
        <f t="shared" si="50"/>
        <v>12.417341104112548</v>
      </c>
    </row>
    <row r="78" spans="1:54" x14ac:dyDescent="0.35">
      <c r="A78" s="129" t="s">
        <v>324</v>
      </c>
      <c r="B78" s="129" t="str">
        <f>VLOOKUP(A78,'HCW, Staff, Beds Summary'!B:E,4,FALSE)</f>
        <v>High income</v>
      </c>
      <c r="C78" s="691">
        <v>9.32390285489452</v>
      </c>
      <c r="D78" s="691">
        <v>16.1118875292998</v>
      </c>
      <c r="E78" s="691">
        <v>19.482298175757599</v>
      </c>
      <c r="F78" s="691">
        <v>23.4713175080275</v>
      </c>
      <c r="G78" s="691">
        <v>15.672482839503999</v>
      </c>
      <c r="H78" s="691">
        <v>17.4159657891317</v>
      </c>
      <c r="I78" s="691">
        <v>17.807442225149</v>
      </c>
      <c r="J78" s="691">
        <v>18.544308136565601</v>
      </c>
      <c r="K78" s="691">
        <v>18.115775390986801</v>
      </c>
      <c r="L78" s="691">
        <v>14.6754276534583</v>
      </c>
      <c r="M78" s="691">
        <v>11.6763005759331</v>
      </c>
      <c r="N78" s="691">
        <v>7.49727464872044</v>
      </c>
      <c r="O78" s="691">
        <v>4.7204418309896301</v>
      </c>
      <c r="P78" s="691">
        <v>3.7867125723478501</v>
      </c>
      <c r="Q78" s="691">
        <v>2.3110427531074</v>
      </c>
      <c r="R78" s="691">
        <v>1.3804174113658201</v>
      </c>
      <c r="S78" s="691"/>
      <c r="T78" s="691">
        <v>6.5487347703842555E-2</v>
      </c>
      <c r="U78" s="691">
        <v>6.4315838800374878E-2</v>
      </c>
      <c r="V78" s="691">
        <v>6.3144329896907214E-2</v>
      </c>
      <c r="W78" s="691">
        <v>5.9629803186504217E-2</v>
      </c>
      <c r="X78" s="691">
        <v>6.2558575445173389E-2</v>
      </c>
      <c r="Y78" s="691">
        <v>6.9860980943455164E-2</v>
      </c>
      <c r="Z78" s="691">
        <v>7.3570759137769448E-2</v>
      </c>
      <c r="AA78" s="691">
        <v>7.228209934395502E-2</v>
      </c>
      <c r="AB78" s="691">
        <v>6.3886285535770068E-2</v>
      </c>
      <c r="AC78" s="691">
        <v>6.5760699781318335E-2</v>
      </c>
      <c r="AD78" s="691">
        <v>6.1113714464229925E-2</v>
      </c>
      <c r="AE78" s="691">
        <v>6.076226179318963E-2</v>
      </c>
      <c r="AF78" s="691">
        <v>5.5646672914714153E-2</v>
      </c>
      <c r="AG78" s="691">
        <v>4.8344267416432364E-2</v>
      </c>
      <c r="AH78" s="691">
        <v>4.2486722899094033E-2</v>
      </c>
      <c r="AI78" s="691">
        <v>2.9912527335207748E-2</v>
      </c>
      <c r="AJ78" s="691"/>
      <c r="AK78" s="691">
        <f t="shared" si="34"/>
        <v>8.8985727604404765</v>
      </c>
      <c r="AL78" s="691">
        <f t="shared" si="35"/>
        <v>15.656998172825945</v>
      </c>
      <c r="AM78" s="691">
        <f t="shared" si="36"/>
        <v>19.28349921478048</v>
      </c>
      <c r="AN78" s="691">
        <f t="shared" si="37"/>
        <v>24.601076405761635</v>
      </c>
      <c r="AO78" s="691">
        <f t="shared" si="38"/>
        <v>15.657808230103713</v>
      </c>
      <c r="AP78" s="691">
        <f t="shared" si="39"/>
        <v>15.580912937677635</v>
      </c>
      <c r="AQ78" s="691">
        <f t="shared" si="40"/>
        <v>15.127819151460177</v>
      </c>
      <c r="AR78" s="691">
        <f t="shared" si="41"/>
        <v>16.03466513915356</v>
      </c>
      <c r="AS78" s="691">
        <f t="shared" si="42"/>
        <v>17.722676352857199</v>
      </c>
      <c r="AT78" s="691">
        <f t="shared" si="43"/>
        <v>13.947756507933498</v>
      </c>
      <c r="AU78" s="691">
        <f t="shared" si="44"/>
        <v>11.941162346185896</v>
      </c>
      <c r="AV78" s="691">
        <f t="shared" si="45"/>
        <v>7.7116889943939997</v>
      </c>
      <c r="AW78" s="691">
        <f t="shared" si="46"/>
        <v>5.3018015091220372</v>
      </c>
      <c r="AX78" s="691">
        <f t="shared" si="47"/>
        <v>4.8955036123123863</v>
      </c>
      <c r="AY78" s="691">
        <f t="shared" si="48"/>
        <v>3.3996543440702149</v>
      </c>
      <c r="AZ78" s="691">
        <f t="shared" si="49"/>
        <v>2.8842794606932047</v>
      </c>
      <c r="BA78" s="691"/>
      <c r="BB78" s="691">
        <f t="shared" si="50"/>
        <v>12.415367196235755</v>
      </c>
    </row>
    <row r="79" spans="1:54" x14ac:dyDescent="0.35">
      <c r="A79" s="129" t="s">
        <v>500</v>
      </c>
      <c r="B79" s="129" t="str">
        <f>VLOOKUP(A79,'HCW, Staff, Beds Summary'!B:E,4,FALSE)</f>
        <v>Upper middle income</v>
      </c>
      <c r="C79" s="691">
        <v>13.229210737580299</v>
      </c>
      <c r="D79" s="691">
        <v>21.694607601661101</v>
      </c>
      <c r="E79" s="691">
        <v>27.8641915663863</v>
      </c>
      <c r="F79" s="691">
        <v>28.642729379723299</v>
      </c>
      <c r="G79" s="691">
        <v>19.298618963359498</v>
      </c>
      <c r="H79" s="691">
        <v>20.009170122222599</v>
      </c>
      <c r="I79" s="691">
        <v>19.7954550280805</v>
      </c>
      <c r="J79" s="691">
        <v>19.296079284426199</v>
      </c>
      <c r="K79" s="691">
        <v>17.6482493404094</v>
      </c>
      <c r="L79" s="691">
        <v>13.731085840950501</v>
      </c>
      <c r="M79" s="691">
        <v>10.3320236647565</v>
      </c>
      <c r="N79" s="691">
        <v>6.5928247031470999</v>
      </c>
      <c r="O79" s="691">
        <v>3.43676610415433</v>
      </c>
      <c r="P79" s="691">
        <v>1.78987178574941</v>
      </c>
      <c r="Q79" s="691">
        <v>1.01140976527666</v>
      </c>
      <c r="R79" s="691">
        <v>0.64212041761230099</v>
      </c>
      <c r="S79" s="691"/>
      <c r="T79" s="691">
        <v>8.5921387844231464E-2</v>
      </c>
      <c r="U79" s="691">
        <v>7.9218731044522622E-2</v>
      </c>
      <c r="V79" s="691">
        <v>8.1766347203687972E-2</v>
      </c>
      <c r="W79" s="691">
        <v>7.3971854907193976E-2</v>
      </c>
      <c r="X79" s="691">
        <v>7.909741598932428E-2</v>
      </c>
      <c r="Y79" s="691">
        <v>8.3919689433458691E-2</v>
      </c>
      <c r="Z79" s="691">
        <v>8.1675360912289219E-2</v>
      </c>
      <c r="AA79" s="691">
        <v>7.697440252335315E-2</v>
      </c>
      <c r="AB79" s="691">
        <v>6.9786485502850909E-2</v>
      </c>
      <c r="AC79" s="691">
        <v>6.2052650733956084E-2</v>
      </c>
      <c r="AD79" s="691">
        <v>5.4349144728860849E-2</v>
      </c>
      <c r="AE79" s="691">
        <v>4.6160378502972221E-2</v>
      </c>
      <c r="AF79" s="691">
        <v>3.7819968458085648E-2</v>
      </c>
      <c r="AG79" s="691">
        <v>3.1208297949775567E-2</v>
      </c>
      <c r="AH79" s="691">
        <v>2.220065510129807E-2</v>
      </c>
      <c r="AI79" s="691">
        <v>1.5892272230983866E-2</v>
      </c>
      <c r="AJ79" s="691"/>
      <c r="AK79" s="691">
        <f t="shared" si="34"/>
        <v>9.6230483683263692</v>
      </c>
      <c r="AL79" s="691">
        <f t="shared" si="35"/>
        <v>17.116065319725543</v>
      </c>
      <c r="AM79" s="691">
        <f t="shared" si="36"/>
        <v>21.298639751643385</v>
      </c>
      <c r="AN79" s="691">
        <f t="shared" si="37"/>
        <v>24.200698880387371</v>
      </c>
      <c r="AO79" s="691">
        <f t="shared" si="38"/>
        <v>15.249090885254249</v>
      </c>
      <c r="AP79" s="691">
        <f t="shared" si="39"/>
        <v>14.902022887376299</v>
      </c>
      <c r="AQ79" s="691">
        <f t="shared" si="40"/>
        <v>15.147970274458554</v>
      </c>
      <c r="AR79" s="691">
        <f t="shared" si="41"/>
        <v>15.667610474933525</v>
      </c>
      <c r="AS79" s="691">
        <f t="shared" si="42"/>
        <v>15.805575761950747</v>
      </c>
      <c r="AT79" s="691">
        <f t="shared" si="43"/>
        <v>13.830075829295573</v>
      </c>
      <c r="AU79" s="691">
        <f t="shared" si="44"/>
        <v>11.881538932559687</v>
      </c>
      <c r="AV79" s="691">
        <f t="shared" si="45"/>
        <v>8.926520044027848</v>
      </c>
      <c r="AW79" s="691">
        <f t="shared" si="46"/>
        <v>5.6794833593713197</v>
      </c>
      <c r="AX79" s="691">
        <f t="shared" si="47"/>
        <v>3.5845269994976645</v>
      </c>
      <c r="AY79" s="691">
        <f t="shared" si="48"/>
        <v>2.8473533794998325</v>
      </c>
      <c r="AZ79" s="691">
        <f t="shared" si="49"/>
        <v>2.5252855927376894</v>
      </c>
      <c r="BA79" s="691"/>
      <c r="BB79" s="691">
        <f t="shared" si="50"/>
        <v>12.392844171315353</v>
      </c>
    </row>
    <row r="80" spans="1:54" x14ac:dyDescent="0.35">
      <c r="A80" s="129" t="s">
        <v>255</v>
      </c>
      <c r="B80" s="129" t="str">
        <f>VLOOKUP(A80,'HCW, Staff, Beds Summary'!B:E,4,FALSE)</f>
        <v>Lower middle income</v>
      </c>
      <c r="C80" s="691">
        <v>17.409025610949602</v>
      </c>
      <c r="D80" s="691">
        <v>34.936937917770798</v>
      </c>
      <c r="E80" s="691">
        <v>35.992080112131497</v>
      </c>
      <c r="F80" s="691">
        <v>32.6978570143676</v>
      </c>
      <c r="G80" s="691">
        <v>17.0006399831463</v>
      </c>
      <c r="H80" s="691">
        <v>16.8135313707714</v>
      </c>
      <c r="I80" s="691">
        <v>15.675774788057501</v>
      </c>
      <c r="J80" s="691">
        <v>14.967413370302101</v>
      </c>
      <c r="K80" s="691">
        <v>12.019835857107999</v>
      </c>
      <c r="L80" s="691">
        <v>9.4098844167021305</v>
      </c>
      <c r="M80" s="691">
        <v>7.4327373887361601</v>
      </c>
      <c r="N80" s="691">
        <v>5.1133492891905297</v>
      </c>
      <c r="O80" s="691">
        <v>3.0790224654111999</v>
      </c>
      <c r="P80" s="691">
        <v>1.3225198983155499</v>
      </c>
      <c r="Q80" s="691">
        <v>0.64108357975997299</v>
      </c>
      <c r="R80" s="691">
        <v>0.40963226018695298</v>
      </c>
      <c r="S80" s="691"/>
      <c r="T80" s="691">
        <v>0.14992721979621543</v>
      </c>
      <c r="U80" s="691">
        <v>0.13537117903930132</v>
      </c>
      <c r="V80" s="691">
        <v>0.11499272197962154</v>
      </c>
      <c r="W80" s="691">
        <v>0.10189228529839883</v>
      </c>
      <c r="X80" s="691">
        <v>8.8791848617176122E-2</v>
      </c>
      <c r="Y80" s="691">
        <v>7.4235807860262015E-2</v>
      </c>
      <c r="Z80" s="691">
        <v>6.1135371179039298E-2</v>
      </c>
      <c r="AA80" s="691">
        <v>5.6768558951965066E-2</v>
      </c>
      <c r="AB80" s="691">
        <v>5.3857350800582245E-2</v>
      </c>
      <c r="AC80" s="691">
        <v>4.6579330422125184E-2</v>
      </c>
      <c r="AD80" s="691">
        <v>3.2023289665211063E-2</v>
      </c>
      <c r="AE80" s="691">
        <v>2.6055312954876272E-2</v>
      </c>
      <c r="AF80" s="691">
        <v>1.9650655021834062E-2</v>
      </c>
      <c r="AG80" s="691">
        <v>1.3828238719068414E-2</v>
      </c>
      <c r="AH80" s="691">
        <v>1.0480349344978166E-2</v>
      </c>
      <c r="AI80" s="691">
        <v>6.9868995633187774E-3</v>
      </c>
      <c r="AJ80" s="691"/>
      <c r="AK80" s="691">
        <f t="shared" si="34"/>
        <v>7.2572819142732872</v>
      </c>
      <c r="AL80" s="691">
        <f t="shared" si="35"/>
        <v>16.130158837035307</v>
      </c>
      <c r="AM80" s="691">
        <f t="shared" si="36"/>
        <v>19.562151136894254</v>
      </c>
      <c r="AN80" s="691">
        <f t="shared" si="37"/>
        <v>20.056631936491556</v>
      </c>
      <c r="AO80" s="691">
        <f t="shared" si="38"/>
        <v>11.966639004530235</v>
      </c>
      <c r="AP80" s="691">
        <f t="shared" si="39"/>
        <v>14.155509867303861</v>
      </c>
      <c r="AQ80" s="691">
        <f t="shared" si="40"/>
        <v>16.02568047529093</v>
      </c>
      <c r="AR80" s="691">
        <f t="shared" si="41"/>
        <v>16.478546450957602</v>
      </c>
      <c r="AS80" s="691">
        <f t="shared" si="42"/>
        <v>13.948694651745262</v>
      </c>
      <c r="AT80" s="691">
        <f t="shared" si="43"/>
        <v>12.626153504442115</v>
      </c>
      <c r="AU80" s="691">
        <f t="shared" si="44"/>
        <v>14.506507346766313</v>
      </c>
      <c r="AV80" s="691">
        <f t="shared" si="45"/>
        <v>12.26561089969935</v>
      </c>
      <c r="AW80" s="691">
        <f t="shared" si="46"/>
        <v>9.7930020080439544</v>
      </c>
      <c r="AX80" s="691">
        <f t="shared" si="47"/>
        <v>5.9774419088340975</v>
      </c>
      <c r="AY80" s="691">
        <f t="shared" si="48"/>
        <v>3.8231286397144224</v>
      </c>
      <c r="AZ80" s="691">
        <f t="shared" si="49"/>
        <v>3.6642885774536027</v>
      </c>
      <c r="BA80" s="691"/>
      <c r="BB80" s="691">
        <f t="shared" si="50"/>
        <v>12.389839197467257</v>
      </c>
    </row>
    <row r="81" spans="1:54" x14ac:dyDescent="0.35">
      <c r="A81" s="129" t="s">
        <v>514</v>
      </c>
      <c r="B81" s="129" t="str">
        <f>VLOOKUP(A81,'HCW, Staff, Beds Summary'!B:E,4,FALSE)</f>
        <v>Upper middle income</v>
      </c>
      <c r="C81" s="691">
        <v>7.9896689179878297</v>
      </c>
      <c r="D81" s="691">
        <v>13.753006522433299</v>
      </c>
      <c r="E81" s="691">
        <v>17.810678694429601</v>
      </c>
      <c r="F81" s="691">
        <v>21.1336183346931</v>
      </c>
      <c r="G81" s="691">
        <v>13.4321659839361</v>
      </c>
      <c r="H81" s="691">
        <v>16.4138086981262</v>
      </c>
      <c r="I81" s="691">
        <v>17.730954607622898</v>
      </c>
      <c r="J81" s="691">
        <v>18.3659495167398</v>
      </c>
      <c r="K81" s="691">
        <v>16.935438813198498</v>
      </c>
      <c r="L81" s="691">
        <v>13.5436064845585</v>
      </c>
      <c r="M81" s="691">
        <v>10.837885484853301</v>
      </c>
      <c r="N81" s="691">
        <v>8.5442295249478306</v>
      </c>
      <c r="O81" s="691">
        <v>6.5166246437445201</v>
      </c>
      <c r="P81" s="691">
        <v>4.5915052510780496</v>
      </c>
      <c r="Q81" s="691">
        <v>3.67751868888719</v>
      </c>
      <c r="R81" s="691">
        <v>2.35615785141177</v>
      </c>
      <c r="S81" s="691"/>
      <c r="T81" s="691">
        <v>4.7914561985856544E-2</v>
      </c>
      <c r="U81" s="691">
        <v>4.9935055563573388E-2</v>
      </c>
      <c r="V81" s="691">
        <v>5.5707894357050078E-2</v>
      </c>
      <c r="W81" s="691">
        <v>5.8738634723625345E-2</v>
      </c>
      <c r="X81" s="691">
        <v>6.0614807331505267E-2</v>
      </c>
      <c r="Y81" s="691">
        <v>6.5521720305960457E-2</v>
      </c>
      <c r="Z81" s="691">
        <v>7.0717275220089484E-2</v>
      </c>
      <c r="AA81" s="691">
        <v>6.8263818732861886E-2</v>
      </c>
      <c r="AB81" s="691">
        <v>7.1150238129600224E-2</v>
      </c>
      <c r="AC81" s="691">
        <v>6.9562707461394147E-2</v>
      </c>
      <c r="AD81" s="691">
        <v>6.5233078366286626E-2</v>
      </c>
      <c r="AE81" s="691">
        <v>6.3068263818732859E-2</v>
      </c>
      <c r="AF81" s="691">
        <v>6.2635300909222105E-2</v>
      </c>
      <c r="AG81" s="691">
        <v>6.8119497763024964E-2</v>
      </c>
      <c r="AH81" s="691">
        <v>5.3110116899985571E-2</v>
      </c>
      <c r="AI81" s="691">
        <v>3.0307403665752634E-2</v>
      </c>
      <c r="AJ81" s="691"/>
      <c r="AK81" s="691">
        <f t="shared" si="34"/>
        <v>10.421765047578628</v>
      </c>
      <c r="AL81" s="691">
        <f t="shared" si="35"/>
        <v>17.213616725784018</v>
      </c>
      <c r="AM81" s="691">
        <f t="shared" si="36"/>
        <v>19.982220316337873</v>
      </c>
      <c r="AN81" s="691">
        <f t="shared" si="37"/>
        <v>22.486922825719976</v>
      </c>
      <c r="AO81" s="691">
        <f t="shared" si="38"/>
        <v>13.849922336710303</v>
      </c>
      <c r="AP81" s="691">
        <f t="shared" si="39"/>
        <v>15.656839271656999</v>
      </c>
      <c r="AQ81" s="691">
        <f t="shared" si="40"/>
        <v>15.670635775027941</v>
      </c>
      <c r="AR81" s="691">
        <f t="shared" si="41"/>
        <v>16.815230470598582</v>
      </c>
      <c r="AS81" s="691">
        <f t="shared" si="42"/>
        <v>14.876477628885954</v>
      </c>
      <c r="AT81" s="691">
        <f t="shared" si="43"/>
        <v>12.168522994230528</v>
      </c>
      <c r="AU81" s="691">
        <f t="shared" si="44"/>
        <v>10.383809253947527</v>
      </c>
      <c r="AV81" s="691">
        <f t="shared" si="45"/>
        <v>8.4672434751664074</v>
      </c>
      <c r="AW81" s="691">
        <f t="shared" si="46"/>
        <v>6.5025478335981832</v>
      </c>
      <c r="AX81" s="691">
        <f t="shared" si="47"/>
        <v>4.2127303872775173</v>
      </c>
      <c r="AY81" s="691">
        <f t="shared" si="48"/>
        <v>4.3277049924081759</v>
      </c>
      <c r="AZ81" s="691">
        <f t="shared" si="49"/>
        <v>4.8588743310809983</v>
      </c>
      <c r="BA81" s="691"/>
      <c r="BB81" s="691">
        <f t="shared" si="50"/>
        <v>12.368441479125604</v>
      </c>
    </row>
    <row r="82" spans="1:54" x14ac:dyDescent="0.35">
      <c r="A82" s="129" t="s">
        <v>238</v>
      </c>
      <c r="B82" s="129" t="str">
        <f>VLOOKUP(A82,'HCW, Staff, Beds Summary'!B:E,4,FALSE)</f>
        <v>Low income</v>
      </c>
      <c r="C82" s="691">
        <v>15.222819238748199</v>
      </c>
      <c r="D82" s="691">
        <v>24.070800298712101</v>
      </c>
      <c r="E82" s="691">
        <v>35.422831243076701</v>
      </c>
      <c r="F82" s="691">
        <v>39.976455528952599</v>
      </c>
      <c r="G82" s="691">
        <v>21.002753336957799</v>
      </c>
      <c r="H82" s="691">
        <v>18.590863222103302</v>
      </c>
      <c r="I82" s="691">
        <v>16.278216599325901</v>
      </c>
      <c r="J82" s="691">
        <v>15.723976996129901</v>
      </c>
      <c r="K82" s="691">
        <v>13.4987481497225</v>
      </c>
      <c r="L82" s="691">
        <v>10.678253157652399</v>
      </c>
      <c r="M82" s="691">
        <v>7.0191210285687999</v>
      </c>
      <c r="N82" s="691">
        <v>4.3210779627639599</v>
      </c>
      <c r="O82" s="691">
        <v>2.0556343701734399</v>
      </c>
      <c r="P82" s="691">
        <v>0.99013028842276296</v>
      </c>
      <c r="Q82" s="691">
        <v>0.64977087137586598</v>
      </c>
      <c r="R82" s="691">
        <v>0.39744402976716098</v>
      </c>
      <c r="S82" s="691"/>
      <c r="T82" s="691">
        <v>0.14227301321031663</v>
      </c>
      <c r="U82" s="691">
        <v>0.12801425875445585</v>
      </c>
      <c r="V82" s="691">
        <v>0.10243237576011742</v>
      </c>
      <c r="W82" s="691">
        <v>8.5028307821346197E-2</v>
      </c>
      <c r="X82" s="691">
        <v>8.7334871042147197E-2</v>
      </c>
      <c r="Y82" s="691">
        <v>8.5447682952400919E-2</v>
      </c>
      <c r="Z82" s="691">
        <v>8.2512057035017822E-2</v>
      </c>
      <c r="AA82" s="691">
        <v>6.3325644789264002E-2</v>
      </c>
      <c r="AB82" s="691">
        <v>4.959110924722164E-2</v>
      </c>
      <c r="AC82" s="691">
        <v>4.2985950933109668E-2</v>
      </c>
      <c r="AD82" s="691">
        <v>3.9001887188089744E-2</v>
      </c>
      <c r="AE82" s="691">
        <v>3.438876074648773E-2</v>
      </c>
      <c r="AF82" s="691">
        <v>2.5791570559865799E-2</v>
      </c>
      <c r="AG82" s="691">
        <v>1.4782973369679177E-2</v>
      </c>
      <c r="AH82" s="691">
        <v>8.1778150555672051E-3</v>
      </c>
      <c r="AI82" s="691">
        <v>4.1937513105472848E-3</v>
      </c>
      <c r="AJ82" s="691"/>
      <c r="AK82" s="691">
        <f t="shared" si="34"/>
        <v>6.6873272798074943</v>
      </c>
      <c r="AL82" s="691">
        <f t="shared" si="35"/>
        <v>11.752011325200453</v>
      </c>
      <c r="AM82" s="691">
        <f t="shared" si="36"/>
        <v>21.61354685238393</v>
      </c>
      <c r="AN82" s="691">
        <f t="shared" si="37"/>
        <v>29.384666525520181</v>
      </c>
      <c r="AO82" s="691">
        <f t="shared" si="38"/>
        <v>15.030331732285676</v>
      </c>
      <c r="AP82" s="691">
        <f t="shared" si="39"/>
        <v>13.598132930400407</v>
      </c>
      <c r="AQ82" s="691">
        <f t="shared" si="40"/>
        <v>12.330180267183168</v>
      </c>
      <c r="AR82" s="691">
        <f t="shared" si="41"/>
        <v>15.518966534466783</v>
      </c>
      <c r="AS82" s="691">
        <f t="shared" si="42"/>
        <v>17.012560762692019</v>
      </c>
      <c r="AT82" s="691">
        <f t="shared" si="43"/>
        <v>15.525789423428138</v>
      </c>
      <c r="AU82" s="691">
        <f t="shared" si="44"/>
        <v>11.248047105256925</v>
      </c>
      <c r="AV82" s="691">
        <f t="shared" si="45"/>
        <v>7.8533615870508102</v>
      </c>
      <c r="AW82" s="691">
        <f t="shared" si="46"/>
        <v>4.9813619468278123</v>
      </c>
      <c r="AX82" s="691">
        <f t="shared" si="47"/>
        <v>4.186109348837018</v>
      </c>
      <c r="AY82" s="691">
        <f t="shared" si="48"/>
        <v>4.9659571884479243</v>
      </c>
      <c r="AZ82" s="691">
        <f t="shared" si="49"/>
        <v>5.9231580561237207</v>
      </c>
      <c r="BA82" s="691"/>
      <c r="BB82" s="691">
        <f t="shared" si="50"/>
        <v>12.350719304119528</v>
      </c>
    </row>
    <row r="83" spans="1:54" x14ac:dyDescent="0.35">
      <c r="A83" s="129" t="s">
        <v>332</v>
      </c>
      <c r="B83" s="129" t="str">
        <f>VLOOKUP(A83,'HCW, Staff, Beds Summary'!B:E,4,FALSE)</f>
        <v>Upper middle income</v>
      </c>
      <c r="C83" s="691">
        <v>14.9018894678942</v>
      </c>
      <c r="D83" s="691">
        <v>31.259163527768401</v>
      </c>
      <c r="E83" s="691">
        <v>37.454917625690001</v>
      </c>
      <c r="F83" s="691">
        <v>32.055959107626201</v>
      </c>
      <c r="G83" s="691">
        <v>17.1897052590258</v>
      </c>
      <c r="H83" s="691">
        <v>17.5878166533344</v>
      </c>
      <c r="I83" s="691">
        <v>17.636309924797899</v>
      </c>
      <c r="J83" s="691">
        <v>17.652678650866001</v>
      </c>
      <c r="K83" s="691">
        <v>15.6116214989369</v>
      </c>
      <c r="L83" s="691">
        <v>11.494982887955301</v>
      </c>
      <c r="M83" s="691">
        <v>8.7243230756351409</v>
      </c>
      <c r="N83" s="691">
        <v>4.9784097578912103</v>
      </c>
      <c r="O83" s="691">
        <v>2.5213580237110298</v>
      </c>
      <c r="P83" s="691">
        <v>1.45293473897615</v>
      </c>
      <c r="Q83" s="691">
        <v>0.80809916739857801</v>
      </c>
      <c r="R83" s="691">
        <v>0.50256974982820701</v>
      </c>
      <c r="S83" s="691"/>
      <c r="T83" s="691">
        <v>9.7989949748743713E-2</v>
      </c>
      <c r="U83" s="691">
        <v>9.7989949748743713E-2</v>
      </c>
      <c r="V83" s="691">
        <v>9.5477386934673364E-2</v>
      </c>
      <c r="W83" s="691">
        <v>0.10050251256281408</v>
      </c>
      <c r="X83" s="691">
        <v>0.10050251256281408</v>
      </c>
      <c r="Y83" s="691">
        <v>9.0452261306532666E-2</v>
      </c>
      <c r="Z83" s="691">
        <v>8.0402010050251257E-2</v>
      </c>
      <c r="AA83" s="691">
        <v>6.78391959798995E-2</v>
      </c>
      <c r="AB83" s="691">
        <v>5.7788944723618091E-2</v>
      </c>
      <c r="AC83" s="691">
        <v>5.2763819095477386E-2</v>
      </c>
      <c r="AD83" s="691">
        <v>4.3969849246231159E-2</v>
      </c>
      <c r="AE83" s="691">
        <v>3.6180904522613064E-2</v>
      </c>
      <c r="AF83" s="691">
        <v>2.6381909547738693E-2</v>
      </c>
      <c r="AG83" s="691">
        <v>1.8341708542713567E-2</v>
      </c>
      <c r="AH83" s="691">
        <v>1.2562814070351759E-2</v>
      </c>
      <c r="AI83" s="691">
        <v>8.2914572864321613E-3</v>
      </c>
      <c r="AJ83" s="691"/>
      <c r="AK83" s="691">
        <f t="shared" si="34"/>
        <v>9.5047307824068792</v>
      </c>
      <c r="AL83" s="691">
        <f t="shared" si="35"/>
        <v>19.937735711621514</v>
      </c>
      <c r="AM83" s="691">
        <f t="shared" si="36"/>
        <v>24.518186208922074</v>
      </c>
      <c r="AN83" s="691">
        <f t="shared" si="37"/>
        <v>19.934799570055041</v>
      </c>
      <c r="AO83" s="691">
        <f t="shared" si="38"/>
        <v>10.689847957956669</v>
      </c>
      <c r="AP83" s="691">
        <f t="shared" si="39"/>
        <v>12.152692756991478</v>
      </c>
      <c r="AQ83" s="691">
        <f t="shared" si="40"/>
        <v>13.709475293104617</v>
      </c>
      <c r="AR83" s="691">
        <f t="shared" si="41"/>
        <v>16.263347460751547</v>
      </c>
      <c r="AS83" s="691">
        <f t="shared" si="42"/>
        <v>16.884308034176321</v>
      </c>
      <c r="AT83" s="691">
        <f t="shared" si="43"/>
        <v>13.616080920851815</v>
      </c>
      <c r="AU83" s="691">
        <f t="shared" si="44"/>
        <v>12.401002086081379</v>
      </c>
      <c r="AV83" s="691">
        <f t="shared" si="45"/>
        <v>8.5998571338572134</v>
      </c>
      <c r="AW83" s="691">
        <f t="shared" si="46"/>
        <v>5.9732172228392253</v>
      </c>
      <c r="AX83" s="691">
        <f t="shared" si="47"/>
        <v>4.9509248811002378</v>
      </c>
      <c r="AY83" s="691">
        <f t="shared" si="48"/>
        <v>4.0202933578079252</v>
      </c>
      <c r="AZ83" s="691">
        <f t="shared" si="49"/>
        <v>3.7883098566595903</v>
      </c>
      <c r="BA83" s="691"/>
      <c r="BB83" s="691">
        <f t="shared" si="50"/>
        <v>12.309050577198972</v>
      </c>
    </row>
    <row r="84" spans="1:54" x14ac:dyDescent="0.35">
      <c r="A84" s="129" t="s">
        <v>392</v>
      </c>
      <c r="B84" s="129" t="str">
        <f>VLOOKUP(A84,'HCW, Staff, Beds Summary'!B:E,4,FALSE)</f>
        <v>High income</v>
      </c>
      <c r="C84" s="691">
        <v>10.6968347753172</v>
      </c>
      <c r="D84" s="691">
        <v>12.8228691849064</v>
      </c>
      <c r="E84" s="691">
        <v>15.3593617351381</v>
      </c>
      <c r="F84" s="691">
        <v>13.301233453924199</v>
      </c>
      <c r="G84" s="691">
        <v>12.0596789352635</v>
      </c>
      <c r="H84" s="691">
        <v>14.456221044346</v>
      </c>
      <c r="I84" s="691">
        <v>16.144509113826501</v>
      </c>
      <c r="J84" s="691">
        <v>16.087124311809401</v>
      </c>
      <c r="K84" s="691">
        <v>19.1992801690212</v>
      </c>
      <c r="L84" s="691">
        <v>15.8704292526691</v>
      </c>
      <c r="M84" s="691">
        <v>15.3229731659144</v>
      </c>
      <c r="N84" s="691">
        <v>8.1655930550590003</v>
      </c>
      <c r="O84" s="691">
        <v>6.8847607766557202</v>
      </c>
      <c r="P84" s="691">
        <v>5.2127951751108696</v>
      </c>
      <c r="Q84" s="691">
        <v>3.0728506488529801</v>
      </c>
      <c r="R84" s="691">
        <v>1.6026047204728699</v>
      </c>
      <c r="S84" s="691"/>
      <c r="T84" s="691">
        <v>4.7584715212689255E-2</v>
      </c>
      <c r="U84" s="691">
        <v>5.4974765681326601E-2</v>
      </c>
      <c r="V84" s="691">
        <v>5.6056236481614993E-2</v>
      </c>
      <c r="W84" s="691">
        <v>5.3532804614275412E-2</v>
      </c>
      <c r="X84" s="691">
        <v>5.6596971881759189E-2</v>
      </c>
      <c r="Y84" s="691">
        <v>6.4888248017303529E-2</v>
      </c>
      <c r="Z84" s="691">
        <v>6.2725306416726745E-2</v>
      </c>
      <c r="AA84" s="691">
        <v>6.4888248017303529E-2</v>
      </c>
      <c r="AB84" s="691">
        <v>6.2364816149963948E-2</v>
      </c>
      <c r="AC84" s="691">
        <v>5.6596971881759189E-2</v>
      </c>
      <c r="AD84" s="691">
        <v>6.3266041816870941E-2</v>
      </c>
      <c r="AE84" s="691">
        <v>6.6690699351117516E-2</v>
      </c>
      <c r="AF84" s="691">
        <v>6.4347512617159333E-2</v>
      </c>
      <c r="AG84" s="691">
        <v>6.4347512617159333E-2</v>
      </c>
      <c r="AH84" s="691">
        <v>6.4527757750540732E-2</v>
      </c>
      <c r="AI84" s="691">
        <v>4.0555155010814706E-2</v>
      </c>
      <c r="AJ84" s="691"/>
      <c r="AK84" s="691">
        <f t="shared" si="34"/>
        <v>14.049725220989542</v>
      </c>
      <c r="AL84" s="691">
        <f t="shared" si="35"/>
        <v>14.578130786446867</v>
      </c>
      <c r="AM84" s="691">
        <f t="shared" si="36"/>
        <v>17.124947529450598</v>
      </c>
      <c r="AN84" s="691">
        <f t="shared" si="37"/>
        <v>15.529302020701065</v>
      </c>
      <c r="AO84" s="691">
        <f t="shared" si="38"/>
        <v>13.317495766887321</v>
      </c>
      <c r="AP84" s="691">
        <f t="shared" si="39"/>
        <v>13.924151797574932</v>
      </c>
      <c r="AQ84" s="691">
        <f t="shared" si="40"/>
        <v>16.086518779365917</v>
      </c>
      <c r="AR84" s="691">
        <f t="shared" si="41"/>
        <v>15.495028764221972</v>
      </c>
      <c r="AS84" s="691">
        <f t="shared" si="42"/>
        <v>19.240897105803761</v>
      </c>
      <c r="AT84" s="691">
        <f t="shared" si="43"/>
        <v>17.525704915168824</v>
      </c>
      <c r="AU84" s="691">
        <f t="shared" si="44"/>
        <v>15.137438590543642</v>
      </c>
      <c r="AV84" s="691">
        <f t="shared" si="45"/>
        <v>7.6524848428154284</v>
      </c>
      <c r="AW84" s="691">
        <f t="shared" si="46"/>
        <v>6.687089073684513</v>
      </c>
      <c r="AX84" s="691">
        <f t="shared" si="47"/>
        <v>5.0631280867498436</v>
      </c>
      <c r="AY84" s="691">
        <f t="shared" si="48"/>
        <v>2.9762876047200306</v>
      </c>
      <c r="AZ84" s="691">
        <f t="shared" si="49"/>
        <v>2.4697919414398566</v>
      </c>
      <c r="BA84" s="691"/>
      <c r="BB84" s="691">
        <f t="shared" si="50"/>
        <v>12.303632676660259</v>
      </c>
    </row>
    <row r="85" spans="1:54" x14ac:dyDescent="0.35">
      <c r="A85" s="129" t="s">
        <v>361</v>
      </c>
      <c r="B85" s="129" t="str">
        <f>VLOOKUP(A85,'HCW, Staff, Beds Summary'!B:E,4,FALSE)</f>
        <v>High income</v>
      </c>
      <c r="C85" s="691">
        <v>9.0883605218501398</v>
      </c>
      <c r="D85" s="691">
        <v>13.8362961067418</v>
      </c>
      <c r="E85" s="691">
        <v>17.787799146670501</v>
      </c>
      <c r="F85" s="691">
        <v>22.681313323717799</v>
      </c>
      <c r="G85" s="691">
        <v>17.512594605283599</v>
      </c>
      <c r="H85" s="691">
        <v>20.407961637075701</v>
      </c>
      <c r="I85" s="691">
        <v>20.225481949658398</v>
      </c>
      <c r="J85" s="691">
        <v>19.555618123489001</v>
      </c>
      <c r="K85" s="691">
        <v>18.442112475272101</v>
      </c>
      <c r="L85" s="691">
        <v>14.447928082795</v>
      </c>
      <c r="M85" s="691">
        <v>11.569087255402801</v>
      </c>
      <c r="N85" s="691">
        <v>6.9114521676931897</v>
      </c>
      <c r="O85" s="691">
        <v>4.59724878522041</v>
      </c>
      <c r="P85" s="691">
        <v>3.6645368865636798</v>
      </c>
      <c r="Q85" s="691">
        <v>2.3673718575835401</v>
      </c>
      <c r="R85" s="691">
        <v>1.38376048636802</v>
      </c>
      <c r="S85" s="691"/>
      <c r="T85" s="691">
        <v>5.3024026512013253E-2</v>
      </c>
      <c r="U85" s="691">
        <v>5.6338028169014086E-2</v>
      </c>
      <c r="V85" s="691">
        <v>5.6338028169014086E-2</v>
      </c>
      <c r="W85" s="691">
        <v>6.0480530240265118E-2</v>
      </c>
      <c r="X85" s="691">
        <v>7.7879038939519474E-2</v>
      </c>
      <c r="Y85" s="691">
        <v>8.1193040596520299E-2</v>
      </c>
      <c r="Z85" s="691">
        <v>8.0364540182270086E-2</v>
      </c>
      <c r="AA85" s="691">
        <v>7.6222038111019061E-2</v>
      </c>
      <c r="AB85" s="691">
        <v>7.2079536039768022E-2</v>
      </c>
      <c r="AC85" s="691">
        <v>6.5451532725766357E-2</v>
      </c>
      <c r="AD85" s="691">
        <v>6.2966031483015744E-2</v>
      </c>
      <c r="AE85" s="691">
        <v>5.9652029826014911E-2</v>
      </c>
      <c r="AF85" s="691">
        <v>5.3024026512013253E-2</v>
      </c>
      <c r="AG85" s="691">
        <v>4.5567522783761395E-2</v>
      </c>
      <c r="AH85" s="691">
        <v>3.811101905550953E-2</v>
      </c>
      <c r="AI85" s="691">
        <v>2.7340513670256836E-2</v>
      </c>
      <c r="AJ85" s="691"/>
      <c r="AK85" s="691">
        <f t="shared" si="34"/>
        <v>10.712549951047968</v>
      </c>
      <c r="AL85" s="691">
        <f t="shared" si="35"/>
        <v>15.349640993416685</v>
      </c>
      <c r="AM85" s="691">
        <f t="shared" si="36"/>
        <v>19.733339678337586</v>
      </c>
      <c r="AN85" s="691">
        <f t="shared" si="37"/>
        <v>23.438651696684403</v>
      </c>
      <c r="AO85" s="691">
        <f t="shared" si="38"/>
        <v>14.054322931234909</v>
      </c>
      <c r="AP85" s="691">
        <f t="shared" si="39"/>
        <v>15.709444959152021</v>
      </c>
      <c r="AQ85" s="691">
        <f t="shared" si="40"/>
        <v>15.729482418323252</v>
      </c>
      <c r="AR85" s="691">
        <f t="shared" si="41"/>
        <v>16.03507545859458</v>
      </c>
      <c r="AS85" s="691">
        <f t="shared" si="42"/>
        <v>15.991113331647576</v>
      </c>
      <c r="AT85" s="691">
        <f t="shared" si="43"/>
        <v>13.796399680327189</v>
      </c>
      <c r="AU85" s="691">
        <f t="shared" si="44"/>
        <v>11.483460787229589</v>
      </c>
      <c r="AV85" s="691">
        <f t="shared" si="45"/>
        <v>7.241426012504931</v>
      </c>
      <c r="AW85" s="691">
        <f t="shared" si="46"/>
        <v>5.4188274255478861</v>
      </c>
      <c r="AX85" s="691">
        <f t="shared" si="47"/>
        <v>5.026245479639047</v>
      </c>
      <c r="AY85" s="691">
        <f t="shared" si="48"/>
        <v>3.8823611849230062</v>
      </c>
      <c r="AZ85" s="691">
        <f t="shared" si="49"/>
        <v>3.1632555057693184</v>
      </c>
      <c r="BA85" s="691"/>
      <c r="BB85" s="691">
        <f t="shared" si="50"/>
        <v>12.297849843398748</v>
      </c>
    </row>
    <row r="86" spans="1:54" x14ac:dyDescent="0.35">
      <c r="A86" s="129" t="s">
        <v>219</v>
      </c>
      <c r="B86" s="129" t="str">
        <f>VLOOKUP(A86,'HCW, Staff, Beds Summary'!B:E,4,FALSE)</f>
        <v>Lower middle income</v>
      </c>
      <c r="C86" s="691">
        <v>13.3242263837537</v>
      </c>
      <c r="D86" s="691">
        <v>24.609854506485899</v>
      </c>
      <c r="E86" s="691">
        <v>30.864506552282698</v>
      </c>
      <c r="F86" s="691">
        <v>29.553577243747501</v>
      </c>
      <c r="G86" s="691">
        <v>18.6327359130477</v>
      </c>
      <c r="H86" s="691">
        <v>18.925150845235201</v>
      </c>
      <c r="I86" s="691">
        <v>18.2068464985195</v>
      </c>
      <c r="J86" s="691">
        <v>17.507589675672101</v>
      </c>
      <c r="K86" s="691">
        <v>15.892980396418</v>
      </c>
      <c r="L86" s="691">
        <v>12.8477705358692</v>
      </c>
      <c r="M86" s="691">
        <v>10.0713859702773</v>
      </c>
      <c r="N86" s="691">
        <v>6.17911422226135</v>
      </c>
      <c r="O86" s="691">
        <v>3.1946292191036898</v>
      </c>
      <c r="P86" s="691">
        <v>1.43993906705008</v>
      </c>
      <c r="Q86" s="691">
        <v>0.77175152767813704</v>
      </c>
      <c r="R86" s="691">
        <v>0.48340064385127401</v>
      </c>
      <c r="S86" s="691"/>
      <c r="T86" s="691">
        <v>0.10160198749250407</v>
      </c>
      <c r="U86" s="691">
        <v>0.10100231303006939</v>
      </c>
      <c r="V86" s="691">
        <v>9.946029298380879E-2</v>
      </c>
      <c r="W86" s="691">
        <v>9.7404266255461322E-2</v>
      </c>
      <c r="X86" s="691">
        <v>9.1236186070418918E-2</v>
      </c>
      <c r="Y86" s="691">
        <v>8.3440418058768104E-2</v>
      </c>
      <c r="Z86" s="691">
        <v>7.4616636682943549E-2</v>
      </c>
      <c r="AA86" s="691">
        <v>6.5792855307118994E-2</v>
      </c>
      <c r="AB86" s="691">
        <v>5.7226077272337875E-2</v>
      </c>
      <c r="AC86" s="691">
        <v>4.8830634798252379E-2</v>
      </c>
      <c r="AD86" s="691">
        <v>4.112053456694937E-2</v>
      </c>
      <c r="AE86" s="691">
        <v>3.4524115480167906E-2</v>
      </c>
      <c r="AF86" s="691">
        <v>2.8784374196864561E-2</v>
      </c>
      <c r="AG86" s="691">
        <v>2.3901310717039322E-2</v>
      </c>
      <c r="AH86" s="691">
        <v>1.9275250578257519E-2</v>
      </c>
      <c r="AI86" s="691">
        <v>1.4306519318084469E-2</v>
      </c>
      <c r="AJ86" s="691"/>
      <c r="AK86" s="691">
        <f t="shared" si="34"/>
        <v>8.196337193168052</v>
      </c>
      <c r="AL86" s="691">
        <f t="shared" si="35"/>
        <v>15.228521610168039</v>
      </c>
      <c r="AM86" s="691">
        <f t="shared" si="36"/>
        <v>19.394992731739659</v>
      </c>
      <c r="AN86" s="691">
        <f t="shared" si="37"/>
        <v>18.963220490669777</v>
      </c>
      <c r="AO86" s="691">
        <f t="shared" si="38"/>
        <v>12.764080182688133</v>
      </c>
      <c r="AP86" s="691">
        <f t="shared" si="39"/>
        <v>14.175647190479369</v>
      </c>
      <c r="AQ86" s="691">
        <f t="shared" si="40"/>
        <v>15.250324280799234</v>
      </c>
      <c r="AR86" s="691">
        <f t="shared" si="41"/>
        <v>16.631355329111361</v>
      </c>
      <c r="AS86" s="691">
        <f t="shared" si="42"/>
        <v>17.357668428834891</v>
      </c>
      <c r="AT86" s="691">
        <f t="shared" si="43"/>
        <v>16.444301037851005</v>
      </c>
      <c r="AU86" s="691">
        <f t="shared" si="44"/>
        <v>15.307719847792567</v>
      </c>
      <c r="AV86" s="691">
        <f t="shared" si="45"/>
        <v>11.18622833691947</v>
      </c>
      <c r="AW86" s="691">
        <f t="shared" si="46"/>
        <v>6.9365526180426658</v>
      </c>
      <c r="AX86" s="691">
        <f t="shared" si="47"/>
        <v>3.7653245362176486</v>
      </c>
      <c r="AY86" s="691">
        <f t="shared" si="48"/>
        <v>2.5024043284963593</v>
      </c>
      <c r="AZ86" s="691">
        <f t="shared" si="49"/>
        <v>2.111802288800869</v>
      </c>
      <c r="BA86" s="691"/>
      <c r="BB86" s="691">
        <f t="shared" si="50"/>
        <v>12.263530026986194</v>
      </c>
    </row>
    <row r="87" spans="1:54" x14ac:dyDescent="0.35">
      <c r="A87" s="129" t="s">
        <v>258</v>
      </c>
      <c r="B87" s="129" t="str">
        <f>VLOOKUP(A87,'HCW, Staff, Beds Summary'!B:E,4,FALSE)</f>
        <v>Lower middle income</v>
      </c>
      <c r="C87" s="691">
        <v>18.5723630962624</v>
      </c>
      <c r="D87" s="691">
        <v>30.619896021221301</v>
      </c>
      <c r="E87" s="691">
        <v>33.428446193903703</v>
      </c>
      <c r="F87" s="691">
        <v>30.886318179579099</v>
      </c>
      <c r="G87" s="691">
        <v>18.735367988765301</v>
      </c>
      <c r="H87" s="691">
        <v>17.714526864665</v>
      </c>
      <c r="I87" s="691">
        <v>16.4109757758639</v>
      </c>
      <c r="J87" s="691">
        <v>15.6507082114976</v>
      </c>
      <c r="K87" s="691">
        <v>13.4372505277932</v>
      </c>
      <c r="L87" s="691">
        <v>10.6976242072717</v>
      </c>
      <c r="M87" s="691">
        <v>8.3890230492998796</v>
      </c>
      <c r="N87" s="691">
        <v>5.79918575959584</v>
      </c>
      <c r="O87" s="691">
        <v>3.36769545015005</v>
      </c>
      <c r="P87" s="691">
        <v>1.33457864932391</v>
      </c>
      <c r="Q87" s="691">
        <v>0.28885270810489</v>
      </c>
      <c r="R87" s="691">
        <v>0.19758150241255701</v>
      </c>
      <c r="S87" s="691"/>
      <c r="T87" s="691">
        <v>0.13680781758957655</v>
      </c>
      <c r="U87" s="691">
        <v>0.12703583061889251</v>
      </c>
      <c r="V87" s="691">
        <v>0.12052117263843648</v>
      </c>
      <c r="W87" s="691">
        <v>9.7719869706840393E-2</v>
      </c>
      <c r="X87" s="691">
        <v>8.4690553745928335E-2</v>
      </c>
      <c r="Y87" s="691">
        <v>8.143322475570032E-2</v>
      </c>
      <c r="Z87" s="691">
        <v>7.4918566775244305E-2</v>
      </c>
      <c r="AA87" s="691">
        <v>5.8631921824104233E-2</v>
      </c>
      <c r="AB87" s="691">
        <v>5.2442996742671007E-2</v>
      </c>
      <c r="AC87" s="691">
        <v>4.267100977198697E-2</v>
      </c>
      <c r="AD87" s="691">
        <v>3.7785016286644948E-2</v>
      </c>
      <c r="AE87" s="691">
        <v>2.8990228013029317E-2</v>
      </c>
      <c r="AF87" s="691">
        <v>2.2149837133550489E-2</v>
      </c>
      <c r="AG87" s="691">
        <v>1.530944625407166E-2</v>
      </c>
      <c r="AH87" s="691">
        <v>1.0423452768729642E-2</v>
      </c>
      <c r="AI87" s="691">
        <v>5.5374592833876222E-3</v>
      </c>
      <c r="AJ87" s="691"/>
      <c r="AK87" s="691">
        <f t="shared" si="34"/>
        <v>8.4846956407032099</v>
      </c>
      <c r="AL87" s="691">
        <f t="shared" si="35"/>
        <v>15.064596279671377</v>
      </c>
      <c r="AM87" s="691">
        <f t="shared" si="36"/>
        <v>17.335359766095333</v>
      </c>
      <c r="AN87" s="691">
        <f t="shared" si="37"/>
        <v>19.754374335689132</v>
      </c>
      <c r="AO87" s="691">
        <f t="shared" si="38"/>
        <v>13.826341280170547</v>
      </c>
      <c r="AP87" s="691">
        <f t="shared" si="39"/>
        <v>13.595899368630388</v>
      </c>
      <c r="AQ87" s="691">
        <f t="shared" si="40"/>
        <v>13.69067816084298</v>
      </c>
      <c r="AR87" s="691">
        <f t="shared" si="41"/>
        <v>16.683220211561679</v>
      </c>
      <c r="AS87" s="691">
        <f t="shared" si="42"/>
        <v>16.014114565343604</v>
      </c>
      <c r="AT87" s="691">
        <f t="shared" si="43"/>
        <v>15.668753013513415</v>
      </c>
      <c r="AU87" s="691">
        <f t="shared" si="44"/>
        <v>13.876239634348401</v>
      </c>
      <c r="AV87" s="691">
        <f t="shared" si="45"/>
        <v>12.502458063173615</v>
      </c>
      <c r="AW87" s="691">
        <f t="shared" si="46"/>
        <v>9.5025965367285412</v>
      </c>
      <c r="AX87" s="691">
        <f t="shared" si="47"/>
        <v>5.448346347638835</v>
      </c>
      <c r="AY87" s="691">
        <f t="shared" si="48"/>
        <v>1.7319879177383053</v>
      </c>
      <c r="AZ87" s="691">
        <f t="shared" si="49"/>
        <v>2.2300559279652572</v>
      </c>
      <c r="BA87" s="691"/>
      <c r="BB87" s="691">
        <f t="shared" si="50"/>
        <v>12.213107315613414</v>
      </c>
    </row>
    <row r="88" spans="1:54" x14ac:dyDescent="0.35">
      <c r="A88" s="129" t="s">
        <v>556</v>
      </c>
      <c r="B88" s="129" t="str">
        <f>VLOOKUP(A88,'HCW, Staff, Beds Summary'!B:E,4,FALSE)</f>
        <v>High income</v>
      </c>
      <c r="C88" s="691">
        <v>8.8651643922710903</v>
      </c>
      <c r="D88" s="691">
        <v>15.571761646236199</v>
      </c>
      <c r="E88" s="691">
        <v>20.229695294864101</v>
      </c>
      <c r="F88" s="691">
        <v>24.228711980891099</v>
      </c>
      <c r="G88" s="691">
        <v>15.090999155260601</v>
      </c>
      <c r="H88" s="691">
        <v>16.3668402207154</v>
      </c>
      <c r="I88" s="691">
        <v>16.957956703231101</v>
      </c>
      <c r="J88" s="691">
        <v>17.782866118731899</v>
      </c>
      <c r="K88" s="691">
        <v>17.332615604824099</v>
      </c>
      <c r="L88" s="691">
        <v>14.352555992096301</v>
      </c>
      <c r="M88" s="691">
        <v>11.620549198686</v>
      </c>
      <c r="N88" s="691">
        <v>7.8236717610901296</v>
      </c>
      <c r="O88" s="691">
        <v>4.7491403963379</v>
      </c>
      <c r="P88" s="691">
        <v>3.3084194225927201</v>
      </c>
      <c r="Q88" s="691">
        <v>2.0910887994573</v>
      </c>
      <c r="R88" s="691">
        <v>1.2878357832173499</v>
      </c>
      <c r="S88" s="691"/>
      <c r="T88" s="691">
        <v>5.9445942485274843E-2</v>
      </c>
      <c r="U88" s="691">
        <v>6.0560685717728935E-2</v>
      </c>
      <c r="V88" s="691">
        <v>6.3712094964072125E-2</v>
      </c>
      <c r="W88" s="691">
        <v>6.4176069174336797E-2</v>
      </c>
      <c r="X88" s="691">
        <v>6.724613229290631E-2</v>
      </c>
      <c r="Y88" s="691">
        <v>7.2009399996987175E-2</v>
      </c>
      <c r="Z88" s="691">
        <v>6.9644336652456201E-2</v>
      </c>
      <c r="AA88" s="691">
        <v>6.5305876504526766E-2</v>
      </c>
      <c r="AB88" s="691">
        <v>6.1310877784975071E-2</v>
      </c>
      <c r="AC88" s="691">
        <v>6.0584788274106322E-2</v>
      </c>
      <c r="AD88" s="691">
        <v>6.216953135591944E-2</v>
      </c>
      <c r="AE88" s="691">
        <v>6.5082927858035947E-2</v>
      </c>
      <c r="AF88" s="691">
        <v>6.2446710754259373E-2</v>
      </c>
      <c r="AG88" s="691">
        <v>5.3836072488438302E-2</v>
      </c>
      <c r="AH88" s="691">
        <v>4.3369537381558534E-2</v>
      </c>
      <c r="AI88" s="691">
        <v>2.939005468267478E-2</v>
      </c>
      <c r="AJ88" s="691"/>
      <c r="AK88" s="691">
        <f t="shared" si="34"/>
        <v>9.3206155265212711</v>
      </c>
      <c r="AL88" s="691">
        <f t="shared" si="35"/>
        <v>16.070410883819488</v>
      </c>
      <c r="AM88" s="691">
        <f t="shared" si="36"/>
        <v>19.844834118890439</v>
      </c>
      <c r="AN88" s="691">
        <f t="shared" si="37"/>
        <v>23.595937212858168</v>
      </c>
      <c r="AO88" s="691">
        <f t="shared" si="38"/>
        <v>14.025898814455429</v>
      </c>
      <c r="AP88" s="691">
        <f t="shared" si="39"/>
        <v>14.205471977790554</v>
      </c>
      <c r="AQ88" s="691">
        <f t="shared" si="40"/>
        <v>15.218355790234446</v>
      </c>
      <c r="AR88" s="691">
        <f t="shared" si="41"/>
        <v>17.018822683494701</v>
      </c>
      <c r="AS88" s="691">
        <f t="shared" si="42"/>
        <v>17.668781045685474</v>
      </c>
      <c r="AT88" s="691">
        <f t="shared" si="43"/>
        <v>14.806270271136816</v>
      </c>
      <c r="AU88" s="691">
        <f t="shared" si="44"/>
        <v>11.682319442942402</v>
      </c>
      <c r="AV88" s="691">
        <f t="shared" si="45"/>
        <v>7.5131758997495321</v>
      </c>
      <c r="AW88" s="691">
        <f t="shared" si="46"/>
        <v>4.7531931015417515</v>
      </c>
      <c r="AX88" s="691">
        <f t="shared" si="47"/>
        <v>3.8408487906775099</v>
      </c>
      <c r="AY88" s="691">
        <f t="shared" si="48"/>
        <v>3.0134757679396911</v>
      </c>
      <c r="AZ88" s="691">
        <f t="shared" si="49"/>
        <v>2.7386725652651633</v>
      </c>
      <c r="BA88" s="691"/>
      <c r="BB88" s="691">
        <f t="shared" si="50"/>
        <v>12.207317743312677</v>
      </c>
    </row>
    <row r="89" spans="1:54" x14ac:dyDescent="0.35">
      <c r="A89" s="129" t="s">
        <v>184</v>
      </c>
      <c r="B89" s="129" t="str">
        <f>VLOOKUP(A89,'HCW, Staff, Beds Summary'!B:E,4,FALSE)</f>
        <v>Upper middle income</v>
      </c>
      <c r="C89" s="691">
        <v>13.7222465243191</v>
      </c>
      <c r="D89" s="691">
        <v>26.2823911629742</v>
      </c>
      <c r="E89" s="691">
        <v>34.877276236701597</v>
      </c>
      <c r="F89" s="691">
        <v>29.214229554734601</v>
      </c>
      <c r="G89" s="691">
        <v>21.556510105775999</v>
      </c>
      <c r="H89" s="691">
        <v>20.3839128049731</v>
      </c>
      <c r="I89" s="691">
        <v>18.609955005693301</v>
      </c>
      <c r="J89" s="691">
        <v>16.732890380945101</v>
      </c>
      <c r="K89" s="691">
        <v>13.5411671833086</v>
      </c>
      <c r="L89" s="691">
        <v>9.9311633754156006</v>
      </c>
      <c r="M89" s="691">
        <v>7.90567979430128</v>
      </c>
      <c r="N89" s="691">
        <v>4.79702371853723</v>
      </c>
      <c r="O89" s="691">
        <v>2.4194069434605701</v>
      </c>
      <c r="P89" s="691">
        <v>1.42957379974665</v>
      </c>
      <c r="Q89" s="691">
        <v>0.84880161905491702</v>
      </c>
      <c r="R89" s="691">
        <v>1.02865948206266</v>
      </c>
      <c r="S89" s="691"/>
      <c r="T89" s="691">
        <v>0.11564625850340136</v>
      </c>
      <c r="U89" s="691">
        <v>0.11352040816326531</v>
      </c>
      <c r="V89" s="691">
        <v>0.10501700680272109</v>
      </c>
      <c r="W89" s="691">
        <v>9.5663265306122444E-2</v>
      </c>
      <c r="X89" s="691">
        <v>8.673469387755102E-2</v>
      </c>
      <c r="Y89" s="691">
        <v>8.4608843537414963E-2</v>
      </c>
      <c r="Z89" s="691">
        <v>7.950680272108844E-2</v>
      </c>
      <c r="AA89" s="691">
        <v>7.5680272108843538E-2</v>
      </c>
      <c r="AB89" s="691">
        <v>6.3350340136054423E-2</v>
      </c>
      <c r="AC89" s="691">
        <v>4.7619047619047616E-2</v>
      </c>
      <c r="AD89" s="691">
        <v>3.4438775510204078E-2</v>
      </c>
      <c r="AE89" s="691">
        <v>2.8061224489795918E-2</v>
      </c>
      <c r="AF89" s="691">
        <v>2.5085034013605442E-2</v>
      </c>
      <c r="AG89" s="691">
        <v>1.9557823129251702E-2</v>
      </c>
      <c r="AH89" s="691">
        <v>1.2329931972789115E-2</v>
      </c>
      <c r="AI89" s="691">
        <v>8.2482993197278906E-3</v>
      </c>
      <c r="AJ89" s="691"/>
      <c r="AK89" s="691">
        <f t="shared" si="34"/>
        <v>7.416067055422455</v>
      </c>
      <c r="AL89" s="691">
        <f t="shared" si="35"/>
        <v>14.470080527929616</v>
      </c>
      <c r="AM89" s="691">
        <f t="shared" si="36"/>
        <v>20.756921485000543</v>
      </c>
      <c r="AN89" s="691">
        <f t="shared" si="37"/>
        <v>19.086629975759941</v>
      </c>
      <c r="AO89" s="691">
        <f t="shared" si="38"/>
        <v>15.533367576220941</v>
      </c>
      <c r="AP89" s="691">
        <f t="shared" si="39"/>
        <v>15.0574632277942</v>
      </c>
      <c r="AQ89" s="691">
        <f t="shared" si="40"/>
        <v>14.629215967042327</v>
      </c>
      <c r="AR89" s="691">
        <f t="shared" si="41"/>
        <v>13.81873531460073</v>
      </c>
      <c r="AS89" s="691">
        <f t="shared" si="42"/>
        <v>13.359406549975599</v>
      </c>
      <c r="AT89" s="691">
        <f t="shared" si="43"/>
        <v>13.034651930232977</v>
      </c>
      <c r="AU89" s="691">
        <f t="shared" si="44"/>
        <v>14.347344811880102</v>
      </c>
      <c r="AV89" s="691">
        <f t="shared" si="45"/>
        <v>10.684280100378375</v>
      </c>
      <c r="AW89" s="691">
        <f t="shared" si="46"/>
        <v>6.0280139099780303</v>
      </c>
      <c r="AX89" s="691">
        <f t="shared" si="47"/>
        <v>4.568420620929512</v>
      </c>
      <c r="AY89" s="691">
        <f t="shared" si="48"/>
        <v>4.3025461379680277</v>
      </c>
      <c r="AZ89" s="691">
        <f t="shared" si="49"/>
        <v>7.7944816424335581</v>
      </c>
      <c r="BA89" s="691"/>
      <c r="BB89" s="691">
        <f t="shared" si="50"/>
        <v>12.180476677096683</v>
      </c>
    </row>
    <row r="90" spans="1:54" x14ac:dyDescent="0.35">
      <c r="A90" s="129" t="s">
        <v>336</v>
      </c>
      <c r="B90" s="129" t="str">
        <f>VLOOKUP(A90,'HCW, Staff, Beds Summary'!B:E,4,FALSE)</f>
        <v>Upper middle income</v>
      </c>
      <c r="C90" s="691">
        <v>9.6339600698275305</v>
      </c>
      <c r="D90" s="691">
        <v>21.4206862307067</v>
      </c>
      <c r="E90" s="691">
        <v>27.950348013560099</v>
      </c>
      <c r="F90" s="691">
        <v>30.508814033125098</v>
      </c>
      <c r="G90" s="691">
        <v>19.202905946454301</v>
      </c>
      <c r="H90" s="691">
        <v>19.905196300363301</v>
      </c>
      <c r="I90" s="691">
        <v>19.267911907678702</v>
      </c>
      <c r="J90" s="691">
        <v>18.484394361860499</v>
      </c>
      <c r="K90" s="691">
        <v>16.7879566551387</v>
      </c>
      <c r="L90" s="691">
        <v>12.8428827946104</v>
      </c>
      <c r="M90" s="691">
        <v>9.5028758483293991</v>
      </c>
      <c r="N90" s="691">
        <v>5.7894462899157197</v>
      </c>
      <c r="O90" s="691">
        <v>3.1841974528505999</v>
      </c>
      <c r="P90" s="691">
        <v>2.0592671665063098</v>
      </c>
      <c r="Q90" s="691">
        <v>1.2092825385582699</v>
      </c>
      <c r="R90" s="691">
        <v>0.73462600337728101</v>
      </c>
      <c r="S90" s="691"/>
      <c r="T90" s="691">
        <v>6.8098739644051776E-2</v>
      </c>
      <c r="U90" s="691">
        <v>6.869622081398577E-2</v>
      </c>
      <c r="V90" s="691">
        <v>7.0295776701998033E-2</v>
      </c>
      <c r="W90" s="691">
        <v>7.6298815858185251E-2</v>
      </c>
      <c r="X90" s="691">
        <v>8.0692889974077781E-2</v>
      </c>
      <c r="Y90" s="691">
        <v>7.9756679321976484E-2</v>
      </c>
      <c r="Z90" s="691">
        <v>8.0674071669512931E-2</v>
      </c>
      <c r="AA90" s="691">
        <v>8.1525599951072406E-2</v>
      </c>
      <c r="AB90" s="691">
        <v>7.3683071523671081E-2</v>
      </c>
      <c r="AC90" s="691">
        <v>6.4927855324874509E-2</v>
      </c>
      <c r="AD90" s="691">
        <v>6.0326779858768623E-2</v>
      </c>
      <c r="AE90" s="691">
        <v>5.4563674085783241E-2</v>
      </c>
      <c r="AF90" s="691">
        <v>4.4542926905000495E-2</v>
      </c>
      <c r="AG90" s="691">
        <v>3.4945591576926879E-2</v>
      </c>
      <c r="AH90" s="691">
        <v>2.4976594733697469E-2</v>
      </c>
      <c r="AI90" s="691">
        <v>1.6428379885114249E-2</v>
      </c>
      <c r="AJ90" s="691"/>
      <c r="AK90" s="691">
        <f t="shared" si="34"/>
        <v>8.8419037931022011</v>
      </c>
      <c r="AL90" s="691">
        <f t="shared" si="35"/>
        <v>19.488595930834752</v>
      </c>
      <c r="AM90" s="691">
        <f t="shared" si="36"/>
        <v>24.850664332980529</v>
      </c>
      <c r="AN90" s="691">
        <f t="shared" si="37"/>
        <v>24.99122503571278</v>
      </c>
      <c r="AO90" s="691">
        <f t="shared" si="38"/>
        <v>14.87344947044215</v>
      </c>
      <c r="AP90" s="691">
        <f t="shared" si="39"/>
        <v>15.598377206132112</v>
      </c>
      <c r="AQ90" s="691">
        <f t="shared" si="40"/>
        <v>14.927280467052562</v>
      </c>
      <c r="AR90" s="691">
        <f t="shared" si="41"/>
        <v>14.170697895012356</v>
      </c>
      <c r="AS90" s="691">
        <f t="shared" si="42"/>
        <v>14.240004783311624</v>
      </c>
      <c r="AT90" s="691">
        <f t="shared" si="43"/>
        <v>12.362647289777877</v>
      </c>
      <c r="AU90" s="691">
        <f t="shared" si="44"/>
        <v>9.8452087432984126</v>
      </c>
      <c r="AV90" s="691">
        <f t="shared" si="45"/>
        <v>6.6315254458645647</v>
      </c>
      <c r="AW90" s="691">
        <f t="shared" si="46"/>
        <v>4.467877497758705</v>
      </c>
      <c r="AX90" s="691">
        <f t="shared" si="47"/>
        <v>3.6829880994666691</v>
      </c>
      <c r="AY90" s="691">
        <f t="shared" si="48"/>
        <v>3.0260393566750716</v>
      </c>
      <c r="AZ90" s="691">
        <f t="shared" si="49"/>
        <v>2.7948054240383642</v>
      </c>
      <c r="BA90" s="691"/>
      <c r="BB90" s="691">
        <f t="shared" si="50"/>
        <v>12.174580673216294</v>
      </c>
    </row>
    <row r="91" spans="1:54" x14ac:dyDescent="0.35">
      <c r="A91" s="129" t="s">
        <v>228</v>
      </c>
      <c r="B91" s="129" t="str">
        <f>VLOOKUP(A91,'HCW, Staff, Beds Summary'!B:E,4,FALSE)</f>
        <v>Upper middle income</v>
      </c>
      <c r="C91" s="691">
        <v>12.9020619618565</v>
      </c>
      <c r="D91" s="691">
        <v>23.632735152385798</v>
      </c>
      <c r="E91" s="691">
        <v>29.714833950935201</v>
      </c>
      <c r="F91" s="691">
        <v>31.040221184564601</v>
      </c>
      <c r="G91" s="691">
        <v>20.235161282853099</v>
      </c>
      <c r="H91" s="691">
        <v>20.242552509828698</v>
      </c>
      <c r="I91" s="691">
        <v>18.5487238349228</v>
      </c>
      <c r="J91" s="691">
        <v>17.258621968206199</v>
      </c>
      <c r="K91" s="691">
        <v>15.6579698112887</v>
      </c>
      <c r="L91" s="691">
        <v>12.345578488290499</v>
      </c>
      <c r="M91" s="691">
        <v>9.2432537784236999</v>
      </c>
      <c r="N91" s="691">
        <v>5.7878817884957297</v>
      </c>
      <c r="O91" s="691">
        <v>3.0081713270668802</v>
      </c>
      <c r="P91" s="691">
        <v>1.58930992124601</v>
      </c>
      <c r="Q91" s="691">
        <v>0.88934011695958204</v>
      </c>
      <c r="R91" s="691">
        <v>0.53119754463586899</v>
      </c>
      <c r="S91" s="691"/>
      <c r="T91" s="691">
        <v>9.82756203560914E-2</v>
      </c>
      <c r="U91" s="691">
        <v>9.5752137950371519E-2</v>
      </c>
      <c r="V91" s="691">
        <v>9.4910977148464887E-2</v>
      </c>
      <c r="W91" s="691">
        <v>9.2387494742744991E-2</v>
      </c>
      <c r="X91" s="691">
        <v>9.4910977148464887E-2</v>
      </c>
      <c r="Y91" s="691">
        <v>9.0144399270993977E-2</v>
      </c>
      <c r="Z91" s="691">
        <v>8.3415112855740922E-2</v>
      </c>
      <c r="AA91" s="691">
        <v>7.2059442030001405E-2</v>
      </c>
      <c r="AB91" s="691">
        <v>5.7058741062666479E-2</v>
      </c>
      <c r="AC91" s="691">
        <v>4.5002102902004765E-2</v>
      </c>
      <c r="AD91" s="691">
        <v>4.0796298892471612E-2</v>
      </c>
      <c r="AE91" s="691">
        <v>3.6169914481985137E-2</v>
      </c>
      <c r="AF91" s="691">
        <v>3.0842562736576474E-2</v>
      </c>
      <c r="AG91" s="691">
        <v>2.5515210991167811E-2</v>
      </c>
      <c r="AH91" s="691">
        <v>1.7804570307023693E-2</v>
      </c>
      <c r="AI91" s="691">
        <v>1.2196831627646152E-2</v>
      </c>
      <c r="AJ91" s="691"/>
      <c r="AK91" s="691">
        <f t="shared" si="34"/>
        <v>8.2052788849788172</v>
      </c>
      <c r="AL91" s="691">
        <f t="shared" si="35"/>
        <v>15.425722899155188</v>
      </c>
      <c r="AM91" s="691">
        <f t="shared" si="36"/>
        <v>19.567569292099407</v>
      </c>
      <c r="AN91" s="691">
        <f t="shared" si="37"/>
        <v>20.998662529353119</v>
      </c>
      <c r="AO91" s="691">
        <f t="shared" si="38"/>
        <v>13.325092820401693</v>
      </c>
      <c r="AP91" s="691">
        <f t="shared" si="39"/>
        <v>14.034810172298609</v>
      </c>
      <c r="AQ91" s="691">
        <f t="shared" si="40"/>
        <v>13.897904108666422</v>
      </c>
      <c r="AR91" s="691">
        <f t="shared" si="41"/>
        <v>14.969084447861723</v>
      </c>
      <c r="AS91" s="691">
        <f t="shared" si="42"/>
        <v>17.151151514730081</v>
      </c>
      <c r="AT91" s="691">
        <f t="shared" si="43"/>
        <v>17.145835544582582</v>
      </c>
      <c r="AU91" s="691">
        <f t="shared" si="44"/>
        <v>14.160680670424453</v>
      </c>
      <c r="AV91" s="691">
        <f t="shared" si="45"/>
        <v>10.001201743541676</v>
      </c>
      <c r="AW91" s="691">
        <f t="shared" si="46"/>
        <v>6.0958199079454705</v>
      </c>
      <c r="AX91" s="691">
        <f t="shared" si="47"/>
        <v>3.8930452157444333</v>
      </c>
      <c r="AY91" s="691">
        <f t="shared" si="48"/>
        <v>3.1218814243468005</v>
      </c>
      <c r="AZ91" s="691">
        <f t="shared" si="49"/>
        <v>2.7220058088273373</v>
      </c>
      <c r="BA91" s="691"/>
      <c r="BB91" s="691">
        <f t="shared" si="50"/>
        <v>12.169734186559863</v>
      </c>
    </row>
    <row r="92" spans="1:54" x14ac:dyDescent="0.35">
      <c r="A92" s="129" t="s">
        <v>335</v>
      </c>
      <c r="B92" s="129" t="str">
        <f>VLOOKUP(A92,'HCW, Staff, Beds Summary'!B:E,4,FALSE)</f>
        <v>Upper middle income</v>
      </c>
      <c r="C92" s="691">
        <v>6.3188930617201997</v>
      </c>
      <c r="D92" s="691">
        <v>16.347379204441499</v>
      </c>
      <c r="E92" s="691">
        <v>23.769466845351101</v>
      </c>
      <c r="F92" s="691">
        <v>27.020569005380299</v>
      </c>
      <c r="G92" s="691">
        <v>14.1322555882315</v>
      </c>
      <c r="H92" s="691">
        <v>12.9403112240177</v>
      </c>
      <c r="I92" s="691">
        <v>12.3806184511326</v>
      </c>
      <c r="J92" s="691">
        <v>13.3698085225897</v>
      </c>
      <c r="K92" s="691">
        <v>13.6493810052076</v>
      </c>
      <c r="L92" s="691">
        <v>11.4210958568226</v>
      </c>
      <c r="M92" s="691">
        <v>9.0657694301847602</v>
      </c>
      <c r="N92" s="691">
        <v>6.6950505983930704</v>
      </c>
      <c r="O92" s="691">
        <v>4.3886585443304797</v>
      </c>
      <c r="P92" s="691">
        <v>4.6989134619083197</v>
      </c>
      <c r="Q92" s="691">
        <v>3.42365332680275</v>
      </c>
      <c r="R92" s="691">
        <v>1.8283877697758899</v>
      </c>
      <c r="S92" s="691"/>
      <c r="T92" s="691">
        <v>4.0841206949100886E-2</v>
      </c>
      <c r="U92" s="691">
        <v>4.9375190490704053E-2</v>
      </c>
      <c r="V92" s="691">
        <v>5.5166107893934779E-2</v>
      </c>
      <c r="W92" s="691">
        <v>5.0289545870161538E-2</v>
      </c>
      <c r="X92" s="691">
        <v>6.613837244742457E-2</v>
      </c>
      <c r="Y92" s="691">
        <v>5.6994818652849742E-2</v>
      </c>
      <c r="Z92" s="691">
        <v>6.613837244742457E-2</v>
      </c>
      <c r="AA92" s="691">
        <v>7.3758000609570259E-2</v>
      </c>
      <c r="AB92" s="691">
        <v>6.7357512953367879E-2</v>
      </c>
      <c r="AC92" s="691">
        <v>6.9186223712282835E-2</v>
      </c>
      <c r="AD92" s="691">
        <v>7.0405364218226157E-2</v>
      </c>
      <c r="AE92" s="691">
        <v>8.1987199024687596E-2</v>
      </c>
      <c r="AF92" s="691">
        <v>7.3453215483084422E-2</v>
      </c>
      <c r="AG92" s="691">
        <v>6.7662298079853703E-2</v>
      </c>
      <c r="AH92" s="691">
        <v>4.3584273087473334E-2</v>
      </c>
      <c r="AI92" s="691">
        <v>3.0173727522096922E-2</v>
      </c>
      <c r="AJ92" s="691"/>
      <c r="AK92" s="691">
        <f t="shared" si="34"/>
        <v>9.6699105109626746</v>
      </c>
      <c r="AL92" s="691">
        <f t="shared" si="35"/>
        <v>20.692805235251758</v>
      </c>
      <c r="AM92" s="691">
        <f t="shared" si="36"/>
        <v>26.929427044059722</v>
      </c>
      <c r="AN92" s="691">
        <f t="shared" si="37"/>
        <v>33.58124504039877</v>
      </c>
      <c r="AO92" s="691">
        <f t="shared" si="38"/>
        <v>13.354818716874293</v>
      </c>
      <c r="AP92" s="691">
        <f t="shared" si="39"/>
        <v>14.190227649064864</v>
      </c>
      <c r="AQ92" s="691">
        <f t="shared" si="40"/>
        <v>11.699541802467182</v>
      </c>
      <c r="AR92" s="691">
        <f t="shared" si="41"/>
        <v>11.329117190758472</v>
      </c>
      <c r="AS92" s="691">
        <f t="shared" si="42"/>
        <v>12.665050644255128</v>
      </c>
      <c r="AT92" s="691">
        <f t="shared" si="43"/>
        <v>10.317350084315791</v>
      </c>
      <c r="AU92" s="691">
        <f t="shared" si="44"/>
        <v>8.0478326570444256</v>
      </c>
      <c r="AV92" s="691">
        <f t="shared" si="45"/>
        <v>5.1037316480779884</v>
      </c>
      <c r="AW92" s="691">
        <f t="shared" si="46"/>
        <v>3.7342294304845187</v>
      </c>
      <c r="AX92" s="691">
        <f t="shared" si="47"/>
        <v>4.3404096476692562</v>
      </c>
      <c r="AY92" s="691">
        <f t="shared" si="48"/>
        <v>4.9095308414509713</v>
      </c>
      <c r="AZ92" s="691">
        <f t="shared" si="49"/>
        <v>3.7872097680774588</v>
      </c>
      <c r="BA92" s="691"/>
      <c r="BB92" s="691">
        <f t="shared" si="50"/>
        <v>12.14702736945083</v>
      </c>
    </row>
    <row r="93" spans="1:54" x14ac:dyDescent="0.35">
      <c r="A93" s="129" t="s">
        <v>226</v>
      </c>
      <c r="B93" s="129" t="str">
        <f>VLOOKUP(A93,'HCW, Staff, Beds Summary'!B:E,4,FALSE)</f>
        <v>Lower middle income</v>
      </c>
      <c r="C93" s="691">
        <v>16.976335718716101</v>
      </c>
      <c r="D93" s="691">
        <v>29.981026978229</v>
      </c>
      <c r="E93" s="691">
        <v>35.328515245233802</v>
      </c>
      <c r="F93" s="691">
        <v>31.5221779046691</v>
      </c>
      <c r="G93" s="691">
        <v>18.415087636262701</v>
      </c>
      <c r="H93" s="691">
        <v>18.175265288806699</v>
      </c>
      <c r="I93" s="691">
        <v>17.074702354100001</v>
      </c>
      <c r="J93" s="691">
        <v>16.1135741813092</v>
      </c>
      <c r="K93" s="691">
        <v>13.8130854705042</v>
      </c>
      <c r="L93" s="691">
        <v>10.6043029837559</v>
      </c>
      <c r="M93" s="691">
        <v>8.3740344442975907</v>
      </c>
      <c r="N93" s="691">
        <v>5.3259954527465396</v>
      </c>
      <c r="O93" s="691">
        <v>2.8504550176337098</v>
      </c>
      <c r="P93" s="691">
        <v>1.4049615384165499</v>
      </c>
      <c r="Q93" s="691">
        <v>0.727564746651715</v>
      </c>
      <c r="R93" s="691">
        <v>0.450039709967746</v>
      </c>
      <c r="S93" s="691"/>
      <c r="T93" s="691">
        <v>0.10267541645633518</v>
      </c>
      <c r="U93" s="691">
        <v>9.9848561332660277E-2</v>
      </c>
      <c r="V93" s="691">
        <v>0.10338213023725391</v>
      </c>
      <c r="W93" s="691">
        <v>0.10509843513377082</v>
      </c>
      <c r="X93" s="691">
        <v>0.10247349823321555</v>
      </c>
      <c r="Y93" s="691">
        <v>8.9954568399798082E-2</v>
      </c>
      <c r="Z93" s="691">
        <v>7.9050984351337714E-2</v>
      </c>
      <c r="AA93" s="691">
        <v>6.9358909641595148E-2</v>
      </c>
      <c r="AB93" s="691">
        <v>5.8556284704694601E-2</v>
      </c>
      <c r="AC93" s="691">
        <v>4.7147905098435132E-2</v>
      </c>
      <c r="AD93" s="691">
        <v>3.8465421504290762E-2</v>
      </c>
      <c r="AE93" s="691">
        <v>3.0186774356385664E-2</v>
      </c>
      <c r="AF93" s="691">
        <v>2.3927309439676931E-2</v>
      </c>
      <c r="AG93" s="691">
        <v>1.8475517415446743E-2</v>
      </c>
      <c r="AH93" s="691">
        <v>1.2317011610297829E-2</v>
      </c>
      <c r="AI93" s="691">
        <v>8.3796062594649161E-3</v>
      </c>
      <c r="AJ93" s="691"/>
      <c r="AK93" s="691">
        <f t="shared" si="34"/>
        <v>10.333739263390056</v>
      </c>
      <c r="AL93" s="691">
        <f t="shared" si="35"/>
        <v>18.766561692325471</v>
      </c>
      <c r="AM93" s="691">
        <f t="shared" si="36"/>
        <v>21.357967743166554</v>
      </c>
      <c r="AN93" s="691">
        <f t="shared" si="37"/>
        <v>18.745627530364281</v>
      </c>
      <c r="AO93" s="691">
        <f t="shared" si="38"/>
        <v>11.231615950565397</v>
      </c>
      <c r="AP93" s="691">
        <f t="shared" si="39"/>
        <v>12.628086608139053</v>
      </c>
      <c r="AQ93" s="691">
        <f t="shared" si="40"/>
        <v>13.499754694872326</v>
      </c>
      <c r="AR93" s="691">
        <f t="shared" si="41"/>
        <v>14.520101188670637</v>
      </c>
      <c r="AS93" s="691">
        <f t="shared" si="42"/>
        <v>14.743384869110356</v>
      </c>
      <c r="AT93" s="691">
        <f t="shared" si="43"/>
        <v>14.057229798461215</v>
      </c>
      <c r="AU93" s="691">
        <f t="shared" si="44"/>
        <v>13.606432278669232</v>
      </c>
      <c r="AV93" s="691">
        <f t="shared" si="45"/>
        <v>11.027170769116738</v>
      </c>
      <c r="AW93" s="691">
        <f t="shared" si="46"/>
        <v>7.4456110099319348</v>
      </c>
      <c r="AX93" s="691">
        <f t="shared" si="47"/>
        <v>4.7527814337486092</v>
      </c>
      <c r="AY93" s="691">
        <f t="shared" si="48"/>
        <v>3.6918692702793225</v>
      </c>
      <c r="AZ93" s="691">
        <f t="shared" si="49"/>
        <v>3.3566591319506962</v>
      </c>
      <c r="BA93" s="691"/>
      <c r="BB93" s="691">
        <f t="shared" si="50"/>
        <v>12.110287077047618</v>
      </c>
    </row>
    <row r="94" spans="1:54" x14ac:dyDescent="0.35">
      <c r="A94" s="129" t="s">
        <v>327</v>
      </c>
      <c r="B94" s="129" t="str">
        <f>VLOOKUP(A94,'HCW, Staff, Beds Summary'!B:E,4,FALSE)</f>
        <v>High income</v>
      </c>
      <c r="C94" s="691">
        <v>10.815116286169999</v>
      </c>
      <c r="D94" s="691">
        <v>17.276183348844299</v>
      </c>
      <c r="E94" s="691">
        <v>18.709633341344901</v>
      </c>
      <c r="F94" s="691">
        <v>19.454483885553</v>
      </c>
      <c r="G94" s="691">
        <v>18.955415099221799</v>
      </c>
      <c r="H94" s="691">
        <v>27.204411212539899</v>
      </c>
      <c r="I94" s="691">
        <v>25.161068523758601</v>
      </c>
      <c r="J94" s="691">
        <v>21.817332336603201</v>
      </c>
      <c r="K94" s="691">
        <v>17.6546396676119</v>
      </c>
      <c r="L94" s="691">
        <v>13.090851304320999</v>
      </c>
      <c r="M94" s="691">
        <v>9.5240667254450795</v>
      </c>
      <c r="N94" s="691">
        <v>4.94729961055444</v>
      </c>
      <c r="O94" s="691">
        <v>2.0580804392885801</v>
      </c>
      <c r="P94" s="691">
        <v>0.84538815122059796</v>
      </c>
      <c r="Q94" s="691">
        <v>0.474584813165561</v>
      </c>
      <c r="R94" s="691">
        <v>0.37189289138176401</v>
      </c>
      <c r="S94" s="691"/>
      <c r="T94" s="691">
        <v>6.3454759106933017E-2</v>
      </c>
      <c r="U94" s="691">
        <v>6.5217391304347824E-2</v>
      </c>
      <c r="V94" s="691">
        <v>5.464159811985899E-2</v>
      </c>
      <c r="W94" s="691">
        <v>5.229142185663925E-2</v>
      </c>
      <c r="X94" s="691">
        <v>5.4054054054054057E-2</v>
      </c>
      <c r="Y94" s="691">
        <v>0.12632197414806109</v>
      </c>
      <c r="Z94" s="691">
        <v>0.17215041128084607</v>
      </c>
      <c r="AA94" s="691">
        <v>0.12573443008225618</v>
      </c>
      <c r="AB94" s="691">
        <v>8.6956521739130432E-2</v>
      </c>
      <c r="AC94" s="691">
        <v>6.3454759106933017E-2</v>
      </c>
      <c r="AD94" s="691">
        <v>4.7591069330199763E-2</v>
      </c>
      <c r="AE94" s="691">
        <v>3.4665099882491189E-2</v>
      </c>
      <c r="AF94" s="691">
        <v>2.6439482961222092E-2</v>
      </c>
      <c r="AG94" s="691">
        <v>1.2867215041128085E-2</v>
      </c>
      <c r="AH94" s="691">
        <v>6.4042303172737952E-3</v>
      </c>
      <c r="AI94" s="691">
        <v>3.9952996474735608E-3</v>
      </c>
      <c r="AJ94" s="691"/>
      <c r="AK94" s="691">
        <f t="shared" si="34"/>
        <v>10.652388842049387</v>
      </c>
      <c r="AL94" s="691">
        <f t="shared" si="35"/>
        <v>16.556342375975788</v>
      </c>
      <c r="AM94" s="691">
        <f t="shared" si="36"/>
        <v>21.400400501995311</v>
      </c>
      <c r="AN94" s="691">
        <f t="shared" si="37"/>
        <v>23.25248003736742</v>
      </c>
      <c r="AO94" s="691">
        <f t="shared" si="38"/>
        <v>21.917198708475205</v>
      </c>
      <c r="AP94" s="691">
        <f t="shared" si="39"/>
        <v>13.459856942948521</v>
      </c>
      <c r="AQ94" s="691">
        <f t="shared" si="40"/>
        <v>9.1348418573884675</v>
      </c>
      <c r="AR94" s="691">
        <f t="shared" si="41"/>
        <v>10.844947323860586</v>
      </c>
      <c r="AS94" s="691">
        <f t="shared" si="42"/>
        <v>12.689272261096054</v>
      </c>
      <c r="AT94" s="691">
        <f t="shared" si="43"/>
        <v>12.893882476825429</v>
      </c>
      <c r="AU94" s="691">
        <f t="shared" si="44"/>
        <v>12.507686394064448</v>
      </c>
      <c r="AV94" s="691">
        <f t="shared" si="45"/>
        <v>8.9198134927581112</v>
      </c>
      <c r="AW94" s="691">
        <f t="shared" si="46"/>
        <v>4.8650734828738376</v>
      </c>
      <c r="AX94" s="691">
        <f t="shared" si="47"/>
        <v>4.1063088852096392</v>
      </c>
      <c r="AY94" s="691">
        <f t="shared" si="48"/>
        <v>4.631555917475831</v>
      </c>
      <c r="AZ94" s="691">
        <f t="shared" si="49"/>
        <v>5.8176626942257563</v>
      </c>
      <c r="BA94" s="691"/>
      <c r="BB94" s="691">
        <f t="shared" si="50"/>
        <v>12.103107012161862</v>
      </c>
    </row>
    <row r="95" spans="1:54" x14ac:dyDescent="0.35">
      <c r="A95" s="129" t="s">
        <v>220</v>
      </c>
      <c r="B95" s="129" t="str">
        <f>VLOOKUP(A95,'HCW, Staff, Beds Summary'!B:E,4,FALSE)</f>
        <v>High income</v>
      </c>
      <c r="C95" s="691">
        <v>10.868745095416401</v>
      </c>
      <c r="D95" s="691">
        <v>17.113058795836402</v>
      </c>
      <c r="E95" s="691">
        <v>21.3612881351693</v>
      </c>
      <c r="F95" s="691">
        <v>25.1501087254168</v>
      </c>
      <c r="G95" s="691">
        <v>17.525424687551599</v>
      </c>
      <c r="H95" s="691">
        <v>18.575992888414198</v>
      </c>
      <c r="I95" s="691">
        <v>17.985638284334701</v>
      </c>
      <c r="J95" s="691">
        <v>18.3090557204121</v>
      </c>
      <c r="K95" s="691">
        <v>17.513862550465799</v>
      </c>
      <c r="L95" s="691">
        <v>14.270217126777199</v>
      </c>
      <c r="M95" s="691">
        <v>11.388671037207599</v>
      </c>
      <c r="N95" s="691">
        <v>7.1986089287933499</v>
      </c>
      <c r="O95" s="691">
        <v>3.9096655879495801</v>
      </c>
      <c r="P95" s="691">
        <v>2.6740528835325099</v>
      </c>
      <c r="Q95" s="691">
        <v>1.58455591719989</v>
      </c>
      <c r="R95" s="691">
        <v>0.98069387209019598</v>
      </c>
      <c r="S95" s="691"/>
      <c r="T95" s="691">
        <v>6.0786775476041013E-2</v>
      </c>
      <c r="U95" s="691">
        <v>6.6227244193345886E-2</v>
      </c>
      <c r="V95" s="691">
        <v>6.5390249006068213E-2</v>
      </c>
      <c r="W95" s="691">
        <v>6.5076375810839082E-2</v>
      </c>
      <c r="X95" s="691">
        <v>7.3394015484410963E-2</v>
      </c>
      <c r="Y95" s="691">
        <v>8.3333333333333329E-2</v>
      </c>
      <c r="Z95" s="691">
        <v>8.0874659970705171E-2</v>
      </c>
      <c r="AA95" s="691">
        <v>7.3237078886796397E-2</v>
      </c>
      <c r="AB95" s="691">
        <v>6.9261351747227459E-2</v>
      </c>
      <c r="AC95" s="691">
        <v>6.5599497802887638E-2</v>
      </c>
      <c r="AD95" s="691">
        <v>6.3507009834693456E-2</v>
      </c>
      <c r="AE95" s="691">
        <v>5.9478970495919652E-2</v>
      </c>
      <c r="AF95" s="691">
        <v>5.1370579619167189E-2</v>
      </c>
      <c r="AG95" s="691">
        <v>4.2372881355932202E-2</v>
      </c>
      <c r="AH95" s="691">
        <v>3.0393387738020507E-2</v>
      </c>
      <c r="AI95" s="691">
        <v>2.1552626072400084E-2</v>
      </c>
      <c r="AJ95" s="691"/>
      <c r="AK95" s="691">
        <f t="shared" si="34"/>
        <v>11.175071603053997</v>
      </c>
      <c r="AL95" s="691">
        <f t="shared" si="35"/>
        <v>16.149942335170255</v>
      </c>
      <c r="AM95" s="691">
        <f t="shared" si="36"/>
        <v>20.417119199594818</v>
      </c>
      <c r="AN95" s="691">
        <f t="shared" si="37"/>
        <v>24.154415112292384</v>
      </c>
      <c r="AO95" s="691">
        <f t="shared" si="38"/>
        <v>14.92409204950269</v>
      </c>
      <c r="AP95" s="691">
        <f t="shared" si="39"/>
        <v>13.931994666310649</v>
      </c>
      <c r="AQ95" s="691">
        <f t="shared" si="40"/>
        <v>13.899315226525799</v>
      </c>
      <c r="AR95" s="691">
        <f t="shared" si="41"/>
        <v>15.624817372830256</v>
      </c>
      <c r="AS95" s="691">
        <f t="shared" si="42"/>
        <v>15.80414447293732</v>
      </c>
      <c r="AT95" s="691">
        <f t="shared" si="43"/>
        <v>13.595966437174686</v>
      </c>
      <c r="AU95" s="691">
        <f t="shared" si="44"/>
        <v>11.208084614253524</v>
      </c>
      <c r="AV95" s="691">
        <f t="shared" si="45"/>
        <v>7.5642374825645158</v>
      </c>
      <c r="AW95" s="691">
        <f t="shared" si="46"/>
        <v>4.7566934431800005</v>
      </c>
      <c r="AX95" s="691">
        <f t="shared" si="47"/>
        <v>3.9442280032104522</v>
      </c>
      <c r="AY95" s="691">
        <f t="shared" si="48"/>
        <v>3.2584306059803243</v>
      </c>
      <c r="AZ95" s="691">
        <f t="shared" si="49"/>
        <v>2.8438932128149554</v>
      </c>
      <c r="BA95" s="691"/>
      <c r="BB95" s="691">
        <f t="shared" si="50"/>
        <v>12.078277864837288</v>
      </c>
    </row>
    <row r="96" spans="1:54" x14ac:dyDescent="0.35">
      <c r="A96" s="129" t="s">
        <v>431</v>
      </c>
      <c r="B96" s="129" t="str">
        <f>VLOOKUP(A96,'HCW, Staff, Beds Summary'!B:E,4,FALSE)</f>
        <v>High income</v>
      </c>
      <c r="C96" s="691">
        <v>9.6248317882625791</v>
      </c>
      <c r="D96" s="691">
        <v>21.732223628983501</v>
      </c>
      <c r="E96" s="691">
        <v>20.340715223265899</v>
      </c>
      <c r="F96" s="691">
        <v>19.162717987675599</v>
      </c>
      <c r="G96" s="691">
        <v>18.176233697144198</v>
      </c>
      <c r="H96" s="691">
        <v>25.535119288478199</v>
      </c>
      <c r="I96" s="691">
        <v>26.361565404939402</v>
      </c>
      <c r="J96" s="691">
        <v>22.6505720589156</v>
      </c>
      <c r="K96" s="691">
        <v>18.025475987126299</v>
      </c>
      <c r="L96" s="691">
        <v>12.0612950862972</v>
      </c>
      <c r="M96" s="691">
        <v>8.0250437722795702</v>
      </c>
      <c r="N96" s="691">
        <v>4.1337680885541497</v>
      </c>
      <c r="O96" s="691">
        <v>1.9082108341680499</v>
      </c>
      <c r="P96" s="691">
        <v>1.34535650370932</v>
      </c>
      <c r="Q96" s="691">
        <v>0.22501379335714899</v>
      </c>
      <c r="R96" s="691">
        <v>0.26264500069976898</v>
      </c>
      <c r="S96" s="691"/>
      <c r="T96" s="691">
        <v>6.7665652072114266E-2</v>
      </c>
      <c r="U96" s="691">
        <v>7.4689768204167645E-2</v>
      </c>
      <c r="V96" s="691">
        <v>7.2114258955748065E-2</v>
      </c>
      <c r="W96" s="691">
        <v>5.2680870990400377E-2</v>
      </c>
      <c r="X96" s="691">
        <v>4.8466401311168347E-2</v>
      </c>
      <c r="Y96" s="691">
        <v>5.5490517443221726E-2</v>
      </c>
      <c r="Z96" s="691">
        <v>8.5694216811051271E-2</v>
      </c>
      <c r="AA96" s="691">
        <v>0.11987824865371108</v>
      </c>
      <c r="AB96" s="691">
        <v>0.12034652306251463</v>
      </c>
      <c r="AC96" s="691">
        <v>0.10559587918520252</v>
      </c>
      <c r="AD96" s="691">
        <v>8.1245609927417473E-2</v>
      </c>
      <c r="AE96" s="691">
        <v>5.0105361741980797E-2</v>
      </c>
      <c r="AF96" s="691">
        <v>3.488644345586514E-2</v>
      </c>
      <c r="AG96" s="691">
        <v>1.6623741512526342E-2</v>
      </c>
      <c r="AH96" s="691">
        <v>7.4923905408569424E-3</v>
      </c>
      <c r="AI96" s="691">
        <v>3.8398501521891828E-3</v>
      </c>
      <c r="AJ96" s="691"/>
      <c r="AK96" s="691">
        <f t="shared" si="34"/>
        <v>8.8900641366067195</v>
      </c>
      <c r="AL96" s="691">
        <f t="shared" si="35"/>
        <v>18.185408918375497</v>
      </c>
      <c r="AM96" s="691">
        <f t="shared" si="36"/>
        <v>17.628895032177081</v>
      </c>
      <c r="AN96" s="691">
        <f t="shared" si="37"/>
        <v>22.734435701489577</v>
      </c>
      <c r="AO96" s="691">
        <f t="shared" si="38"/>
        <v>23.439219239282266</v>
      </c>
      <c r="AP96" s="691">
        <f t="shared" si="39"/>
        <v>28.760678924338183</v>
      </c>
      <c r="AQ96" s="691">
        <f t="shared" si="40"/>
        <v>19.226476407871619</v>
      </c>
      <c r="AR96" s="691">
        <f t="shared" si="41"/>
        <v>11.809154451126529</v>
      </c>
      <c r="AS96" s="691">
        <f t="shared" si="42"/>
        <v>9.3612363741508293</v>
      </c>
      <c r="AT96" s="691">
        <f t="shared" si="43"/>
        <v>7.1388291731673146</v>
      </c>
      <c r="AU96" s="691">
        <f t="shared" si="44"/>
        <v>6.173444155512616</v>
      </c>
      <c r="AV96" s="691">
        <f t="shared" si="45"/>
        <v>5.1563444819552497</v>
      </c>
      <c r="AW96" s="691">
        <f t="shared" si="46"/>
        <v>3.4186109365485486</v>
      </c>
      <c r="AX96" s="691">
        <f t="shared" si="47"/>
        <v>5.0581141085761487</v>
      </c>
      <c r="AY96" s="691">
        <f t="shared" si="48"/>
        <v>1.8770193582585613</v>
      </c>
      <c r="AZ96" s="691">
        <f t="shared" si="49"/>
        <v>4.2749877972130843</v>
      </c>
      <c r="BA96" s="691"/>
      <c r="BB96" s="691">
        <f t="shared" si="50"/>
        <v>12.070807449790612</v>
      </c>
    </row>
    <row r="97" spans="1:54" x14ac:dyDescent="0.35">
      <c r="A97" s="129" t="s">
        <v>326</v>
      </c>
      <c r="B97" s="129" t="str">
        <f>VLOOKUP(A97,'HCW, Staff, Beds Summary'!B:E,4,FALSE)</f>
        <v>High income</v>
      </c>
      <c r="C97" s="691">
        <v>9.5866449644577205</v>
      </c>
      <c r="D97" s="691">
        <v>21.063573903213602</v>
      </c>
      <c r="E97" s="691">
        <v>26.281530951954199</v>
      </c>
      <c r="F97" s="691">
        <v>32.586908964338797</v>
      </c>
      <c r="G97" s="691">
        <v>16.870092785504699</v>
      </c>
      <c r="H97" s="691">
        <v>16.970215772941099</v>
      </c>
      <c r="I97" s="691">
        <v>17.4418496769249</v>
      </c>
      <c r="J97" s="691">
        <v>18.675886391593501</v>
      </c>
      <c r="K97" s="691">
        <v>17.613979180584</v>
      </c>
      <c r="L97" s="691">
        <v>14.4959992042234</v>
      </c>
      <c r="M97" s="691">
        <v>11.2101014126129</v>
      </c>
      <c r="N97" s="691">
        <v>7.3088655889103302</v>
      </c>
      <c r="O97" s="691">
        <v>4.3381123115829503</v>
      </c>
      <c r="P97" s="691">
        <v>2.00701124366707</v>
      </c>
      <c r="Q97" s="691">
        <v>1.1389983281352301</v>
      </c>
      <c r="R97" s="691">
        <v>0.64521274520157801</v>
      </c>
      <c r="S97" s="691"/>
      <c r="T97" s="691">
        <v>6.8702290076335881E-2</v>
      </c>
      <c r="U97" s="691">
        <v>6.8702290076335881E-2</v>
      </c>
      <c r="V97" s="691">
        <v>8.1424936386768454E-2</v>
      </c>
      <c r="W97" s="691">
        <v>8.1424936386768454E-2</v>
      </c>
      <c r="X97" s="691">
        <v>8.6513994910941472E-2</v>
      </c>
      <c r="Y97" s="691">
        <v>8.6513994910941472E-2</v>
      </c>
      <c r="Z97" s="691">
        <v>7.124681933842239E-2</v>
      </c>
      <c r="AA97" s="691">
        <v>6.8702290076335881E-2</v>
      </c>
      <c r="AB97" s="691">
        <v>6.8702290076335881E-2</v>
      </c>
      <c r="AC97" s="691">
        <v>7.3791348600508899E-2</v>
      </c>
      <c r="AD97" s="691">
        <v>6.3613231552162849E-2</v>
      </c>
      <c r="AE97" s="691">
        <v>6.1068702290076333E-2</v>
      </c>
      <c r="AF97" s="691">
        <v>4.4783715012722644E-2</v>
      </c>
      <c r="AG97" s="691">
        <v>3.0279898218829517E-2</v>
      </c>
      <c r="AH97" s="691">
        <v>2.0356234096692113E-2</v>
      </c>
      <c r="AI97" s="691">
        <v>1.4503816793893129E-2</v>
      </c>
      <c r="AJ97" s="691"/>
      <c r="AK97" s="691">
        <f t="shared" si="34"/>
        <v>8.7211839607219535</v>
      </c>
      <c r="AL97" s="691">
        <f t="shared" si="35"/>
        <v>19.162001259173483</v>
      </c>
      <c r="AM97" s="691">
        <f t="shared" si="36"/>
        <v>20.173128250230469</v>
      </c>
      <c r="AN97" s="691">
        <f t="shared" si="37"/>
        <v>25.012998482392863</v>
      </c>
      <c r="AO97" s="691">
        <f t="shared" si="38"/>
        <v>12.187401589528212</v>
      </c>
      <c r="AP97" s="691">
        <f t="shared" si="39"/>
        <v>12.259733085966641</v>
      </c>
      <c r="AQ97" s="691">
        <f t="shared" si="40"/>
        <v>15.300551167480995</v>
      </c>
      <c r="AR97" s="691">
        <f t="shared" si="41"/>
        <v>16.989868870130199</v>
      </c>
      <c r="AS97" s="691">
        <f t="shared" si="42"/>
        <v>16.023828282336833</v>
      </c>
      <c r="AT97" s="691">
        <f t="shared" si="43"/>
        <v>12.277861394956458</v>
      </c>
      <c r="AU97" s="691">
        <f t="shared" si="44"/>
        <v>11.013924637892174</v>
      </c>
      <c r="AV97" s="691">
        <f t="shared" si="45"/>
        <v>7.4801671261504161</v>
      </c>
      <c r="AW97" s="691">
        <f t="shared" si="46"/>
        <v>6.0542547530259219</v>
      </c>
      <c r="AX97" s="691">
        <f t="shared" si="47"/>
        <v>4.1426229976951605</v>
      </c>
      <c r="AY97" s="691">
        <f t="shared" si="48"/>
        <v>3.4970808043526982</v>
      </c>
      <c r="AZ97" s="691">
        <f t="shared" si="49"/>
        <v>2.7803575533357474</v>
      </c>
      <c r="BA97" s="691"/>
      <c r="BB97" s="691">
        <f t="shared" si="50"/>
        <v>12.067310263460637</v>
      </c>
    </row>
    <row r="98" spans="1:54" x14ac:dyDescent="0.35">
      <c r="A98" s="129" t="s">
        <v>222</v>
      </c>
      <c r="B98" s="129" t="str">
        <f>VLOOKUP(A98,'HCW, Staff, Beds Summary'!B:E,4,FALSE)</f>
        <v>Lower middle income</v>
      </c>
      <c r="C98" s="691">
        <v>12.427751728077601</v>
      </c>
      <c r="D98" s="691">
        <v>21.228771871654899</v>
      </c>
      <c r="E98" s="691">
        <v>32.655913446572598</v>
      </c>
      <c r="F98" s="691">
        <v>32.447019626418701</v>
      </c>
      <c r="G98" s="691">
        <v>18.768983248779499</v>
      </c>
      <c r="H98" s="691">
        <v>17.764865004121901</v>
      </c>
      <c r="I98" s="691">
        <v>17.253708120997398</v>
      </c>
      <c r="J98" s="691">
        <v>17.260702975168901</v>
      </c>
      <c r="K98" s="691">
        <v>15.5402170245</v>
      </c>
      <c r="L98" s="691">
        <v>11.7511689796379</v>
      </c>
      <c r="M98" s="691">
        <v>8.9411051212994508</v>
      </c>
      <c r="N98" s="691">
        <v>5.72777609305966</v>
      </c>
      <c r="O98" s="691">
        <v>3.0960157186758801</v>
      </c>
      <c r="P98" s="691">
        <v>1.93678934650463</v>
      </c>
      <c r="Q98" s="691">
        <v>1.1772349946487299</v>
      </c>
      <c r="R98" s="691">
        <v>0.71633609804105802</v>
      </c>
      <c r="S98" s="691"/>
      <c r="T98" s="691">
        <v>8.8806660499537463E-2</v>
      </c>
      <c r="U98" s="691">
        <v>8.8035769349367868E-2</v>
      </c>
      <c r="V98" s="691">
        <v>8.9115016959605303E-2</v>
      </c>
      <c r="W98" s="691">
        <v>9.0656799259944493E-2</v>
      </c>
      <c r="X98" s="691">
        <v>9.7594819611470859E-2</v>
      </c>
      <c r="Y98" s="691">
        <v>8.9885908109774898E-2</v>
      </c>
      <c r="Z98" s="691">
        <v>7.3080481036077699E-2</v>
      </c>
      <c r="AA98" s="691">
        <v>6.290471785383904E-2</v>
      </c>
      <c r="AB98" s="691">
        <v>5.8896083872957139E-2</v>
      </c>
      <c r="AC98" s="691">
        <v>5.2883132901634287E-2</v>
      </c>
      <c r="AD98" s="691">
        <v>4.6716003700277522E-2</v>
      </c>
      <c r="AE98" s="691">
        <v>4.0857230958988591E-2</v>
      </c>
      <c r="AF98" s="691">
        <v>3.4073388837496145E-2</v>
      </c>
      <c r="AG98" s="691">
        <v>2.8522972556275054E-2</v>
      </c>
      <c r="AH98" s="691">
        <v>2.1430773974714771E-2</v>
      </c>
      <c r="AI98" s="691">
        <v>1.6805427073697195E-2</v>
      </c>
      <c r="AJ98" s="691"/>
      <c r="AK98" s="691">
        <f t="shared" si="34"/>
        <v>8.74635391800253</v>
      </c>
      <c r="AL98" s="691">
        <f t="shared" si="35"/>
        <v>15.071126790669185</v>
      </c>
      <c r="AM98" s="691">
        <f t="shared" si="36"/>
        <v>22.902925455716897</v>
      </c>
      <c r="AN98" s="691">
        <f t="shared" si="37"/>
        <v>22.369405750101159</v>
      </c>
      <c r="AO98" s="691">
        <f t="shared" si="38"/>
        <v>12.019710244034739</v>
      </c>
      <c r="AP98" s="691">
        <f t="shared" si="39"/>
        <v>12.352370756511005</v>
      </c>
      <c r="AQ98" s="691">
        <f t="shared" si="40"/>
        <v>14.75574246740363</v>
      </c>
      <c r="AR98" s="691">
        <f t="shared" si="41"/>
        <v>17.149650658233071</v>
      </c>
      <c r="AS98" s="691">
        <f t="shared" si="42"/>
        <v>16.491139990331643</v>
      </c>
      <c r="AT98" s="691">
        <f t="shared" si="43"/>
        <v>13.888134475570594</v>
      </c>
      <c r="AU98" s="691">
        <f t="shared" si="44"/>
        <v>11.962047816986022</v>
      </c>
      <c r="AV98" s="691">
        <f t="shared" si="45"/>
        <v>8.7618763536756958</v>
      </c>
      <c r="AW98" s="691">
        <f t="shared" si="46"/>
        <v>5.6789473844264027</v>
      </c>
      <c r="AX98" s="691">
        <f t="shared" si="47"/>
        <v>4.2439242234557533</v>
      </c>
      <c r="AY98" s="691">
        <f t="shared" si="48"/>
        <v>3.4332491795376177</v>
      </c>
      <c r="AZ98" s="691">
        <f t="shared" si="49"/>
        <v>2.6640802361779254</v>
      </c>
      <c r="BA98" s="691"/>
      <c r="BB98" s="691">
        <f t="shared" si="50"/>
        <v>12.030667856302118</v>
      </c>
    </row>
    <row r="99" spans="1:54" x14ac:dyDescent="0.35">
      <c r="A99" s="129" t="s">
        <v>320</v>
      </c>
      <c r="B99" s="129" t="str">
        <f>VLOOKUP(A99,'HCW, Staff, Beds Summary'!B:E,4,FALSE)</f>
        <v>Upper middle income</v>
      </c>
      <c r="C99" s="691">
        <v>12.769477077191601</v>
      </c>
      <c r="D99" s="691">
        <v>19.419072191782298</v>
      </c>
      <c r="E99" s="691">
        <v>23.276882937202998</v>
      </c>
      <c r="F99" s="691">
        <v>25.5590937076581</v>
      </c>
      <c r="G99" s="691">
        <v>17.3300295178162</v>
      </c>
      <c r="H99" s="691">
        <v>18.486004770121099</v>
      </c>
      <c r="I99" s="691">
        <v>19.043733389527699</v>
      </c>
      <c r="J99" s="691">
        <v>18.750926511429501</v>
      </c>
      <c r="K99" s="691">
        <v>16.4876405637727</v>
      </c>
      <c r="L99" s="691">
        <v>12.8350660208318</v>
      </c>
      <c r="M99" s="691">
        <v>10.0799888179265</v>
      </c>
      <c r="N99" s="691">
        <v>6.5208491321129598</v>
      </c>
      <c r="O99" s="691">
        <v>3.6976207572665598</v>
      </c>
      <c r="P99" s="691">
        <v>2.7859429802189299</v>
      </c>
      <c r="Q99" s="691">
        <v>1.7394926814076599</v>
      </c>
      <c r="R99" s="691">
        <v>1.07910946137819</v>
      </c>
      <c r="S99" s="691"/>
      <c r="T99" s="691">
        <v>8.2687680727545634E-2</v>
      </c>
      <c r="U99" s="691">
        <v>8.2091693706818528E-2</v>
      </c>
      <c r="V99" s="691">
        <v>7.9597377657108795E-2</v>
      </c>
      <c r="W99" s="691">
        <v>7.8317109242213537E-2</v>
      </c>
      <c r="X99" s="691">
        <v>7.694854645387722E-2</v>
      </c>
      <c r="Y99" s="691">
        <v>7.7875637375008272E-2</v>
      </c>
      <c r="Z99" s="691">
        <v>7.3438845109595391E-2</v>
      </c>
      <c r="AA99" s="691">
        <v>6.9090347217623554E-2</v>
      </c>
      <c r="AB99" s="691">
        <v>6.8361918636734881E-2</v>
      </c>
      <c r="AC99" s="691">
        <v>5.8362580844535682E-2</v>
      </c>
      <c r="AD99" s="691">
        <v>5.0923779882127013E-2</v>
      </c>
      <c r="AE99" s="691">
        <v>4.6972606670639912E-2</v>
      </c>
      <c r="AF99" s="691">
        <v>4.1674944264176762E-2</v>
      </c>
      <c r="AG99" s="691">
        <v>3.6399355451073881E-2</v>
      </c>
      <c r="AH99" s="691">
        <v>2.9578615102752576E-2</v>
      </c>
      <c r="AI99" s="691">
        <v>2.1323091186014172E-2</v>
      </c>
      <c r="AJ99" s="691"/>
      <c r="AK99" s="691">
        <f t="shared" si="34"/>
        <v>9.6518890154166304</v>
      </c>
      <c r="AL99" s="691">
        <f t="shared" si="35"/>
        <v>14.784589733535787</v>
      </c>
      <c r="AM99" s="691">
        <f t="shared" si="36"/>
        <v>18.277049149058989</v>
      </c>
      <c r="AN99" s="691">
        <f t="shared" si="37"/>
        <v>20.397118486436636</v>
      </c>
      <c r="AO99" s="691">
        <f t="shared" si="38"/>
        <v>14.075988368574789</v>
      </c>
      <c r="AP99" s="691">
        <f t="shared" si="39"/>
        <v>14.836158483928504</v>
      </c>
      <c r="AQ99" s="691">
        <f t="shared" si="40"/>
        <v>16.207135815783239</v>
      </c>
      <c r="AR99" s="691">
        <f t="shared" si="41"/>
        <v>16.962324755337274</v>
      </c>
      <c r="AS99" s="691">
        <f t="shared" si="42"/>
        <v>15.073853335094336</v>
      </c>
      <c r="AT99" s="691">
        <f t="shared" si="43"/>
        <v>13.744964919197784</v>
      </c>
      <c r="AU99" s="691">
        <f t="shared" si="44"/>
        <v>12.371416705096561</v>
      </c>
      <c r="AV99" s="691">
        <f t="shared" si="45"/>
        <v>8.6763988555014517</v>
      </c>
      <c r="AW99" s="691">
        <f t="shared" si="46"/>
        <v>5.5453294877663852</v>
      </c>
      <c r="AX99" s="691">
        <f t="shared" si="47"/>
        <v>4.7836406470913504</v>
      </c>
      <c r="AY99" s="691">
        <f t="shared" si="48"/>
        <v>3.6755707530695529</v>
      </c>
      <c r="AZ99" s="691">
        <f t="shared" si="49"/>
        <v>3.1629720450838601</v>
      </c>
      <c r="BA99" s="691"/>
      <c r="BB99" s="691">
        <f t="shared" si="50"/>
        <v>12.014150034748319</v>
      </c>
    </row>
    <row r="100" spans="1:54" x14ac:dyDescent="0.35">
      <c r="A100" s="129" t="s">
        <v>331</v>
      </c>
      <c r="B100" s="129" t="str">
        <f>VLOOKUP(A100,'HCW, Staff, Beds Summary'!B:E,4,FALSE)</f>
        <v>High income</v>
      </c>
      <c r="C100" s="691">
        <v>7.9691907526963002</v>
      </c>
      <c r="D100" s="691">
        <v>10.9068082001083</v>
      </c>
      <c r="E100" s="691">
        <v>14.7180823784228</v>
      </c>
      <c r="F100" s="691">
        <v>14.7502416487232</v>
      </c>
      <c r="G100" s="691">
        <v>15.081130522676901</v>
      </c>
      <c r="H100" s="691">
        <v>16.816492361732902</v>
      </c>
      <c r="I100" s="691">
        <v>18.758868789828298</v>
      </c>
      <c r="J100" s="691">
        <v>18.114455890888198</v>
      </c>
      <c r="K100" s="691">
        <v>17.497565311474801</v>
      </c>
      <c r="L100" s="691">
        <v>15.3610194872186</v>
      </c>
      <c r="M100" s="691">
        <v>10.448253704000599</v>
      </c>
      <c r="N100" s="691">
        <v>6.9919894634840096</v>
      </c>
      <c r="O100" s="691">
        <v>6.5970012029591096</v>
      </c>
      <c r="P100" s="691">
        <v>4.5654005416576497</v>
      </c>
      <c r="Q100" s="691">
        <v>3.8806202574825499</v>
      </c>
      <c r="R100" s="691">
        <v>2.5565437573203398</v>
      </c>
      <c r="S100" s="691"/>
      <c r="T100" s="691">
        <v>5.4688854220835498E-2</v>
      </c>
      <c r="U100" s="691">
        <v>5.7722308892355696E-2</v>
      </c>
      <c r="V100" s="691">
        <v>5.7895649159299706E-2</v>
      </c>
      <c r="W100" s="691">
        <v>5.5295545155139542E-2</v>
      </c>
      <c r="X100" s="691">
        <v>5.6768937424163633E-2</v>
      </c>
      <c r="Y100" s="691">
        <v>6.2835846767204023E-2</v>
      </c>
      <c r="Z100" s="691">
        <v>6.4395909169700116E-2</v>
      </c>
      <c r="AA100" s="691">
        <v>6.5349280637892179E-2</v>
      </c>
      <c r="AB100" s="691">
        <v>6.4829259837060144E-2</v>
      </c>
      <c r="AC100" s="691">
        <v>6.6215981972612234E-2</v>
      </c>
      <c r="AD100" s="691">
        <v>6.8642745709828396E-2</v>
      </c>
      <c r="AE100" s="691">
        <v>6.9336106777604434E-2</v>
      </c>
      <c r="AF100" s="691">
        <v>6.3529207834980062E-2</v>
      </c>
      <c r="AG100" s="691">
        <v>5.4688854220835498E-2</v>
      </c>
      <c r="AH100" s="691">
        <v>4.7928583810019069E-2</v>
      </c>
      <c r="AI100" s="691">
        <v>3.3107990986306117E-2</v>
      </c>
      <c r="AJ100" s="691"/>
      <c r="AK100" s="691">
        <f t="shared" ref="AK100:AK131" si="51">C100/T100/16</f>
        <v>9.107421048396386</v>
      </c>
      <c r="AL100" s="691">
        <f t="shared" ref="AL100:AL131" si="52">D100/U100/16</f>
        <v>11.809567662617264</v>
      </c>
      <c r="AM100" s="691">
        <f t="shared" ref="AM100:AM131" si="53">E100/V100/16</f>
        <v>15.888588555599014</v>
      </c>
      <c r="AN100" s="691">
        <f t="shared" ref="AN100:AN131" si="54">F100/W100/16</f>
        <v>16.672050170745326</v>
      </c>
      <c r="AO100" s="691">
        <f t="shared" ref="AO100:AO131" si="55">G100/X100/16</f>
        <v>16.603633966664702</v>
      </c>
      <c r="AP100" s="691">
        <f t="shared" ref="AP100:AP131" si="56">H100/Y100/16</f>
        <v>16.726611109454673</v>
      </c>
      <c r="AQ100" s="691">
        <f t="shared" ref="AQ100:AQ131" si="57">I100/Z100/16</f>
        <v>18.206580425390218</v>
      </c>
      <c r="AR100" s="691">
        <f t="shared" ref="AR100:AR131" si="58">J100/AA100/16</f>
        <v>17.324651199359089</v>
      </c>
      <c r="AS100" s="691">
        <f t="shared" ref="AS100:AS131" si="59">K100/AB100/16</f>
        <v>16.86889276101239</v>
      </c>
      <c r="AT100" s="691">
        <f t="shared" ref="AT100:AT131" si="60">L100/AC100/16</f>
        <v>14.498972745707478</v>
      </c>
      <c r="AU100" s="691">
        <f t="shared" ref="AU100:AU131" si="61">M100/AD100/16</f>
        <v>9.5132537276482729</v>
      </c>
      <c r="AV100" s="691">
        <f t="shared" ref="AV100:AV131" si="62">N100/AE100/16</f>
        <v>6.3026230023186338</v>
      </c>
      <c r="AW100" s="691">
        <f t="shared" ref="AW100:AW131" si="63">O100/AF100/16</f>
        <v>6.4901261834705162</v>
      </c>
      <c r="AX100" s="691">
        <f t="shared" ref="AX100:AX131" si="64">P100/AG100/16</f>
        <v>5.2174714193389429</v>
      </c>
      <c r="AY100" s="691">
        <f t="shared" ref="AY100:AY131" si="65">Q100/AH100/16</f>
        <v>5.0604200419115797</v>
      </c>
      <c r="AZ100" s="691">
        <f t="shared" ref="AZ100:AZ131" si="66">R100/AI100/16</f>
        <v>4.8261455942346343</v>
      </c>
      <c r="BA100" s="691"/>
      <c r="BB100" s="691">
        <f t="shared" ref="BB100:BB131" si="67">IFERROR(AVERAGE(AK100:AZ100),"")</f>
        <v>11.944813100866821</v>
      </c>
    </row>
    <row r="101" spans="1:54" x14ac:dyDescent="0.35">
      <c r="A101" s="129" t="s">
        <v>352</v>
      </c>
      <c r="B101" s="129" t="str">
        <f>VLOOKUP(A101,'HCW, Staff, Beds Summary'!B:E,4,FALSE)</f>
        <v>Upper middle income</v>
      </c>
      <c r="C101" s="691">
        <v>11.963688320073899</v>
      </c>
      <c r="D101" s="691">
        <v>20.487766117500499</v>
      </c>
      <c r="E101" s="691">
        <v>26.159180167492</v>
      </c>
      <c r="F101" s="691">
        <v>29.480900922468301</v>
      </c>
      <c r="G101" s="691">
        <v>19.019978819965999</v>
      </c>
      <c r="H101" s="691">
        <v>19.195678081248701</v>
      </c>
      <c r="I101" s="691">
        <v>18.581484250213201</v>
      </c>
      <c r="J101" s="691">
        <v>18.042691308786601</v>
      </c>
      <c r="K101" s="691">
        <v>16.7120213669611</v>
      </c>
      <c r="L101" s="691">
        <v>13.2621519810358</v>
      </c>
      <c r="M101" s="691">
        <v>9.8477305582446295</v>
      </c>
      <c r="N101" s="691">
        <v>6.0608640284073303</v>
      </c>
      <c r="O101" s="691">
        <v>3.2772401108632399</v>
      </c>
      <c r="P101" s="691">
        <v>1.9877411014392501</v>
      </c>
      <c r="Q101" s="691">
        <v>1.12912682831689</v>
      </c>
      <c r="R101" s="691">
        <v>0.72722527745106902</v>
      </c>
      <c r="S101" s="691"/>
      <c r="T101" s="691">
        <v>7.2932020517658153E-2</v>
      </c>
      <c r="U101" s="691">
        <v>7.2794450012774403E-2</v>
      </c>
      <c r="V101" s="691">
        <v>7.6135447988522689E-2</v>
      </c>
      <c r="W101" s="691">
        <v>8.3465990605899806E-2</v>
      </c>
      <c r="X101" s="691">
        <v>8.6905253227993626E-2</v>
      </c>
      <c r="Y101" s="691">
        <v>8.6983864945070058E-2</v>
      </c>
      <c r="Z101" s="691">
        <v>7.9731934044769373E-2</v>
      </c>
      <c r="AA101" s="691">
        <v>7.3757443546960677E-2</v>
      </c>
      <c r="AB101" s="691">
        <v>6.7232671029616969E-2</v>
      </c>
      <c r="AC101" s="691">
        <v>5.9528722756126799E-2</v>
      </c>
      <c r="AD101" s="691">
        <v>5.7150718314564787E-2</v>
      </c>
      <c r="AE101" s="691">
        <v>5.1805121553367528E-2</v>
      </c>
      <c r="AF101" s="691">
        <v>4.0996010455358368E-2</v>
      </c>
      <c r="AG101" s="691">
        <v>3.311518581844624E-2</v>
      </c>
      <c r="AH101" s="691">
        <v>2.3347679971699783E-2</v>
      </c>
      <c r="AI101" s="691">
        <v>1.5565119981133187E-2</v>
      </c>
      <c r="AJ101" s="691"/>
      <c r="AK101" s="691">
        <f t="shared" si="51"/>
        <v>10.252431163943685</v>
      </c>
      <c r="AL101" s="691">
        <f t="shared" si="52"/>
        <v>17.59042594756982</v>
      </c>
      <c r="AM101" s="691">
        <f t="shared" si="53"/>
        <v>21.474212126718111</v>
      </c>
      <c r="AN101" s="691">
        <f t="shared" si="54"/>
        <v>22.075533930391373</v>
      </c>
      <c r="AO101" s="691">
        <f t="shared" si="55"/>
        <v>13.678674557557807</v>
      </c>
      <c r="AP101" s="691">
        <f t="shared" si="56"/>
        <v>13.792556594670382</v>
      </c>
      <c r="AQ101" s="691">
        <f t="shared" si="57"/>
        <v>14.565591309828665</v>
      </c>
      <c r="AR101" s="691">
        <f t="shared" si="58"/>
        <v>15.288873265803833</v>
      </c>
      <c r="AS101" s="691">
        <f t="shared" si="59"/>
        <v>15.535621587530722</v>
      </c>
      <c r="AT101" s="691">
        <f t="shared" si="60"/>
        <v>13.924110251961139</v>
      </c>
      <c r="AU101" s="691">
        <f t="shared" si="61"/>
        <v>10.769473736140849</v>
      </c>
      <c r="AV101" s="691">
        <f t="shared" si="62"/>
        <v>7.3120956078682235</v>
      </c>
      <c r="AW101" s="691">
        <f t="shared" si="63"/>
        <v>4.9962790196864288</v>
      </c>
      <c r="AX101" s="691">
        <f t="shared" si="64"/>
        <v>3.7515664118892196</v>
      </c>
      <c r="AY101" s="691">
        <f t="shared" si="65"/>
        <v>3.0225884051582659</v>
      </c>
      <c r="AZ101" s="691">
        <f t="shared" si="66"/>
        <v>2.9200918396892952</v>
      </c>
      <c r="BA101" s="691"/>
      <c r="BB101" s="691">
        <f t="shared" si="67"/>
        <v>11.934382859775489</v>
      </c>
    </row>
    <row r="102" spans="1:54" x14ac:dyDescent="0.35">
      <c r="A102" s="129" t="s">
        <v>223</v>
      </c>
      <c r="B102" s="129" t="str">
        <f>VLOOKUP(A102,'HCW, Staff, Beds Summary'!B:E,4,FALSE)</f>
        <v>Upper middle income</v>
      </c>
      <c r="C102" s="691">
        <v>16.212586343707301</v>
      </c>
      <c r="D102" s="691">
        <v>34.3197284607892</v>
      </c>
      <c r="E102" s="691">
        <v>38.894810625739602</v>
      </c>
      <c r="F102" s="691">
        <v>31.442157605755</v>
      </c>
      <c r="G102" s="691">
        <v>17.98072353417</v>
      </c>
      <c r="H102" s="691">
        <v>16.650173524796699</v>
      </c>
      <c r="I102" s="691">
        <v>15.597121223445299</v>
      </c>
      <c r="J102" s="691">
        <v>14.3901965025146</v>
      </c>
      <c r="K102" s="691">
        <v>12.3866757338425</v>
      </c>
      <c r="L102" s="691">
        <v>9.5034509378725094</v>
      </c>
      <c r="M102" s="691">
        <v>7.1576030721475297</v>
      </c>
      <c r="N102" s="691">
        <v>4.6970987025322399</v>
      </c>
      <c r="O102" s="691">
        <v>2.5452371931946001</v>
      </c>
      <c r="P102" s="691">
        <v>1.2937006488873399</v>
      </c>
      <c r="Q102" s="691">
        <v>0.76180134165195501</v>
      </c>
      <c r="R102" s="691">
        <v>0.47294756531086801</v>
      </c>
      <c r="S102" s="691"/>
      <c r="T102" s="691">
        <v>0.11526010270149586</v>
      </c>
      <c r="U102" s="691">
        <v>0.11062737218129047</v>
      </c>
      <c r="V102" s="691">
        <v>0.10750167448091091</v>
      </c>
      <c r="W102" s="691">
        <v>0.10861799508818933</v>
      </c>
      <c r="X102" s="691">
        <v>0.10058048671578478</v>
      </c>
      <c r="Y102" s="691">
        <v>8.9919624916275948E-2</v>
      </c>
      <c r="Z102" s="691">
        <v>7.5574905112748378E-2</v>
      </c>
      <c r="AA102" s="691">
        <v>6.5751283768698376E-2</v>
      </c>
      <c r="AB102" s="691">
        <v>5.3360125027908017E-2</v>
      </c>
      <c r="AC102" s="691">
        <v>4.1638758651484704E-2</v>
      </c>
      <c r="AD102" s="691">
        <v>3.2540745702165662E-2</v>
      </c>
      <c r="AE102" s="691">
        <v>2.6233534271042643E-2</v>
      </c>
      <c r="AF102" s="691">
        <v>2.1879883902656844E-2</v>
      </c>
      <c r="AG102" s="691">
        <v>1.8251841929002009E-2</v>
      </c>
      <c r="AH102" s="691">
        <v>1.2391158740790355E-2</v>
      </c>
      <c r="AI102" s="691">
        <v>8.9863808885912028E-3</v>
      </c>
      <c r="AJ102" s="691"/>
      <c r="AK102" s="691">
        <f t="shared" si="51"/>
        <v>8.7913043866180391</v>
      </c>
      <c r="AL102" s="691">
        <f t="shared" si="52"/>
        <v>19.389261323899447</v>
      </c>
      <c r="AM102" s="691">
        <f t="shared" si="53"/>
        <v>22.612909760213874</v>
      </c>
      <c r="AN102" s="691">
        <f t="shared" si="54"/>
        <v>18.092166484606455</v>
      </c>
      <c r="AO102" s="691">
        <f t="shared" si="55"/>
        <v>11.173093883122561</v>
      </c>
      <c r="AP102" s="691">
        <f t="shared" si="56"/>
        <v>11.572955806574242</v>
      </c>
      <c r="AQ102" s="691">
        <f t="shared" si="57"/>
        <v>12.898727097454117</v>
      </c>
      <c r="AR102" s="691">
        <f t="shared" si="58"/>
        <v>13.678626938616912</v>
      </c>
      <c r="AS102" s="691">
        <f t="shared" si="59"/>
        <v>14.508347440345334</v>
      </c>
      <c r="AT102" s="691">
        <f t="shared" si="60"/>
        <v>14.264730814588127</v>
      </c>
      <c r="AU102" s="691">
        <f t="shared" si="61"/>
        <v>13.747386003494334</v>
      </c>
      <c r="AV102" s="691">
        <f t="shared" si="62"/>
        <v>11.190587813107395</v>
      </c>
      <c r="AW102" s="691">
        <f t="shared" si="63"/>
        <v>7.2704830282644215</v>
      </c>
      <c r="AX102" s="691">
        <f t="shared" si="64"/>
        <v>4.4300345614421985</v>
      </c>
      <c r="AY102" s="691">
        <f t="shared" si="65"/>
        <v>3.8424641996161109</v>
      </c>
      <c r="AZ102" s="691">
        <f t="shared" si="66"/>
        <v>3.2893356289244999</v>
      </c>
      <c r="BA102" s="691"/>
      <c r="BB102" s="691">
        <f t="shared" si="67"/>
        <v>11.922025948180503</v>
      </c>
    </row>
    <row r="103" spans="1:54" x14ac:dyDescent="0.35">
      <c r="A103" s="129" t="s">
        <v>475</v>
      </c>
      <c r="B103" s="129" t="str">
        <f>VLOOKUP(A103,'HCW, Staff, Beds Summary'!B:E,4,FALSE)</f>
        <v>Upper middle income</v>
      </c>
      <c r="C103" s="691">
        <v>8.3951618969429198</v>
      </c>
      <c r="D103" s="691">
        <v>14.8555437474346</v>
      </c>
      <c r="E103" s="691">
        <v>21.794771472617001</v>
      </c>
      <c r="F103" s="691">
        <v>24.313345481819301</v>
      </c>
      <c r="G103" s="691">
        <v>14.3574670600352</v>
      </c>
      <c r="H103" s="691">
        <v>16.781813790902699</v>
      </c>
      <c r="I103" s="691">
        <v>17.618014930416098</v>
      </c>
      <c r="J103" s="691">
        <v>17.715555132838201</v>
      </c>
      <c r="K103" s="691">
        <v>15.543056174538901</v>
      </c>
      <c r="L103" s="691">
        <v>12.978068084118</v>
      </c>
      <c r="M103" s="691">
        <v>9.6206047232223995</v>
      </c>
      <c r="N103" s="691">
        <v>6.5710474090309301</v>
      </c>
      <c r="O103" s="691">
        <v>4.7550373319031998</v>
      </c>
      <c r="P103" s="691">
        <v>3.2754736697253599</v>
      </c>
      <c r="Q103" s="691">
        <v>2.8516432393303801</v>
      </c>
      <c r="R103" s="691">
        <v>1.59198806817397</v>
      </c>
      <c r="S103" s="691"/>
      <c r="T103" s="691">
        <v>5.9485530546623797E-2</v>
      </c>
      <c r="U103" s="691">
        <v>5.9485530546623797E-2</v>
      </c>
      <c r="V103" s="691">
        <v>6.2700964630225078E-2</v>
      </c>
      <c r="W103" s="691">
        <v>6.1093247588424437E-2</v>
      </c>
      <c r="X103" s="691">
        <v>6.591639871382636E-2</v>
      </c>
      <c r="Y103" s="691">
        <v>6.7524115755627015E-2</v>
      </c>
      <c r="Z103" s="691">
        <v>6.9131832797427656E-2</v>
      </c>
      <c r="AA103" s="691">
        <v>7.2347266881028938E-2</v>
      </c>
      <c r="AB103" s="691">
        <v>6.7524115755627015E-2</v>
      </c>
      <c r="AC103" s="691">
        <v>6.591639871382636E-2</v>
      </c>
      <c r="AD103" s="691">
        <v>6.1093247588424437E-2</v>
      </c>
      <c r="AE103" s="691">
        <v>6.7524115755627015E-2</v>
      </c>
      <c r="AF103" s="691">
        <v>6.2700964630225078E-2</v>
      </c>
      <c r="AG103" s="691">
        <v>5.7877813504823149E-2</v>
      </c>
      <c r="AH103" s="691">
        <v>4.0192926045016078E-2</v>
      </c>
      <c r="AI103" s="691">
        <v>2.5401929260450162E-2</v>
      </c>
      <c r="AJ103" s="691"/>
      <c r="AK103" s="691">
        <f t="shared" si="51"/>
        <v>8.8205923984771886</v>
      </c>
      <c r="AL103" s="691">
        <f t="shared" si="52"/>
        <v>15.608358464365407</v>
      </c>
      <c r="AM103" s="691">
        <f t="shared" si="53"/>
        <v>21.724916435845792</v>
      </c>
      <c r="AN103" s="691">
        <f t="shared" si="54"/>
        <v>24.873192252782246</v>
      </c>
      <c r="AO103" s="691">
        <f t="shared" si="55"/>
        <v>13.613330047777279</v>
      </c>
      <c r="AP103" s="691">
        <f t="shared" si="56"/>
        <v>15.533166931460533</v>
      </c>
      <c r="AQ103" s="691">
        <f t="shared" si="57"/>
        <v>15.927914660928506</v>
      </c>
      <c r="AR103" s="691">
        <f t="shared" si="58"/>
        <v>15.304271239757446</v>
      </c>
      <c r="AS103" s="691">
        <f t="shared" si="59"/>
        <v>14.386578780599994</v>
      </c>
      <c r="AT103" s="691">
        <f t="shared" si="60"/>
        <v>12.305424311465543</v>
      </c>
      <c r="AU103" s="691">
        <f t="shared" si="61"/>
        <v>9.8421318056650211</v>
      </c>
      <c r="AV103" s="691">
        <f t="shared" si="62"/>
        <v>6.0821301910970806</v>
      </c>
      <c r="AW103" s="691">
        <f t="shared" si="63"/>
        <v>4.7397968276342795</v>
      </c>
      <c r="AX103" s="691">
        <f t="shared" si="64"/>
        <v>3.5370566364048157</v>
      </c>
      <c r="AY103" s="691">
        <f t="shared" si="65"/>
        <v>4.4343052371587408</v>
      </c>
      <c r="AZ103" s="691">
        <f t="shared" si="66"/>
        <v>3.9169959588774104</v>
      </c>
      <c r="BA103" s="691"/>
      <c r="BB103" s="691">
        <f t="shared" si="67"/>
        <v>11.915635136268582</v>
      </c>
    </row>
    <row r="104" spans="1:54" x14ac:dyDescent="0.35">
      <c r="A104" s="129" t="s">
        <v>356</v>
      </c>
      <c r="B104" s="129" t="str">
        <f>VLOOKUP(A104,'HCW, Staff, Beds Summary'!B:E,4,FALSE)</f>
        <v>Upper middle income</v>
      </c>
      <c r="C104" s="691">
        <v>9.3064074439550204</v>
      </c>
      <c r="D104" s="691">
        <v>20.6294840799283</v>
      </c>
      <c r="E104" s="691">
        <v>25.842892944214501</v>
      </c>
      <c r="F104" s="691">
        <v>29.158299903079602</v>
      </c>
      <c r="G104" s="691">
        <v>19.377371953050499</v>
      </c>
      <c r="H104" s="691">
        <v>19.839069297659201</v>
      </c>
      <c r="I104" s="691">
        <v>18.587108744102199</v>
      </c>
      <c r="J104" s="691">
        <v>17.454040595112701</v>
      </c>
      <c r="K104" s="691">
        <v>15.8871528849785</v>
      </c>
      <c r="L104" s="691">
        <v>12.767240132409</v>
      </c>
      <c r="M104" s="691">
        <v>9.6943749014605594</v>
      </c>
      <c r="N104" s="691">
        <v>5.81613746389288</v>
      </c>
      <c r="O104" s="691">
        <v>3.00167805591814</v>
      </c>
      <c r="P104" s="691">
        <v>1.9265146209299</v>
      </c>
      <c r="Q104" s="691">
        <v>1.0914353081007699</v>
      </c>
      <c r="R104" s="691">
        <v>0.69044980443699</v>
      </c>
      <c r="S104" s="691"/>
      <c r="T104" s="691">
        <v>6.8315665488810365E-2</v>
      </c>
      <c r="U104" s="691">
        <v>7.0278759324695725E-2</v>
      </c>
      <c r="V104" s="691">
        <v>6.9886140557518656E-2</v>
      </c>
      <c r="W104" s="691">
        <v>7.1456615626226933E-2</v>
      </c>
      <c r="X104" s="691">
        <v>7.8523753435414206E-2</v>
      </c>
      <c r="Y104" s="691">
        <v>8.3431488025127606E-2</v>
      </c>
      <c r="Z104" s="691">
        <v>8.4609344326658814E-2</v>
      </c>
      <c r="AA104" s="691">
        <v>7.754220651747154E-2</v>
      </c>
      <c r="AB104" s="691">
        <v>6.8315665488810365E-2</v>
      </c>
      <c r="AC104" s="691">
        <v>5.9285433843737731E-2</v>
      </c>
      <c r="AD104" s="691">
        <v>5.9874361994503335E-2</v>
      </c>
      <c r="AE104" s="691">
        <v>5.8500196309383586E-2</v>
      </c>
      <c r="AF104" s="691">
        <v>4.7899489595602668E-2</v>
      </c>
      <c r="AG104" s="691">
        <v>3.5139379662347862E-2</v>
      </c>
      <c r="AH104" s="691">
        <v>2.728700431880644E-2</v>
      </c>
      <c r="AI104" s="691">
        <v>1.8256772673733806E-2</v>
      </c>
      <c r="AJ104" s="691"/>
      <c r="AK104" s="691">
        <f t="shared" si="51"/>
        <v>8.5141593964631603</v>
      </c>
      <c r="AL104" s="691">
        <f t="shared" si="52"/>
        <v>18.346122888120593</v>
      </c>
      <c r="AM104" s="691">
        <f t="shared" si="53"/>
        <v>23.11160404807385</v>
      </c>
      <c r="AN104" s="691">
        <f t="shared" si="54"/>
        <v>25.503499262755408</v>
      </c>
      <c r="AO104" s="691">
        <f t="shared" si="55"/>
        <v>15.423176988881133</v>
      </c>
      <c r="AP104" s="691">
        <f t="shared" si="56"/>
        <v>14.861796912099406</v>
      </c>
      <c r="AQ104" s="691">
        <f t="shared" si="57"/>
        <v>13.730094539219344</v>
      </c>
      <c r="AR104" s="691">
        <f t="shared" si="58"/>
        <v>14.068177656883559</v>
      </c>
      <c r="AS104" s="691">
        <f t="shared" si="59"/>
        <v>14.534690516537442</v>
      </c>
      <c r="AT104" s="691">
        <f t="shared" si="60"/>
        <v>13.45950356674078</v>
      </c>
      <c r="AU104" s="691">
        <f t="shared" si="61"/>
        <v>10.119497079516412</v>
      </c>
      <c r="AV104" s="691">
        <f t="shared" si="62"/>
        <v>6.213801225056697</v>
      </c>
      <c r="AW104" s="691">
        <f t="shared" si="63"/>
        <v>3.9166362748071224</v>
      </c>
      <c r="AX104" s="691">
        <f t="shared" si="64"/>
        <v>3.426559175634396</v>
      </c>
      <c r="AY104" s="691">
        <f t="shared" si="65"/>
        <v>2.4998972389682201</v>
      </c>
      <c r="AZ104" s="691">
        <f t="shared" si="66"/>
        <v>2.3636769514798566</v>
      </c>
      <c r="BA104" s="691"/>
      <c r="BB104" s="691">
        <f t="shared" si="67"/>
        <v>11.880805857577338</v>
      </c>
    </row>
    <row r="105" spans="1:54" x14ac:dyDescent="0.35">
      <c r="A105" s="129" t="s">
        <v>432</v>
      </c>
      <c r="B105" s="129" t="str">
        <f>VLOOKUP(A105,'HCW, Staff, Beds Summary'!B:E,4,FALSE)</f>
        <v>Lower middle income</v>
      </c>
      <c r="C105" s="691">
        <v>13.730525483188099</v>
      </c>
      <c r="D105" s="691">
        <v>21.308585314960499</v>
      </c>
      <c r="E105" s="691">
        <v>27.277595084327601</v>
      </c>
      <c r="F105" s="691">
        <v>33.908110443856501</v>
      </c>
      <c r="G105" s="691">
        <v>21.080378849632002</v>
      </c>
      <c r="H105" s="691">
        <v>19.637054508862001</v>
      </c>
      <c r="I105" s="691">
        <v>17.371021042585099</v>
      </c>
      <c r="J105" s="691">
        <v>16.435687300785801</v>
      </c>
      <c r="K105" s="691">
        <v>14.8543010109283</v>
      </c>
      <c r="L105" s="691">
        <v>11.5539294136519</v>
      </c>
      <c r="M105" s="691">
        <v>8.4601621178053001</v>
      </c>
      <c r="N105" s="691">
        <v>4.4078185491745696</v>
      </c>
      <c r="O105" s="691">
        <v>2.21959431789465</v>
      </c>
      <c r="P105" s="691">
        <v>1.14239866354897</v>
      </c>
      <c r="Q105" s="691">
        <v>0.83244837650645798</v>
      </c>
      <c r="R105" s="691">
        <v>0.48861117821272998</v>
      </c>
      <c r="S105" s="691"/>
      <c r="T105" s="691">
        <v>0.11650485436893204</v>
      </c>
      <c r="U105" s="691">
        <v>0.11789181692094314</v>
      </c>
      <c r="V105" s="691">
        <v>9.2155956233626143E-2</v>
      </c>
      <c r="W105" s="691">
        <v>7.6591154261057171E-2</v>
      </c>
      <c r="X105" s="691">
        <v>7.8902758514409005E-2</v>
      </c>
      <c r="Y105" s="691">
        <v>8.7070426876252119E-2</v>
      </c>
      <c r="Z105" s="691">
        <v>8.7686854677145945E-2</v>
      </c>
      <c r="AA105" s="691">
        <v>6.780705809832023E-2</v>
      </c>
      <c r="AB105" s="691">
        <v>5.5478502080443831E-2</v>
      </c>
      <c r="AC105" s="691">
        <v>4.9776544922175987E-2</v>
      </c>
      <c r="AD105" s="691">
        <v>4.5307443365695796E-2</v>
      </c>
      <c r="AE105" s="691">
        <v>4.3766373863461244E-2</v>
      </c>
      <c r="AF105" s="691">
        <v>3.3749422098936659E-2</v>
      </c>
      <c r="AG105" s="691">
        <v>2.2037293881954075E-2</v>
      </c>
      <c r="AH105" s="691">
        <v>1.2174449067652951E-2</v>
      </c>
      <c r="AI105" s="691">
        <v>5.0855293573740176E-3</v>
      </c>
      <c r="AJ105" s="691"/>
      <c r="AK105" s="691">
        <f t="shared" si="51"/>
        <v>7.3658548165019493</v>
      </c>
      <c r="AL105" s="691">
        <f t="shared" si="52"/>
        <v>11.296683832416559</v>
      </c>
      <c r="AM105" s="691">
        <f t="shared" si="53"/>
        <v>18.49961481001273</v>
      </c>
      <c r="AN105" s="691">
        <f t="shared" si="54"/>
        <v>27.66973449071741</v>
      </c>
      <c r="AO105" s="691">
        <f t="shared" si="55"/>
        <v>16.698068646882575</v>
      </c>
      <c r="AP105" s="691">
        <f t="shared" si="56"/>
        <v>14.09566888362893</v>
      </c>
      <c r="AQ105" s="691">
        <f t="shared" si="57"/>
        <v>12.381431848125516</v>
      </c>
      <c r="AR105" s="691">
        <f t="shared" si="58"/>
        <v>15.149314615738504</v>
      </c>
      <c r="AS105" s="691">
        <f t="shared" si="59"/>
        <v>16.734298482623913</v>
      </c>
      <c r="AT105" s="691">
        <f t="shared" si="60"/>
        <v>14.507246123294735</v>
      </c>
      <c r="AU105" s="691">
        <f t="shared" si="61"/>
        <v>11.670491492865347</v>
      </c>
      <c r="AV105" s="691">
        <f t="shared" si="62"/>
        <v>6.2945278533437019</v>
      </c>
      <c r="AW105" s="691">
        <f t="shared" si="63"/>
        <v>4.1104302308271645</v>
      </c>
      <c r="AX105" s="691">
        <f t="shared" si="64"/>
        <v>3.2399584474516026</v>
      </c>
      <c r="AY105" s="691">
        <f t="shared" si="65"/>
        <v>4.2735423379354476</v>
      </c>
      <c r="AZ105" s="691">
        <f t="shared" si="66"/>
        <v>6.0049203322394034</v>
      </c>
      <c r="BA105" s="691"/>
      <c r="BB105" s="691">
        <f t="shared" si="67"/>
        <v>11.874486702787845</v>
      </c>
    </row>
    <row r="106" spans="1:54" x14ac:dyDescent="0.35">
      <c r="A106" s="129" t="s">
        <v>213</v>
      </c>
      <c r="B106" s="129" t="str">
        <f>VLOOKUP(A106,'HCW, Staff, Beds Summary'!B:E,4,FALSE)</f>
        <v>High income</v>
      </c>
      <c r="C106" s="691">
        <v>12.6154654673136</v>
      </c>
      <c r="D106" s="691">
        <v>17.419470708510399</v>
      </c>
      <c r="E106" s="691">
        <v>20.100770174235699</v>
      </c>
      <c r="F106" s="691">
        <v>25.914608180882901</v>
      </c>
      <c r="G106" s="691">
        <v>16.3549651994919</v>
      </c>
      <c r="H106" s="691">
        <v>18.186612456856</v>
      </c>
      <c r="I106" s="691">
        <v>19.3675493705036</v>
      </c>
      <c r="J106" s="691">
        <v>19.682611677225001</v>
      </c>
      <c r="K106" s="691">
        <v>18.4953787548375</v>
      </c>
      <c r="L106" s="691">
        <v>14.9442312411839</v>
      </c>
      <c r="M106" s="691">
        <v>10.6281632609443</v>
      </c>
      <c r="N106" s="691">
        <v>6.2148411278885103</v>
      </c>
      <c r="O106" s="691">
        <v>3.0186826663492798</v>
      </c>
      <c r="P106" s="691">
        <v>2.08705121685025</v>
      </c>
      <c r="Q106" s="691">
        <v>1.3372072795598799</v>
      </c>
      <c r="R106" s="691">
        <v>0.90730042782689801</v>
      </c>
      <c r="S106" s="691"/>
      <c r="T106" s="691">
        <v>8.0612244897959179E-2</v>
      </c>
      <c r="U106" s="691">
        <v>8.0612244897959179E-2</v>
      </c>
      <c r="V106" s="691">
        <v>7.5510204081632656E-2</v>
      </c>
      <c r="W106" s="691">
        <v>6.5306122448979598E-2</v>
      </c>
      <c r="X106" s="691">
        <v>6.4285714285714279E-2</v>
      </c>
      <c r="Y106" s="691">
        <v>7.1428571428571425E-2</v>
      </c>
      <c r="Z106" s="691">
        <v>7.1428571428571425E-2</v>
      </c>
      <c r="AA106" s="691">
        <v>7.4489795918367352E-2</v>
      </c>
      <c r="AB106" s="691">
        <v>7.5510204081632656E-2</v>
      </c>
      <c r="AC106" s="691">
        <v>7.5510204081632656E-2</v>
      </c>
      <c r="AD106" s="691">
        <v>6.8367346938775511E-2</v>
      </c>
      <c r="AE106" s="691">
        <v>6.224489795918367E-2</v>
      </c>
      <c r="AF106" s="691">
        <v>4.8979591836734691E-2</v>
      </c>
      <c r="AG106" s="691">
        <v>3.1632653061224487E-2</v>
      </c>
      <c r="AH106" s="691">
        <v>1.7346938775510204E-2</v>
      </c>
      <c r="AI106" s="691">
        <v>1.6326530612244899E-2</v>
      </c>
      <c r="AJ106" s="691"/>
      <c r="AK106" s="691">
        <f t="shared" si="51"/>
        <v>9.7809779730754176</v>
      </c>
      <c r="AL106" s="691">
        <f t="shared" si="52"/>
        <v>13.505602289826102</v>
      </c>
      <c r="AM106" s="691">
        <f t="shared" si="53"/>
        <v>16.637461799620763</v>
      </c>
      <c r="AN106" s="691">
        <f t="shared" si="54"/>
        <v>24.801089860610588</v>
      </c>
      <c r="AO106" s="691">
        <f t="shared" si="55"/>
        <v>15.900660610617127</v>
      </c>
      <c r="AP106" s="691">
        <f t="shared" si="56"/>
        <v>15.913285899749001</v>
      </c>
      <c r="AQ106" s="691">
        <f t="shared" si="57"/>
        <v>16.946605699190652</v>
      </c>
      <c r="AR106" s="691">
        <f t="shared" si="58"/>
        <v>16.514520071644263</v>
      </c>
      <c r="AS106" s="691">
        <f t="shared" si="59"/>
        <v>15.308674982889146</v>
      </c>
      <c r="AT106" s="691">
        <f t="shared" si="60"/>
        <v>12.369380588142079</v>
      </c>
      <c r="AU106" s="691">
        <f t="shared" si="61"/>
        <v>9.7160447721319159</v>
      </c>
      <c r="AV106" s="691">
        <f t="shared" si="62"/>
        <v>6.2403117882487091</v>
      </c>
      <c r="AW106" s="691">
        <f t="shared" si="63"/>
        <v>3.8519648607061123</v>
      </c>
      <c r="AX106" s="691">
        <f t="shared" si="64"/>
        <v>4.1236092590992843</v>
      </c>
      <c r="AY106" s="691">
        <f t="shared" si="65"/>
        <v>4.8178791690025085</v>
      </c>
      <c r="AZ106" s="691">
        <f t="shared" si="66"/>
        <v>3.4732594502748437</v>
      </c>
      <c r="BA106" s="691"/>
      <c r="BB106" s="691">
        <f t="shared" si="67"/>
        <v>11.86883306717678</v>
      </c>
    </row>
    <row r="107" spans="1:54" x14ac:dyDescent="0.35">
      <c r="A107" s="129" t="s">
        <v>253</v>
      </c>
      <c r="B107" s="129" t="str">
        <f>VLOOKUP(A107,'HCW, Staff, Beds Summary'!B:E,4,FALSE)</f>
        <v>Lower middle income</v>
      </c>
      <c r="C107" s="691">
        <v>11.935159186803</v>
      </c>
      <c r="D107" s="691">
        <v>25.7352338083946</v>
      </c>
      <c r="E107" s="691">
        <v>31.228279590148201</v>
      </c>
      <c r="F107" s="691">
        <v>31.5678400503562</v>
      </c>
      <c r="G107" s="691">
        <v>18.812023398769501</v>
      </c>
      <c r="H107" s="691">
        <v>18.4323914597142</v>
      </c>
      <c r="I107" s="691">
        <v>17.784252292399199</v>
      </c>
      <c r="J107" s="691">
        <v>17.440405720625499</v>
      </c>
      <c r="K107" s="691">
        <v>15.8353322827851</v>
      </c>
      <c r="L107" s="691">
        <v>12.386154601895999</v>
      </c>
      <c r="M107" s="691">
        <v>9.3606389857104393</v>
      </c>
      <c r="N107" s="691">
        <v>5.4908805938915402</v>
      </c>
      <c r="O107" s="691">
        <v>2.90877546621393</v>
      </c>
      <c r="P107" s="691">
        <v>1.4281840061307201</v>
      </c>
      <c r="Q107" s="691">
        <v>0.883734269288036</v>
      </c>
      <c r="R107" s="691">
        <v>0.43444253001980998</v>
      </c>
      <c r="S107" s="691"/>
      <c r="T107" s="691">
        <v>9.6887234100802147E-2</v>
      </c>
      <c r="U107" s="691">
        <v>0.10401438205528331</v>
      </c>
      <c r="V107" s="691">
        <v>9.9533678283644067E-2</v>
      </c>
      <c r="W107" s="691">
        <v>9.5481880983017131E-2</v>
      </c>
      <c r="X107" s="691">
        <v>9.2214891267646759E-2</v>
      </c>
      <c r="Y107" s="691">
        <v>8.6511347770142633E-2</v>
      </c>
      <c r="Z107" s="691">
        <v>7.5259397158266489E-2</v>
      </c>
      <c r="AA107" s="691">
        <v>6.6206732919027927E-2</v>
      </c>
      <c r="AB107" s="691">
        <v>5.9791387193035291E-2</v>
      </c>
      <c r="AC107" s="691">
        <v>5.2563856872998055E-2</v>
      </c>
      <c r="AD107" s="691">
        <v>4.6696051322765809E-2</v>
      </c>
      <c r="AE107" s="691">
        <v>3.8784095783028077E-2</v>
      </c>
      <c r="AF107" s="691">
        <v>3.0963396939250418E-2</v>
      </c>
      <c r="AG107" s="691">
        <v>2.2686414615672425E-2</v>
      </c>
      <c r="AH107" s="691">
        <v>1.5166862868562982E-2</v>
      </c>
      <c r="AI107" s="691">
        <v>8.9249048648944625E-3</v>
      </c>
      <c r="AJ107" s="691"/>
      <c r="AK107" s="691">
        <f t="shared" si="51"/>
        <v>7.6991303972936072</v>
      </c>
      <c r="AL107" s="691">
        <f t="shared" si="52"/>
        <v>15.463747236125245</v>
      </c>
      <c r="AM107" s="691">
        <f t="shared" si="53"/>
        <v>19.609116311589059</v>
      </c>
      <c r="AN107" s="691">
        <f t="shared" si="54"/>
        <v>20.663501628106676</v>
      </c>
      <c r="AO107" s="691">
        <f t="shared" si="55"/>
        <v>12.750125779691741</v>
      </c>
      <c r="AP107" s="691">
        <f t="shared" si="56"/>
        <v>13.3164549614118</v>
      </c>
      <c r="AQ107" s="691">
        <f t="shared" si="57"/>
        <v>14.769129308031683</v>
      </c>
      <c r="AR107" s="691">
        <f t="shared" si="58"/>
        <v>16.463965362438515</v>
      </c>
      <c r="AS107" s="691">
        <f t="shared" si="59"/>
        <v>16.552689511598309</v>
      </c>
      <c r="AT107" s="691">
        <f t="shared" si="60"/>
        <v>14.727508761180182</v>
      </c>
      <c r="AU107" s="691">
        <f t="shared" si="61"/>
        <v>12.528681120445764</v>
      </c>
      <c r="AV107" s="691">
        <f t="shared" si="62"/>
        <v>8.8484733288121902</v>
      </c>
      <c r="AW107" s="691">
        <f t="shared" si="63"/>
        <v>5.8713992846151761</v>
      </c>
      <c r="AX107" s="691">
        <f t="shared" si="64"/>
        <v>3.9345794342269316</v>
      </c>
      <c r="AY107" s="691">
        <f t="shared" si="65"/>
        <v>3.641714988073566</v>
      </c>
      <c r="AZ107" s="691">
        <f t="shared" si="66"/>
        <v>3.0423470655739258</v>
      </c>
      <c r="BA107" s="691"/>
      <c r="BB107" s="691">
        <f t="shared" si="67"/>
        <v>11.867660279950897</v>
      </c>
    </row>
    <row r="108" spans="1:54" x14ac:dyDescent="0.35">
      <c r="A108" s="129" t="s">
        <v>433</v>
      </c>
      <c r="B108" s="129" t="str">
        <f>VLOOKUP(A108,'HCW, Staff, Beds Summary'!B:E,4,FALSE)</f>
        <v>Lower middle income</v>
      </c>
      <c r="C108" s="691">
        <v>15.206591992050701</v>
      </c>
      <c r="D108" s="691">
        <v>33.523817509587701</v>
      </c>
      <c r="E108" s="691">
        <v>37.215448458533302</v>
      </c>
      <c r="F108" s="691">
        <v>34.463874104576298</v>
      </c>
      <c r="G108" s="691">
        <v>17.743498932572301</v>
      </c>
      <c r="H108" s="691">
        <v>16.359080558959</v>
      </c>
      <c r="I108" s="691">
        <v>14.9344750377686</v>
      </c>
      <c r="J108" s="691">
        <v>14.6535122839077</v>
      </c>
      <c r="K108" s="691">
        <v>12.659667862275599</v>
      </c>
      <c r="L108" s="691">
        <v>10.0515254770113</v>
      </c>
      <c r="M108" s="691">
        <v>7.99674920143047</v>
      </c>
      <c r="N108" s="691">
        <v>5.3115620154274898</v>
      </c>
      <c r="O108" s="691">
        <v>3.25573967921583</v>
      </c>
      <c r="P108" s="691">
        <v>1.3339588591793801</v>
      </c>
      <c r="Q108" s="691">
        <v>0.68411792784694603</v>
      </c>
      <c r="R108" s="691">
        <v>0.40796663696153301</v>
      </c>
      <c r="S108" s="691"/>
      <c r="T108" s="691">
        <v>0.10953820780648708</v>
      </c>
      <c r="U108" s="691">
        <v>0.10582737768004398</v>
      </c>
      <c r="V108" s="691">
        <v>0.10404068169323805</v>
      </c>
      <c r="W108" s="691">
        <v>9.7443650357339193E-2</v>
      </c>
      <c r="X108" s="691">
        <v>9.5107201759208351E-2</v>
      </c>
      <c r="Y108" s="691">
        <v>9.2221000549752616E-2</v>
      </c>
      <c r="Z108" s="691">
        <v>8.122594832325454E-2</v>
      </c>
      <c r="AA108" s="691">
        <v>6.8031885651456847E-2</v>
      </c>
      <c r="AB108" s="691">
        <v>5.7311709730621219E-2</v>
      </c>
      <c r="AC108" s="691">
        <v>4.8927982407916439E-2</v>
      </c>
      <c r="AD108" s="691">
        <v>3.9719626168224297E-2</v>
      </c>
      <c r="AE108" s="691">
        <v>3.2710280373831772E-2</v>
      </c>
      <c r="AF108" s="691">
        <v>2.5426058273776801E-2</v>
      </c>
      <c r="AG108" s="691">
        <v>1.8416712479384277E-2</v>
      </c>
      <c r="AH108" s="691">
        <v>1.154480483782298E-2</v>
      </c>
      <c r="AI108" s="691">
        <v>7.1467839472237494E-3</v>
      </c>
      <c r="AJ108" s="691"/>
      <c r="AK108" s="691">
        <f t="shared" si="51"/>
        <v>8.6765341385006973</v>
      </c>
      <c r="AL108" s="691">
        <f t="shared" si="52"/>
        <v>19.798644172058452</v>
      </c>
      <c r="AM108" s="691">
        <f t="shared" si="53"/>
        <v>22.356308040314424</v>
      </c>
      <c r="AN108" s="691">
        <f t="shared" si="54"/>
        <v>22.105002466933811</v>
      </c>
      <c r="AO108" s="691">
        <f t="shared" si="55"/>
        <v>11.660196733507593</v>
      </c>
      <c r="AP108" s="691">
        <f t="shared" si="56"/>
        <v>11.086873150799709</v>
      </c>
      <c r="AQ108" s="691">
        <f t="shared" si="57"/>
        <v>11.491459430499612</v>
      </c>
      <c r="AR108" s="691">
        <f t="shared" si="58"/>
        <v>13.461989315367729</v>
      </c>
      <c r="AS108" s="691">
        <f t="shared" si="59"/>
        <v>13.805716931342515</v>
      </c>
      <c r="AT108" s="691">
        <f t="shared" si="60"/>
        <v>12.839694411996877</v>
      </c>
      <c r="AU108" s="691">
        <f t="shared" si="61"/>
        <v>12.58312006695677</v>
      </c>
      <c r="AV108" s="691">
        <f t="shared" si="62"/>
        <v>10.148877422334669</v>
      </c>
      <c r="AW108" s="691">
        <f t="shared" si="63"/>
        <v>8.0029601033697215</v>
      </c>
      <c r="AX108" s="691">
        <f t="shared" si="64"/>
        <v>4.526998441879277</v>
      </c>
      <c r="AY108" s="691">
        <f t="shared" si="65"/>
        <v>3.7036027105761749</v>
      </c>
      <c r="AZ108" s="691">
        <f t="shared" si="66"/>
        <v>3.5677466953510986</v>
      </c>
      <c r="BA108" s="691"/>
      <c r="BB108" s="691">
        <f t="shared" si="67"/>
        <v>11.863482764486822</v>
      </c>
    </row>
    <row r="109" spans="1:54" x14ac:dyDescent="0.35">
      <c r="A109" s="129" t="s">
        <v>205</v>
      </c>
      <c r="B109" s="129" t="str">
        <f>VLOOKUP(A109,'HCW, Staff, Beds Summary'!B:E,4,FALSE)</f>
        <v>Lower middle income</v>
      </c>
      <c r="C109" s="691">
        <v>17.986763613844399</v>
      </c>
      <c r="D109" s="691">
        <v>38.328877638974603</v>
      </c>
      <c r="E109" s="691">
        <v>39.461404851122801</v>
      </c>
      <c r="F109" s="691">
        <v>27.8694573437588</v>
      </c>
      <c r="G109" s="691">
        <v>16.374161846057099</v>
      </c>
      <c r="H109" s="691">
        <v>15.723520591645</v>
      </c>
      <c r="I109" s="691">
        <v>14.020602443617999</v>
      </c>
      <c r="J109" s="691">
        <v>13.130918503075399</v>
      </c>
      <c r="K109" s="691">
        <v>11.2052862518489</v>
      </c>
      <c r="L109" s="691">
        <v>8.6258545213424203</v>
      </c>
      <c r="M109" s="691">
        <v>7.0106047561532501</v>
      </c>
      <c r="N109" s="691">
        <v>4.4778401481590304</v>
      </c>
      <c r="O109" s="691">
        <v>2.7435731169728199</v>
      </c>
      <c r="P109" s="691">
        <v>1.2538164735339301</v>
      </c>
      <c r="Q109" s="691">
        <v>0.67350922513127798</v>
      </c>
      <c r="R109" s="691">
        <v>0.39290011718066897</v>
      </c>
      <c r="S109" s="691"/>
      <c r="T109" s="691">
        <v>0.14838709677419354</v>
      </c>
      <c r="U109" s="691">
        <v>0.13290322580645161</v>
      </c>
      <c r="V109" s="691">
        <v>0.11548387096774193</v>
      </c>
      <c r="W109" s="691">
        <v>0.1010752688172043</v>
      </c>
      <c r="X109" s="691">
        <v>8.9462365591397849E-2</v>
      </c>
      <c r="Y109" s="691">
        <v>7.9784946236559143E-2</v>
      </c>
      <c r="Z109" s="691">
        <v>7.1827956989247307E-2</v>
      </c>
      <c r="AA109" s="691">
        <v>6.1290322580645158E-2</v>
      </c>
      <c r="AB109" s="691">
        <v>5.053763440860215E-2</v>
      </c>
      <c r="AC109" s="691">
        <v>4.0430107526881719E-2</v>
      </c>
      <c r="AD109" s="691">
        <v>3.2043010752688172E-2</v>
      </c>
      <c r="AE109" s="691">
        <v>2.5161290322580646E-2</v>
      </c>
      <c r="AF109" s="691">
        <v>1.9139784946236558E-2</v>
      </c>
      <c r="AG109" s="691">
        <v>1.3333333333333334E-2</v>
      </c>
      <c r="AH109" s="691">
        <v>8.8172043010752692E-3</v>
      </c>
      <c r="AI109" s="691">
        <v>5.3763440860215058E-3</v>
      </c>
      <c r="AJ109" s="691"/>
      <c r="AK109" s="691">
        <f t="shared" si="51"/>
        <v>7.5759466308312016</v>
      </c>
      <c r="AL109" s="691">
        <f t="shared" si="52"/>
        <v>18.024805928522643</v>
      </c>
      <c r="AM109" s="691">
        <f t="shared" si="53"/>
        <v>21.3565563963828</v>
      </c>
      <c r="AN109" s="691">
        <f t="shared" si="54"/>
        <v>17.233108596872132</v>
      </c>
      <c r="AO109" s="691">
        <f t="shared" si="55"/>
        <v>11.439280736803713</v>
      </c>
      <c r="AP109" s="691">
        <f t="shared" si="56"/>
        <v>12.317110975597918</v>
      </c>
      <c r="AQ109" s="691">
        <f t="shared" si="57"/>
        <v>12.199813129270902</v>
      </c>
      <c r="AR109" s="691">
        <f t="shared" si="58"/>
        <v>13.390081368267678</v>
      </c>
      <c r="AS109" s="691">
        <f t="shared" si="59"/>
        <v>13.857601348696113</v>
      </c>
      <c r="AT109" s="691">
        <f t="shared" si="60"/>
        <v>13.334515799282665</v>
      </c>
      <c r="AU109" s="691">
        <f t="shared" si="61"/>
        <v>13.67420810239623</v>
      </c>
      <c r="AV109" s="691">
        <f t="shared" si="62"/>
        <v>11.122840111612977</v>
      </c>
      <c r="AW109" s="691">
        <f t="shared" si="63"/>
        <v>8.9589992934856841</v>
      </c>
      <c r="AX109" s="691">
        <f t="shared" si="64"/>
        <v>5.877264719690297</v>
      </c>
      <c r="AY109" s="691">
        <f t="shared" si="65"/>
        <v>4.7741126476531131</v>
      </c>
      <c r="AZ109" s="691">
        <f t="shared" si="66"/>
        <v>4.5674638622252761</v>
      </c>
      <c r="BA109" s="691"/>
      <c r="BB109" s="691">
        <f t="shared" si="67"/>
        <v>11.856481852974458</v>
      </c>
    </row>
    <row r="110" spans="1:54" x14ac:dyDescent="0.35">
      <c r="A110" s="129" t="s">
        <v>424</v>
      </c>
      <c r="B110" s="129" t="str">
        <f>VLOOKUP(A110,'HCW, Staff, Beds Summary'!B:E,4,FALSE)</f>
        <v>Upper middle income</v>
      </c>
      <c r="C110" s="691">
        <v>9.9876345562945996</v>
      </c>
      <c r="D110" s="691">
        <v>21.320106562904002</v>
      </c>
      <c r="E110" s="691">
        <v>29.068048957148399</v>
      </c>
      <c r="F110" s="691">
        <v>30.9818611923451</v>
      </c>
      <c r="G110" s="691">
        <v>19.314994678190399</v>
      </c>
      <c r="H110" s="691">
        <v>17.487015944945401</v>
      </c>
      <c r="I110" s="691">
        <v>17.452157541673898</v>
      </c>
      <c r="J110" s="691">
        <v>16.309194122660401</v>
      </c>
      <c r="K110" s="691">
        <v>16.521169981512902</v>
      </c>
      <c r="L110" s="691">
        <v>11.808979989201699</v>
      </c>
      <c r="M110" s="691">
        <v>9.6450426722490405</v>
      </c>
      <c r="N110" s="691">
        <v>5.8845786697565297</v>
      </c>
      <c r="O110" s="691">
        <v>3.2458459630494301</v>
      </c>
      <c r="P110" s="691">
        <v>2.00493579480742</v>
      </c>
      <c r="Q110" s="691">
        <v>1.26544991309602</v>
      </c>
      <c r="R110" s="691">
        <v>0.789183578922937</v>
      </c>
      <c r="S110" s="691"/>
      <c r="T110" s="691">
        <v>7.8014184397163122E-2</v>
      </c>
      <c r="U110" s="691">
        <v>7.9027355623100301E-2</v>
      </c>
      <c r="V110" s="691">
        <v>7.666328942924687E-2</v>
      </c>
      <c r="W110" s="691">
        <v>8.0715974332995613E-2</v>
      </c>
      <c r="X110" s="691">
        <v>8.8145896656534953E-2</v>
      </c>
      <c r="Y110" s="691">
        <v>8.5781830462681521E-2</v>
      </c>
      <c r="Z110" s="691">
        <v>7.8351908139142182E-2</v>
      </c>
      <c r="AA110" s="691">
        <v>7.1259709557581902E-2</v>
      </c>
      <c r="AB110" s="691">
        <v>6.0452549814251945E-2</v>
      </c>
      <c r="AC110" s="691">
        <v>6.0452549814251945E-2</v>
      </c>
      <c r="AD110" s="691">
        <v>5.7750759878419454E-2</v>
      </c>
      <c r="AE110" s="691">
        <v>5.0320837554880107E-2</v>
      </c>
      <c r="AF110" s="691">
        <v>4.1877744005403582E-2</v>
      </c>
      <c r="AG110" s="691">
        <v>3.0395136778115502E-2</v>
      </c>
      <c r="AH110" s="691">
        <v>2.3978385680513341E-2</v>
      </c>
      <c r="AI110" s="691">
        <v>1.6210739614994935E-2</v>
      </c>
      <c r="AJ110" s="691"/>
      <c r="AK110" s="691">
        <f t="shared" si="51"/>
        <v>8.0014572297587421</v>
      </c>
      <c r="AL110" s="691">
        <f t="shared" si="52"/>
        <v>16.861334276912061</v>
      </c>
      <c r="AM110" s="691">
        <f t="shared" si="53"/>
        <v>23.697822952124564</v>
      </c>
      <c r="AN110" s="691">
        <f t="shared" si="54"/>
        <v>23.989877351081024</v>
      </c>
      <c r="AO110" s="691">
        <f t="shared" si="55"/>
        <v>13.695330278285864</v>
      </c>
      <c r="AP110" s="691">
        <f t="shared" si="56"/>
        <v>12.74090900910023</v>
      </c>
      <c r="AQ110" s="691">
        <f t="shared" si="57"/>
        <v>13.921292694207008</v>
      </c>
      <c r="AR110" s="691">
        <f t="shared" si="58"/>
        <v>14.304361314335736</v>
      </c>
      <c r="AS110" s="691">
        <f t="shared" si="59"/>
        <v>17.080720780467772</v>
      </c>
      <c r="AT110" s="691">
        <f t="shared" si="60"/>
        <v>12.208934967886254</v>
      </c>
      <c r="AU110" s="691">
        <f t="shared" si="61"/>
        <v>10.43822052358531</v>
      </c>
      <c r="AV110" s="691">
        <f t="shared" si="62"/>
        <v>7.3088244300121996</v>
      </c>
      <c r="AW110" s="691">
        <f t="shared" si="63"/>
        <v>4.8442287785228642</v>
      </c>
      <c r="AX110" s="691">
        <f t="shared" si="64"/>
        <v>4.1226492280727571</v>
      </c>
      <c r="AY110" s="691">
        <f t="shared" si="65"/>
        <v>3.2984130217229883</v>
      </c>
      <c r="AZ110" s="691">
        <f t="shared" si="66"/>
        <v>3.0426726265505422</v>
      </c>
      <c r="BA110" s="691"/>
      <c r="BB110" s="691">
        <f t="shared" si="67"/>
        <v>11.847315591414119</v>
      </c>
    </row>
    <row r="111" spans="1:54" x14ac:dyDescent="0.35">
      <c r="A111" s="129" t="s">
        <v>422</v>
      </c>
      <c r="B111" s="129" t="str">
        <f>VLOOKUP(A111,'HCW, Staff, Beds Summary'!B:E,4,FALSE)</f>
        <v>High income</v>
      </c>
      <c r="C111" s="691">
        <v>14.091738506075099</v>
      </c>
      <c r="D111" s="691">
        <v>18.754254003560799</v>
      </c>
      <c r="E111" s="691">
        <v>21.588331712723502</v>
      </c>
      <c r="F111" s="691">
        <v>20.582672039573499</v>
      </c>
      <c r="G111" s="691">
        <v>15.8635744348261</v>
      </c>
      <c r="H111" s="691">
        <v>17.7985209186193</v>
      </c>
      <c r="I111" s="691">
        <v>18.162977742387401</v>
      </c>
      <c r="J111" s="691">
        <v>18.565311464685401</v>
      </c>
      <c r="K111" s="691">
        <v>16.548570584096598</v>
      </c>
      <c r="L111" s="691">
        <v>12.887633357386701</v>
      </c>
      <c r="M111" s="691">
        <v>10.3291399988734</v>
      </c>
      <c r="N111" s="691">
        <v>6.7141098862556001</v>
      </c>
      <c r="O111" s="691">
        <v>3.89339916993521</v>
      </c>
      <c r="P111" s="691">
        <v>2.4207676900194302</v>
      </c>
      <c r="Q111" s="691">
        <v>1.68786578063485</v>
      </c>
      <c r="R111" s="691">
        <v>1.0219062352313999</v>
      </c>
      <c r="S111" s="691"/>
      <c r="T111" s="691">
        <v>9.8011363636363633E-2</v>
      </c>
      <c r="U111" s="691">
        <v>9.5061188811188815E-2</v>
      </c>
      <c r="V111" s="691">
        <v>8.5227272727272721E-2</v>
      </c>
      <c r="W111" s="691">
        <v>7.7032342657342656E-2</v>
      </c>
      <c r="X111" s="691">
        <v>7.200611888111888E-2</v>
      </c>
      <c r="Y111" s="691">
        <v>6.6215034965034961E-2</v>
      </c>
      <c r="Z111" s="691">
        <v>6.523164335664336E-2</v>
      </c>
      <c r="AA111" s="691">
        <v>6.4466783216783216E-2</v>
      </c>
      <c r="AB111" s="691">
        <v>6.28277972027972E-2</v>
      </c>
      <c r="AC111" s="691">
        <v>5.7364510489510488E-2</v>
      </c>
      <c r="AD111" s="691">
        <v>4.8186188811188808E-2</v>
      </c>
      <c r="AE111" s="691">
        <v>4.3706293706293704E-2</v>
      </c>
      <c r="AF111" s="691">
        <v>4.042832167832168E-2</v>
      </c>
      <c r="AG111" s="691">
        <v>4.0865384615384616E-2</v>
      </c>
      <c r="AH111" s="691">
        <v>3.3326048951048952E-2</v>
      </c>
      <c r="AI111" s="691">
        <v>1.9777097902097904E-2</v>
      </c>
      <c r="AJ111" s="691"/>
      <c r="AK111" s="691">
        <f t="shared" si="51"/>
        <v>8.9860361488015137</v>
      </c>
      <c r="AL111" s="691">
        <f t="shared" si="52"/>
        <v>12.330383091996294</v>
      </c>
      <c r="AM111" s="691">
        <f t="shared" si="53"/>
        <v>15.831443255997236</v>
      </c>
      <c r="AN111" s="691">
        <f t="shared" si="54"/>
        <v>16.699699867568853</v>
      </c>
      <c r="AO111" s="691">
        <f t="shared" si="55"/>
        <v>13.769293743126752</v>
      </c>
      <c r="AP111" s="691">
        <f t="shared" si="56"/>
        <v>16.799924035396437</v>
      </c>
      <c r="AQ111" s="691">
        <f t="shared" si="57"/>
        <v>17.402384034582234</v>
      </c>
      <c r="AR111" s="691">
        <f t="shared" si="58"/>
        <v>17.99891213186449</v>
      </c>
      <c r="AS111" s="691">
        <f t="shared" si="59"/>
        <v>16.462230215831749</v>
      </c>
      <c r="AT111" s="691">
        <f t="shared" si="60"/>
        <v>14.041383391286082</v>
      </c>
      <c r="AU111" s="691">
        <f t="shared" si="61"/>
        <v>13.397433286520601</v>
      </c>
      <c r="AV111" s="691">
        <f t="shared" si="62"/>
        <v>9.601177137345509</v>
      </c>
      <c r="AW111" s="691">
        <f t="shared" si="63"/>
        <v>6.0189846627106487</v>
      </c>
      <c r="AX111" s="691">
        <f t="shared" si="64"/>
        <v>3.7023505847355991</v>
      </c>
      <c r="AY111" s="691">
        <f t="shared" si="65"/>
        <v>3.1654400869610959</v>
      </c>
      <c r="AZ111" s="691">
        <f t="shared" si="66"/>
        <v>3.2294495389633187</v>
      </c>
      <c r="BA111" s="691"/>
      <c r="BB111" s="691">
        <f t="shared" si="67"/>
        <v>11.839782825855524</v>
      </c>
    </row>
    <row r="112" spans="1:54" x14ac:dyDescent="0.35">
      <c r="A112" s="129" t="s">
        <v>246</v>
      </c>
      <c r="B112" s="129" t="str">
        <f>VLOOKUP(A112,'HCW, Staff, Beds Summary'!B:E,4,FALSE)</f>
        <v>Lower middle income</v>
      </c>
      <c r="C112" s="691">
        <v>20.8163143248645</v>
      </c>
      <c r="D112" s="691">
        <v>45.8060477229551</v>
      </c>
      <c r="E112" s="691">
        <v>34.528384017285703</v>
      </c>
      <c r="F112" s="691">
        <v>24.325358910523601</v>
      </c>
      <c r="G112" s="691">
        <v>14.8173906579032</v>
      </c>
      <c r="H112" s="691">
        <v>14.4913294438231</v>
      </c>
      <c r="I112" s="691">
        <v>13.108123333708701</v>
      </c>
      <c r="J112" s="691">
        <v>13.7928034681968</v>
      </c>
      <c r="K112" s="691">
        <v>11.4281431008827</v>
      </c>
      <c r="L112" s="691">
        <v>8.9835901464713892</v>
      </c>
      <c r="M112" s="691">
        <v>7.4984668157048597</v>
      </c>
      <c r="N112" s="691">
        <v>4.5832295706828301</v>
      </c>
      <c r="O112" s="691">
        <v>2.49956081586729</v>
      </c>
      <c r="P112" s="691">
        <v>1.5478413490517</v>
      </c>
      <c r="Q112" s="691">
        <v>0.63370161576331496</v>
      </c>
      <c r="R112" s="691">
        <v>0.40601506092193301</v>
      </c>
      <c r="S112" s="691"/>
      <c r="T112" s="691">
        <v>0.13505311077389984</v>
      </c>
      <c r="U112" s="691">
        <v>0.11608497723823975</v>
      </c>
      <c r="V112" s="691">
        <v>0.11684370257966616</v>
      </c>
      <c r="W112" s="691">
        <v>0.11608497723823975</v>
      </c>
      <c r="X112" s="691">
        <v>9.8634294385432475E-2</v>
      </c>
      <c r="Y112" s="691">
        <v>8.7253414264036419E-2</v>
      </c>
      <c r="Z112" s="691">
        <v>6.8285280728376321E-2</v>
      </c>
      <c r="AA112" s="691">
        <v>5.2352048558421849E-2</v>
      </c>
      <c r="AB112" s="691">
        <v>3.490136570561457E-2</v>
      </c>
      <c r="AC112" s="691">
        <v>4.1729893778452203E-2</v>
      </c>
      <c r="AD112" s="691">
        <v>3.7177541729893779E-2</v>
      </c>
      <c r="AE112" s="691">
        <v>3.0349013657056147E-2</v>
      </c>
      <c r="AF112" s="691">
        <v>2.2761760242792108E-2</v>
      </c>
      <c r="AG112" s="691">
        <v>1.5022761760242791E-2</v>
      </c>
      <c r="AH112" s="691">
        <v>1.3657056145675266E-2</v>
      </c>
      <c r="AI112" s="691">
        <v>8.3459787556904395E-3</v>
      </c>
      <c r="AJ112" s="691"/>
      <c r="AK112" s="691">
        <f t="shared" si="51"/>
        <v>9.6333926545545694</v>
      </c>
      <c r="AL112" s="691">
        <f t="shared" si="52"/>
        <v>24.661916216852461</v>
      </c>
      <c r="AM112" s="691">
        <f t="shared" si="53"/>
        <v>18.469322294960453</v>
      </c>
      <c r="AN112" s="691">
        <f t="shared" si="54"/>
        <v>13.096741439571122</v>
      </c>
      <c r="AO112" s="691">
        <f t="shared" si="55"/>
        <v>9.3890965803444306</v>
      </c>
      <c r="AP112" s="691">
        <f t="shared" si="56"/>
        <v>10.380202286390677</v>
      </c>
      <c r="AQ112" s="691">
        <f t="shared" si="57"/>
        <v>11.997573995713937</v>
      </c>
      <c r="AR112" s="691">
        <f t="shared" si="58"/>
        <v>16.466408488300164</v>
      </c>
      <c r="AS112" s="691">
        <f t="shared" si="59"/>
        <v>20.46507147685244</v>
      </c>
      <c r="AT112" s="691">
        <f t="shared" si="60"/>
        <v>13.454967969374193</v>
      </c>
      <c r="AU112" s="691">
        <f t="shared" si="61"/>
        <v>12.605840896809955</v>
      </c>
      <c r="AV112" s="691">
        <f t="shared" si="62"/>
        <v>9.4385883971249527</v>
      </c>
      <c r="AW112" s="691">
        <f t="shared" si="63"/>
        <v>6.8633774069022673</v>
      </c>
      <c r="AX112" s="691">
        <f t="shared" si="64"/>
        <v>6.4395672286936261</v>
      </c>
      <c r="AY112" s="691">
        <f t="shared" si="65"/>
        <v>2.9000650332501703</v>
      </c>
      <c r="AZ112" s="691">
        <f t="shared" si="66"/>
        <v>3.0404991494040212</v>
      </c>
      <c r="BA112" s="691"/>
      <c r="BB112" s="691">
        <f t="shared" si="67"/>
        <v>11.831414469693712</v>
      </c>
    </row>
    <row r="113" spans="1:54" x14ac:dyDescent="0.35">
      <c r="A113" s="129" t="s">
        <v>206</v>
      </c>
      <c r="B113" s="129" t="str">
        <f>VLOOKUP(A113,'HCW, Staff, Beds Summary'!B:E,4,FALSE)</f>
        <v>Upper middle income</v>
      </c>
      <c r="C113" s="691">
        <v>12.5975958634683</v>
      </c>
      <c r="D113" s="691">
        <v>20.616533622010799</v>
      </c>
      <c r="E113" s="691">
        <v>18.891810035526898</v>
      </c>
      <c r="F113" s="691">
        <v>21.047148937224701</v>
      </c>
      <c r="G113" s="691">
        <v>15.9867734757358</v>
      </c>
      <c r="H113" s="691">
        <v>16.9426793427461</v>
      </c>
      <c r="I113" s="691">
        <v>18.498031017652899</v>
      </c>
      <c r="J113" s="691">
        <v>17.681288268805499</v>
      </c>
      <c r="K113" s="691">
        <v>16.445681280195402</v>
      </c>
      <c r="L113" s="691">
        <v>13.784565951928499</v>
      </c>
      <c r="M113" s="691">
        <v>10.4170588207768</v>
      </c>
      <c r="N113" s="691">
        <v>6.1755347769643301</v>
      </c>
      <c r="O113" s="691">
        <v>3.78118257798095</v>
      </c>
      <c r="P113" s="691">
        <v>2.3444301447342899</v>
      </c>
      <c r="Q113" s="691">
        <v>1.3509568557837299</v>
      </c>
      <c r="R113" s="691">
        <v>0.83453156319135302</v>
      </c>
      <c r="S113" s="691"/>
      <c r="T113" s="691">
        <v>5.0393700787401574E-2</v>
      </c>
      <c r="U113" s="691">
        <v>5.4330708661417322E-2</v>
      </c>
      <c r="V113" s="691">
        <v>6.2992125984251968E-2</v>
      </c>
      <c r="W113" s="691">
        <v>7.4015748031496062E-2</v>
      </c>
      <c r="X113" s="691">
        <v>7.4015748031496062E-2</v>
      </c>
      <c r="Y113" s="691">
        <v>8.1102362204724415E-2</v>
      </c>
      <c r="Z113" s="691">
        <v>6.9291338582677164E-2</v>
      </c>
      <c r="AA113" s="691">
        <v>6.8503937007874022E-2</v>
      </c>
      <c r="AB113" s="691">
        <v>7.7952755905511817E-2</v>
      </c>
      <c r="AC113" s="691">
        <v>6.5354330708661423E-2</v>
      </c>
      <c r="AD113" s="691">
        <v>6.6929133858267723E-2</v>
      </c>
      <c r="AE113" s="691">
        <v>7.0866141732283464E-2</v>
      </c>
      <c r="AF113" s="691">
        <v>5.905511811023622E-2</v>
      </c>
      <c r="AG113" s="691">
        <v>4.8818897637795275E-2</v>
      </c>
      <c r="AH113" s="691">
        <v>3.5433070866141732E-2</v>
      </c>
      <c r="AI113" s="691">
        <v>1.889763779527559E-2</v>
      </c>
      <c r="AJ113" s="691"/>
      <c r="AK113" s="691">
        <f t="shared" si="51"/>
        <v>15.623971432231192</v>
      </c>
      <c r="AL113" s="691">
        <f t="shared" si="52"/>
        <v>23.716483423871118</v>
      </c>
      <c r="AM113" s="691">
        <f t="shared" si="53"/>
        <v>18.744217769624345</v>
      </c>
      <c r="AN113" s="691">
        <f t="shared" si="54"/>
        <v>17.772526030768198</v>
      </c>
      <c r="AO113" s="691">
        <f t="shared" si="55"/>
        <v>13.499469623792864</v>
      </c>
      <c r="AP113" s="691">
        <f t="shared" si="56"/>
        <v>13.056555076023995</v>
      </c>
      <c r="AQ113" s="691">
        <f t="shared" si="57"/>
        <v>16.685013773024988</v>
      </c>
      <c r="AR113" s="691">
        <f t="shared" si="58"/>
        <v>16.131635130303867</v>
      </c>
      <c r="AS113" s="691">
        <f t="shared" si="59"/>
        <v>13.185615672883939</v>
      </c>
      <c r="AT113" s="691">
        <f t="shared" si="60"/>
        <v>13.182529185955717</v>
      </c>
      <c r="AU113" s="691">
        <f t="shared" si="61"/>
        <v>9.7276946341077473</v>
      </c>
      <c r="AV113" s="691">
        <f t="shared" si="62"/>
        <v>5.4464785880171522</v>
      </c>
      <c r="AW113" s="691">
        <f t="shared" si="63"/>
        <v>4.0017515616965058</v>
      </c>
      <c r="AX113" s="691">
        <f t="shared" si="64"/>
        <v>3.0014377861013593</v>
      </c>
      <c r="AY113" s="691">
        <f t="shared" si="65"/>
        <v>2.3829377872851905</v>
      </c>
      <c r="AZ113" s="691">
        <f t="shared" si="66"/>
        <v>2.7600392845130686</v>
      </c>
      <c r="BA113" s="691"/>
      <c r="BB113" s="691">
        <f t="shared" si="67"/>
        <v>11.807397297512576</v>
      </c>
    </row>
    <row r="114" spans="1:54" x14ac:dyDescent="0.35">
      <c r="A114" s="129" t="s">
        <v>376</v>
      </c>
      <c r="B114" s="129" t="str">
        <f>VLOOKUP(A114,'HCW, Staff, Beds Summary'!B:E,4,FALSE)</f>
        <v>Upper middle income</v>
      </c>
      <c r="C114" s="691">
        <v>11.6354794150567</v>
      </c>
      <c r="D114" s="691">
        <v>26.057280194874899</v>
      </c>
      <c r="E114" s="691">
        <v>29.387971098895001</v>
      </c>
      <c r="F114" s="691">
        <v>28.023143391340401</v>
      </c>
      <c r="G114" s="691">
        <v>17.7132334670885</v>
      </c>
      <c r="H114" s="691">
        <v>18.0862499757507</v>
      </c>
      <c r="I114" s="691">
        <v>17.705788141160301</v>
      </c>
      <c r="J114" s="691">
        <v>17.475540632433599</v>
      </c>
      <c r="K114" s="691">
        <v>15.519417149927699</v>
      </c>
      <c r="L114" s="691">
        <v>12.2360142567608</v>
      </c>
      <c r="M114" s="691">
        <v>9.3852827200965301</v>
      </c>
      <c r="N114" s="691">
        <v>5.9605222788391004</v>
      </c>
      <c r="O114" s="691">
        <v>3.1286067962219999</v>
      </c>
      <c r="P114" s="691">
        <v>1.82045083321588</v>
      </c>
      <c r="Q114" s="691">
        <v>1.0472153613264801</v>
      </c>
      <c r="R114" s="691">
        <v>0.63338366651974198</v>
      </c>
      <c r="S114" s="691"/>
      <c r="T114" s="691">
        <v>9.4485064898259932E-2</v>
      </c>
      <c r="U114" s="691">
        <v>9.1311001530351987E-2</v>
      </c>
      <c r="V114" s="691">
        <v>8.8136938162444028E-2</v>
      </c>
      <c r="W114" s="691">
        <v>8.8477016380434162E-2</v>
      </c>
      <c r="X114" s="691">
        <v>8.8817094598424309E-2</v>
      </c>
      <c r="Y114" s="691">
        <v>8.3319163407583746E-2</v>
      </c>
      <c r="Z114" s="691">
        <v>7.7254435186759618E-2</v>
      </c>
      <c r="AA114" s="691">
        <v>6.9659354984979882E-2</v>
      </c>
      <c r="AB114" s="691">
        <v>6.2290993595193564E-2</v>
      </c>
      <c r="AC114" s="691">
        <v>5.6056226265374369E-2</v>
      </c>
      <c r="AD114" s="691">
        <v>4.8971263390579833E-2</v>
      </c>
      <c r="AE114" s="691">
        <v>4.1206144079805024E-2</v>
      </c>
      <c r="AF114" s="691">
        <v>3.406450150201213E-2</v>
      </c>
      <c r="AG114" s="691">
        <v>2.7546335657201156E-2</v>
      </c>
      <c r="AH114" s="691">
        <v>1.8590942583460862E-2</v>
      </c>
      <c r="AI114" s="691">
        <v>1.3716488125602222E-2</v>
      </c>
      <c r="AJ114" s="691"/>
      <c r="AK114" s="691">
        <f t="shared" si="51"/>
        <v>7.6966392966348742</v>
      </c>
      <c r="AL114" s="691">
        <f t="shared" si="52"/>
        <v>17.835528960202428</v>
      </c>
      <c r="AM114" s="691">
        <f t="shared" si="53"/>
        <v>20.839709569847447</v>
      </c>
      <c r="AN114" s="691">
        <f t="shared" si="54"/>
        <v>19.79549643071023</v>
      </c>
      <c r="AO114" s="691">
        <f t="shared" si="55"/>
        <v>12.464684830083057</v>
      </c>
      <c r="AP114" s="691">
        <f t="shared" si="56"/>
        <v>13.566994401452789</v>
      </c>
      <c r="AQ114" s="691">
        <f t="shared" si="57"/>
        <v>14.324248907487675</v>
      </c>
      <c r="AR114" s="691">
        <f t="shared" si="58"/>
        <v>15.679463149818245</v>
      </c>
      <c r="AS114" s="691">
        <f t="shared" si="59"/>
        <v>15.571489807562237</v>
      </c>
      <c r="AT114" s="691">
        <f t="shared" si="60"/>
        <v>13.642568221184959</v>
      </c>
      <c r="AU114" s="691">
        <f t="shared" si="61"/>
        <v>11.978048540991253</v>
      </c>
      <c r="AV114" s="691">
        <f t="shared" si="62"/>
        <v>9.0407062040541817</v>
      </c>
      <c r="AW114" s="691">
        <f t="shared" si="63"/>
        <v>5.7402256349568157</v>
      </c>
      <c r="AX114" s="691">
        <f t="shared" si="64"/>
        <v>4.1304287616290853</v>
      </c>
      <c r="AY114" s="691">
        <f t="shared" si="65"/>
        <v>3.5205831973862591</v>
      </c>
      <c r="AZ114" s="691">
        <f t="shared" si="66"/>
        <v>2.8860506271714379</v>
      </c>
      <c r="BA114" s="691"/>
      <c r="BB114" s="691">
        <f t="shared" si="67"/>
        <v>11.794554158823312</v>
      </c>
    </row>
    <row r="115" spans="1:54" x14ac:dyDescent="0.35">
      <c r="A115" s="129" t="s">
        <v>366</v>
      </c>
      <c r="B115" s="129" t="str">
        <f>VLOOKUP(A115,'HCW, Staff, Beds Summary'!B:E,4,FALSE)</f>
        <v>Upper middle income</v>
      </c>
      <c r="C115" s="691">
        <v>12.7996911825855</v>
      </c>
      <c r="D115" s="691">
        <v>23.419555592124901</v>
      </c>
      <c r="E115" s="691">
        <v>27.389282087067599</v>
      </c>
      <c r="F115" s="691">
        <v>28.4855742591424</v>
      </c>
      <c r="G115" s="691">
        <v>19.154455156665801</v>
      </c>
      <c r="H115" s="691">
        <v>19.291519838253802</v>
      </c>
      <c r="I115" s="691">
        <v>18.484710172756198</v>
      </c>
      <c r="J115" s="691">
        <v>17.854702012895601</v>
      </c>
      <c r="K115" s="691">
        <v>15.8282909194039</v>
      </c>
      <c r="L115" s="691">
        <v>12.2275921198293</v>
      </c>
      <c r="M115" s="691">
        <v>9.0345800770318903</v>
      </c>
      <c r="N115" s="691">
        <v>5.5761451565131797</v>
      </c>
      <c r="O115" s="691">
        <v>2.90540432829081</v>
      </c>
      <c r="P115" s="691">
        <v>1.7162193739217</v>
      </c>
      <c r="Q115" s="691">
        <v>1.02896106430273</v>
      </c>
      <c r="R115" s="691">
        <v>0.63170223526862601</v>
      </c>
      <c r="S115" s="691"/>
      <c r="T115" s="691">
        <v>9.2459439528023601E-2</v>
      </c>
      <c r="U115" s="691">
        <v>9.1814159292035402E-2</v>
      </c>
      <c r="V115" s="691">
        <v>9.0062684365781714E-2</v>
      </c>
      <c r="W115" s="691">
        <v>8.8403392330383482E-2</v>
      </c>
      <c r="X115" s="691">
        <v>8.6559734513274339E-2</v>
      </c>
      <c r="Y115" s="691">
        <v>8.4255162241887907E-2</v>
      </c>
      <c r="Z115" s="691">
        <v>7.6143067846607668E-2</v>
      </c>
      <c r="AA115" s="691">
        <v>6.8030973451327428E-2</v>
      </c>
      <c r="AB115" s="691">
        <v>6.1670353982300884E-2</v>
      </c>
      <c r="AC115" s="691">
        <v>5.5955014749262538E-2</v>
      </c>
      <c r="AD115" s="691">
        <v>4.9870943952802359E-2</v>
      </c>
      <c r="AE115" s="691">
        <v>4.3602507374631269E-2</v>
      </c>
      <c r="AF115" s="691">
        <v>3.5859144542772864E-2</v>
      </c>
      <c r="AG115" s="691">
        <v>2.7009587020648967E-2</v>
      </c>
      <c r="AH115" s="691">
        <v>1.8805309734513276E-2</v>
      </c>
      <c r="AI115" s="691">
        <v>1.2721238938053098E-2</v>
      </c>
      <c r="AJ115" s="691"/>
      <c r="AK115" s="691">
        <f t="shared" si="51"/>
        <v>8.6522339200328702</v>
      </c>
      <c r="AL115" s="691">
        <f t="shared" si="52"/>
        <v>15.942227601868154</v>
      </c>
      <c r="AM115" s="691">
        <f t="shared" si="53"/>
        <v>19.007096473932275</v>
      </c>
      <c r="AN115" s="691">
        <f t="shared" si="54"/>
        <v>20.138914856828517</v>
      </c>
      <c r="AO115" s="691">
        <f t="shared" si="55"/>
        <v>13.830373371905658</v>
      </c>
      <c r="AP115" s="691">
        <f t="shared" si="56"/>
        <v>14.31033966119921</v>
      </c>
      <c r="AQ115" s="691">
        <f t="shared" si="57"/>
        <v>15.172679778606177</v>
      </c>
      <c r="AR115" s="691">
        <f t="shared" si="58"/>
        <v>16.403100223229291</v>
      </c>
      <c r="AS115" s="691">
        <f t="shared" si="59"/>
        <v>16.041227568543864</v>
      </c>
      <c r="AT115" s="691">
        <f t="shared" si="60"/>
        <v>13.657837656086103</v>
      </c>
      <c r="AU115" s="691">
        <f t="shared" si="61"/>
        <v>11.322449708368987</v>
      </c>
      <c r="AV115" s="691">
        <f t="shared" si="62"/>
        <v>7.992867687348701</v>
      </c>
      <c r="AW115" s="691">
        <f t="shared" si="63"/>
        <v>5.063918083756219</v>
      </c>
      <c r="AX115" s="691">
        <f t="shared" si="64"/>
        <v>3.9713199164468009</v>
      </c>
      <c r="AY115" s="691">
        <f t="shared" si="65"/>
        <v>3.4197823607708377</v>
      </c>
      <c r="AZ115" s="691">
        <f t="shared" si="66"/>
        <v>3.1035805471893365</v>
      </c>
      <c r="BA115" s="691"/>
      <c r="BB115" s="691">
        <f t="shared" si="67"/>
        <v>11.751871838507062</v>
      </c>
    </row>
    <row r="116" spans="1:54" x14ac:dyDescent="0.35">
      <c r="A116" s="129" t="s">
        <v>341</v>
      </c>
      <c r="B116" s="129" t="str">
        <f>VLOOKUP(A116,'HCW, Staff, Beds Summary'!B:E,4,FALSE)</f>
        <v>Lower middle income</v>
      </c>
      <c r="C116" s="691">
        <v>16.302992513546101</v>
      </c>
      <c r="D116" s="691">
        <v>28.990905201994401</v>
      </c>
      <c r="E116" s="691">
        <v>38.035467761500797</v>
      </c>
      <c r="F116" s="691">
        <v>38.5412383211305</v>
      </c>
      <c r="G116" s="691">
        <v>17.2098304387026</v>
      </c>
      <c r="H116" s="691">
        <v>14.526691924198399</v>
      </c>
      <c r="I116" s="691">
        <v>13.7057496446567</v>
      </c>
      <c r="J116" s="691">
        <v>14.2117433447462</v>
      </c>
      <c r="K116" s="691">
        <v>12.3346332261656</v>
      </c>
      <c r="L116" s="691">
        <v>9.0570018799534893</v>
      </c>
      <c r="M116" s="691">
        <v>6.7374060095274499</v>
      </c>
      <c r="N116" s="691">
        <v>4.2984931032095597</v>
      </c>
      <c r="O116" s="691">
        <v>2.9295241112022898</v>
      </c>
      <c r="P116" s="691">
        <v>1.68697936084072</v>
      </c>
      <c r="Q116" s="691">
        <v>0.98488427058652195</v>
      </c>
      <c r="R116" s="691">
        <v>0.56935819717009195</v>
      </c>
      <c r="S116" s="691"/>
      <c r="T116" s="691">
        <v>9.3525179856115109E-2</v>
      </c>
      <c r="U116" s="691">
        <v>9.5323741007194249E-2</v>
      </c>
      <c r="V116" s="691">
        <v>9.172661870503597E-2</v>
      </c>
      <c r="W116" s="691">
        <v>8.8129496402877691E-2</v>
      </c>
      <c r="X116" s="691">
        <v>8.2733812949640287E-2</v>
      </c>
      <c r="Y116" s="691">
        <v>9.3525179856115109E-2</v>
      </c>
      <c r="Z116" s="691">
        <v>9.5323741007194249E-2</v>
      </c>
      <c r="AA116" s="691">
        <v>8.2733812949640287E-2</v>
      </c>
      <c r="AB116" s="691">
        <v>6.4748201438848921E-2</v>
      </c>
      <c r="AC116" s="691">
        <v>5.3956834532374098E-2</v>
      </c>
      <c r="AD116" s="691">
        <v>4.4964028776978415E-2</v>
      </c>
      <c r="AE116" s="691">
        <v>3.9568345323741004E-2</v>
      </c>
      <c r="AF116" s="691">
        <v>2.7697841726618704E-2</v>
      </c>
      <c r="AG116" s="691">
        <v>1.9784172661870502E-2</v>
      </c>
      <c r="AH116" s="691">
        <v>8.4532374100719423E-3</v>
      </c>
      <c r="AI116" s="691">
        <v>7.9136690647482015E-3</v>
      </c>
      <c r="AJ116" s="691"/>
      <c r="AK116" s="691">
        <f t="shared" si="51"/>
        <v>10.894788266263982</v>
      </c>
      <c r="AL116" s="691">
        <f t="shared" si="52"/>
        <v>19.008187844703876</v>
      </c>
      <c r="AM116" s="691">
        <f t="shared" si="53"/>
        <v>25.916323621806917</v>
      </c>
      <c r="AN116" s="691">
        <f t="shared" si="54"/>
        <v>27.332816972638469</v>
      </c>
      <c r="AO116" s="691">
        <f t="shared" si="55"/>
        <v>13.000904516193811</v>
      </c>
      <c r="AP116" s="691">
        <f t="shared" si="56"/>
        <v>9.70774123780566</v>
      </c>
      <c r="AQ116" s="691">
        <f t="shared" si="57"/>
        <v>8.9863169839966091</v>
      </c>
      <c r="AR116" s="691">
        <f t="shared" si="58"/>
        <v>10.736045244128922</v>
      </c>
      <c r="AS116" s="691">
        <f t="shared" si="59"/>
        <v>11.906347350257072</v>
      </c>
      <c r="AT116" s="691">
        <f t="shared" si="60"/>
        <v>10.491027177612793</v>
      </c>
      <c r="AU116" s="691">
        <f t="shared" si="61"/>
        <v>9.364994353243155</v>
      </c>
      <c r="AV116" s="691">
        <f t="shared" si="62"/>
        <v>6.7896652425696455</v>
      </c>
      <c r="AW116" s="691">
        <f t="shared" si="63"/>
        <v>6.6104521340441282</v>
      </c>
      <c r="AX116" s="691">
        <f t="shared" si="64"/>
        <v>5.3293211626559112</v>
      </c>
      <c r="AY116" s="691">
        <f t="shared" si="65"/>
        <v>7.2818571069960933</v>
      </c>
      <c r="AZ116" s="691">
        <f t="shared" si="66"/>
        <v>4.496635761741067</v>
      </c>
      <c r="BA116" s="691"/>
      <c r="BB116" s="691">
        <f t="shared" si="67"/>
        <v>11.740839061041132</v>
      </c>
    </row>
    <row r="117" spans="1:54" x14ac:dyDescent="0.35">
      <c r="A117" s="129" t="s">
        <v>227</v>
      </c>
      <c r="B117" s="129" t="str">
        <f>VLOOKUP(A117,'HCW, Staff, Beds Summary'!B:E,4,FALSE)</f>
        <v>Lower middle income</v>
      </c>
      <c r="C117" s="691">
        <v>13.040313748263401</v>
      </c>
      <c r="D117" s="691">
        <v>30.078744077998302</v>
      </c>
      <c r="E117" s="691">
        <v>33.823728170699397</v>
      </c>
      <c r="F117" s="691">
        <v>32.451729809356998</v>
      </c>
      <c r="G117" s="691">
        <v>20.0890600928849</v>
      </c>
      <c r="H117" s="691">
        <v>19.3907908083279</v>
      </c>
      <c r="I117" s="691">
        <v>17.135388211708499</v>
      </c>
      <c r="J117" s="691">
        <v>15.822941707375501</v>
      </c>
      <c r="K117" s="691">
        <v>13.7830443516348</v>
      </c>
      <c r="L117" s="691">
        <v>10.251283922520299</v>
      </c>
      <c r="M117" s="691">
        <v>8.0055343431729007</v>
      </c>
      <c r="N117" s="691">
        <v>4.8135266467684596</v>
      </c>
      <c r="O117" s="691">
        <v>2.5801741194603101</v>
      </c>
      <c r="P117" s="691">
        <v>1.30103040371089</v>
      </c>
      <c r="Q117" s="691">
        <v>0.72247239715820499</v>
      </c>
      <c r="R117" s="691">
        <v>0.42467796652561302</v>
      </c>
      <c r="S117" s="691"/>
      <c r="T117" s="691">
        <v>9.9169811320754711E-2</v>
      </c>
      <c r="U117" s="691">
        <v>9.9622641509433965E-2</v>
      </c>
      <c r="V117" s="691">
        <v>9.6301886792452829E-2</v>
      </c>
      <c r="W117" s="691">
        <v>9.1018867924528304E-2</v>
      </c>
      <c r="X117" s="691">
        <v>8.8301886792452836E-2</v>
      </c>
      <c r="Y117" s="691">
        <v>8.7698113207547168E-2</v>
      </c>
      <c r="Z117" s="691">
        <v>8.2867924528301884E-2</v>
      </c>
      <c r="AA117" s="691">
        <v>7.6377358490566039E-2</v>
      </c>
      <c r="AB117" s="691">
        <v>6.3547169811320761E-2</v>
      </c>
      <c r="AC117" s="691">
        <v>5.1622641509433964E-2</v>
      </c>
      <c r="AD117" s="691">
        <v>4.1358490566037735E-2</v>
      </c>
      <c r="AE117" s="691">
        <v>3.5169811320754717E-2</v>
      </c>
      <c r="AF117" s="691">
        <v>3.0188679245283019E-2</v>
      </c>
      <c r="AG117" s="691">
        <v>2.2490566037735849E-2</v>
      </c>
      <c r="AH117" s="691">
        <v>1.2528301886792452E-2</v>
      </c>
      <c r="AI117" s="691">
        <v>1.0113207547169812E-2</v>
      </c>
      <c r="AJ117" s="691"/>
      <c r="AK117" s="691">
        <f t="shared" si="51"/>
        <v>8.2184245226641011</v>
      </c>
      <c r="AL117" s="691">
        <f t="shared" si="52"/>
        <v>18.870424196660867</v>
      </c>
      <c r="AM117" s="691">
        <f t="shared" si="53"/>
        <v>21.951626090407867</v>
      </c>
      <c r="AN117" s="691">
        <f t="shared" si="54"/>
        <v>22.283655678585209</v>
      </c>
      <c r="AO117" s="691">
        <f t="shared" si="55"/>
        <v>14.2190195636071</v>
      </c>
      <c r="AP117" s="691">
        <f t="shared" si="56"/>
        <v>13.819275936442807</v>
      </c>
      <c r="AQ117" s="691">
        <f t="shared" si="57"/>
        <v>12.923718909673134</v>
      </c>
      <c r="AR117" s="691">
        <f t="shared" si="58"/>
        <v>12.947997629861993</v>
      </c>
      <c r="AS117" s="691">
        <f t="shared" si="59"/>
        <v>13.555918769237016</v>
      </c>
      <c r="AT117" s="691">
        <f t="shared" si="60"/>
        <v>12.411322365989944</v>
      </c>
      <c r="AU117" s="691">
        <f t="shared" si="61"/>
        <v>12.097779430547552</v>
      </c>
      <c r="AV117" s="691">
        <f t="shared" si="62"/>
        <v>8.5540810179294642</v>
      </c>
      <c r="AW117" s="691">
        <f t="shared" si="63"/>
        <v>5.3417667316951727</v>
      </c>
      <c r="AX117" s="691">
        <f t="shared" si="64"/>
        <v>3.6154892720573177</v>
      </c>
      <c r="AY117" s="691">
        <f t="shared" si="65"/>
        <v>3.6042015294978227</v>
      </c>
      <c r="AZ117" s="691">
        <f t="shared" si="66"/>
        <v>2.6245256793210689</v>
      </c>
      <c r="BA117" s="691"/>
      <c r="BB117" s="691">
        <f t="shared" si="67"/>
        <v>11.689951707761153</v>
      </c>
    </row>
    <row r="118" spans="1:54" x14ac:dyDescent="0.35">
      <c r="A118" s="129" t="s">
        <v>492</v>
      </c>
      <c r="B118" s="129" t="str">
        <f>VLOOKUP(A118,'HCW, Staff, Beds Summary'!B:E,4,FALSE)</f>
        <v>High income</v>
      </c>
      <c r="C118" s="691">
        <v>11.292763021115899</v>
      </c>
      <c r="D118" s="691">
        <v>17.109584531766501</v>
      </c>
      <c r="E118" s="691">
        <v>18.103522643973299</v>
      </c>
      <c r="F118" s="691">
        <v>21.6142116814781</v>
      </c>
      <c r="G118" s="691">
        <v>21.225037192169701</v>
      </c>
      <c r="H118" s="691">
        <v>28.249016969580399</v>
      </c>
      <c r="I118" s="691">
        <v>23.306498317650501</v>
      </c>
      <c r="J118" s="691">
        <v>17.3040892810155</v>
      </c>
      <c r="K118" s="691">
        <v>13.4060323164669</v>
      </c>
      <c r="L118" s="691">
        <v>9.4174129897107104</v>
      </c>
      <c r="M118" s="691">
        <v>6.9758096287837201</v>
      </c>
      <c r="N118" s="691">
        <v>3.4689558339712998</v>
      </c>
      <c r="O118" s="691">
        <v>1.4833517331013</v>
      </c>
      <c r="P118" s="691">
        <v>0.90974881285829401</v>
      </c>
      <c r="Q118" s="691">
        <v>0.53298165755398996</v>
      </c>
      <c r="R118" s="691">
        <v>0.407941895156821</v>
      </c>
      <c r="S118" s="691"/>
      <c r="T118" s="691">
        <v>8.8897591541022128E-2</v>
      </c>
      <c r="U118" s="691">
        <v>7.4211866066183671E-2</v>
      </c>
      <c r="V118" s="691">
        <v>6.1875856667319366E-2</v>
      </c>
      <c r="W118" s="691">
        <v>4.2099079694536912E-2</v>
      </c>
      <c r="X118" s="691">
        <v>6.4421382416291362E-2</v>
      </c>
      <c r="Y118" s="691">
        <v>0.1482279224593695</v>
      </c>
      <c r="Z118" s="691">
        <v>0.16996279616213042</v>
      </c>
      <c r="AA118" s="691">
        <v>0.11180732328177012</v>
      </c>
      <c r="AB118" s="691">
        <v>7.8323869199138432E-2</v>
      </c>
      <c r="AC118" s="691">
        <v>5.5609947131388289E-2</v>
      </c>
      <c r="AD118" s="691">
        <v>3.5637360485607991E-2</v>
      </c>
      <c r="AE118" s="691">
        <v>2.6238496181711375E-2</v>
      </c>
      <c r="AF118" s="691">
        <v>1.7622870569806149E-2</v>
      </c>
      <c r="AG118" s="691">
        <v>1.0573722341883689E-2</v>
      </c>
      <c r="AH118" s="691">
        <v>5.6784805169375367E-3</v>
      </c>
      <c r="AI118" s="691">
        <v>4.895241824946152E-3</v>
      </c>
      <c r="AJ118" s="691"/>
      <c r="AK118" s="691">
        <f t="shared" si="51"/>
        <v>7.9394466889921391</v>
      </c>
      <c r="AL118" s="691">
        <f t="shared" si="52"/>
        <v>14.409407685311926</v>
      </c>
      <c r="AM118" s="691">
        <f t="shared" si="53"/>
        <v>18.286133335200088</v>
      </c>
      <c r="AN118" s="691">
        <f t="shared" si="54"/>
        <v>32.088307865496702</v>
      </c>
      <c r="AO118" s="691">
        <f t="shared" si="55"/>
        <v>20.591995619378928</v>
      </c>
      <c r="AP118" s="691">
        <f t="shared" si="56"/>
        <v>11.911140163775354</v>
      </c>
      <c r="AQ118" s="691">
        <f t="shared" si="57"/>
        <v>8.57044116562796</v>
      </c>
      <c r="AR118" s="691">
        <f t="shared" si="58"/>
        <v>9.6729404507603061</v>
      </c>
      <c r="AS118" s="691">
        <f t="shared" si="59"/>
        <v>10.697594850030697</v>
      </c>
      <c r="AT118" s="691">
        <f t="shared" si="60"/>
        <v>10.584227143145378</v>
      </c>
      <c r="AU118" s="691">
        <f t="shared" si="61"/>
        <v>12.234017779601118</v>
      </c>
      <c r="AV118" s="691">
        <f t="shared" si="62"/>
        <v>8.2630398526545843</v>
      </c>
      <c r="AW118" s="691">
        <f t="shared" si="63"/>
        <v>5.2607481256585684</v>
      </c>
      <c r="AX118" s="691">
        <f t="shared" si="64"/>
        <v>5.3774157260038287</v>
      </c>
      <c r="AY118" s="691">
        <f t="shared" si="65"/>
        <v>5.8662442351901438</v>
      </c>
      <c r="AZ118" s="691">
        <f t="shared" si="66"/>
        <v>5.2083981464147122</v>
      </c>
      <c r="BA118" s="691"/>
      <c r="BB118" s="691">
        <f t="shared" si="67"/>
        <v>11.685093677077653</v>
      </c>
    </row>
    <row r="119" spans="1:54" x14ac:dyDescent="0.35">
      <c r="A119" s="129" t="s">
        <v>245</v>
      </c>
      <c r="B119" s="129" t="str">
        <f>VLOOKUP(A119,'HCW, Staff, Beds Summary'!B:E,4,FALSE)</f>
        <v>Upper middle income</v>
      </c>
      <c r="C119" s="691">
        <v>10.6065066322818</v>
      </c>
      <c r="D119" s="691">
        <v>22.331421088099699</v>
      </c>
      <c r="E119" s="691">
        <v>27.007366393913301</v>
      </c>
      <c r="F119" s="691">
        <v>31.223152555631401</v>
      </c>
      <c r="G119" s="691">
        <v>18.426088696333299</v>
      </c>
      <c r="H119" s="691">
        <v>17.174153329302499</v>
      </c>
      <c r="I119" s="691">
        <v>16.6599943435222</v>
      </c>
      <c r="J119" s="691">
        <v>15.776951789373699</v>
      </c>
      <c r="K119" s="691">
        <v>14.8238443940394</v>
      </c>
      <c r="L119" s="691">
        <v>11.338233053003099</v>
      </c>
      <c r="M119" s="691">
        <v>8.7944661488042009</v>
      </c>
      <c r="N119" s="691">
        <v>5.2900346856207801</v>
      </c>
      <c r="O119" s="691">
        <v>2.9268848677763399</v>
      </c>
      <c r="P119" s="691">
        <v>2.0126399605816498</v>
      </c>
      <c r="Q119" s="691">
        <v>1.17515670547725</v>
      </c>
      <c r="R119" s="691">
        <v>0.97250047995813504</v>
      </c>
      <c r="S119" s="691"/>
      <c r="T119" s="691">
        <v>7.7528964601364658E-2</v>
      </c>
      <c r="U119" s="691">
        <v>7.8902779685854282E-2</v>
      </c>
      <c r="V119" s="691">
        <v>8.0413976278792876E-2</v>
      </c>
      <c r="W119" s="691">
        <v>7.7712139945963279E-2</v>
      </c>
      <c r="X119" s="691">
        <v>6.9881393964372401E-2</v>
      </c>
      <c r="Y119" s="691">
        <v>6.5668361038604198E-2</v>
      </c>
      <c r="Z119" s="691">
        <v>6.3195493886522874E-2</v>
      </c>
      <c r="AA119" s="691">
        <v>6.8553372716032415E-2</v>
      </c>
      <c r="AB119" s="691">
        <v>7.1163621376562708E-2</v>
      </c>
      <c r="AC119" s="691">
        <v>6.3378669231121496E-2</v>
      </c>
      <c r="AD119" s="691">
        <v>6.1546915785135319E-2</v>
      </c>
      <c r="AE119" s="691">
        <v>5.7791821220863675E-2</v>
      </c>
      <c r="AF119" s="691">
        <v>5.2021797866007233E-2</v>
      </c>
      <c r="AG119" s="691">
        <v>4.1992947749232956E-2</v>
      </c>
      <c r="AH119" s="691">
        <v>3.3933232586893805E-2</v>
      </c>
      <c r="AI119" s="691">
        <v>1.9553968035902366E-2</v>
      </c>
      <c r="AJ119" s="691"/>
      <c r="AK119" s="691">
        <f t="shared" si="51"/>
        <v>8.5504387673190223</v>
      </c>
      <c r="AL119" s="691">
        <f t="shared" si="52"/>
        <v>17.689032294719716</v>
      </c>
      <c r="AM119" s="691">
        <f t="shared" si="53"/>
        <v>20.99088339777494</v>
      </c>
      <c r="AN119" s="691">
        <f t="shared" si="54"/>
        <v>25.111225042623854</v>
      </c>
      <c r="AO119" s="691">
        <f t="shared" si="55"/>
        <v>16.479787797420961</v>
      </c>
      <c r="AP119" s="691">
        <f t="shared" si="56"/>
        <v>16.345536360354721</v>
      </c>
      <c r="AQ119" s="691">
        <f t="shared" si="57"/>
        <v>16.476643862295937</v>
      </c>
      <c r="AR119" s="691">
        <f t="shared" si="58"/>
        <v>14.38382165266172</v>
      </c>
      <c r="AS119" s="691">
        <f t="shared" si="59"/>
        <v>13.019155808905985</v>
      </c>
      <c r="AT119" s="691">
        <f t="shared" si="60"/>
        <v>11.181042051048982</v>
      </c>
      <c r="AU119" s="691">
        <f t="shared" si="61"/>
        <v>8.9306527758294898</v>
      </c>
      <c r="AV119" s="691">
        <f t="shared" si="62"/>
        <v>5.7210027451416883</v>
      </c>
      <c r="AW119" s="691">
        <f t="shared" si="63"/>
        <v>3.5164164204242923</v>
      </c>
      <c r="AX119" s="691">
        <f t="shared" si="64"/>
        <v>2.9955029184311264</v>
      </c>
      <c r="AY119" s="691">
        <f t="shared" si="65"/>
        <v>2.1644649947289736</v>
      </c>
      <c r="AZ119" s="691">
        <f t="shared" si="66"/>
        <v>3.1083859749481553</v>
      </c>
      <c r="BA119" s="691"/>
      <c r="BB119" s="691">
        <f t="shared" si="67"/>
        <v>11.666499554039348</v>
      </c>
    </row>
    <row r="120" spans="1:54" x14ac:dyDescent="0.35">
      <c r="A120" s="129" t="s">
        <v>562</v>
      </c>
      <c r="B120" s="129" t="str">
        <f>VLOOKUP(A120,'HCW, Staff, Beds Summary'!B:E,4,FALSE)</f>
        <v>Upper middle income</v>
      </c>
      <c r="C120" s="691">
        <v>14.186406846401701</v>
      </c>
      <c r="D120" s="691">
        <v>21.761169474958901</v>
      </c>
      <c r="E120" s="691">
        <v>24.731886942580601</v>
      </c>
      <c r="F120" s="691">
        <v>23.516539969879201</v>
      </c>
      <c r="G120" s="691">
        <v>18.4324847829905</v>
      </c>
      <c r="H120" s="691">
        <v>19.2457656097965</v>
      </c>
      <c r="I120" s="691">
        <v>18.739728923745702</v>
      </c>
      <c r="J120" s="691">
        <v>18.171371877064502</v>
      </c>
      <c r="K120" s="691">
        <v>16.321980562476799</v>
      </c>
      <c r="L120" s="691">
        <v>12.701795722121799</v>
      </c>
      <c r="M120" s="691">
        <v>9.5081154551822706</v>
      </c>
      <c r="N120" s="691">
        <v>5.8777371172817698</v>
      </c>
      <c r="O120" s="691">
        <v>3.2858077700465298</v>
      </c>
      <c r="P120" s="691">
        <v>1.9877128930619801</v>
      </c>
      <c r="Q120" s="691">
        <v>1.0625555789574099</v>
      </c>
      <c r="R120" s="691">
        <v>0.65749867066267198</v>
      </c>
      <c r="S120" s="691"/>
      <c r="T120" s="691">
        <v>8.313405542270362E-2</v>
      </c>
      <c r="U120" s="691">
        <v>9.6040230693487133E-2</v>
      </c>
      <c r="V120" s="691">
        <v>9.3473062315374875E-2</v>
      </c>
      <c r="W120" s="691">
        <v>8.7951891967927978E-2</v>
      </c>
      <c r="X120" s="691">
        <v>7.3920382613588409E-2</v>
      </c>
      <c r="Y120" s="691">
        <v>7.1318047545365026E-2</v>
      </c>
      <c r="Z120" s="691">
        <v>7.2584048389365594E-2</v>
      </c>
      <c r="AA120" s="691">
        <v>6.9067379378252913E-2</v>
      </c>
      <c r="AB120" s="691">
        <v>6.5691377127584757E-2</v>
      </c>
      <c r="AC120" s="691">
        <v>5.9677873118582081E-2</v>
      </c>
      <c r="AD120" s="691">
        <v>5.6266704177802787E-2</v>
      </c>
      <c r="AE120" s="691">
        <v>4.9760866507244338E-2</v>
      </c>
      <c r="AF120" s="691">
        <v>4.1391194260796176E-2</v>
      </c>
      <c r="AG120" s="691">
        <v>3.0454353636235759E-2</v>
      </c>
      <c r="AH120" s="691">
        <v>2.1240680827120551E-2</v>
      </c>
      <c r="AI120" s="691">
        <v>1.3574342382894922E-2</v>
      </c>
      <c r="AJ120" s="691"/>
      <c r="AK120" s="691">
        <f t="shared" si="51"/>
        <v>10.66530946183055</v>
      </c>
      <c r="AL120" s="691">
        <f t="shared" si="52"/>
        <v>14.161493390468952</v>
      </c>
      <c r="AM120" s="691">
        <f t="shared" si="53"/>
        <v>16.536774292212709</v>
      </c>
      <c r="AN120" s="691">
        <f t="shared" si="54"/>
        <v>16.711223775077094</v>
      </c>
      <c r="AO120" s="691">
        <f t="shared" si="55"/>
        <v>15.584744805218776</v>
      </c>
      <c r="AP120" s="691">
        <f t="shared" si="56"/>
        <v>16.866142470419543</v>
      </c>
      <c r="AQ120" s="691">
        <f t="shared" si="57"/>
        <v>16.136232184945275</v>
      </c>
      <c r="AR120" s="691">
        <f t="shared" si="58"/>
        <v>16.443518670322245</v>
      </c>
      <c r="AS120" s="691">
        <f t="shared" si="59"/>
        <v>15.529036378298656</v>
      </c>
      <c r="AT120" s="691">
        <f t="shared" si="60"/>
        <v>13.302455183936928</v>
      </c>
      <c r="AU120" s="691">
        <f t="shared" si="61"/>
        <v>10.56143637045168</v>
      </c>
      <c r="AV120" s="691">
        <f t="shared" si="62"/>
        <v>7.382479358084117</v>
      </c>
      <c r="AW120" s="691">
        <f t="shared" si="63"/>
        <v>4.9615138991632923</v>
      </c>
      <c r="AX120" s="691">
        <f t="shared" si="64"/>
        <v>4.0792872277071641</v>
      </c>
      <c r="AY120" s="691">
        <f t="shared" si="65"/>
        <v>3.1265346071226108</v>
      </c>
      <c r="AZ120" s="691">
        <f t="shared" si="66"/>
        <v>3.0273044363607093</v>
      </c>
      <c r="BA120" s="691"/>
      <c r="BB120" s="691">
        <f t="shared" si="67"/>
        <v>11.567217906976268</v>
      </c>
    </row>
    <row r="121" spans="1:54" x14ac:dyDescent="0.35">
      <c r="A121" s="129" t="s">
        <v>462</v>
      </c>
      <c r="B121" s="129" t="str">
        <f>VLOOKUP(A121,'HCW, Staff, Beds Summary'!B:E,4,FALSE)</f>
        <v>Upper middle income</v>
      </c>
      <c r="C121" s="691">
        <v>14.6449339667424</v>
      </c>
      <c r="D121" s="691">
        <v>23.693062958584498</v>
      </c>
      <c r="E121" s="691">
        <v>27.483198542612801</v>
      </c>
      <c r="F121" s="691">
        <v>27.762658810774901</v>
      </c>
      <c r="G121" s="691">
        <v>17.924786774609601</v>
      </c>
      <c r="H121" s="691">
        <v>17.668350285261301</v>
      </c>
      <c r="I121" s="691">
        <v>17.714338770839799</v>
      </c>
      <c r="J121" s="691">
        <v>17.935049098224599</v>
      </c>
      <c r="K121" s="691">
        <v>15.4918674931653</v>
      </c>
      <c r="L121" s="691">
        <v>11.7519525011099</v>
      </c>
      <c r="M121" s="691">
        <v>8.8644054910078793</v>
      </c>
      <c r="N121" s="691">
        <v>5.3068191250033303</v>
      </c>
      <c r="O121" s="691">
        <v>2.9820592156762702</v>
      </c>
      <c r="P121" s="691">
        <v>1.7778573256164201</v>
      </c>
      <c r="Q121" s="691">
        <v>1.05060720725593</v>
      </c>
      <c r="R121" s="691">
        <v>0.62788849780307898</v>
      </c>
      <c r="S121" s="691"/>
      <c r="T121" s="691">
        <v>8.499763443028549E-2</v>
      </c>
      <c r="U121" s="691">
        <v>8.6952137932104268E-2</v>
      </c>
      <c r="V121" s="691">
        <v>8.640922029271017E-2</v>
      </c>
      <c r="W121" s="691">
        <v>8.6944381965827211E-2</v>
      </c>
      <c r="X121" s="691">
        <v>8.4850271071021388E-2</v>
      </c>
      <c r="Y121" s="691">
        <v>8.373341192712494E-2</v>
      </c>
      <c r="Z121" s="691">
        <v>7.5923153886126901E-2</v>
      </c>
      <c r="AA121" s="691">
        <v>7.0501733458462917E-2</v>
      </c>
      <c r="AB121" s="691">
        <v>6.6173904275864212E-2</v>
      </c>
      <c r="AC121" s="691">
        <v>6.2171825676901958E-2</v>
      </c>
      <c r="AD121" s="691">
        <v>5.3710066468630996E-2</v>
      </c>
      <c r="AE121" s="691">
        <v>4.524055129408297E-2</v>
      </c>
      <c r="AF121" s="691">
        <v>3.6212606547586734E-2</v>
      </c>
      <c r="AG121" s="691">
        <v>2.7882698766025765E-2</v>
      </c>
      <c r="AH121" s="691">
        <v>1.9133968805503634E-2</v>
      </c>
      <c r="AI121" s="691">
        <v>1.3355773929094957E-2</v>
      </c>
      <c r="AJ121" s="691"/>
      <c r="AK121" s="691">
        <f t="shared" si="51"/>
        <v>10.768633492643021</v>
      </c>
      <c r="AL121" s="691">
        <f t="shared" si="52"/>
        <v>17.030247560650118</v>
      </c>
      <c r="AM121" s="691">
        <f t="shared" si="53"/>
        <v>19.878664604247241</v>
      </c>
      <c r="AN121" s="691">
        <f t="shared" si="54"/>
        <v>19.957197192515835</v>
      </c>
      <c r="AO121" s="691">
        <f t="shared" si="55"/>
        <v>13.203248018799929</v>
      </c>
      <c r="AP121" s="691">
        <f t="shared" si="56"/>
        <v>13.187948125055549</v>
      </c>
      <c r="AQ121" s="691">
        <f t="shared" si="57"/>
        <v>14.582457610204616</v>
      </c>
      <c r="AR121" s="691">
        <f t="shared" si="58"/>
        <v>15.899475284525526</v>
      </c>
      <c r="AS121" s="691">
        <f t="shared" si="59"/>
        <v>14.631775605780309</v>
      </c>
      <c r="AT121" s="691">
        <f t="shared" si="60"/>
        <v>11.813985246893733</v>
      </c>
      <c r="AU121" s="691">
        <f t="shared" si="61"/>
        <v>10.315111851733924</v>
      </c>
      <c r="AV121" s="691">
        <f t="shared" si="62"/>
        <v>7.331391546417521</v>
      </c>
      <c r="AW121" s="691">
        <f t="shared" si="63"/>
        <v>5.1467905447471152</v>
      </c>
      <c r="AX121" s="691">
        <f t="shared" si="64"/>
        <v>3.9851265397027449</v>
      </c>
      <c r="AY121" s="691">
        <f t="shared" si="65"/>
        <v>3.4317475439078038</v>
      </c>
      <c r="AZ121" s="691">
        <f t="shared" si="66"/>
        <v>2.9382820734336663</v>
      </c>
      <c r="BA121" s="691"/>
      <c r="BB121" s="691">
        <f t="shared" si="67"/>
        <v>11.506380177578668</v>
      </c>
    </row>
    <row r="122" spans="1:54" x14ac:dyDescent="0.35">
      <c r="A122" s="129" t="s">
        <v>242</v>
      </c>
      <c r="B122" s="129" t="str">
        <f>VLOOKUP(A122,'HCW, Staff, Beds Summary'!B:E,4,FALSE)</f>
        <v>Lower middle income</v>
      </c>
      <c r="C122" s="691">
        <v>9.4354545960650995</v>
      </c>
      <c r="D122" s="691">
        <v>18.2823915349591</v>
      </c>
      <c r="E122" s="691">
        <v>25.6097060192591</v>
      </c>
      <c r="F122" s="691">
        <v>28.6146776590051</v>
      </c>
      <c r="G122" s="691">
        <v>17.779966458488001</v>
      </c>
      <c r="H122" s="691">
        <v>19.278958846768202</v>
      </c>
      <c r="I122" s="691">
        <v>19.447725641654898</v>
      </c>
      <c r="J122" s="691">
        <v>19.178112359515701</v>
      </c>
      <c r="K122" s="691">
        <v>17.377370349310699</v>
      </c>
      <c r="L122" s="691">
        <v>13.3504157814472</v>
      </c>
      <c r="M122" s="691">
        <v>9.9904393402136602</v>
      </c>
      <c r="N122" s="691">
        <v>6.2294322056933904</v>
      </c>
      <c r="O122" s="691">
        <v>3.1470242257079799</v>
      </c>
      <c r="P122" s="691">
        <v>1.62507782188239</v>
      </c>
      <c r="Q122" s="691">
        <v>0.933610231766552</v>
      </c>
      <c r="R122" s="691">
        <v>0.68471371265641001</v>
      </c>
      <c r="S122" s="691"/>
      <c r="T122" s="691">
        <v>8.6496980155306297E-2</v>
      </c>
      <c r="U122" s="691">
        <v>8.8833155408666153E-2</v>
      </c>
      <c r="V122" s="691">
        <v>8.4032845381026899E-2</v>
      </c>
      <c r="W122" s="691">
        <v>8.5250288822918643E-2</v>
      </c>
      <c r="X122" s="691">
        <v>8.2822713911759119E-2</v>
      </c>
      <c r="Y122" s="691">
        <v>7.6475921674149253E-2</v>
      </c>
      <c r="Z122" s="691">
        <v>7.3021014609321297E-2</v>
      </c>
      <c r="AA122" s="691">
        <v>7.7481317909945752E-2</v>
      </c>
      <c r="AB122" s="691">
        <v>7.1953466606221025E-2</v>
      </c>
      <c r="AC122" s="691">
        <v>6.641464734356034E-2</v>
      </c>
      <c r="AD122" s="691">
        <v>5.8331261607756542E-2</v>
      </c>
      <c r="AE122" s="691">
        <v>4.825901931823167E-2</v>
      </c>
      <c r="AF122" s="691">
        <v>3.8000321726795454E-2</v>
      </c>
      <c r="AG122" s="691">
        <v>2.6089118322341003E-2</v>
      </c>
      <c r="AH122" s="691">
        <v>1.6879688802445125E-2</v>
      </c>
      <c r="AI122" s="691">
        <v>1.0810751524546292E-2</v>
      </c>
      <c r="AJ122" s="691"/>
      <c r="AK122" s="691">
        <f t="shared" si="51"/>
        <v>6.8177630154859417</v>
      </c>
      <c r="AL122" s="691">
        <f t="shared" si="52"/>
        <v>12.862871589760866</v>
      </c>
      <c r="AM122" s="691">
        <f t="shared" si="53"/>
        <v>19.047392944343663</v>
      </c>
      <c r="AN122" s="691">
        <f t="shared" si="54"/>
        <v>20.978431608633112</v>
      </c>
      <c r="AO122" s="691">
        <f t="shared" si="55"/>
        <v>13.417187763726803</v>
      </c>
      <c r="AP122" s="691">
        <f t="shared" si="56"/>
        <v>15.755742481366005</v>
      </c>
      <c r="AQ122" s="691">
        <f t="shared" si="57"/>
        <v>16.645658227382011</v>
      </c>
      <c r="AR122" s="691">
        <f t="shared" si="58"/>
        <v>15.469948818667049</v>
      </c>
      <c r="AS122" s="691">
        <f t="shared" si="59"/>
        <v>15.094278261473184</v>
      </c>
      <c r="AT122" s="691">
        <f t="shared" si="60"/>
        <v>12.563508498722078</v>
      </c>
      <c r="AU122" s="691">
        <f t="shared" si="61"/>
        <v>10.704422320951901</v>
      </c>
      <c r="AV122" s="691">
        <f t="shared" si="62"/>
        <v>8.0677046147257521</v>
      </c>
      <c r="AW122" s="691">
        <f t="shared" si="63"/>
        <v>5.1759828645886419</v>
      </c>
      <c r="AX122" s="691">
        <f t="shared" si="64"/>
        <v>3.8930929981130782</v>
      </c>
      <c r="AY122" s="691">
        <f t="shared" si="65"/>
        <v>3.4568551688557823</v>
      </c>
      <c r="AZ122" s="691">
        <f t="shared" si="66"/>
        <v>3.9585228597529567</v>
      </c>
      <c r="BA122" s="691"/>
      <c r="BB122" s="691">
        <f t="shared" si="67"/>
        <v>11.4943352522843</v>
      </c>
    </row>
    <row r="123" spans="1:54" x14ac:dyDescent="0.35">
      <c r="A123" s="129" t="s">
        <v>419</v>
      </c>
      <c r="B123" s="129" t="str">
        <f>VLOOKUP(A123,'HCW, Staff, Beds Summary'!B:E,4,FALSE)</f>
        <v>High income</v>
      </c>
      <c r="C123" s="691">
        <v>8.6806370695494106</v>
      </c>
      <c r="D123" s="691">
        <v>17.4542056090628</v>
      </c>
      <c r="E123" s="691">
        <v>20.619842980966499</v>
      </c>
      <c r="F123" s="691">
        <v>18.706584953533302</v>
      </c>
      <c r="G123" s="691">
        <v>13.4252984649823</v>
      </c>
      <c r="H123" s="691">
        <v>16.863147932129401</v>
      </c>
      <c r="I123" s="691">
        <v>19.151111846147799</v>
      </c>
      <c r="J123" s="691">
        <v>18.801661544125899</v>
      </c>
      <c r="K123" s="691">
        <v>16.963524334908101</v>
      </c>
      <c r="L123" s="691">
        <v>13.2033412699154</v>
      </c>
      <c r="M123" s="691">
        <v>10.184545805999299</v>
      </c>
      <c r="N123" s="691">
        <v>6.5262787489500402</v>
      </c>
      <c r="O123" s="691">
        <v>4.0936527394961297</v>
      </c>
      <c r="P123" s="691">
        <v>3.2726627457462301</v>
      </c>
      <c r="Q123" s="691">
        <v>1.9517241491013699</v>
      </c>
      <c r="R123" s="691">
        <v>1.22065421068805</v>
      </c>
      <c r="S123" s="691"/>
      <c r="T123" s="691">
        <v>6.3450233123859723E-2</v>
      </c>
      <c r="U123" s="691">
        <v>7.257247111291304E-2</v>
      </c>
      <c r="V123" s="691">
        <v>7.2369754713156292E-2</v>
      </c>
      <c r="W123" s="691">
        <v>6.3247516724102976E-2</v>
      </c>
      <c r="X123" s="691">
        <v>5.8787755929454691E-2</v>
      </c>
      <c r="Y123" s="691">
        <v>5.6152442732617068E-2</v>
      </c>
      <c r="Z123" s="691">
        <v>6.3044800324346242E-2</v>
      </c>
      <c r="AA123" s="691">
        <v>7.8045813906345018E-2</v>
      </c>
      <c r="AB123" s="691">
        <v>8.0072977903912421E-2</v>
      </c>
      <c r="AC123" s="691">
        <v>7.4599635110480442E-2</v>
      </c>
      <c r="AD123" s="691">
        <v>6.3247516724102976E-2</v>
      </c>
      <c r="AE123" s="691">
        <v>5.838232312994121E-2</v>
      </c>
      <c r="AF123" s="691">
        <v>5.0679099939185082E-2</v>
      </c>
      <c r="AG123" s="691">
        <v>4.6624771944050271E-2</v>
      </c>
      <c r="AH123" s="691">
        <v>3.9935130752077844E-2</v>
      </c>
      <c r="AI123" s="691">
        <v>2.7163997567403203E-2</v>
      </c>
      <c r="AJ123" s="691"/>
      <c r="AK123" s="691">
        <f t="shared" si="51"/>
        <v>8.5506355159918606</v>
      </c>
      <c r="AL123" s="691">
        <f t="shared" si="52"/>
        <v>15.031703259341269</v>
      </c>
      <c r="AM123" s="691">
        <f t="shared" si="53"/>
        <v>17.807718036608499</v>
      </c>
      <c r="AN123" s="691">
        <f t="shared" si="54"/>
        <v>18.485493504763578</v>
      </c>
      <c r="AO123" s="691">
        <f t="shared" si="55"/>
        <v>14.273059768913294</v>
      </c>
      <c r="AP123" s="691">
        <f t="shared" si="56"/>
        <v>18.769383743049264</v>
      </c>
      <c r="AQ123" s="691">
        <f t="shared" si="57"/>
        <v>18.985617913393707</v>
      </c>
      <c r="AR123" s="691">
        <f t="shared" si="58"/>
        <v>15.056590324216407</v>
      </c>
      <c r="AS123" s="691">
        <f t="shared" si="59"/>
        <v>13.240674927864188</v>
      </c>
      <c r="AT123" s="691">
        <f t="shared" si="60"/>
        <v>11.061834661089108</v>
      </c>
      <c r="AU123" s="691">
        <f t="shared" si="61"/>
        <v>10.064175573115895</v>
      </c>
      <c r="AV123" s="691">
        <f t="shared" si="62"/>
        <v>6.9865740166168724</v>
      </c>
      <c r="AW123" s="691">
        <f t="shared" si="63"/>
        <v>5.0484972409836022</v>
      </c>
      <c r="AX123" s="691">
        <f t="shared" si="64"/>
        <v>4.3869688382516721</v>
      </c>
      <c r="AY123" s="691">
        <f t="shared" si="65"/>
        <v>3.0545225975625185</v>
      </c>
      <c r="AZ123" s="691">
        <f t="shared" si="66"/>
        <v>2.8085294875579061</v>
      </c>
      <c r="BA123" s="691"/>
      <c r="BB123" s="691">
        <f t="shared" si="67"/>
        <v>11.475748713082478</v>
      </c>
    </row>
    <row r="124" spans="1:54" x14ac:dyDescent="0.35">
      <c r="A124" s="129" t="s">
        <v>459</v>
      </c>
      <c r="B124" s="129" t="str">
        <f>VLOOKUP(A124,'HCW, Staff, Beds Summary'!B:E,4,FALSE)</f>
        <v>Upper middle income</v>
      </c>
      <c r="C124" s="691">
        <v>12.142894786911601</v>
      </c>
      <c r="D124" s="691">
        <v>20.160016043876499</v>
      </c>
      <c r="E124" s="691">
        <v>23.930332393976801</v>
      </c>
      <c r="F124" s="691">
        <v>26.4134411213942</v>
      </c>
      <c r="G124" s="691">
        <v>20.4788931583739</v>
      </c>
      <c r="H124" s="691">
        <v>21.075799931180502</v>
      </c>
      <c r="I124" s="691">
        <v>19.074460011338601</v>
      </c>
      <c r="J124" s="691">
        <v>17.725235572722902</v>
      </c>
      <c r="K124" s="691">
        <v>16.008555247366999</v>
      </c>
      <c r="L124" s="691">
        <v>12.562943425995799</v>
      </c>
      <c r="M124" s="691">
        <v>8.9577561225083198</v>
      </c>
      <c r="N124" s="691">
        <v>5.2919027103295599</v>
      </c>
      <c r="O124" s="691">
        <v>3.8488695187137099</v>
      </c>
      <c r="P124" s="691">
        <v>1.65937541549311</v>
      </c>
      <c r="Q124" s="691">
        <v>0.88774162331638296</v>
      </c>
      <c r="R124" s="691">
        <v>0.537404030740675</v>
      </c>
      <c r="S124" s="691"/>
      <c r="T124" s="691">
        <v>8.1412593462275223E-2</v>
      </c>
      <c r="U124" s="691">
        <v>7.7488722733732932E-2</v>
      </c>
      <c r="V124" s="691">
        <v>7.5573132299326454E-2</v>
      </c>
      <c r="W124" s="691">
        <v>8.2493975159117591E-2</v>
      </c>
      <c r="X124" s="691">
        <v>8.845702280170549E-2</v>
      </c>
      <c r="Y124" s="691">
        <v>8.9816474077735894E-2</v>
      </c>
      <c r="Z124" s="691">
        <v>9.0527096335660875E-2</v>
      </c>
      <c r="AA124" s="691">
        <v>8.4069702774516461E-2</v>
      </c>
      <c r="AB124" s="691">
        <v>6.4759315330902803E-2</v>
      </c>
      <c r="AC124" s="691">
        <v>5.8549094729036646E-2</v>
      </c>
      <c r="AD124" s="691">
        <v>5.1751838348884631E-2</v>
      </c>
      <c r="AE124" s="691">
        <v>4.5448927887289131E-2</v>
      </c>
      <c r="AF124" s="691">
        <v>3.7786566149663227E-2</v>
      </c>
      <c r="AG124" s="691">
        <v>2.8641166656367793E-2</v>
      </c>
      <c r="AH124" s="691">
        <v>2.0329975900636472E-2</v>
      </c>
      <c r="AI124" s="691">
        <v>1.1369956126799727E-2</v>
      </c>
      <c r="AJ124" s="691"/>
      <c r="AK124" s="691">
        <f t="shared" si="51"/>
        <v>9.3220335074283884</v>
      </c>
      <c r="AL124" s="691">
        <f t="shared" si="52"/>
        <v>16.260443562502662</v>
      </c>
      <c r="AM124" s="691">
        <f t="shared" si="53"/>
        <v>19.790707743853567</v>
      </c>
      <c r="AN124" s="691">
        <f t="shared" si="54"/>
        <v>20.011644085558164</v>
      </c>
      <c r="AO124" s="691">
        <f t="shared" si="55"/>
        <v>14.469521829460568</v>
      </c>
      <c r="AP124" s="691">
        <f t="shared" si="56"/>
        <v>14.665878495282682</v>
      </c>
      <c r="AQ124" s="691">
        <f t="shared" si="57"/>
        <v>13.169026721992005</v>
      </c>
      <c r="AR124" s="691">
        <f t="shared" si="58"/>
        <v>13.177484714873886</v>
      </c>
      <c r="AS124" s="691">
        <f t="shared" si="59"/>
        <v>15.450050666038891</v>
      </c>
      <c r="AT124" s="691">
        <f t="shared" si="60"/>
        <v>13.410693500190634</v>
      </c>
      <c r="AU124" s="691">
        <f t="shared" si="61"/>
        <v>10.81816174108598</v>
      </c>
      <c r="AV124" s="691">
        <f t="shared" si="62"/>
        <v>7.2772655983398424</v>
      </c>
      <c r="AW124" s="691">
        <f t="shared" si="63"/>
        <v>6.3661340373409612</v>
      </c>
      <c r="AX124" s="691">
        <f t="shared" si="64"/>
        <v>3.621045354493662</v>
      </c>
      <c r="AY124" s="691">
        <f t="shared" si="65"/>
        <v>2.7291646447813496</v>
      </c>
      <c r="AZ124" s="691">
        <f t="shared" si="66"/>
        <v>2.9540792899036497</v>
      </c>
      <c r="BA124" s="691"/>
      <c r="BB124" s="691">
        <f t="shared" si="67"/>
        <v>11.468333468320434</v>
      </c>
    </row>
    <row r="125" spans="1:54" x14ac:dyDescent="0.35">
      <c r="A125" s="129" t="s">
        <v>176</v>
      </c>
      <c r="B125" s="129" t="str">
        <f>VLOOKUP(A125,'HCW, Staff, Beds Summary'!B:E,4,FALSE)</f>
        <v>Lower middle income</v>
      </c>
      <c r="C125" s="691">
        <v>14.820089942618299</v>
      </c>
      <c r="D125" s="691">
        <v>40.392940939985202</v>
      </c>
      <c r="E125" s="691">
        <v>36.051873282647399</v>
      </c>
      <c r="F125" s="691">
        <v>31.8668269871268</v>
      </c>
      <c r="G125" s="691">
        <v>16.7413360459486</v>
      </c>
      <c r="H125" s="691">
        <v>15.0494746611653</v>
      </c>
      <c r="I125" s="691">
        <v>13.471788947220499</v>
      </c>
      <c r="J125" s="691">
        <v>13.688184066868899</v>
      </c>
      <c r="K125" s="691">
        <v>11.7411188409553</v>
      </c>
      <c r="L125" s="691">
        <v>9.3934682446030102</v>
      </c>
      <c r="M125" s="691">
        <v>7.12291251946003</v>
      </c>
      <c r="N125" s="691">
        <v>4.2953806594467396</v>
      </c>
      <c r="O125" s="691">
        <v>2.37083942482613</v>
      </c>
      <c r="P125" s="691">
        <v>1.2735192538828399</v>
      </c>
      <c r="Q125" s="691">
        <v>0.652600283528459</v>
      </c>
      <c r="R125" s="691">
        <v>0.33343749045600801</v>
      </c>
      <c r="S125" s="691"/>
      <c r="T125" s="691">
        <v>0.1265912753743911</v>
      </c>
      <c r="U125" s="691">
        <v>0.1154365029063977</v>
      </c>
      <c r="V125" s="691">
        <v>0.10616953081143726</v>
      </c>
      <c r="W125" s="691">
        <v>9.9487532368759388E-2</v>
      </c>
      <c r="X125" s="691">
        <v>9.403690491280807E-2</v>
      </c>
      <c r="Y125" s="691">
        <v>8.6730166778335116E-2</v>
      </c>
      <c r="Z125" s="691">
        <v>7.6136754613114102E-2</v>
      </c>
      <c r="AA125" s="691">
        <v>6.3365807725042106E-2</v>
      </c>
      <c r="AB125" s="691">
        <v>5.2586784491968928E-2</v>
      </c>
      <c r="AC125" s="691">
        <v>4.3609546746826502E-2</v>
      </c>
      <c r="AD125" s="691">
        <v>3.7262553646125705E-2</v>
      </c>
      <c r="AE125" s="691">
        <v>3.1200767796027019E-2</v>
      </c>
      <c r="AF125" s="691">
        <v>2.3898556760769969E-2</v>
      </c>
      <c r="AG125" s="691">
        <v>1.6401680459228945E-2</v>
      </c>
      <c r="AH125" s="691">
        <v>1.2250330478242762E-2</v>
      </c>
      <c r="AI125" s="691">
        <v>8.3932419462904948E-3</v>
      </c>
      <c r="AJ125" s="691"/>
      <c r="AK125" s="691">
        <f t="shared" si="51"/>
        <v>7.3168993571971024</v>
      </c>
      <c r="AL125" s="691">
        <f t="shared" si="52"/>
        <v>21.869675061069088</v>
      </c>
      <c r="AM125" s="691">
        <f t="shared" si="53"/>
        <v>21.223057716694072</v>
      </c>
      <c r="AN125" s="691">
        <f t="shared" si="54"/>
        <v>20.019359604911077</v>
      </c>
      <c r="AO125" s="691">
        <f t="shared" si="55"/>
        <v>11.12683901965891</v>
      </c>
      <c r="AP125" s="691">
        <f t="shared" si="56"/>
        <v>10.845040442811506</v>
      </c>
      <c r="AQ125" s="691">
        <f t="shared" si="57"/>
        <v>11.058874435610026</v>
      </c>
      <c r="AR125" s="691">
        <f t="shared" si="58"/>
        <v>13.501153617287654</v>
      </c>
      <c r="AS125" s="691">
        <f t="shared" si="59"/>
        <v>13.954455185822885</v>
      </c>
      <c r="AT125" s="691">
        <f t="shared" si="60"/>
        <v>13.462459692507839</v>
      </c>
      <c r="AU125" s="691">
        <f t="shared" si="61"/>
        <v>11.947169179387112</v>
      </c>
      <c r="AV125" s="691">
        <f t="shared" si="62"/>
        <v>8.6043168222804436</v>
      </c>
      <c r="AW125" s="691">
        <f t="shared" si="63"/>
        <v>6.2002683063635811</v>
      </c>
      <c r="AX125" s="691">
        <f t="shared" si="64"/>
        <v>4.852853557629869</v>
      </c>
      <c r="AY125" s="691">
        <f t="shared" si="65"/>
        <v>3.3295034605776137</v>
      </c>
      <c r="AZ125" s="691">
        <f t="shared" si="66"/>
        <v>2.482931301975746</v>
      </c>
      <c r="BA125" s="691"/>
      <c r="BB125" s="691">
        <f t="shared" si="67"/>
        <v>11.362178547611533</v>
      </c>
    </row>
    <row r="126" spans="1:54" x14ac:dyDescent="0.35">
      <c r="A126" s="129" t="s">
        <v>229</v>
      </c>
      <c r="B126" s="129" t="str">
        <f>VLOOKUP(A126,'HCW, Staff, Beds Summary'!B:E,4,FALSE)</f>
        <v>Upper middle income</v>
      </c>
      <c r="C126" s="691">
        <v>13.9282237559188</v>
      </c>
      <c r="D126" s="691">
        <v>22.192672517415001</v>
      </c>
      <c r="E126" s="691">
        <v>23.8341311308732</v>
      </c>
      <c r="F126" s="691">
        <v>23.063709104115901</v>
      </c>
      <c r="G126" s="691">
        <v>17.458796216449699</v>
      </c>
      <c r="H126" s="691">
        <v>18.819136433577299</v>
      </c>
      <c r="I126" s="691">
        <v>18.5964578156931</v>
      </c>
      <c r="J126" s="691">
        <v>18.057730445622202</v>
      </c>
      <c r="K126" s="691">
        <v>16.171097690396198</v>
      </c>
      <c r="L126" s="691">
        <v>12.366966269154799</v>
      </c>
      <c r="M126" s="691">
        <v>9.3096004287947292</v>
      </c>
      <c r="N126" s="691">
        <v>4.5621422532918201</v>
      </c>
      <c r="O126" s="691">
        <v>3.8570378138149799</v>
      </c>
      <c r="P126" s="691">
        <v>1.9722351773492099</v>
      </c>
      <c r="Q126" s="691">
        <v>1.0903017225951801</v>
      </c>
      <c r="R126" s="691">
        <v>0.64022617276187299</v>
      </c>
      <c r="S126" s="691"/>
      <c r="T126" s="691">
        <v>8.8586030664395229E-2</v>
      </c>
      <c r="U126" s="691">
        <v>8.8586030664395229E-2</v>
      </c>
      <c r="V126" s="691">
        <v>8.8586030664395229E-2</v>
      </c>
      <c r="W126" s="691">
        <v>8.5178875638841564E-2</v>
      </c>
      <c r="X126" s="691">
        <v>8.3475298126064731E-2</v>
      </c>
      <c r="Y126" s="691">
        <v>8.006814310051108E-2</v>
      </c>
      <c r="Z126" s="691">
        <v>7.3253833049403749E-2</v>
      </c>
      <c r="AA126" s="691">
        <v>6.8143100511073251E-2</v>
      </c>
      <c r="AB126" s="691">
        <v>6.1328790459965928E-2</v>
      </c>
      <c r="AC126" s="691">
        <v>6.4735945485519586E-2</v>
      </c>
      <c r="AD126" s="691">
        <v>5.6218057921635436E-2</v>
      </c>
      <c r="AE126" s="691">
        <v>5.4514480408858604E-2</v>
      </c>
      <c r="AF126" s="691">
        <v>3.7478705281090291E-2</v>
      </c>
      <c r="AG126" s="691">
        <v>2.6064735945485518E-2</v>
      </c>
      <c r="AH126" s="691">
        <v>1.9250425894378195E-2</v>
      </c>
      <c r="AI126" s="691">
        <v>1.2606473594548553E-2</v>
      </c>
      <c r="AJ126" s="691"/>
      <c r="AK126" s="691">
        <f t="shared" si="51"/>
        <v>9.82676363548598</v>
      </c>
      <c r="AL126" s="691">
        <f t="shared" si="52"/>
        <v>15.657570634281978</v>
      </c>
      <c r="AM126" s="691">
        <f t="shared" si="53"/>
        <v>16.815667035844434</v>
      </c>
      <c r="AN126" s="691">
        <f t="shared" si="54"/>
        <v>16.922996555145044</v>
      </c>
      <c r="AO126" s="691">
        <f t="shared" si="55"/>
        <v>13.071828289612212</v>
      </c>
      <c r="AP126" s="691">
        <f t="shared" si="56"/>
        <v>14.689937615039725</v>
      </c>
      <c r="AQ126" s="691">
        <f t="shared" si="57"/>
        <v>15.866454560773036</v>
      </c>
      <c r="AR126" s="691">
        <f t="shared" si="58"/>
        <v>16.562324643094115</v>
      </c>
      <c r="AS126" s="691">
        <f t="shared" si="59"/>
        <v>16.47992073656696</v>
      </c>
      <c r="AT126" s="691">
        <f t="shared" si="60"/>
        <v>11.93981776314781</v>
      </c>
      <c r="AU126" s="691">
        <f t="shared" si="61"/>
        <v>10.349877749436564</v>
      </c>
      <c r="AV126" s="691">
        <f t="shared" si="62"/>
        <v>5.2304248099263644</v>
      </c>
      <c r="AW126" s="691">
        <f t="shared" si="63"/>
        <v>6.4320488542880483</v>
      </c>
      <c r="AX126" s="691">
        <f t="shared" si="64"/>
        <v>4.7291750371894867</v>
      </c>
      <c r="AY126" s="691">
        <f t="shared" si="65"/>
        <v>3.5398623405053691</v>
      </c>
      <c r="AZ126" s="691">
        <f t="shared" si="66"/>
        <v>3.1740942855677314</v>
      </c>
      <c r="BA126" s="691"/>
      <c r="BB126" s="691">
        <f t="shared" si="67"/>
        <v>11.330547784119053</v>
      </c>
    </row>
    <row r="127" spans="1:54" x14ac:dyDescent="0.35">
      <c r="A127" s="129" t="s">
        <v>178</v>
      </c>
      <c r="B127" s="129" t="str">
        <f>VLOOKUP(A127,'HCW, Staff, Beds Summary'!B:E,4,FALSE)</f>
        <v>Upper middle income</v>
      </c>
      <c r="C127" s="691">
        <v>13.1741808145729</v>
      </c>
      <c r="D127" s="691">
        <v>28.209429338533401</v>
      </c>
      <c r="E127" s="691">
        <v>28.981353495737601</v>
      </c>
      <c r="F127" s="691">
        <v>24.726842007190601</v>
      </c>
      <c r="G127" s="691">
        <v>20.080850384362201</v>
      </c>
      <c r="H127" s="691">
        <v>19.875686788965901</v>
      </c>
      <c r="I127" s="691">
        <v>17.6116766580732</v>
      </c>
      <c r="J127" s="691">
        <v>16.674780104286999</v>
      </c>
      <c r="K127" s="691">
        <v>14.2018767657834</v>
      </c>
      <c r="L127" s="691">
        <v>10.7984331472046</v>
      </c>
      <c r="M127" s="691">
        <v>7.8197093777986098</v>
      </c>
      <c r="N127" s="691">
        <v>4.2674204918517598</v>
      </c>
      <c r="O127" s="691">
        <v>3.3018851420414999</v>
      </c>
      <c r="P127" s="691">
        <v>1.53349337463733</v>
      </c>
      <c r="Q127" s="691">
        <v>0.90595763088579295</v>
      </c>
      <c r="R127" s="691">
        <v>0.51673666042000199</v>
      </c>
      <c r="S127" s="691"/>
      <c r="T127" s="691">
        <v>9.7202785411994813E-2</v>
      </c>
      <c r="U127" s="691">
        <v>9.8130132020435343E-2</v>
      </c>
      <c r="V127" s="691">
        <v>9.2667217454349249E-2</v>
      </c>
      <c r="W127" s="691">
        <v>8.2837343404879527E-2</v>
      </c>
      <c r="X127" s="691">
        <v>8.3022812726567641E-2</v>
      </c>
      <c r="Y127" s="691">
        <v>8.7979901869867982E-2</v>
      </c>
      <c r="Z127" s="691">
        <v>9.0610194068353869E-2</v>
      </c>
      <c r="AA127" s="691">
        <v>8.0628572392048431E-2</v>
      </c>
      <c r="AB127" s="691">
        <v>6.4239828693790149E-2</v>
      </c>
      <c r="AC127" s="691">
        <v>5.4511119728877573E-2</v>
      </c>
      <c r="AD127" s="691">
        <v>4.5389401271307896E-2</v>
      </c>
      <c r="AE127" s="691">
        <v>3.7431081286145439E-2</v>
      </c>
      <c r="AF127" s="691">
        <v>3.0248360282587802E-2</v>
      </c>
      <c r="AG127" s="691">
        <v>2.3099360973882547E-2</v>
      </c>
      <c r="AH127" s="691">
        <v>1.5090458446441518E-2</v>
      </c>
      <c r="AI127" s="691">
        <v>9.7961523546173431E-3</v>
      </c>
      <c r="AJ127" s="691"/>
      <c r="AK127" s="691">
        <f t="shared" si="51"/>
        <v>8.4708097347300964</v>
      </c>
      <c r="AL127" s="691">
        <f t="shared" si="52"/>
        <v>17.966849706175662</v>
      </c>
      <c r="AM127" s="691">
        <f t="shared" si="53"/>
        <v>19.546660008173006</v>
      </c>
      <c r="AN127" s="691">
        <f t="shared" si="54"/>
        <v>18.656170779112397</v>
      </c>
      <c r="AO127" s="691">
        <f t="shared" si="55"/>
        <v>15.11696734674728</v>
      </c>
      <c r="AP127" s="691">
        <f t="shared" si="56"/>
        <v>14.119479539176631</v>
      </c>
      <c r="AQ127" s="691">
        <f t="shared" si="57"/>
        <v>12.14796858617491</v>
      </c>
      <c r="AR127" s="691">
        <f t="shared" si="58"/>
        <v>12.925613409728637</v>
      </c>
      <c r="AS127" s="691">
        <f t="shared" si="59"/>
        <v>13.817242603376766</v>
      </c>
      <c r="AT127" s="691">
        <f t="shared" si="60"/>
        <v>12.380998135005367</v>
      </c>
      <c r="AU127" s="691">
        <f t="shared" si="61"/>
        <v>10.767532120353309</v>
      </c>
      <c r="AV127" s="691">
        <f t="shared" si="62"/>
        <v>7.1254628927712851</v>
      </c>
      <c r="AW127" s="691">
        <f t="shared" si="63"/>
        <v>6.8224465541157793</v>
      </c>
      <c r="AX127" s="691">
        <f t="shared" si="64"/>
        <v>4.1491769414400279</v>
      </c>
      <c r="AY127" s="691">
        <f t="shared" si="65"/>
        <v>3.7521956096512215</v>
      </c>
      <c r="AZ127" s="691">
        <f t="shared" si="66"/>
        <v>3.2968087987144901</v>
      </c>
      <c r="BA127" s="691"/>
      <c r="BB127" s="691">
        <f t="shared" si="67"/>
        <v>11.316398922840429</v>
      </c>
    </row>
    <row r="128" spans="1:54" x14ac:dyDescent="0.35">
      <c r="A128" s="129" t="s">
        <v>250</v>
      </c>
      <c r="B128" s="129" t="str">
        <f>VLOOKUP(A128,'HCW, Staff, Beds Summary'!B:E,4,FALSE)</f>
        <v>Lower middle income</v>
      </c>
      <c r="C128" s="691">
        <v>14.1837876015205</v>
      </c>
      <c r="D128" s="691">
        <v>19.2410690975669</v>
      </c>
      <c r="E128" s="691">
        <v>24.051739976061999</v>
      </c>
      <c r="F128" s="691">
        <v>27.985955128867399</v>
      </c>
      <c r="G128" s="691">
        <v>21.659535043297598</v>
      </c>
      <c r="H128" s="691">
        <v>20.093688012203401</v>
      </c>
      <c r="I128" s="691">
        <v>18.819302867154999</v>
      </c>
      <c r="J128" s="691">
        <v>18.133073300894001</v>
      </c>
      <c r="K128" s="691">
        <v>15.7510616863121</v>
      </c>
      <c r="L128" s="691">
        <v>11.5821318388913</v>
      </c>
      <c r="M128" s="691">
        <v>7.4523541728735001</v>
      </c>
      <c r="N128" s="691">
        <v>3.6828385349298798</v>
      </c>
      <c r="O128" s="691">
        <v>1.94174765652064</v>
      </c>
      <c r="P128" s="691">
        <v>1.2595016982498299</v>
      </c>
      <c r="Q128" s="691">
        <v>0.69462616124476495</v>
      </c>
      <c r="R128" s="691">
        <v>0.41582802163080501</v>
      </c>
      <c r="S128" s="691"/>
      <c r="T128" s="691">
        <v>0.11439902379499695</v>
      </c>
      <c r="U128" s="691">
        <v>0.11043319097010372</v>
      </c>
      <c r="V128" s="691">
        <v>8.5723001830384379E-2</v>
      </c>
      <c r="W128" s="691">
        <v>6.6503965832824891E-2</v>
      </c>
      <c r="X128" s="691">
        <v>6.9859670530811477E-2</v>
      </c>
      <c r="Y128" s="691">
        <v>8.2672361195851127E-2</v>
      </c>
      <c r="Z128" s="691">
        <v>9.4264795607077484E-2</v>
      </c>
      <c r="AA128" s="691">
        <v>7.7791336180597928E-2</v>
      </c>
      <c r="AB128" s="691">
        <v>6.8029286150091517E-2</v>
      </c>
      <c r="AC128" s="691">
        <v>6.1012812690665039E-2</v>
      </c>
      <c r="AD128" s="691">
        <v>5.1250762660158634E-2</v>
      </c>
      <c r="AE128" s="691">
        <v>4.4234289200732156E-2</v>
      </c>
      <c r="AF128" s="691">
        <v>2.9896278218425869E-2</v>
      </c>
      <c r="AG128" s="691">
        <v>1.8303843807199512E-2</v>
      </c>
      <c r="AH128" s="691">
        <v>1.0982306284319707E-2</v>
      </c>
      <c r="AI128" s="691">
        <v>7.5350823672971322E-3</v>
      </c>
      <c r="AJ128" s="691"/>
      <c r="AK128" s="691">
        <f t="shared" si="51"/>
        <v>7.7490759596306997</v>
      </c>
      <c r="AL128" s="691">
        <f t="shared" si="52"/>
        <v>10.889541523105024</v>
      </c>
      <c r="AM128" s="691">
        <f t="shared" si="53"/>
        <v>17.535943870447337</v>
      </c>
      <c r="AN128" s="691">
        <f t="shared" si="54"/>
        <v>26.301020903792242</v>
      </c>
      <c r="AO128" s="691">
        <f t="shared" si="55"/>
        <v>19.377717213954565</v>
      </c>
      <c r="AP128" s="691">
        <f t="shared" si="56"/>
        <v>15.190753990775542</v>
      </c>
      <c r="AQ128" s="691">
        <f t="shared" si="57"/>
        <v>12.477685032065956</v>
      </c>
      <c r="AR128" s="691">
        <f t="shared" si="58"/>
        <v>14.568679970669248</v>
      </c>
      <c r="AS128" s="691">
        <f t="shared" si="59"/>
        <v>14.470846470776644</v>
      </c>
      <c r="AT128" s="691">
        <f t="shared" si="60"/>
        <v>11.864446302464275</v>
      </c>
      <c r="AU128" s="691">
        <f t="shared" si="61"/>
        <v>9.0881015545682047</v>
      </c>
      <c r="AV128" s="691">
        <f t="shared" si="62"/>
        <v>5.2035968609914418</v>
      </c>
      <c r="AW128" s="691">
        <f t="shared" si="63"/>
        <v>4.0593423584659805</v>
      </c>
      <c r="AX128" s="691">
        <f t="shared" si="64"/>
        <v>4.3006735071488986</v>
      </c>
      <c r="AY128" s="691">
        <f t="shared" si="65"/>
        <v>3.9530981884728114</v>
      </c>
      <c r="AZ128" s="691">
        <f t="shared" si="66"/>
        <v>3.4490998352879019</v>
      </c>
      <c r="BA128" s="691"/>
      <c r="BB128" s="691">
        <f t="shared" si="67"/>
        <v>11.27997647141355</v>
      </c>
    </row>
    <row r="129" spans="1:54" x14ac:dyDescent="0.35">
      <c r="A129" s="129" t="s">
        <v>240</v>
      </c>
      <c r="B129" s="129" t="str">
        <f>VLOOKUP(A129,'HCW, Staff, Beds Summary'!B:E,4,FALSE)</f>
        <v>Lower middle income</v>
      </c>
      <c r="C129" s="691">
        <v>11.2966951895382</v>
      </c>
      <c r="D129" s="691">
        <v>27.411213556216001</v>
      </c>
      <c r="E129" s="691">
        <v>34.252394820910901</v>
      </c>
      <c r="F129" s="691">
        <v>28.8403959894206</v>
      </c>
      <c r="G129" s="691">
        <v>18.949410152693599</v>
      </c>
      <c r="H129" s="691">
        <v>18.503391482832001</v>
      </c>
      <c r="I129" s="691">
        <v>16.847576531492201</v>
      </c>
      <c r="J129" s="691">
        <v>16.001869925402801</v>
      </c>
      <c r="K129" s="691">
        <v>14.841534112169199</v>
      </c>
      <c r="L129" s="691">
        <v>9.5232548026964601</v>
      </c>
      <c r="M129" s="691">
        <v>7.5682072189316303</v>
      </c>
      <c r="N129" s="691">
        <v>4.9254119784252799</v>
      </c>
      <c r="O129" s="691">
        <v>2.7300255740950701</v>
      </c>
      <c r="P129" s="691">
        <v>1.48642332123663</v>
      </c>
      <c r="Q129" s="691">
        <v>0.704375219742153</v>
      </c>
      <c r="R129" s="691">
        <v>0.418608406074577</v>
      </c>
      <c r="S129" s="691"/>
      <c r="T129" s="691">
        <v>8.7000346106904533E-2</v>
      </c>
      <c r="U129" s="691">
        <v>8.8919114209206437E-2</v>
      </c>
      <c r="V129" s="691">
        <v>9.1621176884916417E-2</v>
      </c>
      <c r="W129" s="691">
        <v>9.4632914159415632E-2</v>
      </c>
      <c r="X129" s="691">
        <v>9.2531984528414157E-2</v>
      </c>
      <c r="Y129" s="691">
        <v>8.8202612196321556E-2</v>
      </c>
      <c r="Z129" s="691">
        <v>8.3569637316396356E-2</v>
      </c>
      <c r="AA129" s="691">
        <v>7.7406505595394956E-2</v>
      </c>
      <c r="AB129" s="691">
        <v>6.8164844039371175E-2</v>
      </c>
      <c r="AC129" s="691">
        <v>5.7235152317398251E-2</v>
      </c>
      <c r="AD129" s="691">
        <v>5.0428383194991773E-2</v>
      </c>
      <c r="AE129" s="691">
        <v>4.068274140956591E-2</v>
      </c>
      <c r="AF129" s="691">
        <v>2.7330301355888979E-2</v>
      </c>
      <c r="AG129" s="691">
        <v>1.6983526525754605E-2</v>
      </c>
      <c r="AH129" s="691">
        <v>1.4311824104827888E-2</v>
      </c>
      <c r="AI129" s="691">
        <v>1.0559296613617181E-2</v>
      </c>
      <c r="AJ129" s="691"/>
      <c r="AK129" s="691">
        <f t="shared" si="51"/>
        <v>8.1154096614577078</v>
      </c>
      <c r="AL129" s="691">
        <f t="shared" si="52"/>
        <v>19.266958094439946</v>
      </c>
      <c r="AM129" s="691">
        <f t="shared" si="53"/>
        <v>23.365500740029969</v>
      </c>
      <c r="AN129" s="691">
        <f t="shared" si="54"/>
        <v>19.047545617186753</v>
      </c>
      <c r="AO129" s="691">
        <f t="shared" si="55"/>
        <v>12.799229807717683</v>
      </c>
      <c r="AP129" s="691">
        <f t="shared" si="56"/>
        <v>13.111425374828407</v>
      </c>
      <c r="AQ129" s="691">
        <f t="shared" si="57"/>
        <v>12.599953368610219</v>
      </c>
      <c r="AR129" s="691">
        <f t="shared" si="58"/>
        <v>12.920320619629853</v>
      </c>
      <c r="AS129" s="691">
        <f t="shared" si="59"/>
        <v>13.608127401785104</v>
      </c>
      <c r="AT129" s="691">
        <f t="shared" si="60"/>
        <v>10.399263408400151</v>
      </c>
      <c r="AU129" s="691">
        <f t="shared" si="61"/>
        <v>9.3798952338849428</v>
      </c>
      <c r="AV129" s="691">
        <f t="shared" si="62"/>
        <v>7.5668019898776206</v>
      </c>
      <c r="AW129" s="691">
        <f t="shared" si="63"/>
        <v>6.243129051490544</v>
      </c>
      <c r="AX129" s="691">
        <f t="shared" si="64"/>
        <v>5.4700922942246013</v>
      </c>
      <c r="AY129" s="691">
        <f t="shared" si="65"/>
        <v>3.0760195843263531</v>
      </c>
      <c r="AZ129" s="691">
        <f t="shared" si="66"/>
        <v>2.4777242592012656</v>
      </c>
      <c r="BA129" s="691"/>
      <c r="BB129" s="691">
        <f t="shared" si="67"/>
        <v>11.215462281693195</v>
      </c>
    </row>
    <row r="130" spans="1:54" x14ac:dyDescent="0.35">
      <c r="A130" s="129" t="s">
        <v>416</v>
      </c>
      <c r="B130" s="129" t="str">
        <f>VLOOKUP(A130,'HCW, Staff, Beds Summary'!B:E,4,FALSE)</f>
        <v>Lower middle income</v>
      </c>
      <c r="C130" s="691">
        <v>11.049454707636</v>
      </c>
      <c r="D130" s="691">
        <v>25.1655114218674</v>
      </c>
      <c r="E130" s="691">
        <v>26.918971824229999</v>
      </c>
      <c r="F130" s="691">
        <v>30.006474206894001</v>
      </c>
      <c r="G130" s="691">
        <v>19.925337711032999</v>
      </c>
      <c r="H130" s="691">
        <v>19.1401209805794</v>
      </c>
      <c r="I130" s="691">
        <v>17.3941661321529</v>
      </c>
      <c r="J130" s="691">
        <v>16.5545058260962</v>
      </c>
      <c r="K130" s="691">
        <v>14.2461788337384</v>
      </c>
      <c r="L130" s="691">
        <v>10.599906606907901</v>
      </c>
      <c r="M130" s="691">
        <v>8.3557379952989894</v>
      </c>
      <c r="N130" s="691">
        <v>5.4987821318302901</v>
      </c>
      <c r="O130" s="691">
        <v>2.92264533024054</v>
      </c>
      <c r="P130" s="691">
        <v>1.6888384360751001</v>
      </c>
      <c r="Q130" s="691">
        <v>0.91100403362365101</v>
      </c>
      <c r="R130" s="691">
        <v>0.50192164876426204</v>
      </c>
      <c r="S130" s="691"/>
      <c r="T130" s="691">
        <v>8.4694682044399866E-2</v>
      </c>
      <c r="U130" s="691">
        <v>8.5493955089985252E-2</v>
      </c>
      <c r="V130" s="691">
        <v>9.141712632717007E-2</v>
      </c>
      <c r="W130" s="691">
        <v>9.1337416413285757E-2</v>
      </c>
      <c r="X130" s="691">
        <v>8.8771481821791814E-2</v>
      </c>
      <c r="Y130" s="691">
        <v>8.5070043275236887E-2</v>
      </c>
      <c r="Z130" s="691">
        <v>8.1286720908055332E-2</v>
      </c>
      <c r="AA130" s="691">
        <v>7.4970797186095117E-2</v>
      </c>
      <c r="AB130" s="691">
        <v>6.537662209674755E-2</v>
      </c>
      <c r="AC130" s="691">
        <v>5.7565775171666167E-2</v>
      </c>
      <c r="AD130" s="691">
        <v>4.9910000260868809E-2</v>
      </c>
      <c r="AE130" s="691">
        <v>4.293900597389573E-2</v>
      </c>
      <c r="AF130" s="691">
        <v>3.5428158179251656E-2</v>
      </c>
      <c r="AG130" s="691">
        <v>2.7724557320123709E-2</v>
      </c>
      <c r="AH130" s="691">
        <v>1.7457920411824892E-2</v>
      </c>
      <c r="AI130" s="691">
        <v>1.0930403100280869E-2</v>
      </c>
      <c r="AJ130" s="691"/>
      <c r="AK130" s="691">
        <f t="shared" si="51"/>
        <v>8.1538876179406223</v>
      </c>
      <c r="AL130" s="691">
        <f t="shared" si="52"/>
        <v>18.397142373530865</v>
      </c>
      <c r="AM130" s="691">
        <f t="shared" si="53"/>
        <v>18.40394471592943</v>
      </c>
      <c r="AN130" s="691">
        <f t="shared" si="54"/>
        <v>20.532709502587622</v>
      </c>
      <c r="AO130" s="691">
        <f t="shared" si="55"/>
        <v>14.02853237754397</v>
      </c>
      <c r="AP130" s="691">
        <f t="shared" si="56"/>
        <v>14.062030712924678</v>
      </c>
      <c r="AQ130" s="691">
        <f t="shared" si="57"/>
        <v>13.374083381826066</v>
      </c>
      <c r="AR130" s="691">
        <f t="shared" si="58"/>
        <v>13.80079514911322</v>
      </c>
      <c r="AS130" s="691">
        <f t="shared" si="59"/>
        <v>13.619335911711875</v>
      </c>
      <c r="AT130" s="691">
        <f t="shared" si="60"/>
        <v>11.508472889596785</v>
      </c>
      <c r="AU130" s="691">
        <f t="shared" si="61"/>
        <v>10.463506751684719</v>
      </c>
      <c r="AV130" s="691">
        <f t="shared" si="62"/>
        <v>8.0037689612173519</v>
      </c>
      <c r="AW130" s="691">
        <f t="shared" si="63"/>
        <v>5.1559364789957067</v>
      </c>
      <c r="AX130" s="691">
        <f t="shared" si="64"/>
        <v>3.8071807977283432</v>
      </c>
      <c r="AY130" s="691">
        <f t="shared" si="65"/>
        <v>3.2614280944316913</v>
      </c>
      <c r="AZ130" s="691">
        <f t="shared" si="66"/>
        <v>2.8699859245776844</v>
      </c>
      <c r="BA130" s="691"/>
      <c r="BB130" s="691">
        <f t="shared" si="67"/>
        <v>11.215171352583791</v>
      </c>
    </row>
    <row r="131" spans="1:54" x14ac:dyDescent="0.35">
      <c r="A131" s="129" t="s">
        <v>499</v>
      </c>
      <c r="B131" s="129" t="str">
        <f>VLOOKUP(A131,'HCW, Staff, Beds Summary'!B:E,4,FALSE)</f>
        <v>High income</v>
      </c>
      <c r="C131" s="691">
        <v>12.780263492405901</v>
      </c>
      <c r="D131" s="691">
        <v>21.564549303155399</v>
      </c>
      <c r="E131" s="691">
        <v>25.212510670309801</v>
      </c>
      <c r="F131" s="691">
        <v>25.660829658102301</v>
      </c>
      <c r="G131" s="691">
        <v>17.319850622979999</v>
      </c>
      <c r="H131" s="691">
        <v>17.9281752963863</v>
      </c>
      <c r="I131" s="691">
        <v>17.600167853334799</v>
      </c>
      <c r="J131" s="691">
        <v>17.892905527784102</v>
      </c>
      <c r="K131" s="691">
        <v>16.063548853651302</v>
      </c>
      <c r="L131" s="691">
        <v>11.981403376652001</v>
      </c>
      <c r="M131" s="691">
        <v>8.7411283084827005</v>
      </c>
      <c r="N131" s="691">
        <v>4.78111103041112</v>
      </c>
      <c r="O131" s="691">
        <v>2.8189600958422201</v>
      </c>
      <c r="P131" s="691">
        <v>1.91755769441465</v>
      </c>
      <c r="Q131" s="691">
        <v>1.0629569552182501</v>
      </c>
      <c r="R131" s="691">
        <v>0.66364595591353803</v>
      </c>
      <c r="S131" s="691"/>
      <c r="T131" s="691">
        <v>9.0150637311703363E-2</v>
      </c>
      <c r="U131" s="691">
        <v>8.8991888760139054E-2</v>
      </c>
      <c r="V131" s="691">
        <v>8.574739281575898E-2</v>
      </c>
      <c r="W131" s="691">
        <v>8.2734646581691773E-2</v>
      </c>
      <c r="X131" s="691">
        <v>8.0880648899188876E-2</v>
      </c>
      <c r="Y131" s="691">
        <v>7.6245654692931639E-2</v>
      </c>
      <c r="Z131" s="691">
        <v>7.3464658169177285E-2</v>
      </c>
      <c r="AA131" s="691">
        <v>6.9988412514484358E-2</v>
      </c>
      <c r="AB131" s="691">
        <v>6.6743916570104284E-2</v>
      </c>
      <c r="AC131" s="691">
        <v>6.2108922363847047E-2</v>
      </c>
      <c r="AD131" s="691">
        <v>5.4461181923522596E-2</v>
      </c>
      <c r="AE131" s="691">
        <v>4.6118192352259557E-2</v>
      </c>
      <c r="AF131" s="691">
        <v>3.7079953650057937E-2</v>
      </c>
      <c r="AG131" s="691">
        <v>2.8505214368482041E-2</v>
      </c>
      <c r="AH131" s="691">
        <v>2.1089223638470451E-2</v>
      </c>
      <c r="AI131" s="691">
        <v>1.5527230590961762E-2</v>
      </c>
      <c r="AJ131" s="691"/>
      <c r="AK131" s="691">
        <f t="shared" si="51"/>
        <v>8.8603529835686796</v>
      </c>
      <c r="AL131" s="691">
        <f t="shared" si="52"/>
        <v>15.145024453632088</v>
      </c>
      <c r="AM131" s="691">
        <f t="shared" si="53"/>
        <v>18.377024247024796</v>
      </c>
      <c r="AN131" s="691">
        <f t="shared" si="54"/>
        <v>19.384887950754802</v>
      </c>
      <c r="AO131" s="691">
        <f t="shared" si="55"/>
        <v>13.383802907979709</v>
      </c>
      <c r="AP131" s="691">
        <f t="shared" si="56"/>
        <v>14.696063146638846</v>
      </c>
      <c r="AQ131" s="691">
        <f t="shared" si="57"/>
        <v>14.973328920966022</v>
      </c>
      <c r="AR131" s="691">
        <f t="shared" si="58"/>
        <v>15.978453508358527</v>
      </c>
      <c r="AS131" s="691">
        <f t="shared" si="59"/>
        <v>15.042146984267658</v>
      </c>
      <c r="AT131" s="691">
        <f t="shared" si="60"/>
        <v>12.056845981868792</v>
      </c>
      <c r="AU131" s="691">
        <f t="shared" si="61"/>
        <v>10.031374641250759</v>
      </c>
      <c r="AV131" s="691">
        <f t="shared" si="62"/>
        <v>6.4794265377587887</v>
      </c>
      <c r="AW131" s="691">
        <f t="shared" si="63"/>
        <v>4.7514893802965545</v>
      </c>
      <c r="AX131" s="691">
        <f t="shared" si="64"/>
        <v>4.2044011440036657</v>
      </c>
      <c r="AY131" s="691">
        <f t="shared" si="65"/>
        <v>3.1501780644002397</v>
      </c>
      <c r="AZ131" s="691">
        <f t="shared" si="66"/>
        <v>2.6712987870960041</v>
      </c>
      <c r="BA131" s="691"/>
      <c r="BB131" s="691">
        <f t="shared" si="67"/>
        <v>11.199131227491621</v>
      </c>
    </row>
    <row r="132" spans="1:54" x14ac:dyDescent="0.35">
      <c r="A132" s="129" t="s">
        <v>224</v>
      </c>
      <c r="B132" s="129" t="str">
        <f>VLOOKUP(A132,'HCW, Staff, Beds Summary'!B:E,4,FALSE)</f>
        <v>Upper middle income</v>
      </c>
      <c r="C132" s="691">
        <v>11.822305690970101</v>
      </c>
      <c r="D132" s="691">
        <v>17.802709762070801</v>
      </c>
      <c r="E132" s="691">
        <v>27.486043958597602</v>
      </c>
      <c r="F132" s="691">
        <v>35.850618862340802</v>
      </c>
      <c r="G132" s="691">
        <v>17.599112805816699</v>
      </c>
      <c r="H132" s="691">
        <v>15.846141759736801</v>
      </c>
      <c r="I132" s="691">
        <v>15.656314912104699</v>
      </c>
      <c r="J132" s="691">
        <v>15.7420978832016</v>
      </c>
      <c r="K132" s="691">
        <v>14.2354745379662</v>
      </c>
      <c r="L132" s="691">
        <v>11.224132644535899</v>
      </c>
      <c r="M132" s="691">
        <v>8.4187025857464803</v>
      </c>
      <c r="N132" s="691">
        <v>5.11965571163267</v>
      </c>
      <c r="O132" s="691">
        <v>3.1306129981644601</v>
      </c>
      <c r="P132" s="691">
        <v>1.8304462379386599</v>
      </c>
      <c r="Q132" s="691">
        <v>1.0048999509505301</v>
      </c>
      <c r="R132" s="691">
        <v>0.56723639931984204</v>
      </c>
      <c r="S132" s="691"/>
      <c r="T132" s="691">
        <v>9.4027954256670904E-2</v>
      </c>
      <c r="U132" s="691">
        <v>9.4027954256670904E-2</v>
      </c>
      <c r="V132" s="691">
        <v>9.0216010165184241E-2</v>
      </c>
      <c r="W132" s="691">
        <v>9.5298602287166453E-2</v>
      </c>
      <c r="X132" s="691">
        <v>9.7839898348157567E-2</v>
      </c>
      <c r="Y132" s="691">
        <v>8.6404066073697591E-2</v>
      </c>
      <c r="Z132" s="691">
        <v>5.5908513341804321E-2</v>
      </c>
      <c r="AA132" s="691">
        <v>6.2261753494282084E-2</v>
      </c>
      <c r="AB132" s="691">
        <v>5.8449809402795427E-2</v>
      </c>
      <c r="AC132" s="691">
        <v>5.7179161372299871E-2</v>
      </c>
      <c r="AD132" s="691">
        <v>5.4637865311308764E-2</v>
      </c>
      <c r="AE132" s="691">
        <v>4.7013977128335452E-2</v>
      </c>
      <c r="AF132" s="691">
        <v>3.8119440914866583E-2</v>
      </c>
      <c r="AG132" s="691">
        <v>2.7318932655654382E-2</v>
      </c>
      <c r="AH132" s="691">
        <v>1.9059720457433291E-2</v>
      </c>
      <c r="AI132" s="691">
        <v>1.0038119440914867E-2</v>
      </c>
      <c r="AJ132" s="691"/>
      <c r="AK132" s="691">
        <f t="shared" ref="AK132:AK152" si="68">C132/T132/16</f>
        <v>7.8582386645215108</v>
      </c>
      <c r="AL132" s="691">
        <f t="shared" ref="AL132:AL152" si="69">D132/U132/16</f>
        <v>11.833389005700777</v>
      </c>
      <c r="AM132" s="691">
        <f t="shared" ref="AM132:AM152" si="70">E132/V132/16</f>
        <v>19.041827988922812</v>
      </c>
      <c r="AN132" s="691">
        <f t="shared" ref="AN132:AN152" si="71">F132/W132/16</f>
        <v>23.512030870551843</v>
      </c>
      <c r="AO132" s="691">
        <f t="shared" ref="AO132:AO152" si="72">G132/X132/16</f>
        <v>11.242290404365049</v>
      </c>
      <c r="AP132" s="691">
        <f t="shared" ref="AP132:AP152" si="73">H132/Y132/16</f>
        <v>11.462236732456674</v>
      </c>
      <c r="AQ132" s="691">
        <f t="shared" ref="AQ132:AQ152" si="74">I132/Z132/16</f>
        <v>17.502158857707951</v>
      </c>
      <c r="AR132" s="691">
        <f t="shared" ref="AR132:AR152" si="75">J132/AA132/16</f>
        <v>15.802335502652626</v>
      </c>
      <c r="AS132" s="691">
        <f t="shared" ref="AS132:AS152" si="76">K132/AB132/16</f>
        <v>15.221900083395923</v>
      </c>
      <c r="AT132" s="691">
        <f t="shared" ref="AT132:AT152" si="77">L132/AC132/16</f>
        <v>12.268600543402435</v>
      </c>
      <c r="AU132" s="691">
        <f t="shared" ref="AU132:AU152" si="78">M132/AD132/16</f>
        <v>9.6301147310791873</v>
      </c>
      <c r="AV132" s="691">
        <f t="shared" ref="AV132:AV152" si="79">N132/AE132/16</f>
        <v>6.8060287923224854</v>
      </c>
      <c r="AW132" s="691">
        <f t="shared" ref="AW132:AW152" si="80">O132/AF132/16</f>
        <v>5.132900894907146</v>
      </c>
      <c r="AX132" s="691">
        <f t="shared" ref="AX132:AX152" si="81">P132/AG132/16</f>
        <v>4.1876778757492019</v>
      </c>
      <c r="AY132" s="691">
        <f t="shared" ref="AY132:AY152" si="82">Q132/AH132/16</f>
        <v>3.2952344224919465</v>
      </c>
      <c r="AZ132" s="691">
        <f t="shared" ref="AZ132:AZ152" si="83">R132/AI132/16</f>
        <v>3.5317646065246491</v>
      </c>
      <c r="BA132" s="691"/>
      <c r="BB132" s="691">
        <f t="shared" ref="BB132:BB152" si="84">IFERROR(AVERAGE(AK132:AZ132),"")</f>
        <v>11.145545623547013</v>
      </c>
    </row>
    <row r="133" spans="1:54" x14ac:dyDescent="0.35">
      <c r="A133" s="129" t="s">
        <v>476</v>
      </c>
      <c r="B133" s="129" t="str">
        <f>VLOOKUP(A133,'HCW, Staff, Beds Summary'!B:E,4,FALSE)</f>
        <v>Lower middle income</v>
      </c>
      <c r="C133" s="691">
        <v>10.591738089428301</v>
      </c>
      <c r="D133" s="691">
        <v>22.7101984610856</v>
      </c>
      <c r="E133" s="691">
        <v>26.9395182061801</v>
      </c>
      <c r="F133" s="691">
        <v>29.151613348977602</v>
      </c>
      <c r="G133" s="691">
        <v>18.175484664710002</v>
      </c>
      <c r="H133" s="691">
        <v>17.604119351557401</v>
      </c>
      <c r="I133" s="691">
        <v>16.4344587364779</v>
      </c>
      <c r="J133" s="691">
        <v>15.429115340008099</v>
      </c>
      <c r="K133" s="691">
        <v>13.392858732474799</v>
      </c>
      <c r="L133" s="691">
        <v>10.6017195592493</v>
      </c>
      <c r="M133" s="691">
        <v>8.3085439003510295</v>
      </c>
      <c r="N133" s="691">
        <v>4.8895457141783796</v>
      </c>
      <c r="O133" s="691">
        <v>2.8294275015915402</v>
      </c>
      <c r="P133" s="691">
        <v>1.80641528254487</v>
      </c>
      <c r="Q133" s="691">
        <v>1.21027347864951</v>
      </c>
      <c r="R133" s="691">
        <v>0.997759315768041</v>
      </c>
      <c r="S133" s="691"/>
      <c r="T133" s="691">
        <v>9.008154750616347E-2</v>
      </c>
      <c r="U133" s="691">
        <v>9.2872043564249135E-2</v>
      </c>
      <c r="V133" s="691">
        <v>8.4744385142640405E-2</v>
      </c>
      <c r="W133" s="691">
        <v>8.0463818373926466E-2</v>
      </c>
      <c r="X133" s="691">
        <v>7.7890059873750375E-2</v>
      </c>
      <c r="Y133" s="691">
        <v>8.1520413968735606E-2</v>
      </c>
      <c r="Z133" s="691">
        <v>7.7537861342147324E-2</v>
      </c>
      <c r="AA133" s="691">
        <v>7.4340982362981228E-2</v>
      </c>
      <c r="AB133" s="691">
        <v>6.3964671778060742E-2</v>
      </c>
      <c r="AC133" s="691">
        <v>5.6676871393351577E-2</v>
      </c>
      <c r="AD133" s="691">
        <v>5.2152474871989381E-2</v>
      </c>
      <c r="AE133" s="691">
        <v>4.9280702229687626E-2</v>
      </c>
      <c r="AF133" s="691">
        <v>4.2453469155536293E-2</v>
      </c>
      <c r="AG133" s="691">
        <v>3.1643683454796671E-2</v>
      </c>
      <c r="AH133" s="691">
        <v>1.8476876811790523E-2</v>
      </c>
      <c r="AI133" s="691">
        <v>1.3952480290428327E-2</v>
      </c>
      <c r="AJ133" s="691"/>
      <c r="AK133" s="691">
        <f t="shared" si="68"/>
        <v>7.3487151244151887</v>
      </c>
      <c r="AL133" s="691">
        <f t="shared" si="69"/>
        <v>15.283258011178724</v>
      </c>
      <c r="AM133" s="691">
        <f t="shared" si="70"/>
        <v>19.868217641230693</v>
      </c>
      <c r="AN133" s="691">
        <f t="shared" si="71"/>
        <v>22.643417515238053</v>
      </c>
      <c r="AO133" s="691">
        <f t="shared" si="72"/>
        <v>14.58424596650241</v>
      </c>
      <c r="AP133" s="691">
        <f t="shared" si="73"/>
        <v>13.496710896172633</v>
      </c>
      <c r="AQ133" s="691">
        <f t="shared" si="74"/>
        <v>13.247124092027773</v>
      </c>
      <c r="AR133" s="691">
        <f t="shared" si="75"/>
        <v>12.971576082248518</v>
      </c>
      <c r="AS133" s="691">
        <f t="shared" si="76"/>
        <v>13.086187226661831</v>
      </c>
      <c r="AT133" s="691">
        <f t="shared" si="77"/>
        <v>11.69096769393675</v>
      </c>
      <c r="AU133" s="691">
        <f t="shared" si="78"/>
        <v>9.9570345423979489</v>
      </c>
      <c r="AV133" s="691">
        <f t="shared" si="79"/>
        <v>6.2011414876318778</v>
      </c>
      <c r="AW133" s="691">
        <f t="shared" si="80"/>
        <v>4.1654833484064033</v>
      </c>
      <c r="AX133" s="691">
        <f t="shared" si="81"/>
        <v>3.5678828389348087</v>
      </c>
      <c r="AY133" s="691">
        <f t="shared" si="82"/>
        <v>4.0938786996363694</v>
      </c>
      <c r="AZ133" s="691">
        <f t="shared" si="83"/>
        <v>4.4694531679992915</v>
      </c>
      <c r="BA133" s="691"/>
      <c r="BB133" s="691">
        <f t="shared" si="84"/>
        <v>11.042205895913705</v>
      </c>
    </row>
    <row r="134" spans="1:54" x14ac:dyDescent="0.35">
      <c r="A134" s="129" t="s">
        <v>561</v>
      </c>
      <c r="B134" s="129" t="str">
        <f>VLOOKUP(A134,'HCW, Staff, Beds Summary'!B:E,4,FALSE)</f>
        <v>Lower middle income</v>
      </c>
      <c r="C134" s="691">
        <v>11.8362262187903</v>
      </c>
      <c r="D134" s="691">
        <v>23.2959366951407</v>
      </c>
      <c r="E134" s="691">
        <v>36.879136680644301</v>
      </c>
      <c r="F134" s="691">
        <v>41.055602806729098</v>
      </c>
      <c r="G134" s="691">
        <v>16.717603417959701</v>
      </c>
      <c r="H134" s="691">
        <v>14.119055094560499</v>
      </c>
      <c r="I134" s="691">
        <v>13.0236664949527</v>
      </c>
      <c r="J134" s="691">
        <v>12.7543273101507</v>
      </c>
      <c r="K134" s="691">
        <v>11.2552607424704</v>
      </c>
      <c r="L134" s="691">
        <v>8.02350212128297</v>
      </c>
      <c r="M134" s="691">
        <v>5.6667648860652902</v>
      </c>
      <c r="N134" s="691">
        <v>3.2326230783748202</v>
      </c>
      <c r="O134" s="691">
        <v>2.34239019625748</v>
      </c>
      <c r="P134" s="691">
        <v>1.4486412339758199</v>
      </c>
      <c r="Q134" s="691">
        <v>0.915933276854206</v>
      </c>
      <c r="R134" s="691">
        <v>0.66618345511802202</v>
      </c>
      <c r="S134" s="691"/>
      <c r="T134" s="691">
        <v>0.10255118670182821</v>
      </c>
      <c r="U134" s="691">
        <v>9.8076980058668412E-2</v>
      </c>
      <c r="V134" s="691">
        <v>8.7409997333254316E-2</v>
      </c>
      <c r="W134" s="691">
        <v>7.5765207858010608E-2</v>
      </c>
      <c r="X134" s="691">
        <v>8.3143204243088686E-2</v>
      </c>
      <c r="Y134" s="691">
        <v>9.4580580165338227E-2</v>
      </c>
      <c r="Z134" s="691">
        <v>9.0521200628166765E-2</v>
      </c>
      <c r="AA134" s="691">
        <v>7.6091143441287146E-2</v>
      </c>
      <c r="AB134" s="691">
        <v>6.290556757237252E-2</v>
      </c>
      <c r="AC134" s="691">
        <v>5.4520133929894223E-2</v>
      </c>
      <c r="AD134" s="691">
        <v>4.6875462976680791E-2</v>
      </c>
      <c r="AE134" s="691">
        <v>4.4801327446739161E-2</v>
      </c>
      <c r="AF134" s="691">
        <v>3.4934368425731131E-2</v>
      </c>
      <c r="AG134" s="691">
        <v>2.3052534889922663E-2</v>
      </c>
      <c r="AH134" s="691">
        <v>1.0281786126996355E-2</v>
      </c>
      <c r="AI134" s="691">
        <v>6.8150167412367778E-3</v>
      </c>
      <c r="AJ134" s="691"/>
      <c r="AK134" s="691">
        <f t="shared" si="68"/>
        <v>7.2136087593533986</v>
      </c>
      <c r="AL134" s="691">
        <f t="shared" si="69"/>
        <v>14.845441229688509</v>
      </c>
      <c r="AM134" s="691">
        <f t="shared" si="70"/>
        <v>26.369364064302214</v>
      </c>
      <c r="AN134" s="691">
        <f t="shared" si="71"/>
        <v>33.867460381411327</v>
      </c>
      <c r="AO134" s="691">
        <f t="shared" si="72"/>
        <v>12.566874504470819</v>
      </c>
      <c r="AP134" s="691">
        <f t="shared" si="73"/>
        <v>9.3300436714113868</v>
      </c>
      <c r="AQ134" s="691">
        <f t="shared" si="74"/>
        <v>8.9921383088821329</v>
      </c>
      <c r="AR134" s="691">
        <f t="shared" si="75"/>
        <v>10.476192377099785</v>
      </c>
      <c r="AS134" s="691">
        <f t="shared" si="76"/>
        <v>11.182695324942108</v>
      </c>
      <c r="AT134" s="691">
        <f t="shared" si="77"/>
        <v>9.1978659338036319</v>
      </c>
      <c r="AU134" s="691">
        <f t="shared" si="78"/>
        <v>7.5556118892152924</v>
      </c>
      <c r="AV134" s="691">
        <f t="shared" si="79"/>
        <v>4.5096641977542911</v>
      </c>
      <c r="AW134" s="691">
        <f t="shared" si="80"/>
        <v>4.1906979820554335</v>
      </c>
      <c r="AX134" s="691">
        <f t="shared" si="81"/>
        <v>3.9275540653478429</v>
      </c>
      <c r="AY134" s="691">
        <f t="shared" si="82"/>
        <v>5.5676931124914626</v>
      </c>
      <c r="AZ134" s="691">
        <f t="shared" si="83"/>
        <v>6.1095177790157944</v>
      </c>
      <c r="BA134" s="691"/>
      <c r="BB134" s="691">
        <f t="shared" si="84"/>
        <v>10.99390147382784</v>
      </c>
    </row>
    <row r="135" spans="1:54" x14ac:dyDescent="0.35">
      <c r="A135" s="129" t="s">
        <v>549</v>
      </c>
      <c r="B135" s="129" t="str">
        <f>VLOOKUP(A135,'HCW, Staff, Beds Summary'!B:E,4,FALSE)</f>
        <v>Lower middle income</v>
      </c>
      <c r="C135" s="691">
        <v>9.7316951399390597</v>
      </c>
      <c r="D135" s="691">
        <v>20.859173712706401</v>
      </c>
      <c r="E135" s="691">
        <v>25.409408545281799</v>
      </c>
      <c r="F135" s="691">
        <v>30.5009965270891</v>
      </c>
      <c r="G135" s="691">
        <v>19.088596927724399</v>
      </c>
      <c r="H135" s="691">
        <v>17.8033565553012</v>
      </c>
      <c r="I135" s="691">
        <v>15.729405879919399</v>
      </c>
      <c r="J135" s="691">
        <v>14.6642867392179</v>
      </c>
      <c r="K135" s="691">
        <v>13.166523005976</v>
      </c>
      <c r="L135" s="691">
        <v>9.9796651472667897</v>
      </c>
      <c r="M135" s="691">
        <v>7.1906137056292003</v>
      </c>
      <c r="N135" s="691">
        <v>4.1015539596089399</v>
      </c>
      <c r="O135" s="691">
        <v>2.4597222458825398</v>
      </c>
      <c r="P135" s="691">
        <v>1.8831061844236801</v>
      </c>
      <c r="Q135" s="691">
        <v>1.24683055971282</v>
      </c>
      <c r="R135" s="691">
        <v>0.75544336024494696</v>
      </c>
      <c r="S135" s="691"/>
      <c r="T135" s="691">
        <v>8.4947965140874868E-2</v>
      </c>
      <c r="U135" s="691">
        <v>8.57940604112023E-2</v>
      </c>
      <c r="V135" s="691">
        <v>7.2171926558930538E-2</v>
      </c>
      <c r="W135" s="691">
        <v>6.6587697774769444E-2</v>
      </c>
      <c r="X135" s="691">
        <v>6.9464421693882727E-2</v>
      </c>
      <c r="Y135" s="691">
        <v>7.6487012437600477E-2</v>
      </c>
      <c r="Z135" s="691">
        <v>7.8517641086386328E-2</v>
      </c>
      <c r="AA135" s="691">
        <v>8.3424993654285476E-2</v>
      </c>
      <c r="AB135" s="691">
        <v>7.1664269396734079E-2</v>
      </c>
      <c r="AC135" s="691">
        <v>6.1341907098739316E-2</v>
      </c>
      <c r="AD135" s="691">
        <v>6.0241983247313648E-2</v>
      </c>
      <c r="AE135" s="691">
        <v>5.4996192571283527E-2</v>
      </c>
      <c r="AF135" s="691">
        <v>4.5604535070648954E-2</v>
      </c>
      <c r="AG135" s="691">
        <v>3.5874439461883408E-2</v>
      </c>
      <c r="AH135" s="691">
        <v>2.115238175818597E-2</v>
      </c>
      <c r="AI135" s="691">
        <v>1.4722057703697436E-2</v>
      </c>
      <c r="AJ135" s="691"/>
      <c r="AK135" s="691">
        <f t="shared" si="68"/>
        <v>7.1600413881312086</v>
      </c>
      <c r="AL135" s="691">
        <f t="shared" si="69"/>
        <v>15.195671481168452</v>
      </c>
      <c r="AM135" s="691">
        <f t="shared" si="70"/>
        <v>22.004235023203808</v>
      </c>
      <c r="AN135" s="691">
        <f t="shared" si="71"/>
        <v>28.628595771415664</v>
      </c>
      <c r="AO135" s="691">
        <f t="shared" si="72"/>
        <v>17.174796520156416</v>
      </c>
      <c r="AP135" s="691">
        <f t="shared" si="73"/>
        <v>14.547695736110679</v>
      </c>
      <c r="AQ135" s="691">
        <f t="shared" si="74"/>
        <v>12.520598605520432</v>
      </c>
      <c r="AR135" s="691">
        <f t="shared" si="75"/>
        <v>10.986131146730246</v>
      </c>
      <c r="AS135" s="691">
        <f t="shared" si="76"/>
        <v>11.482816957469771</v>
      </c>
      <c r="AT135" s="691">
        <f t="shared" si="77"/>
        <v>10.1680743427195</v>
      </c>
      <c r="AU135" s="691">
        <f t="shared" si="78"/>
        <v>7.4601354798833848</v>
      </c>
      <c r="AV135" s="691">
        <f t="shared" si="79"/>
        <v>4.6611794469825059</v>
      </c>
      <c r="AW135" s="691">
        <f t="shared" si="80"/>
        <v>3.3709945760767321</v>
      </c>
      <c r="AX135" s="691">
        <f t="shared" si="81"/>
        <v>3.2807240556756301</v>
      </c>
      <c r="AY135" s="691">
        <f t="shared" si="82"/>
        <v>3.6840725963114549</v>
      </c>
      <c r="AZ135" s="691">
        <f t="shared" si="83"/>
        <v>3.2071067078789612</v>
      </c>
      <c r="BA135" s="691"/>
      <c r="BB135" s="691">
        <f t="shared" si="84"/>
        <v>10.970804364714677</v>
      </c>
    </row>
    <row r="136" spans="1:54" x14ac:dyDescent="0.35">
      <c r="A136" s="129" t="s">
        <v>248</v>
      </c>
      <c r="B136" s="129" t="str">
        <f>VLOOKUP(A136,'HCW, Staff, Beds Summary'!B:E,4,FALSE)</f>
        <v>Upper middle income</v>
      </c>
      <c r="C136" s="691">
        <v>11.376216982836899</v>
      </c>
      <c r="D136" s="691">
        <v>23.195216844897502</v>
      </c>
      <c r="E136" s="691">
        <v>29.715346124113299</v>
      </c>
      <c r="F136" s="691">
        <v>29.605003283684699</v>
      </c>
      <c r="G136" s="691">
        <v>18.6940556707798</v>
      </c>
      <c r="H136" s="691">
        <v>17.897081266286101</v>
      </c>
      <c r="I136" s="691">
        <v>16.423587558806201</v>
      </c>
      <c r="J136" s="691">
        <v>15.6410307622203</v>
      </c>
      <c r="K136" s="691">
        <v>14.136971089299699</v>
      </c>
      <c r="L136" s="691">
        <v>10.715435848801199</v>
      </c>
      <c r="M136" s="691">
        <v>7.7120707356193403</v>
      </c>
      <c r="N136" s="691">
        <v>4.6978554510418098</v>
      </c>
      <c r="O136" s="691">
        <v>2.9257295466209201</v>
      </c>
      <c r="P136" s="691">
        <v>1.62814145538944</v>
      </c>
      <c r="Q136" s="691">
        <v>0.819844727702983</v>
      </c>
      <c r="R136" s="691">
        <v>0.45255097720515902</v>
      </c>
      <c r="S136" s="691"/>
      <c r="T136" s="691">
        <v>9.9330357142857137E-2</v>
      </c>
      <c r="U136" s="691">
        <v>9.8214285714285712E-2</v>
      </c>
      <c r="V136" s="691">
        <v>9.2633928571428575E-2</v>
      </c>
      <c r="W136" s="691">
        <v>8.4821428571428575E-2</v>
      </c>
      <c r="X136" s="691">
        <v>8.0357142857142863E-2</v>
      </c>
      <c r="Y136" s="691">
        <v>7.8125E-2</v>
      </c>
      <c r="Z136" s="691">
        <v>7.4776785714285712E-2</v>
      </c>
      <c r="AA136" s="691">
        <v>7.5892857142857137E-2</v>
      </c>
      <c r="AB136" s="691">
        <v>6.3616071428571425E-2</v>
      </c>
      <c r="AC136" s="691">
        <v>5.46875E-2</v>
      </c>
      <c r="AD136" s="691">
        <v>5.2455357142857144E-2</v>
      </c>
      <c r="AE136" s="691">
        <v>4.9107142857142856E-2</v>
      </c>
      <c r="AF136" s="691">
        <v>3.90625E-2</v>
      </c>
      <c r="AG136" s="691">
        <v>2.5669642857142856E-2</v>
      </c>
      <c r="AH136" s="691">
        <v>1.7187500000000001E-2</v>
      </c>
      <c r="AI136" s="691">
        <v>9.2633928571428572E-3</v>
      </c>
      <c r="AJ136" s="691"/>
      <c r="AK136" s="691">
        <f t="shared" si="68"/>
        <v>7.1580691127962517</v>
      </c>
      <c r="AL136" s="691">
        <f t="shared" si="69"/>
        <v>14.760592537662047</v>
      </c>
      <c r="AM136" s="691">
        <f t="shared" si="70"/>
        <v>20.048908228317405</v>
      </c>
      <c r="AN136" s="691">
        <f t="shared" si="71"/>
        <v>21.814212945872935</v>
      </c>
      <c r="AO136" s="691">
        <f t="shared" si="72"/>
        <v>14.539821077273176</v>
      </c>
      <c r="AP136" s="691">
        <f t="shared" si="73"/>
        <v>14.317665013028881</v>
      </c>
      <c r="AQ136" s="691">
        <f t="shared" si="74"/>
        <v>13.72717766109175</v>
      </c>
      <c r="AR136" s="691">
        <f t="shared" si="75"/>
        <v>12.880848863004953</v>
      </c>
      <c r="AS136" s="691">
        <f t="shared" si="76"/>
        <v>13.888954052645319</v>
      </c>
      <c r="AT136" s="691">
        <f t="shared" si="77"/>
        <v>12.246212398629941</v>
      </c>
      <c r="AU136" s="691">
        <f t="shared" si="78"/>
        <v>9.1888502381847452</v>
      </c>
      <c r="AV136" s="691">
        <f t="shared" si="79"/>
        <v>5.9790887558713948</v>
      </c>
      <c r="AW136" s="691">
        <f t="shared" si="80"/>
        <v>4.6811672745934718</v>
      </c>
      <c r="AX136" s="691">
        <f t="shared" si="81"/>
        <v>3.9641705000786365</v>
      </c>
      <c r="AY136" s="691">
        <f t="shared" si="82"/>
        <v>2.9812535552835744</v>
      </c>
      <c r="AZ136" s="691">
        <f t="shared" si="83"/>
        <v>3.053355990781796</v>
      </c>
      <c r="BA136" s="691"/>
      <c r="BB136" s="691">
        <f t="shared" si="84"/>
        <v>10.95189676281977</v>
      </c>
    </row>
    <row r="137" spans="1:54" x14ac:dyDescent="0.35">
      <c r="A137" s="129" t="s">
        <v>550</v>
      </c>
      <c r="B137" s="129" t="str">
        <f>VLOOKUP(A137,'HCW, Staff, Beds Summary'!B:E,4,FALSE)</f>
        <v>Upper middle income</v>
      </c>
      <c r="C137" s="691">
        <v>10.7169572421864</v>
      </c>
      <c r="D137" s="691">
        <v>20.448383564026798</v>
      </c>
      <c r="E137" s="691">
        <v>26.776062944481399</v>
      </c>
      <c r="F137" s="691">
        <v>27.335814098643599</v>
      </c>
      <c r="G137" s="691">
        <v>16.0104252946911</v>
      </c>
      <c r="H137" s="691">
        <v>16.880079472463201</v>
      </c>
      <c r="I137" s="691">
        <v>17.2879237437926</v>
      </c>
      <c r="J137" s="691">
        <v>16.312249560284101</v>
      </c>
      <c r="K137" s="691">
        <v>14.0490660668384</v>
      </c>
      <c r="L137" s="691">
        <v>10.1713327200113</v>
      </c>
      <c r="M137" s="691">
        <v>7.5770433741062204</v>
      </c>
      <c r="N137" s="691">
        <v>4.9753715797101004</v>
      </c>
      <c r="O137" s="691">
        <v>3.05538036555083</v>
      </c>
      <c r="P137" s="691">
        <v>2.1991149790368101</v>
      </c>
      <c r="Q137" s="691">
        <v>1.2967013272169601</v>
      </c>
      <c r="R137" s="691">
        <v>1.28883307379979</v>
      </c>
      <c r="S137" s="691"/>
      <c r="T137" s="691">
        <v>7.7864333226621132E-2</v>
      </c>
      <c r="U137" s="691">
        <v>8.1243552804752248E-2</v>
      </c>
      <c r="V137" s="691">
        <v>8.0306856851515909E-2</v>
      </c>
      <c r="W137" s="691">
        <v>8.0887845480738449E-2</v>
      </c>
      <c r="X137" s="691">
        <v>8.0271286119114521E-2</v>
      </c>
      <c r="Y137" s="691">
        <v>7.5931656766146147E-2</v>
      </c>
      <c r="Z137" s="691">
        <v>7.582494456894201E-2</v>
      </c>
      <c r="AA137" s="691">
        <v>7.5647090906935111E-2</v>
      </c>
      <c r="AB137" s="691">
        <v>7.1236320089163974E-2</v>
      </c>
      <c r="AC137" s="691">
        <v>6.4489737843702197E-2</v>
      </c>
      <c r="AD137" s="691">
        <v>5.6379610856187527E-2</v>
      </c>
      <c r="AE137" s="691">
        <v>4.9241750554310577E-2</v>
      </c>
      <c r="AF137" s="691">
        <v>4.0858914618385325E-2</v>
      </c>
      <c r="AG137" s="691">
        <v>3.2570933968863749E-2</v>
      </c>
      <c r="AH137" s="691">
        <v>2.3369971187706756E-2</v>
      </c>
      <c r="AI137" s="691">
        <v>1.6398107637036245E-2</v>
      </c>
      <c r="AJ137" s="691"/>
      <c r="AK137" s="691">
        <f t="shared" si="68"/>
        <v>8.6022675579484424</v>
      </c>
      <c r="AL137" s="691">
        <f t="shared" si="69"/>
        <v>15.730774056903607</v>
      </c>
      <c r="AM137" s="691">
        <f t="shared" si="70"/>
        <v>20.838867310226419</v>
      </c>
      <c r="AN137" s="691">
        <f t="shared" si="71"/>
        <v>21.121694749207549</v>
      </c>
      <c r="AO137" s="691">
        <f t="shared" si="72"/>
        <v>12.465872035902445</v>
      </c>
      <c r="AP137" s="691">
        <f t="shared" si="73"/>
        <v>13.894138649946068</v>
      </c>
      <c r="AQ137" s="691">
        <f t="shared" si="74"/>
        <v>14.249865135141947</v>
      </c>
      <c r="AR137" s="691">
        <f t="shared" si="75"/>
        <v>13.477261125242954</v>
      </c>
      <c r="AS137" s="691">
        <f t="shared" si="76"/>
        <v>12.326108761350321</v>
      </c>
      <c r="AT137" s="691">
        <f t="shared" si="77"/>
        <v>9.8575109196662201</v>
      </c>
      <c r="AU137" s="691">
        <f t="shared" si="78"/>
        <v>8.3995828224072628</v>
      </c>
      <c r="AV137" s="691">
        <f t="shared" si="79"/>
        <v>6.3149810929022721</v>
      </c>
      <c r="AW137" s="691">
        <f t="shared" si="80"/>
        <v>4.6736746345435192</v>
      </c>
      <c r="AX137" s="691">
        <f t="shared" si="81"/>
        <v>4.2198570762874397</v>
      </c>
      <c r="AY137" s="691">
        <f t="shared" si="82"/>
        <v>3.4678619113442157</v>
      </c>
      <c r="AZ137" s="691">
        <f t="shared" si="83"/>
        <v>4.9122782271872962</v>
      </c>
      <c r="BA137" s="691"/>
      <c r="BB137" s="691">
        <f t="shared" si="84"/>
        <v>10.909537254138002</v>
      </c>
    </row>
    <row r="138" spans="1:54" x14ac:dyDescent="0.35">
      <c r="A138" s="129" t="s">
        <v>339</v>
      </c>
      <c r="B138" s="129" t="str">
        <f>VLOOKUP(A138,'HCW, Staff, Beds Summary'!B:E,4,FALSE)</f>
        <v>High income</v>
      </c>
      <c r="C138" s="691">
        <v>11.0679106426015</v>
      </c>
      <c r="D138" s="691">
        <v>18.7558950960874</v>
      </c>
      <c r="E138" s="691">
        <v>24.634442923688201</v>
      </c>
      <c r="F138" s="691">
        <v>27.491401593795899</v>
      </c>
      <c r="G138" s="691">
        <v>20.249469030010101</v>
      </c>
      <c r="H138" s="691">
        <v>20.787878090054001</v>
      </c>
      <c r="I138" s="691">
        <v>19.834815198200801</v>
      </c>
      <c r="J138" s="691">
        <v>18.935155277560401</v>
      </c>
      <c r="K138" s="691">
        <v>16.278544770614999</v>
      </c>
      <c r="L138" s="691">
        <v>11.7396205889718</v>
      </c>
      <c r="M138" s="691">
        <v>7.0009976638560598</v>
      </c>
      <c r="N138" s="691">
        <v>4.1740202409226796</v>
      </c>
      <c r="O138" s="691">
        <v>2.0731436942799299</v>
      </c>
      <c r="P138" s="691">
        <v>1.1471154258399101</v>
      </c>
      <c r="Q138" s="691">
        <v>0.64282750144401501</v>
      </c>
      <c r="R138" s="691">
        <v>0.420873403821381</v>
      </c>
      <c r="S138" s="691"/>
      <c r="T138" s="691">
        <v>7.0938215102974822E-2</v>
      </c>
      <c r="U138" s="691">
        <v>8.0091533180778038E-2</v>
      </c>
      <c r="V138" s="691">
        <v>7.0938215102974822E-2</v>
      </c>
      <c r="W138" s="691">
        <v>7.5514874141876437E-2</v>
      </c>
      <c r="X138" s="691">
        <v>8.2379862700228831E-2</v>
      </c>
      <c r="Y138" s="691">
        <v>7.780320366132723E-2</v>
      </c>
      <c r="Z138" s="691">
        <v>8.6956521739130432E-2</v>
      </c>
      <c r="AA138" s="691">
        <v>8.924485125858124E-2</v>
      </c>
      <c r="AB138" s="691">
        <v>8.2379862700228831E-2</v>
      </c>
      <c r="AC138" s="691">
        <v>7.5514874141876437E-2</v>
      </c>
      <c r="AD138" s="691">
        <v>6.4073226544622428E-2</v>
      </c>
      <c r="AE138" s="691">
        <v>5.2631578947368418E-2</v>
      </c>
      <c r="AF138" s="691">
        <v>3.9359267734553775E-2</v>
      </c>
      <c r="AG138" s="691">
        <v>2.5858123569794049E-2</v>
      </c>
      <c r="AH138" s="691">
        <v>1.4416475972540047E-2</v>
      </c>
      <c r="AI138" s="691">
        <v>7.7803203661327234E-3</v>
      </c>
      <c r="AJ138" s="691"/>
      <c r="AK138" s="691">
        <f t="shared" si="68"/>
        <v>9.7513648201952741</v>
      </c>
      <c r="AL138" s="691">
        <f t="shared" si="69"/>
        <v>14.636296708911059</v>
      </c>
      <c r="AM138" s="691">
        <f t="shared" si="70"/>
        <v>21.704136204943033</v>
      </c>
      <c r="AN138" s="691">
        <f t="shared" si="71"/>
        <v>22.753300182743953</v>
      </c>
      <c r="AO138" s="691">
        <f t="shared" si="72"/>
        <v>15.36287841339308</v>
      </c>
      <c r="AP138" s="691">
        <f t="shared" si="73"/>
        <v>16.699085892194116</v>
      </c>
      <c r="AQ138" s="691">
        <f t="shared" si="74"/>
        <v>14.256273423706826</v>
      </c>
      <c r="AR138" s="691">
        <f t="shared" si="75"/>
        <v>13.260677654317139</v>
      </c>
      <c r="AS138" s="691">
        <f t="shared" si="76"/>
        <v>12.350215390206172</v>
      </c>
      <c r="AT138" s="691">
        <f t="shared" si="77"/>
        <v>9.7163147677664323</v>
      </c>
      <c r="AU138" s="691">
        <f t="shared" si="78"/>
        <v>6.8290981676453084</v>
      </c>
      <c r="AV138" s="691">
        <f t="shared" si="79"/>
        <v>4.9566490360956825</v>
      </c>
      <c r="AW138" s="691">
        <f t="shared" si="80"/>
        <v>3.2920196017453831</v>
      </c>
      <c r="AX138" s="691">
        <f t="shared" si="81"/>
        <v>2.7726185901108447</v>
      </c>
      <c r="AY138" s="691">
        <f t="shared" si="82"/>
        <v>2.7868612909824857</v>
      </c>
      <c r="AZ138" s="691">
        <f t="shared" si="83"/>
        <v>3.3809131887857258</v>
      </c>
      <c r="BA138" s="691"/>
      <c r="BB138" s="691">
        <f t="shared" si="84"/>
        <v>10.906793958358904</v>
      </c>
    </row>
    <row r="139" spans="1:54" x14ac:dyDescent="0.35">
      <c r="A139" s="129" t="s">
        <v>377</v>
      </c>
      <c r="B139" s="129" t="str">
        <f>VLOOKUP(A139,'HCW, Staff, Beds Summary'!B:E,4,FALSE)</f>
        <v>Lower middle income</v>
      </c>
      <c r="C139" s="691">
        <v>12.019360713112301</v>
      </c>
      <c r="D139" s="691">
        <v>22.3785339153522</v>
      </c>
      <c r="E139" s="691">
        <v>29.4166003848175</v>
      </c>
      <c r="F139" s="691">
        <v>34.933125454926802</v>
      </c>
      <c r="G139" s="691">
        <v>19.894342988236801</v>
      </c>
      <c r="H139" s="691">
        <v>16.833676419283002</v>
      </c>
      <c r="I139" s="691">
        <v>13.985980337295</v>
      </c>
      <c r="J139" s="691">
        <v>14.1198977575523</v>
      </c>
      <c r="K139" s="691">
        <v>12.3638674409902</v>
      </c>
      <c r="L139" s="691">
        <v>9.5371133838647104</v>
      </c>
      <c r="M139" s="691">
        <v>7.1785289744852898</v>
      </c>
      <c r="N139" s="691">
        <v>3.88974116552835</v>
      </c>
      <c r="O139" s="691">
        <v>2.15713687267503</v>
      </c>
      <c r="P139" s="691">
        <v>1.39041372939979</v>
      </c>
      <c r="Q139" s="691">
        <v>0.72537356879978798</v>
      </c>
      <c r="R139" s="691">
        <v>0.52525781578945896</v>
      </c>
      <c r="S139" s="691"/>
      <c r="T139" s="691">
        <v>0.12408388218969257</v>
      </c>
      <c r="U139" s="691">
        <v>0.12050735825825239</v>
      </c>
      <c r="V139" s="691">
        <v>9.4631305333515742E-2</v>
      </c>
      <c r="W139" s="691">
        <v>8.5025504719838954E-2</v>
      </c>
      <c r="X139" s="691">
        <v>8.2240506576504391E-2</v>
      </c>
      <c r="Y139" s="691">
        <v>7.909394727070182E-2</v>
      </c>
      <c r="Z139" s="691">
        <v>7.8810561494713383E-2</v>
      </c>
      <c r="AA139" s="691">
        <v>6.9703128969843847E-2</v>
      </c>
      <c r="AB139" s="691">
        <v>5.9022416792073013E-2</v>
      </c>
      <c r="AC139" s="691">
        <v>4.7960599605214295E-2</v>
      </c>
      <c r="AD139" s="691">
        <v>4.117888482811187E-2</v>
      </c>
      <c r="AE139" s="691">
        <v>3.5481853538413433E-2</v>
      </c>
      <c r="AF139" s="691">
        <v>2.8944436844059649E-2</v>
      </c>
      <c r="AG139" s="691">
        <v>2.111712627279301E-2</v>
      </c>
      <c r="AH139" s="691">
        <v>1.6280024234369809E-2</v>
      </c>
      <c r="AI139" s="691">
        <v>8.4527136631031719E-3</v>
      </c>
      <c r="AJ139" s="691"/>
      <c r="AK139" s="691">
        <f t="shared" si="68"/>
        <v>6.0540501418315591</v>
      </c>
      <c r="AL139" s="691">
        <f t="shared" si="69"/>
        <v>11.606414661519077</v>
      </c>
      <c r="AM139" s="691">
        <f t="shared" si="70"/>
        <v>19.42842823071506</v>
      </c>
      <c r="AN139" s="691">
        <f t="shared" si="71"/>
        <v>25.678416707163542</v>
      </c>
      <c r="AO139" s="691">
        <f t="shared" si="72"/>
        <v>15.119026967667425</v>
      </c>
      <c r="AP139" s="691">
        <f t="shared" si="73"/>
        <v>13.301963203382959</v>
      </c>
      <c r="AQ139" s="691">
        <f t="shared" si="74"/>
        <v>11.091454679454019</v>
      </c>
      <c r="AR139" s="691">
        <f t="shared" si="75"/>
        <v>12.660745979263258</v>
      </c>
      <c r="AS139" s="691">
        <f t="shared" si="76"/>
        <v>13.092342826017086</v>
      </c>
      <c r="AT139" s="691">
        <f t="shared" si="77"/>
        <v>12.428318065204913</v>
      </c>
      <c r="AU139" s="691">
        <f t="shared" si="78"/>
        <v>10.89534266841151</v>
      </c>
      <c r="AV139" s="691">
        <f t="shared" si="79"/>
        <v>6.8516381925292302</v>
      </c>
      <c r="AW139" s="691">
        <f t="shared" si="80"/>
        <v>4.6579263320460518</v>
      </c>
      <c r="AX139" s="691">
        <f t="shared" si="81"/>
        <v>4.1151839016774101</v>
      </c>
      <c r="AY139" s="691">
        <f t="shared" si="82"/>
        <v>2.7847531058507466</v>
      </c>
      <c r="AZ139" s="691">
        <f t="shared" si="83"/>
        <v>3.8837957601877524</v>
      </c>
      <c r="BA139" s="691"/>
      <c r="BB139" s="691">
        <f t="shared" si="84"/>
        <v>10.853112588932598</v>
      </c>
    </row>
    <row r="140" spans="1:54" x14ac:dyDescent="0.35">
      <c r="A140" s="129" t="s">
        <v>513</v>
      </c>
      <c r="B140" s="129" t="str">
        <f>VLOOKUP(A140,'HCW, Staff, Beds Summary'!B:E,4,FALSE)</f>
        <v>High income</v>
      </c>
      <c r="C140" s="691">
        <v>11.8700760241118</v>
      </c>
      <c r="D140" s="691">
        <v>24.5919621456691</v>
      </c>
      <c r="E140" s="691">
        <v>27.056816593510302</v>
      </c>
      <c r="F140" s="691">
        <v>23.728481685165001</v>
      </c>
      <c r="G140" s="691">
        <v>15.4044659874379</v>
      </c>
      <c r="H140" s="691">
        <v>17.563185661713401</v>
      </c>
      <c r="I140" s="691">
        <v>19.729399012609999</v>
      </c>
      <c r="J140" s="691">
        <v>19.4509787813349</v>
      </c>
      <c r="K140" s="691">
        <v>15.513482182056901</v>
      </c>
      <c r="L140" s="691">
        <v>10.417413003446301</v>
      </c>
      <c r="M140" s="691">
        <v>7.0311044086543601</v>
      </c>
      <c r="N140" s="691">
        <v>3.7966986948661701</v>
      </c>
      <c r="O140" s="691">
        <v>1.9214068679257701</v>
      </c>
      <c r="P140" s="691">
        <v>1.0110796175582299</v>
      </c>
      <c r="Q140" s="691">
        <v>0.51740322024784402</v>
      </c>
      <c r="R140" s="691">
        <v>0.33838996524149501</v>
      </c>
      <c r="S140" s="691"/>
      <c r="T140" s="691">
        <v>8.5569023955879814E-2</v>
      </c>
      <c r="U140" s="691">
        <v>8.5511575802837941E-2</v>
      </c>
      <c r="V140" s="691">
        <v>7.5889010168323084E-2</v>
      </c>
      <c r="W140" s="691">
        <v>6.3738725799965534E-2</v>
      </c>
      <c r="X140" s="691">
        <v>6.701327052335268E-2</v>
      </c>
      <c r="Y140" s="691">
        <v>8.6804159246280238E-2</v>
      </c>
      <c r="Z140" s="691">
        <v>9.8753375078991207E-2</v>
      </c>
      <c r="AA140" s="691">
        <v>0.1017694031136899</v>
      </c>
      <c r="AB140" s="691">
        <v>0.10277474579192279</v>
      </c>
      <c r="AC140" s="691">
        <v>8.1317860630780725E-2</v>
      </c>
      <c r="AD140" s="691">
        <v>5.4345952777618202E-2</v>
      </c>
      <c r="AE140" s="691">
        <v>3.8030677313724365E-2</v>
      </c>
      <c r="AF140" s="691">
        <v>2.3525018670649739E-2</v>
      </c>
      <c r="AG140" s="691">
        <v>1.5913138392600678E-2</v>
      </c>
      <c r="AH140" s="691">
        <v>8.4161544206353758E-3</v>
      </c>
      <c r="AI140" s="691">
        <v>5.77353938070891E-3</v>
      </c>
      <c r="AJ140" s="691"/>
      <c r="AK140" s="691">
        <f t="shared" si="68"/>
        <v>8.6699569214381551</v>
      </c>
      <c r="AL140" s="691">
        <f t="shared" si="69"/>
        <v>17.974147004940463</v>
      </c>
      <c r="AM140" s="691">
        <f t="shared" si="70"/>
        <v>22.283213779486839</v>
      </c>
      <c r="AN140" s="691">
        <f t="shared" si="71"/>
        <v>23.267332170666243</v>
      </c>
      <c r="AO140" s="691">
        <f t="shared" si="72"/>
        <v>14.366992040469968</v>
      </c>
      <c r="AP140" s="691">
        <f t="shared" si="73"/>
        <v>12.645697088577315</v>
      </c>
      <c r="AQ140" s="691">
        <f t="shared" si="74"/>
        <v>12.486534635416749</v>
      </c>
      <c r="AR140" s="691">
        <f t="shared" si="75"/>
        <v>11.945497729561692</v>
      </c>
      <c r="AS140" s="691">
        <f t="shared" si="76"/>
        <v>9.4341526112026433</v>
      </c>
      <c r="AT140" s="691">
        <f t="shared" si="77"/>
        <v>8.0067073538939315</v>
      </c>
      <c r="AU140" s="691">
        <f t="shared" si="78"/>
        <v>8.0860487870934481</v>
      </c>
      <c r="AV140" s="691">
        <f t="shared" si="79"/>
        <v>6.2395330609455648</v>
      </c>
      <c r="AW140" s="691">
        <f t="shared" si="80"/>
        <v>5.104690071731361</v>
      </c>
      <c r="AX140" s="691">
        <f t="shared" si="81"/>
        <v>3.9710882000984</v>
      </c>
      <c r="AY140" s="691">
        <f t="shared" si="82"/>
        <v>3.8423369687944633</v>
      </c>
      <c r="AZ140" s="691">
        <f t="shared" si="83"/>
        <v>3.6631555503474527</v>
      </c>
      <c r="BA140" s="691"/>
      <c r="BB140" s="691">
        <f t="shared" si="84"/>
        <v>10.749192748416545</v>
      </c>
    </row>
    <row r="141" spans="1:54" x14ac:dyDescent="0.35">
      <c r="A141" s="129" t="s">
        <v>249</v>
      </c>
      <c r="B141" s="129" t="str">
        <f>VLOOKUP(A141,'HCW, Staff, Beds Summary'!B:E,4,FALSE)</f>
        <v>Lower middle income</v>
      </c>
      <c r="C141" s="691">
        <v>14.6371130462023</v>
      </c>
      <c r="D141" s="691">
        <v>25.274979682423702</v>
      </c>
      <c r="E141" s="691">
        <v>32.537550935140501</v>
      </c>
      <c r="F141" s="691">
        <v>27.039447387621301</v>
      </c>
      <c r="G141" s="691">
        <v>17.975576627364301</v>
      </c>
      <c r="H141" s="691">
        <v>15.9143640878968</v>
      </c>
      <c r="I141" s="691">
        <v>13.9311599452345</v>
      </c>
      <c r="J141" s="691">
        <v>13.003717229240801</v>
      </c>
      <c r="K141" s="691">
        <v>12.2123982559752</v>
      </c>
      <c r="L141" s="691">
        <v>8.9580422195634402</v>
      </c>
      <c r="M141" s="691">
        <v>7.4101658862553803</v>
      </c>
      <c r="N141" s="691">
        <v>4.9450370535404797</v>
      </c>
      <c r="O141" s="691">
        <v>2.9545851090545101</v>
      </c>
      <c r="P141" s="691">
        <v>1.3371323437518701</v>
      </c>
      <c r="Q141" s="691">
        <v>0.71599682771998896</v>
      </c>
      <c r="R141" s="691">
        <v>0.395303255219772</v>
      </c>
      <c r="S141" s="691"/>
      <c r="T141" s="691">
        <v>0.12773109243697478</v>
      </c>
      <c r="U141" s="691">
        <v>0.12016806722689076</v>
      </c>
      <c r="V141" s="691">
        <v>0.11260504201680673</v>
      </c>
      <c r="W141" s="691">
        <v>8.5714285714285715E-2</v>
      </c>
      <c r="X141" s="691">
        <v>9.1596638655462179E-2</v>
      </c>
      <c r="Y141" s="691">
        <v>8.067226890756303E-2</v>
      </c>
      <c r="Z141" s="691">
        <v>7.6470588235294124E-2</v>
      </c>
      <c r="AA141" s="691">
        <v>6.386554621848739E-2</v>
      </c>
      <c r="AB141" s="691">
        <v>5.2941176470588235E-2</v>
      </c>
      <c r="AC141" s="691">
        <v>4.1176470588235294E-2</v>
      </c>
      <c r="AD141" s="691">
        <v>4.53781512605042E-2</v>
      </c>
      <c r="AE141" s="691">
        <v>3.8655462184873951E-2</v>
      </c>
      <c r="AF141" s="691">
        <v>2.6050420168067228E-2</v>
      </c>
      <c r="AG141" s="691">
        <v>1.7647058823529412E-2</v>
      </c>
      <c r="AH141" s="691">
        <v>1.2605042016806723E-2</v>
      </c>
      <c r="AI141" s="691">
        <v>7.5630252100840336E-3</v>
      </c>
      <c r="AJ141" s="691"/>
      <c r="AK141" s="691">
        <f t="shared" si="68"/>
        <v>7.1620742290216848</v>
      </c>
      <c r="AL141" s="691">
        <f t="shared" si="69"/>
        <v>13.145640656505334</v>
      </c>
      <c r="AM141" s="691">
        <f t="shared" si="70"/>
        <v>18.059554856724439</v>
      </c>
      <c r="AN141" s="691">
        <f t="shared" si="71"/>
        <v>19.716263720140532</v>
      </c>
      <c r="AO141" s="691">
        <f t="shared" si="72"/>
        <v>12.265445061102936</v>
      </c>
      <c r="AP141" s="691">
        <f t="shared" si="73"/>
        <v>12.32948780247213</v>
      </c>
      <c r="AQ141" s="691">
        <f t="shared" si="74"/>
        <v>11.386044186008965</v>
      </c>
      <c r="AR141" s="691">
        <f t="shared" si="75"/>
        <v>12.725677222694534</v>
      </c>
      <c r="AS141" s="691">
        <f t="shared" si="76"/>
        <v>14.417414607748501</v>
      </c>
      <c r="AT141" s="691">
        <f t="shared" si="77"/>
        <v>13.597028368980222</v>
      </c>
      <c r="AU141" s="691">
        <f t="shared" si="78"/>
        <v>10.206131255374888</v>
      </c>
      <c r="AV141" s="691">
        <f t="shared" si="79"/>
        <v>7.9953724099363734</v>
      </c>
      <c r="AW141" s="691">
        <f t="shared" si="80"/>
        <v>7.0886215318041668</v>
      </c>
      <c r="AX141" s="691">
        <f t="shared" si="81"/>
        <v>4.7356770507878734</v>
      </c>
      <c r="AY141" s="691">
        <f t="shared" si="82"/>
        <v>3.5501509374449451</v>
      </c>
      <c r="AZ141" s="691">
        <f t="shared" si="83"/>
        <v>3.2667421785522825</v>
      </c>
      <c r="BA141" s="691"/>
      <c r="BB141" s="691">
        <f t="shared" si="84"/>
        <v>10.727957879706237</v>
      </c>
    </row>
    <row r="142" spans="1:54" x14ac:dyDescent="0.35">
      <c r="A142" s="129" t="s">
        <v>445</v>
      </c>
      <c r="B142" s="129" t="str">
        <f>VLOOKUP(A142,'HCW, Staff, Beds Summary'!B:E,4,FALSE)</f>
        <v>Upper middle income</v>
      </c>
      <c r="C142" s="691">
        <v>11.4006430027747</v>
      </c>
      <c r="D142" s="691">
        <v>20.0521929272983</v>
      </c>
      <c r="E142" s="691">
        <v>25.548772688564799</v>
      </c>
      <c r="F142" s="691">
        <v>26.9690746983518</v>
      </c>
      <c r="G142" s="691">
        <v>18.214966833434101</v>
      </c>
      <c r="H142" s="691">
        <v>16.158942155377702</v>
      </c>
      <c r="I142" s="691">
        <v>14.9420909817173</v>
      </c>
      <c r="J142" s="691">
        <v>14.386945390312899</v>
      </c>
      <c r="K142" s="691">
        <v>12.909188137144</v>
      </c>
      <c r="L142" s="691">
        <v>9.7559702282563592</v>
      </c>
      <c r="M142" s="691">
        <v>7.4679761732303502</v>
      </c>
      <c r="N142" s="691">
        <v>4.8092964218047296</v>
      </c>
      <c r="O142" s="691">
        <v>3.4348828764277202</v>
      </c>
      <c r="P142" s="691">
        <v>2.6355794880931298</v>
      </c>
      <c r="Q142" s="691">
        <v>1.74969205916501</v>
      </c>
      <c r="R142" s="691">
        <v>0.99189380447473896</v>
      </c>
      <c r="S142" s="691"/>
      <c r="T142" s="691">
        <v>8.2930402930402936E-2</v>
      </c>
      <c r="U142" s="691">
        <v>8.5860805860805856E-2</v>
      </c>
      <c r="V142" s="691">
        <v>8.1904761904761911E-2</v>
      </c>
      <c r="W142" s="691">
        <v>8.4395604395604396E-2</v>
      </c>
      <c r="X142" s="691">
        <v>8.688644688644688E-2</v>
      </c>
      <c r="Y142" s="691">
        <v>8.542124542124542E-2</v>
      </c>
      <c r="Z142" s="691">
        <v>7.6483516483516478E-2</v>
      </c>
      <c r="AA142" s="691">
        <v>7.1501831501831509E-2</v>
      </c>
      <c r="AB142" s="691">
        <v>6.6373626373626371E-2</v>
      </c>
      <c r="AC142" s="691">
        <v>6.0073260073260075E-2</v>
      </c>
      <c r="AD142" s="691">
        <v>5.7142857142857141E-2</v>
      </c>
      <c r="AE142" s="691">
        <v>4.9084249084249083E-2</v>
      </c>
      <c r="AF142" s="691">
        <v>3.6483516483516484E-2</v>
      </c>
      <c r="AG142" s="691">
        <v>2.9157509157509157E-2</v>
      </c>
      <c r="AH142" s="691">
        <v>1.9340659340659341E-2</v>
      </c>
      <c r="AI142" s="691">
        <v>1.1721611721611722E-2</v>
      </c>
      <c r="AJ142" s="691"/>
      <c r="AK142" s="691">
        <f t="shared" si="68"/>
        <v>8.5920261146132209</v>
      </c>
      <c r="AL142" s="691">
        <f t="shared" si="69"/>
        <v>14.596439497526761</v>
      </c>
      <c r="AM142" s="691">
        <f t="shared" si="70"/>
        <v>19.495793112640289</v>
      </c>
      <c r="AN142" s="691">
        <f t="shared" si="71"/>
        <v>19.972215149332794</v>
      </c>
      <c r="AO142" s="691">
        <f t="shared" si="72"/>
        <v>13.102566256132773</v>
      </c>
      <c r="AP142" s="691">
        <f t="shared" si="73"/>
        <v>11.82298244108628</v>
      </c>
      <c r="AQ142" s="691">
        <f t="shared" si="74"/>
        <v>12.210221617603038</v>
      </c>
      <c r="AR142" s="691">
        <f t="shared" si="75"/>
        <v>12.575679084129806</v>
      </c>
      <c r="AS142" s="691">
        <f t="shared" si="76"/>
        <v>12.155795948676573</v>
      </c>
      <c r="AT142" s="691">
        <f t="shared" si="77"/>
        <v>10.150075732903909</v>
      </c>
      <c r="AU142" s="691">
        <f t="shared" si="78"/>
        <v>8.1680989394706955</v>
      </c>
      <c r="AV142" s="691">
        <f t="shared" si="79"/>
        <v>6.1237776266450146</v>
      </c>
      <c r="AW142" s="691">
        <f t="shared" si="80"/>
        <v>5.8843061324345358</v>
      </c>
      <c r="AX142" s="691">
        <f t="shared" si="81"/>
        <v>5.6494440974358078</v>
      </c>
      <c r="AY142" s="691">
        <f t="shared" si="82"/>
        <v>5.6541895377846556</v>
      </c>
      <c r="AZ142" s="691">
        <f t="shared" si="83"/>
        <v>5.2888087621406976</v>
      </c>
      <c r="BA142" s="691"/>
      <c r="BB142" s="691">
        <f t="shared" si="84"/>
        <v>10.715151253159803</v>
      </c>
    </row>
    <row r="143" spans="1:54" x14ac:dyDescent="0.35">
      <c r="A143" s="129" t="s">
        <v>571</v>
      </c>
      <c r="B143" s="129" t="str">
        <f>VLOOKUP(A143,'HCW, Staff, Beds Summary'!B:E,4,FALSE)</f>
        <v>Low income</v>
      </c>
      <c r="C143" s="691">
        <v>17.565354840116601</v>
      </c>
      <c r="D143" s="691">
        <v>33.605662405445798</v>
      </c>
      <c r="E143" s="691">
        <v>36.539721105997401</v>
      </c>
      <c r="F143" s="691">
        <v>38.483956644108503</v>
      </c>
      <c r="G143" s="691">
        <v>18.566786078685698</v>
      </c>
      <c r="H143" s="691">
        <v>13.8743612248101</v>
      </c>
      <c r="I143" s="691">
        <v>11.6919344543584</v>
      </c>
      <c r="J143" s="691">
        <v>9.8697172691323107</v>
      </c>
      <c r="K143" s="691">
        <v>8.0646778686050808</v>
      </c>
      <c r="L143" s="691">
        <v>6.2073952038243601</v>
      </c>
      <c r="M143" s="691">
        <v>4.74859398413476</v>
      </c>
      <c r="N143" s="691">
        <v>3.1391950089734402</v>
      </c>
      <c r="O143" s="691">
        <v>1.9409341359680301</v>
      </c>
      <c r="P143" s="691">
        <v>0.972790097162884</v>
      </c>
      <c r="Q143" s="691">
        <v>0.55515031483571398</v>
      </c>
      <c r="R143" s="691">
        <v>0.33357306273356402</v>
      </c>
      <c r="S143" s="691"/>
      <c r="T143" s="691">
        <v>0.13796687453899281</v>
      </c>
      <c r="U143" s="691">
        <v>0.13136189901428283</v>
      </c>
      <c r="V143" s="691">
        <v>0.11895661503386307</v>
      </c>
      <c r="W143" s="691">
        <v>0.10735599812244351</v>
      </c>
      <c r="X143" s="691">
        <v>9.8068799034399523E-2</v>
      </c>
      <c r="Y143" s="691">
        <v>9.4112519278481868E-2</v>
      </c>
      <c r="Z143" s="691">
        <v>7.8119761282102865E-2</v>
      </c>
      <c r="AA143" s="691">
        <v>6.0752363709515186E-2</v>
      </c>
      <c r="AB143" s="691">
        <v>4.5664856165761415E-2</v>
      </c>
      <c r="AC143" s="691">
        <v>3.3527794541675052E-2</v>
      </c>
      <c r="AD143" s="691">
        <v>2.5950512975256489E-2</v>
      </c>
      <c r="AE143" s="691">
        <v>2.1759538657547105E-2</v>
      </c>
      <c r="AF143" s="691">
        <v>1.7065647421712599E-2</v>
      </c>
      <c r="AG143" s="691">
        <v>1.2405283980419768E-2</v>
      </c>
      <c r="AH143" s="691">
        <v>8.6836987862938374E-3</v>
      </c>
      <c r="AI143" s="691">
        <v>4.8615302085428819E-3</v>
      </c>
      <c r="AJ143" s="691"/>
      <c r="AK143" s="691">
        <f t="shared" si="68"/>
        <v>7.9572338010528219</v>
      </c>
      <c r="AL143" s="691">
        <f t="shared" si="69"/>
        <v>15.989064683908028</v>
      </c>
      <c r="AM143" s="691">
        <f t="shared" si="70"/>
        <v>19.198029201442335</v>
      </c>
      <c r="AN143" s="691">
        <f t="shared" si="71"/>
        <v>22.404405271454955</v>
      </c>
      <c r="AO143" s="691">
        <f t="shared" si="72"/>
        <v>11.83275558937777</v>
      </c>
      <c r="AP143" s="691">
        <f t="shared" si="73"/>
        <v>9.2139450011396953</v>
      </c>
      <c r="AQ143" s="691">
        <f t="shared" si="74"/>
        <v>9.3541748131892071</v>
      </c>
      <c r="AR143" s="691">
        <f t="shared" si="75"/>
        <v>10.153635046534918</v>
      </c>
      <c r="AS143" s="691">
        <f t="shared" si="76"/>
        <v>11.037861697366701</v>
      </c>
      <c r="AT143" s="691">
        <f t="shared" si="77"/>
        <v>11.571360584329085</v>
      </c>
      <c r="AU143" s="691">
        <f t="shared" si="78"/>
        <v>11.436657313533862</v>
      </c>
      <c r="AV143" s="691">
        <f t="shared" si="79"/>
        <v>9.0167209493106544</v>
      </c>
      <c r="AW143" s="691">
        <f t="shared" si="80"/>
        <v>7.1083376153465707</v>
      </c>
      <c r="AX143" s="691">
        <f t="shared" si="81"/>
        <v>4.9010874050642199</v>
      </c>
      <c r="AY143" s="691">
        <f t="shared" si="82"/>
        <v>3.9956354464985533</v>
      </c>
      <c r="AZ143" s="691">
        <f t="shared" si="83"/>
        <v>4.2884267970221037</v>
      </c>
      <c r="BA143" s="691"/>
      <c r="BB143" s="691">
        <f t="shared" si="84"/>
        <v>10.591208201035718</v>
      </c>
    </row>
    <row r="144" spans="1:54" x14ac:dyDescent="0.35">
      <c r="A144" s="129" t="s">
        <v>417</v>
      </c>
      <c r="B144" s="129" t="str">
        <f>VLOOKUP(A144,'HCW, Staff, Beds Summary'!B:E,4,FALSE)</f>
        <v>Upper middle income</v>
      </c>
      <c r="C144" s="691">
        <v>10.0964752375092</v>
      </c>
      <c r="D144" s="691">
        <v>20.4488401401115</v>
      </c>
      <c r="E144" s="691">
        <v>23.282646611209</v>
      </c>
      <c r="F144" s="691">
        <v>28.009824327067001</v>
      </c>
      <c r="G144" s="691">
        <v>20.211061145894501</v>
      </c>
      <c r="H144" s="691">
        <v>19.902958672557901</v>
      </c>
      <c r="I144" s="691">
        <v>16.704998414388701</v>
      </c>
      <c r="J144" s="691">
        <v>14.396658796147801</v>
      </c>
      <c r="K144" s="691">
        <v>11.951864810602601</v>
      </c>
      <c r="L144" s="691">
        <v>8.60248254255281</v>
      </c>
      <c r="M144" s="691">
        <v>6.4018025384001396</v>
      </c>
      <c r="N144" s="691">
        <v>4.0233572172699104</v>
      </c>
      <c r="O144" s="691">
        <v>2.3034379785872598</v>
      </c>
      <c r="P144" s="691">
        <v>1.4880767634699199</v>
      </c>
      <c r="Q144" s="691">
        <v>0.91224430457668404</v>
      </c>
      <c r="R144" s="691">
        <v>0.63623021588956397</v>
      </c>
      <c r="S144" s="691"/>
      <c r="T144" s="691">
        <v>9.092424368697391E-2</v>
      </c>
      <c r="U144" s="691">
        <v>8.249496981891348E-2</v>
      </c>
      <c r="V144" s="691">
        <v>7.4029978688700246E-2</v>
      </c>
      <c r="W144" s="691">
        <v>6.5838819901658477E-2</v>
      </c>
      <c r="X144" s="691">
        <v>6.6148369506982718E-2</v>
      </c>
      <c r="Y144" s="691">
        <v>8.079244698963009E-2</v>
      </c>
      <c r="Z144" s="691">
        <v>0.10080601954924816</v>
      </c>
      <c r="AA144" s="691">
        <v>9.8484397509316257E-2</v>
      </c>
      <c r="AB144" s="691">
        <v>7.7280249544604912E-2</v>
      </c>
      <c r="AC144" s="691">
        <v>6.148131391901706E-2</v>
      </c>
      <c r="AD144" s="691">
        <v>5.4992677961258674E-2</v>
      </c>
      <c r="AE144" s="691">
        <v>4.3777457645279967E-2</v>
      </c>
      <c r="AF144" s="691">
        <v>3.7288821687521581E-2</v>
      </c>
      <c r="AG144" s="691">
        <v>2.6966532925362829E-2</v>
      </c>
      <c r="AH144" s="691">
        <v>1.7239531865750717E-2</v>
      </c>
      <c r="AI144" s="691">
        <v>1.0786613170145131E-2</v>
      </c>
      <c r="AJ144" s="691"/>
      <c r="AK144" s="691">
        <f t="shared" si="68"/>
        <v>6.9401699343992265</v>
      </c>
      <c r="AL144" s="691">
        <f t="shared" si="69"/>
        <v>15.492490167127158</v>
      </c>
      <c r="AM144" s="691">
        <f t="shared" si="70"/>
        <v>19.656434311829344</v>
      </c>
      <c r="AN144" s="691">
        <f t="shared" si="71"/>
        <v>26.589389406683299</v>
      </c>
      <c r="AO144" s="691">
        <f t="shared" si="72"/>
        <v>19.096333455128654</v>
      </c>
      <c r="AP144" s="691">
        <f t="shared" si="73"/>
        <v>15.396673369659554</v>
      </c>
      <c r="AQ144" s="691">
        <f t="shared" si="74"/>
        <v>10.357143408377746</v>
      </c>
      <c r="AR144" s="691">
        <f t="shared" si="75"/>
        <v>9.1363829958356675</v>
      </c>
      <c r="AS144" s="691">
        <f t="shared" si="76"/>
        <v>9.6660085217699905</v>
      </c>
      <c r="AT144" s="691">
        <f t="shared" si="77"/>
        <v>8.7450173823179487</v>
      </c>
      <c r="AU144" s="691">
        <f t="shared" si="78"/>
        <v>7.2757442169279463</v>
      </c>
      <c r="AV144" s="691">
        <f t="shared" si="79"/>
        <v>5.7440481838141073</v>
      </c>
      <c r="AW144" s="691">
        <f t="shared" si="80"/>
        <v>3.860805119242491</v>
      </c>
      <c r="AX144" s="691">
        <f t="shared" si="81"/>
        <v>3.448897119043294</v>
      </c>
      <c r="AY144" s="691">
        <f t="shared" si="82"/>
        <v>3.3072399807626653</v>
      </c>
      <c r="AZ144" s="691">
        <f t="shared" si="83"/>
        <v>3.686457265674127</v>
      </c>
      <c r="BA144" s="691"/>
      <c r="BB144" s="691">
        <f t="shared" si="84"/>
        <v>10.524952177412073</v>
      </c>
    </row>
    <row r="145" spans="1:54" x14ac:dyDescent="0.35">
      <c r="A145" s="129" t="s">
        <v>313</v>
      </c>
      <c r="B145" s="129" t="str">
        <f>VLOOKUP(A145,'HCW, Staff, Beds Summary'!B:E,4,FALSE)</f>
        <v>Upper middle income</v>
      </c>
      <c r="C145" s="691">
        <v>10.7331925082079</v>
      </c>
      <c r="D145" s="691">
        <v>21.0502859900954</v>
      </c>
      <c r="E145" s="691">
        <v>26.888227432394402</v>
      </c>
      <c r="F145" s="691">
        <v>31.283381192413</v>
      </c>
      <c r="G145" s="691">
        <v>19.8347463765801</v>
      </c>
      <c r="H145" s="691">
        <v>17.791412954204201</v>
      </c>
      <c r="I145" s="691">
        <v>14.696285936199899</v>
      </c>
      <c r="J145" s="691">
        <v>13.512762625628699</v>
      </c>
      <c r="K145" s="691">
        <v>11.2684273626289</v>
      </c>
      <c r="L145" s="691">
        <v>8.2255529357130701</v>
      </c>
      <c r="M145" s="691">
        <v>5.7470202463960298</v>
      </c>
      <c r="N145" s="691">
        <v>3.1883306364682298</v>
      </c>
      <c r="O145" s="691">
        <v>1.90887489599131</v>
      </c>
      <c r="P145" s="691">
        <v>1.4869542552999799</v>
      </c>
      <c r="Q145" s="691">
        <v>0.87364712021003899</v>
      </c>
      <c r="R145" s="691">
        <v>0.55270889921871602</v>
      </c>
      <c r="S145" s="691"/>
      <c r="T145" s="691">
        <v>0.11495746961300768</v>
      </c>
      <c r="U145" s="691">
        <v>0.10572164830904654</v>
      </c>
      <c r="V145" s="691">
        <v>8.7135983215890167E-2</v>
      </c>
      <c r="W145" s="691">
        <v>6.6361086406239306E-2</v>
      </c>
      <c r="X145" s="691">
        <v>6.8413491140452892E-2</v>
      </c>
      <c r="Y145" s="691">
        <v>8.1503272445326222E-2</v>
      </c>
      <c r="Z145" s="691">
        <v>8.501516499053613E-2</v>
      </c>
      <c r="AA145" s="691">
        <v>8.0910355522108957E-2</v>
      </c>
      <c r="AB145" s="691">
        <v>6.873275409910834E-2</v>
      </c>
      <c r="AC145" s="691">
        <v>5.5506145811954115E-2</v>
      </c>
      <c r="AD145" s="691">
        <v>4.7022872910537958E-2</v>
      </c>
      <c r="AE145" s="691">
        <v>3.9634215867369045E-2</v>
      </c>
      <c r="AF145" s="691">
        <v>3.1629837403936059E-2</v>
      </c>
      <c r="AG145" s="691">
        <v>2.6065540124512555E-2</v>
      </c>
      <c r="AH145" s="691">
        <v>1.6510455861895965E-2</v>
      </c>
      <c r="AI145" s="691">
        <v>1.1721511482064264E-2</v>
      </c>
      <c r="AJ145" s="691"/>
      <c r="AK145" s="691">
        <f t="shared" si="68"/>
        <v>5.8354149062366671</v>
      </c>
      <c r="AL145" s="691">
        <f t="shared" si="69"/>
        <v>12.444403728317427</v>
      </c>
      <c r="AM145" s="691">
        <f t="shared" si="70"/>
        <v>19.286110657189333</v>
      </c>
      <c r="AN145" s="691">
        <f t="shared" si="71"/>
        <v>29.463220547003921</v>
      </c>
      <c r="AO145" s="691">
        <f t="shared" si="72"/>
        <v>18.120280486654458</v>
      </c>
      <c r="AP145" s="691">
        <f t="shared" si="73"/>
        <v>13.643173780337303</v>
      </c>
      <c r="AQ145" s="691">
        <f t="shared" si="74"/>
        <v>10.804165011204095</v>
      </c>
      <c r="AR145" s="691">
        <f t="shared" si="75"/>
        <v>10.438066408829695</v>
      </c>
      <c r="AS145" s="691">
        <f t="shared" si="76"/>
        <v>10.246595228073987</v>
      </c>
      <c r="AT145" s="691">
        <f t="shared" si="77"/>
        <v>9.2619844336471306</v>
      </c>
      <c r="AU145" s="691">
        <f t="shared" si="78"/>
        <v>7.6385967757247908</v>
      </c>
      <c r="AV145" s="691">
        <f t="shared" si="79"/>
        <v>5.0277433378800467</v>
      </c>
      <c r="AW145" s="691">
        <f t="shared" si="80"/>
        <v>3.7719030760686252</v>
      </c>
      <c r="AX145" s="691">
        <f t="shared" si="81"/>
        <v>3.5654216452952436</v>
      </c>
      <c r="AY145" s="691">
        <f t="shared" si="82"/>
        <v>3.3071736764788002</v>
      </c>
      <c r="AZ145" s="691">
        <f t="shared" si="83"/>
        <v>2.9470863253453206</v>
      </c>
      <c r="BA145" s="691"/>
      <c r="BB145" s="691">
        <f t="shared" si="84"/>
        <v>10.362583751517928</v>
      </c>
    </row>
    <row r="146" spans="1:54" x14ac:dyDescent="0.35">
      <c r="A146" s="129" t="s">
        <v>256</v>
      </c>
      <c r="B146" s="129" t="str">
        <f>VLOOKUP(A146,'HCW, Staff, Beds Summary'!B:E,4,FALSE)</f>
        <v>Upper middle income</v>
      </c>
      <c r="C146" s="691">
        <v>11.7740283803907</v>
      </c>
      <c r="D146" s="691">
        <v>24.970081791493001</v>
      </c>
      <c r="E146" s="691">
        <v>32.233203777773802</v>
      </c>
      <c r="F146" s="691">
        <v>36.2275029970642</v>
      </c>
      <c r="G146" s="691">
        <v>17.083750630334801</v>
      </c>
      <c r="H146" s="691">
        <v>13.8398710646068</v>
      </c>
      <c r="I146" s="691">
        <v>10.8458277368808</v>
      </c>
      <c r="J146" s="691">
        <v>10.742797272572499</v>
      </c>
      <c r="K146" s="691">
        <v>9.6480211162591001</v>
      </c>
      <c r="L146" s="691">
        <v>7.4580189507044503</v>
      </c>
      <c r="M146" s="691">
        <v>5.7552273596998598</v>
      </c>
      <c r="N146" s="691">
        <v>4.1059591511659699</v>
      </c>
      <c r="O146" s="691">
        <v>2.7793182904503002</v>
      </c>
      <c r="P146" s="691">
        <v>2.0024954751748698</v>
      </c>
      <c r="Q146" s="691">
        <v>1.17510896793722</v>
      </c>
      <c r="R146" s="691">
        <v>1.01418354219761</v>
      </c>
      <c r="S146" s="691"/>
      <c r="T146" s="691">
        <v>0.11509433962264151</v>
      </c>
      <c r="U146" s="691">
        <v>0.1169811320754717</v>
      </c>
      <c r="V146" s="691">
        <v>0.11415094339622642</v>
      </c>
      <c r="W146" s="691">
        <v>0.10754716981132076</v>
      </c>
      <c r="X146" s="691">
        <v>9.1509433962264145E-2</v>
      </c>
      <c r="Y146" s="691">
        <v>6.981132075471698E-2</v>
      </c>
      <c r="Z146" s="691">
        <v>5.7547169811320756E-2</v>
      </c>
      <c r="AA146" s="691">
        <v>5.7547169811320756E-2</v>
      </c>
      <c r="AB146" s="691">
        <v>0.05</v>
      </c>
      <c r="AC146" s="691">
        <v>4.716981132075472E-2</v>
      </c>
      <c r="AD146" s="691">
        <v>4.5283018867924525E-2</v>
      </c>
      <c r="AE146" s="691">
        <v>3.5849056603773584E-2</v>
      </c>
      <c r="AF146" s="691">
        <v>2.8301886792452831E-2</v>
      </c>
      <c r="AG146" s="691">
        <v>2.1698113207547168E-2</v>
      </c>
      <c r="AH146" s="691">
        <v>1.6037735849056604E-2</v>
      </c>
      <c r="AI146" s="691">
        <v>1.0377358490566037E-2</v>
      </c>
      <c r="AJ146" s="691"/>
      <c r="AK146" s="691">
        <f t="shared" si="68"/>
        <v>6.3936834442695396</v>
      </c>
      <c r="AL146" s="691">
        <f t="shared" si="69"/>
        <v>13.340870311987189</v>
      </c>
      <c r="AM146" s="691">
        <f t="shared" si="70"/>
        <v>17.648345043615823</v>
      </c>
      <c r="AN146" s="691">
        <f t="shared" si="71"/>
        <v>21.053263803118448</v>
      </c>
      <c r="AO146" s="691">
        <f t="shared" si="72"/>
        <v>11.668025559378151</v>
      </c>
      <c r="AP146" s="691">
        <f t="shared" si="73"/>
        <v>12.390425108516224</v>
      </c>
      <c r="AQ146" s="691">
        <f t="shared" si="74"/>
        <v>11.779280124071359</v>
      </c>
      <c r="AR146" s="691">
        <f t="shared" si="75"/>
        <v>11.667382283736526</v>
      </c>
      <c r="AS146" s="691">
        <f t="shared" si="76"/>
        <v>12.060026395323874</v>
      </c>
      <c r="AT146" s="691">
        <f t="shared" si="77"/>
        <v>9.8818751096833957</v>
      </c>
      <c r="AU146" s="691">
        <f t="shared" si="78"/>
        <v>7.9434127620857442</v>
      </c>
      <c r="AV146" s="691">
        <f t="shared" si="79"/>
        <v>7.1584156253880398</v>
      </c>
      <c r="AW146" s="691">
        <f t="shared" si="80"/>
        <v>6.1376612247444129</v>
      </c>
      <c r="AX146" s="691">
        <f t="shared" si="81"/>
        <v>5.7680576187102233</v>
      </c>
      <c r="AY146" s="691">
        <f t="shared" si="82"/>
        <v>4.5794687721082834</v>
      </c>
      <c r="AZ146" s="691">
        <f t="shared" si="83"/>
        <v>6.1081508791446968</v>
      </c>
      <c r="BA146" s="691"/>
      <c r="BB146" s="691">
        <f t="shared" si="84"/>
        <v>10.348646504117621</v>
      </c>
    </row>
    <row r="147" spans="1:54" x14ac:dyDescent="0.35">
      <c r="A147" s="129" t="s">
        <v>545</v>
      </c>
      <c r="B147" s="129" t="str">
        <f>VLOOKUP(A147,'HCW, Staff, Beds Summary'!B:E,4,FALSE)</f>
        <v>Low income</v>
      </c>
      <c r="C147" s="691">
        <v>14.2646231508766</v>
      </c>
      <c r="D147" s="691">
        <v>28.5155277313455</v>
      </c>
      <c r="E147" s="691">
        <v>32.170969985629199</v>
      </c>
      <c r="F147" s="691">
        <v>30.757791602505201</v>
      </c>
      <c r="G147" s="691">
        <v>16.811168677689</v>
      </c>
      <c r="H147" s="691">
        <v>15.267846793780899</v>
      </c>
      <c r="I147" s="691">
        <v>13.4770272143274</v>
      </c>
      <c r="J147" s="691">
        <v>12.7465193853808</v>
      </c>
      <c r="K147" s="691">
        <v>10.8021020834731</v>
      </c>
      <c r="L147" s="691">
        <v>7.5768869304958697</v>
      </c>
      <c r="M147" s="691">
        <v>5.7996648279731096</v>
      </c>
      <c r="N147" s="691">
        <v>3.5178214244462098</v>
      </c>
      <c r="O147" s="691">
        <v>2.2087819250421399</v>
      </c>
      <c r="P147" s="691">
        <v>2.3881413771504501</v>
      </c>
      <c r="Q147" s="691">
        <v>0.28695899360814597</v>
      </c>
      <c r="R147" s="691">
        <v>0.16339626204597099</v>
      </c>
      <c r="S147" s="691"/>
      <c r="T147" s="691">
        <v>0.10970801668476086</v>
      </c>
      <c r="U147" s="691">
        <v>9.8051539912005034E-2</v>
      </c>
      <c r="V147" s="691">
        <v>9.9994286040797672E-2</v>
      </c>
      <c r="W147" s="691">
        <v>9.0051997028741212E-2</v>
      </c>
      <c r="X147" s="691">
        <v>9.159476601337066E-2</v>
      </c>
      <c r="Y147" s="691">
        <v>8.5480829666876174E-2</v>
      </c>
      <c r="Z147" s="691">
        <v>8.6852179875435684E-2</v>
      </c>
      <c r="AA147" s="691">
        <v>7.919547454431175E-2</v>
      </c>
      <c r="AB147" s="691">
        <v>6.256785326552769E-2</v>
      </c>
      <c r="AC147" s="691">
        <v>4.7654419747443E-2</v>
      </c>
      <c r="AD147" s="691">
        <v>3.9426318496085938E-2</v>
      </c>
      <c r="AE147" s="691">
        <v>3.3998057253871207E-2</v>
      </c>
      <c r="AF147" s="691">
        <v>2.6569910290840524E-2</v>
      </c>
      <c r="AG147" s="691">
        <v>2.0455973944346038E-2</v>
      </c>
      <c r="AH147" s="691">
        <v>1.1942174732872407E-2</v>
      </c>
      <c r="AI147" s="691">
        <v>8.3423804354036905E-3</v>
      </c>
      <c r="AJ147" s="691"/>
      <c r="AK147" s="691">
        <f t="shared" si="68"/>
        <v>8.1264703699053182</v>
      </c>
      <c r="AL147" s="691">
        <f t="shared" si="69"/>
        <v>18.176364030677359</v>
      </c>
      <c r="AM147" s="691">
        <f t="shared" si="70"/>
        <v>20.108005204232022</v>
      </c>
      <c r="AN147" s="691">
        <f t="shared" si="71"/>
        <v>21.347244243156865</v>
      </c>
      <c r="AO147" s="691">
        <f t="shared" si="72"/>
        <v>11.47115810309713</v>
      </c>
      <c r="AP147" s="691">
        <f t="shared" si="73"/>
        <v>11.163209673210208</v>
      </c>
      <c r="AQ147" s="691">
        <f t="shared" si="74"/>
        <v>9.6982505459680848</v>
      </c>
      <c r="AR147" s="691">
        <f t="shared" si="75"/>
        <v>10.059381122093678</v>
      </c>
      <c r="AS147" s="691">
        <f t="shared" si="76"/>
        <v>10.790387475049242</v>
      </c>
      <c r="AT147" s="691">
        <f t="shared" si="77"/>
        <v>9.9372825367662045</v>
      </c>
      <c r="AU147" s="691">
        <f t="shared" si="78"/>
        <v>9.193834615430923</v>
      </c>
      <c r="AV147" s="691">
        <f t="shared" si="79"/>
        <v>6.4669530198774288</v>
      </c>
      <c r="AW147" s="691">
        <f t="shared" si="80"/>
        <v>5.1956844717960333</v>
      </c>
      <c r="AX147" s="691">
        <f t="shared" si="81"/>
        <v>7.296589078475912</v>
      </c>
      <c r="AY147" s="691">
        <f t="shared" si="82"/>
        <v>1.5018149961531588</v>
      </c>
      <c r="AZ147" s="691">
        <f t="shared" si="83"/>
        <v>1.2241429717750594</v>
      </c>
      <c r="BA147" s="691"/>
      <c r="BB147" s="691">
        <f t="shared" si="84"/>
        <v>10.109798278604037</v>
      </c>
    </row>
    <row r="148" spans="1:54" x14ac:dyDescent="0.35">
      <c r="A148" s="129" t="s">
        <v>211</v>
      </c>
      <c r="B148" s="129" t="str">
        <f>VLOOKUP(A148,'HCW, Staff, Beds Summary'!B:E,4,FALSE)</f>
        <v>Lower middle income</v>
      </c>
      <c r="C148" s="691">
        <v>19.350305317724501</v>
      </c>
      <c r="D148" s="691">
        <v>31.697106058726199</v>
      </c>
      <c r="E148" s="691">
        <v>31.543519316418202</v>
      </c>
      <c r="F148" s="691">
        <v>31.777088845134401</v>
      </c>
      <c r="G148" s="691">
        <v>17.761107331169899</v>
      </c>
      <c r="H148" s="691">
        <v>13.731302111472299</v>
      </c>
      <c r="I148" s="691">
        <v>10.688038602695899</v>
      </c>
      <c r="J148" s="691">
        <v>9.4357790784969708</v>
      </c>
      <c r="K148" s="691">
        <v>7.8767718894590999</v>
      </c>
      <c r="L148" s="691">
        <v>5.87591804181071</v>
      </c>
      <c r="M148" s="691">
        <v>4.3420893140196002</v>
      </c>
      <c r="N148" s="691">
        <v>2.91053598541161</v>
      </c>
      <c r="O148" s="691">
        <v>1.85926238696672</v>
      </c>
      <c r="P148" s="691">
        <v>1.22179110028017</v>
      </c>
      <c r="Q148" s="691">
        <v>0.69484146969050198</v>
      </c>
      <c r="R148" s="691">
        <v>0.409025277952279</v>
      </c>
      <c r="S148" s="691"/>
      <c r="T148" s="691">
        <v>0.14611872146118721</v>
      </c>
      <c r="U148" s="691">
        <v>0.13698630136986301</v>
      </c>
      <c r="V148" s="691">
        <v>0.13242009132420091</v>
      </c>
      <c r="W148" s="691">
        <v>0.11415525114155251</v>
      </c>
      <c r="X148" s="691">
        <v>8.5388127853881279E-2</v>
      </c>
      <c r="Y148" s="691">
        <v>6.8493150684931503E-2</v>
      </c>
      <c r="Z148" s="691">
        <v>6.4383561643835616E-2</v>
      </c>
      <c r="AA148" s="691">
        <v>5.7077625570776253E-2</v>
      </c>
      <c r="AB148" s="691">
        <v>5.0228310502283102E-2</v>
      </c>
      <c r="AC148" s="691">
        <v>3.515981735159817E-2</v>
      </c>
      <c r="AD148" s="691">
        <v>3.3333333333333333E-2</v>
      </c>
      <c r="AE148" s="691">
        <v>2.4657534246575342E-2</v>
      </c>
      <c r="AF148" s="691">
        <v>1.9634703196347032E-2</v>
      </c>
      <c r="AG148" s="691">
        <v>1.2328767123287671E-2</v>
      </c>
      <c r="AH148" s="691">
        <v>7.7625570776255707E-3</v>
      </c>
      <c r="AI148" s="691">
        <v>4.5662100456621002E-3</v>
      </c>
      <c r="AJ148" s="691"/>
      <c r="AK148" s="691">
        <f t="shared" si="68"/>
        <v>8.2767907511360672</v>
      </c>
      <c r="AL148" s="691">
        <f t="shared" si="69"/>
        <v>14.461804639293829</v>
      </c>
      <c r="AM148" s="691">
        <f t="shared" si="70"/>
        <v>14.887997263568074</v>
      </c>
      <c r="AN148" s="691">
        <f t="shared" si="71"/>
        <v>17.397956142711084</v>
      </c>
      <c r="AO148" s="691">
        <f t="shared" si="72"/>
        <v>13.000275753764065</v>
      </c>
      <c r="AP148" s="691">
        <f t="shared" si="73"/>
        <v>12.529813176718473</v>
      </c>
      <c r="AQ148" s="691">
        <f t="shared" si="74"/>
        <v>10.375356622297881</v>
      </c>
      <c r="AR148" s="691">
        <f t="shared" si="75"/>
        <v>10.332178090954184</v>
      </c>
      <c r="AS148" s="691">
        <f t="shared" si="76"/>
        <v>9.801210476088313</v>
      </c>
      <c r="AT148" s="691">
        <f t="shared" si="77"/>
        <v>10.445016648997935</v>
      </c>
      <c r="AU148" s="691">
        <f t="shared" si="78"/>
        <v>8.14141746378675</v>
      </c>
      <c r="AV148" s="691">
        <f t="shared" si="79"/>
        <v>7.3774002408002612</v>
      </c>
      <c r="AW148" s="691">
        <f t="shared" si="80"/>
        <v>5.9182916096760421</v>
      </c>
      <c r="AX148" s="691">
        <f t="shared" si="81"/>
        <v>6.1938021055869728</v>
      </c>
      <c r="AY148" s="691">
        <f t="shared" si="82"/>
        <v>5.5944956566992623</v>
      </c>
      <c r="AZ148" s="691">
        <f t="shared" si="83"/>
        <v>5.5985334919718195</v>
      </c>
      <c r="BA148" s="691"/>
      <c r="BB148" s="691">
        <f t="shared" si="84"/>
        <v>10.020771258378186</v>
      </c>
    </row>
    <row r="149" spans="1:54" x14ac:dyDescent="0.35">
      <c r="A149" s="129" t="s">
        <v>426</v>
      </c>
      <c r="B149" s="129" t="str">
        <f>VLOOKUP(A149,'HCW, Staff, Beds Summary'!B:E,4,FALSE)</f>
        <v>Upper middle income</v>
      </c>
      <c r="C149" s="691">
        <v>14.624578293539001</v>
      </c>
      <c r="D149" s="691">
        <v>29.922989438184199</v>
      </c>
      <c r="E149" s="691">
        <v>33.375548215280503</v>
      </c>
      <c r="F149" s="691">
        <v>29.96486572917</v>
      </c>
      <c r="G149" s="691">
        <v>18.9945567316752</v>
      </c>
      <c r="H149" s="691">
        <v>16.759799723579299</v>
      </c>
      <c r="I149" s="691">
        <v>14.9245553901586</v>
      </c>
      <c r="J149" s="691">
        <v>12.592954728396199</v>
      </c>
      <c r="K149" s="691">
        <v>9.80268083062405</v>
      </c>
      <c r="L149" s="691">
        <v>6.5616102459453902</v>
      </c>
      <c r="M149" s="691">
        <v>4.2613635057250097</v>
      </c>
      <c r="N149" s="691">
        <v>2.9533767417766001</v>
      </c>
      <c r="O149" s="691">
        <v>1.92640112809418</v>
      </c>
      <c r="P149" s="691">
        <v>1.28669413798096</v>
      </c>
      <c r="Q149" s="691">
        <v>0.62665125394271803</v>
      </c>
      <c r="R149" s="691">
        <v>0.351033512347669</v>
      </c>
      <c r="S149" s="691"/>
      <c r="T149" s="691">
        <v>0.10379300205821818</v>
      </c>
      <c r="U149" s="691">
        <v>0.11310398902283642</v>
      </c>
      <c r="V149" s="691">
        <v>0.11173184357541899</v>
      </c>
      <c r="W149" s="691">
        <v>0.10193080466529453</v>
      </c>
      <c r="X149" s="691">
        <v>9.2129765755170054E-2</v>
      </c>
      <c r="Y149" s="691">
        <v>8.4582965794374201E-2</v>
      </c>
      <c r="Z149" s="691">
        <v>7.6154072331667155E-2</v>
      </c>
      <c r="AA149" s="691">
        <v>6.9881407429187498E-2</v>
      </c>
      <c r="AB149" s="691">
        <v>5.939429579535431E-2</v>
      </c>
      <c r="AC149" s="691">
        <v>5.2435558169165931E-2</v>
      </c>
      <c r="AD149" s="691">
        <v>4.2438498480838971E-2</v>
      </c>
      <c r="AE149" s="691">
        <v>3.1559345290600803E-2</v>
      </c>
      <c r="AF149" s="691">
        <v>2.1268254434970105E-2</v>
      </c>
      <c r="AG149" s="691">
        <v>1.4603547976085466E-2</v>
      </c>
      <c r="AH149" s="691">
        <v>1.097716357933941E-2</v>
      </c>
      <c r="AI149" s="691">
        <v>7.742820738998334E-3</v>
      </c>
      <c r="AJ149" s="691"/>
      <c r="AK149" s="691">
        <f t="shared" si="68"/>
        <v>8.8063368938254492</v>
      </c>
      <c r="AL149" s="691">
        <f t="shared" si="69"/>
        <v>16.535109469117927</v>
      </c>
      <c r="AM149" s="691">
        <f t="shared" si="70"/>
        <v>18.669447282922533</v>
      </c>
      <c r="AN149" s="691">
        <f t="shared" si="71"/>
        <v>18.373288764105858</v>
      </c>
      <c r="AO149" s="691">
        <f t="shared" si="72"/>
        <v>12.885735527478859</v>
      </c>
      <c r="AP149" s="691">
        <f t="shared" si="73"/>
        <v>12.384142278366134</v>
      </c>
      <c r="AQ149" s="691">
        <f t="shared" si="74"/>
        <v>12.248651757222346</v>
      </c>
      <c r="AR149" s="691">
        <f t="shared" si="75"/>
        <v>11.262790769094181</v>
      </c>
      <c r="AS149" s="691">
        <f t="shared" si="76"/>
        <v>10.315259129007547</v>
      </c>
      <c r="AT149" s="691">
        <f t="shared" si="77"/>
        <v>7.8210408106753286</v>
      </c>
      <c r="AU149" s="691">
        <f t="shared" si="78"/>
        <v>6.2757927033649352</v>
      </c>
      <c r="AV149" s="691">
        <f t="shared" si="79"/>
        <v>5.8488553758436828</v>
      </c>
      <c r="AW149" s="691">
        <f t="shared" si="80"/>
        <v>5.6610226699150115</v>
      </c>
      <c r="AX149" s="691">
        <f t="shared" si="81"/>
        <v>5.5067702557968685</v>
      </c>
      <c r="AY149" s="691">
        <f t="shared" si="82"/>
        <v>3.5679256383803306</v>
      </c>
      <c r="AZ149" s="691">
        <f t="shared" si="83"/>
        <v>2.8335402899392932</v>
      </c>
      <c r="BA149" s="691"/>
      <c r="BB149" s="691">
        <f t="shared" si="84"/>
        <v>9.9372318509410196</v>
      </c>
    </row>
    <row r="150" spans="1:54" x14ac:dyDescent="0.35">
      <c r="A150" s="129" t="s">
        <v>555</v>
      </c>
      <c r="B150" s="129" t="str">
        <f>VLOOKUP(A150,'HCW, Staff, Beds Summary'!B:E,4,FALSE)</f>
        <v>High income</v>
      </c>
      <c r="C150" s="691">
        <v>5.9561240310945696</v>
      </c>
      <c r="D150" s="691">
        <v>11.760182891308601</v>
      </c>
      <c r="E150" s="691">
        <v>12.2348732847699</v>
      </c>
      <c r="F150" s="691">
        <v>17.151709011378799</v>
      </c>
      <c r="G150" s="691">
        <v>12.146839509111199</v>
      </c>
      <c r="H150" s="691">
        <v>12.9492111206437</v>
      </c>
      <c r="I150" s="691">
        <v>12.648714841037901</v>
      </c>
      <c r="J150" s="691">
        <v>14.9997464663861</v>
      </c>
      <c r="K150" s="691">
        <v>14.783264380894201</v>
      </c>
      <c r="L150" s="691">
        <v>12.576700141158</v>
      </c>
      <c r="M150" s="691">
        <v>8.67934432056561</v>
      </c>
      <c r="N150" s="691">
        <v>6.4438851115008502</v>
      </c>
      <c r="O150" s="691">
        <v>4.2277857186221599</v>
      </c>
      <c r="P150" s="691">
        <v>2.5277905210763301</v>
      </c>
      <c r="Q150" s="691">
        <v>1.6911824526438199</v>
      </c>
      <c r="R150" s="691">
        <v>1.5939651633523699</v>
      </c>
      <c r="S150" s="691"/>
      <c r="T150" s="691">
        <v>5.7806735689634653E-2</v>
      </c>
      <c r="U150" s="691">
        <v>6.0677734142568128E-2</v>
      </c>
      <c r="V150" s="691">
        <v>5.8282756158514817E-2</v>
      </c>
      <c r="W150" s="691">
        <v>5.4296084731643462E-2</v>
      </c>
      <c r="X150" s="691">
        <v>6.0008330358205401E-2</v>
      </c>
      <c r="Y150" s="691">
        <v>6.6047840057122456E-2</v>
      </c>
      <c r="Z150" s="691">
        <v>6.933535642032608E-2</v>
      </c>
      <c r="AA150" s="691">
        <v>6.759490658098298E-2</v>
      </c>
      <c r="AB150" s="691">
        <v>6.3459478757586577E-2</v>
      </c>
      <c r="AC150" s="691">
        <v>6.3295846721409019E-2</v>
      </c>
      <c r="AD150" s="691">
        <v>6.8264310365345707E-2</v>
      </c>
      <c r="AE150" s="691">
        <v>6.6866000238010231E-2</v>
      </c>
      <c r="AF150" s="691">
        <v>5.7524098536237057E-2</v>
      </c>
      <c r="AG150" s="691">
        <v>4.9803641556586932E-2</v>
      </c>
      <c r="AH150" s="691">
        <v>4.9922646673806977E-2</v>
      </c>
      <c r="AI150" s="691">
        <v>3.5969296679757227E-2</v>
      </c>
      <c r="AJ150" s="691"/>
      <c r="AK150" s="691">
        <f t="shared" si="68"/>
        <v>6.4396950892032514</v>
      </c>
      <c r="AL150" s="691">
        <f t="shared" si="69"/>
        <v>12.113363181621253</v>
      </c>
      <c r="AM150" s="691">
        <f t="shared" si="70"/>
        <v>13.120168480337094</v>
      </c>
      <c r="AN150" s="691">
        <f t="shared" si="71"/>
        <v>19.743261756522745</v>
      </c>
      <c r="AO150" s="691">
        <f t="shared" si="72"/>
        <v>12.651201338009594</v>
      </c>
      <c r="AP150" s="691">
        <f t="shared" si="73"/>
        <v>12.253628496257772</v>
      </c>
      <c r="AQ150" s="691">
        <f t="shared" si="74"/>
        <v>11.401754002278638</v>
      </c>
      <c r="AR150" s="691">
        <f t="shared" si="75"/>
        <v>13.869153780484419</v>
      </c>
      <c r="AS150" s="691">
        <f t="shared" si="76"/>
        <v>14.559748076963663</v>
      </c>
      <c r="AT150" s="691">
        <f t="shared" si="77"/>
        <v>12.418567718701606</v>
      </c>
      <c r="AU150" s="691">
        <f t="shared" si="78"/>
        <v>7.9464513320672072</v>
      </c>
      <c r="AV150" s="691">
        <f t="shared" si="79"/>
        <v>6.023133102551907</v>
      </c>
      <c r="AW150" s="691">
        <f t="shared" si="80"/>
        <v>4.5934941031267149</v>
      </c>
      <c r="AX150" s="691">
        <f t="shared" si="81"/>
        <v>3.1721959003292119</v>
      </c>
      <c r="AY150" s="691">
        <f t="shared" si="82"/>
        <v>2.1172535979687153</v>
      </c>
      <c r="AZ150" s="691">
        <f t="shared" si="83"/>
        <v>2.7696627931451543</v>
      </c>
      <c r="BA150" s="691"/>
      <c r="BB150" s="691">
        <f t="shared" si="84"/>
        <v>9.6995457968480583</v>
      </c>
    </row>
    <row r="151" spans="1:54" x14ac:dyDescent="0.35">
      <c r="A151" s="129" t="s">
        <v>254</v>
      </c>
      <c r="B151" s="129" t="str">
        <f>VLOOKUP(A151,'HCW, Staff, Beds Summary'!B:E,4,FALSE)</f>
        <v>Upper middle income</v>
      </c>
      <c r="C151" s="691">
        <v>13.8932068867948</v>
      </c>
      <c r="D151" s="691">
        <v>28.2639879834908</v>
      </c>
      <c r="E151" s="691">
        <v>31.699471463281</v>
      </c>
      <c r="F151" s="691">
        <v>28.702586996286499</v>
      </c>
      <c r="G151" s="691">
        <v>13.4243757108155</v>
      </c>
      <c r="H151" s="691">
        <v>12.0780038013077</v>
      </c>
      <c r="I151" s="691">
        <v>11.3184072704885</v>
      </c>
      <c r="J151" s="691">
        <v>11.3136646160475</v>
      </c>
      <c r="K151" s="691">
        <v>9.9828763480165694</v>
      </c>
      <c r="L151" s="691">
        <v>7.2494739394194303</v>
      </c>
      <c r="M151" s="691">
        <v>5.2413727359445499</v>
      </c>
      <c r="N151" s="691">
        <v>3.48792166372123</v>
      </c>
      <c r="O151" s="691">
        <v>2.0250873269270002</v>
      </c>
      <c r="P151" s="691">
        <v>1.5789969810511499</v>
      </c>
      <c r="Q151" s="691">
        <v>0.89963546029202401</v>
      </c>
      <c r="R151" s="691">
        <v>0.82177372859739894</v>
      </c>
      <c r="S151" s="691"/>
      <c r="T151" s="691">
        <v>0.13636363636363635</v>
      </c>
      <c r="U151" s="691">
        <v>0.12626262626262627</v>
      </c>
      <c r="V151" s="691">
        <v>0.11616161616161616</v>
      </c>
      <c r="W151" s="691">
        <v>9.7474747474747478E-2</v>
      </c>
      <c r="X151" s="691">
        <v>8.3838383838383837E-2</v>
      </c>
      <c r="Y151" s="691">
        <v>7.4747474747474743E-2</v>
      </c>
      <c r="Z151" s="691">
        <v>5.909090909090909E-2</v>
      </c>
      <c r="AA151" s="691">
        <v>5.2525252525252523E-2</v>
      </c>
      <c r="AB151" s="691">
        <v>0.05</v>
      </c>
      <c r="AC151" s="691">
        <v>4.8989898989898993E-2</v>
      </c>
      <c r="AD151" s="691">
        <v>4.4949494949494948E-2</v>
      </c>
      <c r="AE151" s="691">
        <v>3.787878787878788E-2</v>
      </c>
      <c r="AF151" s="691">
        <v>2.9797979797979799E-2</v>
      </c>
      <c r="AG151" s="691">
        <v>2.0707070707070709E-2</v>
      </c>
      <c r="AH151" s="691">
        <v>1.3636363636363636E-2</v>
      </c>
      <c r="AI151" s="691">
        <v>9.0909090909090905E-3</v>
      </c>
      <c r="AJ151" s="691"/>
      <c r="AK151" s="691">
        <f t="shared" si="68"/>
        <v>6.3677198231142844</v>
      </c>
      <c r="AL151" s="691">
        <f t="shared" si="69"/>
        <v>13.990674051827945</v>
      </c>
      <c r="AM151" s="691">
        <f t="shared" si="70"/>
        <v>17.055693885134886</v>
      </c>
      <c r="AN151" s="691">
        <f t="shared" si="71"/>
        <v>18.40386083311116</v>
      </c>
      <c r="AO151" s="691">
        <f t="shared" si="72"/>
        <v>10.007629483213362</v>
      </c>
      <c r="AP151" s="691">
        <f t="shared" si="73"/>
        <v>10.099006556836676</v>
      </c>
      <c r="AQ151" s="691">
        <f t="shared" si="74"/>
        <v>11.971392305324375</v>
      </c>
      <c r="AR151" s="691">
        <f t="shared" si="75"/>
        <v>13.462173040729597</v>
      </c>
      <c r="AS151" s="691">
        <f t="shared" si="76"/>
        <v>12.478595435020711</v>
      </c>
      <c r="AT151" s="691">
        <f t="shared" si="77"/>
        <v>9.248684536114995</v>
      </c>
      <c r="AU151" s="691">
        <f t="shared" si="78"/>
        <v>7.2878637761026752</v>
      </c>
      <c r="AV151" s="691">
        <f t="shared" si="79"/>
        <v>5.7550707451400296</v>
      </c>
      <c r="AW151" s="691">
        <f t="shared" si="80"/>
        <v>4.2475348594443432</v>
      </c>
      <c r="AX151" s="691">
        <f t="shared" si="81"/>
        <v>4.7658750342702385</v>
      </c>
      <c r="AY151" s="691">
        <f t="shared" si="82"/>
        <v>4.1233291930051106</v>
      </c>
      <c r="AZ151" s="691">
        <f t="shared" si="83"/>
        <v>5.6496943841071179</v>
      </c>
      <c r="BA151" s="691"/>
      <c r="BB151" s="691">
        <f t="shared" si="84"/>
        <v>9.682174871406092</v>
      </c>
    </row>
    <row r="152" spans="1:54" x14ac:dyDescent="0.35">
      <c r="A152" s="129" t="s">
        <v>399</v>
      </c>
      <c r="B152" s="129" t="str">
        <f>VLOOKUP(A152,'HCW, Staff, Beds Summary'!B:E,4,FALSE)</f>
        <v>High income</v>
      </c>
      <c r="C152" s="691">
        <v>4.29463760877809</v>
      </c>
      <c r="D152" s="691">
        <v>4.9269678517589499</v>
      </c>
      <c r="E152" s="691">
        <v>7.1555465660856097</v>
      </c>
      <c r="F152" s="691">
        <v>13.335886348699299</v>
      </c>
      <c r="G152" s="691">
        <v>9.6976461716319005</v>
      </c>
      <c r="H152" s="691">
        <v>8.2875088707332694</v>
      </c>
      <c r="I152" s="691">
        <v>9.3999453406344706</v>
      </c>
      <c r="J152" s="691">
        <v>11.440602895635999</v>
      </c>
      <c r="K152" s="691">
        <v>11.9121203099066</v>
      </c>
      <c r="L152" s="691">
        <v>9.6476697856188594</v>
      </c>
      <c r="M152" s="691">
        <v>7.6003127117375104</v>
      </c>
      <c r="N152" s="691">
        <v>4.9953009667800199</v>
      </c>
      <c r="O152" s="691">
        <v>3.7404461454150701</v>
      </c>
      <c r="P152" s="691">
        <v>3.2704424279479101</v>
      </c>
      <c r="Q152" s="691">
        <v>2.3413985373428399</v>
      </c>
      <c r="R152" s="691">
        <v>0.91648236175297104</v>
      </c>
      <c r="S152" s="691"/>
      <c r="T152" s="691">
        <v>4.8440939548610271E-2</v>
      </c>
      <c r="U152" s="691">
        <v>4.5610682406444281E-2</v>
      </c>
      <c r="V152" s="691">
        <v>4.5489731246522655E-2</v>
      </c>
      <c r="W152" s="691">
        <v>4.9166646508140011E-2</v>
      </c>
      <c r="X152" s="691">
        <v>5.4343356152785502E-2</v>
      </c>
      <c r="Y152" s="691">
        <v>5.7584847238685018E-2</v>
      </c>
      <c r="Z152" s="691">
        <v>6.49507728779119E-2</v>
      </c>
      <c r="AA152" s="691">
        <v>6.481772660199811E-2</v>
      </c>
      <c r="AB152" s="691">
        <v>6.0390914148866687E-2</v>
      </c>
      <c r="AC152" s="691">
        <v>6.1866518299910495E-2</v>
      </c>
      <c r="AD152" s="691">
        <v>7.974309973632647E-2</v>
      </c>
      <c r="AE152" s="691">
        <v>8.1242894119354606E-2</v>
      </c>
      <c r="AF152" s="691">
        <v>6.9474346258980621E-2</v>
      </c>
      <c r="AG152" s="691">
        <v>5.7572752122692854E-2</v>
      </c>
      <c r="AH152" s="691">
        <v>4.5755823798350227E-2</v>
      </c>
      <c r="AI152" s="691">
        <v>4.3409371295870726E-2</v>
      </c>
      <c r="AJ152" s="691"/>
      <c r="AK152" s="691">
        <f t="shared" si="68"/>
        <v>5.5410744104019187</v>
      </c>
      <c r="AL152" s="691">
        <f t="shared" si="69"/>
        <v>6.7513896852248481</v>
      </c>
      <c r="AM152" s="691">
        <f t="shared" si="70"/>
        <v>9.8312662687919765</v>
      </c>
      <c r="AN152" s="691">
        <f t="shared" si="71"/>
        <v>16.952404851441585</v>
      </c>
      <c r="AO152" s="691">
        <f t="shared" si="72"/>
        <v>11.153210413117382</v>
      </c>
      <c r="AP152" s="691">
        <f t="shared" si="73"/>
        <v>8.99488892058503</v>
      </c>
      <c r="AQ152" s="691">
        <f t="shared" si="74"/>
        <v>9.0452593211473094</v>
      </c>
      <c r="AR152" s="691">
        <f t="shared" si="75"/>
        <v>11.031514347422481</v>
      </c>
      <c r="AS152" s="691">
        <f t="shared" si="76"/>
        <v>12.32813793038326</v>
      </c>
      <c r="AT152" s="691">
        <f t="shared" si="77"/>
        <v>9.7464570202272256</v>
      </c>
      <c r="AU152" s="691">
        <f t="shared" si="78"/>
        <v>5.956873335175886</v>
      </c>
      <c r="AV152" s="691">
        <f t="shared" si="79"/>
        <v>3.8428752915311755</v>
      </c>
      <c r="AW152" s="691">
        <f t="shared" si="80"/>
        <v>3.364952628945717</v>
      </c>
      <c r="AX152" s="691">
        <f t="shared" si="81"/>
        <v>3.5503366472935571</v>
      </c>
      <c r="AY152" s="691">
        <f t="shared" si="82"/>
        <v>3.1982247599529359</v>
      </c>
      <c r="AZ152" s="691">
        <f t="shared" si="83"/>
        <v>1.3195341443475226</v>
      </c>
      <c r="BA152" s="691"/>
      <c r="BB152" s="691">
        <f t="shared" si="84"/>
        <v>7.6630249984993641</v>
      </c>
    </row>
  </sheetData>
  <mergeCells count="4">
    <mergeCell ref="C2:R2"/>
    <mergeCell ref="AK2:AZ2"/>
    <mergeCell ref="T2:AI2"/>
    <mergeCell ref="A1:R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2" tint="-0.499984740745262"/>
  </sheetPr>
  <dimension ref="A1:M83"/>
  <sheetViews>
    <sheetView showGridLines="0" topLeftCell="A2" zoomScale="80" zoomScaleNormal="50" workbookViewId="0">
      <pane xSplit="5" ySplit="9" topLeftCell="F11" activePane="bottomRight" state="frozen"/>
      <selection activeCell="B6" sqref="B6"/>
      <selection pane="topRight" activeCell="B6" sqref="B6"/>
      <selection pane="bottomLeft" activeCell="B6" sqref="B6"/>
      <selection pane="bottomRight" activeCell="D11" sqref="D11:D31"/>
    </sheetView>
  </sheetViews>
  <sheetFormatPr defaultColWidth="12.453125" defaultRowHeight="15.5" x14ac:dyDescent="0.35"/>
  <cols>
    <col min="1" max="1" width="3" style="426" customWidth="1"/>
    <col min="2" max="2" width="15.453125" style="428" customWidth="1"/>
    <col min="3" max="3" width="56.453125" style="426" bestFit="1" customWidth="1"/>
    <col min="4" max="4" width="12.453125" style="426" customWidth="1"/>
    <col min="5" max="5" width="18.453125" style="427" customWidth="1"/>
    <col min="6" max="12" width="11.453125" style="426" customWidth="1"/>
    <col min="13" max="13" width="15.453125" style="426" bestFit="1" customWidth="1"/>
    <col min="14" max="16384" width="12.453125" style="426"/>
  </cols>
  <sheetData>
    <row r="1" spans="2:13" s="480" customFormat="1" ht="31" x14ac:dyDescent="0.7">
      <c r="B1" s="482" t="s">
        <v>1181</v>
      </c>
      <c r="E1" s="481"/>
    </row>
    <row r="2" spans="2:13" ht="19.399999999999999" customHeight="1" x14ac:dyDescent="0.45">
      <c r="B2" s="479"/>
    </row>
    <row r="3" spans="2:13" ht="40.4" customHeight="1" x14ac:dyDescent="0.3">
      <c r="B3" s="1403" t="s">
        <v>1180</v>
      </c>
      <c r="C3" s="1404"/>
      <c r="D3" s="1404"/>
      <c r="E3" s="1404"/>
      <c r="F3" s="1404"/>
      <c r="G3" s="1404"/>
      <c r="H3" s="1404"/>
      <c r="I3" s="1404"/>
      <c r="J3" s="1405"/>
      <c r="K3" s="478"/>
      <c r="L3" s="478"/>
      <c r="M3" s="478"/>
    </row>
    <row r="4" spans="2:13" ht="16" thickBot="1" x14ac:dyDescent="0.4"/>
    <row r="5" spans="2:13" ht="16" thickBot="1" x14ac:dyDescent="0.4">
      <c r="C5" s="477" t="s">
        <v>1179</v>
      </c>
      <c r="D5" s="476"/>
      <c r="E5" s="475" t="s">
        <v>1812</v>
      </c>
      <c r="F5" s="474"/>
      <c r="G5" s="474"/>
      <c r="H5" s="474"/>
      <c r="I5" s="474"/>
      <c r="J5" s="473"/>
      <c r="K5" s="473"/>
      <c r="L5" s="473"/>
      <c r="M5" s="472"/>
    </row>
    <row r="7" spans="2:13" ht="16" thickBot="1" x14ac:dyDescent="0.4"/>
    <row r="8" spans="2:13" ht="16" thickBot="1" x14ac:dyDescent="0.4">
      <c r="F8" s="471" t="s">
        <v>1178</v>
      </c>
      <c r="G8" s="470"/>
      <c r="H8" s="470"/>
      <c r="I8" s="470"/>
      <c r="J8" s="470"/>
      <c r="K8" s="470"/>
      <c r="L8" s="469"/>
      <c r="M8" s="468" t="s">
        <v>1177</v>
      </c>
    </row>
    <row r="9" spans="2:13" s="425" customFormat="1" ht="29.25" customHeight="1" thickBot="1" x14ac:dyDescent="0.4">
      <c r="B9" s="467"/>
      <c r="E9" s="466"/>
      <c r="F9" s="465">
        <v>1</v>
      </c>
      <c r="G9" s="464">
        <v>2</v>
      </c>
      <c r="H9" s="464">
        <v>3</v>
      </c>
      <c r="I9" s="463">
        <v>4</v>
      </c>
      <c r="J9" s="465">
        <v>5</v>
      </c>
      <c r="K9" s="464">
        <v>6</v>
      </c>
      <c r="L9" s="463">
        <v>7</v>
      </c>
      <c r="M9" s="462"/>
    </row>
    <row r="10" spans="2:13" s="454" customFormat="1" ht="46.4" customHeight="1" thickBot="1" x14ac:dyDescent="0.4">
      <c r="B10" s="461" t="s">
        <v>1176</v>
      </c>
      <c r="C10" s="460" t="s">
        <v>1175</v>
      </c>
      <c r="D10" s="460" t="s">
        <v>1174</v>
      </c>
      <c r="E10" s="459" t="s">
        <v>1173</v>
      </c>
      <c r="F10" s="458" t="s">
        <v>1172</v>
      </c>
      <c r="G10" s="457" t="s">
        <v>1171</v>
      </c>
      <c r="H10" s="457" t="s">
        <v>1170</v>
      </c>
      <c r="I10" s="456" t="s">
        <v>1169</v>
      </c>
      <c r="J10" s="458" t="s">
        <v>1168</v>
      </c>
      <c r="K10" s="457" t="s">
        <v>1167</v>
      </c>
      <c r="L10" s="456" t="s">
        <v>1167</v>
      </c>
      <c r="M10" s="455"/>
    </row>
    <row r="11" spans="2:13" x14ac:dyDescent="0.35">
      <c r="B11" s="453">
        <v>1</v>
      </c>
      <c r="C11" s="1272" t="s">
        <v>1796</v>
      </c>
      <c r="D11" s="1273" t="s">
        <v>1850</v>
      </c>
      <c r="E11" s="1274" t="s">
        <v>1166</v>
      </c>
      <c r="F11" s="1275">
        <v>0</v>
      </c>
      <c r="G11" s="1276">
        <v>0</v>
      </c>
      <c r="H11" s="1276">
        <v>0</v>
      </c>
      <c r="I11" s="1277">
        <v>0</v>
      </c>
      <c r="J11" s="1278">
        <v>0</v>
      </c>
      <c r="K11" s="1279"/>
      <c r="L11" s="1280"/>
      <c r="M11" s="1281" t="s">
        <v>270</v>
      </c>
    </row>
    <row r="12" spans="2:13" x14ac:dyDescent="0.35">
      <c r="B12" s="448">
        <v>2</v>
      </c>
      <c r="C12" s="1282" t="s">
        <v>1797</v>
      </c>
      <c r="D12" s="1283" t="s">
        <v>1851</v>
      </c>
      <c r="E12" s="1284">
        <v>2212</v>
      </c>
      <c r="F12" s="1285">
        <v>0</v>
      </c>
      <c r="G12" s="1279">
        <v>0</v>
      </c>
      <c r="H12" s="1279">
        <v>0</v>
      </c>
      <c r="I12" s="1286">
        <v>0</v>
      </c>
      <c r="J12" s="1287">
        <v>0</v>
      </c>
      <c r="K12" s="1279"/>
      <c r="L12" s="1280"/>
      <c r="M12" s="1281" t="s">
        <v>270</v>
      </c>
    </row>
    <row r="13" spans="2:13" x14ac:dyDescent="0.35">
      <c r="B13" s="448">
        <v>3</v>
      </c>
      <c r="C13" s="1282" t="s">
        <v>1165</v>
      </c>
      <c r="D13" s="1283" t="s">
        <v>1852</v>
      </c>
      <c r="E13" s="1284">
        <v>2212</v>
      </c>
      <c r="F13" s="1285">
        <v>0</v>
      </c>
      <c r="G13" s="1279">
        <v>0</v>
      </c>
      <c r="H13" s="1279">
        <v>0</v>
      </c>
      <c r="I13" s="1286">
        <v>4.28125</v>
      </c>
      <c r="J13" s="1285">
        <v>0</v>
      </c>
      <c r="K13" s="1279"/>
      <c r="L13" s="1280"/>
      <c r="M13" s="1281" t="s">
        <v>270</v>
      </c>
    </row>
    <row r="14" spans="2:13" x14ac:dyDescent="0.35">
      <c r="B14" s="448">
        <v>4</v>
      </c>
      <c r="C14" s="1282" t="s">
        <v>1164</v>
      </c>
      <c r="D14" s="1288" t="s">
        <v>1853</v>
      </c>
      <c r="E14" s="1284">
        <v>2212</v>
      </c>
      <c r="F14" s="1285">
        <v>0</v>
      </c>
      <c r="G14" s="1279">
        <v>0</v>
      </c>
      <c r="H14" s="1279">
        <v>0</v>
      </c>
      <c r="I14" s="1286">
        <v>0.18</v>
      </c>
      <c r="J14" s="1285">
        <v>0</v>
      </c>
      <c r="K14" s="1279"/>
      <c r="L14" s="1280"/>
      <c r="M14" s="1281" t="s">
        <v>270</v>
      </c>
    </row>
    <row r="15" spans="2:13" x14ac:dyDescent="0.35">
      <c r="B15" s="448">
        <v>5</v>
      </c>
      <c r="C15" s="1282" t="s">
        <v>1163</v>
      </c>
      <c r="D15" s="1288" t="s">
        <v>1854</v>
      </c>
      <c r="E15" s="1289">
        <v>2212</v>
      </c>
      <c r="F15" s="1285">
        <v>0</v>
      </c>
      <c r="G15" s="1279">
        <v>0</v>
      </c>
      <c r="H15" s="1279">
        <v>0</v>
      </c>
      <c r="I15" s="1286">
        <v>0.21249999999999999</v>
      </c>
      <c r="J15" s="1285">
        <v>0</v>
      </c>
      <c r="K15" s="1279"/>
      <c r="L15" s="1280"/>
      <c r="M15" s="1281" t="s">
        <v>270</v>
      </c>
    </row>
    <row r="16" spans="2:13" x14ac:dyDescent="0.35">
      <c r="B16" s="448">
        <v>6</v>
      </c>
      <c r="C16" s="1282" t="s">
        <v>1798</v>
      </c>
      <c r="D16" s="1290" t="s">
        <v>1855</v>
      </c>
      <c r="E16" s="1289">
        <v>2212</v>
      </c>
      <c r="F16" s="1285">
        <v>0</v>
      </c>
      <c r="G16" s="1279">
        <v>1</v>
      </c>
      <c r="H16" s="1279">
        <v>1.3386363636363636</v>
      </c>
      <c r="I16" s="1286">
        <v>0</v>
      </c>
      <c r="J16" s="1285">
        <v>0</v>
      </c>
      <c r="K16" s="1279"/>
      <c r="L16" s="1280"/>
      <c r="M16" s="1281" t="s">
        <v>270</v>
      </c>
    </row>
    <row r="17" spans="2:13" x14ac:dyDescent="0.35">
      <c r="B17" s="448">
        <v>7</v>
      </c>
      <c r="C17" s="1282" t="s">
        <v>1799</v>
      </c>
      <c r="D17" s="1283" t="s">
        <v>1856</v>
      </c>
      <c r="E17" s="1291" t="s">
        <v>1162</v>
      </c>
      <c r="F17" s="1285">
        <v>0.5</v>
      </c>
      <c r="G17" s="1279">
        <v>0</v>
      </c>
      <c r="H17" s="1279">
        <v>0</v>
      </c>
      <c r="I17" s="1286">
        <v>0</v>
      </c>
      <c r="J17" s="1285">
        <v>0.5</v>
      </c>
      <c r="K17" s="1279"/>
      <c r="L17" s="1280"/>
      <c r="M17" s="1281" t="s">
        <v>270</v>
      </c>
    </row>
    <row r="18" spans="2:13" x14ac:dyDescent="0.35">
      <c r="B18" s="448">
        <v>8</v>
      </c>
      <c r="C18" s="1282" t="s">
        <v>1800</v>
      </c>
      <c r="D18" s="1283" t="s">
        <v>1857</v>
      </c>
      <c r="E18" s="1284" t="s">
        <v>1162</v>
      </c>
      <c r="F18" s="1285">
        <v>0</v>
      </c>
      <c r="G18" s="1279">
        <v>3.5</v>
      </c>
      <c r="H18" s="1279">
        <v>8.6355454545454542</v>
      </c>
      <c r="I18" s="1286">
        <v>0</v>
      </c>
      <c r="J18" s="1285">
        <v>0</v>
      </c>
      <c r="K18" s="1279"/>
      <c r="L18" s="1280"/>
      <c r="M18" s="1281" t="s">
        <v>270</v>
      </c>
    </row>
    <row r="19" spans="2:13" s="425" customFormat="1" ht="18" customHeight="1" x14ac:dyDescent="0.35">
      <c r="B19" s="448">
        <v>9</v>
      </c>
      <c r="C19" s="1282" t="s">
        <v>1801</v>
      </c>
      <c r="D19" s="1283" t="s">
        <v>1858</v>
      </c>
      <c r="E19" s="1284">
        <v>2221</v>
      </c>
      <c r="F19" s="1292">
        <v>0</v>
      </c>
      <c r="G19" s="1293">
        <v>0</v>
      </c>
      <c r="H19" s="1293">
        <v>0.5</v>
      </c>
      <c r="I19" s="1294">
        <v>15.528124999999999</v>
      </c>
      <c r="J19" s="1292">
        <v>0</v>
      </c>
      <c r="K19" s="1279"/>
      <c r="L19" s="1280"/>
      <c r="M19" s="1281" t="s">
        <v>270</v>
      </c>
    </row>
    <row r="20" spans="2:13" x14ac:dyDescent="0.35">
      <c r="B20" s="448">
        <v>10</v>
      </c>
      <c r="C20" s="1282" t="s">
        <v>1161</v>
      </c>
      <c r="D20" s="1283" t="s">
        <v>1859</v>
      </c>
      <c r="E20" s="1291">
        <v>2221</v>
      </c>
      <c r="F20" s="1295">
        <v>0</v>
      </c>
      <c r="G20" s="1296">
        <v>0</v>
      </c>
      <c r="H20" s="1296">
        <v>0</v>
      </c>
      <c r="I20" s="1297">
        <v>4.05</v>
      </c>
      <c r="J20" s="1295">
        <v>0</v>
      </c>
      <c r="K20" s="1279"/>
      <c r="L20" s="1280"/>
      <c r="M20" s="1281" t="s">
        <v>270</v>
      </c>
    </row>
    <row r="21" spans="2:13" x14ac:dyDescent="0.35">
      <c r="B21" s="448">
        <v>11</v>
      </c>
      <c r="C21" s="1282" t="s">
        <v>1802</v>
      </c>
      <c r="D21" s="1288">
        <v>9</v>
      </c>
      <c r="E21" s="1284">
        <v>2221</v>
      </c>
      <c r="F21" s="1285">
        <v>0.5</v>
      </c>
      <c r="G21" s="1279">
        <v>0</v>
      </c>
      <c r="H21" s="1279">
        <v>0</v>
      </c>
      <c r="I21" s="1286">
        <v>0</v>
      </c>
      <c r="J21" s="1285">
        <v>0.30000000000000004</v>
      </c>
      <c r="K21" s="1293"/>
      <c r="L21" s="1298"/>
      <c r="M21" s="1281" t="s">
        <v>270</v>
      </c>
    </row>
    <row r="22" spans="2:13" x14ac:dyDescent="0.35">
      <c r="B22" s="448">
        <v>12</v>
      </c>
      <c r="C22" s="1282" t="s">
        <v>1803</v>
      </c>
      <c r="D22" s="1288" t="s">
        <v>1860</v>
      </c>
      <c r="E22" s="1299">
        <v>3259</v>
      </c>
      <c r="F22" s="1285">
        <v>0</v>
      </c>
      <c r="G22" s="1279">
        <v>0</v>
      </c>
      <c r="H22" s="1279">
        <v>0</v>
      </c>
      <c r="I22" s="1286">
        <v>0.625</v>
      </c>
      <c r="J22" s="1285">
        <v>0</v>
      </c>
      <c r="K22" s="1300"/>
      <c r="L22" s="1301"/>
      <c r="M22" s="1281" t="s">
        <v>270</v>
      </c>
    </row>
    <row r="23" spans="2:13" x14ac:dyDescent="0.35">
      <c r="B23" s="448">
        <v>13</v>
      </c>
      <c r="C23" s="1282" t="s">
        <v>1804</v>
      </c>
      <c r="D23" s="1288" t="s">
        <v>1861</v>
      </c>
      <c r="E23" s="1289">
        <v>3211</v>
      </c>
      <c r="F23" s="1285">
        <v>0</v>
      </c>
      <c r="G23" s="1279">
        <v>0.25</v>
      </c>
      <c r="H23" s="1279">
        <v>0.25</v>
      </c>
      <c r="I23" s="1286">
        <v>0.5</v>
      </c>
      <c r="J23" s="1285">
        <v>0</v>
      </c>
      <c r="K23" s="1279"/>
      <c r="L23" s="1280"/>
      <c r="M23" s="1281" t="s">
        <v>270</v>
      </c>
    </row>
    <row r="24" spans="2:13" x14ac:dyDescent="0.35">
      <c r="B24" s="448">
        <v>14</v>
      </c>
      <c r="C24" s="1282" t="s">
        <v>1805</v>
      </c>
      <c r="D24" s="1283" t="s">
        <v>1862</v>
      </c>
      <c r="E24" s="1289">
        <v>3213</v>
      </c>
      <c r="F24" s="1295">
        <v>0</v>
      </c>
      <c r="G24" s="1296">
        <v>1</v>
      </c>
      <c r="H24" s="1296">
        <v>2</v>
      </c>
      <c r="I24" s="1297">
        <v>2</v>
      </c>
      <c r="J24" s="1295">
        <v>0</v>
      </c>
      <c r="K24" s="1279"/>
      <c r="L24" s="1280"/>
      <c r="M24" s="1281" t="s">
        <v>270</v>
      </c>
    </row>
    <row r="25" spans="2:13" x14ac:dyDescent="0.35">
      <c r="B25" s="448">
        <v>15</v>
      </c>
      <c r="C25" s="1282" t="s">
        <v>1806</v>
      </c>
      <c r="D25" s="1283">
        <v>5</v>
      </c>
      <c r="E25" s="1289">
        <v>3212</v>
      </c>
      <c r="F25" s="1285">
        <v>0</v>
      </c>
      <c r="G25" s="1279">
        <v>1</v>
      </c>
      <c r="H25" s="1279">
        <v>0.5</v>
      </c>
      <c r="I25" s="1286">
        <v>0.5</v>
      </c>
      <c r="J25" s="1285">
        <v>0</v>
      </c>
      <c r="K25" s="1279"/>
      <c r="L25" s="1280"/>
      <c r="M25" s="1281" t="s">
        <v>270</v>
      </c>
    </row>
    <row r="26" spans="2:13" s="425" customFormat="1" x14ac:dyDescent="0.35">
      <c r="B26" s="448">
        <v>16</v>
      </c>
      <c r="C26" s="1282" t="s">
        <v>1807</v>
      </c>
      <c r="D26" s="1283" t="s">
        <v>1863</v>
      </c>
      <c r="E26" s="1284">
        <v>2262</v>
      </c>
      <c r="F26" s="1295">
        <v>0</v>
      </c>
      <c r="G26" s="1296">
        <v>0.5</v>
      </c>
      <c r="H26" s="1296">
        <v>0.5</v>
      </c>
      <c r="I26" s="1297">
        <v>0.75</v>
      </c>
      <c r="J26" s="1295">
        <v>0</v>
      </c>
      <c r="K26" s="1296"/>
      <c r="L26" s="1302"/>
      <c r="M26" s="1281" t="s">
        <v>1183</v>
      </c>
    </row>
    <row r="27" spans="2:13" s="425" customFormat="1" x14ac:dyDescent="0.35">
      <c r="B27" s="448">
        <v>17</v>
      </c>
      <c r="C27" s="1282" t="s">
        <v>1159</v>
      </c>
      <c r="D27" s="1283" t="s">
        <v>1864</v>
      </c>
      <c r="E27" s="1284">
        <v>2265</v>
      </c>
      <c r="F27" s="1295">
        <v>0</v>
      </c>
      <c r="G27" s="1296">
        <v>0.5</v>
      </c>
      <c r="H27" s="1296">
        <v>0.5</v>
      </c>
      <c r="I27" s="1297">
        <v>0.5</v>
      </c>
      <c r="J27" s="1295">
        <v>0</v>
      </c>
      <c r="K27" s="1279"/>
      <c r="L27" s="1280"/>
      <c r="M27" s="1281" t="s">
        <v>1190</v>
      </c>
    </row>
    <row r="28" spans="2:13" s="425" customFormat="1" x14ac:dyDescent="0.35">
      <c r="B28" s="448">
        <v>18</v>
      </c>
      <c r="C28" s="1282" t="s">
        <v>1158</v>
      </c>
      <c r="D28" s="1283" t="s">
        <v>1865</v>
      </c>
      <c r="E28" s="1284" t="s">
        <v>1160</v>
      </c>
      <c r="F28" s="1295">
        <v>0</v>
      </c>
      <c r="G28" s="1296">
        <v>1</v>
      </c>
      <c r="H28" s="1296">
        <v>1</v>
      </c>
      <c r="I28" s="1297">
        <v>0.5</v>
      </c>
      <c r="J28" s="1295">
        <v>0</v>
      </c>
      <c r="K28" s="1296"/>
      <c r="L28" s="1302"/>
      <c r="M28" s="1281" t="s">
        <v>270</v>
      </c>
    </row>
    <row r="29" spans="2:13" s="425" customFormat="1" x14ac:dyDescent="0.35">
      <c r="B29" s="448">
        <v>19</v>
      </c>
      <c r="C29" s="1282" t="s">
        <v>1808</v>
      </c>
      <c r="D29" s="1283" t="s">
        <v>1866</v>
      </c>
      <c r="E29" s="1284">
        <v>3344</v>
      </c>
      <c r="F29" s="1295">
        <v>0</v>
      </c>
      <c r="G29" s="1296">
        <v>0</v>
      </c>
      <c r="H29" s="1296">
        <v>0.5</v>
      </c>
      <c r="I29" s="1297">
        <v>1</v>
      </c>
      <c r="J29" s="1295">
        <v>0</v>
      </c>
      <c r="K29" s="1296"/>
      <c r="L29" s="1302"/>
      <c r="M29" s="1281" t="s">
        <v>270</v>
      </c>
    </row>
    <row r="30" spans="2:13" s="425" customFormat="1" x14ac:dyDescent="0.35">
      <c r="B30" s="448">
        <v>20</v>
      </c>
      <c r="C30" s="1303" t="s">
        <v>1809</v>
      </c>
      <c r="D30" s="1283" t="s">
        <v>1867</v>
      </c>
      <c r="E30" s="1284">
        <v>2635</v>
      </c>
      <c r="F30" s="1295">
        <v>0</v>
      </c>
      <c r="G30" s="1296">
        <v>3.5</v>
      </c>
      <c r="H30" s="1296">
        <v>3.5</v>
      </c>
      <c r="I30" s="1297">
        <v>3.3125</v>
      </c>
      <c r="J30" s="1295">
        <v>0</v>
      </c>
      <c r="K30" s="1296"/>
      <c r="L30" s="1302"/>
      <c r="M30" s="1281" t="s">
        <v>270</v>
      </c>
    </row>
    <row r="31" spans="2:13" s="425" customFormat="1" x14ac:dyDescent="0.35">
      <c r="B31" s="448">
        <v>21</v>
      </c>
      <c r="C31" s="1303" t="s">
        <v>761</v>
      </c>
      <c r="D31" s="1283">
        <v>10</v>
      </c>
      <c r="E31" s="1284">
        <v>2264</v>
      </c>
      <c r="F31" s="1295">
        <v>0</v>
      </c>
      <c r="G31" s="1296">
        <v>0</v>
      </c>
      <c r="H31" s="1296">
        <v>0</v>
      </c>
      <c r="I31" s="1297">
        <v>0</v>
      </c>
      <c r="J31" s="1295">
        <v>0</v>
      </c>
      <c r="K31" s="1296"/>
      <c r="L31" s="1302"/>
      <c r="M31" s="1281" t="s">
        <v>270</v>
      </c>
    </row>
    <row r="32" spans="2:13" s="425" customFormat="1" x14ac:dyDescent="0.35">
      <c r="B32" s="448">
        <v>22</v>
      </c>
      <c r="C32" s="451"/>
      <c r="D32" s="446"/>
      <c r="E32" s="445"/>
      <c r="F32" s="444"/>
      <c r="G32" s="452"/>
      <c r="H32" s="452"/>
      <c r="I32" s="452"/>
      <c r="J32" s="443"/>
      <c r="K32" s="442"/>
      <c r="L32" s="441"/>
      <c r="M32" s="432"/>
    </row>
    <row r="33" spans="1:13" s="425" customFormat="1" x14ac:dyDescent="0.35">
      <c r="B33" s="448">
        <v>23</v>
      </c>
      <c r="C33" s="451"/>
      <c r="D33" s="446"/>
      <c r="E33" s="445"/>
      <c r="F33" s="450"/>
      <c r="G33" s="442"/>
      <c r="H33" s="442"/>
      <c r="I33" s="442"/>
      <c r="J33" s="449"/>
      <c r="K33" s="442"/>
      <c r="L33" s="441"/>
      <c r="M33" s="432"/>
    </row>
    <row r="34" spans="1:13" s="425" customFormat="1" x14ac:dyDescent="0.35">
      <c r="B34" s="448">
        <v>24</v>
      </c>
      <c r="C34" s="447"/>
      <c r="D34" s="446"/>
      <c r="E34" s="445"/>
      <c r="F34" s="444"/>
      <c r="G34" s="442"/>
      <c r="H34" s="442"/>
      <c r="I34" s="442"/>
      <c r="J34" s="443"/>
      <c r="K34" s="442"/>
      <c r="L34" s="441"/>
      <c r="M34" s="432" t="str">
        <f>IFERROR(INDEX('Staffing from HRH tool'!$D$41:$D$64,MATCH(_xlfn.NUMBERVALUE(RIGHT(E34,4)),'Staffing from HRH tool'!$A$41:$A$64,0)),"")</f>
        <v/>
      </c>
    </row>
    <row r="35" spans="1:13" ht="16" thickBot="1" x14ac:dyDescent="0.4">
      <c r="B35" s="440">
        <v>25</v>
      </c>
      <c r="C35" s="439"/>
      <c r="D35" s="438"/>
      <c r="E35" s="437"/>
      <c r="F35" s="436"/>
      <c r="G35" s="434"/>
      <c r="H35" s="434"/>
      <c r="I35" s="434"/>
      <c r="J35" s="435"/>
      <c r="K35" s="434"/>
      <c r="L35" s="433"/>
      <c r="M35" s="432" t="str">
        <f>IFERROR(INDEX('Staffing from HRH tool'!$D$41:$D$64,MATCH(_xlfn.NUMBERVALUE(RIGHT(E35,4)),'Staffing from HRH tool'!$A$41:$A$64,0)),"")</f>
        <v/>
      </c>
    </row>
    <row r="36" spans="1:13" x14ac:dyDescent="0.35">
      <c r="B36" s="425"/>
      <c r="F36" s="431"/>
      <c r="G36" s="431"/>
      <c r="H36" s="431"/>
      <c r="I36" s="431"/>
      <c r="J36" s="431"/>
      <c r="K36" s="431"/>
      <c r="L36" s="431"/>
      <c r="M36" s="431"/>
    </row>
    <row r="37" spans="1:13" x14ac:dyDescent="0.35">
      <c r="B37" s="425"/>
      <c r="F37" s="430"/>
      <c r="G37" s="430"/>
      <c r="H37" s="430"/>
      <c r="I37" s="495"/>
      <c r="J37" s="430"/>
      <c r="K37" s="430"/>
      <c r="L37" s="430"/>
      <c r="M37" s="430"/>
    </row>
    <row r="38" spans="1:13" x14ac:dyDescent="0.35">
      <c r="B38" s="425"/>
      <c r="I38" s="429"/>
    </row>
    <row r="39" spans="1:13" x14ac:dyDescent="0.35">
      <c r="B39" s="425"/>
      <c r="J39" s="429"/>
      <c r="K39" s="429"/>
      <c r="L39" s="429"/>
      <c r="M39" s="429"/>
    </row>
    <row r="40" spans="1:13" s="425" customFormat="1" x14ac:dyDescent="0.35">
      <c r="A40" s="492" t="s">
        <v>1223</v>
      </c>
      <c r="B40" s="492" t="s">
        <v>1222</v>
      </c>
      <c r="C40" s="492" t="s">
        <v>1221</v>
      </c>
      <c r="D40" s="492" t="s">
        <v>292</v>
      </c>
      <c r="E40" s="491" t="s">
        <v>1220</v>
      </c>
    </row>
    <row r="41" spans="1:13" s="425" customFormat="1" x14ac:dyDescent="0.35">
      <c r="A41" s="490">
        <v>2211</v>
      </c>
      <c r="B41" s="490" t="s">
        <v>1218</v>
      </c>
      <c r="C41" s="490" t="s">
        <v>1219</v>
      </c>
      <c r="D41" s="490" t="s">
        <v>270</v>
      </c>
      <c r="E41" s="489" t="s">
        <v>1182</v>
      </c>
    </row>
    <row r="42" spans="1:13" s="425" customFormat="1" x14ac:dyDescent="0.35">
      <c r="A42" s="488">
        <v>2212</v>
      </c>
      <c r="B42" s="488" t="s">
        <v>1218</v>
      </c>
      <c r="C42" s="488" t="s">
        <v>1217</v>
      </c>
      <c r="D42" s="488" t="s">
        <v>270</v>
      </c>
      <c r="E42" s="487" t="s">
        <v>1182</v>
      </c>
    </row>
    <row r="43" spans="1:13" s="425" customFormat="1" x14ac:dyDescent="0.35">
      <c r="A43" s="486">
        <v>2221</v>
      </c>
      <c r="B43" s="486" t="s">
        <v>1216</v>
      </c>
      <c r="C43" s="486" t="s">
        <v>1215</v>
      </c>
      <c r="D43" s="486" t="s">
        <v>270</v>
      </c>
      <c r="E43" s="485" t="s">
        <v>1182</v>
      </c>
    </row>
    <row r="44" spans="1:13" s="425" customFormat="1" x14ac:dyDescent="0.35">
      <c r="A44" s="488">
        <v>2240</v>
      </c>
      <c r="B44" s="488" t="s">
        <v>1214</v>
      </c>
      <c r="C44" s="488" t="s">
        <v>1214</v>
      </c>
      <c r="D44" s="488" t="s">
        <v>270</v>
      </c>
      <c r="E44" s="487" t="s">
        <v>1182</v>
      </c>
    </row>
    <row r="45" spans="1:13" s="425" customFormat="1" x14ac:dyDescent="0.35">
      <c r="A45" s="486">
        <v>2262</v>
      </c>
      <c r="B45" s="486" t="s">
        <v>1209</v>
      </c>
      <c r="C45" s="486" t="s">
        <v>1213</v>
      </c>
      <c r="D45" s="486" t="s">
        <v>270</v>
      </c>
      <c r="E45" s="485"/>
    </row>
    <row r="46" spans="1:13" s="425" customFormat="1" x14ac:dyDescent="0.35">
      <c r="A46" s="488">
        <v>2263</v>
      </c>
      <c r="B46" s="488" t="s">
        <v>1209</v>
      </c>
      <c r="C46" s="488" t="s">
        <v>1212</v>
      </c>
      <c r="D46" s="488" t="s">
        <v>270</v>
      </c>
      <c r="E46" s="487"/>
    </row>
    <row r="47" spans="1:13" s="425" customFormat="1" x14ac:dyDescent="0.35">
      <c r="A47" s="486">
        <v>2264</v>
      </c>
      <c r="B47" s="486" t="s">
        <v>1209</v>
      </c>
      <c r="C47" s="486" t="s">
        <v>1211</v>
      </c>
      <c r="D47" s="486" t="s">
        <v>270</v>
      </c>
      <c r="E47" s="485"/>
    </row>
    <row r="48" spans="1:13" s="425" customFormat="1" x14ac:dyDescent="0.35">
      <c r="A48" s="488">
        <v>2265</v>
      </c>
      <c r="B48" s="488" t="s">
        <v>1209</v>
      </c>
      <c r="C48" s="488" t="s">
        <v>1210</v>
      </c>
      <c r="D48" s="488" t="s">
        <v>270</v>
      </c>
      <c r="E48" s="487"/>
    </row>
    <row r="49" spans="1:5" s="425" customFormat="1" x14ac:dyDescent="0.35">
      <c r="A49" s="486">
        <v>2269</v>
      </c>
      <c r="B49" s="486" t="s">
        <v>1209</v>
      </c>
      <c r="C49" s="486" t="s">
        <v>1208</v>
      </c>
      <c r="D49" s="486" t="s">
        <v>270</v>
      </c>
      <c r="E49" s="485"/>
    </row>
    <row r="50" spans="1:5" s="425" customFormat="1" x14ac:dyDescent="0.35">
      <c r="A50" s="488">
        <v>2635</v>
      </c>
      <c r="B50" s="488" t="s">
        <v>1207</v>
      </c>
      <c r="C50" s="488" t="s">
        <v>1206</v>
      </c>
      <c r="D50" s="488" t="s">
        <v>270</v>
      </c>
      <c r="E50" s="487"/>
    </row>
    <row r="51" spans="1:5" s="425" customFormat="1" x14ac:dyDescent="0.35">
      <c r="A51" s="486">
        <v>3211</v>
      </c>
      <c r="B51" s="486" t="s">
        <v>1203</v>
      </c>
      <c r="C51" s="486" t="s">
        <v>1205</v>
      </c>
      <c r="D51" s="486" t="s">
        <v>270</v>
      </c>
      <c r="E51" s="485"/>
    </row>
    <row r="52" spans="1:5" s="425" customFormat="1" x14ac:dyDescent="0.35">
      <c r="A52" s="488">
        <v>3212</v>
      </c>
      <c r="B52" s="488" t="s">
        <v>1203</v>
      </c>
      <c r="C52" s="488" t="s">
        <v>1204</v>
      </c>
      <c r="D52" s="488" t="s">
        <v>270</v>
      </c>
      <c r="E52" s="487"/>
    </row>
    <row r="53" spans="1:5" s="425" customFormat="1" x14ac:dyDescent="0.35">
      <c r="A53" s="486">
        <v>3213</v>
      </c>
      <c r="B53" s="486" t="s">
        <v>1203</v>
      </c>
      <c r="C53" s="486" t="s">
        <v>1202</v>
      </c>
      <c r="D53" s="486" t="s">
        <v>270</v>
      </c>
      <c r="E53" s="485"/>
    </row>
    <row r="54" spans="1:5" s="425" customFormat="1" x14ac:dyDescent="0.35">
      <c r="A54" s="488">
        <v>3221</v>
      </c>
      <c r="B54" s="488" t="s">
        <v>1201</v>
      </c>
      <c r="C54" s="488" t="s">
        <v>1200</v>
      </c>
      <c r="D54" s="488" t="s">
        <v>270</v>
      </c>
      <c r="E54" s="487" t="s">
        <v>1182</v>
      </c>
    </row>
    <row r="55" spans="1:5" s="425" customFormat="1" x14ac:dyDescent="0.35">
      <c r="A55" s="486">
        <v>3253</v>
      </c>
      <c r="B55" s="486" t="s">
        <v>1194</v>
      </c>
      <c r="C55" s="486" t="s">
        <v>761</v>
      </c>
      <c r="D55" s="486" t="s">
        <v>1199</v>
      </c>
      <c r="E55" s="485"/>
    </row>
    <row r="56" spans="1:5" s="425" customFormat="1" x14ac:dyDescent="0.35">
      <c r="A56" s="488">
        <v>3255</v>
      </c>
      <c r="B56" s="488" t="s">
        <v>1194</v>
      </c>
      <c r="C56" s="488" t="s">
        <v>1198</v>
      </c>
      <c r="D56" s="488" t="s">
        <v>270</v>
      </c>
      <c r="E56" s="487"/>
    </row>
    <row r="57" spans="1:5" s="425" customFormat="1" x14ac:dyDescent="0.35">
      <c r="A57" s="486">
        <v>3256</v>
      </c>
      <c r="B57" s="486" t="s">
        <v>1194</v>
      </c>
      <c r="C57" s="486" t="s">
        <v>1197</v>
      </c>
      <c r="D57" s="486" t="s">
        <v>270</v>
      </c>
      <c r="E57" s="485" t="s">
        <v>1182</v>
      </c>
    </row>
    <row r="58" spans="1:5" s="425" customFormat="1" x14ac:dyDescent="0.35">
      <c r="A58" s="488">
        <v>3257</v>
      </c>
      <c r="B58" s="488" t="s">
        <v>1194</v>
      </c>
      <c r="C58" s="488" t="s">
        <v>1196</v>
      </c>
      <c r="D58" s="488" t="s">
        <v>1183</v>
      </c>
      <c r="E58" s="487"/>
    </row>
    <row r="59" spans="1:5" s="425" customFormat="1" x14ac:dyDescent="0.35">
      <c r="A59" s="486">
        <v>3258</v>
      </c>
      <c r="B59" s="486" t="s">
        <v>1194</v>
      </c>
      <c r="C59" s="486" t="s">
        <v>1195</v>
      </c>
      <c r="D59" s="486" t="s">
        <v>825</v>
      </c>
      <c r="E59" s="485"/>
    </row>
    <row r="60" spans="1:5" s="425" customFormat="1" x14ac:dyDescent="0.35">
      <c r="A60" s="488">
        <v>3259</v>
      </c>
      <c r="B60" s="488" t="s">
        <v>1194</v>
      </c>
      <c r="C60" s="488" t="s">
        <v>1193</v>
      </c>
      <c r="D60" s="488" t="s">
        <v>270</v>
      </c>
      <c r="E60" s="487"/>
    </row>
    <row r="61" spans="1:5" s="425" customFormat="1" x14ac:dyDescent="0.35">
      <c r="A61" s="486">
        <v>3344</v>
      </c>
      <c r="B61" s="486" t="s">
        <v>1192</v>
      </c>
      <c r="C61" s="486" t="s">
        <v>1191</v>
      </c>
      <c r="D61" s="486" t="s">
        <v>1190</v>
      </c>
      <c r="E61" s="485"/>
    </row>
    <row r="62" spans="1:5" s="425" customFormat="1" x14ac:dyDescent="0.35">
      <c r="A62" s="488">
        <v>5321</v>
      </c>
      <c r="B62" s="488" t="s">
        <v>1189</v>
      </c>
      <c r="C62" s="488" t="s">
        <v>1188</v>
      </c>
      <c r="D62" s="488" t="s">
        <v>270</v>
      </c>
      <c r="E62" s="487" t="s">
        <v>1182</v>
      </c>
    </row>
    <row r="63" spans="1:5" s="425" customFormat="1" x14ac:dyDescent="0.35">
      <c r="A63" s="486">
        <v>8322</v>
      </c>
      <c r="B63" s="486" t="s">
        <v>1187</v>
      </c>
      <c r="C63" s="486" t="s">
        <v>1186</v>
      </c>
      <c r="D63" s="486" t="s">
        <v>825</v>
      </c>
      <c r="E63" s="485" t="s">
        <v>1182</v>
      </c>
    </row>
    <row r="64" spans="1:5" s="425" customFormat="1" x14ac:dyDescent="0.35">
      <c r="A64" s="484">
        <v>9112</v>
      </c>
      <c r="B64" s="484" t="s">
        <v>1185</v>
      </c>
      <c r="C64" s="484" t="s">
        <v>1184</v>
      </c>
      <c r="D64" s="484" t="s">
        <v>1183</v>
      </c>
      <c r="E64" s="483" t="s">
        <v>1182</v>
      </c>
    </row>
    <row r="65" spans="2:13" x14ac:dyDescent="0.35">
      <c r="B65" s="425"/>
    </row>
    <row r="66" spans="2:13" x14ac:dyDescent="0.35">
      <c r="B66" s="425"/>
      <c r="J66" s="429"/>
      <c r="K66" s="429"/>
      <c r="L66" s="429"/>
      <c r="M66" s="429"/>
    </row>
    <row r="67" spans="2:13" x14ac:dyDescent="0.35">
      <c r="B67" s="425"/>
    </row>
    <row r="68" spans="2:13" x14ac:dyDescent="0.35">
      <c r="B68" s="425"/>
      <c r="J68" s="429"/>
      <c r="K68" s="429"/>
      <c r="L68" s="429"/>
      <c r="M68" s="429"/>
    </row>
    <row r="69" spans="2:13" x14ac:dyDescent="0.35">
      <c r="B69" s="425"/>
    </row>
    <row r="70" spans="2:13" x14ac:dyDescent="0.35">
      <c r="B70" s="425"/>
      <c r="F70" s="429"/>
      <c r="G70" s="429"/>
      <c r="H70" s="429"/>
      <c r="I70" s="429"/>
    </row>
    <row r="71" spans="2:13" x14ac:dyDescent="0.35">
      <c r="B71" s="425"/>
    </row>
    <row r="72" spans="2:13" x14ac:dyDescent="0.35">
      <c r="B72" s="425"/>
    </row>
    <row r="73" spans="2:13" x14ac:dyDescent="0.35">
      <c r="B73" s="425"/>
    </row>
    <row r="74" spans="2:13" x14ac:dyDescent="0.35">
      <c r="B74" s="425"/>
    </row>
    <row r="75" spans="2:13" x14ac:dyDescent="0.35">
      <c r="B75" s="425"/>
    </row>
    <row r="76" spans="2:13" x14ac:dyDescent="0.35">
      <c r="B76" s="425"/>
    </row>
    <row r="77" spans="2:13" x14ac:dyDescent="0.35">
      <c r="B77" s="425"/>
    </row>
    <row r="78" spans="2:13" x14ac:dyDescent="0.35">
      <c r="B78" s="425"/>
    </row>
    <row r="79" spans="2:13" x14ac:dyDescent="0.35">
      <c r="B79" s="425"/>
    </row>
    <row r="80" spans="2:13" x14ac:dyDescent="0.35">
      <c r="B80" s="425"/>
    </row>
    <row r="81" spans="2:2" x14ac:dyDescent="0.35">
      <c r="B81" s="425"/>
    </row>
    <row r="82" spans="2:2" x14ac:dyDescent="0.35">
      <c r="B82" s="425"/>
    </row>
    <row r="83" spans="2:2" x14ac:dyDescent="0.35">
      <c r="B83" s="425"/>
    </row>
  </sheetData>
  <sheetProtection autoFilter="0" pivotTables="0"/>
  <mergeCells count="1">
    <mergeCell ref="B3:J3"/>
  </mergeCells>
  <conditionalFormatting sqref="A41:A64">
    <cfRule type="duplicateValues" dxfId="110" priority="2"/>
  </conditionalFormatting>
  <conditionalFormatting sqref="F11:J31">
    <cfRule type="cellIs" dxfId="109" priority="1" operator="equal">
      <formula>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E7FB8"/>
    <pageSetUpPr autoPageBreaks="0"/>
  </sheetPr>
  <dimension ref="A1:H90"/>
  <sheetViews>
    <sheetView showGridLines="0" zoomScale="90" zoomScaleNormal="90" workbookViewId="0">
      <selection activeCell="B6" sqref="B6:H6"/>
    </sheetView>
  </sheetViews>
  <sheetFormatPr defaultColWidth="8.453125" defaultRowHeight="14.5" x14ac:dyDescent="0.35"/>
  <cols>
    <col min="1" max="1" width="2.453125" style="129" customWidth="1"/>
    <col min="2" max="2" width="3.453125" style="129" customWidth="1"/>
    <col min="3" max="3" width="25.453125" style="129" customWidth="1"/>
    <col min="4" max="4" width="4.453125" style="129" customWidth="1"/>
    <col min="5" max="6" width="3.453125" style="129" customWidth="1"/>
    <col min="7" max="7" width="136" style="129" customWidth="1"/>
    <col min="8" max="16384" width="8.453125" style="129"/>
  </cols>
  <sheetData>
    <row r="1" spans="1:8" ht="8.15" customHeight="1" x14ac:dyDescent="0.35">
      <c r="B1" s="4"/>
      <c r="C1" s="4"/>
    </row>
    <row r="2" spans="1:8" s="43" customFormat="1" ht="39" customHeight="1" x14ac:dyDescent="0.45">
      <c r="C2" s="1065" t="s">
        <v>1895</v>
      </c>
      <c r="D2" s="83"/>
      <c r="E2" s="44"/>
    </row>
    <row r="3" spans="1:8" x14ac:dyDescent="0.35">
      <c r="A3" s="51"/>
      <c r="B3" s="51" t="str">
        <f>DISCLAIMER!B3</f>
        <v>v3 as of: 25-August-2020</v>
      </c>
    </row>
    <row r="4" spans="1:8" ht="15" thickBot="1" x14ac:dyDescent="0.4">
      <c r="B4" s="51"/>
    </row>
    <row r="5" spans="1:8" ht="23.15" customHeight="1" thickBot="1" x14ac:dyDescent="0.4">
      <c r="B5" s="1408" t="s">
        <v>1711</v>
      </c>
      <c r="C5" s="1409"/>
      <c r="D5" s="1409"/>
      <c r="E5" s="1409"/>
      <c r="F5" s="1409"/>
      <c r="G5" s="1409"/>
      <c r="H5" s="1410"/>
    </row>
    <row r="6" spans="1:8" ht="135" customHeight="1" thickBot="1" x14ac:dyDescent="0.4">
      <c r="B6" s="1414" t="s">
        <v>1712</v>
      </c>
      <c r="C6" s="1415"/>
      <c r="D6" s="1415"/>
      <c r="E6" s="1415"/>
      <c r="F6" s="1415"/>
      <c r="G6" s="1415"/>
      <c r="H6" s="1416"/>
    </row>
    <row r="8" spans="1:8" ht="15.5" x14ac:dyDescent="0.35">
      <c r="B8" s="1406" t="s">
        <v>1363</v>
      </c>
      <c r="C8" s="1413"/>
      <c r="D8" s="1413"/>
      <c r="E8" s="1413"/>
      <c r="F8" s="1413"/>
      <c r="G8" s="1413"/>
      <c r="H8" s="1413"/>
    </row>
    <row r="9" spans="1:8" ht="5.9" customHeight="1" x14ac:dyDescent="0.35"/>
    <row r="10" spans="1:8" x14ac:dyDescent="0.35">
      <c r="B10" s="129" t="s">
        <v>1364</v>
      </c>
    </row>
    <row r="11" spans="1:8" ht="9" customHeight="1" x14ac:dyDescent="0.35"/>
    <row r="12" spans="1:8" x14ac:dyDescent="0.35">
      <c r="B12" s="1411" t="s">
        <v>1365</v>
      </c>
      <c r="C12" s="1411"/>
      <c r="D12" s="1411"/>
      <c r="F12" s="1411" t="s">
        <v>1366</v>
      </c>
      <c r="G12" s="1411"/>
      <c r="H12" s="898"/>
    </row>
    <row r="14" spans="1:8" ht="15.5" x14ac:dyDescent="0.35">
      <c r="B14" s="45">
        <v>1</v>
      </c>
      <c r="C14" s="4" t="s">
        <v>822</v>
      </c>
      <c r="F14" s="45">
        <v>1</v>
      </c>
      <c r="G14" s="67" t="s">
        <v>1367</v>
      </c>
    </row>
    <row r="15" spans="1:8" customFormat="1" x14ac:dyDescent="0.35">
      <c r="F15" s="722"/>
    </row>
    <row r="16" spans="1:8" ht="15.5" x14ac:dyDescent="0.35">
      <c r="B16" s="45">
        <v>2</v>
      </c>
      <c r="C16" s="4" t="s">
        <v>834</v>
      </c>
      <c r="F16" s="45">
        <v>2</v>
      </c>
      <c r="G16" s="129" t="s">
        <v>1713</v>
      </c>
    </row>
    <row r="17" spans="2:8" customFormat="1" x14ac:dyDescent="0.35">
      <c r="F17" s="722"/>
    </row>
    <row r="18" spans="2:8" ht="15.5" x14ac:dyDescent="0.35">
      <c r="B18" s="45">
        <v>3</v>
      </c>
      <c r="C18" s="4" t="s">
        <v>828</v>
      </c>
      <c r="F18" s="45">
        <v>3</v>
      </c>
      <c r="G18" s="129" t="s">
        <v>1714</v>
      </c>
    </row>
    <row r="19" spans="2:8" customFormat="1" x14ac:dyDescent="0.35"/>
    <row r="20" spans="2:8" ht="15.5" x14ac:dyDescent="0.35">
      <c r="B20" s="45">
        <v>4</v>
      </c>
      <c r="C20" s="4" t="s">
        <v>1386</v>
      </c>
      <c r="F20" s="45">
        <v>4</v>
      </c>
      <c r="G20" s="129" t="s">
        <v>1388</v>
      </c>
    </row>
    <row r="21" spans="2:8" customFormat="1" x14ac:dyDescent="0.35">
      <c r="F21" s="722"/>
    </row>
    <row r="22" spans="2:8" ht="15.5" x14ac:dyDescent="0.35">
      <c r="B22" s="45">
        <v>5</v>
      </c>
      <c r="C22" s="4" t="s">
        <v>1237</v>
      </c>
      <c r="F22" s="45">
        <v>5</v>
      </c>
      <c r="G22" s="129" t="s">
        <v>1387</v>
      </c>
    </row>
    <row r="23" spans="2:8" customFormat="1" x14ac:dyDescent="0.35">
      <c r="F23" s="722"/>
    </row>
    <row r="24" spans="2:8" ht="15.5" x14ac:dyDescent="0.35">
      <c r="B24" s="45">
        <v>6</v>
      </c>
      <c r="C24" s="4" t="s">
        <v>1106</v>
      </c>
      <c r="F24" s="45">
        <v>6</v>
      </c>
      <c r="G24" s="129" t="s">
        <v>1715</v>
      </c>
    </row>
    <row r="25" spans="2:8" customFormat="1" x14ac:dyDescent="0.35">
      <c r="F25" s="722"/>
    </row>
    <row r="26" spans="2:8" ht="15.5" x14ac:dyDescent="0.35">
      <c r="B26" s="45">
        <v>7</v>
      </c>
      <c r="C26" s="4" t="s">
        <v>836</v>
      </c>
      <c r="F26" s="45">
        <v>7</v>
      </c>
      <c r="G26" s="129" t="s">
        <v>1716</v>
      </c>
    </row>
    <row r="27" spans="2:8" customFormat="1" x14ac:dyDescent="0.35">
      <c r="F27" s="722"/>
    </row>
    <row r="28" spans="2:8" ht="15.5" x14ac:dyDescent="0.35">
      <c r="B28" s="45">
        <v>8</v>
      </c>
      <c r="C28" s="4" t="s">
        <v>841</v>
      </c>
      <c r="F28" s="45">
        <v>8</v>
      </c>
      <c r="G28" s="129" t="s">
        <v>1717</v>
      </c>
    </row>
    <row r="30" spans="2:8" ht="15.5" x14ac:dyDescent="0.35">
      <c r="B30" s="1406" t="s">
        <v>1368</v>
      </c>
      <c r="C30" s="1413"/>
      <c r="D30" s="1413"/>
      <c r="E30" s="1413"/>
      <c r="F30" s="1413"/>
      <c r="G30" s="1413"/>
      <c r="H30" s="1413"/>
    </row>
    <row r="31" spans="2:8" ht="6.65" customHeight="1" x14ac:dyDescent="0.35"/>
    <row r="32" spans="2:8" x14ac:dyDescent="0.35">
      <c r="B32" s="129" t="s">
        <v>1369</v>
      </c>
    </row>
    <row r="33" spans="2:8" ht="6" customHeight="1" x14ac:dyDescent="0.35"/>
    <row r="34" spans="2:8" x14ac:dyDescent="0.35">
      <c r="B34" s="1411" t="s">
        <v>624</v>
      </c>
      <c r="C34" s="1411"/>
      <c r="D34" s="1411"/>
      <c r="F34" s="1411" t="s">
        <v>1366</v>
      </c>
      <c r="G34" s="1411"/>
      <c r="H34" s="898"/>
    </row>
    <row r="35" spans="2:8" ht="10.4" customHeight="1" x14ac:dyDescent="0.35">
      <c r="G35" s="81"/>
    </row>
    <row r="36" spans="2:8" ht="20.149999999999999" customHeight="1" x14ac:dyDescent="0.35">
      <c r="B36" s="45">
        <v>1</v>
      </c>
      <c r="C36" s="68" t="s">
        <v>1370</v>
      </c>
      <c r="D36" s="67"/>
      <c r="F36" s="45">
        <v>1</v>
      </c>
      <c r="G36" s="67" t="s">
        <v>1371</v>
      </c>
    </row>
    <row r="37" spans="2:8" ht="90" customHeight="1" x14ac:dyDescent="0.35">
      <c r="B37" s="46"/>
      <c r="C37" s="67"/>
      <c r="D37" s="67"/>
      <c r="F37" s="52"/>
      <c r="G37" s="53" t="s">
        <v>1718</v>
      </c>
    </row>
    <row r="38" spans="2:8" x14ac:dyDescent="0.35">
      <c r="C38" s="47"/>
      <c r="D38" s="67"/>
      <c r="E38" s="48"/>
      <c r="G38" s="714" t="s">
        <v>1372</v>
      </c>
    </row>
    <row r="39" spans="2:8" ht="29" x14ac:dyDescent="0.35">
      <c r="C39" s="47"/>
      <c r="D39" s="67"/>
      <c r="E39" s="48"/>
      <c r="G39" s="714" t="s">
        <v>1373</v>
      </c>
    </row>
    <row r="40" spans="2:8" x14ac:dyDescent="0.35">
      <c r="C40" s="47"/>
      <c r="D40" s="67"/>
      <c r="E40" s="48"/>
      <c r="G40" s="714"/>
    </row>
    <row r="41" spans="2:8" ht="15.5" x14ac:dyDescent="0.35">
      <c r="B41" s="45">
        <v>2</v>
      </c>
      <c r="C41" s="47" t="s">
        <v>702</v>
      </c>
      <c r="D41" s="67"/>
      <c r="F41" s="45">
        <v>2</v>
      </c>
      <c r="G41" s="69" t="s">
        <v>1719</v>
      </c>
    </row>
    <row r="42" spans="2:8" ht="45.65" customHeight="1" x14ac:dyDescent="0.35">
      <c r="B42" s="46"/>
      <c r="C42" s="67"/>
      <c r="D42" s="67"/>
      <c r="F42" s="52"/>
      <c r="G42" s="70" t="s">
        <v>1720</v>
      </c>
    </row>
    <row r="43" spans="2:8" ht="29" x14ac:dyDescent="0.35">
      <c r="B43" s="48"/>
      <c r="C43" s="67"/>
      <c r="D43" s="67"/>
      <c r="E43" s="48"/>
      <c r="F43" s="48"/>
      <c r="G43" s="70" t="s">
        <v>1721</v>
      </c>
    </row>
    <row r="44" spans="2:8" x14ac:dyDescent="0.35">
      <c r="B44" s="48"/>
      <c r="C44" s="67"/>
      <c r="D44" s="67"/>
      <c r="E44" s="48"/>
      <c r="F44" s="48"/>
      <c r="G44" s="70"/>
    </row>
    <row r="45" spans="2:8" ht="15.5" x14ac:dyDescent="0.35">
      <c r="B45" s="45">
        <v>3</v>
      </c>
      <c r="C45" s="47" t="s">
        <v>1374</v>
      </c>
      <c r="D45" s="67"/>
      <c r="E45" s="48"/>
      <c r="F45" s="45">
        <v>3</v>
      </c>
      <c r="G45" s="715" t="s">
        <v>1375</v>
      </c>
    </row>
    <row r="46" spans="2:8" ht="33" customHeight="1" x14ac:dyDescent="0.35">
      <c r="B46" s="48"/>
      <c r="C46" s="67"/>
      <c r="D46" s="67"/>
      <c r="E46" s="48"/>
      <c r="F46" s="48"/>
      <c r="G46" s="70" t="s">
        <v>1722</v>
      </c>
    </row>
    <row r="47" spans="2:8" ht="33.65" customHeight="1" x14ac:dyDescent="0.35">
      <c r="B47" s="48"/>
      <c r="C47" s="67"/>
      <c r="D47" s="67"/>
      <c r="E47" s="48"/>
      <c r="F47" s="48"/>
      <c r="G47" s="70" t="s">
        <v>1723</v>
      </c>
    </row>
    <row r="48" spans="2:8" ht="32.15" customHeight="1" x14ac:dyDescent="0.35">
      <c r="B48" s="48"/>
      <c r="C48" s="67"/>
      <c r="D48" s="67"/>
      <c r="E48" s="48"/>
      <c r="F48" s="48"/>
      <c r="G48" s="716" t="s">
        <v>1725</v>
      </c>
    </row>
    <row r="49" spans="2:8" ht="29" x14ac:dyDescent="0.35">
      <c r="B49" s="48"/>
      <c r="C49" s="67"/>
      <c r="D49" s="67"/>
      <c r="E49" s="48"/>
      <c r="F49" s="48"/>
      <c r="G49" s="70" t="s">
        <v>1724</v>
      </c>
    </row>
    <row r="50" spans="2:8" x14ac:dyDescent="0.35">
      <c r="B50" s="48"/>
      <c r="C50" s="67"/>
      <c r="D50" s="67"/>
      <c r="E50" s="48"/>
      <c r="F50" s="48"/>
      <c r="G50" s="69"/>
    </row>
    <row r="51" spans="2:8" s="909" customFormat="1" ht="15.5" x14ac:dyDescent="0.35">
      <c r="B51" s="1406" t="s">
        <v>1376</v>
      </c>
      <c r="C51" s="1407"/>
      <c r="D51" s="1407"/>
      <c r="E51" s="1407"/>
      <c r="F51" s="1407"/>
      <c r="G51" s="1407"/>
      <c r="H51" s="1407"/>
    </row>
    <row r="52" spans="2:8" s="5" customFormat="1" ht="58.5" customHeight="1" x14ac:dyDescent="0.35">
      <c r="B52" s="1412" t="s">
        <v>1727</v>
      </c>
      <c r="C52" s="1412"/>
      <c r="D52" s="1412"/>
      <c r="E52" s="1412"/>
      <c r="F52" s="1412"/>
      <c r="G52" s="1412"/>
    </row>
    <row r="53" spans="2:8" s="909" customFormat="1" ht="14.9" customHeight="1" x14ac:dyDescent="0.35">
      <c r="B53" s="995"/>
      <c r="C53" s="995"/>
      <c r="D53" s="995"/>
      <c r="E53" s="995"/>
      <c r="F53" s="995"/>
      <c r="G53" s="995"/>
    </row>
    <row r="54" spans="2:8" s="909" customFormat="1" x14ac:dyDescent="0.35">
      <c r="B54" s="706" t="s">
        <v>1377</v>
      </c>
      <c r="D54" s="705"/>
      <c r="E54" s="705"/>
      <c r="F54" s="705"/>
      <c r="G54" s="705"/>
    </row>
    <row r="55" spans="2:8" s="6" customFormat="1" ht="14.9" customHeight="1" x14ac:dyDescent="0.35">
      <c r="B55" s="1008" t="s">
        <v>1675</v>
      </c>
      <c r="D55" s="1009"/>
      <c r="E55" s="1009"/>
      <c r="F55" s="1009"/>
      <c r="G55" s="1009"/>
    </row>
    <row r="56" spans="2:8" s="6" customFormat="1" ht="14.9" customHeight="1" x14ac:dyDescent="0.35">
      <c r="B56" s="1010" t="s">
        <v>1676</v>
      </c>
      <c r="D56" s="1009"/>
      <c r="E56" s="1009"/>
      <c r="F56" s="1009"/>
      <c r="G56" s="1009"/>
    </row>
    <row r="57" spans="2:8" s="6" customFormat="1" ht="14.9" customHeight="1" x14ac:dyDescent="0.35">
      <c r="B57" s="1008" t="s">
        <v>1726</v>
      </c>
      <c r="D57" s="1009"/>
      <c r="E57" s="1009"/>
      <c r="F57" s="1009"/>
      <c r="G57" s="1009"/>
    </row>
    <row r="58" spans="2:8" s="6" customFormat="1" ht="14.9" customHeight="1" x14ac:dyDescent="0.35">
      <c r="B58" s="1010" t="s">
        <v>1677</v>
      </c>
      <c r="D58" s="1009"/>
      <c r="E58" s="1009"/>
      <c r="F58" s="1009"/>
      <c r="G58" s="1009"/>
    </row>
    <row r="59" spans="2:8" s="6" customFormat="1" ht="14.9" customHeight="1" x14ac:dyDescent="0.35">
      <c r="B59" s="1008"/>
      <c r="D59" s="1009"/>
      <c r="E59" s="1009"/>
      <c r="F59" s="1009"/>
      <c r="G59" s="1009"/>
    </row>
    <row r="60" spans="2:8" s="6" customFormat="1" x14ac:dyDescent="0.35">
      <c r="B60" s="1011" t="s">
        <v>801</v>
      </c>
      <c r="D60" s="1009"/>
      <c r="E60" s="1009"/>
      <c r="F60" s="1009"/>
      <c r="G60" s="1009"/>
    </row>
    <row r="61" spans="2:8" s="6" customFormat="1" x14ac:dyDescent="0.35">
      <c r="B61" s="1008" t="s">
        <v>1378</v>
      </c>
      <c r="D61" s="1009"/>
      <c r="E61" s="1009"/>
      <c r="F61" s="1009"/>
      <c r="G61" s="1009"/>
    </row>
    <row r="62" spans="2:8" s="6" customFormat="1" x14ac:dyDescent="0.35">
      <c r="B62" s="1008" t="s">
        <v>1379</v>
      </c>
      <c r="D62" s="1009"/>
      <c r="E62" s="1009"/>
      <c r="F62" s="1009"/>
      <c r="G62" s="1009"/>
    </row>
    <row r="63" spans="2:8" s="6" customFormat="1" x14ac:dyDescent="0.35">
      <c r="B63" s="1008" t="s">
        <v>1678</v>
      </c>
      <c r="D63" s="1009"/>
      <c r="E63" s="1009"/>
      <c r="F63" s="1009"/>
      <c r="G63" s="1009"/>
    </row>
    <row r="64" spans="2:8" s="6" customFormat="1" x14ac:dyDescent="0.35">
      <c r="B64" s="1008" t="s">
        <v>1380</v>
      </c>
      <c r="D64" s="1009"/>
      <c r="E64" s="1009"/>
      <c r="F64" s="1009"/>
      <c r="G64" s="1009"/>
    </row>
    <row r="65" spans="2:8" s="909" customFormat="1" x14ac:dyDescent="0.35">
      <c r="B65" s="71" t="s">
        <v>1381</v>
      </c>
      <c r="D65" s="705"/>
      <c r="E65" s="705"/>
      <c r="F65" s="705"/>
      <c r="G65" s="705"/>
    </row>
    <row r="66" spans="2:8" s="909" customFormat="1" x14ac:dyDescent="0.35">
      <c r="B66" s="71" t="s">
        <v>1382</v>
      </c>
      <c r="D66" s="705"/>
      <c r="E66" s="705"/>
      <c r="F66" s="705"/>
      <c r="G66" s="705"/>
    </row>
    <row r="67" spans="2:8" s="909" customFormat="1" x14ac:dyDescent="0.35"/>
    <row r="68" spans="2:8" s="909" customFormat="1" ht="15.5" x14ac:dyDescent="0.35">
      <c r="B68" s="1406" t="s">
        <v>703</v>
      </c>
      <c r="C68" s="1407"/>
      <c r="D68" s="1407"/>
      <c r="E68" s="1407"/>
      <c r="F68" s="1407"/>
      <c r="G68" s="1407"/>
      <c r="H68" s="1407"/>
    </row>
    <row r="69" spans="2:8" s="909" customFormat="1" x14ac:dyDescent="0.35">
      <c r="B69" s="909" t="s">
        <v>1383</v>
      </c>
    </row>
    <row r="70" spans="2:8" s="909" customFormat="1" x14ac:dyDescent="0.35"/>
    <row r="71" spans="2:8" s="909" customFormat="1" x14ac:dyDescent="0.35">
      <c r="B71" s="4" t="s">
        <v>772</v>
      </c>
    </row>
    <row r="72" spans="2:8" s="909" customFormat="1" x14ac:dyDescent="0.35">
      <c r="B72" s="72" t="s">
        <v>1885</v>
      </c>
    </row>
    <row r="73" spans="2:8" s="909" customFormat="1" x14ac:dyDescent="0.35">
      <c r="B73" s="72" t="s">
        <v>1886</v>
      </c>
    </row>
    <row r="74" spans="2:8" s="6" customFormat="1" x14ac:dyDescent="0.35"/>
    <row r="75" spans="2:8" s="6" customFormat="1" x14ac:dyDescent="0.35">
      <c r="B75" s="35" t="s">
        <v>773</v>
      </c>
    </row>
    <row r="76" spans="2:8" s="6" customFormat="1" x14ac:dyDescent="0.35">
      <c r="B76" s="6" t="s">
        <v>1884</v>
      </c>
    </row>
    <row r="77" spans="2:8" s="6" customFormat="1" x14ac:dyDescent="0.35">
      <c r="B77" s="286" t="s">
        <v>1679</v>
      </c>
    </row>
    <row r="78" spans="2:8" s="6" customFormat="1" x14ac:dyDescent="0.35">
      <c r="B78" s="286"/>
    </row>
    <row r="79" spans="2:8" s="6" customFormat="1" x14ac:dyDescent="0.35">
      <c r="B79" s="35" t="s">
        <v>774</v>
      </c>
    </row>
    <row r="80" spans="2:8" s="6" customFormat="1" x14ac:dyDescent="0.35">
      <c r="B80" s="286" t="s">
        <v>1883</v>
      </c>
    </row>
    <row r="81" spans="2:7" s="6" customFormat="1" x14ac:dyDescent="0.35">
      <c r="B81" s="286" t="s">
        <v>1680</v>
      </c>
    </row>
    <row r="82" spans="2:7" s="6" customFormat="1" x14ac:dyDescent="0.35">
      <c r="B82" s="286" t="s">
        <v>1882</v>
      </c>
    </row>
    <row r="83" spans="2:7" s="909" customFormat="1" x14ac:dyDescent="0.35">
      <c r="B83" s="72" t="s">
        <v>1881</v>
      </c>
    </row>
    <row r="85" spans="2:7" x14ac:dyDescent="0.35">
      <c r="B85" s="4" t="s">
        <v>1893</v>
      </c>
    </row>
    <row r="86" spans="2:7" x14ac:dyDescent="0.35">
      <c r="B86" s="5" t="s">
        <v>1894</v>
      </c>
    </row>
    <row r="89" spans="2:7" x14ac:dyDescent="0.35">
      <c r="B89" s="1389" t="s">
        <v>1898</v>
      </c>
      <c r="C89" s="1389"/>
      <c r="D89" s="1389"/>
      <c r="E89" s="1389"/>
      <c r="F89" s="1389"/>
      <c r="G89" s="1389"/>
    </row>
    <row r="90" spans="2:7" x14ac:dyDescent="0.35">
      <c r="B90" s="909" t="s">
        <v>1897</v>
      </c>
      <c r="C90" s="909"/>
      <c r="D90" s="909"/>
      <c r="E90" s="909"/>
      <c r="F90" s="909"/>
      <c r="G90" s="909"/>
    </row>
  </sheetData>
  <sheetProtection algorithmName="SHA-512" hashValue="8mhehciPvkwy1CkPjAF+5mJQFpY7dL07Yuv1exhgePVGWWPrDBR3u6exBzJaPGJw0qvmOFjlMEZuEUpAO3iEJw==" saltValue="ugw3k/M1ot3jExtOxIjvhA==" spinCount="100000" sheet="1" objects="1" scenarios="1"/>
  <mergeCells count="12">
    <mergeCell ref="B89:G89"/>
    <mergeCell ref="B68:H68"/>
    <mergeCell ref="B5:H5"/>
    <mergeCell ref="B34:D34"/>
    <mergeCell ref="F34:G34"/>
    <mergeCell ref="B51:H51"/>
    <mergeCell ref="B52:G52"/>
    <mergeCell ref="B30:H30"/>
    <mergeCell ref="B8:H8"/>
    <mergeCell ref="B12:D12"/>
    <mergeCell ref="F12:G12"/>
    <mergeCell ref="B6:H6"/>
  </mergeCells>
  <hyperlinks>
    <hyperlink ref="B89" r:id="rId1" display="https://creativecommons.org/licenses/by-nc-sa/3.0/igo" xr:uid="{8CEA662A-C789-4351-A5EE-65F36CF4D605}"/>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1E7FB8"/>
    <pageSetUpPr autoPageBreaks="0"/>
  </sheetPr>
  <dimension ref="A1:P203"/>
  <sheetViews>
    <sheetView showGridLines="0" zoomScale="90" zoomScaleNormal="90" workbookViewId="0">
      <selection activeCell="B6" sqref="B6:E14"/>
    </sheetView>
  </sheetViews>
  <sheetFormatPr defaultColWidth="8.453125" defaultRowHeight="14.5" x14ac:dyDescent="0.35"/>
  <cols>
    <col min="1" max="1" width="3.453125" style="129" customWidth="1"/>
    <col min="2" max="2" width="48.7265625" style="129" customWidth="1"/>
    <col min="3" max="3" width="23.453125" style="129" customWidth="1"/>
    <col min="4" max="4" width="19.453125" style="129" customWidth="1"/>
    <col min="5" max="5" width="25.453125" style="129" customWidth="1"/>
    <col min="6" max="6" width="16.453125" style="129" customWidth="1"/>
    <col min="7" max="7" width="45.453125" style="129" customWidth="1"/>
    <col min="8" max="8" width="13.81640625" style="129" customWidth="1"/>
    <col min="9" max="9" width="15.453125" style="129" bestFit="1" customWidth="1"/>
    <col min="10" max="16384" width="8.453125" style="129"/>
  </cols>
  <sheetData>
    <row r="1" spans="1:13" ht="8.15" customHeight="1" x14ac:dyDescent="0.35">
      <c r="B1" s="4"/>
    </row>
    <row r="2" spans="1:13" s="43" customFormat="1" ht="39" customHeight="1" x14ac:dyDescent="0.45">
      <c r="B2" s="243" t="s">
        <v>1895</v>
      </c>
      <c r="C2" s="44"/>
      <c r="D2" s="44"/>
    </row>
    <row r="3" spans="1:13" ht="11.15" customHeight="1" x14ac:dyDescent="0.35">
      <c r="A3" s="51"/>
      <c r="B3"/>
      <c r="C3"/>
      <c r="D3"/>
      <c r="E3"/>
      <c r="F3"/>
    </row>
    <row r="4" spans="1:13" s="143" customFormat="1" ht="17.149999999999999" customHeight="1" x14ac:dyDescent="0.35">
      <c r="B4" s="144" t="s">
        <v>821</v>
      </c>
    </row>
    <row r="5" spans="1:13" customFormat="1" ht="17.149999999999999" customHeight="1" thickBot="1" x14ac:dyDescent="0.4"/>
    <row r="6" spans="1:13" customFormat="1" ht="20.9" customHeight="1" thickBot="1" x14ac:dyDescent="0.4">
      <c r="B6" s="1428" t="s">
        <v>1729</v>
      </c>
      <c r="C6" s="1429"/>
      <c r="D6" s="1429"/>
      <c r="E6" s="1430"/>
      <c r="F6" s="129"/>
      <c r="G6" s="165" t="s">
        <v>840</v>
      </c>
      <c r="J6" s="129"/>
      <c r="K6" s="129"/>
      <c r="L6" s="129"/>
      <c r="M6" s="129"/>
    </row>
    <row r="7" spans="1:13" customFormat="1" ht="20.9" customHeight="1" x14ac:dyDescent="0.35">
      <c r="B7" s="1431"/>
      <c r="C7" s="1432"/>
      <c r="D7" s="1432"/>
      <c r="E7" s="1433"/>
      <c r="F7" s="129"/>
      <c r="G7" s="226" t="s">
        <v>822</v>
      </c>
      <c r="L7" s="129"/>
      <c r="M7" s="129"/>
    </row>
    <row r="8" spans="1:13" ht="20.9" customHeight="1" x14ac:dyDescent="0.35">
      <c r="B8" s="1431"/>
      <c r="C8" s="1432"/>
      <c r="D8" s="1432"/>
      <c r="E8" s="1433"/>
      <c r="G8" s="166" t="s">
        <v>834</v>
      </c>
      <c r="J8"/>
      <c r="K8"/>
    </row>
    <row r="9" spans="1:13" ht="20.9" customHeight="1" x14ac:dyDescent="0.35">
      <c r="B9" s="1431"/>
      <c r="C9" s="1432"/>
      <c r="D9" s="1432"/>
      <c r="E9" s="1433"/>
      <c r="G9" s="166" t="s">
        <v>828</v>
      </c>
      <c r="I9"/>
      <c r="J9"/>
      <c r="K9"/>
    </row>
    <row r="10" spans="1:13" ht="20.9" customHeight="1" x14ac:dyDescent="0.35">
      <c r="B10" s="1431"/>
      <c r="C10" s="1432"/>
      <c r="D10" s="1432"/>
      <c r="E10" s="1433"/>
      <c r="G10" s="166" t="s">
        <v>1236</v>
      </c>
    </row>
    <row r="11" spans="1:13" ht="20.9" customHeight="1" x14ac:dyDescent="0.35">
      <c r="B11" s="1431"/>
      <c r="C11" s="1432"/>
      <c r="D11" s="1432"/>
      <c r="E11" s="1433"/>
      <c r="G11" s="166" t="s">
        <v>1237</v>
      </c>
    </row>
    <row r="12" spans="1:13" ht="20.9" customHeight="1" x14ac:dyDescent="0.35">
      <c r="B12" s="1431"/>
      <c r="C12" s="1432"/>
      <c r="D12" s="1432"/>
      <c r="E12" s="1433"/>
      <c r="G12" s="166" t="s">
        <v>1106</v>
      </c>
    </row>
    <row r="13" spans="1:13" ht="20.9" customHeight="1" x14ac:dyDescent="0.35">
      <c r="B13" s="1431"/>
      <c r="C13" s="1432"/>
      <c r="D13" s="1432"/>
      <c r="E13" s="1433"/>
      <c r="G13" s="166" t="s">
        <v>836</v>
      </c>
    </row>
    <row r="14" spans="1:13" ht="20.149999999999999" customHeight="1" thickBot="1" x14ac:dyDescent="0.4">
      <c r="B14" s="1434"/>
      <c r="C14" s="1435"/>
      <c r="D14" s="1435"/>
      <c r="E14" s="1436"/>
      <c r="G14" s="167" t="s">
        <v>1709</v>
      </c>
    </row>
    <row r="15" spans="1:13" customFormat="1" ht="17.149999999999999" customHeight="1" x14ac:dyDescent="0.35">
      <c r="J15" s="129"/>
      <c r="K15" s="129"/>
      <c r="L15" s="129"/>
      <c r="M15" s="129"/>
    </row>
    <row r="16" spans="1:13" s="145" customFormat="1" ht="14.9" customHeight="1" x14ac:dyDescent="0.35"/>
    <row r="17" spans="2:16" customFormat="1" ht="11.15" customHeight="1" x14ac:dyDescent="0.35">
      <c r="J17" s="129"/>
      <c r="K17" s="129"/>
      <c r="L17" s="129"/>
      <c r="M17" s="129"/>
    </row>
    <row r="18" spans="2:16" customFormat="1" ht="24.65" customHeight="1" thickBot="1" x14ac:dyDescent="0.4">
      <c r="B18" s="1437" t="s">
        <v>822</v>
      </c>
      <c r="C18" s="1437"/>
      <c r="J18" s="129"/>
      <c r="K18" s="129"/>
      <c r="L18" s="129"/>
      <c r="M18" s="129"/>
    </row>
    <row r="19" spans="2:16" ht="14.9" customHeight="1" thickTop="1" x14ac:dyDescent="0.35">
      <c r="B19"/>
      <c r="C19"/>
      <c r="D19"/>
      <c r="E19"/>
      <c r="F19"/>
      <c r="G19"/>
      <c r="N19"/>
      <c r="O19"/>
      <c r="P19"/>
    </row>
    <row r="20" spans="2:16" ht="28.5" customHeight="1" x14ac:dyDescent="0.35">
      <c r="B20" s="99" t="str">
        <f>IF(DISCLAIMER!I11=1,"Select Country or Manual Entry","WARNING: This tool wil NOT run until the disclaimer is signed: See Disclaimer tab")</f>
        <v>WARNING: This tool wil NOT run until the disclaimer is signed: See Disclaimer tab</v>
      </c>
      <c r="L20"/>
      <c r="N20"/>
      <c r="O20"/>
      <c r="P20"/>
    </row>
    <row r="21" spans="2:16" ht="14.9" customHeight="1" x14ac:dyDescent="0.35">
      <c r="L21"/>
      <c r="N21"/>
      <c r="O21"/>
      <c r="P21"/>
    </row>
    <row r="22" spans="2:16" ht="28.5" customHeight="1" x14ac:dyDescent="0.35">
      <c r="B22" s="306" t="str">
        <f>IF(DISCLAIMER!I11=1,"Country/Territory","WARNING: This tool wil NOT run until the Disclaimer is signed: See Disclaimer tab")</f>
        <v>WARNING: This tool wil NOT run until the Disclaimer is signed: See Disclaimer tab</v>
      </c>
      <c r="C22" s="150" t="s">
        <v>217</v>
      </c>
      <c r="D22" s="15"/>
      <c r="E22" s="1072">
        <v>1</v>
      </c>
      <c r="F22" s="15"/>
      <c r="G22"/>
      <c r="L22"/>
      <c r="N22"/>
      <c r="O22"/>
      <c r="P22"/>
    </row>
    <row r="23" spans="2:16" ht="20.149999999999999" customHeight="1" x14ac:dyDescent="0.35">
      <c r="B23" s="159" t="s">
        <v>699</v>
      </c>
      <c r="C23" s="161">
        <f>IF($E$22=2,"Please enter below",'Back Calculations'!C86)</f>
        <v>18679273</v>
      </c>
      <c r="D23" s="15"/>
      <c r="E23" s="15"/>
      <c r="F23" s="15"/>
      <c r="G23"/>
      <c r="L23"/>
      <c r="N23"/>
      <c r="O23"/>
      <c r="P23"/>
    </row>
    <row r="24" spans="2:16" ht="14.9" customHeight="1" x14ac:dyDescent="0.35">
      <c r="B24" s="148" t="s">
        <v>820</v>
      </c>
      <c r="C24" s="149">
        <v>3000</v>
      </c>
      <c r="D24" s="15"/>
      <c r="E24" s="15"/>
      <c r="F24" s="15"/>
      <c r="G24"/>
    </row>
    <row r="25" spans="2:16" ht="14.9" customHeight="1" x14ac:dyDescent="0.35">
      <c r="D25" s="15"/>
      <c r="E25" s="15"/>
      <c r="F25" s="15"/>
      <c r="G25"/>
    </row>
    <row r="26" spans="2:16" s="145" customFormat="1" ht="14.9" customHeight="1" x14ac:dyDescent="0.35"/>
    <row r="27" spans="2:16" ht="8.9" customHeight="1" x14ac:dyDescent="0.35">
      <c r="D27" s="142"/>
      <c r="G27"/>
    </row>
    <row r="28" spans="2:16" ht="24.65" customHeight="1" thickBot="1" x14ac:dyDescent="0.4">
      <c r="B28" s="1437" t="s">
        <v>834</v>
      </c>
      <c r="C28" s="1437"/>
      <c r="D28" s="915" t="s">
        <v>857</v>
      </c>
      <c r="E28"/>
      <c r="F28"/>
      <c r="G28"/>
    </row>
    <row r="29" spans="2:16" ht="14.9" customHeight="1" thickTop="1" x14ac:dyDescent="0.35">
      <c r="B29" s="94"/>
      <c r="C29" s="95"/>
      <c r="D29" s="84"/>
    </row>
    <row r="30" spans="2:16" ht="17.149999999999999" customHeight="1" x14ac:dyDescent="0.35">
      <c r="B30" s="307" t="s">
        <v>687</v>
      </c>
      <c r="C30" s="401">
        <v>1</v>
      </c>
      <c r="E30"/>
      <c r="F30"/>
      <c r="G30"/>
      <c r="I30"/>
    </row>
    <row r="31" spans="2:16" ht="14.9" customHeight="1" x14ac:dyDescent="0.35">
      <c r="B31"/>
      <c r="C31"/>
      <c r="D31"/>
      <c r="E31"/>
      <c r="F31"/>
      <c r="G31"/>
    </row>
    <row r="32" spans="2:16" s="145" customFormat="1" ht="14.9" customHeight="1" x14ac:dyDescent="0.35"/>
    <row r="33" spans="2:11" ht="6" customHeight="1" x14ac:dyDescent="0.35"/>
    <row r="34" spans="2:11" ht="30" customHeight="1" x14ac:dyDescent="0.35">
      <c r="B34" s="1439" t="s">
        <v>1416</v>
      </c>
      <c r="C34" s="1440"/>
      <c r="D34" s="1441" t="str">
        <f>IF(G34,"Inputs will use reference values","User to input values - Otherwise click here if you would like to use reference values for all inputs")</f>
        <v>User to input values - Otherwise click here if you would like to use reference values for all inputs</v>
      </c>
      <c r="E34" s="1442"/>
      <c r="F34" s="1073" t="b">
        <v>0</v>
      </c>
      <c r="G34" s="707" t="b">
        <f>IF(E22=3,TRUE,F34)</f>
        <v>0</v>
      </c>
      <c r="H34" s="6"/>
      <c r="I34" s="708"/>
    </row>
    <row r="35" spans="2:11" ht="17.899999999999999" customHeight="1" x14ac:dyDescent="0.35">
      <c r="B35" s="255"/>
      <c r="C35" s="255"/>
      <c r="D35" s="388" t="s">
        <v>1415</v>
      </c>
      <c r="E35" s="704" t="str">
        <f>IF(E22=3,#REF!,IF(E22=1,C22,"Manual"))</f>
        <v>Zambia</v>
      </c>
      <c r="F35" s="15"/>
      <c r="G35" s="15"/>
      <c r="I35" s="708"/>
    </row>
    <row r="36" spans="2:11" s="145" customFormat="1" ht="14.9" customHeight="1" x14ac:dyDescent="0.35">
      <c r="I36" s="710"/>
    </row>
    <row r="37" spans="2:11" ht="9.65" customHeight="1" x14ac:dyDescent="0.45">
      <c r="B37" s="400"/>
      <c r="C37"/>
      <c r="D37"/>
      <c r="E37"/>
      <c r="F37"/>
      <c r="G37"/>
      <c r="I37" s="709"/>
    </row>
    <row r="38" spans="2:11" ht="25.4" customHeight="1" thickBot="1" x14ac:dyDescent="0.4">
      <c r="B38" s="1437" t="s">
        <v>828</v>
      </c>
      <c r="C38" s="1437"/>
      <c r="D38" s="179" t="s">
        <v>857</v>
      </c>
      <c r="E38"/>
      <c r="F38"/>
      <c r="G38"/>
      <c r="I38" s="709"/>
    </row>
    <row r="39" spans="2:11" ht="14.9" customHeight="1" thickTop="1" x14ac:dyDescent="0.35">
      <c r="B39"/>
      <c r="C39"/>
      <c r="D39"/>
      <c r="E39"/>
      <c r="F39"/>
      <c r="G39"/>
      <c r="I39" s="709"/>
    </row>
    <row r="40" spans="2:11" ht="14.9" customHeight="1" x14ac:dyDescent="0.35">
      <c r="B40" s="4" t="s">
        <v>885</v>
      </c>
      <c r="C40" s="1071" t="s">
        <v>829</v>
      </c>
      <c r="D40"/>
      <c r="E40" s="1071" t="s">
        <v>1700</v>
      </c>
      <c r="F40"/>
      <c r="I40" s="709"/>
    </row>
    <row r="41" spans="2:11" ht="14.9" customHeight="1" x14ac:dyDescent="0.35">
      <c r="B41" s="141" t="s">
        <v>1695</v>
      </c>
      <c r="C41" s="154"/>
      <c r="D41"/>
      <c r="E41" s="257">
        <v>0.4</v>
      </c>
      <c r="F41" s="177" t="s">
        <v>1730</v>
      </c>
      <c r="G41"/>
      <c r="I41" s="1053">
        <f>IF($G$34,E41,IF(OR($C$41="",$C$42="",$C$43="",$C$44=""),E41,C41))</f>
        <v>0.4</v>
      </c>
    </row>
    <row r="42" spans="2:11" ht="15" x14ac:dyDescent="0.35">
      <c r="B42" s="695" t="s">
        <v>1696</v>
      </c>
      <c r="C42" s="539"/>
      <c r="D42" s="67"/>
      <c r="E42" s="584">
        <v>0.4</v>
      </c>
      <c r="F42" s="1424" t="s">
        <v>1731</v>
      </c>
      <c r="G42" s="1423"/>
      <c r="H42" s="1423"/>
      <c r="I42" s="1053">
        <f>IF($G$34,E42,IF(OR($C$41="",$C$42="",$C$43="",$C$44=""),E42,C42))</f>
        <v>0.4</v>
      </c>
    </row>
    <row r="43" spans="2:11" ht="14.5" customHeight="1" x14ac:dyDescent="0.35">
      <c r="B43" s="141" t="s">
        <v>831</v>
      </c>
      <c r="C43" s="154"/>
      <c r="D43"/>
      <c r="E43" s="257">
        <v>0.15</v>
      </c>
      <c r="F43" s="177" t="s">
        <v>1732</v>
      </c>
      <c r="G43"/>
      <c r="I43" s="1053">
        <f>IF($G$34,E43,IF(OR($C$41="",$C$42="",$C$43="",$C$44=""),E43,C43))</f>
        <v>0.15</v>
      </c>
    </row>
    <row r="44" spans="2:11" x14ac:dyDescent="0.35">
      <c r="B44" s="881" t="s">
        <v>1393</v>
      </c>
      <c r="C44" s="900">
        <f>1-SUM(C41:C43)</f>
        <v>1</v>
      </c>
      <c r="D44"/>
      <c r="E44" s="584">
        <v>0.05</v>
      </c>
      <c r="F44" s="1420" t="s">
        <v>1733</v>
      </c>
      <c r="G44" s="1421"/>
      <c r="H44" s="1421"/>
      <c r="I44" s="1053">
        <f>IF($G$34,E44,IF(OR($C$41="",$C$42="",$C$43="",$C$44=""),E44,C44))</f>
        <v>0.05</v>
      </c>
    </row>
    <row r="45" spans="2:11" ht="14.9" customHeight="1" x14ac:dyDescent="0.35">
      <c r="B45"/>
      <c r="C45" s="9"/>
      <c r="D45"/>
      <c r="E45"/>
      <c r="F45"/>
      <c r="G45"/>
      <c r="I45" s="811"/>
    </row>
    <row r="46" spans="2:11" ht="14.9" customHeight="1" x14ac:dyDescent="0.35">
      <c r="B46" s="18" t="s">
        <v>830</v>
      </c>
      <c r="C46" s="251" t="s">
        <v>832</v>
      </c>
      <c r="D46"/>
      <c r="E46" s="731" t="s">
        <v>1734</v>
      </c>
      <c r="F46"/>
      <c r="G46"/>
      <c r="I46" s="1054"/>
    </row>
    <row r="47" spans="2:11" ht="14.9" customHeight="1" x14ac:dyDescent="0.35">
      <c r="B47" s="125" t="s">
        <v>1697</v>
      </c>
      <c r="C47" s="66"/>
      <c r="D47" s="5"/>
      <c r="E47" s="256">
        <v>2</v>
      </c>
      <c r="F47" s="177" t="s">
        <v>1499</v>
      </c>
      <c r="G47"/>
      <c r="I47" s="1055">
        <f>IF($G$34,E47,IF(C47="",E47,C47))</f>
        <v>2</v>
      </c>
    </row>
    <row r="48" spans="2:11" ht="14.9" customHeight="1" x14ac:dyDescent="0.35">
      <c r="B48" s="125" t="s">
        <v>1698</v>
      </c>
      <c r="C48" s="66"/>
      <c r="D48" s="5"/>
      <c r="E48" s="256">
        <v>2</v>
      </c>
      <c r="F48" s="177" t="s">
        <v>1499</v>
      </c>
      <c r="I48" s="1055">
        <f>IF($G$34,E48,IF(C48="",E48,C48))</f>
        <v>2</v>
      </c>
      <c r="K48" s="909"/>
    </row>
    <row r="49" spans="2:11" ht="14.9" customHeight="1" x14ac:dyDescent="0.35">
      <c r="B49" s="125" t="s">
        <v>1492</v>
      </c>
      <c r="C49" s="66"/>
      <c r="D49"/>
      <c r="E49" s="256">
        <v>1</v>
      </c>
      <c r="F49" s="177" t="s">
        <v>1735</v>
      </c>
      <c r="G49"/>
      <c r="I49" s="1055">
        <f>IF($G$34,E49,IF(C49="",E49,C49))</f>
        <v>1</v>
      </c>
      <c r="K49" s="909"/>
    </row>
    <row r="50" spans="2:11" ht="14.9" customHeight="1" x14ac:dyDescent="0.35">
      <c r="B50" s="125" t="s">
        <v>1493</v>
      </c>
      <c r="C50" s="66"/>
      <c r="D50" s="3"/>
      <c r="E50" s="256">
        <v>2</v>
      </c>
      <c r="F50" s="177" t="s">
        <v>1735</v>
      </c>
      <c r="G50"/>
      <c r="I50" s="1055">
        <f>IF($G$34,E50,IF(C50="",E50,C50))</f>
        <v>2</v>
      </c>
      <c r="K50" s="909"/>
    </row>
    <row r="51" spans="2:11" ht="14.9" customHeight="1" x14ac:dyDescent="0.35">
      <c r="B51"/>
      <c r="D51"/>
      <c r="E51"/>
      <c r="F51" s="178"/>
      <c r="G51"/>
      <c r="I51" s="811"/>
    </row>
    <row r="52" spans="2:11" ht="14.9" customHeight="1" x14ac:dyDescent="0.35">
      <c r="B52" s="4" t="s">
        <v>938</v>
      </c>
      <c r="I52" s="811"/>
    </row>
    <row r="53" spans="2:11" ht="14.9" customHeight="1" x14ac:dyDescent="0.35">
      <c r="B53" s="277" t="s">
        <v>1548</v>
      </c>
      <c r="C53" s="329"/>
      <c r="E53" s="330">
        <v>0.13400000000000001</v>
      </c>
      <c r="F53" s="177" t="s">
        <v>915</v>
      </c>
      <c r="I53" s="1053">
        <f>IF($G$34,E53,IF(C53="",E53,C53))</f>
        <v>0.13400000000000001</v>
      </c>
    </row>
    <row r="54" spans="2:11" ht="14.9" customHeight="1" x14ac:dyDescent="0.35">
      <c r="B54" s="277" t="s">
        <v>1549</v>
      </c>
      <c r="C54" s="329"/>
      <c r="E54" s="330">
        <v>0.5</v>
      </c>
      <c r="F54" s="177" t="s">
        <v>1004</v>
      </c>
      <c r="I54" s="1053">
        <f>IF($G$34,E54,IF(C54="",E54,C54))</f>
        <v>0.5</v>
      </c>
    </row>
    <row r="55" spans="2:11" ht="14.9" customHeight="1" x14ac:dyDescent="0.35">
      <c r="I55" s="811"/>
    </row>
    <row r="56" spans="2:11" s="145" customFormat="1" ht="14.9" customHeight="1" x14ac:dyDescent="0.35">
      <c r="I56" s="1056"/>
    </row>
    <row r="57" spans="2:11" s="6" customFormat="1" ht="14.9" customHeight="1" x14ac:dyDescent="0.35">
      <c r="I57" s="1057"/>
    </row>
    <row r="58" spans="2:11" s="6" customFormat="1" ht="55.4" customHeight="1" x14ac:dyDescent="0.35">
      <c r="B58" s="1425" t="s">
        <v>1736</v>
      </c>
      <c r="C58" s="1425"/>
      <c r="D58" s="1425"/>
      <c r="E58" s="1425"/>
      <c r="F58" s="1425"/>
      <c r="G58" s="1425"/>
      <c r="H58" s="1425"/>
      <c r="I58" s="1058"/>
    </row>
    <row r="59" spans="2:11" ht="30.75" customHeight="1" thickBot="1" x14ac:dyDescent="0.4">
      <c r="B59" s="1438" t="s">
        <v>1236</v>
      </c>
      <c r="C59" s="1438"/>
      <c r="D59" s="915" t="s">
        <v>857</v>
      </c>
      <c r="I59" s="910"/>
    </row>
    <row r="60" spans="2:11" ht="14.9" customHeight="1" thickTop="1" x14ac:dyDescent="0.35">
      <c r="F60" s="160" t="s">
        <v>835</v>
      </c>
      <c r="I60" s="1059"/>
    </row>
    <row r="61" spans="2:11" s="722" customFormat="1" ht="14.9" customHeight="1" x14ac:dyDescent="0.35">
      <c r="B61" s="4" t="s">
        <v>1503</v>
      </c>
      <c r="F61" s="160"/>
      <c r="I61" s="1059"/>
    </row>
    <row r="62" spans="2:11" ht="34.5" customHeight="1" x14ac:dyDescent="0.35">
      <c r="B62" s="305" t="s">
        <v>1494</v>
      </c>
      <c r="C62" s="147"/>
      <c r="D62" s="6"/>
      <c r="E62" s="264">
        <f ca="1">IFERROR(ROUND('Back Calculations'!C30+'Back Calculations'!C31,0),"")</f>
        <v>27579</v>
      </c>
      <c r="F62" s="1420" t="s">
        <v>1702</v>
      </c>
      <c r="G62" s="1421"/>
      <c r="H62" s="1421"/>
      <c r="I62" s="1055">
        <f ca="1">IF($G$34,E62,IF(C62="",E62,C62))</f>
        <v>27579</v>
      </c>
    </row>
    <row r="63" spans="2:11" ht="14.9" customHeight="1" x14ac:dyDescent="0.35">
      <c r="I63" s="1060"/>
    </row>
    <row r="64" spans="2:11" x14ac:dyDescent="0.35">
      <c r="B64" s="1444" t="str">
        <f ca="1">"Of these "&amp;I62&amp;" HCWs, what % are available for each care setting:"</f>
        <v>Of these 27579 HCWs, what % are available for each care setting:</v>
      </c>
      <c r="C64" s="1444"/>
      <c r="D64" s="693" t="s">
        <v>1353</v>
      </c>
      <c r="E64" s="731" t="s">
        <v>1728</v>
      </c>
      <c r="G64"/>
      <c r="I64" s="1060"/>
    </row>
    <row r="65" spans="2:9" ht="28.5" customHeight="1" x14ac:dyDescent="0.35">
      <c r="B65" s="304" t="s">
        <v>1334</v>
      </c>
      <c r="C65" s="206"/>
      <c r="D65" s="694">
        <f ca="1">IFERROR(I65*$I$62,"")</f>
        <v>11031.6</v>
      </c>
      <c r="E65" s="678">
        <v>0.4</v>
      </c>
      <c r="F65" s="1426" t="s">
        <v>1571</v>
      </c>
      <c r="G65" s="1421"/>
      <c r="H65" s="1421"/>
      <c r="I65" s="1053">
        <f>IF($G$34,E65,IF(OR($C$65="",$C$66="",$C$67=""),E65,C65))</f>
        <v>0.4</v>
      </c>
    </row>
    <row r="66" spans="2:9" ht="31.75" customHeight="1" x14ac:dyDescent="0.35">
      <c r="B66" s="695" t="s">
        <v>1362</v>
      </c>
      <c r="C66" s="539"/>
      <c r="D66" s="694">
        <f ca="1">IFERROR(I66*$I$62,"")</f>
        <v>14493.149589194836</v>
      </c>
      <c r="E66" s="678">
        <f ca="1">IFERROR('Back Calculations'!$C$44*(1-$E$65),"")</f>
        <v>0.52551396313118082</v>
      </c>
      <c r="F66" s="1420" t="s">
        <v>1440</v>
      </c>
      <c r="G66" s="1421"/>
      <c r="H66" s="1421"/>
      <c r="I66" s="1053">
        <f ca="1">IF($G$34,E66,IF(OR($C$65="",$C$66="",$C$67=""),E66,C66))</f>
        <v>0.52551396313118082</v>
      </c>
    </row>
    <row r="67" spans="2:9" ht="40.4" customHeight="1" x14ac:dyDescent="0.35">
      <c r="B67" s="695" t="s">
        <v>1737</v>
      </c>
      <c r="C67" s="713">
        <f>1-(C65+C66)</f>
        <v>1</v>
      </c>
      <c r="D67" s="694">
        <f ca="1">IFERROR(I67*$I$62,"")</f>
        <v>2054.2504108051635</v>
      </c>
      <c r="E67" s="678">
        <f ca="1">IFERROR((1-SUM(E65:E66)),"")</f>
        <v>7.4486036868819161E-2</v>
      </c>
      <c r="F67" s="1420" t="s">
        <v>1738</v>
      </c>
      <c r="G67" s="1421"/>
      <c r="H67" s="1421"/>
      <c r="I67" s="1053">
        <f ca="1">IF($G$34,E67,IF(OR($C$65="",$C$66="",$C$67=""),E67,C67))</f>
        <v>7.4486036868819161E-2</v>
      </c>
    </row>
    <row r="68" spans="2:9" ht="13.5" customHeight="1" x14ac:dyDescent="0.35">
      <c r="C68" s="9" t="str">
        <f ca="1">IF(C67&lt;$E$67,"Please double check the split of staff across each care setting - the staff for outpatients appears low","")</f>
        <v/>
      </c>
      <c r="D68"/>
      <c r="E68"/>
      <c r="F68"/>
      <c r="G68"/>
      <c r="I68" s="1059"/>
    </row>
    <row r="69" spans="2:9" ht="17.25" customHeight="1" x14ac:dyDescent="0.35">
      <c r="E69" s="1445" t="s">
        <v>1813</v>
      </c>
      <c r="F69" s="1445"/>
      <c r="G69" s="1445"/>
      <c r="H69" s="1445"/>
      <c r="I69" s="1059"/>
    </row>
    <row r="70" spans="2:9" ht="18" customHeight="1" thickBot="1" x14ac:dyDescent="0.4">
      <c r="B70" s="717" t="s">
        <v>1739</v>
      </c>
      <c r="C70" s="718"/>
      <c r="E70" s="1445"/>
      <c r="F70" s="1445"/>
      <c r="G70" s="1445"/>
      <c r="H70" s="1445"/>
      <c r="I70" s="1059"/>
    </row>
    <row r="71" spans="2:9" ht="34.5" customHeight="1" x14ac:dyDescent="0.35">
      <c r="B71" s="719" t="s">
        <v>1384</v>
      </c>
      <c r="C71" s="16" t="s">
        <v>833</v>
      </c>
      <c r="E71" s="1445"/>
      <c r="F71" s="1445"/>
      <c r="G71" s="1445"/>
      <c r="H71" s="1445"/>
      <c r="I71" s="811"/>
    </row>
    <row r="72" spans="2:9" x14ac:dyDescent="0.35">
      <c r="B72" s="146" t="s">
        <v>1509</v>
      </c>
      <c r="C72" s="152"/>
      <c r="E72" s="750">
        <f ca="1">IFERROR(((SUMIFS('Staffing from HRH tool'!I11:I35,'Staffing from HRH tool'!M11:M35,"HCW")/8)*'Back Calculations'!$C$36)+((SUMIFS('Staffing from HRH tool'!H11:H35,'Staffing from HRH tool'!M11:M35,"HCW")/8)*'Back Calculations'!$C$37),"")</f>
        <v>2.8220804071328884</v>
      </c>
      <c r="F72" s="1420" t="s">
        <v>1497</v>
      </c>
      <c r="G72" s="1421"/>
      <c r="H72" s="1421"/>
      <c r="I72" s="1061">
        <f ca="1">IF($G$34,E72,IF(C72="",E72,C72))</f>
        <v>2.8220804071328884</v>
      </c>
    </row>
    <row r="73" spans="2:9" x14ac:dyDescent="0.35">
      <c r="B73" s="146" t="s">
        <v>1510</v>
      </c>
      <c r="C73" s="153"/>
      <c r="E73" s="750">
        <f ca="1">IFERROR(((SUMIFS('Staffing from HRH tool'!I11:I35,'Staffing from HRH tool'!M11:M35,"Cleaner")/8)*'Back Calculations'!$C$36*10)+((SUMIFS('Staffing from HRH tool'!H11:H35,'Staffing from HRH tool'!M11:M35,"Cleaner")/8)*'Back Calculations'!$C$37*10),"")</f>
        <v>0.71902876149348738</v>
      </c>
      <c r="F73" s="1420" t="s">
        <v>1498</v>
      </c>
      <c r="G73" s="1421"/>
      <c r="H73" s="1421"/>
      <c r="I73" s="1061">
        <f ca="1">IF($G$34,E73,IF(C73="",E73,C73))</f>
        <v>0.71902876149348738</v>
      </c>
    </row>
    <row r="74" spans="2:9" ht="29.25" customHeight="1" x14ac:dyDescent="0.35">
      <c r="B74" s="146" t="s">
        <v>1511</v>
      </c>
      <c r="C74" s="281"/>
      <c r="E74" s="888">
        <f>(2/100)*3</f>
        <v>0.06</v>
      </c>
      <c r="F74" s="1420" t="s">
        <v>1523</v>
      </c>
      <c r="G74" s="1421"/>
      <c r="H74" s="1421"/>
      <c r="I74" s="1061">
        <f>IF($G$34,E74,IF(C74="",E74,C74))</f>
        <v>0.06</v>
      </c>
    </row>
    <row r="75" spans="2:9" s="722" customFormat="1" ht="21.75" customHeight="1" x14ac:dyDescent="0.35">
      <c r="B75" s="146" t="s">
        <v>1527</v>
      </c>
      <c r="C75" s="281"/>
      <c r="E75" s="888">
        <v>0.02</v>
      </c>
      <c r="F75" s="1420" t="s">
        <v>1522</v>
      </c>
      <c r="G75" s="1421"/>
      <c r="H75" s="1421"/>
      <c r="I75" s="1061">
        <f>IF($G$34,E75,IF(C75="",E75,C75))</f>
        <v>0.02</v>
      </c>
    </row>
    <row r="76" spans="2:9" ht="14.9" customHeight="1" x14ac:dyDescent="0.35">
      <c r="D76"/>
      <c r="E76"/>
      <c r="F76"/>
      <c r="G76"/>
      <c r="I76" s="811"/>
    </row>
    <row r="77" spans="2:9" ht="14.9" customHeight="1" x14ac:dyDescent="0.35">
      <c r="B77" s="732" t="s">
        <v>1495</v>
      </c>
      <c r="I77" s="811"/>
    </row>
    <row r="78" spans="2:9" ht="30.75" customHeight="1" x14ac:dyDescent="0.35">
      <c r="B78" s="751" t="s">
        <v>1496</v>
      </c>
      <c r="C78" s="807"/>
      <c r="E78" s="264">
        <f>8/(SUMIFS('Staffing from HRH tool'!J11:J35,'Staffing from HRH tool'!M5:M29,"HCW"))</f>
        <v>10</v>
      </c>
      <c r="F78" s="1426" t="s">
        <v>1810</v>
      </c>
      <c r="G78" s="1421"/>
      <c r="H78" s="1421"/>
      <c r="I78" s="1055">
        <f>IF($G$34,E78,IF(C78="",E78,C78))</f>
        <v>10</v>
      </c>
    </row>
    <row r="79" spans="2:9" customFormat="1" ht="14.9" customHeight="1" x14ac:dyDescent="0.35">
      <c r="I79" s="910"/>
    </row>
    <row r="80" spans="2:9" s="722" customFormat="1" ht="14.9" customHeight="1" thickBot="1" x14ac:dyDescent="0.4">
      <c r="B80" s="959" t="s">
        <v>1740</v>
      </c>
      <c r="C80" s="718"/>
      <c r="I80" s="1059"/>
    </row>
    <row r="81" spans="2:9" ht="14.9" customHeight="1" x14ac:dyDescent="0.35">
      <c r="B81" s="749"/>
      <c r="C81" s="16" t="s">
        <v>1385</v>
      </c>
      <c r="E81" s="157" t="s">
        <v>1385</v>
      </c>
      <c r="I81" s="811"/>
    </row>
    <row r="82" spans="2:9" ht="30" customHeight="1" x14ac:dyDescent="0.35">
      <c r="B82" s="305" t="s">
        <v>1500</v>
      </c>
      <c r="C82" s="805"/>
      <c r="E82" s="264">
        <v>0</v>
      </c>
      <c r="F82" s="1426" t="s">
        <v>1572</v>
      </c>
      <c r="G82" s="1421"/>
      <c r="H82" s="1421"/>
      <c r="I82" s="1061">
        <f>IF($G$34,E82,IF(C82="",E82,C82))</f>
        <v>0</v>
      </c>
    </row>
    <row r="83" spans="2:9" ht="45.65" customHeight="1" x14ac:dyDescent="0.35">
      <c r="B83" s="899" t="s">
        <v>1699</v>
      </c>
      <c r="C83" s="807"/>
      <c r="D83"/>
      <c r="E83" s="748">
        <v>1</v>
      </c>
      <c r="F83" s="1426" t="s">
        <v>1573</v>
      </c>
      <c r="G83" s="1421"/>
      <c r="H83" s="1421"/>
      <c r="I83" s="1055">
        <f>IF($G$34,E83,IF(C83="",E83,C83))</f>
        <v>1</v>
      </c>
    </row>
    <row r="84" spans="2:9" ht="14.25" hidden="1" customHeight="1" x14ac:dyDescent="0.35">
      <c r="I84" s="253"/>
    </row>
    <row r="85" spans="2:9" hidden="1" x14ac:dyDescent="0.35">
      <c r="B85" s="190" t="s">
        <v>972</v>
      </c>
      <c r="C85" s="16" t="s">
        <v>833</v>
      </c>
      <c r="I85" s="253"/>
    </row>
    <row r="86" spans="2:9" ht="14.25" hidden="1" customHeight="1" x14ac:dyDescent="0.35">
      <c r="B86" s="282" t="s">
        <v>823</v>
      </c>
      <c r="C86" s="416"/>
      <c r="E86" s="494">
        <f>SUMIFS('Staffing from HRH tool'!G11:G31,'Staffing from HRH tool'!M11:M31,"HCW")/8</f>
        <v>1.40625</v>
      </c>
      <c r="F86" s="1304" t="s">
        <v>1811</v>
      </c>
      <c r="I86" s="259">
        <f>IF($G$34,#REF!,C86)</f>
        <v>0</v>
      </c>
    </row>
    <row r="87" spans="2:9" ht="14.25" hidden="1" customHeight="1" x14ac:dyDescent="0.35">
      <c r="B87" s="282" t="s">
        <v>824</v>
      </c>
      <c r="C87" s="417"/>
      <c r="E87" s="494">
        <f>(SUMIFS('Staffing from HRH tool'!G12:G32,'Staffing from HRH tool'!M12:M32,"Cleaner")/8)*10</f>
        <v>0.625</v>
      </c>
      <c r="F87" s="1304" t="s">
        <v>1811</v>
      </c>
      <c r="I87" s="259">
        <f>IF($G$34,#REF!,C87)</f>
        <v>0</v>
      </c>
    </row>
    <row r="88" spans="2:9" ht="14.25" hidden="1" customHeight="1" x14ac:dyDescent="0.35">
      <c r="B88" s="292"/>
      <c r="C88" s="291"/>
      <c r="I88" s="253"/>
    </row>
    <row r="89" spans="2:9" ht="14.25" hidden="1" customHeight="1" x14ac:dyDescent="0.35">
      <c r="B89" s="4" t="s">
        <v>886</v>
      </c>
      <c r="I89" s="253"/>
    </row>
    <row r="90" spans="2:9" ht="14.25" hidden="1" customHeight="1" x14ac:dyDescent="0.35">
      <c r="B90" s="323" t="s">
        <v>887</v>
      </c>
      <c r="C90" s="415"/>
      <c r="E90" s="256"/>
      <c r="F90" s="10" t="s">
        <v>1109</v>
      </c>
      <c r="I90" s="259">
        <f>IF($G$34,E90,C90)</f>
        <v>0</v>
      </c>
    </row>
    <row r="91" spans="2:9" ht="14.25" customHeight="1" x14ac:dyDescent="0.35">
      <c r="B91" s="275"/>
      <c r="C91" s="1388"/>
      <c r="I91" s="253"/>
    </row>
    <row r="92" spans="2:9" s="145" customFormat="1" ht="14.9" customHeight="1" x14ac:dyDescent="0.35">
      <c r="I92" s="712"/>
    </row>
    <row r="93" spans="2:9" ht="14.9" customHeight="1" x14ac:dyDescent="0.35">
      <c r="B93"/>
      <c r="C93"/>
      <c r="D93"/>
      <c r="E93" s="1448" t="s">
        <v>1414</v>
      </c>
      <c r="F93" s="1448"/>
      <c r="G93" s="1448"/>
      <c r="H93" s="1448"/>
      <c r="I93" s="1448"/>
    </row>
    <row r="94" spans="2:9" ht="24.65" customHeight="1" thickBot="1" x14ac:dyDescent="0.4">
      <c r="B94" s="1438" t="s">
        <v>1237</v>
      </c>
      <c r="C94" s="1438"/>
      <c r="D94" s="179" t="s">
        <v>857</v>
      </c>
      <c r="E94" s="1448"/>
      <c r="F94" s="1448"/>
      <c r="G94" s="1448"/>
      <c r="H94" s="1448"/>
      <c r="I94" s="1448"/>
    </row>
    <row r="95" spans="2:9" ht="14.9" customHeight="1" thickTop="1" x14ac:dyDescent="0.35">
      <c r="E95" s="1448"/>
      <c r="F95" s="1448"/>
      <c r="G95" s="1448"/>
      <c r="H95" s="1448"/>
      <c r="I95" s="1448"/>
    </row>
    <row r="96" spans="2:9" ht="14.9" customHeight="1" x14ac:dyDescent="0.35">
      <c r="B96" s="4" t="s">
        <v>881</v>
      </c>
      <c r="E96" s="157"/>
      <c r="F96" s="160" t="s">
        <v>835</v>
      </c>
      <c r="I96" s="253"/>
    </row>
    <row r="97" spans="2:9" ht="28.5" customHeight="1" x14ac:dyDescent="0.35">
      <c r="B97" s="304" t="s">
        <v>1504</v>
      </c>
      <c r="C97" s="147"/>
      <c r="D97" s="675"/>
      <c r="E97" s="264">
        <f>ROUND('Back Calculations'!C19,0)</f>
        <v>37359</v>
      </c>
      <c r="F97" s="1422" t="s">
        <v>1448</v>
      </c>
      <c r="G97" s="1423"/>
      <c r="H97" s="1423"/>
      <c r="I97" s="1055">
        <f>IF($G$34,E97,IF(C97="",E97,C97))</f>
        <v>37359</v>
      </c>
    </row>
    <row r="98" spans="2:9" customFormat="1" x14ac:dyDescent="0.35">
      <c r="F98" s="880"/>
      <c r="G98" s="880"/>
      <c r="H98" s="880"/>
      <c r="I98" s="1059"/>
    </row>
    <row r="99" spans="2:9" ht="27" customHeight="1" x14ac:dyDescent="0.35">
      <c r="B99" s="1444" t="str">
        <f>"Of these "&amp;I97&amp;" beds, what % are available for different settings of care:"</f>
        <v>Of these 37359 beds, what % are available for different settings of care:</v>
      </c>
      <c r="C99" s="1444"/>
      <c r="D99" s="693" t="s">
        <v>1352</v>
      </c>
      <c r="E99" s="731" t="s">
        <v>1741</v>
      </c>
      <c r="I99" s="711"/>
    </row>
    <row r="100" spans="2:9" ht="15" customHeight="1" x14ac:dyDescent="0.35">
      <c r="B100" s="304" t="s">
        <v>1542</v>
      </c>
      <c r="C100" s="676"/>
      <c r="D100" s="692">
        <f>IFERROR(I100*$I$97,"")</f>
        <v>14943.6</v>
      </c>
      <c r="E100" s="678">
        <v>0.4</v>
      </c>
      <c r="F100" s="1426" t="s">
        <v>1574</v>
      </c>
      <c r="G100" s="1449"/>
      <c r="H100" s="1449"/>
      <c r="I100" s="1053">
        <f>IF($G$34,E100,IF(OR($C$100="",$C$101="",$C$102=""),E100,C100))</f>
        <v>0.4</v>
      </c>
    </row>
    <row r="101" spans="2:9" ht="15" customHeight="1" x14ac:dyDescent="0.35">
      <c r="B101" s="304" t="s">
        <v>1505</v>
      </c>
      <c r="C101" s="677">
        <f>1-(C100+C102)</f>
        <v>1</v>
      </c>
      <c r="D101" s="692">
        <f>IFERROR(I101*$I$97,"")</f>
        <v>21526.255800000003</v>
      </c>
      <c r="E101" s="742">
        <f>1-(E100+E102)</f>
        <v>0.57620000000000005</v>
      </c>
      <c r="F101" s="1067" t="s">
        <v>1337</v>
      </c>
      <c r="G101" s="1068"/>
      <c r="H101" s="1068"/>
      <c r="I101" s="1053">
        <f>IF($G$34,E101,IF(OR($C$100="",$C$101="",$C$102=""),E101,C101))</f>
        <v>0.57620000000000005</v>
      </c>
    </row>
    <row r="102" spans="2:9" ht="15" customHeight="1" x14ac:dyDescent="0.35">
      <c r="B102" s="304" t="s">
        <v>1506</v>
      </c>
      <c r="C102" s="846"/>
      <c r="D102" s="692">
        <f>IFERROR(I102*$I$97,"")</f>
        <v>889.14420000000007</v>
      </c>
      <c r="E102" s="1031">
        <f>IF($E$35="Manual",'WB Beds'!$BR$840,INDEX('HCW, Staff, Beds Summary'!$L$7:$L$270,MATCH(Inputs!$E$35,'WB Beds'!$B$827:$B$1090,0))/100)</f>
        <v>2.3800000000000002E-2</v>
      </c>
      <c r="F102" s="1420" t="str">
        <f>"Data estimates "&amp;IF($E$35="Manual",'WB Beds'!$BR$840*100,INDEX('HCW, Staff, Beds Summary'!$L$7:$L$270,MATCH(Inputs!$E$35,'WB Beds'!$B$827:$B$1090,0)))&amp;"% are beds for critical care"</f>
        <v>Data estimates 2,38% are beds for critical care</v>
      </c>
      <c r="G102" s="1421"/>
      <c r="H102" s="1421"/>
      <c r="I102" s="1053">
        <f>IF($G$34,E102,IF(OR($C$100="",$C$101="",$C$102=""),E102,C102))</f>
        <v>2.3800000000000002E-2</v>
      </c>
    </row>
    <row r="103" spans="2:9" x14ac:dyDescent="0.35">
      <c r="B103" s="207"/>
      <c r="C103" s="151"/>
      <c r="I103" s="711"/>
    </row>
    <row r="104" spans="2:9" ht="24" customHeight="1" x14ac:dyDescent="0.35">
      <c r="B104" s="282" t="s">
        <v>1507</v>
      </c>
      <c r="C104" s="147"/>
      <c r="D104" s="6"/>
      <c r="E104" s="264">
        <v>40</v>
      </c>
      <c r="F104" s="1426" t="s">
        <v>1508</v>
      </c>
      <c r="G104" s="1449"/>
      <c r="H104" s="1449"/>
      <c r="I104" s="1055">
        <f>IF($G$34,E104,IF(C104="",E104,C104))</f>
        <v>40</v>
      </c>
    </row>
    <row r="105" spans="2:9" ht="14.9" customHeight="1" x14ac:dyDescent="0.35">
      <c r="I105" s="811"/>
    </row>
    <row r="106" spans="2:9" ht="14.9" hidden="1" customHeight="1" x14ac:dyDescent="0.35">
      <c r="B106" s="4" t="s">
        <v>879</v>
      </c>
      <c r="I106" s="811"/>
    </row>
    <row r="107" spans="2:9" ht="14.9" hidden="1" customHeight="1" x14ac:dyDescent="0.35">
      <c r="B107" s="282" t="s">
        <v>880</v>
      </c>
      <c r="C107" s="414">
        <v>3</v>
      </c>
      <c r="D107" s="6"/>
      <c r="E107" s="258">
        <v>3</v>
      </c>
      <c r="F107" s="177" t="s">
        <v>1113</v>
      </c>
      <c r="I107" s="1055">
        <f>IF($G$34,E107,C107)</f>
        <v>3</v>
      </c>
    </row>
    <row r="108" spans="2:9" ht="29" hidden="1" x14ac:dyDescent="0.35">
      <c r="B108" s="305" t="s">
        <v>996</v>
      </c>
      <c r="C108" s="414">
        <v>1000</v>
      </c>
      <c r="D108" s="6"/>
      <c r="E108" s="258">
        <v>1000</v>
      </c>
      <c r="F108" s="385" t="s">
        <v>1087</v>
      </c>
      <c r="I108" s="1055">
        <f>IF($G$34,E108,C108)</f>
        <v>1000</v>
      </c>
    </row>
    <row r="109" spans="2:9" ht="14.9" hidden="1" customHeight="1" x14ac:dyDescent="0.35">
      <c r="I109" s="811"/>
    </row>
    <row r="110" spans="2:9" ht="14.9" hidden="1" customHeight="1" x14ac:dyDescent="0.35">
      <c r="B110" s="4" t="s">
        <v>1084</v>
      </c>
      <c r="I110" s="811"/>
    </row>
    <row r="111" spans="2:9" ht="29" hidden="1" x14ac:dyDescent="0.35">
      <c r="B111" s="305" t="s">
        <v>1085</v>
      </c>
      <c r="C111" s="399">
        <v>0.5</v>
      </c>
      <c r="D111" s="263"/>
      <c r="E111" s="260">
        <v>0.5</v>
      </c>
      <c r="F111" s="385" t="s">
        <v>1087</v>
      </c>
      <c r="I111" s="1055">
        <f>IF($G$34,E111,C111)</f>
        <v>0.5</v>
      </c>
    </row>
    <row r="112" spans="2:9" ht="14.9" hidden="1" customHeight="1" x14ac:dyDescent="0.35">
      <c r="I112" s="811"/>
    </row>
    <row r="113" spans="2:12" ht="14.9" hidden="1" customHeight="1" x14ac:dyDescent="0.35">
      <c r="B113" s="4" t="s">
        <v>964</v>
      </c>
      <c r="I113" s="811"/>
    </row>
    <row r="114" spans="2:12" hidden="1" x14ac:dyDescent="0.35">
      <c r="B114" s="305" t="s">
        <v>882</v>
      </c>
      <c r="C114" s="414">
        <v>3</v>
      </c>
      <c r="D114" s="263"/>
      <c r="E114" s="264">
        <v>3</v>
      </c>
      <c r="F114" s="413" t="s">
        <v>1110</v>
      </c>
      <c r="I114" s="1055">
        <f>IF($G$34,E114,C114)</f>
        <v>3</v>
      </c>
    </row>
    <row r="115" spans="2:12" ht="10.5" hidden="1" customHeight="1" x14ac:dyDescent="0.35">
      <c r="I115" s="811"/>
    </row>
    <row r="116" spans="2:12" ht="29" hidden="1" x14ac:dyDescent="0.35">
      <c r="B116" s="305" t="s">
        <v>883</v>
      </c>
      <c r="C116" s="414">
        <v>20000</v>
      </c>
      <c r="D116" s="263"/>
      <c r="E116" s="264">
        <v>2000</v>
      </c>
      <c r="F116" s="413" t="s">
        <v>1110</v>
      </c>
      <c r="I116" s="1055">
        <f>IF($G$34,E116,C116)</f>
        <v>20000</v>
      </c>
    </row>
    <row r="117" spans="2:12" ht="14.9" hidden="1" customHeight="1" x14ac:dyDescent="0.35">
      <c r="I117" s="811"/>
    </row>
    <row r="118" spans="2:12" s="145" customFormat="1" ht="14.9" customHeight="1" x14ac:dyDescent="0.35">
      <c r="I118" s="1062"/>
    </row>
    <row r="119" spans="2:12" ht="14.9" customHeight="1" x14ac:dyDescent="0.35">
      <c r="I119" s="811"/>
    </row>
    <row r="120" spans="2:12" ht="24.65" customHeight="1" thickBot="1" x14ac:dyDescent="0.4">
      <c r="B120" s="1437" t="s">
        <v>1106</v>
      </c>
      <c r="C120" s="1437"/>
      <c r="D120" s="179" t="s">
        <v>857</v>
      </c>
      <c r="I120" s="811"/>
    </row>
    <row r="121" spans="2:12" ht="11.9" customHeight="1" thickTop="1" x14ac:dyDescent="0.35">
      <c r="B121" s="262"/>
      <c r="C121" s="262"/>
      <c r="D121" s="179"/>
      <c r="I121" s="811"/>
    </row>
    <row r="122" spans="2:12" s="67" customFormat="1" ht="18.649999999999999" customHeight="1" thickBot="1" x14ac:dyDescent="0.4">
      <c r="B122" s="1443" t="s">
        <v>1568</v>
      </c>
      <c r="C122" s="1443"/>
      <c r="I122" s="1063"/>
    </row>
    <row r="123" spans="2:12" customFormat="1" x14ac:dyDescent="0.35">
      <c r="B123" s="1418" t="s">
        <v>1425</v>
      </c>
      <c r="C123" s="1419"/>
      <c r="E123" s="384" t="s">
        <v>1390</v>
      </c>
      <c r="I123" s="913"/>
    </row>
    <row r="124" spans="2:12" customFormat="1" ht="15" customHeight="1" x14ac:dyDescent="0.35">
      <c r="B124" s="319" t="s">
        <v>1417</v>
      </c>
      <c r="C124" s="389"/>
      <c r="E124" s="256">
        <f>IFERROR(VLOOKUP($E$35,'Diagnostics Module'!$B$20:$J$239,4,0),0)</f>
        <v>15</v>
      </c>
      <c r="F124" s="177"/>
      <c r="I124" s="1055">
        <f>IF($G$34,E124,IF(C124="",E124,C124))</f>
        <v>15</v>
      </c>
      <c r="K124" s="129"/>
      <c r="L124" s="129"/>
    </row>
    <row r="125" spans="2:12" customFormat="1" ht="15" customHeight="1" x14ac:dyDescent="0.35">
      <c r="B125" s="319" t="s">
        <v>1418</v>
      </c>
      <c r="C125" s="389"/>
      <c r="E125" s="256">
        <f>IFERROR(VLOOKUP($E$35,'Diagnostics Module'!$B$20:$J$239,5,0),0)</f>
        <v>11</v>
      </c>
      <c r="F125" s="177"/>
      <c r="I125" s="1055">
        <f>IF($G$34,E125,IF(C125="",E125,C125))</f>
        <v>11</v>
      </c>
      <c r="K125" s="129"/>
      <c r="L125" s="129"/>
    </row>
    <row r="126" spans="2:12" ht="15" customHeight="1" x14ac:dyDescent="0.35">
      <c r="B126" s="319" t="s">
        <v>1419</v>
      </c>
      <c r="C126" s="389"/>
      <c r="D126"/>
      <c r="E126" s="256">
        <f>IFERROR(VLOOKUP($E$35,'Diagnostics Module'!$B$20:$J$239,6,0),0)</f>
        <v>65</v>
      </c>
      <c r="F126" s="177"/>
      <c r="I126" s="1055">
        <f>IF($G$34,E126,IF(C126="",E126,C126))</f>
        <v>65</v>
      </c>
    </row>
    <row r="127" spans="2:12" ht="15" customHeight="1" x14ac:dyDescent="0.35">
      <c r="B127" s="319" t="s">
        <v>1420</v>
      </c>
      <c r="C127" s="389"/>
      <c r="D127"/>
      <c r="E127" s="256">
        <f>IFERROR(VLOOKUP($E$35,'Diagnostics Module'!$B$20:$J$239,7,0),0)</f>
        <v>9</v>
      </c>
      <c r="F127" s="177"/>
      <c r="I127" s="1055">
        <f>IF($G$34,E127,IF(C127="",E127,C127))</f>
        <v>9</v>
      </c>
    </row>
    <row r="128" spans="2:12" ht="15" customHeight="1" x14ac:dyDescent="0.35">
      <c r="B128" s="319" t="s">
        <v>1421</v>
      </c>
      <c r="C128" s="389"/>
      <c r="D128"/>
      <c r="E128" s="256">
        <v>0</v>
      </c>
      <c r="F128" s="177"/>
      <c r="I128" s="1055">
        <f>IF($G$34,E128,IF(C128="",E128,C128))</f>
        <v>0</v>
      </c>
    </row>
    <row r="129" spans="2:9" ht="15" customHeight="1" x14ac:dyDescent="0.35">
      <c r="B129" s="320" t="s">
        <v>1453</v>
      </c>
      <c r="C129" s="389"/>
      <c r="E129" s="256" t="s">
        <v>1034</v>
      </c>
      <c r="F129" s="254" t="s">
        <v>1238</v>
      </c>
      <c r="I129" s="1055" t="str">
        <f t="shared" ref="I129:I140" si="0">IF($G$34,E129,IF(C129="",E129,C129))</f>
        <v>1 (8 hours)</v>
      </c>
    </row>
    <row r="130" spans="2:9" ht="15" customHeight="1" x14ac:dyDescent="0.35">
      <c r="B130" s="320" t="s">
        <v>1454</v>
      </c>
      <c r="C130" s="389"/>
      <c r="E130" s="256">
        <v>5</v>
      </c>
      <c r="F130" s="254" t="s">
        <v>1035</v>
      </c>
      <c r="G130"/>
      <c r="I130" s="1055">
        <f t="shared" si="0"/>
        <v>5</v>
      </c>
    </row>
    <row r="131" spans="2:9" ht="17.149999999999999" customHeight="1" x14ac:dyDescent="0.35">
      <c r="B131" s="313" t="s">
        <v>1537</v>
      </c>
      <c r="C131" s="390"/>
      <c r="E131" s="260" t="s">
        <v>926</v>
      </c>
      <c r="F131" s="254"/>
      <c r="I131" s="1055" t="str">
        <f>IF($G$34,E131,IF(C131="",E131,C131))</f>
        <v>Split evenly - 50%</v>
      </c>
    </row>
    <row r="132" spans="2:9" customFormat="1" ht="20.9" customHeight="1" x14ac:dyDescent="0.35">
      <c r="B132" s="741" t="s">
        <v>1424</v>
      </c>
      <c r="C132" s="288"/>
      <c r="I132" s="910"/>
    </row>
    <row r="133" spans="2:9" ht="26.5" customHeight="1" x14ac:dyDescent="0.35">
      <c r="B133" s="319" t="s">
        <v>1422</v>
      </c>
      <c r="C133" s="390"/>
      <c r="D133"/>
      <c r="E133" s="982">
        <f>IFERROR(VLOOKUP($E$35,'Diagnostics Module'!$B$20:$J$239,8,0),0)</f>
        <v>300.57512932651366</v>
      </c>
      <c r="F133" s="1420" t="s">
        <v>1541</v>
      </c>
      <c r="G133" s="1421"/>
      <c r="H133" s="1421"/>
      <c r="I133" s="1055">
        <f>IF($G$34,E133,IF(C133="",E133,C133))</f>
        <v>300.57512932651366</v>
      </c>
    </row>
    <row r="134" spans="2:9" ht="15" customHeight="1" x14ac:dyDescent="0.35">
      <c r="B134" s="321" t="s">
        <v>1426</v>
      </c>
      <c r="C134" s="389"/>
      <c r="E134" s="256" t="s">
        <v>1034</v>
      </c>
      <c r="F134" s="254" t="s">
        <v>1238</v>
      </c>
      <c r="I134" s="1055" t="str">
        <f t="shared" si="0"/>
        <v>1 (8 hours)</v>
      </c>
    </row>
    <row r="135" spans="2:9" ht="15" customHeight="1" x14ac:dyDescent="0.35">
      <c r="B135" s="322" t="s">
        <v>1427</v>
      </c>
      <c r="C135" s="389"/>
      <c r="E135" s="256">
        <v>5</v>
      </c>
      <c r="F135" s="254" t="s">
        <v>1035</v>
      </c>
      <c r="I135" s="1055">
        <f t="shared" si="0"/>
        <v>5</v>
      </c>
    </row>
    <row r="136" spans="2:9" ht="16.399999999999999" customHeight="1" x14ac:dyDescent="0.35">
      <c r="B136" s="313" t="s">
        <v>1538</v>
      </c>
      <c r="C136" s="390"/>
      <c r="E136" s="260" t="s">
        <v>926</v>
      </c>
      <c r="F136" s="254"/>
      <c r="G136"/>
      <c r="I136" s="1055" t="str">
        <f>IF($G$34,E136,IF(C136="",E136,C136))</f>
        <v>Split evenly - 50%</v>
      </c>
    </row>
    <row r="137" spans="2:9" customFormat="1" ht="23.15" customHeight="1" x14ac:dyDescent="0.35">
      <c r="B137" s="741" t="s">
        <v>1423</v>
      </c>
      <c r="C137" s="288"/>
      <c r="I137" s="910"/>
    </row>
    <row r="138" spans="2:9" ht="14.9" customHeight="1" x14ac:dyDescent="0.35">
      <c r="B138" s="319" t="s">
        <v>1540</v>
      </c>
      <c r="C138" s="947"/>
      <c r="D138"/>
      <c r="E138" s="404">
        <f>IFERROR(VLOOKUP($E$35,'Diagnostics Module'!$B$20:$J$239,9,0),3)</f>
        <v>3</v>
      </c>
      <c r="F138" s="177"/>
      <c r="I138" s="1055">
        <f>IF($G$34,E138,IF(C138="",E138,C138))</f>
        <v>3</v>
      </c>
    </row>
    <row r="139" spans="2:9" customFormat="1" ht="14.9" customHeight="1" x14ac:dyDescent="0.35">
      <c r="B139" s="320" t="s">
        <v>922</v>
      </c>
      <c r="C139" s="389"/>
      <c r="D139" s="129"/>
      <c r="E139" s="256" t="s">
        <v>1034</v>
      </c>
      <c r="F139" s="254" t="s">
        <v>1238</v>
      </c>
      <c r="G139" s="129"/>
      <c r="I139" s="1055" t="str">
        <f t="shared" si="0"/>
        <v>1 (8 hours)</v>
      </c>
    </row>
    <row r="140" spans="2:9" customFormat="1" ht="14.9" customHeight="1" x14ac:dyDescent="0.35">
      <c r="B140" s="320" t="s">
        <v>896</v>
      </c>
      <c r="C140" s="389"/>
      <c r="D140" s="129"/>
      <c r="E140" s="256">
        <v>5</v>
      </c>
      <c r="F140" s="254" t="s">
        <v>1035</v>
      </c>
      <c r="I140" s="1055">
        <f t="shared" si="0"/>
        <v>5</v>
      </c>
    </row>
    <row r="141" spans="2:9" ht="15.65" customHeight="1" x14ac:dyDescent="0.35">
      <c r="B141" s="313" t="s">
        <v>1539</v>
      </c>
      <c r="C141" s="390"/>
      <c r="E141" s="260" t="s">
        <v>928</v>
      </c>
      <c r="F141" s="254"/>
      <c r="I141" s="1055" t="str">
        <f>IF($G$34,E141,IF(C141="",E141,C141))</f>
        <v>Fully dedicated - 100%</v>
      </c>
    </row>
    <row r="142" spans="2:9" s="722" customFormat="1" ht="15.65" customHeight="1" x14ac:dyDescent="0.35">
      <c r="B142" s="743"/>
      <c r="C142" s="288"/>
      <c r="E142"/>
      <c r="F142" s="254"/>
      <c r="I142" s="1055"/>
    </row>
    <row r="143" spans="2:9" s="722" customFormat="1" ht="15.65" customHeight="1" x14ac:dyDescent="0.35">
      <c r="B143" s="741" t="s">
        <v>1431</v>
      </c>
      <c r="C143" s="746" t="s">
        <v>1432</v>
      </c>
      <c r="E143"/>
      <c r="F143" s="254"/>
      <c r="I143" s="1055"/>
    </row>
    <row r="144" spans="2:9" s="722" customFormat="1" ht="21" customHeight="1" x14ac:dyDescent="0.35">
      <c r="B144" s="979"/>
      <c r="C144" s="947"/>
      <c r="E144" s="744">
        <v>0</v>
      </c>
      <c r="F144" s="1451" t="s">
        <v>1743</v>
      </c>
      <c r="G144" s="1452"/>
      <c r="H144" s="1452"/>
      <c r="I144" s="1055">
        <f>IF($G$34,E144,IF(C144="",E144,C144))</f>
        <v>0</v>
      </c>
    </row>
    <row r="145" spans="2:9" s="722" customFormat="1" ht="30" customHeight="1" thickBot="1" x14ac:dyDescent="0.4">
      <c r="B145" s="745" t="s">
        <v>1433</v>
      </c>
      <c r="C145" s="391"/>
      <c r="E145" s="744">
        <v>0</v>
      </c>
      <c r="F145" s="1451"/>
      <c r="G145" s="1452"/>
      <c r="H145" s="1452"/>
      <c r="I145" s="1055">
        <f>IF($G$34,E145,IF(C145="",E145,C145))</f>
        <v>0</v>
      </c>
    </row>
    <row r="146" spans="2:9" ht="14.9" customHeight="1" x14ac:dyDescent="0.35">
      <c r="B146" s="20"/>
      <c r="C146" s="85"/>
      <c r="F146"/>
      <c r="I146" s="811"/>
    </row>
    <row r="147" spans="2:9" ht="14.9" customHeight="1" x14ac:dyDescent="0.35">
      <c r="B147" s="20"/>
      <c r="C147" s="85"/>
      <c r="E147" s="708"/>
      <c r="I147" s="811"/>
    </row>
    <row r="148" spans="2:9" ht="14.9" customHeight="1" x14ac:dyDescent="0.35">
      <c r="B148" s="308" t="s">
        <v>1298</v>
      </c>
      <c r="C148" s="302">
        <f>'Diagnostics Module'!E15</f>
        <v>10370.98260473755</v>
      </c>
      <c r="E148" s="703">
        <f>'Diagnostics Module'!E15</f>
        <v>10370.98260473755</v>
      </c>
      <c r="F148" s="177" t="s">
        <v>1575</v>
      </c>
      <c r="I148" s="811"/>
    </row>
    <row r="149" spans="2:9" ht="16.399999999999999" customHeight="1" x14ac:dyDescent="0.35">
      <c r="B149" s="1447" t="s">
        <v>1430</v>
      </c>
      <c r="C149" s="1447"/>
      <c r="I149" s="1064"/>
    </row>
    <row r="150" spans="2:9" ht="14.9" customHeight="1" x14ac:dyDescent="0.35">
      <c r="B150" s="126" t="s">
        <v>930</v>
      </c>
      <c r="C150" s="168"/>
      <c r="E150" s="258">
        <f>C148</f>
        <v>10370.98260473755</v>
      </c>
      <c r="F150" s="177" t="str">
        <f>"Use 100,000,000,000 for 'unlimited', or "&amp;ROUND(C148,0)&amp;" for the calculated maximum"</f>
        <v>Use 100,000,000,000 for 'unlimited', or 10371 for the calculated maximum</v>
      </c>
      <c r="I150" s="1055">
        <f>IF($G$34,E150,IF(C150="",E150,C150))</f>
        <v>10370.98260473755</v>
      </c>
    </row>
    <row r="151" spans="2:9" customFormat="1" ht="14.9" customHeight="1" x14ac:dyDescent="0.35">
      <c r="I151" s="911"/>
    </row>
    <row r="152" spans="2:9" s="722" customFormat="1" ht="14.9" customHeight="1" thickBot="1" x14ac:dyDescent="0.4">
      <c r="B152" s="1427" t="s">
        <v>1569</v>
      </c>
      <c r="C152" s="1427"/>
      <c r="I152" s="911"/>
    </row>
    <row r="153" spans="2:9" s="722" customFormat="1" ht="14.9" customHeight="1" x14ac:dyDescent="0.35">
      <c r="B153" s="904" t="s">
        <v>1557</v>
      </c>
      <c r="C153" s="908"/>
      <c r="I153" s="911"/>
    </row>
    <row r="154" spans="2:9" s="722" customFormat="1" ht="14.9" customHeight="1" x14ac:dyDescent="0.35">
      <c r="B154" s="902" t="s">
        <v>1562</v>
      </c>
      <c r="C154" s="946"/>
      <c r="I154" s="911"/>
    </row>
    <row r="155" spans="2:9" s="722" customFormat="1" ht="14.9" customHeight="1" x14ac:dyDescent="0.35">
      <c r="B155" s="902" t="s">
        <v>1563</v>
      </c>
      <c r="C155" s="946"/>
      <c r="I155" s="911"/>
    </row>
    <row r="156" spans="2:9" s="722" customFormat="1" ht="14.9" customHeight="1" x14ac:dyDescent="0.35">
      <c r="B156" s="903" t="s">
        <v>1550</v>
      </c>
      <c r="C156" s="288"/>
      <c r="D156" s="907"/>
      <c r="I156" s="911"/>
    </row>
    <row r="157" spans="2:9" s="722" customFormat="1" ht="14.9" customHeight="1" thickBot="1" x14ac:dyDescent="0.4">
      <c r="B157" s="961" t="s">
        <v>1551</v>
      </c>
      <c r="C157" s="905"/>
      <c r="I157" s="911"/>
    </row>
    <row r="158" spans="2:9" s="722" customFormat="1" ht="14.9" customHeight="1" x14ac:dyDescent="0.35">
      <c r="I158" s="911"/>
    </row>
    <row r="159" spans="2:9" s="722" customFormat="1" ht="14.9" customHeight="1" x14ac:dyDescent="0.35">
      <c r="B159" s="928" t="s">
        <v>1555</v>
      </c>
      <c r="C159" s="927">
        <f>SUM('Diagnostics Module'!I15:I16)/7</f>
        <v>0</v>
      </c>
      <c r="I159" s="911"/>
    </row>
    <row r="160" spans="2:9" s="722" customFormat="1" ht="14.9" customHeight="1" x14ac:dyDescent="0.35">
      <c r="B160" s="1417" t="s">
        <v>1564</v>
      </c>
      <c r="C160" s="1417"/>
      <c r="I160" s="911"/>
    </row>
    <row r="161" spans="2:9" ht="14.9" customHeight="1" x14ac:dyDescent="0.35">
      <c r="B161" s="4" t="s">
        <v>942</v>
      </c>
      <c r="E161" s="1070">
        <f>SUM('Back Calculations'!D164:D166)</f>
        <v>890.71891165814213</v>
      </c>
      <c r="F161" s="1069" t="str">
        <f>"Calculated staff needed based on existing platforms: "&amp;CONCATENATE("represents ",ROUND(E161/$I$162,2)*100,"% of estimated lab staff in-country")</f>
        <v>Calculated staff needed based on existing platforms: represents 190% of estimated lab staff in-country</v>
      </c>
      <c r="I161" s="911"/>
    </row>
    <row r="162" spans="2:9" ht="27" customHeight="1" x14ac:dyDescent="0.35">
      <c r="B162" s="303" t="s">
        <v>826</v>
      </c>
      <c r="C162" s="147"/>
      <c r="D162"/>
      <c r="E162" s="264">
        <f>ROUND('Back Calculations'!$C$27,0)</f>
        <v>468</v>
      </c>
      <c r="F162" s="1424" t="s">
        <v>1306</v>
      </c>
      <c r="G162" s="1423"/>
      <c r="H162" s="1423"/>
      <c r="I162" s="1055">
        <f>IF($G$34,E162,IF(C162="",E162,C162))</f>
        <v>468</v>
      </c>
    </row>
    <row r="163" spans="2:9" customFormat="1" ht="14.9" customHeight="1" x14ac:dyDescent="0.35">
      <c r="B163" s="129"/>
      <c r="C163" s="129"/>
      <c r="D163" s="129"/>
      <c r="E163" s="129"/>
      <c r="F163" s="177"/>
      <c r="I163" s="911"/>
    </row>
    <row r="164" spans="2:9" ht="44.5" customHeight="1" x14ac:dyDescent="0.35">
      <c r="B164" s="304" t="str">
        <f>"Of these "&amp;I162&amp;" lab staff, % available for 
COVID-19 response"</f>
        <v>Of these 468 lab staff, % available for 
COVID-19 response</v>
      </c>
      <c r="C164" s="206"/>
      <c r="D164"/>
      <c r="E164" s="260">
        <f>AVERAGE('Back Calculations'!$D$158:$D$160)</f>
        <v>0.66666666666666663</v>
      </c>
      <c r="F164" s="1420" t="s">
        <v>1744</v>
      </c>
      <c r="G164" s="1421"/>
      <c r="H164" s="1421"/>
      <c r="I164" s="1053">
        <f>IF($G$34,E164,IF(C164="",E164,C164))</f>
        <v>0.66666666666666663</v>
      </c>
    </row>
    <row r="165" spans="2:9" customFormat="1" ht="10.4" customHeight="1" x14ac:dyDescent="0.35">
      <c r="I165" s="911"/>
    </row>
    <row r="166" spans="2:9" ht="14.9" customHeight="1" x14ac:dyDescent="0.35">
      <c r="B166" s="4" t="s">
        <v>827</v>
      </c>
      <c r="D166"/>
      <c r="G166"/>
      <c r="I166" s="811"/>
    </row>
    <row r="167" spans="2:9" ht="25.4" customHeight="1" x14ac:dyDescent="0.35">
      <c r="B167" s="901" t="s">
        <v>1536</v>
      </c>
      <c r="C167" s="807"/>
      <c r="D167"/>
      <c r="E167" s="264">
        <f>(SUM(I124:I128)/3)+(I133/4)+(I138/3)+(I144/3)</f>
        <v>109.47711566496176</v>
      </c>
      <c r="F167" s="1420" t="s">
        <v>1745</v>
      </c>
      <c r="G167" s="1450"/>
      <c r="H167" s="1450"/>
      <c r="I167" s="1055">
        <f>IF($G$34,E167,IF(C167="",E167,C167))</f>
        <v>109.47711566496176</v>
      </c>
    </row>
    <row r="168" spans="2:9" customFormat="1" ht="14.9" customHeight="1" x14ac:dyDescent="0.35">
      <c r="B168" s="311"/>
      <c r="C168" s="312"/>
      <c r="I168" s="911"/>
    </row>
    <row r="169" spans="2:9" ht="14.9" customHeight="1" x14ac:dyDescent="0.35">
      <c r="B169" s="141" t="s">
        <v>1531</v>
      </c>
      <c r="C169" s="66"/>
      <c r="D169"/>
      <c r="E169" s="256">
        <v>3</v>
      </c>
      <c r="F169" s="177" t="s">
        <v>1449</v>
      </c>
      <c r="G169"/>
      <c r="I169" s="1055">
        <f>IF($G$34,E169,IF(C169="",E169,C169))</f>
        <v>3</v>
      </c>
    </row>
    <row r="170" spans="2:9" ht="14.9" customHeight="1" x14ac:dyDescent="0.35">
      <c r="B170" s="141" t="s">
        <v>1532</v>
      </c>
      <c r="C170" s="66"/>
      <c r="D170"/>
      <c r="E170" s="256">
        <v>1</v>
      </c>
      <c r="F170" s="177" t="s">
        <v>1450</v>
      </c>
      <c r="G170"/>
      <c r="I170" s="1055">
        <f>IF($G$34,E170,IF(C170="",E170,C170))</f>
        <v>1</v>
      </c>
    </row>
    <row r="171" spans="2:9" ht="14.9" customHeight="1" x14ac:dyDescent="0.35">
      <c r="B171" s="141" t="s">
        <v>1533</v>
      </c>
      <c r="C171" s="66"/>
      <c r="D171"/>
      <c r="E171" s="256">
        <v>8</v>
      </c>
      <c r="F171" s="177" t="s">
        <v>1429</v>
      </c>
      <c r="G171"/>
      <c r="I171" s="1055">
        <f>IF($G$34,E171,IF(C171="",E171,C171))</f>
        <v>8</v>
      </c>
    </row>
    <row r="172" spans="2:9" ht="14.9" customHeight="1" x14ac:dyDescent="0.35">
      <c r="B172" s="141" t="s">
        <v>1534</v>
      </c>
      <c r="C172" s="66"/>
      <c r="D172"/>
      <c r="E172" s="256">
        <v>4</v>
      </c>
      <c r="F172" s="177" t="s">
        <v>1428</v>
      </c>
      <c r="G172"/>
      <c r="I172" s="1055">
        <f>IF($G$34,E172,IF(C172="",E172,C172))</f>
        <v>4</v>
      </c>
    </row>
    <row r="173" spans="2:9" ht="14.9" customHeight="1" x14ac:dyDescent="0.35">
      <c r="B173" s="125" t="s">
        <v>1535</v>
      </c>
      <c r="C173" s="156"/>
      <c r="E173" s="257">
        <v>0.1</v>
      </c>
      <c r="F173" s="177" t="s">
        <v>1451</v>
      </c>
      <c r="G173"/>
      <c r="I173" s="1053">
        <f>IF($G$34,E173,IF(C173="",E173,C173))</f>
        <v>0.1</v>
      </c>
    </row>
    <row r="174" spans="2:9" ht="14.9" customHeight="1" x14ac:dyDescent="0.35">
      <c r="I174" s="1060"/>
    </row>
    <row r="175" spans="2:9" s="145" customFormat="1" ht="14.9" customHeight="1" x14ac:dyDescent="0.35">
      <c r="I175" s="1062"/>
    </row>
    <row r="176" spans="2:9" ht="14.9" customHeight="1" x14ac:dyDescent="0.35">
      <c r="B176"/>
      <c r="C176"/>
      <c r="D176"/>
      <c r="E176"/>
      <c r="F176"/>
      <c r="G176"/>
      <c r="I176" s="811"/>
    </row>
    <row r="177" spans="2:9" ht="26.15" customHeight="1" thickBot="1" x14ac:dyDescent="0.4">
      <c r="B177" s="1437" t="s">
        <v>836</v>
      </c>
      <c r="C177" s="1437"/>
      <c r="D177" s="179" t="s">
        <v>857</v>
      </c>
      <c r="E177"/>
      <c r="F177"/>
      <c r="G177"/>
      <c r="I177" s="811"/>
    </row>
    <row r="178" spans="2:9" ht="14.9" customHeight="1" thickTop="1" x14ac:dyDescent="0.35">
      <c r="B178"/>
      <c r="C178"/>
      <c r="D178"/>
      <c r="E178"/>
      <c r="F178"/>
      <c r="G178"/>
      <c r="I178" s="811"/>
    </row>
    <row r="179" spans="2:9" s="909" customFormat="1" ht="14.9" customHeight="1" x14ac:dyDescent="0.35">
      <c r="B179" s="4" t="s">
        <v>1873</v>
      </c>
      <c r="I179" s="811"/>
    </row>
    <row r="180" spans="2:9" s="909" customFormat="1" ht="14.9" customHeight="1" x14ac:dyDescent="0.35">
      <c r="B180" s="277" t="s">
        <v>1871</v>
      </c>
      <c r="C180" s="156"/>
      <c r="E180" s="1317">
        <f>2/3</f>
        <v>0.66666666666666663</v>
      </c>
      <c r="F180" s="177" t="s">
        <v>1876</v>
      </c>
      <c r="I180" s="1319">
        <f>IF($G$34,E180,IF(OR(C180="",C181=""),E180,C180))</f>
        <v>0.66666666666666663</v>
      </c>
    </row>
    <row r="181" spans="2:9" s="909" customFormat="1" ht="14.9" customHeight="1" x14ac:dyDescent="0.35">
      <c r="B181" s="277" t="s">
        <v>1872</v>
      </c>
      <c r="C181" s="1318">
        <f>1-C180</f>
        <v>1</v>
      </c>
      <c r="E181" s="1317">
        <f>1/3</f>
        <v>0.33333333333333331</v>
      </c>
      <c r="F181" s="177" t="s">
        <v>1876</v>
      </c>
      <c r="I181" s="1319">
        <f>IF($G$34,E181,IF(OR(C180="",C181=""),E181,C181))</f>
        <v>0.33333333333333331</v>
      </c>
    </row>
    <row r="182" spans="2:9" s="909" customFormat="1" ht="14.9" customHeight="1" x14ac:dyDescent="0.35">
      <c r="I182" s="811"/>
    </row>
    <row r="183" spans="2:9" ht="14.5" customHeight="1" x14ac:dyDescent="0.45">
      <c r="B183" s="4" t="s">
        <v>1742</v>
      </c>
      <c r="C183" s="163" t="s">
        <v>838</v>
      </c>
      <c r="E183"/>
      <c r="F183"/>
      <c r="G183"/>
      <c r="I183" s="811"/>
    </row>
    <row r="184" spans="2:9" ht="14.9" customHeight="1" x14ac:dyDescent="0.35">
      <c r="B184" s="162" t="s">
        <v>839</v>
      </c>
      <c r="C184" s="66"/>
      <c r="E184" s="256">
        <v>10</v>
      </c>
      <c r="F184" s="254" t="s">
        <v>1301</v>
      </c>
      <c r="G184"/>
      <c r="I184" s="1055">
        <f>IF($G$34,E184,IF(C184="",E184,C184))</f>
        <v>10</v>
      </c>
    </row>
    <row r="185" spans="2:9" ht="14.9" customHeight="1" x14ac:dyDescent="0.35">
      <c r="B185" s="162" t="s">
        <v>1874</v>
      </c>
      <c r="C185" s="66"/>
      <c r="E185" s="256">
        <v>30</v>
      </c>
      <c r="F185" s="254" t="s">
        <v>1300</v>
      </c>
      <c r="G185"/>
      <c r="I185" s="1055">
        <f>IF($G$34,E185,IF(C185="",E185,C185))</f>
        <v>30</v>
      </c>
    </row>
    <row r="186" spans="2:9" ht="14.9" customHeight="1" x14ac:dyDescent="0.35">
      <c r="B186" s="277" t="s">
        <v>1875</v>
      </c>
      <c r="C186" s="66"/>
      <c r="E186" s="256">
        <v>30</v>
      </c>
      <c r="F186" s="254" t="s">
        <v>1299</v>
      </c>
      <c r="G186"/>
      <c r="I186" s="1055">
        <f>IF($G$34,E186,IF(C186="",E186,C186))</f>
        <v>30</v>
      </c>
    </row>
    <row r="187" spans="2:9" ht="14.9" customHeight="1" x14ac:dyDescent="0.35">
      <c r="E187"/>
      <c r="F187" s="254"/>
      <c r="G187"/>
    </row>
    <row r="188" spans="2:9" s="145" customFormat="1" ht="14.9" customHeight="1" x14ac:dyDescent="0.35"/>
    <row r="189" spans="2:9" ht="14.9" customHeight="1" x14ac:dyDescent="0.35">
      <c r="E189"/>
      <c r="F189"/>
      <c r="G189"/>
    </row>
    <row r="190" spans="2:9" ht="26.9" customHeight="1" thickBot="1" x14ac:dyDescent="0.4">
      <c r="B190" s="1437" t="s">
        <v>841</v>
      </c>
      <c r="C190" s="1437"/>
      <c r="D190" s="179" t="s">
        <v>857</v>
      </c>
      <c r="E190"/>
      <c r="F190"/>
      <c r="G190"/>
    </row>
    <row r="191" spans="2:9" ht="14.9" customHeight="1" thickTop="1" x14ac:dyDescent="0.35">
      <c r="B191"/>
      <c r="C191"/>
      <c r="D191"/>
      <c r="E191"/>
      <c r="F191"/>
      <c r="G191"/>
    </row>
    <row r="192" spans="2:9" ht="14.9" customHeight="1" x14ac:dyDescent="0.35">
      <c r="B192"/>
      <c r="C192"/>
      <c r="D192"/>
      <c r="E192"/>
      <c r="F192"/>
      <c r="G192"/>
    </row>
    <row r="193" spans="2:7" ht="14.9" customHeight="1" x14ac:dyDescent="0.35">
      <c r="B193"/>
      <c r="C193"/>
      <c r="D193"/>
      <c r="E193"/>
      <c r="F193"/>
      <c r="G193"/>
    </row>
    <row r="194" spans="2:7" ht="14.9" customHeight="1" x14ac:dyDescent="0.35">
      <c r="B194"/>
      <c r="C194"/>
      <c r="D194"/>
      <c r="E194"/>
      <c r="F194"/>
      <c r="G194"/>
    </row>
    <row r="195" spans="2:7" ht="14.9" customHeight="1" x14ac:dyDescent="0.35">
      <c r="B195"/>
      <c r="C195"/>
      <c r="D195"/>
      <c r="F195"/>
      <c r="G195"/>
    </row>
    <row r="196" spans="2:7" ht="14.9" customHeight="1" x14ac:dyDescent="0.35">
      <c r="C196"/>
      <c r="D196"/>
      <c r="F196"/>
      <c r="G196"/>
    </row>
    <row r="197" spans="2:7" ht="14.9" customHeight="1" x14ac:dyDescent="0.35">
      <c r="B197" s="1446" t="s">
        <v>844</v>
      </c>
      <c r="C197" s="1446"/>
      <c r="D197"/>
      <c r="E197"/>
      <c r="F197"/>
      <c r="G197"/>
    </row>
    <row r="198" spans="2:7" ht="14.9" customHeight="1" x14ac:dyDescent="0.35">
      <c r="B198"/>
      <c r="C198"/>
      <c r="D198"/>
      <c r="E198"/>
      <c r="F198"/>
      <c r="G198"/>
    </row>
    <row r="202" spans="2:7" x14ac:dyDescent="0.35">
      <c r="B202" s="1389" t="s">
        <v>1898</v>
      </c>
      <c r="C202" s="1389"/>
      <c r="D202" s="1389"/>
      <c r="E202" s="1389"/>
      <c r="F202" s="1389"/>
      <c r="G202" s="1389"/>
    </row>
    <row r="203" spans="2:7" x14ac:dyDescent="0.35">
      <c r="B203" s="909" t="s">
        <v>1897</v>
      </c>
      <c r="C203" s="909"/>
      <c r="D203" s="909"/>
      <c r="E203" s="909"/>
      <c r="F203" s="909"/>
      <c r="G203" s="909"/>
    </row>
  </sheetData>
  <sheetProtection algorithmName="SHA-512" hashValue="Mo5yGQPD72c3gyn7kPs44deqTo2yO5oW9AhM7wJmWGdC1VomT4x+s1W0nd2v/c8DCKm5or4J+QgtZ3bi1zkr5w==" saltValue="gcLYam6lB9m9tMm/orOHjQ==" spinCount="100000" sheet="1" objects="1" scenarios="1"/>
  <mergeCells count="45">
    <mergeCell ref="B202:G202"/>
    <mergeCell ref="B197:C197"/>
    <mergeCell ref="F83:H83"/>
    <mergeCell ref="F82:H82"/>
    <mergeCell ref="F78:H78"/>
    <mergeCell ref="B149:C149"/>
    <mergeCell ref="E93:I95"/>
    <mergeCell ref="B190:C190"/>
    <mergeCell ref="F162:H162"/>
    <mergeCell ref="F104:H104"/>
    <mergeCell ref="F100:H100"/>
    <mergeCell ref="F102:H102"/>
    <mergeCell ref="F167:H167"/>
    <mergeCell ref="F164:H164"/>
    <mergeCell ref="F144:H145"/>
    <mergeCell ref="F133:H133"/>
    <mergeCell ref="B6:E14"/>
    <mergeCell ref="B177:C177"/>
    <mergeCell ref="B38:C38"/>
    <mergeCell ref="B18:C18"/>
    <mergeCell ref="B28:C28"/>
    <mergeCell ref="B59:C59"/>
    <mergeCell ref="B94:C94"/>
    <mergeCell ref="B34:C34"/>
    <mergeCell ref="D34:E34"/>
    <mergeCell ref="B120:C120"/>
    <mergeCell ref="B122:C122"/>
    <mergeCell ref="B64:C64"/>
    <mergeCell ref="B99:C99"/>
    <mergeCell ref="E69:H71"/>
    <mergeCell ref="F66:H66"/>
    <mergeCell ref="F42:H42"/>
    <mergeCell ref="F44:H44"/>
    <mergeCell ref="F74:H74"/>
    <mergeCell ref="F67:H67"/>
    <mergeCell ref="B58:H58"/>
    <mergeCell ref="F62:H62"/>
    <mergeCell ref="F65:H65"/>
    <mergeCell ref="B160:C160"/>
    <mergeCell ref="B123:C123"/>
    <mergeCell ref="F72:H72"/>
    <mergeCell ref="F73:H73"/>
    <mergeCell ref="F97:H97"/>
    <mergeCell ref="F75:H75"/>
    <mergeCell ref="B152:C152"/>
  </mergeCells>
  <conditionalFormatting sqref="B24:C24">
    <cfRule type="expression" dxfId="108" priority="160">
      <formula>IF($E$22&lt;&gt;1,FALSE,TRUE)</formula>
    </cfRule>
  </conditionalFormatting>
  <conditionalFormatting sqref="B22:C22">
    <cfRule type="expression" dxfId="107" priority="108">
      <formula>IF($E$22&lt;&gt;2,FALSE,TRUE)</formula>
    </cfRule>
  </conditionalFormatting>
  <conditionalFormatting sqref="C68 C70">
    <cfRule type="expression" dxfId="106" priority="107">
      <formula>SUM($I$66:$I$67)&lt;&gt;1</formula>
    </cfRule>
  </conditionalFormatting>
  <conditionalFormatting sqref="E138 E124:E128 E133">
    <cfRule type="expression" dxfId="105" priority="92">
      <formula>IF($G$21,TRUE,FALSE)</formula>
    </cfRule>
  </conditionalFormatting>
  <conditionalFormatting sqref="E62 E148 E97 E104 E162 E167 E150 E41:E44 E169:E173 E164 E107:E108 E114 E116 E90 E53:E54 E102 E138:E141 E133:E136 E124:E131 E145 E82:E83 E47:E50 E74:E75 E184:E186">
    <cfRule type="expression" dxfId="104" priority="161">
      <formula>IF($G$34,TRUE,FALSE)</formula>
    </cfRule>
  </conditionalFormatting>
  <conditionalFormatting sqref="C107:C108 C114 C116 C86:C87 C90">
    <cfRule type="expression" dxfId="103" priority="183">
      <formula>IF($G$34,TRUE,FALSE)</formula>
    </cfRule>
  </conditionalFormatting>
  <conditionalFormatting sqref="C183 C46 C40 C85 C71">
    <cfRule type="expression" dxfId="102" priority="221">
      <formula>IF($G$34,TRUE,FALSE)</formula>
    </cfRule>
  </conditionalFormatting>
  <conditionalFormatting sqref="B149 C168">
    <cfRule type="expression" dxfId="101" priority="227">
      <formula>IF($G$34,TRUE,FALSE)</formula>
    </cfRule>
  </conditionalFormatting>
  <conditionalFormatting sqref="C78 C97 C104 C150 C162 C164 C167 C41:C44 C169:C173 C53:C54 C65:C67 C100:C102 C138 C141 C131 C136 C124:C128 C133 C144:C145 C82:C83 C47:C50 C72:C75 C184:C186">
    <cfRule type="expression" dxfId="100" priority="46">
      <formula>IF($G$34,TRUE,FALSE)</formula>
    </cfRule>
  </conditionalFormatting>
  <conditionalFormatting sqref="C129:C130 C139:C140 C134:C135">
    <cfRule type="expression" dxfId="99" priority="45">
      <formula>IF($G$34,TRUE,FALSE)</formula>
    </cfRule>
  </conditionalFormatting>
  <conditionalFormatting sqref="C148">
    <cfRule type="expression" dxfId="98" priority="44">
      <formula>IF($G$34,TRUE,FALSE)</formula>
    </cfRule>
  </conditionalFormatting>
  <conditionalFormatting sqref="E111">
    <cfRule type="expression" dxfId="97" priority="40">
      <formula>IF($G$34,TRUE,FALSE)</formula>
    </cfRule>
  </conditionalFormatting>
  <conditionalFormatting sqref="C111">
    <cfRule type="expression" dxfId="96" priority="41">
      <formula>IF($G$34,TRUE,FALSE)</formula>
    </cfRule>
  </conditionalFormatting>
  <conditionalFormatting sqref="C62">
    <cfRule type="expression" dxfId="95" priority="37">
      <formula>IF($G$34,TRUE,FALSE)</formula>
    </cfRule>
  </conditionalFormatting>
  <conditionalFormatting sqref="E86:E87">
    <cfRule type="expression" dxfId="94" priority="31">
      <formula>IF($G$34,TRUE,FALSE)</formula>
    </cfRule>
  </conditionalFormatting>
  <conditionalFormatting sqref="E78 E65:E67 E72:E73">
    <cfRule type="expression" dxfId="93" priority="29">
      <formula>IF($G$34,TRUE,FALSE)</formula>
    </cfRule>
  </conditionalFormatting>
  <conditionalFormatting sqref="B22:C24">
    <cfRule type="expression" dxfId="92" priority="25">
      <formula>$E$22=3</formula>
    </cfRule>
  </conditionalFormatting>
  <conditionalFormatting sqref="E101">
    <cfRule type="expression" dxfId="91" priority="19">
      <formula>IF($G$34,TRUE,FALSE)</formula>
    </cfRule>
  </conditionalFormatting>
  <conditionalFormatting sqref="E148:F148">
    <cfRule type="expression" dxfId="90" priority="18">
      <formula>$F$34=FALSE</formula>
    </cfRule>
  </conditionalFormatting>
  <conditionalFormatting sqref="E100">
    <cfRule type="expression" dxfId="89" priority="17">
      <formula>IF($G$34,TRUE,FALSE)</formula>
    </cfRule>
  </conditionalFormatting>
  <conditionalFormatting sqref="E144">
    <cfRule type="expression" dxfId="88" priority="15">
      <formula>IF($G$34,TRUE,FALSE)</formula>
    </cfRule>
  </conditionalFormatting>
  <conditionalFormatting sqref="C80">
    <cfRule type="expression" dxfId="87" priority="14">
      <formula>SUM($I$66:$I$67)&lt;&gt;1</formula>
    </cfRule>
  </conditionalFormatting>
  <conditionalFormatting sqref="C81">
    <cfRule type="expression" dxfId="86" priority="13">
      <formula>IF($G$34,TRUE,FALSE)</formula>
    </cfRule>
  </conditionalFormatting>
  <conditionalFormatting sqref="C132 C137 C142:C143">
    <cfRule type="expression" dxfId="85" priority="12">
      <formula>$F$34=TRUE</formula>
    </cfRule>
  </conditionalFormatting>
  <conditionalFormatting sqref="B144">
    <cfRule type="expression" dxfId="84" priority="11">
      <formula>$F$34=TRUE</formula>
    </cfRule>
  </conditionalFormatting>
  <conditionalFormatting sqref="C154:C155">
    <cfRule type="expression" dxfId="83" priority="10">
      <formula>IF($G$34,TRUE,FALSE)</formula>
    </cfRule>
  </conditionalFormatting>
  <conditionalFormatting sqref="C157">
    <cfRule type="expression" dxfId="82" priority="9">
      <formula>IF($G$34,TRUE,FALSE)</formula>
    </cfRule>
  </conditionalFormatting>
  <conditionalFormatting sqref="C159">
    <cfRule type="expression" dxfId="81" priority="8">
      <formula>IF($G$34,TRUE,FALSE)</formula>
    </cfRule>
  </conditionalFormatting>
  <conditionalFormatting sqref="B160">
    <cfRule type="expression" dxfId="80" priority="7">
      <formula>IF($G$34,TRUE,FALSE)</formula>
    </cfRule>
  </conditionalFormatting>
  <conditionalFormatting sqref="E40">
    <cfRule type="expression" dxfId="79" priority="6">
      <formula>IF($G$34,TRUE,FALSE)</formula>
    </cfRule>
  </conditionalFormatting>
  <conditionalFormatting sqref="D156">
    <cfRule type="expression" dxfId="78" priority="4">
      <formula>$F$34="True"</formula>
    </cfRule>
  </conditionalFormatting>
  <conditionalFormatting sqref="C156">
    <cfRule type="expression" dxfId="77" priority="3">
      <formula>$F$34=TRUE</formula>
    </cfRule>
  </conditionalFormatting>
  <conditionalFormatting sqref="C180:C181">
    <cfRule type="expression" dxfId="76" priority="2">
      <formula>IF($G$34,TRUE,FALSE)</formula>
    </cfRule>
  </conditionalFormatting>
  <conditionalFormatting sqref="E180:E181">
    <cfRule type="expression" dxfId="75" priority="1">
      <formula>IF($G$34,TRUE,FALSE)</formula>
    </cfRule>
  </conditionalFormatting>
  <dataValidations count="8">
    <dataValidation type="whole" operator="greaterThanOrEqual" allowBlank="1" showInputMessage="1" showErrorMessage="1" errorTitle="Population too small" error="Please enter an integer greater than or equal to 50, for the population size" sqref="C24" xr:uid="{00000000-0002-0000-0400-000000000000}">
      <formula1>50</formula1>
    </dataValidation>
    <dataValidation type="whole" operator="greaterThanOrEqual" allowBlank="1" showInputMessage="1" showErrorMessage="1" errorTitle="Please enter a positive integer" error="Please enter a positive integer" sqref="I62 C97 I165 I107:I108 C162 C167" xr:uid="{00000000-0002-0000-0400-000001000000}">
      <formula1>0</formula1>
    </dataValidation>
    <dataValidation type="decimal" allowBlank="1" showInputMessage="1" showErrorMessage="1" sqref="C41:C44 C173 C65:C67 C53:C54 C164 C100:C102 E101 C180" xr:uid="{00000000-0002-0000-0400-000002000000}">
      <formula1>0</formula1>
      <formula2>1</formula2>
    </dataValidation>
    <dataValidation type="decimal" operator="greaterThanOrEqual" allowBlank="1" showInputMessage="1" showErrorMessage="1" errorTitle="Please enter a positive integer" error="Please enter a positive integer" sqref="E74:E75 C116 C114 C107:C108 C104 C86:C87 C90 E78 C82:C83 I86:I87 I90 C111 C78 E86:E87 C72:C75 E82 C168:C172" xr:uid="{00000000-0002-0000-0400-000003000000}">
      <formula1>0</formula1>
    </dataValidation>
    <dataValidation type="whole" operator="greaterThanOrEqual" allowBlank="1" showInputMessage="1" showErrorMessage="1" sqref="C62 C138 C133 C124:C128 C150 C154:C155 C157 C144:C145" xr:uid="{00000000-0002-0000-0400-000004000000}">
      <formula1>0</formula1>
    </dataValidation>
    <dataValidation type="whole" allowBlank="1" showInputMessage="1" showErrorMessage="1" errorTitle="Whole Number" error="Must be a whole number" sqref="C47:C50" xr:uid="{00000000-0002-0000-0400-000005000000}">
      <formula1>0</formula1>
      <formula2>100000</formula2>
    </dataValidation>
    <dataValidation type="whole" allowBlank="1" showInputMessage="1" showErrorMessage="1" errorTitle="Must be less than 7" error="Must be less than 7" sqref="C140 C135 C130" xr:uid="{00000000-0002-0000-0400-000006000000}">
      <formula1>1</formula1>
      <formula2>7</formula2>
    </dataValidation>
    <dataValidation type="decimal" operator="greaterThanOrEqual" allowBlank="1" showInputMessage="1" showErrorMessage="1" sqref="C184:C186" xr:uid="{00000000-0002-0000-0400-000007000000}">
      <formula1>0</formula1>
    </dataValidation>
  </dataValidations>
  <hyperlinks>
    <hyperlink ref="G7" location="Inputs!B18" display="Country/Territory Selection" xr:uid="{00000000-0004-0000-0400-000000000000}"/>
    <hyperlink ref="G8" location="Inputs!B28" display="Current Cumulative Case Count" xr:uid="{00000000-0004-0000-0400-000001000000}"/>
    <hyperlink ref="G10" location="Inputs!B59" display="Health Care Workers (HCW) and Staff" xr:uid="{00000000-0004-0000-0400-000002000000}"/>
    <hyperlink ref="G11" location="Inputs!B94" display="Hospital Infrastructure" xr:uid="{00000000-0004-0000-0400-000003000000}"/>
    <hyperlink ref="G13" location="Inputs!B177" display="Oxygen Use" xr:uid="{00000000-0004-0000-0400-000004000000}"/>
    <hyperlink ref="G14" location="'Equipment List &amp; Usage'!B15" display="Equipment Use" xr:uid="{00000000-0004-0000-0400-000005000000}"/>
    <hyperlink ref="D38" location="Inputs!A1" display="Back to Top" xr:uid="{00000000-0004-0000-0400-000006000000}"/>
    <hyperlink ref="D190" location="Inputs!A1" display="Back to Top" xr:uid="{00000000-0004-0000-0400-000007000000}"/>
    <hyperlink ref="D177" location="Inputs!A1" display="Back to Top" xr:uid="{00000000-0004-0000-0400-000008000000}"/>
    <hyperlink ref="D94" location="Inputs!A1" display="Back to Top" xr:uid="{00000000-0004-0000-0400-000009000000}"/>
    <hyperlink ref="D120" location="Inputs!A1" display="Back to Top" xr:uid="{00000000-0004-0000-0400-00000A000000}"/>
    <hyperlink ref="B197:C197" location="'Equipment List &amp; Usage'!B2" display="Jump to Equipment Assumption Inputs" xr:uid="{00000000-0004-0000-0400-00000B000000}"/>
    <hyperlink ref="D59" location="Inputs!A1" display="Back to Top" xr:uid="{00000000-0004-0000-0400-00000C000000}"/>
    <hyperlink ref="D28" location="Inputs!A1" display="Back to Top" xr:uid="{00000000-0004-0000-0400-00000D000000}"/>
    <hyperlink ref="G12" location="Inputs!B120" display="Labs and Testing" xr:uid="{00000000-0004-0000-0400-00000E000000}"/>
    <hyperlink ref="G9" location="Inputs!B38" display="Patients and Case Severity" xr:uid="{00000000-0004-0000-0400-00000F000000}"/>
    <hyperlink ref="B202" r:id="rId1" display="https://creativecommons.org/licenses/by-nc-sa/3.0/igo" xr:uid="{DDE172B0-0661-4DAD-948E-C851912B7415}"/>
  </hyperlinks>
  <pageMargins left="0.7" right="0.7" top="0.75" bottom="0.75" header="0.3" footer="0.3"/>
  <pageSetup orientation="portrait" r:id="rId2"/>
  <ignoredErrors>
    <ignoredError sqref="D101" formula="1"/>
    <ignoredError sqref="I185:I186 I38:I83 I183:I184 I97:I17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7364" r:id="rId5" name="Check Box 20">
              <controlPr locked="0" defaultSize="0" autoFill="0" autoLine="0" autoPict="0">
                <anchor moveWithCells="1">
                  <from>
                    <xdr:col>2</xdr:col>
                    <xdr:colOff>1327150</xdr:colOff>
                    <xdr:row>33</xdr:row>
                    <xdr:rowOff>31750</xdr:rowOff>
                  </from>
                  <to>
                    <xdr:col>4</xdr:col>
                    <xdr:colOff>1212850</xdr:colOff>
                    <xdr:row>33</xdr:row>
                    <xdr:rowOff>374650</xdr:rowOff>
                  </to>
                </anchor>
              </controlPr>
            </control>
          </mc:Choice>
        </mc:AlternateContent>
        <mc:AlternateContent xmlns:mc="http://schemas.openxmlformats.org/markup-compatibility/2006">
          <mc:Choice Requires="x14">
            <control shapeId="57360" r:id="rId6" name="Option Button 16">
              <controlPr locked="0" defaultSize="0" autoFill="0" autoLine="0" autoPict="0">
                <anchor moveWithCells="1">
                  <from>
                    <xdr:col>1</xdr:col>
                    <xdr:colOff>2794000</xdr:colOff>
                    <xdr:row>18</xdr:row>
                    <xdr:rowOff>152400</xdr:rowOff>
                  </from>
                  <to>
                    <xdr:col>2</xdr:col>
                    <xdr:colOff>266700</xdr:colOff>
                    <xdr:row>20</xdr:row>
                    <xdr:rowOff>12700</xdr:rowOff>
                  </to>
                </anchor>
              </controlPr>
            </control>
          </mc:Choice>
        </mc:AlternateContent>
        <mc:AlternateContent xmlns:mc="http://schemas.openxmlformats.org/markup-compatibility/2006">
          <mc:Choice Requires="x14">
            <control shapeId="57361" r:id="rId7" name="Option Button 17">
              <controlPr locked="0" defaultSize="0" autoFill="0" autoLine="0" autoPict="0">
                <anchor moveWithCells="1">
                  <from>
                    <xdr:col>2</xdr:col>
                    <xdr:colOff>800100</xdr:colOff>
                    <xdr:row>18</xdr:row>
                    <xdr:rowOff>146050</xdr:rowOff>
                  </from>
                  <to>
                    <xdr:col>3</xdr:col>
                    <xdr:colOff>184150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D6F4ED7D-1F43-43C9-9393-710677B000F8}">
            <xm:f>IF(DISCLAIMER!I11=1,FALSE,TRUE)</xm:f>
            <x14:dxf>
              <font>
                <b/>
                <i val="0"/>
                <color theme="0"/>
              </font>
              <fill>
                <patternFill>
                  <bgColor rgb="FFC00000"/>
                </patternFill>
              </fill>
            </x14:dxf>
          </x14:cfRule>
          <xm:sqref>B20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8000000}">
          <x14:formula1>
            <xm:f>'Back Calculations'!$F$132:$F$135</xm:f>
          </x14:formula1>
          <xm:sqref>C136 C131 C141</xm:sqref>
        </x14:dataValidation>
        <x14:dataValidation type="list" allowBlank="1" showInputMessage="1" showErrorMessage="1" xr:uid="{00000000-0002-0000-0400-000009000000}">
          <x14:formula1>
            <xm:f>'UNDP Population Data'!$B$6:$B$222</xm:f>
          </x14:formula1>
          <xm:sqref>C22</xm:sqref>
        </x14:dataValidation>
        <x14:dataValidation type="list" allowBlank="1" showInputMessage="1" showErrorMessage="1" xr:uid="{00000000-0002-0000-0400-00000A000000}">
          <x14:formula1>
            <xm:f>lists!$B$38:$B$40</xm:f>
          </x14:formula1>
          <xm:sqref>C129 C134 C139</xm:sqref>
        </x14:dataValidation>
        <x14:dataValidation type="whole" allowBlank="1" showErrorMessage="1" errorTitle="Error:" error="Known cumulative cases must be less than the expected total number of cases (i.e., Population * Attack Rate) and greater than 1. Adjust these settings under &quot;Define Infections and Growth Rate&quot; on the 'User Dashboard' tab." promptTitle="Error:" xr:uid="{00000000-0002-0000-0400-00000B000000}">
          <x14:formula1>
            <xm:f>1</xm:f>
          </x14:formula1>
          <x14:formula2>
            <xm:f>'Back Calculations'!C111</xm:f>
          </x14:formula2>
          <xm:sqref>C30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1E7FB8"/>
  </sheetPr>
  <dimension ref="A1:BU252"/>
  <sheetViews>
    <sheetView showGridLines="0" tabSelected="1" zoomScale="80" zoomScaleNormal="80" workbookViewId="0">
      <selection activeCell="A4" sqref="A4:I4"/>
    </sheetView>
  </sheetViews>
  <sheetFormatPr defaultColWidth="8.453125" defaultRowHeight="14.5" x14ac:dyDescent="0.35"/>
  <cols>
    <col min="1" max="1" width="4" style="84" customWidth="1"/>
    <col min="2" max="2" width="26.453125" style="84" customWidth="1"/>
    <col min="3" max="3" width="27.453125" style="84" customWidth="1"/>
    <col min="4" max="4" width="23.453125" style="84" customWidth="1"/>
    <col min="5" max="5" width="25" style="84" customWidth="1"/>
    <col min="6" max="6" width="17.453125" style="84" customWidth="1"/>
    <col min="7" max="7" width="39" style="85" customWidth="1"/>
    <col min="8" max="8" width="20.453125" style="84" customWidth="1"/>
    <col min="9" max="9" width="16.453125" style="84" bestFit="1" customWidth="1"/>
    <col min="10" max="10" width="16.453125" style="84" customWidth="1"/>
    <col min="11" max="12" width="13.453125" style="84" customWidth="1"/>
    <col min="13" max="13" width="14.453125" style="84" bestFit="1" customWidth="1"/>
    <col min="14" max="18" width="13.453125" style="84" customWidth="1"/>
    <col min="19" max="19" width="18.453125" style="84" customWidth="1"/>
    <col min="20" max="22" width="13.453125" style="84" customWidth="1"/>
    <col min="23" max="23" width="82.1796875" style="84" customWidth="1"/>
    <col min="24" max="24" width="13.453125" style="115" customWidth="1"/>
    <col min="25" max="29" width="13.453125" style="84" customWidth="1"/>
    <col min="30" max="30" width="17.453125" style="84" customWidth="1"/>
    <col min="31" max="31" width="13.453125" style="84" customWidth="1"/>
    <col min="32" max="34" width="14.81640625" style="84" customWidth="1"/>
    <col min="35" max="36" width="13.453125" style="84" customWidth="1"/>
    <col min="37" max="38" width="20.453125" style="84" customWidth="1"/>
    <col min="39" max="39" width="23.453125" style="84" customWidth="1"/>
    <col min="40" max="40" width="19.453125" style="84" customWidth="1"/>
    <col min="41" max="43" width="20.453125" style="84" customWidth="1"/>
    <col min="44" max="56" width="13.453125" style="84" customWidth="1"/>
    <col min="57" max="66" width="8.453125" style="84"/>
  </cols>
  <sheetData>
    <row r="1" spans="1:66" ht="9" customHeight="1" x14ac:dyDescent="0.35">
      <c r="A1" s="84" t="s">
        <v>1752</v>
      </c>
    </row>
    <row r="2" spans="1:66" s="82" customFormat="1" ht="39" customHeight="1" x14ac:dyDescent="0.45">
      <c r="C2" s="83" t="s">
        <v>1895</v>
      </c>
      <c r="D2" s="83"/>
      <c r="E2" s="83"/>
      <c r="X2" s="683"/>
    </row>
    <row r="4" spans="1:66" s="508" customFormat="1" ht="36" customHeight="1" x14ac:dyDescent="0.35">
      <c r="A4" s="1476" t="s">
        <v>1749</v>
      </c>
      <c r="B4" s="1476"/>
      <c r="C4" s="1476"/>
      <c r="D4" s="1476"/>
      <c r="E4" s="1476"/>
      <c r="F4" s="1476"/>
      <c r="G4" s="1476"/>
      <c r="H4" s="1476"/>
      <c r="I4" s="1476"/>
      <c r="X4" s="684"/>
    </row>
    <row r="5" spans="1:66" ht="11.15" customHeight="1" x14ac:dyDescent="0.35"/>
    <row r="6" spans="1:66" s="143" customFormat="1" ht="17.149999999999999" customHeight="1" x14ac:dyDescent="0.35">
      <c r="B6" s="144" t="s">
        <v>867</v>
      </c>
    </row>
    <row r="7" spans="1:66" ht="17.149999999999999" customHeight="1" thickBot="1" x14ac:dyDescent="0.4">
      <c r="A7"/>
      <c r="B7"/>
      <c r="C7"/>
      <c r="D7"/>
      <c r="E7"/>
      <c r="F7"/>
      <c r="G7"/>
      <c r="H7"/>
      <c r="I7"/>
      <c r="J7"/>
      <c r="K7"/>
      <c r="L7"/>
      <c r="M7"/>
      <c r="N7"/>
      <c r="O7" s="681" t="s">
        <v>1342</v>
      </c>
      <c r="P7"/>
      <c r="Q7" s="4" t="s">
        <v>1690</v>
      </c>
      <c r="R7"/>
      <c r="S7"/>
      <c r="T7"/>
      <c r="V7"/>
      <c r="W7"/>
      <c r="X7" s="9"/>
      <c r="Y7"/>
      <c r="Z7" s="4" t="s">
        <v>1343</v>
      </c>
      <c r="AA7"/>
      <c r="AB7" s="4" t="s">
        <v>1692</v>
      </c>
      <c r="AC7"/>
      <c r="AD7"/>
      <c r="AE7"/>
      <c r="AF7"/>
      <c r="AG7"/>
      <c r="AH7"/>
      <c r="AI7" s="4" t="str">
        <f>"SIR Model Step 3: Define " &amp;Z12&amp; " stages of response"</f>
        <v>SIR Model Step 3: Define 1 stages of response</v>
      </c>
      <c r="AJ7"/>
      <c r="AK7"/>
      <c r="AL7"/>
      <c r="AM7"/>
      <c r="AN7"/>
      <c r="AO7"/>
      <c r="AP7"/>
      <c r="AQ7"/>
      <c r="AR7"/>
      <c r="AS7"/>
      <c r="AT7"/>
      <c r="AU7"/>
      <c r="AV7"/>
      <c r="AW7"/>
      <c r="AX7"/>
      <c r="AY7"/>
      <c r="AZ7"/>
      <c r="BA7"/>
      <c r="BB7"/>
      <c r="BC7"/>
      <c r="BD7"/>
      <c r="BE7"/>
      <c r="BF7"/>
      <c r="BG7"/>
      <c r="BH7"/>
      <c r="BI7"/>
      <c r="BJ7"/>
      <c r="BK7"/>
      <c r="BL7"/>
      <c r="BM7"/>
      <c r="BN7"/>
    </row>
    <row r="8" spans="1:66" s="129" customFormat="1" ht="17.149999999999999" customHeight="1" thickBot="1" x14ac:dyDescent="0.4">
      <c r="J8" s="1518" t="s">
        <v>1354</v>
      </c>
      <c r="K8" s="1519"/>
      <c r="O8" s="84"/>
      <c r="U8" s="84"/>
      <c r="X8" s="9"/>
      <c r="Z8" s="1517" t="s">
        <v>1693</v>
      </c>
      <c r="AA8" s="1517"/>
      <c r="AB8" s="1517"/>
      <c r="AC8" s="1517"/>
      <c r="AD8" s="1517"/>
      <c r="AE8" s="1517"/>
      <c r="AF8" s="1517"/>
      <c r="AG8" s="1517"/>
      <c r="AH8" s="1517"/>
      <c r="AI8" s="84"/>
    </row>
    <row r="9" spans="1:66" ht="16" customHeight="1" x14ac:dyDescent="0.35">
      <c r="J9" s="1524" t="s">
        <v>1358</v>
      </c>
      <c r="K9" s="1525"/>
      <c r="Q9" s="1505" t="s">
        <v>1576</v>
      </c>
      <c r="R9" s="1505"/>
      <c r="S9" s="1506"/>
      <c r="T9" s="1499" t="str">
        <f>IF(W9,"Inputs will use reference values
(Hover over cells to view reference citation)","User to input values - Otherwise click here if you would like to use reference values")</f>
        <v>User to input values - Otherwise click here if you would like to use reference values</v>
      </c>
      <c r="U9" s="1500"/>
      <c r="V9" s="1501"/>
      <c r="W9" s="1074" t="b">
        <v>0</v>
      </c>
      <c r="X9" s="9"/>
      <c r="Z9" s="1517"/>
      <c r="AA9" s="1517"/>
      <c r="AB9" s="1517"/>
      <c r="AC9" s="1517"/>
      <c r="AD9" s="1517"/>
      <c r="AE9" s="1517"/>
      <c r="AF9" s="1517"/>
      <c r="AG9" s="1517"/>
      <c r="AH9" s="1517"/>
    </row>
    <row r="10" spans="1:66" ht="18.649999999999999" customHeight="1" x14ac:dyDescent="0.35">
      <c r="G10" s="84"/>
      <c r="J10" s="1520" t="s">
        <v>1570</v>
      </c>
      <c r="K10" s="1521"/>
      <c r="P10" s="682"/>
      <c r="Q10" s="1505"/>
      <c r="R10" s="1505"/>
      <c r="S10" s="1506"/>
      <c r="T10" s="1502"/>
      <c r="U10" s="1503"/>
      <c r="V10" s="1504"/>
      <c r="W10"/>
      <c r="X10" s="9"/>
      <c r="Z10" s="1517"/>
      <c r="AA10" s="1517"/>
      <c r="AB10" s="1517"/>
      <c r="AC10" s="1517"/>
      <c r="AD10" s="1517"/>
      <c r="AE10" s="1517"/>
      <c r="AF10" s="1517"/>
      <c r="AG10" s="1517"/>
      <c r="AH10" s="1517"/>
      <c r="AI10" s="747" t="s">
        <v>1434</v>
      </c>
    </row>
    <row r="11" spans="1:66" ht="18" customHeight="1" thickBot="1" x14ac:dyDescent="0.4">
      <c r="D11" s="176" t="s">
        <v>1108</v>
      </c>
      <c r="G11"/>
      <c r="H11"/>
      <c r="I11" s="410"/>
      <c r="J11" s="1522" t="s">
        <v>1359</v>
      </c>
      <c r="K11" s="1523"/>
      <c r="N11" s="93"/>
      <c r="O11" s="1516"/>
      <c r="P11" s="1516"/>
      <c r="Q11" s="1516"/>
      <c r="T11" s="679" t="s">
        <v>1415</v>
      </c>
      <c r="U11" s="388" t="str">
        <f>Inputs!E35</f>
        <v>Zambia</v>
      </c>
      <c r="Z11" s="2" t="s">
        <v>1330</v>
      </c>
      <c r="AF11" s="295"/>
      <c r="AG11" s="295"/>
      <c r="AH11" s="295"/>
      <c r="AI11" s="1245" t="s">
        <v>1435</v>
      </c>
    </row>
    <row r="12" spans="1:66" ht="36" customHeight="1" thickBot="1" x14ac:dyDescent="0.4">
      <c r="B12" s="203" t="s">
        <v>700</v>
      </c>
      <c r="C12" s="204" t="s">
        <v>983</v>
      </c>
      <c r="D12" s="158" t="str">
        <f>IF(C12="exponential growth","",IF(C12="Manual Entry","Click to manually enter case numbers -----&gt;","Click above ^ to adjust SIR Model and select attack rate below"))</f>
        <v>Click above ^ to adjust SIR Model and select attack rate below</v>
      </c>
      <c r="E12" s="176" t="s">
        <v>1751</v>
      </c>
      <c r="G12" s="212" t="str">
        <f>IFERROR("Number of weeks to forecast equipment for (#) - Max is: "&amp;J12&amp;"","Ensure clinical attack rate has been selected")</f>
        <v>Number of weeks to forecast equipment for (#) - Max is: 28</v>
      </c>
      <c r="H12" s="213">
        <v>6</v>
      </c>
      <c r="I12" s="1239">
        <f>MIN(J12,H12)</f>
        <v>6</v>
      </c>
      <c r="J12" s="1239">
        <f>IF(C12="Manual Entry",MAX('Patient Calcs'!B73:B125),IF(C12="SIR Model",MAX('Patient Calcs'!B130:B182),(ROUNDUP(IF(Doubling_rate_modelled="Combined",'Back Calculations'!C$119,'Back Calculations'!C$115),0))))-$H$13</f>
        <v>28</v>
      </c>
      <c r="K12" s="1498" t="s">
        <v>1517</v>
      </c>
      <c r="L12" s="1498"/>
      <c r="O12" s="1511" t="s">
        <v>1340</v>
      </c>
      <c r="P12" s="1512"/>
      <c r="Q12" s="1513"/>
      <c r="R12" s="502"/>
      <c r="T12" s="496">
        <v>7</v>
      </c>
      <c r="U12" s="1510" t="s">
        <v>1691</v>
      </c>
      <c r="V12" s="1510"/>
      <c r="W12" s="1510"/>
      <c r="X12" s="688">
        <f>IF('User Dashboard'!$W$9,T12,IF('User Dashboard'!R12="",T12,'User Dashboard'!R12))</f>
        <v>7</v>
      </c>
      <c r="Z12" s="342">
        <v>1</v>
      </c>
      <c r="AA12" s="910"/>
      <c r="AB12" s="910"/>
      <c r="AC12" s="910"/>
      <c r="AD12" s="910"/>
      <c r="AE12" s="910"/>
      <c r="AF12" s="501"/>
      <c r="AG12" s="926"/>
      <c r="AH12" s="295"/>
    </row>
    <row r="13" spans="1:66" ht="36" customHeight="1" x14ac:dyDescent="0.35">
      <c r="B13" s="96" t="s">
        <v>582</v>
      </c>
      <c r="C13" s="62" t="s">
        <v>578</v>
      </c>
      <c r="D13" s="158" t="str">
        <f>IFERROR(IF(Attack_rate_modelled="manual","Manually enter Clinical 
Attack Rate --&gt;",CONCATENATE(" ",AttackRate*100,"%"," clinical attack rate")),"")</f>
        <v xml:space="preserve"> 20% clinical attack rate</v>
      </c>
      <c r="E13" s="698">
        <v>0.2</v>
      </c>
      <c r="F13" s="176"/>
      <c r="G13" s="740" t="s">
        <v>875</v>
      </c>
      <c r="H13" s="62">
        <v>0</v>
      </c>
      <c r="I13" s="1497" t="s">
        <v>1459</v>
      </c>
      <c r="J13" s="1497"/>
      <c r="K13"/>
      <c r="L13"/>
      <c r="O13" s="1456" t="s">
        <v>1579</v>
      </c>
      <c r="P13" s="1514"/>
      <c r="Q13" s="1515"/>
      <c r="R13" s="342"/>
      <c r="T13" s="496">
        <f>IF(2^((((LN('Back Calculations'!C110)/LN(2))*(4/7))-(T12/7))/(4/7))&lt;0,0,2^((((LN('Back Calculations'!C110)/LN(2))*(4/7))-(T12/7))/(4/7)))</f>
        <v>0.29730177875068026</v>
      </c>
      <c r="U13" s="1510" t="s">
        <v>1689</v>
      </c>
      <c r="V13" s="1510"/>
      <c r="W13" s="1510"/>
      <c r="X13" s="1036">
        <f>IF('User Dashboard'!$W$9,T13,IF('User Dashboard'!R13="",T13,'User Dashboard'!R13))</f>
        <v>0.29730177875068026</v>
      </c>
      <c r="Z13" s="1455" t="s">
        <v>1436</v>
      </c>
      <c r="AA13" s="1455"/>
      <c r="AB13" s="1455"/>
      <c r="AC13" s="1455"/>
      <c r="AD13" s="1455"/>
      <c r="AE13" s="1455"/>
      <c r="AF13" s="1455"/>
      <c r="AG13" s="1455"/>
      <c r="AH13" s="295"/>
      <c r="AI13" s="1078" t="s">
        <v>1234</v>
      </c>
      <c r="AJ13" s="1079" t="s">
        <v>1282</v>
      </c>
      <c r="AK13" s="1080" t="s">
        <v>1280</v>
      </c>
      <c r="AL13" s="1243" t="s">
        <v>1281</v>
      </c>
      <c r="AM13" s="1081" t="s">
        <v>1438</v>
      </c>
      <c r="AN13" s="1082" t="s">
        <v>1233</v>
      </c>
    </row>
    <row r="14" spans="1:66" s="909" customFormat="1" ht="36" customHeight="1" thickBot="1" x14ac:dyDescent="0.4">
      <c r="A14" s="910"/>
      <c r="B14" s="97" t="s">
        <v>694</v>
      </c>
      <c r="C14" s="205" t="s">
        <v>788</v>
      </c>
      <c r="D14" s="158" t="str">
        <f>IFERROR(IF(Doubling_rate_modelled="manual","Manually enter Doubling Rate (days) --&gt;",IF(Doubling_rate_modelled="Combined","",CONCATENATE(" Infections double every ",ROUND(INDEX('Back Calculations'!$C$89:$C$99,MATCH(Doubling_rate_modelled,'Back Calculations'!$B$89:$B$99,0)),1)," days"))),"")</f>
        <v xml:space="preserve"> Infections double every 7 days</v>
      </c>
      <c r="E14" s="699"/>
      <c r="F14" s="176"/>
      <c r="G14" s="98" t="s">
        <v>1892</v>
      </c>
      <c r="H14" s="1354">
        <v>44065</v>
      </c>
      <c r="I14" s="1332"/>
      <c r="J14" s="1332"/>
      <c r="M14" s="910"/>
      <c r="N14" s="910"/>
      <c r="O14" s="1456" t="s">
        <v>1580</v>
      </c>
      <c r="P14" s="1457"/>
      <c r="Q14" s="1458"/>
      <c r="R14" s="502"/>
      <c r="S14" s="910"/>
      <c r="T14" s="497">
        <f>IFERROR(VLOOKUP(Inputs!E35,'Daily Contacts by Country'!A3:BB152,54,FALSE),IFERROR(AVERAGEIFS('Daily Contacts by Country'!BB:BB,'Daily Contacts by Country'!B:B,VLOOKUP(Inputs!E35,'HCW, Staff, Beds Summary'!B:E,4,FALSE)),AVERAGE('Daily Contacts by Country'!BB:BB)))</f>
        <v>15.209356603107825</v>
      </c>
      <c r="U14" s="1507" t="s">
        <v>1694</v>
      </c>
      <c r="V14" s="1508"/>
      <c r="W14" s="1509"/>
      <c r="X14" s="1036"/>
      <c r="Y14" s="910"/>
      <c r="Z14" s="1333"/>
      <c r="AA14" s="1333"/>
      <c r="AB14" s="1333"/>
      <c r="AC14" s="1333"/>
      <c r="AD14" s="1333"/>
      <c r="AE14" s="1333"/>
      <c r="AF14" s="1333"/>
      <c r="AG14" s="1333"/>
      <c r="AH14" s="926"/>
      <c r="AI14" s="1083">
        <v>1</v>
      </c>
      <c r="AJ14" s="1029">
        <v>0</v>
      </c>
      <c r="AK14" s="541"/>
      <c r="AL14" s="541"/>
      <c r="AM14" s="1030">
        <f>'User Dashboard'!X15*'User Dashboard'!X12*'User Dashboard'!X16</f>
        <v>2.35</v>
      </c>
      <c r="AN14" s="1084">
        <f>'User Dashboard'!X15</f>
        <v>15.209356603107825</v>
      </c>
      <c r="AO14" s="910"/>
      <c r="AP14" s="910"/>
      <c r="AQ14" s="910"/>
      <c r="AR14" s="910"/>
      <c r="AS14" s="910"/>
      <c r="AT14" s="910"/>
      <c r="AU14" s="910"/>
      <c r="AV14" s="910"/>
      <c r="AW14" s="910"/>
      <c r="AX14" s="910"/>
      <c r="AY14" s="910"/>
      <c r="AZ14" s="910"/>
      <c r="BA14" s="910"/>
      <c r="BB14" s="910"/>
      <c r="BC14" s="910"/>
      <c r="BD14" s="910"/>
      <c r="BE14" s="910"/>
      <c r="BF14" s="910"/>
      <c r="BG14" s="910"/>
      <c r="BH14" s="910"/>
      <c r="BI14" s="910"/>
      <c r="BJ14" s="910"/>
      <c r="BK14" s="910"/>
      <c r="BL14" s="910"/>
      <c r="BM14" s="910"/>
      <c r="BN14" s="910"/>
    </row>
    <row r="15" spans="1:66" ht="40" customHeight="1" x14ac:dyDescent="0.35">
      <c r="G15"/>
      <c r="I15" s="331"/>
      <c r="J15" s="1461" t="s">
        <v>1315</v>
      </c>
      <c r="K15" s="1461"/>
      <c r="L15" s="1461"/>
      <c r="O15" s="1456" t="s">
        <v>1341</v>
      </c>
      <c r="P15" s="1457"/>
      <c r="Q15" s="1458"/>
      <c r="R15" s="1350"/>
      <c r="S15" s="910"/>
      <c r="T15" s="1351">
        <f>2.35/(X15*X12)</f>
        <v>2.2072878851804097E-2</v>
      </c>
      <c r="U15" s="1526" t="str">
        <f>CONCATENATE(CONCATENATE(CONCATENATE("Calculation: from a selected infectious time of ",X12," days, ",ROUND(X15,1)," contacts per person per day, and basic reproduction number of 2.35. (i.e. 2.35 persons infected per case / (",ROUND(X15,1)," contacts per day * ",X12," days))."))," To use a different reproduction number, it is suggested to use multiple 'stages' in Step 3 - if the current reproduction number is estimated to be different than the basic"," reproduction number of 2.35, it can be specified in the 2nd stage if the 2nd stage is set to start on day 0.")</f>
        <v>Calculation: from a selected infectious time of 7 days, 15,2 contacts per person per day, and basic reproduction number of 2.35. (i.e. 2.35 persons infected per case / (15,2 contacts per day * 7 days)). To use a different reproduction number, it is suggested to use multiple 'stages' in Step 3 - if the current reproduction number is estimated to be different than the basic reproduction number of 2.35, it can be specified in the 2nd stage if the 2nd stage is set to start on day 0.</v>
      </c>
      <c r="V15" s="1527"/>
      <c r="W15" s="1528"/>
      <c r="X15" s="689">
        <f>IF('User Dashboard'!$W$9,T14,IF('User Dashboard'!R14="",T14,'User Dashboard'!R14))</f>
        <v>15.209356603107825</v>
      </c>
      <c r="Z15" s="498" t="s">
        <v>1437</v>
      </c>
      <c r="AA15" s="910"/>
      <c r="AB15" s="910"/>
      <c r="AC15" s="910"/>
      <c r="AD15" s="910"/>
      <c r="AE15" s="139"/>
      <c r="AF15" s="926"/>
      <c r="AG15" s="926"/>
      <c r="AH15" s="295"/>
      <c r="AI15" s="1083" t="str">
        <f>IF(AI14&lt;'User Dashboard'!$Z$12,AI14+1,"")</f>
        <v/>
      </c>
      <c r="AJ15" s="1075">
        <v>0</v>
      </c>
      <c r="AK15" s="1076">
        <v>1.8</v>
      </c>
      <c r="AL15" s="1076">
        <v>4</v>
      </c>
      <c r="AM15" s="1030">
        <f>IFERROR(IF(AE16=2,AN15*'User Dashboard'!$X$16*'User Dashboard'!$X$12,IF(AK15="","",AK15)),"")</f>
        <v>1.8</v>
      </c>
      <c r="AN15" s="1084">
        <f>IFERROR(IF('User Dashboard'!$AE$16=1,AM15/('User Dashboard'!$X$16*'User Dashboard'!$X$12),IF(AL15="","",AL15)),"")</f>
        <v>11.649719951316632</v>
      </c>
    </row>
    <row r="16" spans="1:66" ht="21.65" customHeight="1" thickBot="1" x14ac:dyDescent="0.4">
      <c r="B16" s="211" t="str">
        <f>IF(Doubling_rate_modelled="COMBINED","Enter Combined Rates Below","")</f>
        <v/>
      </c>
      <c r="E16"/>
      <c r="F16"/>
      <c r="G16"/>
      <c r="H16"/>
      <c r="I16" s="129"/>
      <c r="J16" s="1461"/>
      <c r="K16" s="1461"/>
      <c r="L16" s="1461"/>
      <c r="N16" s="93"/>
      <c r="O16" s="1529" t="s">
        <v>1688</v>
      </c>
      <c r="P16" s="1529"/>
      <c r="Q16" s="1529"/>
      <c r="R16" s="1529"/>
      <c r="S16" s="910"/>
      <c r="T16"/>
      <c r="U16"/>
      <c r="V16"/>
      <c r="W16"/>
      <c r="X16" s="690">
        <f>IF('User Dashboard'!$W$9,T15,IF('User Dashboard'!R15="",T15,'User Dashboard'!R15))</f>
        <v>2.2072878851804097E-2</v>
      </c>
      <c r="Z16" s="680" t="s">
        <v>1233</v>
      </c>
      <c r="AA16" s="910"/>
      <c r="AB16" s="910"/>
      <c r="AC16" s="910"/>
      <c r="AD16" s="910"/>
      <c r="AE16" s="1077">
        <v>1</v>
      </c>
      <c r="AF16" s="926"/>
      <c r="AG16" s="926"/>
      <c r="AH16" s="295"/>
      <c r="AI16" s="1083" t="str">
        <f>IF(AI15&lt;'User Dashboard'!$Z$12,AI15+1,"")</f>
        <v/>
      </c>
      <c r="AJ16" s="1075">
        <v>70</v>
      </c>
      <c r="AK16" s="1076">
        <v>2.35</v>
      </c>
      <c r="AL16" s="1076">
        <v>12</v>
      </c>
      <c r="AM16" s="1030">
        <f>IFERROR(IF(AE16=2,AN16*'User Dashboard'!$X$16*'User Dashboard'!$X$12,IF(AK16="","",AK16)),"")</f>
        <v>2.35</v>
      </c>
      <c r="AN16" s="1084">
        <f>IFERROR(IF('User Dashboard'!$AE$16=1,AM16/('User Dashboard'!$X$16*'User Dashboard'!$X$12),IF(AL16="","",AL16)),"")</f>
        <v>15.209356603107825</v>
      </c>
    </row>
    <row r="17" spans="2:63" ht="32.5" customHeight="1" thickBot="1" x14ac:dyDescent="0.4">
      <c r="B17" s="878" t="s">
        <v>695</v>
      </c>
      <c r="C17" s="208"/>
      <c r="E17"/>
      <c r="F17"/>
      <c r="G17" s="203" t="s">
        <v>1455</v>
      </c>
      <c r="H17" s="356" t="s">
        <v>812</v>
      </c>
      <c r="I17" s="635" t="s">
        <v>885</v>
      </c>
      <c r="J17" s="636" t="s">
        <v>1395</v>
      </c>
      <c r="K17" s="636" t="s">
        <v>1396</v>
      </c>
      <c r="L17" s="636" t="s">
        <v>1457</v>
      </c>
      <c r="N17" s="93"/>
      <c r="O17" s="1530"/>
      <c r="P17" s="1530"/>
      <c r="Q17" s="1530"/>
      <c r="R17" s="1530"/>
      <c r="S17" s="910"/>
      <c r="X17" s="685"/>
      <c r="Z17" s="910"/>
      <c r="AA17" s="910"/>
      <c r="AB17" s="910"/>
      <c r="AC17" s="910"/>
      <c r="AD17" s="910"/>
      <c r="AE17" s="910"/>
      <c r="AF17" s="926"/>
      <c r="AG17" s="926"/>
      <c r="AH17" s="295"/>
      <c r="AI17" s="1083" t="str">
        <f>IF(AI16&lt;'User Dashboard'!$Z$12,AI16+1,"")</f>
        <v/>
      </c>
      <c r="AJ17" s="1075">
        <v>600</v>
      </c>
      <c r="AK17" s="1076">
        <v>2.35</v>
      </c>
      <c r="AL17" s="1076">
        <v>12</v>
      </c>
      <c r="AM17" s="1030">
        <f>IFERROR(IF(AE16=2,AN17*'User Dashboard'!$X$16*'User Dashboard'!$X$12,IF(AK17="","",AK17)),"")</f>
        <v>2.35</v>
      </c>
      <c r="AN17" s="1084">
        <f>IFERROR(IF('User Dashboard'!$AE$16=1,AM17/('User Dashboard'!$X$16*'User Dashboard'!$X$12),IF(AL17="","",AL17)),"")</f>
        <v>15.209356603107825</v>
      </c>
    </row>
    <row r="18" spans="2:63" ht="33.75" customHeight="1" thickBot="1" x14ac:dyDescent="0.4">
      <c r="B18" s="740" t="s">
        <v>868</v>
      </c>
      <c r="C18" s="61"/>
      <c r="E18"/>
      <c r="F18"/>
      <c r="G18" s="720" t="s">
        <v>1456</v>
      </c>
      <c r="H18" s="357">
        <v>0.1</v>
      </c>
      <c r="I18" s="542" t="s">
        <v>946</v>
      </c>
      <c r="J18" s="342">
        <v>1</v>
      </c>
      <c r="K18" s="317" t="s">
        <v>866</v>
      </c>
      <c r="L18" s="808">
        <f>SUM(J18:K18)</f>
        <v>1</v>
      </c>
      <c r="N18" s="93"/>
      <c r="O18" s="1530"/>
      <c r="P18" s="1530"/>
      <c r="Q18" s="1530"/>
      <c r="R18" s="1530"/>
      <c r="S18" s="1352"/>
      <c r="T18" s="1352"/>
      <c r="U18" s="1352"/>
      <c r="V18" s="988"/>
      <c r="W18" s="988"/>
      <c r="Z18" s="1464" t="s">
        <v>1750</v>
      </c>
      <c r="AA18" s="1465"/>
      <c r="AB18" s="1466"/>
      <c r="AF18" s="295"/>
      <c r="AG18" s="295"/>
      <c r="AH18" s="295"/>
      <c r="AI18" s="1085" t="str">
        <f>IF(AI17&lt;'User Dashboard'!$Z$12,AI17+1,"")</f>
        <v/>
      </c>
      <c r="AJ18" s="1086">
        <v>700</v>
      </c>
      <c r="AK18" s="1087">
        <v>2</v>
      </c>
      <c r="AL18" s="1087">
        <v>12</v>
      </c>
      <c r="AM18" s="1088">
        <f>IFERROR(IF(AE16=2,AN18*'User Dashboard'!$X$16*'User Dashboard'!$X$12,IF(AK18="","",AK18)),"")</f>
        <v>2</v>
      </c>
      <c r="AN18" s="1089">
        <f>IFERROR(IF('User Dashboard'!$AE$16=1,AM18/('User Dashboard'!$X$16*'User Dashboard'!$X$12),IF(AL18="","",AL18)),"")</f>
        <v>12.944133279240702</v>
      </c>
      <c r="AQ18" s="124"/>
    </row>
    <row r="19" spans="2:63" s="84" customFormat="1" ht="30" customHeight="1" thickBot="1" x14ac:dyDescent="0.4">
      <c r="B19" s="721" t="s">
        <v>696</v>
      </c>
      <c r="C19" s="209"/>
      <c r="D19"/>
      <c r="E19"/>
      <c r="F19"/>
      <c r="G19" s="721" t="s">
        <v>1394</v>
      </c>
      <c r="H19" s="358">
        <v>10</v>
      </c>
      <c r="I19" s="542" t="s">
        <v>947</v>
      </c>
      <c r="J19" s="342">
        <v>1</v>
      </c>
      <c r="K19" s="342">
        <v>1</v>
      </c>
      <c r="L19" s="808">
        <f>SUM(J19:K19)</f>
        <v>2</v>
      </c>
      <c r="N19" s="93"/>
      <c r="O19" s="1352"/>
      <c r="P19" s="1352"/>
      <c r="Q19" s="1352"/>
      <c r="R19" s="1352"/>
      <c r="S19" s="1352"/>
      <c r="T19" s="1352"/>
      <c r="U19" s="1352"/>
      <c r="V19" s="988"/>
      <c r="W19" s="988"/>
      <c r="X19" s="115"/>
      <c r="Z19" s="1467"/>
      <c r="AA19" s="1468"/>
      <c r="AB19" s="1469"/>
      <c r="AF19" s="295"/>
      <c r="AG19" s="295"/>
      <c r="AH19" s="295"/>
    </row>
    <row r="20" spans="2:63" s="84" customFormat="1" ht="24" customHeight="1" x14ac:dyDescent="0.35">
      <c r="C20"/>
      <c r="D20"/>
      <c r="E20"/>
      <c r="F20"/>
      <c r="G20" s="355" t="str">
        <f>IF(Mild_testing_strategy="Targeted","Tests all severe/critical patients, and percent of suspects/mild/moderate specified in H18","")</f>
        <v>Tests all severe/critical patients, and percent of suspects/mild/moderate specified in H18</v>
      </c>
      <c r="H20"/>
      <c r="I20"/>
      <c r="J20"/>
      <c r="N20" s="93"/>
      <c r="O20" s="1352"/>
      <c r="P20" s="1352"/>
      <c r="Q20" s="1352"/>
      <c r="R20" s="1352"/>
      <c r="S20" s="1352"/>
      <c r="T20" s="1352"/>
      <c r="U20" s="1352"/>
      <c r="V20" s="910"/>
      <c r="W20" s="910"/>
      <c r="X20" s="115"/>
    </row>
    <row r="21" spans="2:63" s="86" customFormat="1" ht="17" x14ac:dyDescent="0.4">
      <c r="B21" s="87"/>
      <c r="C21" s="88"/>
      <c r="X21" s="686"/>
    </row>
    <row r="22" spans="2:63" s="84" customFormat="1" x14ac:dyDescent="0.35">
      <c r="B22" s="85"/>
      <c r="C22" s="85"/>
      <c r="D22" s="85"/>
      <c r="E22" s="85"/>
      <c r="F22" s="85"/>
      <c r="G22" s="85"/>
      <c r="I22" s="92"/>
      <c r="X22" s="115"/>
    </row>
    <row r="23" spans="2:63" s="84" customFormat="1" ht="17.899999999999999" customHeight="1" thickBot="1" x14ac:dyDescent="0.5">
      <c r="B23" s="85"/>
      <c r="C23" s="1487" t="str">
        <f>Inputs!E35&amp;" - High-Level COVID-19 Outputs"</f>
        <v>Zambia - High-Level COVID-19 Outputs</v>
      </c>
      <c r="D23" s="1487"/>
      <c r="E23" s="1487"/>
      <c r="F23" s="1487"/>
      <c r="G23" s="1487"/>
      <c r="H23" s="1487"/>
      <c r="I23" s="1487"/>
      <c r="X23" s="115"/>
    </row>
    <row r="24" spans="2:63" s="84" customFormat="1" ht="15" thickTop="1" x14ac:dyDescent="0.35">
      <c r="B24" s="100"/>
      <c r="C24" s="100"/>
      <c r="D24" s="101"/>
      <c r="E24" s="101"/>
      <c r="F24" s="101"/>
      <c r="G24" s="101"/>
      <c r="H24" s="100"/>
      <c r="I24" s="102"/>
      <c r="J24" s="100"/>
      <c r="X24" s="115"/>
    </row>
    <row r="25" spans="2:63" s="84" customFormat="1" x14ac:dyDescent="0.35">
      <c r="B25" s="100"/>
      <c r="C25" s="100"/>
      <c r="D25" s="101"/>
      <c r="E25" s="101"/>
      <c r="F25" s="101"/>
      <c r="G25" s="101"/>
      <c r="H25" s="100"/>
      <c r="I25" s="102"/>
      <c r="J25" s="100"/>
      <c r="X25" s="115"/>
    </row>
    <row r="26" spans="2:63" s="84" customFormat="1" x14ac:dyDescent="0.35">
      <c r="B26" s="103" t="s">
        <v>596</v>
      </c>
      <c r="C26" s="104">
        <f>F100</f>
        <v>2012.2929995034956</v>
      </c>
      <c r="D26" s="101"/>
      <c r="E26" s="101"/>
      <c r="F26" s="101"/>
      <c r="G26" s="101"/>
      <c r="H26" s="100"/>
      <c r="I26" s="102"/>
      <c r="J26" s="100"/>
      <c r="K26"/>
      <c r="L26" s="887"/>
      <c r="X26" s="115"/>
    </row>
    <row r="27" spans="2:63" s="84" customFormat="1" x14ac:dyDescent="0.35">
      <c r="B27" s="103" t="s">
        <v>600</v>
      </c>
      <c r="C27" s="104">
        <f>F101</f>
        <v>804.91719980139828</v>
      </c>
      <c r="D27" s="101"/>
      <c r="G27" s="101"/>
      <c r="J27" s="100"/>
      <c r="K27" s="295"/>
      <c r="L27" s="295"/>
      <c r="M27" s="295"/>
      <c r="N27" s="295"/>
      <c r="O27" s="295"/>
      <c r="P27" s="295"/>
      <c r="Q27" s="295"/>
      <c r="R27" s="295"/>
      <c r="S27" s="295"/>
      <c r="T27" s="295"/>
      <c r="X27" s="115"/>
    </row>
    <row r="28" spans="2:63" s="84" customFormat="1" x14ac:dyDescent="0.35">
      <c r="B28" s="103" t="s">
        <v>973</v>
      </c>
      <c r="C28" s="104">
        <f>F102</f>
        <v>804.91719980139828</v>
      </c>
      <c r="D28" s="101"/>
      <c r="G28" s="101"/>
      <c r="J28" s="100"/>
      <c r="K28" s="911"/>
      <c r="L28" s="295"/>
      <c r="M28" s="295"/>
      <c r="N28" s="295"/>
      <c r="O28" s="295"/>
      <c r="P28" s="295"/>
      <c r="Q28" s="295"/>
      <c r="R28" s="295"/>
      <c r="S28" s="295"/>
      <c r="T28" s="29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row>
    <row r="29" spans="2:63" s="84" customFormat="1" x14ac:dyDescent="0.35">
      <c r="B29" s="105" t="s">
        <v>601</v>
      </c>
      <c r="C29" s="104">
        <f>F103</f>
        <v>301.84394992552433</v>
      </c>
      <c r="D29" s="101"/>
      <c r="G29" s="101"/>
      <c r="J29" s="100"/>
      <c r="K29" s="911"/>
      <c r="L29" s="912">
        <f>F115</f>
        <v>1</v>
      </c>
      <c r="M29" s="911">
        <f>IFERROR(IF(L29+1&lt;=MAX('Patient Calcs'!$B$14:$B$65),L29+1,""),"")</f>
        <v>2</v>
      </c>
      <c r="N29" s="911">
        <f>IFERROR(IF(M29+1&lt;=MAX('Patient Calcs'!$B$14:$B$65),M29+1,""),"")</f>
        <v>3</v>
      </c>
      <c r="O29" s="911">
        <f>IFERROR(IF(N29+1&lt;=MAX('Patient Calcs'!$B$14:$B$65),N29+1,""),"")</f>
        <v>4</v>
      </c>
      <c r="P29" s="911">
        <f>IFERROR(IF(O29+1&lt;=MAX('Patient Calcs'!$B$14:$B$65),O29+1,""),"")</f>
        <v>5</v>
      </c>
      <c r="Q29" s="911">
        <f>IFERROR(IF(P29+1&lt;=MAX('Patient Calcs'!$B$14:$B$65),P29+1,""),"")</f>
        <v>6</v>
      </c>
      <c r="R29" s="911" t="str">
        <f>IFERROR(IF(Q29+1&lt;=MAX('Patient Calcs'!$B$14:$B$65),Q29+1,""),"")</f>
        <v/>
      </c>
      <c r="S29" s="911" t="str">
        <f>IFERROR(IF(R29+1&lt;=MAX('Patient Calcs'!$B$14:$B$65),R29+1,""),"")</f>
        <v/>
      </c>
      <c r="T29" s="911" t="str">
        <f>IFERROR(IF(S29+1&lt;=MAX('Patient Calcs'!$B$14:$B$65),S29+1,""),"")</f>
        <v/>
      </c>
      <c r="U29" s="911" t="str">
        <f>IFERROR(IF(T29+1&lt;=MAX('Patient Calcs'!$B$14:$B$65),T29+1,""),"")</f>
        <v/>
      </c>
      <c r="V29" s="911" t="str">
        <f>IFERROR(IF(U29+1&lt;=MAX('Patient Calcs'!$B$14:$B$65),U29+1,""),"")</f>
        <v/>
      </c>
      <c r="W29" s="911" t="str">
        <f>IFERROR(IF(V29+1&lt;=MAX('Patient Calcs'!$B$14:$B$65),V29+1,""),"")</f>
        <v/>
      </c>
      <c r="X29" s="911" t="str">
        <f>IFERROR(IF(W29+1&lt;=MAX('Patient Calcs'!$B$14:$B$65),W29+1,""),"")</f>
        <v/>
      </c>
      <c r="Y29" s="911" t="str">
        <f>IFERROR(IF(X29+1&lt;=MAX('Patient Calcs'!$B$14:$B$65),X29+1,""),"")</f>
        <v/>
      </c>
      <c r="Z29" s="911" t="str">
        <f>IFERROR(IF(Y29+1&lt;=MAX('Patient Calcs'!$B$14:$B$65),Y29+1,""),"")</f>
        <v/>
      </c>
      <c r="AA29" s="911" t="str">
        <f>IFERROR(IF(Z29+1&lt;=MAX('Patient Calcs'!$B$14:$B$65),Z29+1,""),"")</f>
        <v/>
      </c>
      <c r="AB29" s="911" t="str">
        <f>IFERROR(IF(AA29+1&lt;=MAX('Patient Calcs'!$B$14:$B$65),AA29+1,""),"")</f>
        <v/>
      </c>
      <c r="AC29" s="911" t="str">
        <f>IFERROR(IF(AB29+1&lt;=MAX('Patient Calcs'!$B$14:$B$65),AB29+1,""),"")</f>
        <v/>
      </c>
      <c r="AD29" s="911" t="str">
        <f>IFERROR(IF(AC29+1&lt;=MAX('Patient Calcs'!$B$14:$B$65),AC29+1,""),"")</f>
        <v/>
      </c>
      <c r="AE29" s="911" t="str">
        <f>IFERROR(IF(AD29+1&lt;=MAX('Patient Calcs'!$B$14:$B$65),AD29+1,""),"")</f>
        <v/>
      </c>
      <c r="AF29" s="911" t="str">
        <f>IFERROR(IF(AE29+1&lt;=MAX('Patient Calcs'!$B$14:$B$65),AE29+1,""),"")</f>
        <v/>
      </c>
      <c r="AG29" s="911" t="str">
        <f>IFERROR(IF(AF29+1&lt;=MAX('Patient Calcs'!$B$14:$B$65),AF29+1,""),"")</f>
        <v/>
      </c>
      <c r="AH29" s="911" t="str">
        <f>IFERROR(IF(AG29+1&lt;=MAX('Patient Calcs'!$B$14:$B$65),AG29+1,""),"")</f>
        <v/>
      </c>
      <c r="AI29" s="911" t="str">
        <f>IFERROR(IF(AH29+1&lt;=MAX('Patient Calcs'!$B$14:$B$65),AH29+1,""),"")</f>
        <v/>
      </c>
      <c r="AJ29" s="911" t="str">
        <f>IFERROR(IF(AI29+1&lt;=MAX('Patient Calcs'!$B$14:$B$65),AI29+1,""),"")</f>
        <v/>
      </c>
      <c r="AK29" s="911" t="str">
        <f>IFERROR(IF(AJ29+1&lt;=MAX('Patient Calcs'!$B$14:$B$65),AJ29+1,""),"")</f>
        <v/>
      </c>
      <c r="AL29" s="911" t="str">
        <f>IFERROR(IF(AK29+1&lt;=MAX('Patient Calcs'!$B$14:$B$65),AK29+1,""),"")</f>
        <v/>
      </c>
      <c r="AM29" s="911" t="str">
        <f>IFERROR(IF(AL29+1&lt;=MAX('Patient Calcs'!$B$14:$B$65),AL29+1,""),"")</f>
        <v/>
      </c>
      <c r="AN29" s="911" t="str">
        <f>IFERROR(IF(AM29+1&lt;=MAX('Patient Calcs'!$B$14:$B$65),AM29+1,""),"")</f>
        <v/>
      </c>
      <c r="AO29" s="911" t="str">
        <f>IFERROR(IF(AN29+1&lt;=MAX('Patient Calcs'!$B$14:$B$65),AN29+1,""),"")</f>
        <v/>
      </c>
      <c r="AP29" s="911" t="str">
        <f>IFERROR(IF(AO29+1&lt;=MAX('Patient Calcs'!$B$14:$B$65),AO29+1,""),"")</f>
        <v/>
      </c>
      <c r="AQ29" s="911" t="str">
        <f>IFERROR(IF(AP29+1&lt;=MAX('Patient Calcs'!$B$14:$B$65),AP29+1,""),"")</f>
        <v/>
      </c>
      <c r="AR29" s="911" t="str">
        <f>IFERROR(IF(AQ29+1&lt;=MAX('Patient Calcs'!$B$14:$B$65),AQ29+1,""),"")</f>
        <v/>
      </c>
      <c r="AS29" s="911" t="str">
        <f>IFERROR(IF(AR29+1&lt;=MAX('Patient Calcs'!$B$14:$B$65),AR29+1,""),"")</f>
        <v/>
      </c>
      <c r="AT29" s="911" t="str">
        <f>IFERROR(IF(AS29+1&lt;=MAX('Patient Calcs'!$B$14:$B$65),AS29+1,""),"")</f>
        <v/>
      </c>
      <c r="AU29" s="911" t="str">
        <f>IFERROR(IF(AT29+1&lt;=MAX('Patient Calcs'!$B$14:$B$65),AT29+1,""),"")</f>
        <v/>
      </c>
      <c r="AV29" s="911" t="str">
        <f>IFERROR(IF(AU29+1&lt;=MAX('Patient Calcs'!$B$14:$B$65),AU29+1,""),"")</f>
        <v/>
      </c>
      <c r="AW29" s="911" t="str">
        <f>IFERROR(IF(AV29+1&lt;=MAX('Patient Calcs'!$B$14:$B$65),AV29+1,""),"")</f>
        <v/>
      </c>
      <c r="AX29" s="911" t="str">
        <f>IFERROR(IF(AW29+1&lt;=MAX('Patient Calcs'!$B$14:$B$65),AW29+1,""),"")</f>
        <v/>
      </c>
      <c r="AY29" s="911" t="str">
        <f>IFERROR(IF(AX29+1&lt;=MAX('Patient Calcs'!$B$14:$B$65),AX29+1,""),"")</f>
        <v/>
      </c>
      <c r="AZ29" s="911" t="str">
        <f>IFERROR(IF(AY29+1&lt;=MAX('Patient Calcs'!$B$14:$B$65),AY29+1,""),"")</f>
        <v/>
      </c>
      <c r="BA29" s="911" t="str">
        <f>IFERROR(IF(AZ29+1&lt;=MAX('Patient Calcs'!$B$14:$B$65),AZ29+1,""),"")</f>
        <v/>
      </c>
      <c r="BB29" s="911" t="str">
        <f>IFERROR(IF(BA29+1&lt;=MAX('Patient Calcs'!$B$14:$B$65),BA29+1,""),"")</f>
        <v/>
      </c>
      <c r="BC29" s="911" t="str">
        <f>IFERROR(IF(BB29+1&lt;=MAX('Patient Calcs'!$B$14:$B$65),BB29+1,""),"")</f>
        <v/>
      </c>
      <c r="BD29" s="911" t="str">
        <f>IFERROR(IF(BC29+1&lt;=MAX('Patient Calcs'!$B$14:$B$65),BC29+1,""),"")</f>
        <v/>
      </c>
      <c r="BE29" s="911" t="str">
        <f>IFERROR(IF(BD29+1&lt;=MAX('Patient Calcs'!$B$14:$B$65),BD29+1,""),"")</f>
        <v/>
      </c>
      <c r="BF29" s="911" t="str">
        <f>IFERROR(IF(BE29+1&lt;=MAX('Patient Calcs'!$B$14:$B$65),BE29+1,""),"")</f>
        <v/>
      </c>
      <c r="BG29" s="911" t="str">
        <f>IFERROR(IF(BF29+1&lt;=MAX('Patient Calcs'!$B$14:$B$65),BF29+1,""),"")</f>
        <v/>
      </c>
      <c r="BH29" s="911" t="str">
        <f>IFERROR(IF(BG29+1&lt;=MAX('Patient Calcs'!$B$14:$B$65),BG29+1,""),"")</f>
        <v/>
      </c>
      <c r="BI29" s="911" t="str">
        <f>IFERROR(IF(BH29+1&lt;=MAX('Patient Calcs'!$B$14:$B$65),BH29+1,""),"")</f>
        <v/>
      </c>
      <c r="BJ29" s="911" t="str">
        <f>IFERROR(IF(BI29+1&lt;=MAX('Patient Calcs'!$B$14:$B$65),BI29+1,""),"")</f>
        <v/>
      </c>
      <c r="BK29" s="911" t="str">
        <f>IFERROR(IF(BJ29+1&lt;=MAX('Patient Calcs'!$B$14:$B$65),BJ29+1,""),"")</f>
        <v/>
      </c>
    </row>
    <row r="30" spans="2:63" s="84" customFormat="1" x14ac:dyDescent="0.35">
      <c r="B30" s="105" t="s">
        <v>602</v>
      </c>
      <c r="C30" s="104">
        <f>F104</f>
        <v>100.61464997517479</v>
      </c>
      <c r="D30" s="101"/>
      <c r="G30" s="101"/>
      <c r="J30" s="100"/>
      <c r="K30" s="911" t="s">
        <v>1040</v>
      </c>
      <c r="L30" s="912">
        <f>SUM(L31:L34)</f>
        <v>2.9803874416808513</v>
      </c>
      <c r="M30" s="912">
        <f t="shared" ref="M30:BK30" si="0">SUM(M31:M34)</f>
        <v>10.242125669658245</v>
      </c>
      <c r="N30" s="912">
        <f t="shared" si="0"/>
        <v>35.19680770984305</v>
      </c>
      <c r="O30" s="912">
        <f t="shared" si="0"/>
        <v>120.94892611199444</v>
      </c>
      <c r="P30" s="912">
        <f t="shared" si="0"/>
        <v>415.57666989694826</v>
      </c>
      <c r="Q30" s="912">
        <f t="shared" si="0"/>
        <v>1427.3480826733708</v>
      </c>
      <c r="R30" s="912">
        <f t="shared" si="0"/>
        <v>0</v>
      </c>
      <c r="S30" s="912">
        <f t="shared" si="0"/>
        <v>0</v>
      </c>
      <c r="T30" s="912">
        <f t="shared" si="0"/>
        <v>0</v>
      </c>
      <c r="U30" s="912">
        <f t="shared" si="0"/>
        <v>0</v>
      </c>
      <c r="V30" s="912">
        <f t="shared" si="0"/>
        <v>0</v>
      </c>
      <c r="W30" s="912">
        <f t="shared" si="0"/>
        <v>0</v>
      </c>
      <c r="X30" s="912">
        <f t="shared" si="0"/>
        <v>0</v>
      </c>
      <c r="Y30" s="912">
        <f t="shared" si="0"/>
        <v>0</v>
      </c>
      <c r="Z30" s="912">
        <f t="shared" si="0"/>
        <v>0</v>
      </c>
      <c r="AA30" s="912">
        <f t="shared" si="0"/>
        <v>0</v>
      </c>
      <c r="AB30" s="912">
        <f t="shared" si="0"/>
        <v>0</v>
      </c>
      <c r="AC30" s="912">
        <f t="shared" si="0"/>
        <v>0</v>
      </c>
      <c r="AD30" s="912">
        <f t="shared" si="0"/>
        <v>0</v>
      </c>
      <c r="AE30" s="912">
        <f t="shared" si="0"/>
        <v>0</v>
      </c>
      <c r="AF30" s="912">
        <f t="shared" si="0"/>
        <v>0</v>
      </c>
      <c r="AG30" s="912">
        <f t="shared" si="0"/>
        <v>0</v>
      </c>
      <c r="AH30" s="912">
        <f t="shared" si="0"/>
        <v>0</v>
      </c>
      <c r="AI30" s="912">
        <f t="shared" si="0"/>
        <v>0</v>
      </c>
      <c r="AJ30" s="912">
        <f t="shared" si="0"/>
        <v>0</v>
      </c>
      <c r="AK30" s="912">
        <f t="shared" si="0"/>
        <v>0</v>
      </c>
      <c r="AL30" s="912">
        <f t="shared" si="0"/>
        <v>0</v>
      </c>
      <c r="AM30" s="912">
        <f t="shared" si="0"/>
        <v>0</v>
      </c>
      <c r="AN30" s="912">
        <f t="shared" si="0"/>
        <v>0</v>
      </c>
      <c r="AO30" s="912">
        <f t="shared" si="0"/>
        <v>0</v>
      </c>
      <c r="AP30" s="912">
        <f t="shared" si="0"/>
        <v>0</v>
      </c>
      <c r="AQ30" s="912">
        <f t="shared" si="0"/>
        <v>0</v>
      </c>
      <c r="AR30" s="912">
        <f t="shared" si="0"/>
        <v>0</v>
      </c>
      <c r="AS30" s="912">
        <f t="shared" si="0"/>
        <v>0</v>
      </c>
      <c r="AT30" s="912">
        <f t="shared" si="0"/>
        <v>0</v>
      </c>
      <c r="AU30" s="912">
        <f t="shared" si="0"/>
        <v>0</v>
      </c>
      <c r="AV30" s="912">
        <f t="shared" si="0"/>
        <v>0</v>
      </c>
      <c r="AW30" s="912">
        <f t="shared" si="0"/>
        <v>0</v>
      </c>
      <c r="AX30" s="912">
        <f t="shared" si="0"/>
        <v>0</v>
      </c>
      <c r="AY30" s="912">
        <f t="shared" si="0"/>
        <v>0</v>
      </c>
      <c r="AZ30" s="912">
        <f t="shared" si="0"/>
        <v>0</v>
      </c>
      <c r="BA30" s="912">
        <f t="shared" si="0"/>
        <v>0</v>
      </c>
      <c r="BB30" s="912">
        <f t="shared" si="0"/>
        <v>0</v>
      </c>
      <c r="BC30" s="912">
        <f t="shared" si="0"/>
        <v>0</v>
      </c>
      <c r="BD30" s="912">
        <f t="shared" si="0"/>
        <v>0</v>
      </c>
      <c r="BE30" s="912">
        <f t="shared" si="0"/>
        <v>0</v>
      </c>
      <c r="BF30" s="912">
        <f t="shared" si="0"/>
        <v>0</v>
      </c>
      <c r="BG30" s="912">
        <f t="shared" si="0"/>
        <v>0</v>
      </c>
      <c r="BH30" s="912">
        <f t="shared" si="0"/>
        <v>0</v>
      </c>
      <c r="BI30" s="912">
        <f t="shared" si="0"/>
        <v>0</v>
      </c>
      <c r="BJ30" s="912">
        <f t="shared" si="0"/>
        <v>0</v>
      </c>
      <c r="BK30" s="912">
        <f t="shared" si="0"/>
        <v>0</v>
      </c>
    </row>
    <row r="31" spans="2:63" s="84" customFormat="1" x14ac:dyDescent="0.35">
      <c r="B31" s="101"/>
      <c r="C31" s="101"/>
      <c r="D31" s="101"/>
      <c r="G31" s="101"/>
      <c r="J31" s="100"/>
      <c r="K31" s="913" t="s">
        <v>847</v>
      </c>
      <c r="L31" s="912">
        <f>IF(ISNUMBER(F$115),INDEX('Weekly Summary'!$D$44:$BD$47,1,MATCH(F$115,'Weekly Summary'!$D$40:$BD$40,0)),"")</f>
        <v>1.1921549766723405</v>
      </c>
      <c r="M31" s="912">
        <f>IF(ISNUMBER(G$115),INDEX('Weekly Summary'!$D$44:$BD$47,1,MATCH(G$115,'Weekly Summary'!$D$40:$BD$40,0)),"")</f>
        <v>4.0968502678632976</v>
      </c>
      <c r="N31" s="912">
        <f>IF(ISNUMBER(H$115),INDEX('Weekly Summary'!$D$44:$BD$47,1,MATCH(H$115,'Weekly Summary'!$D$40:$BD$40,0)),"")</f>
        <v>14.078723083937218</v>
      </c>
      <c r="O31" s="912">
        <f>IF(ISNUMBER(I$115),INDEX('Weekly Summary'!$D$44:$BD$47,1,MATCH(I$115,'Weekly Summary'!$D$40:$BD$40,0)),"")</f>
        <v>48.379570444797778</v>
      </c>
      <c r="P31" s="912">
        <f>IF(ISNUMBER(J$115),INDEX('Weekly Summary'!$D$44:$BD$47,1,MATCH(J$115,'Weekly Summary'!$D$40:$BD$40,0)),"")</f>
        <v>166.23066795877932</v>
      </c>
      <c r="Q31" s="912">
        <f>IF(ISNUMBER(K$115),INDEX('Weekly Summary'!$D$44:$BD$47,1,MATCH(K$115,'Weekly Summary'!$D$40:$BD$40,0)),"")</f>
        <v>570.93923306934835</v>
      </c>
      <c r="R31" s="912" t="str">
        <f>IF(ISNUMBER(L$115),INDEX('Weekly Summary'!$D$44:$BD$47,1,MATCH(L$115,'Weekly Summary'!$D$40:$BD$40,0)),"")</f>
        <v/>
      </c>
      <c r="S31" s="912" t="str">
        <f>IF(ISNUMBER(M$115),INDEX('Weekly Summary'!$D$44:$BD$47,1,MATCH(M$115,'Weekly Summary'!$D$40:$BD$40,0)),"")</f>
        <v/>
      </c>
      <c r="T31" s="912" t="str">
        <f>IF(ISNUMBER(N$115),INDEX('Weekly Summary'!$D$44:$BD$47,1,MATCH(N$115,'Weekly Summary'!$D$40:$BD$40,0)),"")</f>
        <v/>
      </c>
      <c r="U31" s="912" t="str">
        <f>IF(ISNUMBER(O$115),INDEX('Weekly Summary'!$D$44:$BD$47,1,MATCH(O$115,'Weekly Summary'!$D$40:$BD$40,0)),"")</f>
        <v/>
      </c>
      <c r="V31" s="912" t="str">
        <f>IF(ISNUMBER(P$115),INDEX('Weekly Summary'!$D$44:$BD$47,1,MATCH(P$115,'Weekly Summary'!$D$40:$BD$40,0)),"")</f>
        <v/>
      </c>
      <c r="W31" s="912" t="str">
        <f>IF(ISNUMBER(Q$115),INDEX('Weekly Summary'!$D$44:$BD$47,1,MATCH(Q$115,'Weekly Summary'!$D$40:$BD$40,0)),"")</f>
        <v/>
      </c>
      <c r="X31" s="912" t="str">
        <f>IF(ISNUMBER(R$115),INDEX('Weekly Summary'!$D$44:$BD$47,1,MATCH(R$115,'Weekly Summary'!$D$40:$BD$40,0)),"")</f>
        <v/>
      </c>
      <c r="Y31" s="912" t="str">
        <f>IF(ISNUMBER(S$115),INDEX('Weekly Summary'!$D$44:$BD$47,1,MATCH(S$115,'Weekly Summary'!$D$40:$BD$40,0)),"")</f>
        <v/>
      </c>
      <c r="Z31" s="912" t="str">
        <f>IF(ISNUMBER(T$115),INDEX('Weekly Summary'!$D$44:$BD$47,1,MATCH(T$115,'Weekly Summary'!$D$40:$BD$40,0)),"")</f>
        <v/>
      </c>
      <c r="AA31" s="912" t="str">
        <f>IF(ISNUMBER(U$115),INDEX('Weekly Summary'!$D$44:$BD$47,1,MATCH(U$115,'Weekly Summary'!$D$40:$BD$40,0)),"")</f>
        <v/>
      </c>
      <c r="AB31" s="912" t="str">
        <f>IF(ISNUMBER(V$115),INDEX('Weekly Summary'!$D$44:$BD$47,1,MATCH(V$115,'Weekly Summary'!$D$40:$BD$40,0)),"")</f>
        <v/>
      </c>
      <c r="AC31" s="912" t="str">
        <f>IF(ISNUMBER(W$115),INDEX('Weekly Summary'!$D$44:$BD$47,1,MATCH(W$115,'Weekly Summary'!$D$40:$BD$40,0)),"")</f>
        <v/>
      </c>
      <c r="AD31" s="912" t="str">
        <f>IF(ISNUMBER(X$115),INDEX('Weekly Summary'!$D$44:$BD$47,1,MATCH(X$115,'Weekly Summary'!$D$40:$BD$40,0)),"")</f>
        <v/>
      </c>
      <c r="AE31" s="912" t="str">
        <f>IF(ISNUMBER(Y$115),INDEX('Weekly Summary'!$D$44:$BD$47,1,MATCH(Y$115,'Weekly Summary'!$D$40:$BD$40,0)),"")</f>
        <v/>
      </c>
      <c r="AF31" s="912" t="str">
        <f>IF(ISNUMBER(Z$115),INDEX('Weekly Summary'!$D$44:$BD$47,1,MATCH(Z$115,'Weekly Summary'!$D$40:$BD$40,0)),"")</f>
        <v/>
      </c>
      <c r="AG31" s="912" t="str">
        <f>IF(ISNUMBER(AA$115),INDEX('Weekly Summary'!$D$44:$BD$47,1,MATCH(AA$115,'Weekly Summary'!$D$40:$BD$40,0)),"")</f>
        <v/>
      </c>
      <c r="AH31" s="912" t="str">
        <f>IF(ISNUMBER(AB$115),INDEX('Weekly Summary'!$D$44:$BD$47,1,MATCH(AB$115,'Weekly Summary'!$D$40:$BD$40,0)),"")</f>
        <v/>
      </c>
      <c r="AI31" s="912" t="str">
        <f>IF(ISNUMBER(AC$115),INDEX('Weekly Summary'!$D$44:$BD$47,1,MATCH(AC$115,'Weekly Summary'!$D$40:$BD$40,0)),"")</f>
        <v/>
      </c>
      <c r="AJ31" s="912" t="str">
        <f>IF(ISNUMBER(AD$115),INDEX('Weekly Summary'!$D$44:$BD$47,1,MATCH(AD$115,'Weekly Summary'!$D$40:$BD$40,0)),"")</f>
        <v/>
      </c>
      <c r="AK31" s="912" t="str">
        <f>IF(ISNUMBER(AE$115),INDEX('Weekly Summary'!$D$44:$BD$47,1,MATCH(AE$115,'Weekly Summary'!$D$40:$BD$40,0)),"")</f>
        <v/>
      </c>
      <c r="AL31" s="912" t="str">
        <f>IF(ISNUMBER(AF$115),INDEX('Weekly Summary'!$D$44:$BD$47,1,MATCH(AF$115,'Weekly Summary'!$D$40:$BD$40,0)),"")</f>
        <v/>
      </c>
      <c r="AM31" s="912" t="str">
        <f>IF(ISNUMBER(AG$115),INDEX('Weekly Summary'!$D$44:$BD$47,1,MATCH(AG$115,'Weekly Summary'!$D$40:$BD$40,0)),"")</f>
        <v/>
      </c>
      <c r="AN31" s="912" t="str">
        <f>IF(ISNUMBER(AH$115),INDEX('Weekly Summary'!$D$44:$BD$47,1,MATCH(AH$115,'Weekly Summary'!$D$40:$BD$40,0)),"")</f>
        <v/>
      </c>
      <c r="AO31" s="912" t="str">
        <f>IF(ISNUMBER(AI$115),INDEX('Weekly Summary'!$D$44:$BD$47,1,MATCH(AI$115,'Weekly Summary'!$D$40:$BD$40,0)),"")</f>
        <v/>
      </c>
      <c r="AP31" s="912" t="str">
        <f>IF(ISNUMBER(AJ$115),INDEX('Weekly Summary'!$D$44:$BD$47,1,MATCH(AJ$115,'Weekly Summary'!$D$40:$BD$40,0)),"")</f>
        <v/>
      </c>
      <c r="AQ31" s="912" t="str">
        <f>IF(ISNUMBER(AK$115),INDEX('Weekly Summary'!$D$44:$BD$47,1,MATCH(AK$115,'Weekly Summary'!$D$40:$BD$40,0)),"")</f>
        <v/>
      </c>
      <c r="AR31" s="912" t="str">
        <f>IF(ISNUMBER(AL$115),INDEX('Weekly Summary'!$D$44:$BD$47,1,MATCH(AL$115,'Weekly Summary'!$D$40:$BD$40,0)),"")</f>
        <v/>
      </c>
      <c r="AS31" s="912" t="str">
        <f>IF(ISNUMBER(AM$115),INDEX('Weekly Summary'!$D$44:$BD$47,1,MATCH(AM$115,'Weekly Summary'!$D$40:$BD$40,0)),"")</f>
        <v/>
      </c>
      <c r="AT31" s="912" t="str">
        <f>IF(ISNUMBER(AN$115),INDEX('Weekly Summary'!$D$44:$BD$47,1,MATCH(AN$115,'Weekly Summary'!$D$40:$BD$40,0)),"")</f>
        <v/>
      </c>
      <c r="AU31" s="912" t="str">
        <f>IF(ISNUMBER(AO$115),INDEX('Weekly Summary'!$D$44:$BD$47,1,MATCH(AO$115,'Weekly Summary'!$D$40:$BD$40,0)),"")</f>
        <v/>
      </c>
      <c r="AV31" s="912" t="str">
        <f>IF(ISNUMBER(AP$115),INDEX('Weekly Summary'!$D$44:$BD$47,1,MATCH(AP$115,'Weekly Summary'!$D$40:$BD$40,0)),"")</f>
        <v/>
      </c>
      <c r="AW31" s="912" t="str">
        <f>IF(ISNUMBER(AQ$115),INDEX('Weekly Summary'!$D$44:$BD$47,1,MATCH(AQ$115,'Weekly Summary'!$D$40:$BD$40,0)),"")</f>
        <v/>
      </c>
      <c r="AX31" s="912" t="str">
        <f>IF(ISNUMBER(AR$115),INDEX('Weekly Summary'!$D$44:$BD$47,1,MATCH(AR$115,'Weekly Summary'!$D$40:$BD$40,0)),"")</f>
        <v/>
      </c>
      <c r="AY31" s="912" t="str">
        <f>IF(ISNUMBER(AS$115),INDEX('Weekly Summary'!$D$44:$BD$47,1,MATCH(AS$115,'Weekly Summary'!$D$40:$BD$40,0)),"")</f>
        <v/>
      </c>
      <c r="AZ31" s="912" t="str">
        <f>IF(ISNUMBER(AT$115),INDEX('Weekly Summary'!$D$44:$BD$47,1,MATCH(AT$115,'Weekly Summary'!$D$40:$BD$40,0)),"")</f>
        <v/>
      </c>
      <c r="BA31" s="912" t="str">
        <f>IF(ISNUMBER(AU$115),INDEX('Weekly Summary'!$D$44:$BD$47,1,MATCH(AU$115,'Weekly Summary'!$D$40:$BD$40,0)),"")</f>
        <v/>
      </c>
      <c r="BB31" s="912" t="str">
        <f>IF(ISNUMBER(AV$115),INDEX('Weekly Summary'!$D$44:$BD$47,1,MATCH(AV$115,'Weekly Summary'!$D$40:$BD$40,0)),"")</f>
        <v/>
      </c>
      <c r="BC31" s="912" t="str">
        <f>IF(ISNUMBER(AW$115),INDEX('Weekly Summary'!$D$44:$BD$47,1,MATCH(AW$115,'Weekly Summary'!$D$40:$BD$40,0)),"")</f>
        <v/>
      </c>
      <c r="BD31" s="912" t="str">
        <f>IF(ISNUMBER(AX$115),INDEX('Weekly Summary'!$D$44:$BD$47,1,MATCH(AX$115,'Weekly Summary'!$D$40:$BD$40,0)),"")</f>
        <v/>
      </c>
      <c r="BE31" s="912" t="str">
        <f>IF(ISNUMBER(AY$115),INDEX('Weekly Summary'!$D$44:$BD$47,1,MATCH(AY$115,'Weekly Summary'!$D$40:$BD$40,0)),"")</f>
        <v/>
      </c>
      <c r="BF31" s="912" t="str">
        <f>IF(ISNUMBER(AZ$115),INDEX('Weekly Summary'!$D$44:$BD$47,1,MATCH(AZ$115,'Weekly Summary'!$D$40:$BD$40,0)),"")</f>
        <v/>
      </c>
      <c r="BG31" s="912" t="str">
        <f>IF(ISNUMBER(BA$115),INDEX('Weekly Summary'!$D$44:$BD$47,1,MATCH(BA$115,'Weekly Summary'!$D$40:$BD$40,0)),"")</f>
        <v/>
      </c>
      <c r="BH31" s="912" t="str">
        <f>IF(ISNUMBER(BB$115),INDEX('Weekly Summary'!$D$44:$BD$47,1,MATCH(BB$115,'Weekly Summary'!$D$40:$BD$40,0)),"")</f>
        <v/>
      </c>
      <c r="BI31" s="912" t="str">
        <f>IF(ISNUMBER(BC$115),INDEX('Weekly Summary'!$D$44:$BD$47,1,MATCH(BC$115,'Weekly Summary'!$D$40:$BD$40,0)),"")</f>
        <v/>
      </c>
      <c r="BJ31" s="912" t="str">
        <f>IF(ISNUMBER(BD$115),INDEX('Weekly Summary'!$D$44:$BD$47,1,MATCH(BD$115,'Weekly Summary'!$D$40:$BD$40,0)),"")</f>
        <v/>
      </c>
      <c r="BK31" s="912" t="str">
        <f>IF(ISNUMBER(BE$115),INDEX('Weekly Summary'!$D$44:$BD$47,1,MATCH(BE$115,'Weekly Summary'!$D$40:$BD$40,0)),"")</f>
        <v/>
      </c>
    </row>
    <row r="32" spans="2:63" s="84" customFormat="1" x14ac:dyDescent="0.35">
      <c r="B32" s="101"/>
      <c r="C32" s="101"/>
      <c r="D32" s="101"/>
      <c r="G32" s="101"/>
      <c r="J32" s="100"/>
      <c r="K32" s="913" t="s">
        <v>967</v>
      </c>
      <c r="L32" s="912">
        <f>IF(ISNUMBER(F$115),INDEX('Weekly Summary'!$D$44:$BD$47,2,MATCH(F$115,'Weekly Summary'!$D$40:$BD$40,0)),"")</f>
        <v>1.1921549766723405</v>
      </c>
      <c r="M32" s="912">
        <f>IF(ISNUMBER(G$115),INDEX('Weekly Summary'!$D$44:$BD$47,2,MATCH(G$115,'Weekly Summary'!$D$40:$BD$40,0)),"")</f>
        <v>4.0968502678632976</v>
      </c>
      <c r="N32" s="912">
        <f>IF(ISNUMBER(H$115),INDEX('Weekly Summary'!$D$44:$BD$47,2,MATCH(H$115,'Weekly Summary'!$D$40:$BD$40,0)),"")</f>
        <v>14.078723083937218</v>
      </c>
      <c r="O32" s="912">
        <f>IF(ISNUMBER(I$115),INDEX('Weekly Summary'!$D$44:$BD$47,2,MATCH(I$115,'Weekly Summary'!$D$40:$BD$40,0)),"")</f>
        <v>48.379570444797778</v>
      </c>
      <c r="P32" s="912">
        <f>IF(ISNUMBER(J$115),INDEX('Weekly Summary'!$D$44:$BD$47,2,MATCH(J$115,'Weekly Summary'!$D$40:$BD$40,0)),"")</f>
        <v>166.23066795877932</v>
      </c>
      <c r="Q32" s="912">
        <f>IF(ISNUMBER(K$115),INDEX('Weekly Summary'!$D$44:$BD$47,2,MATCH(K$115,'Weekly Summary'!$D$40:$BD$40,0)),"")</f>
        <v>570.93923306934835</v>
      </c>
      <c r="R32" s="912" t="str">
        <f>IF(ISNUMBER(L$115),INDEX('Weekly Summary'!$D$44:$BD$47,2,MATCH(L$115,'Weekly Summary'!$D$40:$BD$40,0)),"")</f>
        <v/>
      </c>
      <c r="S32" s="912" t="str">
        <f>IF(ISNUMBER(M$115),INDEX('Weekly Summary'!$D$44:$BD$47,2,MATCH(M$115,'Weekly Summary'!$D$40:$BD$40,0)),"")</f>
        <v/>
      </c>
      <c r="T32" s="912" t="str">
        <f>IF(ISNUMBER(N$115),INDEX('Weekly Summary'!$D$44:$BD$47,2,MATCH(N$115,'Weekly Summary'!$D$40:$BD$40,0)),"")</f>
        <v/>
      </c>
      <c r="U32" s="912" t="str">
        <f>IF(ISNUMBER(O$115),INDEX('Weekly Summary'!$D$44:$BD$47,2,MATCH(O$115,'Weekly Summary'!$D$40:$BD$40,0)),"")</f>
        <v/>
      </c>
      <c r="V32" s="912" t="str">
        <f>IF(ISNUMBER(P$115),INDEX('Weekly Summary'!$D$44:$BD$47,2,MATCH(P$115,'Weekly Summary'!$D$40:$BD$40,0)),"")</f>
        <v/>
      </c>
      <c r="W32" s="912" t="str">
        <f>IF(ISNUMBER(Q$115),INDEX('Weekly Summary'!$D$44:$BD$47,2,MATCH(Q$115,'Weekly Summary'!$D$40:$BD$40,0)),"")</f>
        <v/>
      </c>
      <c r="X32" s="912" t="str">
        <f>IF(ISNUMBER(R$115),INDEX('Weekly Summary'!$D$44:$BD$47,2,MATCH(R$115,'Weekly Summary'!$D$40:$BD$40,0)),"")</f>
        <v/>
      </c>
      <c r="Y32" s="912" t="str">
        <f>IF(ISNUMBER(S$115),INDEX('Weekly Summary'!$D$44:$BD$47,2,MATCH(S$115,'Weekly Summary'!$D$40:$BD$40,0)),"")</f>
        <v/>
      </c>
      <c r="Z32" s="912" t="str">
        <f>IF(ISNUMBER(T$115),INDEX('Weekly Summary'!$D$44:$BD$47,2,MATCH(T$115,'Weekly Summary'!$D$40:$BD$40,0)),"")</f>
        <v/>
      </c>
      <c r="AA32" s="912" t="str">
        <f>IF(ISNUMBER(U$115),INDEX('Weekly Summary'!$D$44:$BD$47,2,MATCH(U$115,'Weekly Summary'!$D$40:$BD$40,0)),"")</f>
        <v/>
      </c>
      <c r="AB32" s="912" t="str">
        <f>IF(ISNUMBER(V$115),INDEX('Weekly Summary'!$D$44:$BD$47,2,MATCH(V$115,'Weekly Summary'!$D$40:$BD$40,0)),"")</f>
        <v/>
      </c>
      <c r="AC32" s="912" t="str">
        <f>IF(ISNUMBER(W$115),INDEX('Weekly Summary'!$D$44:$BD$47,2,MATCH(W$115,'Weekly Summary'!$D$40:$BD$40,0)),"")</f>
        <v/>
      </c>
      <c r="AD32" s="912" t="str">
        <f>IF(ISNUMBER(X$115),INDEX('Weekly Summary'!$D$44:$BD$47,2,MATCH(X$115,'Weekly Summary'!$D$40:$BD$40,0)),"")</f>
        <v/>
      </c>
      <c r="AE32" s="912" t="str">
        <f>IF(ISNUMBER(Y$115),INDEX('Weekly Summary'!$D$44:$BD$47,2,MATCH(Y$115,'Weekly Summary'!$D$40:$BD$40,0)),"")</f>
        <v/>
      </c>
      <c r="AF32" s="912" t="str">
        <f>IF(ISNUMBER(Z$115),INDEX('Weekly Summary'!$D$44:$BD$47,2,MATCH(Z$115,'Weekly Summary'!$D$40:$BD$40,0)),"")</f>
        <v/>
      </c>
      <c r="AG32" s="912" t="str">
        <f>IF(ISNUMBER(AA$115),INDEX('Weekly Summary'!$D$44:$BD$47,2,MATCH(AA$115,'Weekly Summary'!$D$40:$BD$40,0)),"")</f>
        <v/>
      </c>
      <c r="AH32" s="912" t="str">
        <f>IF(ISNUMBER(AB$115),INDEX('Weekly Summary'!$D$44:$BD$47,2,MATCH(AB$115,'Weekly Summary'!$D$40:$BD$40,0)),"")</f>
        <v/>
      </c>
      <c r="AI32" s="912" t="str">
        <f>IF(ISNUMBER(AC$115),INDEX('Weekly Summary'!$D$44:$BD$47,2,MATCH(AC$115,'Weekly Summary'!$D$40:$BD$40,0)),"")</f>
        <v/>
      </c>
      <c r="AJ32" s="912" t="str">
        <f>IF(ISNUMBER(AD$115),INDEX('Weekly Summary'!$D$44:$BD$47,2,MATCH(AD$115,'Weekly Summary'!$D$40:$BD$40,0)),"")</f>
        <v/>
      </c>
      <c r="AK32" s="912" t="str">
        <f>IF(ISNUMBER(AE$115),INDEX('Weekly Summary'!$D$44:$BD$47,2,MATCH(AE$115,'Weekly Summary'!$D$40:$BD$40,0)),"")</f>
        <v/>
      </c>
      <c r="AL32" s="912" t="str">
        <f>IF(ISNUMBER(AF$115),INDEX('Weekly Summary'!$D$44:$BD$47,2,MATCH(AF$115,'Weekly Summary'!$D$40:$BD$40,0)),"")</f>
        <v/>
      </c>
      <c r="AM32" s="912" t="str">
        <f>IF(ISNUMBER(AG$115),INDEX('Weekly Summary'!$D$44:$BD$47,2,MATCH(AG$115,'Weekly Summary'!$D$40:$BD$40,0)),"")</f>
        <v/>
      </c>
      <c r="AN32" s="912" t="str">
        <f>IF(ISNUMBER(AH$115),INDEX('Weekly Summary'!$D$44:$BD$47,2,MATCH(AH$115,'Weekly Summary'!$D$40:$BD$40,0)),"")</f>
        <v/>
      </c>
      <c r="AO32" s="912" t="str">
        <f>IF(ISNUMBER(AI$115),INDEX('Weekly Summary'!$D$44:$BD$47,2,MATCH(AI$115,'Weekly Summary'!$D$40:$BD$40,0)),"")</f>
        <v/>
      </c>
      <c r="AP32" s="912" t="str">
        <f>IF(ISNUMBER(AJ$115),INDEX('Weekly Summary'!$D$44:$BD$47,2,MATCH(AJ$115,'Weekly Summary'!$D$40:$BD$40,0)),"")</f>
        <v/>
      </c>
      <c r="AQ32" s="912" t="str">
        <f>IF(ISNUMBER(AK$115),INDEX('Weekly Summary'!$D$44:$BD$47,2,MATCH(AK$115,'Weekly Summary'!$D$40:$BD$40,0)),"")</f>
        <v/>
      </c>
      <c r="AR32" s="912" t="str">
        <f>IF(ISNUMBER(AL$115),INDEX('Weekly Summary'!$D$44:$BD$47,2,MATCH(AL$115,'Weekly Summary'!$D$40:$BD$40,0)),"")</f>
        <v/>
      </c>
      <c r="AS32" s="912" t="str">
        <f>IF(ISNUMBER(AM$115),INDEX('Weekly Summary'!$D$44:$BD$47,2,MATCH(AM$115,'Weekly Summary'!$D$40:$BD$40,0)),"")</f>
        <v/>
      </c>
      <c r="AT32" s="912" t="str">
        <f>IF(ISNUMBER(AN$115),INDEX('Weekly Summary'!$D$44:$BD$47,2,MATCH(AN$115,'Weekly Summary'!$D$40:$BD$40,0)),"")</f>
        <v/>
      </c>
      <c r="AU32" s="912" t="str">
        <f>IF(ISNUMBER(AO$115),INDEX('Weekly Summary'!$D$44:$BD$47,2,MATCH(AO$115,'Weekly Summary'!$D$40:$BD$40,0)),"")</f>
        <v/>
      </c>
      <c r="AV32" s="912" t="str">
        <f>IF(ISNUMBER(AP$115),INDEX('Weekly Summary'!$D$44:$BD$47,2,MATCH(AP$115,'Weekly Summary'!$D$40:$BD$40,0)),"")</f>
        <v/>
      </c>
      <c r="AW32" s="912" t="str">
        <f>IF(ISNUMBER(AQ$115),INDEX('Weekly Summary'!$D$44:$BD$47,2,MATCH(AQ$115,'Weekly Summary'!$D$40:$BD$40,0)),"")</f>
        <v/>
      </c>
      <c r="AX32" s="912" t="str">
        <f>IF(ISNUMBER(AR$115),INDEX('Weekly Summary'!$D$44:$BD$47,2,MATCH(AR$115,'Weekly Summary'!$D$40:$BD$40,0)),"")</f>
        <v/>
      </c>
      <c r="AY32" s="912" t="str">
        <f>IF(ISNUMBER(AS$115),INDEX('Weekly Summary'!$D$44:$BD$47,2,MATCH(AS$115,'Weekly Summary'!$D$40:$BD$40,0)),"")</f>
        <v/>
      </c>
      <c r="AZ32" s="912" t="str">
        <f>IF(ISNUMBER(AT$115),INDEX('Weekly Summary'!$D$44:$BD$47,2,MATCH(AT$115,'Weekly Summary'!$D$40:$BD$40,0)),"")</f>
        <v/>
      </c>
      <c r="BA32" s="912" t="str">
        <f>IF(ISNUMBER(AU$115),INDEX('Weekly Summary'!$D$44:$BD$47,2,MATCH(AU$115,'Weekly Summary'!$D$40:$BD$40,0)),"")</f>
        <v/>
      </c>
      <c r="BB32" s="912" t="str">
        <f>IF(ISNUMBER(AV$115),INDEX('Weekly Summary'!$D$44:$BD$47,2,MATCH(AV$115,'Weekly Summary'!$D$40:$BD$40,0)),"")</f>
        <v/>
      </c>
      <c r="BC32" s="912" t="str">
        <f>IF(ISNUMBER(AW$115),INDEX('Weekly Summary'!$D$44:$BD$47,2,MATCH(AW$115,'Weekly Summary'!$D$40:$BD$40,0)),"")</f>
        <v/>
      </c>
      <c r="BD32" s="912" t="str">
        <f>IF(ISNUMBER(AX$115),INDEX('Weekly Summary'!$D$44:$BD$47,2,MATCH(AX$115,'Weekly Summary'!$D$40:$BD$40,0)),"")</f>
        <v/>
      </c>
      <c r="BE32" s="912" t="str">
        <f>IF(ISNUMBER(AY$115),INDEX('Weekly Summary'!$D$44:$BD$47,2,MATCH(AY$115,'Weekly Summary'!$D$40:$BD$40,0)),"")</f>
        <v/>
      </c>
      <c r="BF32" s="912" t="str">
        <f>IF(ISNUMBER(AZ$115),INDEX('Weekly Summary'!$D$44:$BD$47,2,MATCH(AZ$115,'Weekly Summary'!$D$40:$BD$40,0)),"")</f>
        <v/>
      </c>
      <c r="BG32" s="912" t="str">
        <f>IF(ISNUMBER(BA$115),INDEX('Weekly Summary'!$D$44:$BD$47,2,MATCH(BA$115,'Weekly Summary'!$D$40:$BD$40,0)),"")</f>
        <v/>
      </c>
      <c r="BH32" s="912" t="str">
        <f>IF(ISNUMBER(BB$115),INDEX('Weekly Summary'!$D$44:$BD$47,2,MATCH(BB$115,'Weekly Summary'!$D$40:$BD$40,0)),"")</f>
        <v/>
      </c>
      <c r="BI32" s="912" t="str">
        <f>IF(ISNUMBER(BC$115),INDEX('Weekly Summary'!$D$44:$BD$47,2,MATCH(BC$115,'Weekly Summary'!$D$40:$BD$40,0)),"")</f>
        <v/>
      </c>
      <c r="BJ32" s="912" t="str">
        <f>IF(ISNUMBER(BD$115),INDEX('Weekly Summary'!$D$44:$BD$47,2,MATCH(BD$115,'Weekly Summary'!$D$40:$BD$40,0)),"")</f>
        <v/>
      </c>
      <c r="BK32" s="912" t="str">
        <f>IF(ISNUMBER(BE$115),INDEX('Weekly Summary'!$D$44:$BD$47,2,MATCH(BE$115,'Weekly Summary'!$D$40:$BD$40,0)),"")</f>
        <v/>
      </c>
    </row>
    <row r="33" spans="2:73" s="84" customFormat="1" x14ac:dyDescent="0.35">
      <c r="B33" s="101"/>
      <c r="C33" s="101"/>
      <c r="D33" s="101"/>
      <c r="E33" s="101"/>
      <c r="F33" s="101"/>
      <c r="G33" s="101"/>
      <c r="J33" s="100"/>
      <c r="K33" s="913" t="s">
        <v>848</v>
      </c>
      <c r="L33" s="912">
        <f>IF(ISNUMBER(F$115),INDEX('Weekly Summary'!$D$44:$BD$47,3,MATCH(F$115,'Weekly Summary'!$D$40:$BD$40,0)),"")</f>
        <v>0.44705811625212771</v>
      </c>
      <c r="M33" s="912">
        <f>IF(ISNUMBER(G$115),INDEX('Weekly Summary'!$D$44:$BD$47,3,MATCH(G$115,'Weekly Summary'!$D$40:$BD$40,0)),"")</f>
        <v>1.5363188504487364</v>
      </c>
      <c r="N33" s="912">
        <f>IF(ISNUMBER(H$115),INDEX('Weekly Summary'!$D$44:$BD$47,3,MATCH(H$115,'Weekly Summary'!$D$40:$BD$40,0)),"")</f>
        <v>5.2795211564764566</v>
      </c>
      <c r="O33" s="912">
        <f>IF(ISNUMBER(I$115),INDEX('Weekly Summary'!$D$44:$BD$47,3,MATCH(I$115,'Weekly Summary'!$D$40:$BD$40,0)),"")</f>
        <v>18.142338916799165</v>
      </c>
      <c r="P33" s="912">
        <f>IF(ISNUMBER(J$115),INDEX('Weekly Summary'!$D$44:$BD$47,3,MATCH(J$115,'Weekly Summary'!$D$40:$BD$40,0)),"")</f>
        <v>62.336500484542235</v>
      </c>
      <c r="Q33" s="912">
        <f>IF(ISNUMBER(K$115),INDEX('Weekly Summary'!$D$44:$BD$47,3,MATCH(K$115,'Weekly Summary'!$D$40:$BD$40,0)),"")</f>
        <v>214.1022124010056</v>
      </c>
      <c r="R33" s="912" t="str">
        <f>IF(ISNUMBER(L$115),INDEX('Weekly Summary'!$D$44:$BD$47,3,MATCH(L$115,'Weekly Summary'!$D$40:$BD$40,0)),"")</f>
        <v/>
      </c>
      <c r="S33" s="912" t="str">
        <f>IF(ISNUMBER(M$115),INDEX('Weekly Summary'!$D$44:$BD$47,3,MATCH(M$115,'Weekly Summary'!$D$40:$BD$40,0)),"")</f>
        <v/>
      </c>
      <c r="T33" s="912" t="str">
        <f>IF(ISNUMBER(N$115),INDEX('Weekly Summary'!$D$44:$BD$47,3,MATCH(N$115,'Weekly Summary'!$D$40:$BD$40,0)),"")</f>
        <v/>
      </c>
      <c r="U33" s="912" t="str">
        <f>IF(ISNUMBER(O$115),INDEX('Weekly Summary'!$D$44:$BD$47,3,MATCH(O$115,'Weekly Summary'!$D$40:$BD$40,0)),"")</f>
        <v/>
      </c>
      <c r="V33" s="912" t="str">
        <f>IF(ISNUMBER(P$115),INDEX('Weekly Summary'!$D$44:$BD$47,3,MATCH(P$115,'Weekly Summary'!$D$40:$BD$40,0)),"")</f>
        <v/>
      </c>
      <c r="W33" s="912" t="str">
        <f>IF(ISNUMBER(Q$115),INDEX('Weekly Summary'!$D$44:$BD$47,3,MATCH(Q$115,'Weekly Summary'!$D$40:$BD$40,0)),"")</f>
        <v/>
      </c>
      <c r="X33" s="912" t="str">
        <f>IF(ISNUMBER(R$115),INDEX('Weekly Summary'!$D$44:$BD$47,3,MATCH(R$115,'Weekly Summary'!$D$40:$BD$40,0)),"")</f>
        <v/>
      </c>
      <c r="Y33" s="912" t="str">
        <f>IF(ISNUMBER(S$115),INDEX('Weekly Summary'!$D$44:$BD$47,3,MATCH(S$115,'Weekly Summary'!$D$40:$BD$40,0)),"")</f>
        <v/>
      </c>
      <c r="Z33" s="912" t="str">
        <f>IF(ISNUMBER(T$115),INDEX('Weekly Summary'!$D$44:$BD$47,3,MATCH(T$115,'Weekly Summary'!$D$40:$BD$40,0)),"")</f>
        <v/>
      </c>
      <c r="AA33" s="912" t="str">
        <f>IF(ISNUMBER(U$115),INDEX('Weekly Summary'!$D$44:$BD$47,3,MATCH(U$115,'Weekly Summary'!$D$40:$BD$40,0)),"")</f>
        <v/>
      </c>
      <c r="AB33" s="912" t="str">
        <f>IF(ISNUMBER(V$115),INDEX('Weekly Summary'!$D$44:$BD$47,3,MATCH(V$115,'Weekly Summary'!$D$40:$BD$40,0)),"")</f>
        <v/>
      </c>
      <c r="AC33" s="912" t="str">
        <f>IF(ISNUMBER(W$115),INDEX('Weekly Summary'!$D$44:$BD$47,3,MATCH(W$115,'Weekly Summary'!$D$40:$BD$40,0)),"")</f>
        <v/>
      </c>
      <c r="AD33" s="912" t="str">
        <f>IF(ISNUMBER(X$115),INDEX('Weekly Summary'!$D$44:$BD$47,3,MATCH(X$115,'Weekly Summary'!$D$40:$BD$40,0)),"")</f>
        <v/>
      </c>
      <c r="AE33" s="912" t="str">
        <f>IF(ISNUMBER(Y$115),INDEX('Weekly Summary'!$D$44:$BD$47,3,MATCH(Y$115,'Weekly Summary'!$D$40:$BD$40,0)),"")</f>
        <v/>
      </c>
      <c r="AF33" s="912" t="str">
        <f>IF(ISNUMBER(Z$115),INDEX('Weekly Summary'!$D$44:$BD$47,3,MATCH(Z$115,'Weekly Summary'!$D$40:$BD$40,0)),"")</f>
        <v/>
      </c>
      <c r="AG33" s="912" t="str">
        <f>IF(ISNUMBER(AA$115),INDEX('Weekly Summary'!$D$44:$BD$47,3,MATCH(AA$115,'Weekly Summary'!$D$40:$BD$40,0)),"")</f>
        <v/>
      </c>
      <c r="AH33" s="912" t="str">
        <f>IF(ISNUMBER(AB$115),INDEX('Weekly Summary'!$D$44:$BD$47,3,MATCH(AB$115,'Weekly Summary'!$D$40:$BD$40,0)),"")</f>
        <v/>
      </c>
      <c r="AI33" s="912" t="str">
        <f>IF(ISNUMBER(AC$115),INDEX('Weekly Summary'!$D$44:$BD$47,3,MATCH(AC$115,'Weekly Summary'!$D$40:$BD$40,0)),"")</f>
        <v/>
      </c>
      <c r="AJ33" s="912" t="str">
        <f>IF(ISNUMBER(AD$115),INDEX('Weekly Summary'!$D$44:$BD$47,3,MATCH(AD$115,'Weekly Summary'!$D$40:$BD$40,0)),"")</f>
        <v/>
      </c>
      <c r="AK33" s="912" t="str">
        <f>IF(ISNUMBER(AE$115),INDEX('Weekly Summary'!$D$44:$BD$47,3,MATCH(AE$115,'Weekly Summary'!$D$40:$BD$40,0)),"")</f>
        <v/>
      </c>
      <c r="AL33" s="912" t="str">
        <f>IF(ISNUMBER(AF$115),INDEX('Weekly Summary'!$D$44:$BD$47,3,MATCH(AF$115,'Weekly Summary'!$D$40:$BD$40,0)),"")</f>
        <v/>
      </c>
      <c r="AM33" s="912" t="str">
        <f>IF(ISNUMBER(AG$115),INDEX('Weekly Summary'!$D$44:$BD$47,3,MATCH(AG$115,'Weekly Summary'!$D$40:$BD$40,0)),"")</f>
        <v/>
      </c>
      <c r="AN33" s="912" t="str">
        <f>IF(ISNUMBER(AH$115),INDEX('Weekly Summary'!$D$44:$BD$47,3,MATCH(AH$115,'Weekly Summary'!$D$40:$BD$40,0)),"")</f>
        <v/>
      </c>
      <c r="AO33" s="912" t="str">
        <f>IF(ISNUMBER(AI$115),INDEX('Weekly Summary'!$D$44:$BD$47,3,MATCH(AI$115,'Weekly Summary'!$D$40:$BD$40,0)),"")</f>
        <v/>
      </c>
      <c r="AP33" s="912" t="str">
        <f>IF(ISNUMBER(AJ$115),INDEX('Weekly Summary'!$D$44:$BD$47,3,MATCH(AJ$115,'Weekly Summary'!$D$40:$BD$40,0)),"")</f>
        <v/>
      </c>
      <c r="AQ33" s="912" t="str">
        <f>IF(ISNUMBER(AK$115),INDEX('Weekly Summary'!$D$44:$BD$47,3,MATCH(AK$115,'Weekly Summary'!$D$40:$BD$40,0)),"")</f>
        <v/>
      </c>
      <c r="AR33" s="912" t="str">
        <f>IF(ISNUMBER(AL$115),INDEX('Weekly Summary'!$D$44:$BD$47,3,MATCH(AL$115,'Weekly Summary'!$D$40:$BD$40,0)),"")</f>
        <v/>
      </c>
      <c r="AS33" s="912" t="str">
        <f>IF(ISNUMBER(AM$115),INDEX('Weekly Summary'!$D$44:$BD$47,3,MATCH(AM$115,'Weekly Summary'!$D$40:$BD$40,0)),"")</f>
        <v/>
      </c>
      <c r="AT33" s="912" t="str">
        <f>IF(ISNUMBER(AN$115),INDEX('Weekly Summary'!$D$44:$BD$47,3,MATCH(AN$115,'Weekly Summary'!$D$40:$BD$40,0)),"")</f>
        <v/>
      </c>
      <c r="AU33" s="912" t="str">
        <f>IF(ISNUMBER(AO$115),INDEX('Weekly Summary'!$D$44:$BD$47,3,MATCH(AO$115,'Weekly Summary'!$D$40:$BD$40,0)),"")</f>
        <v/>
      </c>
      <c r="AV33" s="912" t="str">
        <f>IF(ISNUMBER(AP$115),INDEX('Weekly Summary'!$D$44:$BD$47,3,MATCH(AP$115,'Weekly Summary'!$D$40:$BD$40,0)),"")</f>
        <v/>
      </c>
      <c r="AW33" s="912" t="str">
        <f>IF(ISNUMBER(AQ$115),INDEX('Weekly Summary'!$D$44:$BD$47,3,MATCH(AQ$115,'Weekly Summary'!$D$40:$BD$40,0)),"")</f>
        <v/>
      </c>
      <c r="AX33" s="912" t="str">
        <f>IF(ISNUMBER(AR$115),INDEX('Weekly Summary'!$D$44:$BD$47,3,MATCH(AR$115,'Weekly Summary'!$D$40:$BD$40,0)),"")</f>
        <v/>
      </c>
      <c r="AY33" s="912" t="str">
        <f>IF(ISNUMBER(AS$115),INDEX('Weekly Summary'!$D$44:$BD$47,3,MATCH(AS$115,'Weekly Summary'!$D$40:$BD$40,0)),"")</f>
        <v/>
      </c>
      <c r="AZ33" s="912" t="str">
        <f>IF(ISNUMBER(AT$115),INDEX('Weekly Summary'!$D$44:$BD$47,3,MATCH(AT$115,'Weekly Summary'!$D$40:$BD$40,0)),"")</f>
        <v/>
      </c>
      <c r="BA33" s="912" t="str">
        <f>IF(ISNUMBER(AU$115),INDEX('Weekly Summary'!$D$44:$BD$47,3,MATCH(AU$115,'Weekly Summary'!$D$40:$BD$40,0)),"")</f>
        <v/>
      </c>
      <c r="BB33" s="912" t="str">
        <f>IF(ISNUMBER(AV$115),INDEX('Weekly Summary'!$D$44:$BD$47,3,MATCH(AV$115,'Weekly Summary'!$D$40:$BD$40,0)),"")</f>
        <v/>
      </c>
      <c r="BC33" s="912" t="str">
        <f>IF(ISNUMBER(AW$115),INDEX('Weekly Summary'!$D$44:$BD$47,3,MATCH(AW$115,'Weekly Summary'!$D$40:$BD$40,0)),"")</f>
        <v/>
      </c>
      <c r="BD33" s="912" t="str">
        <f>IF(ISNUMBER(AX$115),INDEX('Weekly Summary'!$D$44:$BD$47,3,MATCH(AX$115,'Weekly Summary'!$D$40:$BD$40,0)),"")</f>
        <v/>
      </c>
      <c r="BE33" s="912" t="str">
        <f>IF(ISNUMBER(AY$115),INDEX('Weekly Summary'!$D$44:$BD$47,3,MATCH(AY$115,'Weekly Summary'!$D$40:$BD$40,0)),"")</f>
        <v/>
      </c>
      <c r="BF33" s="912" t="str">
        <f>IF(ISNUMBER(AZ$115),INDEX('Weekly Summary'!$D$44:$BD$47,3,MATCH(AZ$115,'Weekly Summary'!$D$40:$BD$40,0)),"")</f>
        <v/>
      </c>
      <c r="BG33" s="912" t="str">
        <f>IF(ISNUMBER(BA$115),INDEX('Weekly Summary'!$D$44:$BD$47,3,MATCH(BA$115,'Weekly Summary'!$D$40:$BD$40,0)),"")</f>
        <v/>
      </c>
      <c r="BH33" s="912" t="str">
        <f>IF(ISNUMBER(BB$115),INDEX('Weekly Summary'!$D$44:$BD$47,3,MATCH(BB$115,'Weekly Summary'!$D$40:$BD$40,0)),"")</f>
        <v/>
      </c>
      <c r="BI33" s="912" t="str">
        <f>IF(ISNUMBER(BC$115),INDEX('Weekly Summary'!$D$44:$BD$47,3,MATCH(BC$115,'Weekly Summary'!$D$40:$BD$40,0)),"")</f>
        <v/>
      </c>
      <c r="BJ33" s="912" t="str">
        <f>IF(ISNUMBER(BD$115),INDEX('Weekly Summary'!$D$44:$BD$47,3,MATCH(BD$115,'Weekly Summary'!$D$40:$BD$40,0)),"")</f>
        <v/>
      </c>
      <c r="BK33" s="912" t="str">
        <f>IF(ISNUMBER(BE$115),INDEX('Weekly Summary'!$D$44:$BD$47,3,MATCH(BE$115,'Weekly Summary'!$D$40:$BD$40,0)),"")</f>
        <v/>
      </c>
    </row>
    <row r="34" spans="2:73" s="84" customFormat="1" x14ac:dyDescent="0.35">
      <c r="B34" s="101"/>
      <c r="C34" s="101"/>
      <c r="D34" s="101"/>
      <c r="E34" s="101"/>
      <c r="F34" s="101"/>
      <c r="G34" s="101"/>
      <c r="J34" s="100"/>
      <c r="K34" s="913" t="s">
        <v>849</v>
      </c>
      <c r="L34" s="912">
        <f>IF(ISNUMBER(F$115),INDEX('Weekly Summary'!$D$44:$BD$47,4,MATCH(F$115,'Weekly Summary'!$D$40:$BD$40,0)),"")</f>
        <v>0.14901937208404256</v>
      </c>
      <c r="M34" s="912">
        <f>IF(ISNUMBER(G$115),INDEX('Weekly Summary'!$D$44:$BD$47,4,MATCH(G$115,'Weekly Summary'!$D$40:$BD$40,0)),"")</f>
        <v>0.51210628348291221</v>
      </c>
      <c r="N34" s="912">
        <f>IF(ISNUMBER(H$115),INDEX('Weekly Summary'!$D$44:$BD$47,4,MATCH(H$115,'Weekly Summary'!$D$40:$BD$40,0)),"")</f>
        <v>1.7598403854921523</v>
      </c>
      <c r="O34" s="912">
        <f>IF(ISNUMBER(I$115),INDEX('Weekly Summary'!$D$44:$BD$47,4,MATCH(I$115,'Weekly Summary'!$D$40:$BD$40,0)),"")</f>
        <v>6.0474463055997223</v>
      </c>
      <c r="P34" s="912">
        <f>IF(ISNUMBER(J$115),INDEX('Weekly Summary'!$D$44:$BD$47,4,MATCH(J$115,'Weekly Summary'!$D$40:$BD$40,0)),"")</f>
        <v>20.778833494847415</v>
      </c>
      <c r="Q34" s="912">
        <f>IF(ISNUMBER(K$115),INDEX('Weekly Summary'!$D$44:$BD$47,4,MATCH(K$115,'Weekly Summary'!$D$40:$BD$40,0)),"")</f>
        <v>71.367404133668543</v>
      </c>
      <c r="R34" s="912" t="str">
        <f>IF(ISNUMBER(L$115),INDEX('Weekly Summary'!$D$44:$BD$47,4,MATCH(L$115,'Weekly Summary'!$D$40:$BD$40,0)),"")</f>
        <v/>
      </c>
      <c r="S34" s="912" t="str">
        <f>IF(ISNUMBER(M$115),INDEX('Weekly Summary'!$D$44:$BD$47,4,MATCH(M$115,'Weekly Summary'!$D$40:$BD$40,0)),"")</f>
        <v/>
      </c>
      <c r="T34" s="912" t="str">
        <f>IF(ISNUMBER(N$115),INDEX('Weekly Summary'!$D$44:$BD$47,4,MATCH(N$115,'Weekly Summary'!$D$40:$BD$40,0)),"")</f>
        <v/>
      </c>
      <c r="U34" s="912" t="str">
        <f>IF(ISNUMBER(O$115),INDEX('Weekly Summary'!$D$44:$BD$47,4,MATCH(O$115,'Weekly Summary'!$D$40:$BD$40,0)),"")</f>
        <v/>
      </c>
      <c r="V34" s="912" t="str">
        <f>IF(ISNUMBER(P$115),INDEX('Weekly Summary'!$D$44:$BD$47,4,MATCH(P$115,'Weekly Summary'!$D$40:$BD$40,0)),"")</f>
        <v/>
      </c>
      <c r="W34" s="912" t="str">
        <f>IF(ISNUMBER(Q$115),INDEX('Weekly Summary'!$D$44:$BD$47,4,MATCH(Q$115,'Weekly Summary'!$D$40:$BD$40,0)),"")</f>
        <v/>
      </c>
      <c r="X34" s="912" t="str">
        <f>IF(ISNUMBER(R$115),INDEX('Weekly Summary'!$D$44:$BD$47,4,MATCH(R$115,'Weekly Summary'!$D$40:$BD$40,0)),"")</f>
        <v/>
      </c>
      <c r="Y34" s="912" t="str">
        <f>IF(ISNUMBER(S$115),INDEX('Weekly Summary'!$D$44:$BD$47,4,MATCH(S$115,'Weekly Summary'!$D$40:$BD$40,0)),"")</f>
        <v/>
      </c>
      <c r="Z34" s="912" t="str">
        <f>IF(ISNUMBER(T$115),INDEX('Weekly Summary'!$D$44:$BD$47,4,MATCH(T$115,'Weekly Summary'!$D$40:$BD$40,0)),"")</f>
        <v/>
      </c>
      <c r="AA34" s="912" t="str">
        <f>IF(ISNUMBER(U$115),INDEX('Weekly Summary'!$D$44:$BD$47,4,MATCH(U$115,'Weekly Summary'!$D$40:$BD$40,0)),"")</f>
        <v/>
      </c>
      <c r="AB34" s="912" t="str">
        <f>IF(ISNUMBER(V$115),INDEX('Weekly Summary'!$D$44:$BD$47,4,MATCH(V$115,'Weekly Summary'!$D$40:$BD$40,0)),"")</f>
        <v/>
      </c>
      <c r="AC34" s="912" t="str">
        <f>IF(ISNUMBER(W$115),INDEX('Weekly Summary'!$D$44:$BD$47,4,MATCH(W$115,'Weekly Summary'!$D$40:$BD$40,0)),"")</f>
        <v/>
      </c>
      <c r="AD34" s="912" t="str">
        <f>IF(ISNUMBER(X$115),INDEX('Weekly Summary'!$D$44:$BD$47,4,MATCH(X$115,'Weekly Summary'!$D$40:$BD$40,0)),"")</f>
        <v/>
      </c>
      <c r="AE34" s="912" t="str">
        <f>IF(ISNUMBER(Y$115),INDEX('Weekly Summary'!$D$44:$BD$47,4,MATCH(Y$115,'Weekly Summary'!$D$40:$BD$40,0)),"")</f>
        <v/>
      </c>
      <c r="AF34" s="912" t="str">
        <f>IF(ISNUMBER(Z$115),INDEX('Weekly Summary'!$D$44:$BD$47,4,MATCH(Z$115,'Weekly Summary'!$D$40:$BD$40,0)),"")</f>
        <v/>
      </c>
      <c r="AG34" s="912" t="str">
        <f>IF(ISNUMBER(AA$115),INDEX('Weekly Summary'!$D$44:$BD$47,4,MATCH(AA$115,'Weekly Summary'!$D$40:$BD$40,0)),"")</f>
        <v/>
      </c>
      <c r="AH34" s="912" t="str">
        <f>IF(ISNUMBER(AB$115),INDEX('Weekly Summary'!$D$44:$BD$47,4,MATCH(AB$115,'Weekly Summary'!$D$40:$BD$40,0)),"")</f>
        <v/>
      </c>
      <c r="AI34" s="912" t="str">
        <f>IF(ISNUMBER(AC$115),INDEX('Weekly Summary'!$D$44:$BD$47,4,MATCH(AC$115,'Weekly Summary'!$D$40:$BD$40,0)),"")</f>
        <v/>
      </c>
      <c r="AJ34" s="912" t="str">
        <f>IF(ISNUMBER(AD$115),INDEX('Weekly Summary'!$D$44:$BD$47,4,MATCH(AD$115,'Weekly Summary'!$D$40:$BD$40,0)),"")</f>
        <v/>
      </c>
      <c r="AK34" s="912" t="str">
        <f>IF(ISNUMBER(AE$115),INDEX('Weekly Summary'!$D$44:$BD$47,4,MATCH(AE$115,'Weekly Summary'!$D$40:$BD$40,0)),"")</f>
        <v/>
      </c>
      <c r="AL34" s="912" t="str">
        <f>IF(ISNUMBER(AF$115),INDEX('Weekly Summary'!$D$44:$BD$47,4,MATCH(AF$115,'Weekly Summary'!$D$40:$BD$40,0)),"")</f>
        <v/>
      </c>
      <c r="AM34" s="912" t="str">
        <f>IF(ISNUMBER(AG$115),INDEX('Weekly Summary'!$D$44:$BD$47,4,MATCH(AG$115,'Weekly Summary'!$D$40:$BD$40,0)),"")</f>
        <v/>
      </c>
      <c r="AN34" s="912" t="str">
        <f>IF(ISNUMBER(AH$115),INDEX('Weekly Summary'!$D$44:$BD$47,4,MATCH(AH$115,'Weekly Summary'!$D$40:$BD$40,0)),"")</f>
        <v/>
      </c>
      <c r="AO34" s="912" t="str">
        <f>IF(ISNUMBER(AI$115),INDEX('Weekly Summary'!$D$44:$BD$47,4,MATCH(AI$115,'Weekly Summary'!$D$40:$BD$40,0)),"")</f>
        <v/>
      </c>
      <c r="AP34" s="912" t="str">
        <f>IF(ISNUMBER(AJ$115),INDEX('Weekly Summary'!$D$44:$BD$47,4,MATCH(AJ$115,'Weekly Summary'!$D$40:$BD$40,0)),"")</f>
        <v/>
      </c>
      <c r="AQ34" s="912" t="str">
        <f>IF(ISNUMBER(AK$115),INDEX('Weekly Summary'!$D$44:$BD$47,4,MATCH(AK$115,'Weekly Summary'!$D$40:$BD$40,0)),"")</f>
        <v/>
      </c>
      <c r="AR34" s="912" t="str">
        <f>IF(ISNUMBER(AL$115),INDEX('Weekly Summary'!$D$44:$BD$47,4,MATCH(AL$115,'Weekly Summary'!$D$40:$BD$40,0)),"")</f>
        <v/>
      </c>
      <c r="AS34" s="912" t="str">
        <f>IF(ISNUMBER(AM$115),INDEX('Weekly Summary'!$D$44:$BD$47,4,MATCH(AM$115,'Weekly Summary'!$D$40:$BD$40,0)),"")</f>
        <v/>
      </c>
      <c r="AT34" s="912" t="str">
        <f>IF(ISNUMBER(AN$115),INDEX('Weekly Summary'!$D$44:$BD$47,4,MATCH(AN$115,'Weekly Summary'!$D$40:$BD$40,0)),"")</f>
        <v/>
      </c>
      <c r="AU34" s="912" t="str">
        <f>IF(ISNUMBER(AO$115),INDEX('Weekly Summary'!$D$44:$BD$47,4,MATCH(AO$115,'Weekly Summary'!$D$40:$BD$40,0)),"")</f>
        <v/>
      </c>
      <c r="AV34" s="912" t="str">
        <f>IF(ISNUMBER(AP$115),INDEX('Weekly Summary'!$D$44:$BD$47,4,MATCH(AP$115,'Weekly Summary'!$D$40:$BD$40,0)),"")</f>
        <v/>
      </c>
      <c r="AW34" s="912" t="str">
        <f>IF(ISNUMBER(AQ$115),INDEX('Weekly Summary'!$D$44:$BD$47,4,MATCH(AQ$115,'Weekly Summary'!$D$40:$BD$40,0)),"")</f>
        <v/>
      </c>
      <c r="AX34" s="912" t="str">
        <f>IF(ISNUMBER(AR$115),INDEX('Weekly Summary'!$D$44:$BD$47,4,MATCH(AR$115,'Weekly Summary'!$D$40:$BD$40,0)),"")</f>
        <v/>
      </c>
      <c r="AY34" s="912" t="str">
        <f>IF(ISNUMBER(AS$115),INDEX('Weekly Summary'!$D$44:$BD$47,4,MATCH(AS$115,'Weekly Summary'!$D$40:$BD$40,0)),"")</f>
        <v/>
      </c>
      <c r="AZ34" s="912" t="str">
        <f>IF(ISNUMBER(AT$115),INDEX('Weekly Summary'!$D$44:$BD$47,4,MATCH(AT$115,'Weekly Summary'!$D$40:$BD$40,0)),"")</f>
        <v/>
      </c>
      <c r="BA34" s="912" t="str">
        <f>IF(ISNUMBER(AU$115),INDEX('Weekly Summary'!$D$44:$BD$47,4,MATCH(AU$115,'Weekly Summary'!$D$40:$BD$40,0)),"")</f>
        <v/>
      </c>
      <c r="BB34" s="912" t="str">
        <f>IF(ISNUMBER(AV$115),INDEX('Weekly Summary'!$D$44:$BD$47,4,MATCH(AV$115,'Weekly Summary'!$D$40:$BD$40,0)),"")</f>
        <v/>
      </c>
      <c r="BC34" s="912" t="str">
        <f>IF(ISNUMBER(AW$115),INDEX('Weekly Summary'!$D$44:$BD$47,4,MATCH(AW$115,'Weekly Summary'!$D$40:$BD$40,0)),"")</f>
        <v/>
      </c>
      <c r="BD34" s="912" t="str">
        <f>IF(ISNUMBER(AX$115),INDEX('Weekly Summary'!$D$44:$BD$47,4,MATCH(AX$115,'Weekly Summary'!$D$40:$BD$40,0)),"")</f>
        <v/>
      </c>
      <c r="BE34" s="912" t="str">
        <f>IF(ISNUMBER(AY$115),INDEX('Weekly Summary'!$D$44:$BD$47,4,MATCH(AY$115,'Weekly Summary'!$D$40:$BD$40,0)),"")</f>
        <v/>
      </c>
      <c r="BF34" s="912" t="str">
        <f>IF(ISNUMBER(AZ$115),INDEX('Weekly Summary'!$D$44:$BD$47,4,MATCH(AZ$115,'Weekly Summary'!$D$40:$BD$40,0)),"")</f>
        <v/>
      </c>
      <c r="BG34" s="912" t="str">
        <f>IF(ISNUMBER(BA$115),INDEX('Weekly Summary'!$D$44:$BD$47,4,MATCH(BA$115,'Weekly Summary'!$D$40:$BD$40,0)),"")</f>
        <v/>
      </c>
      <c r="BH34" s="912" t="str">
        <f>IF(ISNUMBER(BB$115),INDEX('Weekly Summary'!$D$44:$BD$47,4,MATCH(BB$115,'Weekly Summary'!$D$40:$BD$40,0)),"")</f>
        <v/>
      </c>
      <c r="BI34" s="912" t="str">
        <f>IF(ISNUMBER(BC$115),INDEX('Weekly Summary'!$D$44:$BD$47,4,MATCH(BC$115,'Weekly Summary'!$D$40:$BD$40,0)),"")</f>
        <v/>
      </c>
      <c r="BJ34" s="912" t="str">
        <f>IF(ISNUMBER(BD$115),INDEX('Weekly Summary'!$D$44:$BD$47,4,MATCH(BD$115,'Weekly Summary'!$D$40:$BD$40,0)),"")</f>
        <v/>
      </c>
      <c r="BK34" s="912" t="str">
        <f>IF(ISNUMBER(BE$115),INDEX('Weekly Summary'!$D$44:$BD$47,4,MATCH(BE$115,'Weekly Summary'!$D$40:$BD$40,0)),"")</f>
        <v/>
      </c>
    </row>
    <row r="35" spans="2:73" s="84" customFormat="1" x14ac:dyDescent="0.35">
      <c r="B35" s="101"/>
      <c r="C35" s="101"/>
      <c r="D35" s="101"/>
      <c r="E35" s="101"/>
      <c r="F35" s="101"/>
      <c r="G35" s="101"/>
      <c r="H35" s="100"/>
      <c r="I35" s="102"/>
      <c r="J35" s="100"/>
      <c r="K35" s="1241"/>
      <c r="L35" s="1240"/>
      <c r="M35" s="1240"/>
      <c r="N35" s="1240"/>
      <c r="O35" s="1240"/>
      <c r="P35" s="1240"/>
      <c r="Q35" s="1240"/>
      <c r="R35" s="295"/>
      <c r="S35" s="295"/>
      <c r="T35" s="295"/>
      <c r="U35" s="926"/>
      <c r="V35" s="926"/>
      <c r="W35" s="926"/>
      <c r="X35" s="926"/>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row>
    <row r="36" spans="2:73" s="84" customFormat="1" x14ac:dyDescent="0.35">
      <c r="B36" s="101"/>
      <c r="C36" s="101"/>
      <c r="D36" s="101"/>
      <c r="E36" s="101"/>
      <c r="F36" s="101"/>
      <c r="G36" s="101"/>
      <c r="H36" s="100"/>
      <c r="I36" s="102"/>
      <c r="J36" s="100"/>
      <c r="K36" s="1240"/>
      <c r="L36" s="1240"/>
      <c r="M36" s="1240"/>
      <c r="N36" s="1240"/>
      <c r="O36" s="1240"/>
      <c r="P36" s="1240"/>
      <c r="Q36" s="1240"/>
      <c r="R36" s="295"/>
      <c r="S36" s="295"/>
      <c r="T36" s="29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row>
    <row r="37" spans="2:73" s="84" customFormat="1" x14ac:dyDescent="0.35">
      <c r="B37" s="101"/>
      <c r="C37" s="101"/>
      <c r="D37" s="101"/>
      <c r="E37" s="101"/>
      <c r="F37" s="101"/>
      <c r="G37" s="101"/>
      <c r="H37" s="100"/>
      <c r="I37" s="102"/>
      <c r="J37" s="100"/>
      <c r="K37" s="1240"/>
      <c r="L37" s="1240"/>
      <c r="M37" s="1240"/>
      <c r="N37" s="1240"/>
      <c r="O37" s="1240"/>
      <c r="P37" s="1240"/>
      <c r="Q37" s="1240"/>
      <c r="R37" s="295"/>
      <c r="S37" s="295"/>
      <c r="T37" s="295"/>
      <c r="X37" s="115"/>
    </row>
    <row r="38" spans="2:73" s="84" customFormat="1" x14ac:dyDescent="0.35">
      <c r="B38" s="85"/>
      <c r="C38" s="85"/>
      <c r="D38" s="85"/>
      <c r="E38" s="85"/>
      <c r="F38" s="85"/>
      <c r="G38" s="85"/>
      <c r="I38" s="92"/>
      <c r="K38" s="1240"/>
      <c r="L38" s="1240"/>
      <c r="M38" s="1240"/>
      <c r="N38" s="1240"/>
      <c r="O38" s="1240"/>
      <c r="P38" s="1240"/>
      <c r="Q38" s="1240"/>
      <c r="R38" s="295"/>
      <c r="S38" s="295"/>
      <c r="T38" s="295"/>
      <c r="X38" s="115"/>
    </row>
    <row r="39" spans="2:73" s="84" customFormat="1" ht="15" thickBot="1" x14ac:dyDescent="0.4">
      <c r="B39" s="85"/>
      <c r="C39" s="85"/>
      <c r="D39" s="85"/>
      <c r="E39" s="85"/>
      <c r="F39" s="85"/>
      <c r="G39" s="85"/>
      <c r="I39" s="92"/>
      <c r="K39" s="1240"/>
      <c r="L39" s="1240"/>
      <c r="M39" s="1240"/>
      <c r="N39" s="1240"/>
      <c r="O39" s="1240"/>
      <c r="P39" s="1240"/>
      <c r="Q39" s="1240"/>
      <c r="X39" s="115"/>
    </row>
    <row r="40" spans="2:73" s="84" customFormat="1" ht="15" thickBot="1" x14ac:dyDescent="0.4">
      <c r="B40" s="135" t="s">
        <v>1033</v>
      </c>
      <c r="C40" s="1254">
        <f>F100</f>
        <v>2012.2929995034956</v>
      </c>
      <c r="D40" s="136"/>
      <c r="E40" s="386" t="s">
        <v>1276</v>
      </c>
      <c r="G40" s="136"/>
      <c r="K40" s="1240"/>
      <c r="L40" s="1240"/>
      <c r="M40" s="1240"/>
      <c r="N40" s="1240"/>
      <c r="O40" s="1240"/>
      <c r="P40" s="1240"/>
      <c r="Q40" s="1240"/>
      <c r="X40" s="115"/>
    </row>
    <row r="41" spans="2:73" s="84" customFormat="1" x14ac:dyDescent="0.35">
      <c r="B41" s="386" t="s">
        <v>1278</v>
      </c>
      <c r="C41" s="85"/>
      <c r="D41" s="85"/>
      <c r="E41" s="386" t="s">
        <v>1747</v>
      </c>
      <c r="G41" s="85"/>
      <c r="H41"/>
      <c r="I41"/>
      <c r="K41" s="1240"/>
      <c r="L41" s="1240"/>
      <c r="M41" s="1240"/>
      <c r="N41" s="1242"/>
      <c r="O41" s="1240"/>
      <c r="P41" s="1240"/>
      <c r="Q41" s="1240"/>
      <c r="X41" s="115"/>
    </row>
    <row r="42" spans="2:73" s="84" customFormat="1" x14ac:dyDescent="0.35">
      <c r="B42" s="386" t="s">
        <v>1277</v>
      </c>
      <c r="C42" s="85"/>
      <c r="D42" s="85"/>
      <c r="E42" s="85"/>
      <c r="F42" s="85"/>
      <c r="G42" s="85"/>
      <c r="H42" s="129"/>
      <c r="I42" s="129"/>
      <c r="K42" s="911"/>
      <c r="L42" s="911"/>
      <c r="M42" s="911"/>
      <c r="N42" s="987"/>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c r="BE42" s="911"/>
      <c r="BF42" s="911"/>
      <c r="BG42" s="911"/>
      <c r="BH42" s="911"/>
      <c r="BI42" s="911"/>
      <c r="BJ42" s="911"/>
      <c r="BK42" s="911"/>
      <c r="BL42" s="911"/>
      <c r="BM42" s="911"/>
      <c r="BN42" s="911"/>
      <c r="BO42" s="911"/>
      <c r="BP42" s="911"/>
      <c r="BQ42" s="911"/>
      <c r="BR42" s="911"/>
      <c r="BS42" s="911"/>
      <c r="BT42" s="911"/>
      <c r="BU42" s="911"/>
    </row>
    <row r="43" spans="2:73" s="84" customFormat="1" x14ac:dyDescent="0.35">
      <c r="B43" s="85"/>
      <c r="C43" s="85"/>
      <c r="D43" s="85"/>
      <c r="E43" s="85"/>
      <c r="F43" s="85"/>
      <c r="G43" s="85"/>
      <c r="H43" s="129"/>
      <c r="I43" s="129"/>
      <c r="K43" s="911"/>
      <c r="L43" s="911"/>
      <c r="M43" s="911"/>
      <c r="N43" s="987"/>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c r="BE43" s="911"/>
      <c r="BF43" s="911"/>
      <c r="BG43" s="911"/>
      <c r="BH43" s="911"/>
      <c r="BI43" s="911"/>
      <c r="BJ43" s="911"/>
      <c r="BK43" s="911"/>
      <c r="BL43" s="911"/>
      <c r="BM43" s="911"/>
      <c r="BN43" s="911"/>
      <c r="BO43" s="911"/>
      <c r="BP43" s="911"/>
      <c r="BQ43" s="911"/>
      <c r="BR43" s="911"/>
      <c r="BS43" s="911"/>
      <c r="BT43" s="911"/>
      <c r="BU43" s="911"/>
    </row>
    <row r="44" spans="2:73" s="84" customFormat="1" x14ac:dyDescent="0.35">
      <c r="B44" s="85"/>
      <c r="C44" s="85"/>
      <c r="D44" s="85"/>
      <c r="E44" s="85"/>
      <c r="F44" s="85"/>
      <c r="G44" s="85"/>
      <c r="H44" s="129"/>
      <c r="I44" s="129"/>
      <c r="K44" s="911"/>
      <c r="L44" s="911"/>
      <c r="M44" s="911"/>
      <c r="N44" s="987"/>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c r="BE44" s="911"/>
      <c r="BF44" s="911"/>
      <c r="BG44" s="911"/>
      <c r="BH44" s="911"/>
      <c r="BI44" s="911"/>
      <c r="BJ44" s="911"/>
      <c r="BK44" s="911"/>
      <c r="BL44" s="911"/>
      <c r="BM44" s="911"/>
      <c r="BN44" s="911"/>
      <c r="BO44" s="911"/>
      <c r="BP44" s="911"/>
      <c r="BQ44" s="911"/>
      <c r="BR44" s="911"/>
      <c r="BS44" s="911"/>
      <c r="BT44" s="911"/>
      <c r="BU44" s="911"/>
    </row>
    <row r="45" spans="2:73" s="84" customFormat="1" x14ac:dyDescent="0.35">
      <c r="B45" s="85"/>
      <c r="C45" s="85"/>
      <c r="D45" s="85"/>
      <c r="E45" s="85"/>
      <c r="F45" s="85"/>
      <c r="G45" s="85"/>
      <c r="H45" s="129"/>
      <c r="I45" s="129"/>
      <c r="K45" s="911"/>
      <c r="L45" s="911"/>
      <c r="M45" s="911"/>
      <c r="N45" s="987"/>
      <c r="O45" s="911"/>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c r="BE45" s="911"/>
      <c r="BF45" s="911"/>
      <c r="BG45" s="911"/>
      <c r="BH45" s="911"/>
      <c r="BI45" s="911"/>
      <c r="BJ45" s="911"/>
      <c r="BK45" s="911"/>
      <c r="BL45" s="911"/>
      <c r="BM45" s="911"/>
      <c r="BN45" s="911"/>
      <c r="BO45" s="911"/>
      <c r="BP45" s="911"/>
      <c r="BQ45" s="911"/>
      <c r="BR45" s="911"/>
      <c r="BS45" s="911"/>
      <c r="BT45" s="911"/>
      <c r="BU45" s="911"/>
    </row>
    <row r="46" spans="2:73" s="84" customFormat="1" x14ac:dyDescent="0.35">
      <c r="B46"/>
      <c r="C46"/>
      <c r="D46" s="85"/>
      <c r="E46" s="85"/>
      <c r="F46" s="85"/>
      <c r="G46" s="85"/>
      <c r="H46" s="129"/>
      <c r="I46" s="129"/>
      <c r="K46" s="911"/>
      <c r="L46" s="911"/>
      <c r="M46" s="911"/>
      <c r="N46" s="987"/>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c r="BE46" s="911"/>
      <c r="BF46" s="911"/>
      <c r="BG46" s="911"/>
      <c r="BH46" s="911"/>
      <c r="BI46" s="911"/>
      <c r="BJ46" s="911"/>
      <c r="BK46" s="911"/>
      <c r="BL46" s="911"/>
      <c r="BM46" s="911"/>
      <c r="BN46" s="911"/>
      <c r="BO46" s="911"/>
      <c r="BP46" s="911"/>
      <c r="BQ46" s="911"/>
      <c r="BR46" s="911"/>
      <c r="BS46" s="911"/>
      <c r="BT46" s="911"/>
      <c r="BU46" s="911"/>
    </row>
    <row r="47" spans="2:73" s="84" customFormat="1" x14ac:dyDescent="0.35">
      <c r="B47"/>
      <c r="C47"/>
      <c r="D47" s="85"/>
      <c r="E47" s="85"/>
      <c r="F47" s="85"/>
      <c r="G47" s="85"/>
      <c r="H47" s="129"/>
      <c r="I47" s="129"/>
      <c r="K47" s="9"/>
      <c r="L47" s="911"/>
      <c r="M47" s="911"/>
      <c r="N47" s="987"/>
      <c r="O47" s="911"/>
      <c r="P47" s="911"/>
      <c r="Q47" s="911"/>
      <c r="R47" s="911"/>
      <c r="S47" s="911"/>
      <c r="T47" s="911"/>
      <c r="U47" s="911"/>
      <c r="V47" s="911"/>
      <c r="W47" s="911"/>
      <c r="X47" s="911"/>
      <c r="Y47" s="911"/>
      <c r="Z47" s="911"/>
      <c r="AA47" s="911"/>
      <c r="AB47" s="911"/>
      <c r="AC47" s="911"/>
      <c r="AD47" s="911"/>
      <c r="AE47" s="911"/>
      <c r="AF47" s="911"/>
      <c r="AG47" s="911"/>
      <c r="AH47" s="911"/>
      <c r="AI47" s="911"/>
      <c r="AJ47" s="911"/>
      <c r="AK47" s="911"/>
      <c r="AL47" s="911"/>
      <c r="AM47" s="911"/>
      <c r="AN47" s="911"/>
      <c r="AO47" s="911"/>
      <c r="AP47" s="911"/>
      <c r="AQ47" s="911"/>
      <c r="AR47" s="911"/>
      <c r="AS47" s="911"/>
      <c r="AT47" s="911"/>
      <c r="AU47" s="911"/>
      <c r="AV47" s="911"/>
      <c r="AW47" s="911"/>
      <c r="AX47" s="911"/>
      <c r="AY47" s="911"/>
      <c r="AZ47" s="911"/>
      <c r="BA47" s="911"/>
      <c r="BB47" s="911"/>
      <c r="BC47" s="911"/>
      <c r="BD47" s="911"/>
      <c r="BE47" s="911"/>
      <c r="BF47" s="911"/>
      <c r="BG47" s="911"/>
      <c r="BH47" s="911"/>
      <c r="BI47" s="911"/>
      <c r="BJ47" s="911"/>
      <c r="BK47" s="911"/>
      <c r="BL47" s="911"/>
      <c r="BM47" s="911"/>
      <c r="BN47" s="911"/>
      <c r="BO47" s="911"/>
      <c r="BP47" s="911"/>
      <c r="BQ47" s="911"/>
      <c r="BR47" s="911"/>
      <c r="BS47" s="911"/>
      <c r="BT47" s="911"/>
      <c r="BU47" s="911"/>
    </row>
    <row r="48" spans="2:73" s="84" customFormat="1" x14ac:dyDescent="0.35">
      <c r="B48"/>
      <c r="C48"/>
      <c r="D48" s="85"/>
      <c r="E48" s="85"/>
      <c r="F48" s="85"/>
      <c r="G48" s="85"/>
      <c r="H48" s="129"/>
      <c r="I48" s="129"/>
      <c r="K48" s="911"/>
      <c r="L48" s="911"/>
      <c r="M48" s="911"/>
      <c r="N48" s="987"/>
      <c r="O48" s="911"/>
      <c r="P48" s="911"/>
      <c r="Q48" s="911"/>
      <c r="R48" s="911"/>
      <c r="S48" s="911"/>
      <c r="T48" s="911"/>
      <c r="U48" s="911"/>
      <c r="V48" s="911"/>
      <c r="W48" s="911"/>
      <c r="X48" s="911"/>
      <c r="Y48" s="911"/>
      <c r="Z48" s="911"/>
      <c r="AA48" s="911"/>
      <c r="AB48" s="911"/>
      <c r="AC48" s="911"/>
      <c r="AD48" s="911"/>
      <c r="AE48" s="911"/>
      <c r="AF48" s="911"/>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c r="BE48" s="911"/>
      <c r="BF48" s="911"/>
      <c r="BG48" s="911"/>
      <c r="BH48" s="911"/>
      <c r="BI48" s="911"/>
      <c r="BJ48" s="911"/>
      <c r="BK48" s="911"/>
      <c r="BL48" s="911"/>
      <c r="BM48" s="911"/>
      <c r="BN48" s="911"/>
      <c r="BO48" s="911"/>
      <c r="BP48" s="911"/>
      <c r="BQ48" s="911"/>
      <c r="BR48" s="911"/>
      <c r="BS48" s="911"/>
      <c r="BT48" s="911"/>
      <c r="BU48" s="911"/>
    </row>
    <row r="49" spans="2:73" s="84" customFormat="1" x14ac:dyDescent="0.35">
      <c r="B49" s="103" t="s">
        <v>596</v>
      </c>
      <c r="C49" s="104">
        <f ca="1">SUM(C50:C53)</f>
        <v>2012.2929995034958</v>
      </c>
      <c r="D49" s="85"/>
      <c r="E49" s="85"/>
      <c r="F49" s="85"/>
      <c r="G49" s="85"/>
      <c r="H49" s="129"/>
      <c r="I49" s="129"/>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c r="BE49" s="911"/>
      <c r="BF49" s="911"/>
      <c r="BG49" s="911"/>
      <c r="BH49" s="911"/>
      <c r="BI49" s="911"/>
      <c r="BJ49" s="911"/>
      <c r="BK49" s="911"/>
      <c r="BL49" s="911"/>
      <c r="BM49" s="911"/>
      <c r="BN49" s="911"/>
      <c r="BO49" s="911"/>
      <c r="BP49" s="911"/>
      <c r="BQ49" s="911"/>
      <c r="BR49" s="911"/>
      <c r="BS49" s="911"/>
      <c r="BT49" s="911"/>
      <c r="BU49" s="911"/>
    </row>
    <row r="50" spans="2:73" s="84" customFormat="1" x14ac:dyDescent="0.35">
      <c r="B50" s="103" t="s">
        <v>600</v>
      </c>
      <c r="C50" s="104">
        <f>C27</f>
        <v>804.91719980139828</v>
      </c>
      <c r="D50" s="85"/>
      <c r="E50" s="85"/>
      <c r="F50" s="85"/>
      <c r="G50" s="85"/>
      <c r="H50" s="129"/>
      <c r="I50" s="129"/>
      <c r="K50" s="911"/>
      <c r="L50" s="912">
        <f>F115</f>
        <v>1</v>
      </c>
      <c r="M50" s="911">
        <f>IFERROR(IF(L50+1&lt;=MAX('Patient Calcs'!$B$14:$B$65),L50+1,""),"")</f>
        <v>2</v>
      </c>
      <c r="N50" s="911">
        <f>IFERROR(IF(M50+1&lt;=MAX('Patient Calcs'!$B$14:$B$65),M50+1,""),"")</f>
        <v>3</v>
      </c>
      <c r="O50" s="911">
        <f>IFERROR(IF(N50+1&lt;=MAX('Patient Calcs'!$B$14:$B$65),N50+1,""),"")</f>
        <v>4</v>
      </c>
      <c r="P50" s="911">
        <f>IFERROR(IF(O50+1&lt;=MAX('Patient Calcs'!$B$14:$B$65),O50+1,""),"")</f>
        <v>5</v>
      </c>
      <c r="Q50" s="911">
        <f>IFERROR(IF(P50+1&lt;=MAX('Patient Calcs'!$B$14:$B$65),P50+1,""),"")</f>
        <v>6</v>
      </c>
      <c r="R50" s="911" t="str">
        <f>IFERROR(IF(Q50+1&lt;=MAX('Patient Calcs'!$B$14:$B$65),Q50+1,""),"")</f>
        <v/>
      </c>
      <c r="S50" s="911" t="str">
        <f>IFERROR(IF(R50+1&lt;=MAX('Patient Calcs'!$B$14:$B$65),R50+1,""),"")</f>
        <v/>
      </c>
      <c r="T50" s="911" t="str">
        <f>IFERROR(IF(S50+1&lt;=MAX('Patient Calcs'!$B$14:$B$65),S50+1,""),"")</f>
        <v/>
      </c>
      <c r="U50" s="911" t="str">
        <f>IFERROR(IF(T50+1&lt;=MAX('Patient Calcs'!$B$14:$B$65),T50+1,""),"")</f>
        <v/>
      </c>
      <c r="V50" s="911" t="str">
        <f>IFERROR(IF(U50+1&lt;=MAX('Patient Calcs'!$B$14:$B$65),U50+1,""),"")</f>
        <v/>
      </c>
      <c r="W50" s="911" t="str">
        <f>IFERROR(IF(V50+1&lt;=MAX('Patient Calcs'!$B$14:$B$65),V50+1,""),"")</f>
        <v/>
      </c>
      <c r="X50" s="911" t="str">
        <f>IFERROR(IF(W50+1&lt;=MAX('Patient Calcs'!$B$14:$B$65),W50+1,""),"")</f>
        <v/>
      </c>
      <c r="Y50" s="911" t="str">
        <f>IFERROR(IF(X50+1&lt;=MAX('Patient Calcs'!$B$14:$B$65),X50+1,""),"")</f>
        <v/>
      </c>
      <c r="Z50" s="911" t="str">
        <f>IFERROR(IF(Y50+1&lt;=MAX('Patient Calcs'!$B$14:$B$65),Y50+1,""),"")</f>
        <v/>
      </c>
      <c r="AA50" s="911" t="str">
        <f>IFERROR(IF(Z50+1&lt;=MAX('Patient Calcs'!$B$14:$B$65),Z50+1,""),"")</f>
        <v/>
      </c>
      <c r="AB50" s="911" t="str">
        <f>IFERROR(IF(AA50+1&lt;=MAX('Patient Calcs'!$B$14:$B$65),AA50+1,""),"")</f>
        <v/>
      </c>
      <c r="AC50" s="911" t="str">
        <f>IFERROR(IF(AB50+1&lt;=MAX('Patient Calcs'!$B$14:$B$65),AB50+1,""),"")</f>
        <v/>
      </c>
      <c r="AD50" s="911" t="str">
        <f>IFERROR(IF(AC50+1&lt;=MAX('Patient Calcs'!$B$14:$B$65),AC50+1,""),"")</f>
        <v/>
      </c>
      <c r="AE50" s="911" t="str">
        <f>IFERROR(IF(AD50+1&lt;=MAX('Patient Calcs'!$B$14:$B$65),AD50+1,""),"")</f>
        <v/>
      </c>
      <c r="AF50" s="911" t="str">
        <f>IFERROR(IF(AE50+1&lt;=MAX('Patient Calcs'!$B$14:$B$65),AE50+1,""),"")</f>
        <v/>
      </c>
      <c r="AG50" s="911" t="str">
        <f>IFERROR(IF(AF50+1&lt;=MAX('Patient Calcs'!$B$14:$B$65),AF50+1,""),"")</f>
        <v/>
      </c>
      <c r="AH50" s="911" t="str">
        <f>IFERROR(IF(AG50+1&lt;=MAX('Patient Calcs'!$B$14:$B$65),AG50+1,""),"")</f>
        <v/>
      </c>
      <c r="AI50" s="911" t="str">
        <f>IFERROR(IF(AH50+1&lt;=MAX('Patient Calcs'!$B$14:$B$65),AH50+1,""),"")</f>
        <v/>
      </c>
      <c r="AJ50" s="911" t="str">
        <f>IFERROR(IF(AI50+1&lt;=MAX('Patient Calcs'!$B$14:$B$65),AI50+1,""),"")</f>
        <v/>
      </c>
      <c r="AK50" s="911" t="str">
        <f>IFERROR(IF(AJ50+1&lt;=MAX('Patient Calcs'!$B$14:$B$65),AJ50+1,""),"")</f>
        <v/>
      </c>
      <c r="AL50" s="911" t="str">
        <f>IFERROR(IF(AK50+1&lt;=MAX('Patient Calcs'!$B$14:$B$65),AK50+1,""),"")</f>
        <v/>
      </c>
      <c r="AM50" s="911" t="str">
        <f>IFERROR(IF(AL50+1&lt;=MAX('Patient Calcs'!$B$14:$B$65),AL50+1,""),"")</f>
        <v/>
      </c>
      <c r="AN50" s="911" t="str">
        <f>IFERROR(IF(AM50+1&lt;=MAX('Patient Calcs'!$B$14:$B$65),AM50+1,""),"")</f>
        <v/>
      </c>
      <c r="AO50" s="911" t="str">
        <f>IFERROR(IF(AN50+1&lt;=MAX('Patient Calcs'!$B$14:$B$65),AN50+1,""),"")</f>
        <v/>
      </c>
      <c r="AP50" s="911" t="str">
        <f>IFERROR(IF(AO50+1&lt;=MAX('Patient Calcs'!$B$14:$B$65),AO50+1,""),"")</f>
        <v/>
      </c>
      <c r="AQ50" s="911" t="str">
        <f>IFERROR(IF(AP50+1&lt;=MAX('Patient Calcs'!$B$14:$B$65),AP50+1,""),"")</f>
        <v/>
      </c>
      <c r="AR50" s="911" t="str">
        <f>IFERROR(IF(AQ50+1&lt;=MAX('Patient Calcs'!$B$14:$B$65),AQ50+1,""),"")</f>
        <v/>
      </c>
      <c r="AS50" s="911" t="str">
        <f>IFERROR(IF(AR50+1&lt;=MAX('Patient Calcs'!$B$14:$B$65),AR50+1,""),"")</f>
        <v/>
      </c>
      <c r="AT50" s="911" t="str">
        <f>IFERROR(IF(AS50+1&lt;=MAX('Patient Calcs'!$B$14:$B$65),AS50+1,""),"")</f>
        <v/>
      </c>
      <c r="AU50" s="911" t="str">
        <f>IFERROR(IF(AT50+1&lt;=MAX('Patient Calcs'!$B$14:$B$65),AT50+1,""),"")</f>
        <v/>
      </c>
      <c r="AV50" s="911" t="str">
        <f>IFERROR(IF(AU50+1&lt;=MAX('Patient Calcs'!$B$14:$B$65),AU50+1,""),"")</f>
        <v/>
      </c>
      <c r="AW50" s="911" t="str">
        <f>IFERROR(IF(AV50+1&lt;=MAX('Patient Calcs'!$B$14:$B$65),AV50+1,""),"")</f>
        <v/>
      </c>
      <c r="AX50" s="911" t="str">
        <f>IFERROR(IF(AW50+1&lt;=MAX('Patient Calcs'!$B$14:$B$65),AW50+1,""),"")</f>
        <v/>
      </c>
      <c r="AY50" s="911" t="str">
        <f>IFERROR(IF(AX50+1&lt;=MAX('Patient Calcs'!$B$14:$B$65),AX50+1,""),"")</f>
        <v/>
      </c>
      <c r="AZ50" s="911" t="str">
        <f>IFERROR(IF(AY50+1&lt;=MAX('Patient Calcs'!$B$14:$B$65),AY50+1,""),"")</f>
        <v/>
      </c>
      <c r="BA50" s="911" t="str">
        <f>IFERROR(IF(AZ50+1&lt;=MAX('Patient Calcs'!$B$14:$B$65),AZ50+1,""),"")</f>
        <v/>
      </c>
      <c r="BB50" s="911" t="str">
        <f>IFERROR(IF(BA50+1&lt;=MAX('Patient Calcs'!$B$14:$B$65),BA50+1,""),"")</f>
        <v/>
      </c>
      <c r="BC50" s="911" t="str">
        <f>IFERROR(IF(BB50+1&lt;=MAX('Patient Calcs'!$B$14:$B$65),BB50+1,""),"")</f>
        <v/>
      </c>
      <c r="BD50" s="911" t="str">
        <f>IFERROR(IF(BC50+1&lt;=MAX('Patient Calcs'!$B$14:$B$65),BC50+1,""),"")</f>
        <v/>
      </c>
      <c r="BE50" s="911" t="str">
        <f>IFERROR(IF(BD50+1&lt;=MAX('Patient Calcs'!$B$14:$B$65),BD50+1,""),"")</f>
        <v/>
      </c>
      <c r="BF50" s="911" t="str">
        <f>IFERROR(IF(BE50+1&lt;=MAX('Patient Calcs'!$B$14:$B$65),BE50+1,""),"")</f>
        <v/>
      </c>
      <c r="BG50" s="911" t="str">
        <f>IFERROR(IF(BF50+1&lt;=MAX('Patient Calcs'!$B$14:$B$65),BF50+1,""),"")</f>
        <v/>
      </c>
      <c r="BH50" s="911" t="str">
        <f>IFERROR(IF(BG50+1&lt;=MAX('Patient Calcs'!$B$14:$B$65),BG50+1,""),"")</f>
        <v/>
      </c>
      <c r="BI50" s="911" t="str">
        <f>IFERROR(IF(BH50+1&lt;=MAX('Patient Calcs'!$B$14:$B$65),BH50+1,""),"")</f>
        <v/>
      </c>
      <c r="BJ50" s="911" t="str">
        <f>IFERROR(IF(BI50+1&lt;=MAX('Patient Calcs'!$B$14:$B$65),BI50+1,""),"")</f>
        <v/>
      </c>
      <c r="BK50" s="911" t="str">
        <f>IFERROR(IF(BJ50+1&lt;=MAX('Patient Calcs'!$B$14:$B$65),BJ50+1,""),"")</f>
        <v/>
      </c>
      <c r="BL50" s="911"/>
      <c r="BM50" s="911"/>
      <c r="BN50" s="911"/>
      <c r="BO50" s="911"/>
      <c r="BP50" s="911"/>
      <c r="BQ50" s="911"/>
      <c r="BR50" s="911"/>
      <c r="BS50" s="911"/>
      <c r="BT50" s="911"/>
      <c r="BU50" s="911"/>
    </row>
    <row r="51" spans="2:73" x14ac:dyDescent="0.35">
      <c r="B51" s="103" t="s">
        <v>973</v>
      </c>
      <c r="C51" s="104">
        <f>C28</f>
        <v>804.91719980139828</v>
      </c>
      <c r="D51" s="85"/>
      <c r="E51" s="85"/>
      <c r="F51" s="85"/>
      <c r="H51" s="129"/>
      <c r="I51" s="129"/>
      <c r="K51" s="911" t="s">
        <v>1274</v>
      </c>
      <c r="L51" s="912">
        <f ca="1">IF(L$50&lt;=$I$12+$H$13,F141,"")</f>
        <v>0.19901937208404258</v>
      </c>
      <c r="M51" s="912">
        <f t="shared" ref="M51:BK51" ca="1" si="1">IF(M$50&lt;=$I$12+$H$13,G141,"")</f>
        <v>0.6611256555669548</v>
      </c>
      <c r="N51" s="912">
        <f t="shared" ca="1" si="1"/>
        <v>2.2719466689750645</v>
      </c>
      <c r="O51" s="912">
        <f t="shared" ca="1" si="1"/>
        <v>7.8072866910918748</v>
      </c>
      <c r="P51" s="912">
        <f t="shared" ca="1" si="1"/>
        <v>26.826279800447136</v>
      </c>
      <c r="Q51" s="912">
        <f t="shared" ca="1" si="1"/>
        <v>92.146237628515948</v>
      </c>
      <c r="R51" s="912" t="str">
        <f t="shared" si="1"/>
        <v/>
      </c>
      <c r="S51" s="912" t="str">
        <f t="shared" si="1"/>
        <v/>
      </c>
      <c r="T51" s="912" t="str">
        <f t="shared" si="1"/>
        <v/>
      </c>
      <c r="U51" s="912" t="str">
        <f t="shared" si="1"/>
        <v/>
      </c>
      <c r="V51" s="912" t="str">
        <f t="shared" si="1"/>
        <v/>
      </c>
      <c r="W51" s="912" t="str">
        <f t="shared" si="1"/>
        <v/>
      </c>
      <c r="X51" s="912" t="str">
        <f t="shared" si="1"/>
        <v/>
      </c>
      <c r="Y51" s="912" t="str">
        <f t="shared" si="1"/>
        <v/>
      </c>
      <c r="Z51" s="912" t="str">
        <f t="shared" si="1"/>
        <v/>
      </c>
      <c r="AA51" s="912" t="str">
        <f t="shared" si="1"/>
        <v/>
      </c>
      <c r="AB51" s="912" t="str">
        <f t="shared" si="1"/>
        <v/>
      </c>
      <c r="AC51" s="912" t="str">
        <f t="shared" si="1"/>
        <v/>
      </c>
      <c r="AD51" s="912" t="str">
        <f t="shared" si="1"/>
        <v/>
      </c>
      <c r="AE51" s="912" t="str">
        <f t="shared" si="1"/>
        <v/>
      </c>
      <c r="AF51" s="912" t="str">
        <f t="shared" si="1"/>
        <v/>
      </c>
      <c r="AG51" s="912" t="str">
        <f t="shared" si="1"/>
        <v/>
      </c>
      <c r="AH51" s="912" t="str">
        <f t="shared" si="1"/>
        <v/>
      </c>
      <c r="AI51" s="912" t="str">
        <f t="shared" si="1"/>
        <v/>
      </c>
      <c r="AJ51" s="912" t="str">
        <f t="shared" si="1"/>
        <v/>
      </c>
      <c r="AK51" s="912" t="str">
        <f t="shared" si="1"/>
        <v/>
      </c>
      <c r="AL51" s="912" t="str">
        <f t="shared" si="1"/>
        <v/>
      </c>
      <c r="AM51" s="912" t="str">
        <f t="shared" si="1"/>
        <v/>
      </c>
      <c r="AN51" s="912" t="str">
        <f t="shared" si="1"/>
        <v/>
      </c>
      <c r="AO51" s="912" t="str">
        <f t="shared" si="1"/>
        <v/>
      </c>
      <c r="AP51" s="912" t="str">
        <f t="shared" si="1"/>
        <v/>
      </c>
      <c r="AQ51" s="912" t="str">
        <f t="shared" si="1"/>
        <v/>
      </c>
      <c r="AR51" s="912" t="str">
        <f t="shared" si="1"/>
        <v/>
      </c>
      <c r="AS51" s="912" t="str">
        <f t="shared" si="1"/>
        <v/>
      </c>
      <c r="AT51" s="912" t="str">
        <f t="shared" si="1"/>
        <v/>
      </c>
      <c r="AU51" s="912" t="str">
        <f t="shared" si="1"/>
        <v/>
      </c>
      <c r="AV51" s="912" t="str">
        <f t="shared" si="1"/>
        <v/>
      </c>
      <c r="AW51" s="912" t="str">
        <f t="shared" si="1"/>
        <v/>
      </c>
      <c r="AX51" s="912" t="str">
        <f t="shared" si="1"/>
        <v/>
      </c>
      <c r="AY51" s="912" t="str">
        <f t="shared" si="1"/>
        <v/>
      </c>
      <c r="AZ51" s="912" t="str">
        <f t="shared" si="1"/>
        <v/>
      </c>
      <c r="BA51" s="912" t="str">
        <f t="shared" si="1"/>
        <v/>
      </c>
      <c r="BB51" s="912" t="str">
        <f t="shared" si="1"/>
        <v/>
      </c>
      <c r="BC51" s="912" t="str">
        <f t="shared" si="1"/>
        <v/>
      </c>
      <c r="BD51" s="912" t="str">
        <f t="shared" si="1"/>
        <v/>
      </c>
      <c r="BE51" s="912" t="str">
        <f t="shared" si="1"/>
        <v/>
      </c>
      <c r="BF51" s="912" t="str">
        <f t="shared" si="1"/>
        <v/>
      </c>
      <c r="BG51" s="912" t="str">
        <f t="shared" si="1"/>
        <v/>
      </c>
      <c r="BH51" s="912" t="str">
        <f t="shared" si="1"/>
        <v/>
      </c>
      <c r="BI51" s="912" t="str">
        <f t="shared" si="1"/>
        <v/>
      </c>
      <c r="BJ51" s="912" t="str">
        <f t="shared" si="1"/>
        <v/>
      </c>
      <c r="BK51" s="912" t="str">
        <f t="shared" si="1"/>
        <v/>
      </c>
      <c r="BL51" s="911"/>
      <c r="BM51" s="911"/>
      <c r="BN51" s="911"/>
      <c r="BO51" s="9"/>
      <c r="BP51" s="9"/>
      <c r="BQ51" s="9"/>
      <c r="BR51" s="9"/>
      <c r="BS51" s="9"/>
      <c r="BT51" s="9"/>
      <c r="BU51" s="9"/>
    </row>
    <row r="52" spans="2:73" x14ac:dyDescent="0.35">
      <c r="B52" s="105" t="s">
        <v>601</v>
      </c>
      <c r="C52" s="104">
        <f ca="1">Total_admitted_capped_severe_patients</f>
        <v>301.84394992552433</v>
      </c>
      <c r="D52" s="85"/>
      <c r="E52" s="85"/>
      <c r="F52" s="85"/>
      <c r="H52" s="129"/>
      <c r="I52" s="129"/>
      <c r="K52" s="911" t="s">
        <v>1030</v>
      </c>
      <c r="L52" s="912">
        <f ca="1">IF(L$50&lt;=$I$12+$H$13,F137,"")</f>
        <v>0.44705811625212766</v>
      </c>
      <c r="M52" s="912">
        <f t="shared" ref="M52:BK52" ca="1" si="2">IF(M$50&lt;=$I$12+$H$13,G137,"")</f>
        <v>1.5363188504487368</v>
      </c>
      <c r="N52" s="912">
        <f t="shared" ca="1" si="2"/>
        <v>5.2795211564764566</v>
      </c>
      <c r="O52" s="912">
        <f t="shared" ca="1" si="2"/>
        <v>18.142338916799165</v>
      </c>
      <c r="P52" s="912">
        <f t="shared" ca="1" si="2"/>
        <v>62.336500484542228</v>
      </c>
      <c r="Q52" s="912">
        <f t="shared" ca="1" si="2"/>
        <v>214.1022124010056</v>
      </c>
      <c r="R52" s="912" t="str">
        <f t="shared" si="2"/>
        <v/>
      </c>
      <c r="S52" s="912" t="str">
        <f t="shared" si="2"/>
        <v/>
      </c>
      <c r="T52" s="912" t="str">
        <f t="shared" si="2"/>
        <v/>
      </c>
      <c r="U52" s="912" t="str">
        <f t="shared" si="2"/>
        <v/>
      </c>
      <c r="V52" s="912" t="str">
        <f t="shared" si="2"/>
        <v/>
      </c>
      <c r="W52" s="912" t="str">
        <f t="shared" si="2"/>
        <v/>
      </c>
      <c r="X52" s="912" t="str">
        <f t="shared" si="2"/>
        <v/>
      </c>
      <c r="Y52" s="912" t="str">
        <f t="shared" si="2"/>
        <v/>
      </c>
      <c r="Z52" s="912" t="str">
        <f t="shared" si="2"/>
        <v/>
      </c>
      <c r="AA52" s="912" t="str">
        <f t="shared" si="2"/>
        <v/>
      </c>
      <c r="AB52" s="912" t="str">
        <f t="shared" si="2"/>
        <v/>
      </c>
      <c r="AC52" s="912" t="str">
        <f t="shared" si="2"/>
        <v/>
      </c>
      <c r="AD52" s="912" t="str">
        <f t="shared" si="2"/>
        <v/>
      </c>
      <c r="AE52" s="912" t="str">
        <f t="shared" si="2"/>
        <v/>
      </c>
      <c r="AF52" s="912" t="str">
        <f t="shared" si="2"/>
        <v/>
      </c>
      <c r="AG52" s="912" t="str">
        <f t="shared" si="2"/>
        <v/>
      </c>
      <c r="AH52" s="912" t="str">
        <f t="shared" si="2"/>
        <v/>
      </c>
      <c r="AI52" s="912" t="str">
        <f t="shared" si="2"/>
        <v/>
      </c>
      <c r="AJ52" s="912" t="str">
        <f t="shared" si="2"/>
        <v/>
      </c>
      <c r="AK52" s="912" t="str">
        <f t="shared" si="2"/>
        <v/>
      </c>
      <c r="AL52" s="912" t="str">
        <f t="shared" si="2"/>
        <v/>
      </c>
      <c r="AM52" s="912" t="str">
        <f t="shared" si="2"/>
        <v/>
      </c>
      <c r="AN52" s="912" t="str">
        <f t="shared" si="2"/>
        <v/>
      </c>
      <c r="AO52" s="912" t="str">
        <f t="shared" si="2"/>
        <v/>
      </c>
      <c r="AP52" s="912" t="str">
        <f t="shared" si="2"/>
        <v/>
      </c>
      <c r="AQ52" s="912" t="str">
        <f t="shared" si="2"/>
        <v/>
      </c>
      <c r="AR52" s="912" t="str">
        <f t="shared" si="2"/>
        <v/>
      </c>
      <c r="AS52" s="912" t="str">
        <f t="shared" si="2"/>
        <v/>
      </c>
      <c r="AT52" s="912" t="str">
        <f t="shared" si="2"/>
        <v/>
      </c>
      <c r="AU52" s="912" t="str">
        <f t="shared" si="2"/>
        <v/>
      </c>
      <c r="AV52" s="912" t="str">
        <f t="shared" si="2"/>
        <v/>
      </c>
      <c r="AW52" s="912" t="str">
        <f t="shared" si="2"/>
        <v/>
      </c>
      <c r="AX52" s="912" t="str">
        <f t="shared" si="2"/>
        <v/>
      </c>
      <c r="AY52" s="912" t="str">
        <f t="shared" si="2"/>
        <v/>
      </c>
      <c r="AZ52" s="912" t="str">
        <f t="shared" si="2"/>
        <v/>
      </c>
      <c r="BA52" s="912" t="str">
        <f t="shared" si="2"/>
        <v/>
      </c>
      <c r="BB52" s="912" t="str">
        <f t="shared" si="2"/>
        <v/>
      </c>
      <c r="BC52" s="912" t="str">
        <f t="shared" si="2"/>
        <v/>
      </c>
      <c r="BD52" s="912" t="str">
        <f t="shared" si="2"/>
        <v/>
      </c>
      <c r="BE52" s="912" t="str">
        <f t="shared" si="2"/>
        <v/>
      </c>
      <c r="BF52" s="912" t="str">
        <f t="shared" si="2"/>
        <v/>
      </c>
      <c r="BG52" s="912" t="str">
        <f t="shared" si="2"/>
        <v/>
      </c>
      <c r="BH52" s="912" t="str">
        <f t="shared" si="2"/>
        <v/>
      </c>
      <c r="BI52" s="912" t="str">
        <f t="shared" si="2"/>
        <v/>
      </c>
      <c r="BJ52" s="912" t="str">
        <f t="shared" si="2"/>
        <v/>
      </c>
      <c r="BK52" s="912" t="str">
        <f t="shared" si="2"/>
        <v/>
      </c>
      <c r="BL52" s="911"/>
      <c r="BM52" s="911"/>
      <c r="BN52" s="911"/>
      <c r="BO52" s="9"/>
      <c r="BP52" s="9"/>
      <c r="BQ52" s="9"/>
      <c r="BR52" s="9"/>
      <c r="BS52" s="9"/>
      <c r="BT52" s="9"/>
      <c r="BU52" s="9"/>
    </row>
    <row r="53" spans="2:73" x14ac:dyDescent="0.35">
      <c r="B53" s="105" t="s">
        <v>602</v>
      </c>
      <c r="C53" s="104">
        <f ca="1">Total_admitted_capped_critical_patients</f>
        <v>100.61464997517479</v>
      </c>
      <c r="D53" s="85"/>
      <c r="E53" s="85"/>
      <c r="F53" s="85"/>
      <c r="H53" s="129"/>
      <c r="I53" s="129"/>
      <c r="K53" s="911" t="s">
        <v>1272</v>
      </c>
      <c r="L53" s="912">
        <f>IF(L$50&lt;=$I$12+$H$13,'Weekly Summary'!$D$12,"")</f>
        <v>21526.255799999999</v>
      </c>
      <c r="M53" s="912">
        <f>IF(M$50&lt;=$I$12+$H$13,'Weekly Summary'!$D$12,"")</f>
        <v>21526.255799999999</v>
      </c>
      <c r="N53" s="912">
        <f>IF(N$50&lt;=$I$12+$H$13,'Weekly Summary'!$D$12,"")</f>
        <v>21526.255799999999</v>
      </c>
      <c r="O53" s="912">
        <f>IF(O$50&lt;=$I$12+$H$13,'Weekly Summary'!$D$12,"")</f>
        <v>21526.255799999999</v>
      </c>
      <c r="P53" s="912">
        <f>IF(P$50&lt;=$I$12+$H$13,'Weekly Summary'!$D$12,"")</f>
        <v>21526.255799999999</v>
      </c>
      <c r="Q53" s="912">
        <f>IF(Q$50&lt;=$I$12+$H$13,'Weekly Summary'!$D$12,"")</f>
        <v>21526.255799999999</v>
      </c>
      <c r="R53" s="912" t="str">
        <f>IF(R$50&lt;=$I$12+$H$13,'Weekly Summary'!$D$12,"")</f>
        <v/>
      </c>
      <c r="S53" s="912" t="str">
        <f>IF(S$50&lt;=$I$12+$H$13,'Weekly Summary'!$D$12,"")</f>
        <v/>
      </c>
      <c r="T53" s="912" t="str">
        <f>IF(T$50&lt;=$I$12+$H$13,'Weekly Summary'!$D$12,"")</f>
        <v/>
      </c>
      <c r="U53" s="912" t="str">
        <f>IF(U$50&lt;=$I$12+$H$13,'Weekly Summary'!$D$12,"")</f>
        <v/>
      </c>
      <c r="V53" s="912" t="str">
        <f>IF(V$50&lt;=$I$12+$H$13,'Weekly Summary'!$D$12,"")</f>
        <v/>
      </c>
      <c r="W53" s="912" t="str">
        <f>IF(W$50&lt;=$I$12+$H$13,'Weekly Summary'!$D$12,"")</f>
        <v/>
      </c>
      <c r="X53" s="912" t="str">
        <f>IF(X$50&lt;=$I$12+$H$13,'Weekly Summary'!$D$12,"")</f>
        <v/>
      </c>
      <c r="Y53" s="912" t="str">
        <f>IF(Y$50&lt;=$I$12+$H$13,'Weekly Summary'!$D$12,"")</f>
        <v/>
      </c>
      <c r="Z53" s="912" t="str">
        <f>IF(Z$50&lt;=$I$12+$H$13,'Weekly Summary'!$D$12,"")</f>
        <v/>
      </c>
      <c r="AA53" s="912" t="str">
        <f>IF(AA$50&lt;=$I$12+$H$13,'Weekly Summary'!$D$12,"")</f>
        <v/>
      </c>
      <c r="AB53" s="912" t="str">
        <f>IF(AB$50&lt;=$I$12+$H$13,'Weekly Summary'!$D$12,"")</f>
        <v/>
      </c>
      <c r="AC53" s="912" t="str">
        <f>IF(AC$50&lt;=$I$12+$H$13,'Weekly Summary'!$D$12,"")</f>
        <v/>
      </c>
      <c r="AD53" s="912" t="str">
        <f>IF(AD$50&lt;=$I$12+$H$13,'Weekly Summary'!$D$12,"")</f>
        <v/>
      </c>
      <c r="AE53" s="912" t="str">
        <f>IF(AE$50&lt;=$I$12+$H$13,'Weekly Summary'!$D$12,"")</f>
        <v/>
      </c>
      <c r="AF53" s="912" t="str">
        <f>IF(AF$50&lt;=$I$12+$H$13,'Weekly Summary'!$D$12,"")</f>
        <v/>
      </c>
      <c r="AG53" s="912" t="str">
        <f>IF(AG$50&lt;=$I$12+$H$13,'Weekly Summary'!$D$12,"")</f>
        <v/>
      </c>
      <c r="AH53" s="912" t="str">
        <f>IF(AH$50&lt;=$I$12+$H$13,'Weekly Summary'!$D$12,"")</f>
        <v/>
      </c>
      <c r="AI53" s="912" t="str">
        <f>IF(AI$50&lt;=$I$12+$H$13,'Weekly Summary'!$D$12,"")</f>
        <v/>
      </c>
      <c r="AJ53" s="912" t="str">
        <f>IF(AJ$50&lt;=$I$12+$H$13,'Weekly Summary'!$D$12,"")</f>
        <v/>
      </c>
      <c r="AK53" s="912" t="str">
        <f>IF(AK$50&lt;=$I$12+$H$13,'Weekly Summary'!$D$12,"")</f>
        <v/>
      </c>
      <c r="AL53" s="912" t="str">
        <f>IF(AL$50&lt;=$I$12+$H$13,'Weekly Summary'!$D$12,"")</f>
        <v/>
      </c>
      <c r="AM53" s="912" t="str">
        <f>IF(AM$50&lt;=$I$12+$H$13,'Weekly Summary'!$D$12,"")</f>
        <v/>
      </c>
      <c r="AN53" s="912" t="str">
        <f>IF(AN$50&lt;=$I$12+$H$13,'Weekly Summary'!$D$12,"")</f>
        <v/>
      </c>
      <c r="AO53" s="912" t="str">
        <f>IF(AO$50&lt;=$I$12+$H$13,'Weekly Summary'!$D$12,"")</f>
        <v/>
      </c>
      <c r="AP53" s="912" t="str">
        <f>IF(AP$50&lt;=$I$12+$H$13,'Weekly Summary'!$D$12,"")</f>
        <v/>
      </c>
      <c r="AQ53" s="912" t="str">
        <f>IF(AQ$50&lt;=$I$12+$H$13,'Weekly Summary'!$D$12,"")</f>
        <v/>
      </c>
      <c r="AR53" s="912" t="str">
        <f>IF(AR$50&lt;=$I$12+$H$13,'Weekly Summary'!$D$12,"")</f>
        <v/>
      </c>
      <c r="AS53" s="912" t="str">
        <f>IF(AS$50&lt;=$I$12+$H$13,'Weekly Summary'!$D$12,"")</f>
        <v/>
      </c>
      <c r="AT53" s="912" t="str">
        <f>IF(AT$50&lt;=$I$12+$H$13,'Weekly Summary'!$D$12,"")</f>
        <v/>
      </c>
      <c r="AU53" s="912" t="str">
        <f>IF(AU$50&lt;=$I$12+$H$13,'Weekly Summary'!$D$12,"")</f>
        <v/>
      </c>
      <c r="AV53" s="912" t="str">
        <f>IF(AV$50&lt;=$I$12+$H$13,'Weekly Summary'!$D$12,"")</f>
        <v/>
      </c>
      <c r="AW53" s="912" t="str">
        <f>IF(AW$50&lt;=$I$12+$H$13,'Weekly Summary'!$D$12,"")</f>
        <v/>
      </c>
      <c r="AX53" s="912" t="str">
        <f>IF(AX$50&lt;=$I$12+$H$13,'Weekly Summary'!$D$12,"")</f>
        <v/>
      </c>
      <c r="AY53" s="912" t="str">
        <f>IF(AY$50&lt;=$I$12+$H$13,'Weekly Summary'!$D$12,"")</f>
        <v/>
      </c>
      <c r="AZ53" s="912" t="str">
        <f>IF(AZ$50&lt;=$I$12+$H$13,'Weekly Summary'!$D$12,"")</f>
        <v/>
      </c>
      <c r="BA53" s="912" t="str">
        <f>IF(BA$50&lt;=$I$12+$H$13,'Weekly Summary'!$D$12,"")</f>
        <v/>
      </c>
      <c r="BB53" s="912" t="str">
        <f>IF(BB$50&lt;=$I$12+$H$13,'Weekly Summary'!$D$12,"")</f>
        <v/>
      </c>
      <c r="BC53" s="912" t="str">
        <f>IF(BC$50&lt;=$I$12+$H$13,'Weekly Summary'!$D$12,"")</f>
        <v/>
      </c>
      <c r="BD53" s="912" t="str">
        <f>IF(BD$50&lt;=$I$12+$H$13,'Weekly Summary'!$D$12,"")</f>
        <v/>
      </c>
      <c r="BE53" s="912" t="str">
        <f>IF(BE$50&lt;=$I$12+$H$13,'Weekly Summary'!$D$12,"")</f>
        <v/>
      </c>
      <c r="BF53" s="912" t="str">
        <f>IF(BF$50&lt;=$I$12+$H$13,'Weekly Summary'!$D$12,"")</f>
        <v/>
      </c>
      <c r="BG53" s="912" t="str">
        <f>IF(BG$50&lt;=$I$12+$H$13,'Weekly Summary'!$D$12,"")</f>
        <v/>
      </c>
      <c r="BH53" s="912" t="str">
        <f>IF(BH$50&lt;=$I$12+$H$13,'Weekly Summary'!$D$12,"")</f>
        <v/>
      </c>
      <c r="BI53" s="912" t="str">
        <f>IF(BI$50&lt;=$I$12+$H$13,'Weekly Summary'!$D$12,"")</f>
        <v/>
      </c>
      <c r="BJ53" s="912" t="str">
        <f>IF(BJ$50&lt;=$I$12+$H$13,'Weekly Summary'!$D$12,"")</f>
        <v/>
      </c>
      <c r="BK53" s="912" t="str">
        <f>IF(BK$50&lt;=$I$12+$H$13,'Weekly Summary'!$D$12,"")</f>
        <v/>
      </c>
      <c r="BL53" s="911"/>
      <c r="BM53" s="911"/>
      <c r="BN53" s="911"/>
      <c r="BO53" s="9"/>
      <c r="BP53" s="9"/>
      <c r="BQ53" s="9"/>
      <c r="BR53" s="9"/>
      <c r="BS53" s="9"/>
      <c r="BT53" s="9"/>
      <c r="BU53" s="9"/>
    </row>
    <row r="54" spans="2:73" x14ac:dyDescent="0.35">
      <c r="B54"/>
      <c r="C54"/>
      <c r="D54" s="85"/>
      <c r="E54" s="85"/>
      <c r="F54" s="85"/>
      <c r="H54" s="129"/>
      <c r="I54" s="129"/>
      <c r="K54" s="911" t="s">
        <v>1273</v>
      </c>
      <c r="L54" s="912">
        <f>IF(L$50&lt;=$I$12+$H$13,'Weekly Summary'!$D$13,"")</f>
        <v>889.14420000000007</v>
      </c>
      <c r="M54" s="912">
        <f>IF(M$50&lt;=$I$12+$H$13,'Weekly Summary'!$D$13,"")</f>
        <v>889.14420000000007</v>
      </c>
      <c r="N54" s="912">
        <f>IF(N$50&lt;=$I$12+$H$13,'Weekly Summary'!$D$13,"")</f>
        <v>889.14420000000007</v>
      </c>
      <c r="O54" s="912">
        <f>IF(O$50&lt;=$I$12+$H$13,'Weekly Summary'!$D$13,"")</f>
        <v>889.14420000000007</v>
      </c>
      <c r="P54" s="912">
        <f>IF(P$50&lt;=$I$12+$H$13,'Weekly Summary'!$D$13,"")</f>
        <v>889.14420000000007</v>
      </c>
      <c r="Q54" s="912">
        <f>IF(Q$50&lt;=$I$12+$H$13,'Weekly Summary'!$D$13,"")</f>
        <v>889.14420000000007</v>
      </c>
      <c r="R54" s="912" t="str">
        <f>IF(R$50&lt;=$I$12+$H$13,'Weekly Summary'!$D$13,"")</f>
        <v/>
      </c>
      <c r="S54" s="912" t="str">
        <f>IF(S$50&lt;=$I$12+$H$13,'Weekly Summary'!$D$13,"")</f>
        <v/>
      </c>
      <c r="T54" s="912" t="str">
        <f>IF(T$50&lt;=$I$12+$H$13,'Weekly Summary'!$D$13,"")</f>
        <v/>
      </c>
      <c r="U54" s="912" t="str">
        <f>IF(U$50&lt;=$I$12+$H$13,'Weekly Summary'!$D$13,"")</f>
        <v/>
      </c>
      <c r="V54" s="912" t="str">
        <f>IF(V$50&lt;=$I$12+$H$13,'Weekly Summary'!$D$13,"")</f>
        <v/>
      </c>
      <c r="W54" s="912" t="str">
        <f>IF(W$50&lt;=$I$12+$H$13,'Weekly Summary'!$D$13,"")</f>
        <v/>
      </c>
      <c r="X54" s="912" t="str">
        <f>IF(X$50&lt;=$I$12+$H$13,'Weekly Summary'!$D$13,"")</f>
        <v/>
      </c>
      <c r="Y54" s="912" t="str">
        <f>IF(Y$50&lt;=$I$12+$H$13,'Weekly Summary'!$D$13,"")</f>
        <v/>
      </c>
      <c r="Z54" s="912" t="str">
        <f>IF(Z$50&lt;=$I$12+$H$13,'Weekly Summary'!$D$13,"")</f>
        <v/>
      </c>
      <c r="AA54" s="912" t="str">
        <f>IF(AA$50&lt;=$I$12+$H$13,'Weekly Summary'!$D$13,"")</f>
        <v/>
      </c>
      <c r="AB54" s="912" t="str">
        <f>IF(AB$50&lt;=$I$12+$H$13,'Weekly Summary'!$D$13,"")</f>
        <v/>
      </c>
      <c r="AC54" s="912" t="str">
        <f>IF(AC$50&lt;=$I$12+$H$13,'Weekly Summary'!$D$13,"")</f>
        <v/>
      </c>
      <c r="AD54" s="912" t="str">
        <f>IF(AD$50&lt;=$I$12+$H$13,'Weekly Summary'!$D$13,"")</f>
        <v/>
      </c>
      <c r="AE54" s="912" t="str">
        <f>IF(AE$50&lt;=$I$12+$H$13,'Weekly Summary'!$D$13,"")</f>
        <v/>
      </c>
      <c r="AF54" s="912" t="str">
        <f>IF(AF$50&lt;=$I$12+$H$13,'Weekly Summary'!$D$13,"")</f>
        <v/>
      </c>
      <c r="AG54" s="912" t="str">
        <f>IF(AG$50&lt;=$I$12+$H$13,'Weekly Summary'!$D$13,"")</f>
        <v/>
      </c>
      <c r="AH54" s="912" t="str">
        <f>IF(AH$50&lt;=$I$12+$H$13,'Weekly Summary'!$D$13,"")</f>
        <v/>
      </c>
      <c r="AI54" s="912" t="str">
        <f>IF(AI$50&lt;=$I$12+$H$13,'Weekly Summary'!$D$13,"")</f>
        <v/>
      </c>
      <c r="AJ54" s="912" t="str">
        <f>IF(AJ$50&lt;=$I$12+$H$13,'Weekly Summary'!$D$13,"")</f>
        <v/>
      </c>
      <c r="AK54" s="912" t="str">
        <f>IF(AK$50&lt;=$I$12+$H$13,'Weekly Summary'!$D$13,"")</f>
        <v/>
      </c>
      <c r="AL54" s="912" t="str">
        <f>IF(AL$50&lt;=$I$12+$H$13,'Weekly Summary'!$D$13,"")</f>
        <v/>
      </c>
      <c r="AM54" s="912" t="str">
        <f>IF(AM$50&lt;=$I$12+$H$13,'Weekly Summary'!$D$13,"")</f>
        <v/>
      </c>
      <c r="AN54" s="912" t="str">
        <f>IF(AN$50&lt;=$I$12+$H$13,'Weekly Summary'!$D$13,"")</f>
        <v/>
      </c>
      <c r="AO54" s="912" t="str">
        <f>IF(AO$50&lt;=$I$12+$H$13,'Weekly Summary'!$D$13,"")</f>
        <v/>
      </c>
      <c r="AP54" s="912" t="str">
        <f>IF(AP$50&lt;=$I$12+$H$13,'Weekly Summary'!$D$13,"")</f>
        <v/>
      </c>
      <c r="AQ54" s="912" t="str">
        <f>IF(AQ$50&lt;=$I$12+$H$13,'Weekly Summary'!$D$13,"")</f>
        <v/>
      </c>
      <c r="AR54" s="912" t="str">
        <f>IF(AR$50&lt;=$I$12+$H$13,'Weekly Summary'!$D$13,"")</f>
        <v/>
      </c>
      <c r="AS54" s="912" t="str">
        <f>IF(AS$50&lt;=$I$12+$H$13,'Weekly Summary'!$D$13,"")</f>
        <v/>
      </c>
      <c r="AT54" s="912" t="str">
        <f>IF(AT$50&lt;=$I$12+$H$13,'Weekly Summary'!$D$13,"")</f>
        <v/>
      </c>
      <c r="AU54" s="912" t="str">
        <f>IF(AU$50&lt;=$I$12+$H$13,'Weekly Summary'!$D$13,"")</f>
        <v/>
      </c>
      <c r="AV54" s="912" t="str">
        <f>IF(AV$50&lt;=$I$12+$H$13,'Weekly Summary'!$D$13,"")</f>
        <v/>
      </c>
      <c r="AW54" s="912" t="str">
        <f>IF(AW$50&lt;=$I$12+$H$13,'Weekly Summary'!$D$13,"")</f>
        <v/>
      </c>
      <c r="AX54" s="912" t="str">
        <f>IF(AX$50&lt;=$I$12+$H$13,'Weekly Summary'!$D$13,"")</f>
        <v/>
      </c>
      <c r="AY54" s="912" t="str">
        <f>IF(AY$50&lt;=$I$12+$H$13,'Weekly Summary'!$D$13,"")</f>
        <v/>
      </c>
      <c r="AZ54" s="912" t="str">
        <f>IF(AZ$50&lt;=$I$12+$H$13,'Weekly Summary'!$D$13,"")</f>
        <v/>
      </c>
      <c r="BA54" s="912" t="str">
        <f>IF(BA$50&lt;=$I$12+$H$13,'Weekly Summary'!$D$13,"")</f>
        <v/>
      </c>
      <c r="BB54" s="912" t="str">
        <f>IF(BB$50&lt;=$I$12+$H$13,'Weekly Summary'!$D$13,"")</f>
        <v/>
      </c>
      <c r="BC54" s="912" t="str">
        <f>IF(BC$50&lt;=$I$12+$H$13,'Weekly Summary'!$D$13,"")</f>
        <v/>
      </c>
      <c r="BD54" s="912" t="str">
        <f>IF(BD$50&lt;=$I$12+$H$13,'Weekly Summary'!$D$13,"")</f>
        <v/>
      </c>
      <c r="BE54" s="912" t="str">
        <f>IF(BE$50&lt;=$I$12+$H$13,'Weekly Summary'!$D$13,"")</f>
        <v/>
      </c>
      <c r="BF54" s="912" t="str">
        <f>IF(BF$50&lt;=$I$12+$H$13,'Weekly Summary'!$D$13,"")</f>
        <v/>
      </c>
      <c r="BG54" s="912" t="str">
        <f>IF(BG$50&lt;=$I$12+$H$13,'Weekly Summary'!$D$13,"")</f>
        <v/>
      </c>
      <c r="BH54" s="912" t="str">
        <f>IF(BH$50&lt;=$I$12+$H$13,'Weekly Summary'!$D$13,"")</f>
        <v/>
      </c>
      <c r="BI54" s="912" t="str">
        <f>IF(BI$50&lt;=$I$12+$H$13,'Weekly Summary'!$D$13,"")</f>
        <v/>
      </c>
      <c r="BJ54" s="912" t="str">
        <f>IF(BJ$50&lt;=$I$12+$H$13,'Weekly Summary'!$D$13,"")</f>
        <v/>
      </c>
      <c r="BK54" s="912" t="str">
        <f>IF(BK$50&lt;=$I$12+$H$13,'Weekly Summary'!$D$13,"")</f>
        <v/>
      </c>
      <c r="BL54" s="912"/>
      <c r="BM54" s="912"/>
      <c r="BN54" s="912"/>
      <c r="BO54" s="9"/>
      <c r="BP54" s="9"/>
      <c r="BQ54" s="9"/>
      <c r="BR54" s="9"/>
      <c r="BS54" s="9"/>
      <c r="BT54" s="9"/>
      <c r="BU54" s="9"/>
    </row>
    <row r="55" spans="2:73" x14ac:dyDescent="0.35">
      <c r="B55"/>
      <c r="C55"/>
      <c r="D55" s="85"/>
      <c r="E55" s="85"/>
      <c r="F55" s="85"/>
      <c r="H55" s="129"/>
      <c r="I55" s="129"/>
      <c r="K55" s="911"/>
      <c r="L55" s="911">
        <f t="shared" ref="L55:AQ55" si="3">L50</f>
        <v>1</v>
      </c>
      <c r="M55" s="911">
        <f t="shared" si="3"/>
        <v>2</v>
      </c>
      <c r="N55" s="911">
        <f t="shared" si="3"/>
        <v>3</v>
      </c>
      <c r="O55" s="911">
        <f t="shared" si="3"/>
        <v>4</v>
      </c>
      <c r="P55" s="911">
        <f t="shared" si="3"/>
        <v>5</v>
      </c>
      <c r="Q55" s="911">
        <f t="shared" si="3"/>
        <v>6</v>
      </c>
      <c r="R55" s="911" t="str">
        <f t="shared" si="3"/>
        <v/>
      </c>
      <c r="S55" s="911" t="str">
        <f t="shared" si="3"/>
        <v/>
      </c>
      <c r="T55" s="911" t="str">
        <f t="shared" si="3"/>
        <v/>
      </c>
      <c r="U55" s="911" t="str">
        <f t="shared" si="3"/>
        <v/>
      </c>
      <c r="V55" s="911" t="str">
        <f t="shared" si="3"/>
        <v/>
      </c>
      <c r="W55" s="911" t="str">
        <f t="shared" si="3"/>
        <v/>
      </c>
      <c r="X55" s="911" t="str">
        <f t="shared" si="3"/>
        <v/>
      </c>
      <c r="Y55" s="911" t="str">
        <f t="shared" si="3"/>
        <v/>
      </c>
      <c r="Z55" s="911" t="str">
        <f t="shared" si="3"/>
        <v/>
      </c>
      <c r="AA55" s="911" t="str">
        <f t="shared" si="3"/>
        <v/>
      </c>
      <c r="AB55" s="911" t="str">
        <f t="shared" si="3"/>
        <v/>
      </c>
      <c r="AC55" s="911" t="str">
        <f t="shared" si="3"/>
        <v/>
      </c>
      <c r="AD55" s="911" t="str">
        <f t="shared" si="3"/>
        <v/>
      </c>
      <c r="AE55" s="911" t="str">
        <f t="shared" si="3"/>
        <v/>
      </c>
      <c r="AF55" s="911" t="str">
        <f t="shared" si="3"/>
        <v/>
      </c>
      <c r="AG55" s="911" t="str">
        <f t="shared" si="3"/>
        <v/>
      </c>
      <c r="AH55" s="911" t="str">
        <f t="shared" si="3"/>
        <v/>
      </c>
      <c r="AI55" s="911" t="str">
        <f t="shared" si="3"/>
        <v/>
      </c>
      <c r="AJ55" s="911" t="str">
        <f t="shared" si="3"/>
        <v/>
      </c>
      <c r="AK55" s="911" t="str">
        <f t="shared" si="3"/>
        <v/>
      </c>
      <c r="AL55" s="911" t="str">
        <f t="shared" si="3"/>
        <v/>
      </c>
      <c r="AM55" s="911" t="str">
        <f t="shared" si="3"/>
        <v/>
      </c>
      <c r="AN55" s="911" t="str">
        <f t="shared" si="3"/>
        <v/>
      </c>
      <c r="AO55" s="911" t="str">
        <f t="shared" si="3"/>
        <v/>
      </c>
      <c r="AP55" s="911" t="str">
        <f t="shared" si="3"/>
        <v/>
      </c>
      <c r="AQ55" s="911" t="str">
        <f t="shared" si="3"/>
        <v/>
      </c>
      <c r="AR55" s="911" t="str">
        <f t="shared" ref="AR55:BE55" si="4">AR50</f>
        <v/>
      </c>
      <c r="AS55" s="911" t="str">
        <f t="shared" si="4"/>
        <v/>
      </c>
      <c r="AT55" s="911" t="str">
        <f t="shared" si="4"/>
        <v/>
      </c>
      <c r="AU55" s="911" t="str">
        <f t="shared" si="4"/>
        <v/>
      </c>
      <c r="AV55" s="911" t="str">
        <f t="shared" si="4"/>
        <v/>
      </c>
      <c r="AW55" s="911" t="str">
        <f t="shared" si="4"/>
        <v/>
      </c>
      <c r="AX55" s="911" t="str">
        <f t="shared" si="4"/>
        <v/>
      </c>
      <c r="AY55" s="911" t="str">
        <f t="shared" si="4"/>
        <v/>
      </c>
      <c r="AZ55" s="911" t="str">
        <f t="shared" si="4"/>
        <v/>
      </c>
      <c r="BA55" s="911" t="str">
        <f t="shared" si="4"/>
        <v/>
      </c>
      <c r="BB55" s="911" t="str">
        <f t="shared" si="4"/>
        <v/>
      </c>
      <c r="BC55" s="911" t="str">
        <f t="shared" si="4"/>
        <v/>
      </c>
      <c r="BD55" s="911" t="str">
        <f t="shared" si="4"/>
        <v/>
      </c>
      <c r="BE55" s="911" t="str">
        <f t="shared" si="4"/>
        <v/>
      </c>
      <c r="BF55" s="911" t="str">
        <f t="shared" ref="BF55:BK55" si="5">BF50</f>
        <v/>
      </c>
      <c r="BG55" s="911" t="str">
        <f t="shared" si="5"/>
        <v/>
      </c>
      <c r="BH55" s="911" t="str">
        <f t="shared" si="5"/>
        <v/>
      </c>
      <c r="BI55" s="911" t="str">
        <f t="shared" si="5"/>
        <v/>
      </c>
      <c r="BJ55" s="911" t="str">
        <f t="shared" si="5"/>
        <v/>
      </c>
      <c r="BK55" s="911" t="str">
        <f t="shared" si="5"/>
        <v/>
      </c>
      <c r="BL55" s="911"/>
      <c r="BM55" s="911"/>
      <c r="BN55" s="911"/>
      <c r="BO55" s="9"/>
      <c r="BP55" s="9"/>
      <c r="BQ55" s="9"/>
      <c r="BR55" s="9"/>
      <c r="BS55" s="9"/>
      <c r="BT55" s="9"/>
      <c r="BU55" s="9"/>
    </row>
    <row r="56" spans="2:73" x14ac:dyDescent="0.35">
      <c r="B56" s="85"/>
      <c r="C56" s="85"/>
      <c r="D56" s="85"/>
      <c r="E56" s="85"/>
      <c r="F56" s="85"/>
      <c r="H56" s="129"/>
      <c r="I56" s="129"/>
      <c r="K56" s="911"/>
      <c r="L56" s="911"/>
      <c r="M56" s="911"/>
      <c r="N56" s="987"/>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c r="BE56" s="911"/>
      <c r="BF56" s="911"/>
      <c r="BG56" s="911"/>
      <c r="BH56" s="911"/>
      <c r="BI56" s="911"/>
      <c r="BJ56" s="911"/>
      <c r="BK56" s="911"/>
      <c r="BL56" s="911"/>
      <c r="BM56" s="911"/>
      <c r="BN56" s="911"/>
      <c r="BO56" s="9"/>
      <c r="BP56" s="9"/>
      <c r="BQ56" s="9"/>
      <c r="BR56" s="9"/>
      <c r="BS56" s="9"/>
      <c r="BT56" s="9"/>
      <c r="BU56" s="9"/>
    </row>
    <row r="57" spans="2:73" x14ac:dyDescent="0.35">
      <c r="B57" s="85"/>
      <c r="C57" s="85"/>
      <c r="D57" s="85"/>
      <c r="E57" s="85"/>
      <c r="F57" s="85"/>
      <c r="K57" s="911"/>
      <c r="L57" s="911"/>
      <c r="M57" s="911"/>
      <c r="N57" s="987"/>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c r="BE57" s="911"/>
      <c r="BF57" s="911"/>
      <c r="BG57" s="911"/>
      <c r="BH57" s="911"/>
      <c r="BI57" s="911"/>
      <c r="BJ57" s="911"/>
      <c r="BK57" s="911"/>
      <c r="BL57" s="911"/>
      <c r="BM57" s="911"/>
      <c r="BN57" s="911"/>
      <c r="BO57" s="9"/>
      <c r="BP57" s="9"/>
      <c r="BQ57" s="9"/>
      <c r="BR57" s="9"/>
      <c r="BS57" s="9"/>
      <c r="BT57" s="9"/>
      <c r="BU57" s="9"/>
    </row>
    <row r="58" spans="2:73" ht="15" thickBot="1" x14ac:dyDescent="0.4">
      <c r="B58" s="85"/>
      <c r="C58" s="85"/>
      <c r="D58" s="85"/>
      <c r="E58" s="85"/>
      <c r="F58" s="85"/>
      <c r="H58" s="129"/>
      <c r="I58" s="129"/>
      <c r="K58" s="911"/>
      <c r="L58" s="911"/>
      <c r="M58" s="911"/>
      <c r="N58" s="987"/>
      <c r="O58" s="911"/>
      <c r="P58" s="911"/>
      <c r="Q58" s="911"/>
      <c r="R58" s="911"/>
      <c r="S58" s="911"/>
      <c r="T58" s="911"/>
      <c r="U58" s="911"/>
      <c r="V58" s="911"/>
      <c r="W58" s="911"/>
      <c r="X58" s="911"/>
      <c r="Y58" s="911"/>
      <c r="Z58" s="911"/>
      <c r="AA58" s="911"/>
      <c r="AB58" s="911"/>
      <c r="AC58" s="911"/>
      <c r="AD58" s="911"/>
      <c r="AE58" s="911"/>
      <c r="AF58" s="911"/>
      <c r="AG58" s="911"/>
      <c r="AH58" s="911"/>
      <c r="AI58" s="911"/>
      <c r="AJ58" s="911"/>
      <c r="AK58" s="911"/>
      <c r="AL58" s="911"/>
      <c r="AM58" s="911"/>
      <c r="AN58" s="911"/>
      <c r="AO58" s="911"/>
      <c r="AP58" s="911"/>
      <c r="AQ58" s="911"/>
      <c r="AR58" s="911"/>
      <c r="AS58" s="911"/>
      <c r="AT58" s="911"/>
      <c r="AU58" s="911"/>
      <c r="AV58" s="911"/>
      <c r="AW58" s="911"/>
      <c r="AX58" s="911"/>
      <c r="AY58" s="911"/>
      <c r="AZ58" s="911"/>
      <c r="BA58" s="911"/>
      <c r="BB58" s="911"/>
      <c r="BC58" s="911"/>
      <c r="BD58" s="911"/>
      <c r="BE58" s="911"/>
      <c r="BF58" s="911"/>
      <c r="BG58" s="911"/>
      <c r="BH58" s="911"/>
      <c r="BI58" s="911"/>
      <c r="BJ58" s="911"/>
      <c r="BK58" s="911"/>
      <c r="BL58" s="911"/>
      <c r="BM58" s="911"/>
      <c r="BN58" s="911"/>
      <c r="BO58" s="9"/>
      <c r="BP58" s="9"/>
      <c r="BQ58" s="9"/>
      <c r="BR58" s="9"/>
      <c r="BS58" s="9"/>
      <c r="BT58" s="9"/>
      <c r="BU58" s="9"/>
    </row>
    <row r="59" spans="2:73" ht="15" thickBot="1" x14ac:dyDescent="0.4">
      <c r="B59" s="135" t="s">
        <v>1037</v>
      </c>
      <c r="C59" s="1254">
        <f ca="1">C53+C52</f>
        <v>402.45859990069914</v>
      </c>
      <c r="D59" s="90"/>
      <c r="E59" s="387" t="s">
        <v>1038</v>
      </c>
      <c r="F59" s="135" t="s">
        <v>1032</v>
      </c>
      <c r="G59" s="1254" t="str">
        <f ca="1">IFERROR(HLOOKUP('Weekly Summary'!$D$12,'User Dashboard'!$L$52:$BK$55,4,0),"Cap not reached")</f>
        <v>Cap not reached</v>
      </c>
      <c r="H59" s="135" t="s">
        <v>1303</v>
      </c>
      <c r="I59" s="1254" t="str">
        <f ca="1">IFERROR(HLOOKUP('Weekly Summary'!$D$13,'User Dashboard'!$L$51:$BK$55,5,0),"Cap not reached")</f>
        <v>Cap not reached</v>
      </c>
      <c r="K59" s="911"/>
      <c r="L59" s="911"/>
      <c r="M59" s="911"/>
      <c r="N59" s="987"/>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911"/>
      <c r="AM59" s="911"/>
      <c r="AN59" s="911"/>
      <c r="AO59" s="911"/>
      <c r="AP59" s="911"/>
      <c r="AQ59" s="911"/>
      <c r="AR59" s="911"/>
      <c r="AS59" s="911"/>
      <c r="AT59" s="911"/>
      <c r="AU59" s="911"/>
      <c r="AV59" s="911"/>
      <c r="AW59" s="911"/>
      <c r="AX59" s="911"/>
      <c r="AY59" s="911"/>
      <c r="AZ59" s="911"/>
      <c r="BA59" s="911"/>
      <c r="BB59" s="911"/>
      <c r="BC59" s="911"/>
      <c r="BD59" s="911"/>
      <c r="BE59" s="911"/>
      <c r="BF59" s="911"/>
      <c r="BG59" s="911"/>
      <c r="BH59" s="911"/>
      <c r="BI59" s="911"/>
      <c r="BJ59" s="911"/>
      <c r="BK59" s="911"/>
      <c r="BL59" s="911"/>
      <c r="BM59" s="911"/>
      <c r="BN59" s="911"/>
      <c r="BO59" s="9"/>
      <c r="BP59" s="9"/>
      <c r="BQ59" s="9"/>
      <c r="BR59" s="9"/>
      <c r="BS59" s="9"/>
      <c r="BT59" s="9"/>
      <c r="BU59" s="9"/>
    </row>
    <row r="60" spans="2:73" x14ac:dyDescent="0.35">
      <c r="B60" s="386" t="s">
        <v>1275</v>
      </c>
      <c r="C60" s="85"/>
      <c r="D60" s="85"/>
      <c r="E60" s="386" t="s">
        <v>1279</v>
      </c>
      <c r="H60" s="129"/>
      <c r="I60" s="129"/>
      <c r="K60" s="911"/>
      <c r="L60" s="911"/>
      <c r="M60" s="911"/>
      <c r="N60" s="987"/>
      <c r="O60" s="911"/>
      <c r="P60" s="911"/>
      <c r="Q60" s="911"/>
      <c r="R60" s="911"/>
      <c r="S60" s="911"/>
      <c r="T60" s="911"/>
      <c r="U60" s="911"/>
      <c r="V60" s="911"/>
      <c r="W60" s="911"/>
      <c r="X60" s="911"/>
      <c r="Y60" s="911"/>
      <c r="Z60" s="911"/>
      <c r="AA60" s="911"/>
      <c r="AB60" s="911"/>
      <c r="AC60" s="911"/>
      <c r="AD60" s="911"/>
      <c r="AE60" s="911"/>
      <c r="AF60" s="911"/>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c r="BE60" s="911"/>
      <c r="BF60" s="911"/>
      <c r="BG60" s="911"/>
      <c r="BH60" s="911"/>
      <c r="BI60" s="911"/>
      <c r="BJ60" s="911"/>
      <c r="BK60" s="911"/>
      <c r="BL60" s="911"/>
      <c r="BM60" s="911"/>
      <c r="BN60" s="911"/>
      <c r="BO60" s="9"/>
      <c r="BP60" s="9"/>
      <c r="BQ60" s="9"/>
      <c r="BR60" s="9"/>
      <c r="BS60" s="9"/>
      <c r="BT60" s="9"/>
      <c r="BU60" s="9"/>
    </row>
    <row r="61" spans="2:73" x14ac:dyDescent="0.35">
      <c r="B61" s="386"/>
      <c r="C61" s="85"/>
      <c r="D61" s="85"/>
      <c r="E61" s="386" t="s">
        <v>1302</v>
      </c>
      <c r="F61" s="85"/>
      <c r="H61" s="129"/>
      <c r="I61" s="129"/>
      <c r="K61" s="911"/>
      <c r="L61" s="911"/>
      <c r="M61" s="911"/>
      <c r="N61" s="987"/>
      <c r="O61" s="911"/>
      <c r="P61" s="911"/>
      <c r="Q61" s="911"/>
      <c r="R61" s="911"/>
      <c r="S61" s="911"/>
      <c r="T61" s="911"/>
      <c r="U61" s="911"/>
      <c r="V61" s="911"/>
      <c r="W61" s="911"/>
      <c r="X61" s="911"/>
      <c r="Y61" s="911"/>
      <c r="Z61" s="911"/>
      <c r="AA61" s="911"/>
      <c r="AB61" s="911"/>
      <c r="AC61" s="911"/>
      <c r="AD61" s="911"/>
      <c r="AE61" s="911"/>
      <c r="AF61" s="911"/>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c r="BE61" s="911"/>
      <c r="BF61" s="911"/>
      <c r="BG61" s="911"/>
      <c r="BH61" s="911"/>
      <c r="BI61" s="911"/>
      <c r="BJ61" s="911"/>
      <c r="BK61" s="911"/>
      <c r="BL61" s="911"/>
      <c r="BM61" s="911"/>
      <c r="BN61" s="911"/>
      <c r="BO61" s="9"/>
      <c r="BP61" s="9"/>
      <c r="BQ61" s="9"/>
      <c r="BR61" s="9"/>
      <c r="BS61" s="9"/>
      <c r="BT61" s="9"/>
      <c r="BU61" s="9"/>
    </row>
    <row r="62" spans="2:73" x14ac:dyDescent="0.35">
      <c r="B62" s="386"/>
      <c r="C62" s="85"/>
      <c r="D62" s="85"/>
      <c r="E62" s="85"/>
      <c r="F62" s="85"/>
      <c r="H62" s="129"/>
      <c r="I62" s="129"/>
      <c r="K62" s="911"/>
      <c r="L62" s="911"/>
      <c r="M62" s="911"/>
      <c r="N62" s="987"/>
      <c r="O62" s="911"/>
      <c r="P62" s="911"/>
      <c r="Q62" s="926"/>
      <c r="R62" s="926"/>
      <c r="S62" s="926"/>
      <c r="T62" s="926"/>
      <c r="U62" s="926"/>
      <c r="V62" s="926"/>
      <c r="W62" s="926"/>
      <c r="X62" s="926"/>
      <c r="Y62" s="911"/>
      <c r="Z62" s="911"/>
      <c r="AA62" s="911"/>
      <c r="AB62" s="911"/>
      <c r="AC62" s="911"/>
      <c r="AD62" s="911"/>
      <c r="AE62" s="911"/>
      <c r="AF62" s="911"/>
      <c r="AG62" s="911"/>
      <c r="AH62" s="911"/>
      <c r="AI62" s="911"/>
      <c r="AJ62" s="911"/>
      <c r="AK62" s="911"/>
      <c r="AL62" s="911"/>
      <c r="AM62" s="911"/>
      <c r="AN62" s="911"/>
      <c r="AO62" s="911"/>
      <c r="AP62" s="911"/>
      <c r="AQ62" s="911"/>
      <c r="AR62" s="911"/>
      <c r="AS62" s="911"/>
      <c r="AT62" s="911"/>
      <c r="AU62" s="911"/>
      <c r="AV62" s="911"/>
      <c r="AW62" s="911"/>
      <c r="AX62" s="911"/>
      <c r="AY62" s="911"/>
      <c r="AZ62" s="911"/>
      <c r="BA62" s="911"/>
      <c r="BB62" s="911"/>
      <c r="BC62" s="911"/>
      <c r="BD62" s="911"/>
      <c r="BE62" s="911"/>
      <c r="BF62" s="911"/>
      <c r="BG62" s="911"/>
      <c r="BH62" s="911"/>
      <c r="BI62" s="911"/>
      <c r="BJ62" s="911"/>
      <c r="BK62" s="911"/>
      <c r="BL62" s="911"/>
      <c r="BM62" s="911"/>
      <c r="BN62" s="911"/>
      <c r="BO62" s="9"/>
      <c r="BP62" s="9"/>
      <c r="BQ62" s="9"/>
      <c r="BR62" s="9"/>
      <c r="BS62" s="9"/>
      <c r="BT62" s="9"/>
      <c r="BU62" s="9"/>
    </row>
    <row r="63" spans="2:73" x14ac:dyDescent="0.35">
      <c r="B63" s="85"/>
      <c r="C63" s="85"/>
      <c r="D63" s="85"/>
      <c r="E63" s="85"/>
      <c r="F63" s="85"/>
      <c r="H63" s="129"/>
      <c r="I63" s="129"/>
      <c r="K63" s="911"/>
      <c r="L63" s="911"/>
      <c r="M63" s="911"/>
      <c r="N63" s="987"/>
      <c r="O63" s="911"/>
      <c r="P63" s="911"/>
      <c r="Q63" s="926"/>
      <c r="R63" s="926"/>
      <c r="S63" s="926"/>
      <c r="T63" s="926"/>
      <c r="U63" s="926"/>
      <c r="V63" s="926"/>
      <c r="W63" s="926"/>
      <c r="X63" s="926"/>
      <c r="Y63" s="911"/>
      <c r="Z63" s="911"/>
      <c r="AA63" s="911"/>
      <c r="AB63" s="911"/>
      <c r="AC63" s="911"/>
      <c r="AD63" s="911"/>
      <c r="AE63" s="911"/>
      <c r="AF63" s="911"/>
      <c r="AG63" s="911"/>
      <c r="AH63" s="911"/>
      <c r="AI63" s="911"/>
      <c r="AJ63" s="911"/>
      <c r="AK63" s="911"/>
      <c r="AL63" s="911"/>
      <c r="AM63" s="911"/>
      <c r="AN63" s="911"/>
      <c r="AO63" s="911"/>
      <c r="AP63" s="911"/>
      <c r="AQ63" s="911"/>
      <c r="AR63" s="911"/>
      <c r="AS63" s="911"/>
      <c r="AT63" s="911"/>
      <c r="AU63" s="911"/>
      <c r="AV63" s="911"/>
      <c r="AW63" s="911"/>
      <c r="AX63" s="911"/>
      <c r="AY63" s="911"/>
      <c r="AZ63" s="911"/>
      <c r="BA63" s="911"/>
      <c r="BB63" s="911"/>
      <c r="BC63" s="911"/>
      <c r="BD63" s="911"/>
      <c r="BE63" s="911"/>
      <c r="BF63" s="911"/>
      <c r="BG63" s="911"/>
      <c r="BH63" s="911"/>
      <c r="BI63" s="911"/>
      <c r="BJ63" s="911"/>
      <c r="BK63" s="911"/>
      <c r="BL63" s="911"/>
      <c r="BM63" s="911"/>
      <c r="BN63" s="911"/>
      <c r="BO63" s="9"/>
      <c r="BP63" s="9"/>
      <c r="BQ63" s="9"/>
      <c r="BR63" s="9"/>
      <c r="BS63" s="9"/>
      <c r="BT63" s="9"/>
      <c r="BU63" s="9"/>
    </row>
    <row r="64" spans="2:73" x14ac:dyDescent="0.35">
      <c r="B64" s="85"/>
      <c r="C64" s="85"/>
      <c r="D64" s="85"/>
      <c r="E64" s="85"/>
      <c r="F64" s="85"/>
      <c r="H64" s="129"/>
      <c r="I64" s="129"/>
      <c r="K64" s="911"/>
      <c r="L64" s="911"/>
      <c r="M64" s="911"/>
      <c r="N64" s="987"/>
      <c r="O64" s="911"/>
      <c r="P64" s="911"/>
      <c r="Q64" s="926"/>
      <c r="R64" s="926"/>
      <c r="S64" s="926"/>
      <c r="T64" s="926"/>
      <c r="U64" s="926"/>
      <c r="V64" s="926"/>
      <c r="W64" s="926"/>
      <c r="X64" s="926"/>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1"/>
      <c r="AY64" s="911"/>
      <c r="AZ64" s="911"/>
      <c r="BA64" s="911"/>
      <c r="BB64" s="911"/>
      <c r="BC64" s="911"/>
      <c r="BD64" s="911"/>
      <c r="BE64" s="911"/>
      <c r="BF64" s="911"/>
      <c r="BG64" s="911"/>
      <c r="BH64" s="911"/>
      <c r="BI64" s="911"/>
      <c r="BJ64" s="911"/>
      <c r="BK64" s="911"/>
      <c r="BL64" s="911"/>
      <c r="BM64" s="911"/>
      <c r="BN64" s="911"/>
      <c r="BO64" s="9"/>
      <c r="BP64" s="9"/>
      <c r="BQ64" s="9"/>
      <c r="BR64" s="9"/>
      <c r="BS64" s="9"/>
      <c r="BT64" s="9"/>
      <c r="BU64" s="9"/>
    </row>
    <row r="65" spans="2:73" x14ac:dyDescent="0.35">
      <c r="B65" s="85"/>
      <c r="C65" s="85"/>
      <c r="D65" s="85"/>
      <c r="E65" s="85"/>
      <c r="F65" s="85"/>
      <c r="H65" s="129"/>
      <c r="I65" s="129"/>
      <c r="K65" s="911"/>
      <c r="L65" s="911"/>
      <c r="M65" s="911"/>
      <c r="N65" s="987"/>
      <c r="O65" s="911"/>
      <c r="P65" s="911"/>
      <c r="Q65" s="926"/>
      <c r="R65" s="926"/>
      <c r="S65" s="926"/>
      <c r="T65" s="926"/>
      <c r="U65" s="926"/>
      <c r="V65" s="926"/>
      <c r="W65" s="926"/>
      <c r="X65" s="926"/>
      <c r="Y65" s="911"/>
      <c r="Z65" s="911"/>
      <c r="AA65" s="911"/>
      <c r="AB65" s="911"/>
      <c r="AC65" s="911"/>
      <c r="AD65" s="911"/>
      <c r="AE65" s="91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c r="BE65" s="911"/>
      <c r="BF65" s="911"/>
      <c r="BG65" s="911"/>
      <c r="BH65" s="911"/>
      <c r="BI65" s="911"/>
      <c r="BJ65" s="911"/>
      <c r="BK65" s="911"/>
      <c r="BL65" s="911"/>
      <c r="BM65" s="911"/>
      <c r="BN65" s="911"/>
      <c r="BO65" s="9"/>
      <c r="BP65" s="9"/>
      <c r="BQ65" s="9"/>
      <c r="BR65" s="9"/>
      <c r="BS65" s="9"/>
      <c r="BT65" s="9"/>
      <c r="BU65" s="9"/>
    </row>
    <row r="66" spans="2:73" x14ac:dyDescent="0.35">
      <c r="B66" s="85"/>
      <c r="C66" s="85"/>
      <c r="D66" s="85"/>
      <c r="E66" s="100" t="s">
        <v>913</v>
      </c>
      <c r="F66" s="297" t="s">
        <v>914</v>
      </c>
      <c r="K66" s="911"/>
      <c r="L66" s="911"/>
      <c r="M66" s="911"/>
      <c r="N66" s="987"/>
      <c r="O66" s="911"/>
      <c r="P66" s="911"/>
      <c r="Q66" s="926"/>
      <c r="R66" s="926"/>
      <c r="S66" s="926"/>
      <c r="T66" s="926"/>
      <c r="U66" s="926"/>
      <c r="V66" s="926"/>
      <c r="W66" s="926"/>
      <c r="X66" s="926"/>
      <c r="Y66" s="911"/>
      <c r="Z66" s="911"/>
      <c r="AA66" s="911"/>
      <c r="AB66" s="911"/>
      <c r="AC66" s="911"/>
      <c r="AD66" s="911"/>
      <c r="AE66" s="911"/>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c r="BE66" s="911"/>
      <c r="BF66" s="911"/>
      <c r="BG66" s="911"/>
      <c r="BH66" s="911"/>
      <c r="BI66" s="911"/>
      <c r="BJ66" s="911"/>
      <c r="BK66" s="911"/>
      <c r="BL66" s="911"/>
      <c r="BM66" s="911"/>
      <c r="BN66" s="911"/>
      <c r="BO66" s="9"/>
      <c r="BP66" s="9"/>
      <c r="BQ66" s="9"/>
      <c r="BR66" s="9"/>
      <c r="BS66" s="9"/>
      <c r="BT66" s="9"/>
      <c r="BU66" s="9"/>
    </row>
    <row r="67" spans="2:73" s="84" customFormat="1" x14ac:dyDescent="0.35">
      <c r="B67" s="85"/>
      <c r="C67" s="85"/>
      <c r="D67" s="85"/>
      <c r="E67" s="296">
        <f>IF(Mild_testing_strategy="Targeted",'Weekly Summary'!BF94+'Weekly Summary'!BF95,'Weekly Summary'!BF90+'Weekly Summary'!BF91)</f>
        <v>160.98343996027967</v>
      </c>
      <c r="F67" s="296">
        <f>IF(Mild_testing_strategy="Targeted",'Weekly Summary'!BF96,'Weekly Summary'!BF92)</f>
        <v>2012.2929995034956</v>
      </c>
      <c r="G67" s="85"/>
      <c r="K67" s="911"/>
      <c r="L67" s="911"/>
      <c r="M67" s="911"/>
      <c r="N67" s="987"/>
      <c r="O67" s="911"/>
      <c r="P67" s="911"/>
      <c r="Q67" s="926"/>
      <c r="R67" s="911"/>
      <c r="S67" s="911"/>
      <c r="T67" s="911"/>
      <c r="U67" s="911"/>
      <c r="V67" s="911"/>
      <c r="W67" s="911"/>
      <c r="X67" s="911"/>
      <c r="Y67" s="911"/>
      <c r="Z67" s="911"/>
      <c r="AA67" s="911"/>
      <c r="AB67" s="911"/>
      <c r="AC67" s="911"/>
      <c r="AD67" s="911"/>
      <c r="AE67" s="911"/>
      <c r="AF67" s="911"/>
      <c r="AG67" s="911"/>
      <c r="AH67" s="911"/>
      <c r="AI67" s="911"/>
      <c r="AJ67" s="911"/>
      <c r="AK67" s="911"/>
      <c r="AL67" s="911"/>
      <c r="AM67" s="911"/>
      <c r="AN67" s="911"/>
      <c r="AO67" s="911"/>
      <c r="AP67" s="911"/>
      <c r="AQ67" s="911"/>
      <c r="AR67" s="911"/>
      <c r="AS67" s="911"/>
      <c r="AT67" s="911"/>
      <c r="AU67" s="911"/>
      <c r="AV67" s="911"/>
      <c r="AW67" s="911"/>
      <c r="AX67" s="911"/>
      <c r="AY67" s="911"/>
      <c r="AZ67" s="911"/>
      <c r="BA67" s="911"/>
      <c r="BB67" s="911"/>
      <c r="BC67" s="911"/>
      <c r="BD67" s="911"/>
      <c r="BE67" s="911"/>
      <c r="BF67" s="911"/>
      <c r="BG67" s="911"/>
      <c r="BH67" s="911"/>
      <c r="BI67" s="911"/>
      <c r="BJ67" s="911"/>
      <c r="BK67" s="911"/>
      <c r="BL67" s="911"/>
      <c r="BM67" s="911"/>
      <c r="BN67" s="911"/>
      <c r="BO67" s="911"/>
      <c r="BP67" s="911"/>
      <c r="BQ67" s="911"/>
      <c r="BR67" s="911"/>
      <c r="BS67" s="911"/>
      <c r="BT67" s="911"/>
      <c r="BU67" s="911"/>
    </row>
    <row r="68" spans="2:73" s="84" customFormat="1" x14ac:dyDescent="0.35">
      <c r="B68" s="85"/>
      <c r="C68" s="85"/>
      <c r="D68" s="85"/>
      <c r="E68" s="297" t="s">
        <v>911</v>
      </c>
      <c r="F68" s="297" t="s">
        <v>912</v>
      </c>
      <c r="G68" s="85"/>
      <c r="H68"/>
      <c r="N68" s="106"/>
      <c r="O68" s="100"/>
      <c r="Q68" s="926"/>
      <c r="R68" s="911"/>
      <c r="S68" s="912">
        <f>F115</f>
        <v>1</v>
      </c>
      <c r="T68" s="911">
        <f>IFERROR(IF(S68+1&lt;=MAX('Patient Calcs'!$B$14:$B$65),S68+1,""),"")</f>
        <v>2</v>
      </c>
      <c r="U68" s="911">
        <f>IFERROR(IF(T68+1&lt;=MAX('Patient Calcs'!$B$14:$B$65),T68+1,""),"")</f>
        <v>3</v>
      </c>
      <c r="V68" s="911">
        <f>IFERROR(IF(U68+1&lt;=MAX('Patient Calcs'!$B$14:$B$65),U68+1,""),"")</f>
        <v>4</v>
      </c>
      <c r="W68" s="911">
        <f>IFERROR(IF(V68+1&lt;=MAX('Patient Calcs'!$B$14:$B$65),V68+1,""),"")</f>
        <v>5</v>
      </c>
      <c r="X68" s="911">
        <f>IFERROR(IF(W68+1&lt;=MAX('Patient Calcs'!$B$14:$B$65),W68+1,""),"")</f>
        <v>6</v>
      </c>
      <c r="Y68" s="911" t="str">
        <f>IFERROR(IF(X68+1&lt;=MAX('Patient Calcs'!$B$14:$B$65),X68+1,""),"")</f>
        <v/>
      </c>
      <c r="Z68" s="911" t="str">
        <f>IFERROR(IF(Y68+1&lt;=MAX('Patient Calcs'!$B$14:$B$65),Y68+1,""),"")</f>
        <v/>
      </c>
      <c r="AA68" s="911" t="str">
        <f>IFERROR(IF(Z68+1&lt;=MAX('Patient Calcs'!$B$14:$B$65),Z68+1,""),"")</f>
        <v/>
      </c>
      <c r="AB68" s="911" t="str">
        <f>IFERROR(IF(AA68+1&lt;=MAX('Patient Calcs'!$B$14:$B$65),AA68+1,""),"")</f>
        <v/>
      </c>
      <c r="AC68" s="911" t="str">
        <f>IFERROR(IF(AB68+1&lt;=MAX('Patient Calcs'!$B$14:$B$65),AB68+1,""),"")</f>
        <v/>
      </c>
      <c r="AD68" s="911" t="str">
        <f>IFERROR(IF(AC68+1&lt;=MAX('Patient Calcs'!$B$14:$B$65),AC68+1,""),"")</f>
        <v/>
      </c>
      <c r="AE68" s="911" t="str">
        <f>IFERROR(IF(AD68+1&lt;=MAX('Patient Calcs'!$B$14:$B$65),AD68+1,""),"")</f>
        <v/>
      </c>
      <c r="AF68" s="911" t="str">
        <f>IFERROR(IF(AE68+1&lt;=MAX('Patient Calcs'!$B$14:$B$65),AE68+1,""),"")</f>
        <v/>
      </c>
      <c r="AG68" s="911" t="str">
        <f>IFERROR(IF(AF68+1&lt;=MAX('Patient Calcs'!$B$14:$B$65),AF68+1,""),"")</f>
        <v/>
      </c>
      <c r="AH68" s="911" t="str">
        <f>IFERROR(IF(AG68+1&lt;=MAX('Patient Calcs'!$B$14:$B$65),AG68+1,""),"")</f>
        <v/>
      </c>
      <c r="AI68" s="911" t="str">
        <f>IFERROR(IF(AH68+1&lt;=MAX('Patient Calcs'!$B$14:$B$65),AH68+1,""),"")</f>
        <v/>
      </c>
      <c r="AJ68" s="911" t="str">
        <f>IFERROR(IF(AI68+1&lt;=MAX('Patient Calcs'!$B$14:$B$65),AI68+1,""),"")</f>
        <v/>
      </c>
      <c r="AK68" s="911" t="str">
        <f>IFERROR(IF(AJ68+1&lt;=MAX('Patient Calcs'!$B$14:$B$65),AJ68+1,""),"")</f>
        <v/>
      </c>
      <c r="AL68" s="911" t="str">
        <f>IFERROR(IF(AK68+1&lt;=MAX('Patient Calcs'!$B$14:$B$65),AK68+1,""),"")</f>
        <v/>
      </c>
      <c r="AM68" s="911" t="str">
        <f>IFERROR(IF(AL68+1&lt;=MAX('Patient Calcs'!$B$14:$B$65),AL68+1,""),"")</f>
        <v/>
      </c>
      <c r="AN68" s="911" t="str">
        <f>IFERROR(IF(AM68+1&lt;=MAX('Patient Calcs'!$B$14:$B$65),AM68+1,""),"")</f>
        <v/>
      </c>
      <c r="AO68" s="911" t="str">
        <f>IFERROR(IF(AN68+1&lt;=MAX('Patient Calcs'!$B$14:$B$65),AN68+1,""),"")</f>
        <v/>
      </c>
      <c r="AP68" s="911" t="str">
        <f>IFERROR(IF(AO68+1&lt;=MAX('Patient Calcs'!$B$14:$B$65),AO68+1,""),"")</f>
        <v/>
      </c>
      <c r="AQ68" s="911" t="str">
        <f>IFERROR(IF(AP68+1&lt;=MAX('Patient Calcs'!$B$14:$B$65),AP68+1,""),"")</f>
        <v/>
      </c>
      <c r="AR68" s="911" t="str">
        <f>IFERROR(IF(AQ68+1&lt;=MAX('Patient Calcs'!$B$14:$B$65),AQ68+1,""),"")</f>
        <v/>
      </c>
      <c r="AS68" s="911" t="str">
        <f>IFERROR(IF(AR68+1&lt;=MAX('Patient Calcs'!$B$14:$B$65),AR68+1,""),"")</f>
        <v/>
      </c>
      <c r="AT68" s="911" t="str">
        <f>IFERROR(IF(AS68+1&lt;=MAX('Patient Calcs'!$B$14:$B$65),AS68+1,""),"")</f>
        <v/>
      </c>
      <c r="AU68" s="911" t="str">
        <f>IFERROR(IF(AT68+1&lt;=MAX('Patient Calcs'!$B$14:$B$65),AT68+1,""),"")</f>
        <v/>
      </c>
      <c r="AV68" s="911" t="str">
        <f>IFERROR(IF(AU68+1&lt;=MAX('Patient Calcs'!$B$14:$B$65),AU68+1,""),"")</f>
        <v/>
      </c>
      <c r="AW68" s="911" t="str">
        <f>IFERROR(IF(AV68+1&lt;=MAX('Patient Calcs'!$B$14:$B$65),AV68+1,""),"")</f>
        <v/>
      </c>
      <c r="AX68" s="911" t="str">
        <f>IFERROR(IF(AW68+1&lt;=MAX('Patient Calcs'!$B$14:$B$65),AW68+1,""),"")</f>
        <v/>
      </c>
      <c r="AY68" s="911" t="str">
        <f>IFERROR(IF(AX68+1&lt;=MAX('Patient Calcs'!$B$14:$B$65),AX68+1,""),"")</f>
        <v/>
      </c>
      <c r="AZ68" s="911" t="str">
        <f>IFERROR(IF(AY68+1&lt;=MAX('Patient Calcs'!$B$14:$B$65),AY68+1,""),"")</f>
        <v/>
      </c>
      <c r="BA68" s="911" t="str">
        <f>IFERROR(IF(AZ68+1&lt;=MAX('Patient Calcs'!$B$14:$B$65),AZ68+1,""),"")</f>
        <v/>
      </c>
      <c r="BB68" s="911" t="str">
        <f>IFERROR(IF(BA68+1&lt;=MAX('Patient Calcs'!$B$14:$B$65),BA68+1,""),"")</f>
        <v/>
      </c>
      <c r="BC68" s="911" t="str">
        <f>IFERROR(IF(BB68+1&lt;=MAX('Patient Calcs'!$B$14:$B$65),BB68+1,""),"")</f>
        <v/>
      </c>
      <c r="BD68" s="911" t="str">
        <f>IFERROR(IF(BC68+1&lt;=MAX('Patient Calcs'!$B$14:$B$65),BC68+1,""),"")</f>
        <v/>
      </c>
      <c r="BE68" s="911" t="str">
        <f>IFERROR(IF(BD68+1&lt;=MAX('Patient Calcs'!$B$14:$B$65),BD68+1,""),"")</f>
        <v/>
      </c>
      <c r="BF68" s="911" t="str">
        <f>IFERROR(IF(BE68+1&lt;=MAX('Patient Calcs'!$B$14:$B$65),BE68+1,""),"")</f>
        <v/>
      </c>
      <c r="BG68" s="911" t="str">
        <f>IFERROR(IF(BF68+1&lt;=MAX('Patient Calcs'!$B$14:$B$65),BF68+1,""),"")</f>
        <v/>
      </c>
      <c r="BH68" s="911" t="str">
        <f>IFERROR(IF(BG68+1&lt;=MAX('Patient Calcs'!$B$14:$B$65),BG68+1,""),"")</f>
        <v/>
      </c>
      <c r="BI68" s="911" t="str">
        <f>IFERROR(IF(BH68+1&lt;=MAX('Patient Calcs'!$B$14:$B$65),BH68+1,""),"")</f>
        <v/>
      </c>
      <c r="BJ68" s="911" t="str">
        <f>IFERROR(IF(BI68+1&lt;=MAX('Patient Calcs'!$B$14:$B$65),BI68+1,""),"")</f>
        <v/>
      </c>
      <c r="BK68" s="911" t="str">
        <f>IFERROR(IF(BJ68+1&lt;=MAX('Patient Calcs'!$B$14:$B$65),BJ68+1,""),"")</f>
        <v/>
      </c>
      <c r="BL68" s="911" t="str">
        <f>IFERROR(IF(BK68+1&lt;=MAX('Patient Calcs'!$B$14:$B$65),BK68+1,""),"")</f>
        <v/>
      </c>
      <c r="BM68" s="911" t="str">
        <f>IFERROR(IF(BL68+1&lt;=MAX('Patient Calcs'!$B$14:$B$65),BL68+1,""),"")</f>
        <v/>
      </c>
      <c r="BN68" s="911" t="str">
        <f>IFERROR(IF(BM68+1&lt;=MAX('Patient Calcs'!$B$14:$B$65),BM68+1,""),"")</f>
        <v/>
      </c>
      <c r="BO68" s="911" t="str">
        <f>IFERROR(IF(BN68+1&lt;=MAX('Patient Calcs'!$B$14:$B$65),BN68+1,""),"")</f>
        <v/>
      </c>
      <c r="BP68" s="911" t="str">
        <f>IFERROR(IF(BO68+1&lt;=MAX('Patient Calcs'!$B$14:$B$65),BO68+1,""),"")</f>
        <v/>
      </c>
      <c r="BQ68" s="911" t="str">
        <f>IFERROR(IF(BP68+1&lt;=MAX('Patient Calcs'!$B$14:$B$65),BP68+1,""),"")</f>
        <v/>
      </c>
      <c r="BR68" s="911" t="str">
        <f>IFERROR(IF(BQ68+1&lt;=MAX('Patient Calcs'!$B$14:$B$65),BQ68+1,""),"")</f>
        <v/>
      </c>
    </row>
    <row r="69" spans="2:73" s="84" customFormat="1" x14ac:dyDescent="0.35">
      <c r="B69" s="85"/>
      <c r="C69" s="85"/>
      <c r="D69" s="85"/>
      <c r="E69" s="296">
        <f>'Weekly Summary'!BF84</f>
        <v>402.45859990069914</v>
      </c>
      <c r="F69" s="296">
        <f ca="1">'Weekly Summary'!BF85</f>
        <v>311.85908562309146</v>
      </c>
      <c r="G69" s="85"/>
      <c r="H69"/>
      <c r="N69" s="106"/>
      <c r="O69" s="100"/>
      <c r="Q69" s="926"/>
      <c r="R69" s="911" t="s">
        <v>1773</v>
      </c>
      <c r="S69" s="912">
        <f ca="1">IF(S$68&lt;=$I$12+$H$13,F152,"")</f>
        <v>0</v>
      </c>
      <c r="T69" s="912">
        <f t="shared" ref="T69:BR69" ca="1" si="6">IF(T$68&lt;=$I$12+$H$13,G152,"")</f>
        <v>22.122991446461814</v>
      </c>
      <c r="U69" s="912">
        <f t="shared" ca="1" si="6"/>
        <v>76.025104653260982</v>
      </c>
      <c r="V69" s="912">
        <f t="shared" ca="1" si="6"/>
        <v>261.24968040190799</v>
      </c>
      <c r="W69" s="912">
        <f t="shared" ca="1" si="6"/>
        <v>897.64560697740808</v>
      </c>
      <c r="X69" s="912">
        <f t="shared" ca="1" si="6"/>
        <v>3083.0718585744803</v>
      </c>
      <c r="Y69" s="912" t="str">
        <f t="shared" si="6"/>
        <v/>
      </c>
      <c r="Z69" s="912" t="str">
        <f t="shared" si="6"/>
        <v/>
      </c>
      <c r="AA69" s="912" t="str">
        <f t="shared" si="6"/>
        <v/>
      </c>
      <c r="AB69" s="912" t="str">
        <f t="shared" si="6"/>
        <v/>
      </c>
      <c r="AC69" s="912" t="str">
        <f t="shared" si="6"/>
        <v/>
      </c>
      <c r="AD69" s="912" t="str">
        <f t="shared" si="6"/>
        <v/>
      </c>
      <c r="AE69" s="912" t="str">
        <f t="shared" si="6"/>
        <v/>
      </c>
      <c r="AF69" s="912" t="str">
        <f t="shared" si="6"/>
        <v/>
      </c>
      <c r="AG69" s="912" t="str">
        <f t="shared" si="6"/>
        <v/>
      </c>
      <c r="AH69" s="912" t="str">
        <f t="shared" si="6"/>
        <v/>
      </c>
      <c r="AI69" s="912" t="str">
        <f t="shared" si="6"/>
        <v/>
      </c>
      <c r="AJ69" s="912" t="str">
        <f t="shared" si="6"/>
        <v/>
      </c>
      <c r="AK69" s="912" t="str">
        <f t="shared" si="6"/>
        <v/>
      </c>
      <c r="AL69" s="912" t="str">
        <f t="shared" si="6"/>
        <v/>
      </c>
      <c r="AM69" s="912" t="str">
        <f t="shared" si="6"/>
        <v/>
      </c>
      <c r="AN69" s="912" t="str">
        <f t="shared" si="6"/>
        <v/>
      </c>
      <c r="AO69" s="912" t="str">
        <f t="shared" si="6"/>
        <v/>
      </c>
      <c r="AP69" s="912" t="str">
        <f t="shared" si="6"/>
        <v/>
      </c>
      <c r="AQ69" s="912" t="str">
        <f t="shared" si="6"/>
        <v/>
      </c>
      <c r="AR69" s="912" t="str">
        <f t="shared" si="6"/>
        <v/>
      </c>
      <c r="AS69" s="912" t="str">
        <f t="shared" si="6"/>
        <v/>
      </c>
      <c r="AT69" s="912" t="str">
        <f t="shared" si="6"/>
        <v/>
      </c>
      <c r="AU69" s="912" t="str">
        <f t="shared" si="6"/>
        <v/>
      </c>
      <c r="AV69" s="912" t="str">
        <f t="shared" si="6"/>
        <v/>
      </c>
      <c r="AW69" s="912" t="str">
        <f t="shared" si="6"/>
        <v/>
      </c>
      <c r="AX69" s="912" t="str">
        <f t="shared" si="6"/>
        <v/>
      </c>
      <c r="AY69" s="912" t="str">
        <f t="shared" si="6"/>
        <v/>
      </c>
      <c r="AZ69" s="912" t="str">
        <f t="shared" si="6"/>
        <v/>
      </c>
      <c r="BA69" s="912" t="str">
        <f t="shared" si="6"/>
        <v/>
      </c>
      <c r="BB69" s="912" t="str">
        <f t="shared" si="6"/>
        <v/>
      </c>
      <c r="BC69" s="912" t="str">
        <f t="shared" si="6"/>
        <v/>
      </c>
      <c r="BD69" s="912" t="str">
        <f t="shared" si="6"/>
        <v/>
      </c>
      <c r="BE69" s="912" t="str">
        <f t="shared" si="6"/>
        <v/>
      </c>
      <c r="BF69" s="912" t="str">
        <f t="shared" si="6"/>
        <v/>
      </c>
      <c r="BG69" s="912" t="str">
        <f t="shared" si="6"/>
        <v/>
      </c>
      <c r="BH69" s="912" t="str">
        <f t="shared" si="6"/>
        <v/>
      </c>
      <c r="BI69" s="912" t="str">
        <f t="shared" si="6"/>
        <v/>
      </c>
      <c r="BJ69" s="912" t="str">
        <f t="shared" si="6"/>
        <v/>
      </c>
      <c r="BK69" s="912" t="str">
        <f t="shared" si="6"/>
        <v/>
      </c>
      <c r="BL69" s="912" t="str">
        <f t="shared" si="6"/>
        <v/>
      </c>
      <c r="BM69" s="912" t="str">
        <f t="shared" si="6"/>
        <v/>
      </c>
      <c r="BN69" s="912" t="str">
        <f t="shared" si="6"/>
        <v/>
      </c>
      <c r="BO69" s="912" t="str">
        <f t="shared" si="6"/>
        <v/>
      </c>
      <c r="BP69" s="912" t="str">
        <f t="shared" si="6"/>
        <v/>
      </c>
      <c r="BQ69" s="912" t="str">
        <f t="shared" si="6"/>
        <v/>
      </c>
      <c r="BR69" s="912" t="str">
        <f t="shared" si="6"/>
        <v/>
      </c>
    </row>
    <row r="70" spans="2:73" s="84" customFormat="1" x14ac:dyDescent="0.35">
      <c r="B70" s="85"/>
      <c r="C70" s="85"/>
      <c r="D70" s="85"/>
      <c r="E70" s="85"/>
      <c r="F70" s="85"/>
      <c r="G70" s="85"/>
      <c r="H70"/>
      <c r="I70" s="129"/>
      <c r="N70" s="106"/>
      <c r="O70" s="100"/>
      <c r="Q70" s="926"/>
      <c r="R70" s="911" t="s">
        <v>1772</v>
      </c>
      <c r="S70" s="912">
        <f ca="1">IF(S$68&lt;=$I$12+$H$13,F153+F154,"")</f>
        <v>0</v>
      </c>
      <c r="T70" s="912">
        <f t="shared" ref="T70:BR70" ca="1" si="7">IF(T$68&lt;=$I$12+$H$13,G153+G154,"")</f>
        <v>0</v>
      </c>
      <c r="U70" s="912">
        <f t="shared" ca="1" si="7"/>
        <v>98.148096099722778</v>
      </c>
      <c r="V70" s="912">
        <f t="shared" ca="1" si="7"/>
        <v>337.27478505516893</v>
      </c>
      <c r="W70" s="912">
        <f t="shared" ca="1" si="7"/>
        <v>1158.8952873793162</v>
      </c>
      <c r="X70" s="912">
        <f t="shared" ca="1" si="7"/>
        <v>3980.7174655518893</v>
      </c>
      <c r="Y70" s="912" t="str">
        <f t="shared" si="7"/>
        <v/>
      </c>
      <c r="Z70" s="912" t="str">
        <f t="shared" si="7"/>
        <v/>
      </c>
      <c r="AA70" s="912" t="str">
        <f t="shared" si="7"/>
        <v/>
      </c>
      <c r="AB70" s="912" t="str">
        <f t="shared" si="7"/>
        <v/>
      </c>
      <c r="AC70" s="912" t="str">
        <f t="shared" si="7"/>
        <v/>
      </c>
      <c r="AD70" s="912" t="str">
        <f t="shared" si="7"/>
        <v/>
      </c>
      <c r="AE70" s="912" t="str">
        <f t="shared" si="7"/>
        <v/>
      </c>
      <c r="AF70" s="912" t="str">
        <f t="shared" si="7"/>
        <v/>
      </c>
      <c r="AG70" s="912" t="str">
        <f t="shared" si="7"/>
        <v/>
      </c>
      <c r="AH70" s="912" t="str">
        <f t="shared" si="7"/>
        <v/>
      </c>
      <c r="AI70" s="912" t="str">
        <f t="shared" si="7"/>
        <v/>
      </c>
      <c r="AJ70" s="871" t="str">
        <f t="shared" si="7"/>
        <v/>
      </c>
      <c r="AK70" s="871" t="str">
        <f t="shared" si="7"/>
        <v/>
      </c>
      <c r="AL70" s="871" t="str">
        <f t="shared" si="7"/>
        <v/>
      </c>
      <c r="AM70" s="871" t="str">
        <f t="shared" si="7"/>
        <v/>
      </c>
      <c r="AN70" s="871" t="str">
        <f t="shared" si="7"/>
        <v/>
      </c>
      <c r="AO70" s="871" t="str">
        <f t="shared" si="7"/>
        <v/>
      </c>
      <c r="AP70" s="871" t="str">
        <f t="shared" si="7"/>
        <v/>
      </c>
      <c r="AQ70" s="871" t="str">
        <f t="shared" si="7"/>
        <v/>
      </c>
      <c r="AR70" s="871" t="str">
        <f t="shared" si="7"/>
        <v/>
      </c>
      <c r="AS70" s="871" t="str">
        <f t="shared" si="7"/>
        <v/>
      </c>
      <c r="AT70" s="871" t="str">
        <f t="shared" si="7"/>
        <v/>
      </c>
      <c r="AU70" s="871" t="str">
        <f t="shared" si="7"/>
        <v/>
      </c>
      <c r="AV70" s="871" t="str">
        <f t="shared" si="7"/>
        <v/>
      </c>
      <c r="AW70" s="871" t="str">
        <f t="shared" si="7"/>
        <v/>
      </c>
      <c r="AX70" s="871" t="str">
        <f t="shared" si="7"/>
        <v/>
      </c>
      <c r="AY70" s="871" t="str">
        <f t="shared" si="7"/>
        <v/>
      </c>
      <c r="AZ70" s="871" t="str">
        <f t="shared" si="7"/>
        <v/>
      </c>
      <c r="BA70" s="871" t="str">
        <f t="shared" si="7"/>
        <v/>
      </c>
      <c r="BB70" s="871" t="str">
        <f t="shared" si="7"/>
        <v/>
      </c>
      <c r="BC70" s="871" t="str">
        <f t="shared" si="7"/>
        <v/>
      </c>
      <c r="BD70" s="871" t="str">
        <f t="shared" si="7"/>
        <v/>
      </c>
      <c r="BE70" s="871" t="str">
        <f t="shared" si="7"/>
        <v/>
      </c>
      <c r="BF70" s="871" t="str">
        <f t="shared" si="7"/>
        <v/>
      </c>
      <c r="BG70" s="871" t="str">
        <f t="shared" si="7"/>
        <v/>
      </c>
      <c r="BH70" s="871" t="str">
        <f t="shared" si="7"/>
        <v/>
      </c>
      <c r="BI70" s="871" t="str">
        <f t="shared" si="7"/>
        <v/>
      </c>
      <c r="BJ70" s="871" t="str">
        <f t="shared" si="7"/>
        <v/>
      </c>
      <c r="BK70" s="871" t="str">
        <f t="shared" si="7"/>
        <v/>
      </c>
      <c r="BL70" s="871" t="str">
        <f t="shared" si="7"/>
        <v/>
      </c>
      <c r="BM70" s="871" t="str">
        <f t="shared" si="7"/>
        <v/>
      </c>
      <c r="BN70" s="871" t="str">
        <f t="shared" si="7"/>
        <v/>
      </c>
      <c r="BO70" s="871" t="str">
        <f t="shared" si="7"/>
        <v/>
      </c>
      <c r="BP70" s="871" t="str">
        <f t="shared" si="7"/>
        <v/>
      </c>
      <c r="BQ70" s="871" t="str">
        <f t="shared" si="7"/>
        <v/>
      </c>
      <c r="BR70" s="871" t="str">
        <f t="shared" si="7"/>
        <v/>
      </c>
    </row>
    <row r="71" spans="2:73" s="84" customFormat="1" x14ac:dyDescent="0.35">
      <c r="B71" s="85"/>
      <c r="C71" s="85"/>
      <c r="D71" s="85"/>
      <c r="E71" s="85"/>
      <c r="F71" s="85"/>
      <c r="G71" s="85"/>
      <c r="H71"/>
      <c r="I71" s="129"/>
      <c r="N71" s="106"/>
      <c r="O71" s="100"/>
      <c r="Q71" s="926"/>
      <c r="R71" s="911" t="s">
        <v>1774</v>
      </c>
      <c r="S71" s="912">
        <f ca="1">IFERROR(S70+S69,"")</f>
        <v>0</v>
      </c>
      <c r="T71" s="912">
        <f t="shared" ref="T71:BR71" ca="1" si="8">IFERROR(T70+T69,"")</f>
        <v>22.122991446461814</v>
      </c>
      <c r="U71" s="912">
        <f t="shared" ca="1" si="8"/>
        <v>174.17320075298375</v>
      </c>
      <c r="V71" s="912">
        <f t="shared" ca="1" si="8"/>
        <v>598.52446545707699</v>
      </c>
      <c r="W71" s="912">
        <f t="shared" ca="1" si="8"/>
        <v>2056.5408943567245</v>
      </c>
      <c r="X71" s="912">
        <f t="shared" ca="1" si="8"/>
        <v>7063.78932412637</v>
      </c>
      <c r="Y71" s="912" t="str">
        <f t="shared" si="8"/>
        <v/>
      </c>
      <c r="Z71" s="912" t="str">
        <f t="shared" si="8"/>
        <v/>
      </c>
      <c r="AA71" s="912" t="str">
        <f t="shared" si="8"/>
        <v/>
      </c>
      <c r="AB71" s="912" t="str">
        <f t="shared" si="8"/>
        <v/>
      </c>
      <c r="AC71" s="912" t="str">
        <f t="shared" si="8"/>
        <v/>
      </c>
      <c r="AD71" s="912" t="str">
        <f t="shared" si="8"/>
        <v/>
      </c>
      <c r="AE71" s="912" t="str">
        <f t="shared" si="8"/>
        <v/>
      </c>
      <c r="AF71" s="912" t="str">
        <f t="shared" si="8"/>
        <v/>
      </c>
      <c r="AG71" s="912" t="str">
        <f t="shared" si="8"/>
        <v/>
      </c>
      <c r="AH71" s="912" t="str">
        <f t="shared" si="8"/>
        <v/>
      </c>
      <c r="AI71" s="912" t="str">
        <f t="shared" si="8"/>
        <v/>
      </c>
      <c r="AJ71" s="912" t="str">
        <f t="shared" si="8"/>
        <v/>
      </c>
      <c r="AK71" s="912" t="str">
        <f t="shared" si="8"/>
        <v/>
      </c>
      <c r="AL71" s="912" t="str">
        <f t="shared" si="8"/>
        <v/>
      </c>
      <c r="AM71" s="912" t="str">
        <f t="shared" si="8"/>
        <v/>
      </c>
      <c r="AN71" s="912" t="str">
        <f t="shared" si="8"/>
        <v/>
      </c>
      <c r="AO71" s="912" t="str">
        <f t="shared" si="8"/>
        <v/>
      </c>
      <c r="AP71" s="912" t="str">
        <f t="shared" si="8"/>
        <v/>
      </c>
      <c r="AQ71" s="912" t="str">
        <f t="shared" si="8"/>
        <v/>
      </c>
      <c r="AR71" s="912" t="str">
        <f t="shared" si="8"/>
        <v/>
      </c>
      <c r="AS71" s="912" t="str">
        <f t="shared" si="8"/>
        <v/>
      </c>
      <c r="AT71" s="912" t="str">
        <f t="shared" si="8"/>
        <v/>
      </c>
      <c r="AU71" s="912" t="str">
        <f t="shared" si="8"/>
        <v/>
      </c>
      <c r="AV71" s="912" t="str">
        <f t="shared" si="8"/>
        <v/>
      </c>
      <c r="AW71" s="912" t="str">
        <f t="shared" si="8"/>
        <v/>
      </c>
      <c r="AX71" s="912" t="str">
        <f t="shared" si="8"/>
        <v/>
      </c>
      <c r="AY71" s="912" t="str">
        <f t="shared" si="8"/>
        <v/>
      </c>
      <c r="AZ71" s="912" t="str">
        <f t="shared" si="8"/>
        <v/>
      </c>
      <c r="BA71" s="912" t="str">
        <f t="shared" si="8"/>
        <v/>
      </c>
      <c r="BB71" s="912" t="str">
        <f t="shared" si="8"/>
        <v/>
      </c>
      <c r="BC71" s="912" t="str">
        <f t="shared" si="8"/>
        <v/>
      </c>
      <c r="BD71" s="912" t="str">
        <f t="shared" si="8"/>
        <v/>
      </c>
      <c r="BE71" s="912" t="str">
        <f t="shared" si="8"/>
        <v/>
      </c>
      <c r="BF71" s="912" t="str">
        <f t="shared" si="8"/>
        <v/>
      </c>
      <c r="BG71" s="912" t="str">
        <f t="shared" si="8"/>
        <v/>
      </c>
      <c r="BH71" s="912" t="str">
        <f t="shared" si="8"/>
        <v/>
      </c>
      <c r="BI71" s="912" t="str">
        <f t="shared" si="8"/>
        <v/>
      </c>
      <c r="BJ71" s="912" t="str">
        <f t="shared" si="8"/>
        <v/>
      </c>
      <c r="BK71" s="912" t="str">
        <f t="shared" si="8"/>
        <v/>
      </c>
      <c r="BL71" s="912" t="str">
        <f t="shared" si="8"/>
        <v/>
      </c>
      <c r="BM71" s="912" t="str">
        <f t="shared" si="8"/>
        <v/>
      </c>
      <c r="BN71" s="912" t="str">
        <f t="shared" si="8"/>
        <v/>
      </c>
      <c r="BO71" s="912" t="str">
        <f t="shared" si="8"/>
        <v/>
      </c>
      <c r="BP71" s="912" t="str">
        <f t="shared" si="8"/>
        <v/>
      </c>
      <c r="BQ71" s="912" t="str">
        <f t="shared" si="8"/>
        <v/>
      </c>
      <c r="BR71" s="912" t="str">
        <f t="shared" si="8"/>
        <v/>
      </c>
    </row>
    <row r="72" spans="2:73" s="84" customFormat="1" x14ac:dyDescent="0.35">
      <c r="B72" s="85"/>
      <c r="C72" s="85"/>
      <c r="D72" s="85"/>
      <c r="E72" s="85"/>
      <c r="F72" s="85"/>
      <c r="G72" s="85"/>
      <c r="H72"/>
      <c r="I72" s="129"/>
      <c r="N72" s="106"/>
      <c r="O72" s="100"/>
      <c r="Q72" s="926"/>
      <c r="R72" s="911"/>
      <c r="S72" s="911"/>
      <c r="T72" s="911"/>
      <c r="U72" s="911"/>
      <c r="V72" s="911"/>
      <c r="W72" s="911"/>
      <c r="X72" s="911"/>
      <c r="Y72" s="911"/>
      <c r="Z72" s="911"/>
      <c r="AA72" s="911"/>
      <c r="AB72" s="911"/>
      <c r="AC72" s="911"/>
      <c r="AD72" s="911"/>
      <c r="AE72" s="911"/>
      <c r="AF72" s="911"/>
      <c r="AG72" s="911"/>
      <c r="AH72" s="911"/>
      <c r="AI72" s="911"/>
    </row>
    <row r="73" spans="2:73" s="84" customFormat="1" x14ac:dyDescent="0.35">
      <c r="B73" s="85"/>
      <c r="C73" s="85"/>
      <c r="D73" s="85"/>
      <c r="E73" s="85"/>
      <c r="F73" s="85"/>
      <c r="G73" s="85"/>
      <c r="H73"/>
      <c r="I73" s="129"/>
      <c r="N73" s="106"/>
      <c r="O73" s="100"/>
      <c r="Q73" s="926"/>
      <c r="R73" s="911"/>
      <c r="S73" s="911"/>
      <c r="T73" s="911"/>
      <c r="U73" s="911"/>
      <c r="V73" s="911"/>
      <c r="W73" s="911"/>
      <c r="X73" s="911"/>
      <c r="Y73" s="911"/>
      <c r="Z73" s="911"/>
      <c r="AA73" s="911"/>
      <c r="AB73" s="911"/>
      <c r="AC73" s="911"/>
      <c r="AD73" s="911"/>
      <c r="AE73" s="911"/>
      <c r="AF73" s="911"/>
      <c r="AG73" s="911"/>
      <c r="AH73" s="911"/>
      <c r="AI73" s="911"/>
    </row>
    <row r="74" spans="2:73" s="84" customFormat="1" x14ac:dyDescent="0.35">
      <c r="B74" s="85"/>
      <c r="C74" s="85"/>
      <c r="D74" s="85"/>
      <c r="E74" s="85"/>
      <c r="F74" s="85"/>
      <c r="G74" s="85"/>
      <c r="H74" s="129"/>
      <c r="I74" s="129"/>
      <c r="N74" s="106"/>
      <c r="O74" s="100"/>
      <c r="Q74" s="926"/>
      <c r="R74" s="926"/>
      <c r="S74" s="926"/>
      <c r="T74" s="926"/>
      <c r="U74" s="926"/>
      <c r="V74" s="926"/>
      <c r="W74" s="926"/>
      <c r="X74" s="926"/>
    </row>
    <row r="75" spans="2:73" s="84" customFormat="1" x14ac:dyDescent="0.35">
      <c r="B75" s="85"/>
      <c r="C75" s="85"/>
      <c r="D75" s="85"/>
      <c r="E75" s="85"/>
      <c r="F75" s="85"/>
      <c r="G75" s="85"/>
      <c r="H75" s="129"/>
      <c r="I75" s="129"/>
      <c r="N75" s="106"/>
      <c r="O75" s="100"/>
      <c r="Q75" s="926"/>
      <c r="R75" s="926"/>
      <c r="S75" s="926"/>
      <c r="T75" s="926"/>
      <c r="U75" s="926"/>
      <c r="V75" s="926"/>
      <c r="W75" s="926"/>
      <c r="X75" s="926"/>
    </row>
    <row r="76" spans="2:73" s="84" customFormat="1" x14ac:dyDescent="0.35">
      <c r="B76" s="85"/>
      <c r="C76" s="85"/>
      <c r="D76" s="85"/>
      <c r="E76" s="85"/>
      <c r="G76" s="85"/>
      <c r="I76" s="129"/>
      <c r="N76" s="106"/>
      <c r="O76" s="100"/>
      <c r="Q76" s="926"/>
      <c r="R76" s="926"/>
      <c r="S76" s="926"/>
      <c r="T76" s="926"/>
      <c r="U76" s="926"/>
      <c r="V76" s="926"/>
      <c r="W76" s="926"/>
      <c r="X76" s="926"/>
    </row>
    <row r="77" spans="2:73" s="84" customFormat="1" x14ac:dyDescent="0.35">
      <c r="B77" s="85"/>
      <c r="C77" s="85"/>
      <c r="D77" s="85"/>
      <c r="E77" s="85"/>
      <c r="F77" s="85"/>
      <c r="G77" s="85"/>
      <c r="H77" s="129"/>
      <c r="I77" s="129"/>
      <c r="N77" s="106"/>
      <c r="O77" s="100"/>
      <c r="Q77" s="926"/>
      <c r="R77" s="926"/>
      <c r="S77" s="926"/>
      <c r="T77" s="926"/>
      <c r="U77" s="926"/>
      <c r="V77" s="926"/>
      <c r="W77" s="926"/>
      <c r="X77" s="926"/>
    </row>
    <row r="78" spans="2:73" s="84" customFormat="1" ht="15" thickBot="1" x14ac:dyDescent="0.4">
      <c r="B78" s="85"/>
      <c r="C78" s="85"/>
      <c r="D78" s="85"/>
      <c r="E78" s="85"/>
      <c r="F78" s="85"/>
      <c r="G78" s="85"/>
      <c r="H78" s="129"/>
      <c r="I78" s="386" t="s">
        <v>1775</v>
      </c>
      <c r="N78" s="106"/>
      <c r="O78" s="100"/>
      <c r="Q78" s="926"/>
      <c r="R78" s="926"/>
      <c r="S78" s="926"/>
      <c r="T78" s="926"/>
      <c r="U78" s="926"/>
      <c r="V78" s="926"/>
      <c r="W78" s="926"/>
      <c r="X78" s="926"/>
    </row>
    <row r="79" spans="2:73" s="84" customFormat="1" ht="33" customHeight="1" thickBot="1" x14ac:dyDescent="0.4">
      <c r="B79" s="379" t="s">
        <v>998</v>
      </c>
      <c r="C79" s="1253">
        <f ca="1">Total_tests_conducted</f>
        <v>2887.5941249875659</v>
      </c>
      <c r="D79" s="85"/>
      <c r="E79" s="379" t="s">
        <v>1031</v>
      </c>
      <c r="F79" s="1254">
        <f ca="1">E67+F67+E69+F69</f>
        <v>2887.5941249875659</v>
      </c>
      <c r="G79" s="85"/>
      <c r="H79" s="129"/>
      <c r="I79" s="81"/>
      <c r="K79" s="295"/>
      <c r="L79" s="295"/>
      <c r="M79" s="295"/>
      <c r="N79" s="873"/>
      <c r="O79" s="295"/>
      <c r="P79" s="295"/>
      <c r="Q79" s="926"/>
      <c r="R79" s="926"/>
      <c r="S79" s="926"/>
      <c r="T79" s="926"/>
      <c r="U79" s="926"/>
      <c r="V79" s="926"/>
      <c r="W79" s="926"/>
      <c r="X79" s="926"/>
    </row>
    <row r="80" spans="2:73" s="84" customFormat="1" x14ac:dyDescent="0.35">
      <c r="B80" s="85"/>
      <c r="C80" s="85"/>
      <c r="D80" s="85"/>
      <c r="E80" s="85"/>
      <c r="F80" s="1386"/>
      <c r="G80" s="85"/>
      <c r="H80"/>
      <c r="I80"/>
      <c r="K80" s="295"/>
      <c r="L80" s="295"/>
      <c r="M80" s="295"/>
      <c r="N80" s="295"/>
      <c r="O80" s="874"/>
      <c r="P80" s="295"/>
      <c r="Q80" s="295"/>
      <c r="R80" s="295"/>
      <c r="S80" s="295"/>
      <c r="T80" s="295"/>
      <c r="U80" s="295"/>
      <c r="X80" s="115"/>
    </row>
    <row r="81" spans="2:66" s="84" customFormat="1" x14ac:dyDescent="0.35">
      <c r="B81" s="85"/>
      <c r="C81" s="85"/>
      <c r="D81" s="85"/>
      <c r="E81" s="85"/>
      <c r="F81" s="85"/>
      <c r="G81" s="85"/>
      <c r="H81" s="130"/>
      <c r="I81" s="128"/>
      <c r="K81" s="295"/>
      <c r="L81" s="295"/>
      <c r="M81" s="295"/>
      <c r="N81" s="873"/>
      <c r="O81" s="874"/>
      <c r="P81" s="295"/>
      <c r="Q81" s="295"/>
      <c r="R81" s="295"/>
      <c r="S81" s="295"/>
      <c r="T81" s="295"/>
      <c r="U81" s="295"/>
      <c r="X81" s="115"/>
    </row>
    <row r="82" spans="2:66" s="84" customFormat="1" x14ac:dyDescent="0.35">
      <c r="B82" s="85"/>
      <c r="C82" s="85"/>
      <c r="D82" s="85"/>
      <c r="E82" s="85"/>
      <c r="F82" s="85"/>
      <c r="G82" s="85"/>
      <c r="H82" s="130"/>
      <c r="I82" s="128"/>
      <c r="K82" s="295"/>
      <c r="L82" s="295"/>
      <c r="M82" s="295"/>
      <c r="N82" s="875"/>
      <c r="O82" s="874"/>
      <c r="P82" s="295"/>
      <c r="Q82" s="295"/>
      <c r="R82" s="295"/>
      <c r="S82" s="295"/>
      <c r="T82" s="295"/>
      <c r="U82" s="295"/>
      <c r="X82" s="115"/>
    </row>
    <row r="83" spans="2:66" s="84" customFormat="1" x14ac:dyDescent="0.35">
      <c r="B83" s="85"/>
      <c r="C83" s="85"/>
      <c r="D83" s="85"/>
      <c r="E83" s="85"/>
      <c r="F83" s="85"/>
      <c r="G83" s="85"/>
      <c r="H83" s="130"/>
      <c r="I83" s="128"/>
      <c r="K83" s="295"/>
      <c r="L83" s="295"/>
      <c r="M83" s="295"/>
      <c r="N83" s="876"/>
      <c r="O83" s="874"/>
      <c r="P83" s="295"/>
      <c r="Q83" s="295"/>
      <c r="R83" s="295"/>
      <c r="S83" s="295"/>
      <c r="T83" s="295"/>
      <c r="U83" s="295"/>
      <c r="X83" s="115"/>
    </row>
    <row r="84" spans="2:66" s="84" customFormat="1" x14ac:dyDescent="0.35">
      <c r="B84" s="129"/>
      <c r="C84" s="293"/>
      <c r="D84" s="85"/>
      <c r="E84" s="85"/>
      <c r="F84" s="85"/>
      <c r="G84" s="85"/>
      <c r="H84" s="130"/>
      <c r="I84" s="128"/>
      <c r="K84" s="911" t="s">
        <v>909</v>
      </c>
      <c r="L84" s="295"/>
      <c r="M84" s="295"/>
      <c r="N84" s="295"/>
      <c r="O84" s="295"/>
      <c r="P84" s="295"/>
      <c r="Q84" s="295"/>
      <c r="R84" s="295"/>
      <c r="S84" s="295"/>
      <c r="T84" s="295"/>
      <c r="U84" s="295"/>
      <c r="V84" s="115"/>
      <c r="W84" s="115"/>
      <c r="X84" s="115"/>
      <c r="Y84" s="115"/>
      <c r="Z84" s="115"/>
      <c r="AA84" s="115"/>
      <c r="AB84" s="115"/>
      <c r="AC84" s="115"/>
      <c r="AD84" s="115"/>
      <c r="AE84" s="115"/>
      <c r="AF84" s="115"/>
      <c r="AG84" s="115"/>
      <c r="AH84" s="115"/>
      <c r="AI84" s="115"/>
    </row>
    <row r="85" spans="2:66" s="84" customFormat="1" x14ac:dyDescent="0.35">
      <c r="B85" s="809" t="s">
        <v>297</v>
      </c>
      <c r="C85" s="810">
        <f ca="1">H236</f>
        <v>16304.670808457877</v>
      </c>
      <c r="D85" s="811"/>
      <c r="E85" s="85"/>
      <c r="F85" s="85"/>
      <c r="G85" s="85"/>
      <c r="H85" s="130"/>
      <c r="I85" s="128"/>
      <c r="K85" s="911"/>
      <c r="L85" s="912">
        <f>F115</f>
        <v>1</v>
      </c>
      <c r="M85" s="911">
        <f>IFERROR(IF(L85+1&lt;=MAX('Patient Calcs'!$B$14:$B$65),L85+1,""),"")</f>
        <v>2</v>
      </c>
      <c r="N85" s="911">
        <f>IFERROR(IF(M85+1&lt;=MAX('Patient Calcs'!$B$14:$B$65),M85+1,""),"")</f>
        <v>3</v>
      </c>
      <c r="O85" s="911">
        <f>IFERROR(IF(N85+1&lt;=MAX('Patient Calcs'!$B$14:$B$65),N85+1,""),"")</f>
        <v>4</v>
      </c>
      <c r="P85" s="911">
        <f>IFERROR(IF(O85+1&lt;=MAX('Patient Calcs'!$B$14:$B$65),O85+1,""),"")</f>
        <v>5</v>
      </c>
      <c r="Q85" s="911">
        <f>IFERROR(IF(P85+1&lt;=MAX('Patient Calcs'!$B$14:$B$65),P85+1,""),"")</f>
        <v>6</v>
      </c>
      <c r="R85" s="911" t="str">
        <f>IFERROR(IF(Q85+1&lt;=MAX('Patient Calcs'!$B$14:$B$65),Q85+1,""),"")</f>
        <v/>
      </c>
      <c r="S85" s="911" t="str">
        <f>IFERROR(IF(R85+1&lt;=MAX('Patient Calcs'!$B$14:$B$65),R85+1,""),"")</f>
        <v/>
      </c>
      <c r="T85" s="911" t="str">
        <f>IFERROR(IF(S85+1&lt;=MAX('Patient Calcs'!$B$14:$B$65),S85+1,""),"")</f>
        <v/>
      </c>
      <c r="U85" s="911" t="str">
        <f>IFERROR(IF(T85+1&lt;=MAX('Patient Calcs'!$B$14:$B$65),T85+1,""),"")</f>
        <v/>
      </c>
      <c r="V85" s="911" t="str">
        <f>IFERROR(IF(U85+1&lt;=MAX('Patient Calcs'!$B$14:$B$65),U85+1,""),"")</f>
        <v/>
      </c>
      <c r="W85" s="911" t="str">
        <f>IFERROR(IF(V85+1&lt;=MAX('Patient Calcs'!$B$14:$B$65),V85+1,""),"")</f>
        <v/>
      </c>
      <c r="X85" s="911" t="str">
        <f>IFERROR(IF(W85+1&lt;=MAX('Patient Calcs'!$B$14:$B$65),W85+1,""),"")</f>
        <v/>
      </c>
      <c r="Y85" s="911" t="str">
        <f>IFERROR(IF(X85+1&lt;=MAX('Patient Calcs'!$B$14:$B$65),X85+1,""),"")</f>
        <v/>
      </c>
      <c r="Z85" s="911" t="str">
        <f>IFERROR(IF(Y85+1&lt;=MAX('Patient Calcs'!$B$14:$B$65),Y85+1,""),"")</f>
        <v/>
      </c>
      <c r="AA85" s="911" t="str">
        <f>IFERROR(IF(Z85+1&lt;=MAX('Patient Calcs'!$B$14:$B$65),Z85+1,""),"")</f>
        <v/>
      </c>
      <c r="AB85" s="911" t="str">
        <f>IFERROR(IF(AA85+1&lt;=MAX('Patient Calcs'!$B$14:$B$65),AA85+1,""),"")</f>
        <v/>
      </c>
      <c r="AC85" s="911" t="str">
        <f>IFERROR(IF(AB85+1&lt;=MAX('Patient Calcs'!$B$14:$B$65),AB85+1,""),"")</f>
        <v/>
      </c>
      <c r="AD85" s="911" t="str">
        <f>IFERROR(IF(AC85+1&lt;=MAX('Patient Calcs'!$B$14:$B$65),AC85+1,""),"")</f>
        <v/>
      </c>
      <c r="AE85" s="911" t="str">
        <f>IFERROR(IF(AD85+1&lt;=MAX('Patient Calcs'!$B$14:$B$65),AD85+1,""),"")</f>
        <v/>
      </c>
      <c r="AF85" s="911" t="str">
        <f>IFERROR(IF(AE85+1&lt;=MAX('Patient Calcs'!$B$14:$B$65),AE85+1,""),"")</f>
        <v/>
      </c>
      <c r="AG85" s="911" t="str">
        <f>IFERROR(IF(AF85+1&lt;=MAX('Patient Calcs'!$B$14:$B$65),AF85+1,""),"")</f>
        <v/>
      </c>
      <c r="AH85" s="911" t="str">
        <f>IFERROR(IF(AG85+1&lt;=MAX('Patient Calcs'!$B$14:$B$65),AG85+1,""),"")</f>
        <v/>
      </c>
      <c r="AI85" s="911" t="str">
        <f>IFERROR(IF(AH85+1&lt;=MAX('Patient Calcs'!$B$14:$B$65),AH85+1,""),"")</f>
        <v/>
      </c>
      <c r="AJ85" s="911" t="str">
        <f>IFERROR(IF(AI85+1&lt;=MAX('Patient Calcs'!$B$14:$B$65),AI85+1,""),"")</f>
        <v/>
      </c>
      <c r="AK85" s="911" t="str">
        <f>IFERROR(IF(AJ85+1&lt;=MAX('Patient Calcs'!$B$14:$B$65),AJ85+1,""),"")</f>
        <v/>
      </c>
      <c r="AL85" s="911" t="str">
        <f>IFERROR(IF(AK85+1&lt;=MAX('Patient Calcs'!$B$14:$B$65),AK85+1,""),"")</f>
        <v/>
      </c>
      <c r="AM85" s="911" t="str">
        <f>IFERROR(IF(AL85+1&lt;=MAX('Patient Calcs'!$B$14:$B$65),AL85+1,""),"")</f>
        <v/>
      </c>
      <c r="AN85" s="911" t="str">
        <f>IFERROR(IF(AM85+1&lt;=MAX('Patient Calcs'!$B$14:$B$65),AM85+1,""),"")</f>
        <v/>
      </c>
      <c r="AO85" s="911" t="str">
        <f>IFERROR(IF(AN85+1&lt;=MAX('Patient Calcs'!$B$14:$B$65),AN85+1,""),"")</f>
        <v/>
      </c>
      <c r="AP85" s="911" t="str">
        <f>IFERROR(IF(AO85+1&lt;=MAX('Patient Calcs'!$B$14:$B$65),AO85+1,""),"")</f>
        <v/>
      </c>
      <c r="AQ85" s="911" t="str">
        <f>IFERROR(IF(AP85+1&lt;=MAX('Patient Calcs'!$B$14:$B$65),AP85+1,""),"")</f>
        <v/>
      </c>
      <c r="AR85" s="911" t="str">
        <f>IFERROR(IF(AQ85+1&lt;=MAX('Patient Calcs'!$B$14:$B$65),AQ85+1,""),"")</f>
        <v/>
      </c>
      <c r="AS85" s="911" t="str">
        <f>IFERROR(IF(AR85+1&lt;=MAX('Patient Calcs'!$B$14:$B$65),AR85+1,""),"")</f>
        <v/>
      </c>
      <c r="AT85" s="911" t="str">
        <f>IFERROR(IF(AS85+1&lt;=MAX('Patient Calcs'!$B$14:$B$65),AS85+1,""),"")</f>
        <v/>
      </c>
      <c r="AU85" s="911" t="str">
        <f>IFERROR(IF(AT85+1&lt;=MAX('Patient Calcs'!$B$14:$B$65),AT85+1,""),"")</f>
        <v/>
      </c>
      <c r="AV85" s="911" t="str">
        <f>IFERROR(IF(AU85+1&lt;=MAX('Patient Calcs'!$B$14:$B$65),AU85+1,""),"")</f>
        <v/>
      </c>
      <c r="AW85" s="911" t="str">
        <f>IFERROR(IF(AV85+1&lt;=MAX('Patient Calcs'!$B$14:$B$65),AV85+1,""),"")</f>
        <v/>
      </c>
      <c r="AX85" s="911" t="str">
        <f>IFERROR(IF(AW85+1&lt;=MAX('Patient Calcs'!$B$14:$B$65),AW85+1,""),"")</f>
        <v/>
      </c>
      <c r="AY85" s="911" t="str">
        <f>IFERROR(IF(AX85+1&lt;=MAX('Patient Calcs'!$B$14:$B$65),AX85+1,""),"")</f>
        <v/>
      </c>
      <c r="AZ85" s="911" t="str">
        <f>IFERROR(IF(AY85+1&lt;=MAX('Patient Calcs'!$B$14:$B$65),AY85+1,""),"")</f>
        <v/>
      </c>
      <c r="BA85" s="911" t="str">
        <f>IFERROR(IF(AZ85+1&lt;=MAX('Patient Calcs'!$B$14:$B$65),AZ85+1,""),"")</f>
        <v/>
      </c>
      <c r="BB85" s="911" t="str">
        <f>IFERROR(IF(BA85+1&lt;=MAX('Patient Calcs'!$B$14:$B$65),BA85+1,""),"")</f>
        <v/>
      </c>
      <c r="BC85" s="911" t="str">
        <f>IFERROR(IF(BB85+1&lt;=MAX('Patient Calcs'!$B$14:$B$65),BB85+1,""),"")</f>
        <v/>
      </c>
      <c r="BD85" s="911" t="str">
        <f>IFERROR(IF(BC85+1&lt;=MAX('Patient Calcs'!$B$14:$B$65),BC85+1,""),"")</f>
        <v/>
      </c>
      <c r="BE85" s="911" t="str">
        <f>IFERROR(IF(BD85+1&lt;=MAX('Patient Calcs'!$B$14:$B$65),BD85+1,""),"")</f>
        <v/>
      </c>
      <c r="BF85" s="911" t="str">
        <f>IFERROR(IF(BE85+1&lt;=MAX('Patient Calcs'!$B$14:$B$65),BE85+1,""),"")</f>
        <v/>
      </c>
      <c r="BG85" s="911" t="str">
        <f>IFERROR(IF(BF85+1&lt;=MAX('Patient Calcs'!$B$14:$B$65),BF85+1,""),"")</f>
        <v/>
      </c>
      <c r="BH85" s="911" t="str">
        <f>IFERROR(IF(BG85+1&lt;=MAX('Patient Calcs'!$B$14:$B$65),BG85+1,""),"")</f>
        <v/>
      </c>
      <c r="BI85" s="911" t="str">
        <f>IFERROR(IF(BH85+1&lt;=MAX('Patient Calcs'!$B$14:$B$65),BH85+1,""),"")</f>
        <v/>
      </c>
      <c r="BJ85" s="911" t="str">
        <f>IFERROR(IF(BI85+1&lt;=MAX('Patient Calcs'!$B$14:$B$65),BI85+1,""),"")</f>
        <v/>
      </c>
      <c r="BK85" s="911" t="str">
        <f>IFERROR(IF(BJ85+1&lt;=MAX('Patient Calcs'!$B$14:$B$65),BJ85+1,""),"")</f>
        <v/>
      </c>
    </row>
    <row r="86" spans="2:66" s="84" customFormat="1" x14ac:dyDescent="0.35">
      <c r="B86" s="809" t="s">
        <v>263</v>
      </c>
      <c r="C86" s="812">
        <f ca="1">C85</f>
        <v>16304.670808457877</v>
      </c>
      <c r="D86" s="810">
        <f ca="1">H237</f>
        <v>183779.13557381905</v>
      </c>
      <c r="E86" s="85"/>
      <c r="F86" s="85"/>
      <c r="G86" s="85"/>
      <c r="H86" s="130"/>
      <c r="I86" s="128"/>
      <c r="K86" s="911" t="s">
        <v>908</v>
      </c>
      <c r="L86" s="912">
        <f t="shared" ref="L86:AQ86" ca="1" si="9">IF(L$85&lt;=$I$12+1,F121,"")</f>
        <v>1.823282621323133</v>
      </c>
      <c r="M86" s="912">
        <f t="shared" ca="1" si="9"/>
        <v>6.2013650861886918</v>
      </c>
      <c r="N86" s="912">
        <f t="shared" ca="1" si="9"/>
        <v>21.310849395301137</v>
      </c>
      <c r="O86" s="912">
        <f t="shared" ca="1" si="9"/>
        <v>73.23193000046318</v>
      </c>
      <c r="P86" s="912">
        <f t="shared" ca="1" si="9"/>
        <v>251.62453528776308</v>
      </c>
      <c r="Q86" s="912">
        <f t="shared" ca="1" si="9"/>
        <v>864.25775054312828</v>
      </c>
      <c r="R86" s="912" t="str">
        <f t="shared" si="9"/>
        <v/>
      </c>
      <c r="S86" s="912" t="str">
        <f t="shared" si="9"/>
        <v/>
      </c>
      <c r="T86" s="912" t="str">
        <f t="shared" si="9"/>
        <v/>
      </c>
      <c r="U86" s="912" t="str">
        <f t="shared" si="9"/>
        <v/>
      </c>
      <c r="V86" s="912" t="str">
        <f t="shared" si="9"/>
        <v/>
      </c>
      <c r="W86" s="912" t="str">
        <f t="shared" si="9"/>
        <v/>
      </c>
      <c r="X86" s="912" t="str">
        <f t="shared" si="9"/>
        <v/>
      </c>
      <c r="Y86" s="912" t="str">
        <f t="shared" si="9"/>
        <v/>
      </c>
      <c r="Z86" s="912" t="str">
        <f t="shared" si="9"/>
        <v/>
      </c>
      <c r="AA86" s="912" t="str">
        <f t="shared" si="9"/>
        <v/>
      </c>
      <c r="AB86" s="912" t="str">
        <f t="shared" si="9"/>
        <v/>
      </c>
      <c r="AC86" s="912" t="str">
        <f t="shared" si="9"/>
        <v/>
      </c>
      <c r="AD86" s="912" t="str">
        <f t="shared" si="9"/>
        <v/>
      </c>
      <c r="AE86" s="912" t="str">
        <f t="shared" si="9"/>
        <v/>
      </c>
      <c r="AF86" s="912" t="str">
        <f t="shared" si="9"/>
        <v/>
      </c>
      <c r="AG86" s="912" t="str">
        <f t="shared" si="9"/>
        <v/>
      </c>
      <c r="AH86" s="912" t="str">
        <f t="shared" si="9"/>
        <v/>
      </c>
      <c r="AI86" s="912" t="str">
        <f t="shared" si="9"/>
        <v/>
      </c>
      <c r="AJ86" s="912" t="str">
        <f t="shared" si="9"/>
        <v/>
      </c>
      <c r="AK86" s="912" t="str">
        <f t="shared" si="9"/>
        <v/>
      </c>
      <c r="AL86" s="912" t="str">
        <f t="shared" si="9"/>
        <v/>
      </c>
      <c r="AM86" s="912" t="str">
        <f t="shared" si="9"/>
        <v/>
      </c>
      <c r="AN86" s="912" t="str">
        <f t="shared" si="9"/>
        <v/>
      </c>
      <c r="AO86" s="912" t="str">
        <f t="shared" si="9"/>
        <v/>
      </c>
      <c r="AP86" s="912" t="str">
        <f t="shared" si="9"/>
        <v/>
      </c>
      <c r="AQ86" s="912" t="str">
        <f t="shared" si="9"/>
        <v/>
      </c>
      <c r="AR86" s="912" t="str">
        <f t="shared" ref="AR86:BK86" si="10">IF(AR$85&lt;=$I$12+1,AL121,"")</f>
        <v/>
      </c>
      <c r="AS86" s="912" t="str">
        <f t="shared" si="10"/>
        <v/>
      </c>
      <c r="AT86" s="912" t="str">
        <f t="shared" si="10"/>
        <v/>
      </c>
      <c r="AU86" s="912" t="str">
        <f t="shared" si="10"/>
        <v/>
      </c>
      <c r="AV86" s="912" t="str">
        <f t="shared" si="10"/>
        <v/>
      </c>
      <c r="AW86" s="912" t="str">
        <f t="shared" si="10"/>
        <v/>
      </c>
      <c r="AX86" s="912" t="str">
        <f t="shared" si="10"/>
        <v/>
      </c>
      <c r="AY86" s="912" t="str">
        <f t="shared" si="10"/>
        <v/>
      </c>
      <c r="AZ86" s="912" t="str">
        <f t="shared" si="10"/>
        <v/>
      </c>
      <c r="BA86" s="912" t="str">
        <f t="shared" si="10"/>
        <v/>
      </c>
      <c r="BB86" s="912" t="str">
        <f t="shared" si="10"/>
        <v/>
      </c>
      <c r="BC86" s="912" t="str">
        <f t="shared" si="10"/>
        <v/>
      </c>
      <c r="BD86" s="912" t="str">
        <f t="shared" si="10"/>
        <v/>
      </c>
      <c r="BE86" s="912" t="str">
        <f t="shared" si="10"/>
        <v/>
      </c>
      <c r="BF86" s="912" t="str">
        <f t="shared" si="10"/>
        <v/>
      </c>
      <c r="BG86" s="912" t="str">
        <f t="shared" si="10"/>
        <v/>
      </c>
      <c r="BH86" s="912" t="str">
        <f t="shared" si="10"/>
        <v/>
      </c>
      <c r="BI86" s="912" t="str">
        <f t="shared" si="10"/>
        <v/>
      </c>
      <c r="BJ86" s="912" t="str">
        <f t="shared" si="10"/>
        <v/>
      </c>
      <c r="BK86" s="912" t="str">
        <f t="shared" si="10"/>
        <v/>
      </c>
      <c r="BL86" s="294"/>
      <c r="BM86" s="294"/>
      <c r="BN86" s="294"/>
    </row>
    <row r="87" spans="2:66" s="84" customFormat="1" x14ac:dyDescent="0.35">
      <c r="B87" s="809" t="s">
        <v>262</v>
      </c>
      <c r="C87" s="812">
        <f ca="1">SUM(C86:D86)</f>
        <v>200083.80638227693</v>
      </c>
      <c r="D87" s="810">
        <f ca="1">H238</f>
        <v>47005.785042323907</v>
      </c>
      <c r="E87" s="85"/>
      <c r="F87" s="85"/>
      <c r="G87" s="85"/>
      <c r="H87" s="130"/>
      <c r="I87" s="128"/>
      <c r="K87" s="911" t="s">
        <v>976</v>
      </c>
      <c r="L87" s="912">
        <f t="shared" ref="L87:AQ87" si="11">IF(L$85&lt;=$I$12+1,F126,"")</f>
        <v>0</v>
      </c>
      <c r="M87" s="912">
        <f t="shared" si="11"/>
        <v>0</v>
      </c>
      <c r="N87" s="912">
        <f t="shared" si="11"/>
        <v>0</v>
      </c>
      <c r="O87" s="912">
        <f t="shared" si="11"/>
        <v>0</v>
      </c>
      <c r="P87" s="912">
        <f t="shared" si="11"/>
        <v>0</v>
      </c>
      <c r="Q87" s="912">
        <f t="shared" si="11"/>
        <v>0</v>
      </c>
      <c r="R87" s="912" t="str">
        <f t="shared" si="11"/>
        <v/>
      </c>
      <c r="S87" s="912" t="str">
        <f t="shared" si="11"/>
        <v/>
      </c>
      <c r="T87" s="912" t="str">
        <f t="shared" si="11"/>
        <v/>
      </c>
      <c r="U87" s="912" t="str">
        <f t="shared" si="11"/>
        <v/>
      </c>
      <c r="V87" s="912" t="str">
        <f t="shared" si="11"/>
        <v/>
      </c>
      <c r="W87" s="912" t="str">
        <f t="shared" si="11"/>
        <v/>
      </c>
      <c r="X87" s="912" t="str">
        <f t="shared" si="11"/>
        <v/>
      </c>
      <c r="Y87" s="912" t="str">
        <f t="shared" si="11"/>
        <v/>
      </c>
      <c r="Z87" s="912" t="str">
        <f t="shared" si="11"/>
        <v/>
      </c>
      <c r="AA87" s="912" t="str">
        <f t="shared" si="11"/>
        <v/>
      </c>
      <c r="AB87" s="912" t="str">
        <f t="shared" si="11"/>
        <v/>
      </c>
      <c r="AC87" s="912" t="str">
        <f t="shared" si="11"/>
        <v/>
      </c>
      <c r="AD87" s="912" t="str">
        <f t="shared" si="11"/>
        <v/>
      </c>
      <c r="AE87" s="912" t="str">
        <f t="shared" si="11"/>
        <v/>
      </c>
      <c r="AF87" s="912" t="str">
        <f t="shared" si="11"/>
        <v/>
      </c>
      <c r="AG87" s="912" t="str">
        <f t="shared" si="11"/>
        <v/>
      </c>
      <c r="AH87" s="912" t="str">
        <f t="shared" si="11"/>
        <v/>
      </c>
      <c r="AI87" s="912" t="str">
        <f t="shared" si="11"/>
        <v/>
      </c>
      <c r="AJ87" s="912" t="str">
        <f t="shared" si="11"/>
        <v/>
      </c>
      <c r="AK87" s="912" t="str">
        <f t="shared" si="11"/>
        <v/>
      </c>
      <c r="AL87" s="912" t="str">
        <f t="shared" si="11"/>
        <v/>
      </c>
      <c r="AM87" s="912" t="str">
        <f t="shared" si="11"/>
        <v/>
      </c>
      <c r="AN87" s="912" t="str">
        <f t="shared" si="11"/>
        <v/>
      </c>
      <c r="AO87" s="912" t="str">
        <f t="shared" si="11"/>
        <v/>
      </c>
      <c r="AP87" s="912" t="str">
        <f t="shared" si="11"/>
        <v/>
      </c>
      <c r="AQ87" s="912" t="str">
        <f t="shared" si="11"/>
        <v/>
      </c>
      <c r="AR87" s="912" t="str">
        <f t="shared" ref="AR87:BK87" si="12">IF(AR$85&lt;=$I$12+1,AL126,"")</f>
        <v/>
      </c>
      <c r="AS87" s="912" t="str">
        <f t="shared" si="12"/>
        <v/>
      </c>
      <c r="AT87" s="912" t="str">
        <f t="shared" si="12"/>
        <v/>
      </c>
      <c r="AU87" s="912" t="str">
        <f t="shared" si="12"/>
        <v/>
      </c>
      <c r="AV87" s="912" t="str">
        <f t="shared" si="12"/>
        <v/>
      </c>
      <c r="AW87" s="912" t="str">
        <f t="shared" si="12"/>
        <v/>
      </c>
      <c r="AX87" s="912" t="str">
        <f t="shared" si="12"/>
        <v/>
      </c>
      <c r="AY87" s="912" t="str">
        <f t="shared" si="12"/>
        <v/>
      </c>
      <c r="AZ87" s="912" t="str">
        <f t="shared" si="12"/>
        <v/>
      </c>
      <c r="BA87" s="912" t="str">
        <f t="shared" si="12"/>
        <v/>
      </c>
      <c r="BB87" s="912" t="str">
        <f t="shared" si="12"/>
        <v/>
      </c>
      <c r="BC87" s="912" t="str">
        <f t="shared" si="12"/>
        <v/>
      </c>
      <c r="BD87" s="912" t="str">
        <f t="shared" si="12"/>
        <v/>
      </c>
      <c r="BE87" s="912" t="str">
        <f t="shared" si="12"/>
        <v/>
      </c>
      <c r="BF87" s="912" t="str">
        <f t="shared" si="12"/>
        <v/>
      </c>
      <c r="BG87" s="912" t="str">
        <f t="shared" si="12"/>
        <v/>
      </c>
      <c r="BH87" s="912" t="str">
        <f t="shared" si="12"/>
        <v/>
      </c>
      <c r="BI87" s="912" t="str">
        <f t="shared" si="12"/>
        <v/>
      </c>
      <c r="BJ87" s="912" t="str">
        <f t="shared" si="12"/>
        <v/>
      </c>
      <c r="BK87" s="912" t="str">
        <f t="shared" si="12"/>
        <v/>
      </c>
    </row>
    <row r="88" spans="2:66" s="84" customFormat="1" x14ac:dyDescent="0.35">
      <c r="B88" s="809" t="s">
        <v>642</v>
      </c>
      <c r="C88" s="812">
        <f ca="1">SUM(C87:D87)</f>
        <v>247089.59142460083</v>
      </c>
      <c r="D88" s="810">
        <f ca="1">H239</f>
        <v>98602.356975671297</v>
      </c>
      <c r="E88" s="85"/>
      <c r="F88" s="85"/>
      <c r="G88" s="85"/>
      <c r="H88" s="130"/>
      <c r="I88" s="128"/>
      <c r="K88" s="911" t="s">
        <v>1444</v>
      </c>
      <c r="L88" s="912">
        <f t="shared" ref="L88:AQ88" ca="1" si="13">IF(L$85&lt;=$I$12+1,F129,"")</f>
        <v>1</v>
      </c>
      <c r="M88" s="912">
        <f t="shared" ca="1" si="13"/>
        <v>1</v>
      </c>
      <c r="N88" s="912">
        <f t="shared" ca="1" si="13"/>
        <v>1</v>
      </c>
      <c r="O88" s="912">
        <f t="shared" ca="1" si="13"/>
        <v>2</v>
      </c>
      <c r="P88" s="912">
        <f t="shared" ca="1" si="13"/>
        <v>7</v>
      </c>
      <c r="Q88" s="912">
        <f t="shared" ca="1" si="13"/>
        <v>23</v>
      </c>
      <c r="R88" s="912" t="str">
        <f t="shared" si="13"/>
        <v/>
      </c>
      <c r="S88" s="912" t="str">
        <f t="shared" si="13"/>
        <v/>
      </c>
      <c r="T88" s="912" t="str">
        <f t="shared" si="13"/>
        <v/>
      </c>
      <c r="U88" s="912" t="str">
        <f t="shared" si="13"/>
        <v/>
      </c>
      <c r="V88" s="912" t="str">
        <f t="shared" si="13"/>
        <v/>
      </c>
      <c r="W88" s="912" t="str">
        <f t="shared" si="13"/>
        <v/>
      </c>
      <c r="X88" s="912" t="str">
        <f t="shared" si="13"/>
        <v/>
      </c>
      <c r="Y88" s="912" t="str">
        <f t="shared" si="13"/>
        <v/>
      </c>
      <c r="Z88" s="912" t="str">
        <f t="shared" si="13"/>
        <v/>
      </c>
      <c r="AA88" s="912" t="str">
        <f t="shared" si="13"/>
        <v/>
      </c>
      <c r="AB88" s="912" t="str">
        <f t="shared" si="13"/>
        <v/>
      </c>
      <c r="AC88" s="912" t="str">
        <f t="shared" si="13"/>
        <v/>
      </c>
      <c r="AD88" s="912" t="str">
        <f t="shared" si="13"/>
        <v/>
      </c>
      <c r="AE88" s="912" t="str">
        <f t="shared" si="13"/>
        <v/>
      </c>
      <c r="AF88" s="912" t="str">
        <f t="shared" si="13"/>
        <v/>
      </c>
      <c r="AG88" s="912" t="str">
        <f t="shared" si="13"/>
        <v/>
      </c>
      <c r="AH88" s="912" t="str">
        <f t="shared" si="13"/>
        <v/>
      </c>
      <c r="AI88" s="912" t="str">
        <f t="shared" si="13"/>
        <v/>
      </c>
      <c r="AJ88" s="912" t="str">
        <f t="shared" si="13"/>
        <v/>
      </c>
      <c r="AK88" s="912" t="str">
        <f t="shared" si="13"/>
        <v/>
      </c>
      <c r="AL88" s="912" t="str">
        <f t="shared" si="13"/>
        <v/>
      </c>
      <c r="AM88" s="912" t="str">
        <f t="shared" si="13"/>
        <v/>
      </c>
      <c r="AN88" s="912" t="str">
        <f t="shared" si="13"/>
        <v/>
      </c>
      <c r="AO88" s="912" t="str">
        <f t="shared" si="13"/>
        <v/>
      </c>
      <c r="AP88" s="912" t="str">
        <f t="shared" si="13"/>
        <v/>
      </c>
      <c r="AQ88" s="912" t="str">
        <f t="shared" si="13"/>
        <v/>
      </c>
      <c r="AR88" s="912" t="str">
        <f t="shared" ref="AR88:BK88" si="14">IF(AR$85&lt;=$I$12+1,AL129,"")</f>
        <v/>
      </c>
      <c r="AS88" s="912" t="str">
        <f t="shared" si="14"/>
        <v/>
      </c>
      <c r="AT88" s="912" t="str">
        <f t="shared" si="14"/>
        <v/>
      </c>
      <c r="AU88" s="912" t="str">
        <f t="shared" si="14"/>
        <v/>
      </c>
      <c r="AV88" s="912" t="str">
        <f t="shared" si="14"/>
        <v/>
      </c>
      <c r="AW88" s="912" t="str">
        <f t="shared" si="14"/>
        <v/>
      </c>
      <c r="AX88" s="912" t="str">
        <f t="shared" si="14"/>
        <v/>
      </c>
      <c r="AY88" s="912" t="str">
        <f t="shared" si="14"/>
        <v/>
      </c>
      <c r="AZ88" s="912" t="str">
        <f t="shared" si="14"/>
        <v/>
      </c>
      <c r="BA88" s="912" t="str">
        <f t="shared" si="14"/>
        <v/>
      </c>
      <c r="BB88" s="912" t="str">
        <f t="shared" si="14"/>
        <v/>
      </c>
      <c r="BC88" s="912" t="str">
        <f t="shared" si="14"/>
        <v/>
      </c>
      <c r="BD88" s="912" t="str">
        <f t="shared" si="14"/>
        <v/>
      </c>
      <c r="BE88" s="912" t="str">
        <f t="shared" si="14"/>
        <v/>
      </c>
      <c r="BF88" s="912" t="str">
        <f t="shared" si="14"/>
        <v/>
      </c>
      <c r="BG88" s="912" t="str">
        <f t="shared" si="14"/>
        <v/>
      </c>
      <c r="BH88" s="912" t="str">
        <f t="shared" si="14"/>
        <v/>
      </c>
      <c r="BI88" s="912" t="str">
        <f t="shared" si="14"/>
        <v/>
      </c>
      <c r="BJ88" s="912" t="str">
        <f t="shared" si="14"/>
        <v/>
      </c>
      <c r="BK88" s="912" t="str">
        <f t="shared" si="14"/>
        <v/>
      </c>
    </row>
    <row r="89" spans="2:66" s="84" customFormat="1" x14ac:dyDescent="0.35">
      <c r="B89" s="811" t="s">
        <v>610</v>
      </c>
      <c r="C89" s="812">
        <f ca="1">SUM(C88:D88)</f>
        <v>345691.94840027211</v>
      </c>
      <c r="D89" s="810">
        <f ca="1">H240</f>
        <v>3097489.9111751998</v>
      </c>
      <c r="E89" s="85"/>
      <c r="F89" s="85"/>
      <c r="G89" s="85"/>
      <c r="H89" s="130"/>
      <c r="I89" s="128"/>
      <c r="K89" s="295"/>
      <c r="L89" s="295"/>
      <c r="M89" s="295"/>
      <c r="N89" s="295"/>
      <c r="O89" s="295"/>
      <c r="P89" s="295"/>
      <c r="Q89" s="295"/>
      <c r="R89" s="295"/>
      <c r="S89" s="295"/>
      <c r="T89" s="295"/>
      <c r="U89" s="295"/>
      <c r="X89" s="115"/>
    </row>
    <row r="90" spans="2:66" s="84" customFormat="1" x14ac:dyDescent="0.35">
      <c r="B90" s="813" t="s">
        <v>999</v>
      </c>
      <c r="C90" s="812">
        <f ca="1">SUM(C89:D89)</f>
        <v>3443181.8595754718</v>
      </c>
      <c r="D90" s="810">
        <f ca="1">H241</f>
        <v>14718.918403558735</v>
      </c>
      <c r="E90" s="85"/>
      <c r="F90" s="85"/>
      <c r="G90" s="85"/>
      <c r="H90" s="130"/>
      <c r="I90" s="128"/>
      <c r="K90" s="295"/>
      <c r="L90" s="295"/>
      <c r="M90" s="295"/>
      <c r="N90" s="295"/>
      <c r="O90" s="295"/>
      <c r="P90" s="295"/>
      <c r="Q90" s="295"/>
      <c r="R90" s="295"/>
      <c r="S90" s="295"/>
      <c r="T90" s="295"/>
      <c r="U90" s="295"/>
      <c r="X90" s="115"/>
    </row>
    <row r="91" spans="2:66" s="84" customFormat="1" x14ac:dyDescent="0.35">
      <c r="B91" s="813" t="s">
        <v>259</v>
      </c>
      <c r="C91" s="812">
        <f ca="1">SUM(C90:D90)</f>
        <v>3457900.7779790307</v>
      </c>
      <c r="D91" s="811"/>
      <c r="E91" s="85"/>
      <c r="F91" s="85"/>
      <c r="G91" s="85"/>
      <c r="H91" s="130"/>
      <c r="I91" s="128"/>
      <c r="K91" s="295"/>
      <c r="L91" s="295"/>
      <c r="M91" s="871"/>
      <c r="N91" s="295"/>
      <c r="O91" s="295"/>
      <c r="P91" s="295"/>
      <c r="Q91" s="295"/>
      <c r="R91" s="295"/>
      <c r="S91" s="295"/>
      <c r="T91" s="295"/>
      <c r="U91" s="295"/>
      <c r="X91" s="115"/>
    </row>
    <row r="92" spans="2:66" s="84" customFormat="1" x14ac:dyDescent="0.35">
      <c r="B92" s="101"/>
      <c r="C92" s="101"/>
      <c r="D92" s="101"/>
      <c r="E92" s="85"/>
      <c r="F92" s="85"/>
      <c r="G92" s="85"/>
      <c r="H92" s="130"/>
      <c r="I92" s="128"/>
      <c r="K92" s="295"/>
      <c r="L92" s="295"/>
      <c r="M92" s="871"/>
      <c r="N92" s="295"/>
      <c r="O92" s="295"/>
      <c r="P92" s="295"/>
      <c r="Q92" s="295"/>
      <c r="R92" s="295"/>
      <c r="S92" s="295"/>
      <c r="T92" s="295"/>
      <c r="U92" s="295"/>
      <c r="X92" s="115"/>
    </row>
    <row r="93" spans="2:66" s="84" customFormat="1" x14ac:dyDescent="0.35">
      <c r="B93" s="85"/>
      <c r="C93" s="85"/>
      <c r="D93" s="85"/>
      <c r="E93" s="85"/>
      <c r="F93" s="85"/>
      <c r="G93" s="85"/>
      <c r="H93" s="130"/>
      <c r="I93" s="128"/>
      <c r="K93" s="295"/>
      <c r="L93" s="295"/>
      <c r="M93" s="871"/>
      <c r="N93" s="295"/>
      <c r="O93" s="295"/>
      <c r="P93" s="295"/>
      <c r="Q93" s="295"/>
      <c r="R93" s="295"/>
      <c r="S93" s="295"/>
      <c r="T93" s="295"/>
      <c r="U93" s="295"/>
      <c r="X93" s="115"/>
    </row>
    <row r="94" spans="2:66" s="84" customFormat="1" x14ac:dyDescent="0.35">
      <c r="B94" s="85"/>
      <c r="C94" s="85"/>
      <c r="D94" s="85"/>
      <c r="E94" s="85"/>
      <c r="F94" s="85"/>
      <c r="G94" s="85"/>
      <c r="H94" s="130"/>
      <c r="I94" s="128"/>
      <c r="K94" s="295"/>
      <c r="L94" s="295"/>
      <c r="M94" s="871"/>
      <c r="N94" s="295"/>
      <c r="O94" s="295"/>
      <c r="P94" s="295"/>
      <c r="Q94" s="295"/>
      <c r="R94" s="295"/>
      <c r="S94" s="295"/>
      <c r="T94" s="295"/>
      <c r="U94" s="295"/>
      <c r="X94" s="115"/>
    </row>
    <row r="95" spans="2:66" s="84" customFormat="1" ht="15" thickBot="1" x14ac:dyDescent="0.4">
      <c r="B95" s="85"/>
      <c r="C95" s="85"/>
      <c r="D95" s="85"/>
      <c r="E95" s="85"/>
      <c r="F95" s="85"/>
      <c r="G95" s="85"/>
      <c r="H95" s="130"/>
      <c r="I95" s="128"/>
      <c r="K95" s="295"/>
      <c r="L95" s="295"/>
      <c r="M95" s="295"/>
      <c r="N95" s="295"/>
      <c r="O95" s="295"/>
      <c r="P95" s="295"/>
      <c r="Q95" s="295"/>
      <c r="R95" s="295"/>
      <c r="S95" s="295"/>
      <c r="T95" s="295"/>
      <c r="U95" s="295"/>
      <c r="X95" s="115"/>
    </row>
    <row r="96" spans="2:66" s="84" customFormat="1" ht="15" thickBot="1" x14ac:dyDescent="0.4">
      <c r="B96" s="135" t="s">
        <v>907</v>
      </c>
      <c r="C96" s="1252">
        <f ca="1">H243</f>
        <v>3457900.7779790307</v>
      </c>
      <c r="D96" s="85"/>
      <c r="F96" s="386" t="s">
        <v>1458</v>
      </c>
      <c r="G96"/>
      <c r="H96"/>
      <c r="I96" s="128"/>
      <c r="K96" s="295"/>
      <c r="L96" s="295"/>
      <c r="M96" s="295"/>
      <c r="N96" s="295"/>
      <c r="O96" s="295"/>
      <c r="P96" s="295"/>
      <c r="Q96" s="295"/>
      <c r="R96" s="295"/>
      <c r="S96" s="295"/>
      <c r="T96" s="295"/>
      <c r="U96" s="295"/>
      <c r="X96" s="115"/>
    </row>
    <row r="97" spans="1:66" s="84" customFormat="1" x14ac:dyDescent="0.35">
      <c r="B97" s="386" t="s">
        <v>1768</v>
      </c>
      <c r="C97" s="85"/>
      <c r="D97" s="85"/>
      <c r="E97" s="85"/>
      <c r="F97" s="85"/>
      <c r="G97" s="85"/>
      <c r="H97" s="130"/>
      <c r="I97" s="128"/>
      <c r="K97" s="295"/>
      <c r="L97" s="295"/>
      <c r="M97" s="295"/>
      <c r="N97" s="295"/>
      <c r="O97" s="295"/>
      <c r="P97" s="295"/>
      <c r="Q97" s="295"/>
      <c r="R97" s="295"/>
      <c r="S97" s="295"/>
      <c r="T97" s="295"/>
      <c r="U97" s="295"/>
      <c r="X97" s="115"/>
    </row>
    <row r="98" spans="1:66" s="910" customFormat="1" ht="15" thickBot="1" x14ac:dyDescent="0.4">
      <c r="B98" s="85"/>
      <c r="C98" s="85"/>
      <c r="D98" s="85"/>
      <c r="E98" s="85"/>
      <c r="F98" s="85"/>
      <c r="G98" s="85"/>
      <c r="H98" s="130"/>
      <c r="I98" s="128"/>
      <c r="K98" s="926"/>
      <c r="L98" s="926"/>
      <c r="M98" s="926"/>
      <c r="N98" s="926"/>
      <c r="O98" s="926"/>
      <c r="P98" s="926"/>
      <c r="Q98" s="926"/>
      <c r="R98" s="926"/>
      <c r="S98" s="926"/>
      <c r="T98" s="926"/>
      <c r="U98" s="926"/>
      <c r="X98" s="911"/>
    </row>
    <row r="99" spans="1:66" s="84" customFormat="1" x14ac:dyDescent="0.35">
      <c r="B99" s="107" t="s">
        <v>739</v>
      </c>
      <c r="C99" s="108"/>
      <c r="D99" s="108"/>
      <c r="E99" s="108"/>
      <c r="F99" s="109" t="s">
        <v>259</v>
      </c>
      <c r="G99" s="696" t="s">
        <v>1355</v>
      </c>
      <c r="K99" s="877"/>
      <c r="L99" s="877"/>
      <c r="M99" s="295"/>
      <c r="N99" s="295"/>
      <c r="O99" s="295"/>
      <c r="P99" s="295"/>
      <c r="Q99" s="295"/>
      <c r="R99" s="295"/>
      <c r="S99" s="295"/>
      <c r="T99" s="295"/>
      <c r="U99" s="295"/>
      <c r="X99" s="115"/>
    </row>
    <row r="100" spans="1:66" x14ac:dyDescent="0.35">
      <c r="B100" s="110" t="s">
        <v>1028</v>
      </c>
      <c r="C100" s="111"/>
      <c r="D100" s="111"/>
      <c r="E100" s="111"/>
      <c r="F100" s="1249">
        <f>Total_new_cases_for_period</f>
        <v>2012.2929995034956</v>
      </c>
      <c r="G100" s="112"/>
      <c r="K100" s="877"/>
      <c r="L100" s="877"/>
      <c r="M100" s="295"/>
      <c r="N100" s="295"/>
      <c r="O100" s="295"/>
      <c r="P100" s="295"/>
      <c r="Q100" s="295"/>
      <c r="R100" s="295"/>
      <c r="S100" s="295"/>
      <c r="T100" s="295"/>
      <c r="U100" s="295"/>
    </row>
    <row r="101" spans="1:66" x14ac:dyDescent="0.35">
      <c r="B101" s="131" t="s">
        <v>600</v>
      </c>
      <c r="C101" s="111"/>
      <c r="D101" s="111"/>
      <c r="E101" s="111"/>
      <c r="F101" s="1249">
        <f>Total_mild_cases_for_period</f>
        <v>804.91719980139828</v>
      </c>
      <c r="G101" s="112"/>
      <c r="K101" s="877"/>
      <c r="L101" s="877"/>
      <c r="M101" s="295"/>
      <c r="N101" s="295"/>
      <c r="O101" s="295"/>
      <c r="P101" s="295"/>
      <c r="Q101" s="295"/>
      <c r="R101" s="295"/>
      <c r="S101" s="295"/>
      <c r="T101" s="295"/>
      <c r="U101" s="295"/>
    </row>
    <row r="102" spans="1:66" x14ac:dyDescent="0.35">
      <c r="B102" s="131" t="s">
        <v>973</v>
      </c>
      <c r="C102" s="111"/>
      <c r="D102" s="111"/>
      <c r="E102" s="111"/>
      <c r="F102" s="1249">
        <f>'Weekly Summary'!BF45</f>
        <v>804.91719980139828</v>
      </c>
      <c r="G102" s="112"/>
      <c r="K102" s="91"/>
      <c r="L102" s="91"/>
    </row>
    <row r="103" spans="1:66" x14ac:dyDescent="0.35">
      <c r="B103" s="132" t="s">
        <v>645</v>
      </c>
      <c r="C103" s="111"/>
      <c r="D103" s="111"/>
      <c r="E103" s="111"/>
      <c r="F103" s="1249">
        <f>Total_severe_cases_for_period</f>
        <v>301.84394992552433</v>
      </c>
      <c r="G103" s="112"/>
      <c r="J103" s="113"/>
      <c r="K103" s="91"/>
      <c r="L103" s="91"/>
    </row>
    <row r="104" spans="1:66" x14ac:dyDescent="0.35">
      <c r="B104" s="132" t="s">
        <v>646</v>
      </c>
      <c r="C104" s="111"/>
      <c r="D104" s="111"/>
      <c r="E104" s="111"/>
      <c r="F104" s="1249">
        <f>Total_critical_cases_for_period</f>
        <v>100.61464997517479</v>
      </c>
      <c r="G104" s="112"/>
      <c r="J104" s="113"/>
      <c r="K104" s="91"/>
      <c r="L104" s="91"/>
    </row>
    <row r="105" spans="1:66" x14ac:dyDescent="0.35">
      <c r="B105" s="110" t="s">
        <v>1029</v>
      </c>
      <c r="C105" s="111"/>
      <c r="D105" s="111"/>
      <c r="E105" s="111"/>
      <c r="F105" s="1249">
        <f ca="1">Max_total_capped_beds</f>
        <v>306.24845002952156</v>
      </c>
      <c r="G105" s="89"/>
      <c r="I105" s="113"/>
      <c r="K105" s="91"/>
      <c r="L105" s="91"/>
    </row>
    <row r="106" spans="1:66" x14ac:dyDescent="0.35">
      <c r="B106" s="133" t="s">
        <v>597</v>
      </c>
      <c r="C106" s="134"/>
      <c r="D106" s="134"/>
      <c r="E106" s="134"/>
      <c r="F106" s="1250">
        <f ca="1">Max_severe_capped_beds</f>
        <v>214.1022124010056</v>
      </c>
      <c r="G106" s="84"/>
      <c r="I106" s="113"/>
      <c r="K106" s="91"/>
      <c r="L106" s="91"/>
    </row>
    <row r="107" spans="1:66" x14ac:dyDescent="0.35">
      <c r="B107" s="133" t="s">
        <v>1320</v>
      </c>
      <c r="C107" s="134"/>
      <c r="D107" s="134"/>
      <c r="E107" s="134"/>
      <c r="F107" s="1250">
        <f ca="1">Max_critical_capped_beds</f>
        <v>92.146237628515948</v>
      </c>
      <c r="G107" s="84"/>
      <c r="I107" s="113"/>
      <c r="K107" s="91"/>
      <c r="L107" s="91"/>
    </row>
    <row r="108" spans="1:66" s="129" customFormat="1" x14ac:dyDescent="0.35">
      <c r="A108" s="84"/>
      <c r="B108" s="378" t="s">
        <v>1319</v>
      </c>
      <c r="C108" s="134"/>
      <c r="D108" s="134"/>
      <c r="E108" s="134"/>
      <c r="F108" s="1250">
        <f ca="1">C59</f>
        <v>402.45859990069914</v>
      </c>
      <c r="G108" s="84"/>
      <c r="H108" s="84"/>
      <c r="I108" s="113"/>
      <c r="J108" s="84"/>
      <c r="K108" s="91"/>
      <c r="L108" s="91"/>
      <c r="M108" s="84"/>
      <c r="N108" s="84"/>
      <c r="O108" s="84"/>
      <c r="P108" s="84"/>
      <c r="Q108" s="84"/>
      <c r="R108" s="84"/>
      <c r="S108" s="84"/>
      <c r="T108" s="84"/>
      <c r="U108" s="84"/>
      <c r="V108" s="84"/>
      <c r="W108" s="84"/>
      <c r="X108" s="115"/>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row>
    <row r="109" spans="1:66" s="129" customFormat="1" x14ac:dyDescent="0.35">
      <c r="A109" s="84"/>
      <c r="B109" s="133" t="s">
        <v>597</v>
      </c>
      <c r="C109" s="134"/>
      <c r="D109" s="134"/>
      <c r="E109" s="134"/>
      <c r="F109" s="1250">
        <f ca="1">C52</f>
        <v>301.84394992552433</v>
      </c>
      <c r="G109" s="84"/>
      <c r="H109" s="84"/>
      <c r="I109" s="113"/>
      <c r="J109" s="84"/>
      <c r="K109" s="91"/>
      <c r="L109" s="91"/>
      <c r="M109" s="84"/>
      <c r="N109" s="84"/>
      <c r="O109" s="84"/>
      <c r="P109" s="84"/>
      <c r="Q109" s="84"/>
      <c r="R109" s="84"/>
      <c r="S109" s="84"/>
      <c r="T109" s="84"/>
      <c r="U109" s="84"/>
      <c r="V109" s="84"/>
      <c r="W109" s="84"/>
      <c r="X109" s="115"/>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row>
    <row r="110" spans="1:66" s="129" customFormat="1" x14ac:dyDescent="0.35">
      <c r="A110" s="84"/>
      <c r="B110" s="133" t="s">
        <v>1320</v>
      </c>
      <c r="C110" s="134"/>
      <c r="D110" s="134"/>
      <c r="E110" s="134"/>
      <c r="F110" s="1250">
        <f ca="1">C53</f>
        <v>100.61464997517479</v>
      </c>
      <c r="G110" s="84"/>
      <c r="H110" s="84"/>
      <c r="I110" s="113"/>
      <c r="J110" s="84"/>
      <c r="K110" s="91"/>
      <c r="L110" s="91"/>
      <c r="M110" s="84"/>
      <c r="N110" s="84"/>
      <c r="O110" s="84"/>
      <c r="P110" s="84"/>
      <c r="Q110" s="84"/>
      <c r="R110" s="84"/>
      <c r="S110" s="84"/>
      <c r="T110" s="84"/>
      <c r="U110" s="84"/>
      <c r="V110" s="84"/>
      <c r="W110" s="84"/>
      <c r="X110" s="115"/>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row>
    <row r="111" spans="1:66" x14ac:dyDescent="0.35">
      <c r="B111" s="378" t="str">
        <f>"Total number of tests based on testing algorithm and "&amp;Mild_testing_strategy&amp;" strategy and capped by testing capacity "</f>
        <v xml:space="preserve">Total number of tests based on testing algorithm and Targeted strategy and capped by testing capacity </v>
      </c>
      <c r="C111" s="134"/>
      <c r="D111" s="134"/>
      <c r="E111" s="377"/>
      <c r="F111" s="1250">
        <f ca="1">C79</f>
        <v>2887.5941249875659</v>
      </c>
      <c r="G111" s="84"/>
      <c r="K111" s="91"/>
      <c r="L111" s="91"/>
    </row>
    <row r="112" spans="1:66" ht="15" thickBot="1" x14ac:dyDescent="0.4">
      <c r="A112" s="114"/>
      <c r="B112" s="371" t="s">
        <v>994</v>
      </c>
      <c r="C112" s="372"/>
      <c r="D112" s="372"/>
      <c r="E112" s="372"/>
      <c r="F112" s="1251">
        <f ca="1">'Back Calculations'!C80</f>
        <v>7063.7893241263682</v>
      </c>
    </row>
    <row r="114" spans="1:66" s="86" customFormat="1" ht="17" x14ac:dyDescent="0.4">
      <c r="B114" s="87" t="s">
        <v>740</v>
      </c>
      <c r="C114" s="88"/>
      <c r="D114" s="702" t="s">
        <v>1355</v>
      </c>
      <c r="H114" s="702"/>
      <c r="X114" s="686"/>
    </row>
    <row r="115" spans="1:66" s="115" customFormat="1" x14ac:dyDescent="0.35">
      <c r="B115" s="116"/>
      <c r="F115" s="912">
        <f>'Back Calculations'!$C$123</f>
        <v>1</v>
      </c>
      <c r="G115" s="913">
        <f t="shared" ref="G115:AL115" si="15">IFERROR(IF(F115+1&lt;=WeekSuppliedUntil,F115+1,""),"")</f>
        <v>2</v>
      </c>
      <c r="H115" s="913">
        <f t="shared" si="15"/>
        <v>3</v>
      </c>
      <c r="I115" s="913">
        <f t="shared" si="15"/>
        <v>4</v>
      </c>
      <c r="J115" s="913">
        <f t="shared" si="15"/>
        <v>5</v>
      </c>
      <c r="K115" s="913">
        <f t="shared" si="15"/>
        <v>6</v>
      </c>
      <c r="L115" s="913" t="str">
        <f t="shared" si="15"/>
        <v/>
      </c>
      <c r="M115" s="913" t="str">
        <f t="shared" si="15"/>
        <v/>
      </c>
      <c r="N115" s="118" t="str">
        <f t="shared" si="15"/>
        <v/>
      </c>
      <c r="O115" s="118" t="str">
        <f t="shared" si="15"/>
        <v/>
      </c>
      <c r="P115" s="118" t="str">
        <f t="shared" si="15"/>
        <v/>
      </c>
      <c r="Q115" s="118" t="str">
        <f t="shared" si="15"/>
        <v/>
      </c>
      <c r="R115" s="118" t="str">
        <f t="shared" si="15"/>
        <v/>
      </c>
      <c r="S115" s="118" t="str">
        <f t="shared" si="15"/>
        <v/>
      </c>
      <c r="T115" s="118" t="str">
        <f t="shared" si="15"/>
        <v/>
      </c>
      <c r="U115" s="913" t="str">
        <f t="shared" si="15"/>
        <v/>
      </c>
      <c r="V115" s="118" t="str">
        <f t="shared" si="15"/>
        <v/>
      </c>
      <c r="W115" s="118" t="str">
        <f t="shared" si="15"/>
        <v/>
      </c>
      <c r="X115" s="118" t="str">
        <f t="shared" si="15"/>
        <v/>
      </c>
      <c r="Y115" s="118" t="str">
        <f t="shared" si="15"/>
        <v/>
      </c>
      <c r="Z115" s="118" t="str">
        <f t="shared" si="15"/>
        <v/>
      </c>
      <c r="AA115" s="118" t="str">
        <f t="shared" si="15"/>
        <v/>
      </c>
      <c r="AB115" s="118" t="str">
        <f t="shared" si="15"/>
        <v/>
      </c>
      <c r="AC115" s="118" t="str">
        <f t="shared" si="15"/>
        <v/>
      </c>
      <c r="AD115" s="118" t="str">
        <f t="shared" si="15"/>
        <v/>
      </c>
      <c r="AE115" s="118" t="str">
        <f t="shared" si="15"/>
        <v/>
      </c>
      <c r="AF115" s="118" t="str">
        <f t="shared" si="15"/>
        <v/>
      </c>
      <c r="AG115" s="118" t="str">
        <f t="shared" si="15"/>
        <v/>
      </c>
      <c r="AH115" s="118" t="str">
        <f t="shared" si="15"/>
        <v/>
      </c>
      <c r="AI115" s="118" t="str">
        <f t="shared" si="15"/>
        <v/>
      </c>
      <c r="AJ115" s="118" t="str">
        <f t="shared" si="15"/>
        <v/>
      </c>
      <c r="AK115" s="118" t="str">
        <f t="shared" si="15"/>
        <v/>
      </c>
      <c r="AL115" s="118" t="str">
        <f t="shared" si="15"/>
        <v/>
      </c>
      <c r="AM115" s="118" t="str">
        <f t="shared" ref="AM115:BD115" si="16">IFERROR(IF(AL115+1&lt;=WeekSuppliedUntil,AL115+1,""),"")</f>
        <v/>
      </c>
      <c r="AN115" s="118" t="str">
        <f t="shared" si="16"/>
        <v/>
      </c>
      <c r="AO115" s="118" t="str">
        <f t="shared" si="16"/>
        <v/>
      </c>
      <c r="AP115" s="118" t="str">
        <f t="shared" si="16"/>
        <v/>
      </c>
      <c r="AQ115" s="118" t="str">
        <f t="shared" si="16"/>
        <v/>
      </c>
      <c r="AR115" s="118" t="str">
        <f t="shared" si="16"/>
        <v/>
      </c>
      <c r="AS115" s="118" t="str">
        <f t="shared" si="16"/>
        <v/>
      </c>
      <c r="AT115" s="118" t="str">
        <f t="shared" si="16"/>
        <v/>
      </c>
      <c r="AU115" s="118" t="str">
        <f t="shared" si="16"/>
        <v/>
      </c>
      <c r="AV115" s="118" t="str">
        <f t="shared" si="16"/>
        <v/>
      </c>
      <c r="AW115" s="118" t="str">
        <f t="shared" si="16"/>
        <v/>
      </c>
      <c r="AX115" s="118" t="str">
        <f t="shared" si="16"/>
        <v/>
      </c>
      <c r="AY115" s="118" t="str">
        <f t="shared" si="16"/>
        <v/>
      </c>
      <c r="AZ115" s="118" t="str">
        <f t="shared" si="16"/>
        <v/>
      </c>
      <c r="BA115" s="540" t="str">
        <f t="shared" si="16"/>
        <v/>
      </c>
      <c r="BB115" s="118" t="str">
        <f t="shared" si="16"/>
        <v/>
      </c>
      <c r="BC115" s="118" t="str">
        <f t="shared" si="16"/>
        <v/>
      </c>
      <c r="BD115" s="540" t="str">
        <f t="shared" si="16"/>
        <v/>
      </c>
    </row>
    <row r="116" spans="1:66" s="115" customFormat="1" x14ac:dyDescent="0.35">
      <c r="B116" s="882" t="s">
        <v>1512</v>
      </c>
      <c r="F116" s="117"/>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row>
    <row r="117" spans="1:66" s="115" customFormat="1" x14ac:dyDescent="0.35">
      <c r="B117" s="883" t="s">
        <v>1530</v>
      </c>
      <c r="F117" s="117"/>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row>
    <row r="118" spans="1:66" s="115" customFormat="1" ht="28.4" customHeight="1" x14ac:dyDescent="0.35">
      <c r="B118" s="1486" t="s">
        <v>1518</v>
      </c>
      <c r="C118" s="1486"/>
      <c r="D118" s="1486"/>
      <c r="E118" s="1486"/>
      <c r="F118" s="1486"/>
      <c r="G118" s="650">
        <f ca="1">SUM('Weekly Summary'!$BH$110+'Weekly Summary'!$BH$126)</f>
        <v>887.25775054312828</v>
      </c>
      <c r="H118" s="651" t="str">
        <f ca="1">CONCATENATE("   This is ",ROUNDUP(G118/SUM('Weekly Summary'!$D$16:$D$17),0)," times as many HCWs as currently operational in country")</f>
        <v xml:space="preserve">   This is 1 times as many HCWs as currently operational in country</v>
      </c>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row>
    <row r="119" spans="1:66" s="115" customFormat="1" ht="15" thickBot="1" x14ac:dyDescent="0.4">
      <c r="F119" s="871"/>
      <c r="G119" s="118">
        <v>1</v>
      </c>
      <c r="H119" s="118">
        <v>2</v>
      </c>
      <c r="I119" s="118">
        <v>3</v>
      </c>
      <c r="J119" s="118">
        <v>4</v>
      </c>
      <c r="K119" s="118">
        <v>5</v>
      </c>
      <c r="L119" s="118">
        <v>6</v>
      </c>
      <c r="M119" s="118">
        <v>7</v>
      </c>
      <c r="N119" s="118">
        <v>8</v>
      </c>
      <c r="O119" s="118">
        <v>9</v>
      </c>
      <c r="P119" s="118">
        <v>10</v>
      </c>
      <c r="Q119" s="118">
        <v>11</v>
      </c>
      <c r="R119" s="118">
        <v>12</v>
      </c>
      <c r="S119" s="118">
        <v>13</v>
      </c>
      <c r="T119" s="118">
        <v>14</v>
      </c>
      <c r="U119" s="118">
        <v>15</v>
      </c>
      <c r="V119" s="118">
        <v>16</v>
      </c>
      <c r="W119" s="118">
        <v>17</v>
      </c>
      <c r="X119" s="118">
        <v>18</v>
      </c>
      <c r="Y119" s="118">
        <v>19</v>
      </c>
      <c r="Z119" s="118">
        <v>20</v>
      </c>
      <c r="AA119" s="118">
        <v>21</v>
      </c>
      <c r="AB119" s="118">
        <v>22</v>
      </c>
      <c r="AC119" s="118">
        <v>23</v>
      </c>
      <c r="AD119" s="118">
        <v>24</v>
      </c>
      <c r="AE119" s="118">
        <v>25</v>
      </c>
      <c r="AF119" s="118">
        <v>26</v>
      </c>
      <c r="AG119" s="118">
        <v>27</v>
      </c>
      <c r="AH119" s="118">
        <v>28</v>
      </c>
      <c r="AI119" s="118">
        <v>29</v>
      </c>
      <c r="AJ119" s="118">
        <v>30</v>
      </c>
      <c r="AK119" s="118">
        <v>31</v>
      </c>
      <c r="AL119" s="118">
        <v>32</v>
      </c>
      <c r="AM119" s="118">
        <v>33</v>
      </c>
      <c r="AN119" s="118">
        <v>34</v>
      </c>
      <c r="AO119" s="118">
        <v>35</v>
      </c>
      <c r="AP119" s="118">
        <v>36</v>
      </c>
      <c r="AQ119" s="118">
        <v>37</v>
      </c>
      <c r="AR119" s="118">
        <v>38</v>
      </c>
      <c r="AS119" s="118">
        <v>39</v>
      </c>
      <c r="AT119" s="118">
        <v>40</v>
      </c>
      <c r="AU119" s="118">
        <v>41</v>
      </c>
      <c r="AV119" s="118">
        <v>42</v>
      </c>
      <c r="AW119" s="118">
        <v>43</v>
      </c>
      <c r="AX119" s="118">
        <v>44</v>
      </c>
      <c r="AY119" s="118">
        <v>45</v>
      </c>
      <c r="AZ119" s="118">
        <v>46</v>
      </c>
      <c r="BA119" s="118">
        <v>47</v>
      </c>
      <c r="BB119" s="118">
        <v>48</v>
      </c>
      <c r="BC119" s="118">
        <v>49</v>
      </c>
      <c r="BD119" s="118">
        <v>50</v>
      </c>
      <c r="BE119" s="118">
        <v>51</v>
      </c>
      <c r="BF119" s="118">
        <v>52</v>
      </c>
      <c r="BG119" s="118">
        <v>53</v>
      </c>
      <c r="BH119" s="118">
        <v>54</v>
      </c>
      <c r="BI119" s="118">
        <v>55</v>
      </c>
      <c r="BJ119" s="118">
        <v>56</v>
      </c>
      <c r="BK119" s="118">
        <v>57</v>
      </c>
      <c r="BL119" s="118">
        <v>58</v>
      </c>
      <c r="BM119" s="118">
        <v>59</v>
      </c>
      <c r="BN119" s="118">
        <v>60</v>
      </c>
    </row>
    <row r="120" spans="1:66" ht="31.5" customHeight="1" thickBot="1" x14ac:dyDescent="0.4">
      <c r="B120" s="889" t="s">
        <v>737</v>
      </c>
      <c r="C120" s="245" t="s">
        <v>738</v>
      </c>
      <c r="D120" s="246"/>
      <c r="E120" s="247"/>
      <c r="F120" s="248" t="str">
        <f>CONCATENATE("First week of forecast")</f>
        <v>First week of forecast</v>
      </c>
      <c r="G120" s="248" t="str">
        <f>CONCATENATE("Week ",G$119+1," of forecast")</f>
        <v>Week 2 of forecast</v>
      </c>
      <c r="H120" s="248" t="str">
        <f t="shared" ref="H120:BN120" si="17">CONCATENATE("Week ",H$119+1," of forecast")</f>
        <v>Week 3 of forecast</v>
      </c>
      <c r="I120" s="248" t="str">
        <f t="shared" si="17"/>
        <v>Week 4 of forecast</v>
      </c>
      <c r="J120" s="248" t="str">
        <f t="shared" si="17"/>
        <v>Week 5 of forecast</v>
      </c>
      <c r="K120" s="248" t="str">
        <f t="shared" si="17"/>
        <v>Week 6 of forecast</v>
      </c>
      <c r="L120" s="248" t="str">
        <f t="shared" si="17"/>
        <v>Week 7 of forecast</v>
      </c>
      <c r="M120" s="248" t="str">
        <f t="shared" si="17"/>
        <v>Week 8 of forecast</v>
      </c>
      <c r="N120" s="248" t="str">
        <f t="shared" si="17"/>
        <v>Week 9 of forecast</v>
      </c>
      <c r="O120" s="248" t="str">
        <f t="shared" si="17"/>
        <v>Week 10 of forecast</v>
      </c>
      <c r="P120" s="248" t="str">
        <f t="shared" si="17"/>
        <v>Week 11 of forecast</v>
      </c>
      <c r="Q120" s="248" t="str">
        <f t="shared" si="17"/>
        <v>Week 12 of forecast</v>
      </c>
      <c r="R120" s="248" t="str">
        <f t="shared" si="17"/>
        <v>Week 13 of forecast</v>
      </c>
      <c r="S120" s="248" t="str">
        <f t="shared" si="17"/>
        <v>Week 14 of forecast</v>
      </c>
      <c r="T120" s="248" t="str">
        <f t="shared" si="17"/>
        <v>Week 15 of forecast</v>
      </c>
      <c r="U120" s="248" t="str">
        <f t="shared" si="17"/>
        <v>Week 16 of forecast</v>
      </c>
      <c r="V120" s="248" t="str">
        <f t="shared" si="17"/>
        <v>Week 17 of forecast</v>
      </c>
      <c r="W120" s="248" t="str">
        <f t="shared" si="17"/>
        <v>Week 18 of forecast</v>
      </c>
      <c r="X120" s="248" t="str">
        <f t="shared" si="17"/>
        <v>Week 19 of forecast</v>
      </c>
      <c r="Y120" s="248" t="str">
        <f t="shared" si="17"/>
        <v>Week 20 of forecast</v>
      </c>
      <c r="Z120" s="248" t="str">
        <f t="shared" si="17"/>
        <v>Week 21 of forecast</v>
      </c>
      <c r="AA120" s="248" t="str">
        <f t="shared" si="17"/>
        <v>Week 22 of forecast</v>
      </c>
      <c r="AB120" s="248" t="str">
        <f t="shared" si="17"/>
        <v>Week 23 of forecast</v>
      </c>
      <c r="AC120" s="248" t="str">
        <f t="shared" si="17"/>
        <v>Week 24 of forecast</v>
      </c>
      <c r="AD120" s="248" t="str">
        <f t="shared" si="17"/>
        <v>Week 25 of forecast</v>
      </c>
      <c r="AE120" s="248" t="str">
        <f t="shared" si="17"/>
        <v>Week 26 of forecast</v>
      </c>
      <c r="AF120" s="248" t="str">
        <f t="shared" si="17"/>
        <v>Week 27 of forecast</v>
      </c>
      <c r="AG120" s="248" t="str">
        <f t="shared" si="17"/>
        <v>Week 28 of forecast</v>
      </c>
      <c r="AH120" s="248" t="str">
        <f t="shared" si="17"/>
        <v>Week 29 of forecast</v>
      </c>
      <c r="AI120" s="248" t="str">
        <f t="shared" si="17"/>
        <v>Week 30 of forecast</v>
      </c>
      <c r="AJ120" s="248" t="str">
        <f t="shared" si="17"/>
        <v>Week 31 of forecast</v>
      </c>
      <c r="AK120" s="248" t="str">
        <f t="shared" si="17"/>
        <v>Week 32 of forecast</v>
      </c>
      <c r="AL120" s="248" t="str">
        <f t="shared" si="17"/>
        <v>Week 33 of forecast</v>
      </c>
      <c r="AM120" s="248" t="str">
        <f t="shared" si="17"/>
        <v>Week 34 of forecast</v>
      </c>
      <c r="AN120" s="248" t="str">
        <f t="shared" si="17"/>
        <v>Week 35 of forecast</v>
      </c>
      <c r="AO120" s="248" t="str">
        <f t="shared" si="17"/>
        <v>Week 36 of forecast</v>
      </c>
      <c r="AP120" s="248" t="str">
        <f t="shared" si="17"/>
        <v>Week 37 of forecast</v>
      </c>
      <c r="AQ120" s="248" t="str">
        <f t="shared" si="17"/>
        <v>Week 38 of forecast</v>
      </c>
      <c r="AR120" s="248" t="str">
        <f t="shared" si="17"/>
        <v>Week 39 of forecast</v>
      </c>
      <c r="AS120" s="248" t="str">
        <f t="shared" si="17"/>
        <v>Week 40 of forecast</v>
      </c>
      <c r="AT120" s="248" t="str">
        <f t="shared" si="17"/>
        <v>Week 41 of forecast</v>
      </c>
      <c r="AU120" s="248" t="str">
        <f t="shared" si="17"/>
        <v>Week 42 of forecast</v>
      </c>
      <c r="AV120" s="248" t="str">
        <f t="shared" si="17"/>
        <v>Week 43 of forecast</v>
      </c>
      <c r="AW120" s="248" t="str">
        <f t="shared" si="17"/>
        <v>Week 44 of forecast</v>
      </c>
      <c r="AX120" s="248" t="str">
        <f t="shared" si="17"/>
        <v>Week 45 of forecast</v>
      </c>
      <c r="AY120" s="248" t="str">
        <f t="shared" si="17"/>
        <v>Week 46 of forecast</v>
      </c>
      <c r="AZ120" s="248" t="str">
        <f t="shared" si="17"/>
        <v>Week 47 of forecast</v>
      </c>
      <c r="BA120" s="248" t="str">
        <f t="shared" si="17"/>
        <v>Week 48 of forecast</v>
      </c>
      <c r="BB120" s="248" t="str">
        <f t="shared" si="17"/>
        <v>Week 49 of forecast</v>
      </c>
      <c r="BC120" s="248" t="str">
        <f t="shared" si="17"/>
        <v>Week 50 of forecast</v>
      </c>
      <c r="BD120" s="248" t="str">
        <f t="shared" si="17"/>
        <v>Week 51 of forecast</v>
      </c>
      <c r="BE120" s="248" t="str">
        <f t="shared" si="17"/>
        <v>Week 52 of forecast</v>
      </c>
      <c r="BF120" s="248" t="str">
        <f t="shared" si="17"/>
        <v>Week 53 of forecast</v>
      </c>
      <c r="BG120" s="248" t="str">
        <f t="shared" si="17"/>
        <v>Week 54 of forecast</v>
      </c>
      <c r="BH120" s="248" t="str">
        <f t="shared" si="17"/>
        <v>Week 55 of forecast</v>
      </c>
      <c r="BI120" s="248" t="str">
        <f t="shared" si="17"/>
        <v>Week 56 of forecast</v>
      </c>
      <c r="BJ120" s="248" t="str">
        <f t="shared" si="17"/>
        <v>Week 57 of forecast</v>
      </c>
      <c r="BK120" s="248" t="str">
        <f t="shared" si="17"/>
        <v>Week 58 of forecast</v>
      </c>
      <c r="BL120" s="248" t="str">
        <f t="shared" si="17"/>
        <v>Week 59 of forecast</v>
      </c>
      <c r="BM120" s="248" t="str">
        <f t="shared" si="17"/>
        <v>Week 60 of forecast</v>
      </c>
      <c r="BN120" s="249" t="str">
        <f t="shared" si="17"/>
        <v>Week 61 of forecast</v>
      </c>
    </row>
    <row r="121" spans="1:66" s="139" customFormat="1" x14ac:dyDescent="0.35">
      <c r="B121" s="1494" t="s">
        <v>704</v>
      </c>
      <c r="C121" s="1477" t="s">
        <v>1446</v>
      </c>
      <c r="D121" s="1478"/>
      <c r="E121" s="1479"/>
      <c r="F121" s="244">
        <f ca="1">IF(ISNUMBER(F$115),INDEX('Weekly Summary'!$D$112:$BD$115,1,MATCH(F$115,'Weekly Summary'!$D$40:$BD$40,0)),"")</f>
        <v>1.823282621323133</v>
      </c>
      <c r="G121" s="244">
        <f ca="1">IF(ISNUMBER(G$115),INDEX('Weekly Summary'!$D$112:$BD$115,1,MATCH(G$115,'Weekly Summary'!$D$40:$BD$40,0)),"")</f>
        <v>6.2013650861886918</v>
      </c>
      <c r="H121" s="244">
        <f ca="1">IF(ISNUMBER(H$115),INDEX('Weekly Summary'!$D$112:$BD$115,1,MATCH(H$115,'Weekly Summary'!$D$40:$BD$40,0)),"")</f>
        <v>21.310849395301137</v>
      </c>
      <c r="I121" s="244">
        <f ca="1">IF(ISNUMBER(I$115),INDEX('Weekly Summary'!$D$112:$BD$115,1,MATCH(I$115,'Weekly Summary'!$D$40:$BD$40,0)),"")</f>
        <v>73.23193000046318</v>
      </c>
      <c r="J121" s="244">
        <f ca="1">IF(ISNUMBER(J$115),INDEX('Weekly Summary'!$D$112:$BD$115,1,MATCH(J$115,'Weekly Summary'!$D$40:$BD$40,0)),"")</f>
        <v>251.62453528776308</v>
      </c>
      <c r="K121" s="244">
        <f ca="1">IF(ISNUMBER(K$115),INDEX('Weekly Summary'!$D$112:$BD$115,1,MATCH(K$115,'Weekly Summary'!$D$40:$BD$40,0)),"")</f>
        <v>864.25775054312828</v>
      </c>
      <c r="L121" s="244" t="str">
        <f>IF(ISNUMBER(L$115),INDEX('Weekly Summary'!$D$112:$BD$115,1,MATCH(L$115,'Weekly Summary'!$D$40:$BD$40,0)),"")</f>
        <v/>
      </c>
      <c r="M121" s="244" t="str">
        <f>IF(ISNUMBER(M$115),INDEX('Weekly Summary'!$D$112:$BD$115,1,MATCH(M$115,'Weekly Summary'!$D$40:$BD$40,0)),"")</f>
        <v/>
      </c>
      <c r="N121" s="244" t="str">
        <f>IF(ISNUMBER(N$115),INDEX('Weekly Summary'!$D$112:$BD$115,1,MATCH(N$115,'Weekly Summary'!$D$40:$BD$40,0)),"")</f>
        <v/>
      </c>
      <c r="O121" s="244" t="str">
        <f>IF(ISNUMBER(O$115),INDEX('Weekly Summary'!$D$112:$BD$115,1,MATCH(O$115,'Weekly Summary'!$D$40:$BD$40,0)),"")</f>
        <v/>
      </c>
      <c r="P121" s="244" t="str">
        <f>IF(ISNUMBER(P$115),INDEX('Weekly Summary'!$D$112:$BD$115,1,MATCH(P$115,'Weekly Summary'!$D$40:$BD$40,0)),"")</f>
        <v/>
      </c>
      <c r="Q121" s="244" t="str">
        <f>IF(ISNUMBER(Q$115),INDEX('Weekly Summary'!$D$112:$BD$115,1,MATCH(Q$115,'Weekly Summary'!$D$40:$BD$40,0)),"")</f>
        <v/>
      </c>
      <c r="R121" s="244" t="str">
        <f>IF(ISNUMBER(R$115),INDEX('Weekly Summary'!$D$112:$BD$115,1,MATCH(R$115,'Weekly Summary'!$D$40:$BD$40,0)),"")</f>
        <v/>
      </c>
      <c r="S121" s="244" t="str">
        <f>IF(ISNUMBER(S$115),INDEX('Weekly Summary'!$D$112:$BD$115,1,MATCH(S$115,'Weekly Summary'!$D$40:$BD$40,0)),"")</f>
        <v/>
      </c>
      <c r="T121" s="244" t="str">
        <f>IF(ISNUMBER(T$115),INDEX('Weekly Summary'!$D$112:$BD$115,1,MATCH(T$115,'Weekly Summary'!$D$40:$BD$40,0)),"")</f>
        <v/>
      </c>
      <c r="U121" s="244" t="str">
        <f>IF(ISNUMBER(U$115),INDEX('Weekly Summary'!$D$112:$BD$115,1,MATCH(U$115,'Weekly Summary'!$D$40:$BD$40,0)),"")</f>
        <v/>
      </c>
      <c r="V121" s="244" t="str">
        <f>IF(ISNUMBER(V$115),INDEX('Weekly Summary'!$D$112:$BD$115,1,MATCH(V$115,'Weekly Summary'!$D$40:$BD$40,0)),"")</f>
        <v/>
      </c>
      <c r="W121" s="244" t="str">
        <f>IF(ISNUMBER(W$115),INDEX('Weekly Summary'!$D$112:$BD$115,1,MATCH(W$115,'Weekly Summary'!$D$40:$BD$40,0)),"")</f>
        <v/>
      </c>
      <c r="X121" s="860" t="str">
        <f>IF(ISNUMBER(X$115),INDEX('Weekly Summary'!$D$112:$BD$115,1,MATCH(X$115,'Weekly Summary'!$D$40:$BD$40,0)),"")</f>
        <v/>
      </c>
      <c r="Y121" s="244" t="str">
        <f>IF(ISNUMBER(Y$115),INDEX('Weekly Summary'!$D$112:$BD$115,1,MATCH(Y$115,'Weekly Summary'!$D$40:$BD$40,0)),"")</f>
        <v/>
      </c>
      <c r="Z121" s="244" t="str">
        <f>IF(ISNUMBER(Z$115),INDEX('Weekly Summary'!$D$112:$BD$115,1,MATCH(Z$115,'Weekly Summary'!$D$40:$BD$40,0)),"")</f>
        <v/>
      </c>
      <c r="AA121" s="244" t="str">
        <f>IF(ISNUMBER(AA$115),INDEX('Weekly Summary'!$D$112:$BD$115,1,MATCH(AA$115,'Weekly Summary'!$D$40:$BD$40,0)),"")</f>
        <v/>
      </c>
      <c r="AB121" s="244" t="str">
        <f>IF(ISNUMBER(AB$115),INDEX('Weekly Summary'!$D$112:$BD$115,1,MATCH(AB$115,'Weekly Summary'!$D$40:$BD$40,0)),"")</f>
        <v/>
      </c>
      <c r="AC121" s="244" t="str">
        <f>IF(ISNUMBER(AC$115),INDEX('Weekly Summary'!$D$112:$BD$115,1,MATCH(AC$115,'Weekly Summary'!$D$40:$BD$40,0)),"")</f>
        <v/>
      </c>
      <c r="AD121" s="244" t="str">
        <f>IF(ISNUMBER(AD$115),INDEX('Weekly Summary'!$D$112:$BD$115,1,MATCH(AD$115,'Weekly Summary'!$D$40:$BD$40,0)),"")</f>
        <v/>
      </c>
      <c r="AE121" s="244" t="str">
        <f>IF(ISNUMBER(AE$115),INDEX('Weekly Summary'!$D$112:$BD$115,1,MATCH(AE$115,'Weekly Summary'!$D$40:$BD$40,0)),"")</f>
        <v/>
      </c>
      <c r="AF121" s="244" t="str">
        <f>IF(ISNUMBER(AF$115),INDEX('Weekly Summary'!$D$112:$BD$115,1,MATCH(AF$115,'Weekly Summary'!$D$40:$BD$40,0)),"")</f>
        <v/>
      </c>
      <c r="AG121" s="244" t="str">
        <f>IF(ISNUMBER(AG$115),INDEX('Weekly Summary'!$D$112:$BD$115,1,MATCH(AG$115,'Weekly Summary'!$D$40:$BD$40,0)),"")</f>
        <v/>
      </c>
      <c r="AH121" s="244" t="str">
        <f>IF(ISNUMBER(AH$115),INDEX('Weekly Summary'!$D$112:$BD$115,1,MATCH(AH$115,'Weekly Summary'!$D$40:$BD$40,0)),"")</f>
        <v/>
      </c>
      <c r="AI121" s="244" t="str">
        <f>IF(ISNUMBER(AI$115),INDEX('Weekly Summary'!$D$112:$BD$115,1,MATCH(AI$115,'Weekly Summary'!$D$40:$BD$40,0)),"")</f>
        <v/>
      </c>
      <c r="AJ121" s="244" t="str">
        <f>IF(ISNUMBER(AJ$115),INDEX('Weekly Summary'!$D$112:$BD$115,1,MATCH(AJ$115,'Weekly Summary'!$D$40:$BD$40,0)),"")</f>
        <v/>
      </c>
      <c r="AK121" s="244" t="str">
        <f>IF(ISNUMBER(AK$115),INDEX('Weekly Summary'!$D$112:$BD$115,1,MATCH(AK$115,'Weekly Summary'!$D$40:$BD$40,0)),"")</f>
        <v/>
      </c>
      <c r="AL121" s="244" t="str">
        <f>IF(ISNUMBER(AL$115),INDEX('Weekly Summary'!$D$112:$BD$115,1,MATCH(AL$115,'Weekly Summary'!$D$40:$BD$40,0)),"")</f>
        <v/>
      </c>
      <c r="AM121" s="244" t="str">
        <f>IF(ISNUMBER(AM$115),INDEX('Weekly Summary'!$D$112:$BD$115,1,MATCH(AM$115,'Weekly Summary'!$D$40:$BD$40,0)),"")</f>
        <v/>
      </c>
      <c r="AN121" s="244" t="str">
        <f>IF(ISNUMBER(AN$115),INDEX('Weekly Summary'!$D$112:$BD$115,1,MATCH(AN$115,'Weekly Summary'!$D$40:$BD$40,0)),"")</f>
        <v/>
      </c>
      <c r="AO121" s="244" t="str">
        <f>IF(ISNUMBER(AO$115),INDEX('Weekly Summary'!$D$112:$BD$115,1,MATCH(AO$115,'Weekly Summary'!$D$40:$BD$40,0)),"")</f>
        <v/>
      </c>
      <c r="AP121" s="244" t="str">
        <f>IF(ISNUMBER(AP$115),INDEX('Weekly Summary'!$D$112:$BD$115,1,MATCH(AP$115,'Weekly Summary'!$D$40:$BD$40,0)),"")</f>
        <v/>
      </c>
      <c r="AQ121" s="244" t="str">
        <f>IF(ISNUMBER(AQ$115),INDEX('Weekly Summary'!$D$112:$BD$115,1,MATCH(AQ$115,'Weekly Summary'!$D$40:$BD$40,0)),"")</f>
        <v/>
      </c>
      <c r="AR121" s="244" t="str">
        <f>IF(ISNUMBER(AR$115),INDEX('Weekly Summary'!$D$112:$BD$115,1,MATCH(AR$115,'Weekly Summary'!$D$40:$BD$40,0)),"")</f>
        <v/>
      </c>
      <c r="AS121" s="244" t="str">
        <f>IF(ISNUMBER(AS$115),INDEX('Weekly Summary'!$D$112:$BD$115,1,MATCH(AS$115,'Weekly Summary'!$D$40:$BD$40,0)),"")</f>
        <v/>
      </c>
      <c r="AT121" s="244" t="str">
        <f>IF(ISNUMBER(AT$115),INDEX('Weekly Summary'!$D$112:$BD$115,1,MATCH(AT$115,'Weekly Summary'!$D$40:$BD$40,0)),"")</f>
        <v/>
      </c>
      <c r="AU121" s="244" t="str">
        <f>IF(ISNUMBER(AU$115),INDEX('Weekly Summary'!$D$112:$BD$115,1,MATCH(AU$115,'Weekly Summary'!$D$40:$BD$40,0)),"")</f>
        <v/>
      </c>
      <c r="AV121" s="244" t="str">
        <f>IF(ISNUMBER(AV$115),INDEX('Weekly Summary'!$D$112:$BD$115,1,MATCH(AV$115,'Weekly Summary'!$D$40:$BD$40,0)),"")</f>
        <v/>
      </c>
      <c r="AW121" s="244" t="str">
        <f>IF(ISNUMBER(AW$115),INDEX('Weekly Summary'!$D$112:$BD$115,1,MATCH(AW$115,'Weekly Summary'!$D$40:$BD$40,0)),"")</f>
        <v/>
      </c>
      <c r="AX121" s="244" t="str">
        <f>IF(ISNUMBER(AX$115),INDEX('Weekly Summary'!$D$112:$BD$115,1,MATCH(AX$115,'Weekly Summary'!$D$40:$BD$40,0)),"")</f>
        <v/>
      </c>
      <c r="AY121" s="244" t="str">
        <f>IF(ISNUMBER(AY$115),INDEX('Weekly Summary'!$D$112:$BD$115,1,MATCH(AY$115,'Weekly Summary'!$D$40:$BD$40,0)),"")</f>
        <v/>
      </c>
      <c r="AZ121" s="244" t="str">
        <f>IF(ISNUMBER(AZ$115),INDEX('Weekly Summary'!$D$112:$BD$115,1,MATCH(AZ$115,'Weekly Summary'!$D$40:$BD$40,0)),"")</f>
        <v/>
      </c>
      <c r="BA121" s="244" t="str">
        <f>IF(ISNUMBER(BA$115),INDEX('Weekly Summary'!$D$112:$BD$115,1,MATCH(BA$115,'Weekly Summary'!$D$40:$BD$40,0)),"")</f>
        <v/>
      </c>
      <c r="BB121" s="244" t="str">
        <f>IF(ISNUMBER(BB$115),INDEX('Weekly Summary'!$D$112:$BD$115,1,MATCH(BB$115,'Weekly Summary'!$D$40:$BD$40,0)),"")</f>
        <v/>
      </c>
      <c r="BC121" s="244" t="str">
        <f>IF(ISNUMBER(BC$115),INDEX('Weekly Summary'!$D$112:$BD$115,1,MATCH(BC$115,'Weekly Summary'!$D$40:$BD$40,0)),"")</f>
        <v/>
      </c>
      <c r="BD121" s="244" t="str">
        <f>IF(ISNUMBER(BD$115),INDEX('Weekly Summary'!$D$112:$BD$115,1,MATCH(BD$115,'Weekly Summary'!$D$40:$BD$40,0)),"")</f>
        <v/>
      </c>
      <c r="BE121" s="643"/>
      <c r="BF121" s="643"/>
      <c r="BG121" s="643"/>
      <c r="BH121" s="643"/>
      <c r="BI121" s="643"/>
      <c r="BJ121" s="643"/>
      <c r="BK121" s="643"/>
      <c r="BL121" s="643"/>
      <c r="BM121" s="643"/>
      <c r="BN121" s="644"/>
    </row>
    <row r="122" spans="1:66" x14ac:dyDescent="0.35">
      <c r="B122" s="1495"/>
      <c r="C122" s="1480" t="s">
        <v>1447</v>
      </c>
      <c r="D122" s="1481"/>
      <c r="E122" s="1482"/>
      <c r="F122" s="244">
        <f ca="1">IF(ISNUMBER(F$115),INDEX('Weekly Summary'!$D$112:$BD$115,2,MATCH(F$115,'Weekly Summary'!$D$40:$BD$40,0)),"")</f>
        <v>0.46454829626717947</v>
      </c>
      <c r="G122" s="244">
        <f ca="1">IF(ISNUMBER(G$115),INDEX('Weekly Summary'!$D$112:$BD$115,2,MATCH(G$115,'Weekly Summary'!$D$40:$BD$40,0)),"")</f>
        <v>1.5800258016111308</v>
      </c>
      <c r="H122" s="244">
        <f ca="1">IF(ISNUMBER(H$115),INDEX('Weekly Summary'!$D$112:$BD$115,2,MATCH(H$115,'Weekly Summary'!$D$40:$BD$40,0)),"")</f>
        <v>5.4297225579923252</v>
      </c>
      <c r="I122" s="244">
        <f ca="1">IF(ISNUMBER(I$115),INDEX('Weekly Summary'!$D$112:$BD$115,2,MATCH(I$115,'Weekly Summary'!$D$40:$BD$40,0)),"")</f>
        <v>18.658527162061578</v>
      </c>
      <c r="J122" s="244">
        <f ca="1">IF(ISNUMBER(J$115),INDEX('Weekly Summary'!$D$112:$BD$115,2,MATCH(J$115,'Weekly Summary'!$D$40:$BD$40,0)),"")</f>
        <v>64.110603479631834</v>
      </c>
      <c r="K122" s="244">
        <f ca="1">IF(ISNUMBER(K$115),INDEX('Weekly Summary'!$D$112:$BD$115,2,MATCH(K$115,'Weekly Summary'!$D$40:$BD$40,0)),"")</f>
        <v>220.20144373402704</v>
      </c>
      <c r="L122" s="244" t="str">
        <f>IF(ISNUMBER(L$115),INDEX('Weekly Summary'!$D$112:$BD$115,2,MATCH(L$115,'Weekly Summary'!$D$40:$BD$40,0)),"")</f>
        <v/>
      </c>
      <c r="M122" s="244" t="str">
        <f>IF(ISNUMBER(M$115),INDEX('Weekly Summary'!$D$112:$BD$115,2,MATCH(M$115,'Weekly Summary'!$D$40:$BD$40,0)),"")</f>
        <v/>
      </c>
      <c r="N122" s="244" t="str">
        <f>IF(ISNUMBER(N$115),INDEX('Weekly Summary'!$D$112:$BD$115,2,MATCH(N$115,'Weekly Summary'!$D$40:$BD$40,0)),"")</f>
        <v/>
      </c>
      <c r="O122" s="244" t="str">
        <f>IF(ISNUMBER(O$115),INDEX('Weekly Summary'!$D$112:$BD$115,2,MATCH(O$115,'Weekly Summary'!$D$40:$BD$40,0)),"")</f>
        <v/>
      </c>
      <c r="P122" s="244" t="str">
        <f>IF(ISNUMBER(P$115),INDEX('Weekly Summary'!$D$112:$BD$115,2,MATCH(P$115,'Weekly Summary'!$D$40:$BD$40,0)),"")</f>
        <v/>
      </c>
      <c r="Q122" s="244" t="str">
        <f>IF(ISNUMBER(Q$115),INDEX('Weekly Summary'!$D$112:$BD$115,2,MATCH(Q$115,'Weekly Summary'!$D$40:$BD$40,0)),"")</f>
        <v/>
      </c>
      <c r="R122" s="244" t="str">
        <f>IF(ISNUMBER(R$115),INDEX('Weekly Summary'!$D$112:$BD$115,2,MATCH(R$115,'Weekly Summary'!$D$40:$BD$40,0)),"")</f>
        <v/>
      </c>
      <c r="S122" s="244" t="str">
        <f>IF(ISNUMBER(S$115),INDEX('Weekly Summary'!$D$112:$BD$115,2,MATCH(S$115,'Weekly Summary'!$D$40:$BD$40,0)),"")</f>
        <v/>
      </c>
      <c r="T122" s="244" t="str">
        <f>IF(ISNUMBER(T$115),INDEX('Weekly Summary'!$D$112:$BD$115,2,MATCH(T$115,'Weekly Summary'!$D$40:$BD$40,0)),"")</f>
        <v/>
      </c>
      <c r="U122" s="244" t="str">
        <f>IF(ISNUMBER(U$115),INDEX('Weekly Summary'!$D$112:$BD$115,2,MATCH(U$115,'Weekly Summary'!$D$40:$BD$40,0)),"")</f>
        <v/>
      </c>
      <c r="V122" s="244" t="str">
        <f>IF(ISNUMBER(V$115),INDEX('Weekly Summary'!$D$112:$BD$115,2,MATCH(V$115,'Weekly Summary'!$D$40:$BD$40,0)),"")</f>
        <v/>
      </c>
      <c r="W122" s="244" t="str">
        <f>IF(ISNUMBER(W$115),INDEX('Weekly Summary'!$D$112:$BD$115,2,MATCH(W$115,'Weekly Summary'!$D$40:$BD$40,0)),"")</f>
        <v/>
      </c>
      <c r="X122" s="860" t="str">
        <f>IF(ISNUMBER(X$115),INDEX('Weekly Summary'!$D$112:$BD$115,2,MATCH(X$115,'Weekly Summary'!$D$40:$BD$40,0)),"")</f>
        <v/>
      </c>
      <c r="Y122" s="244" t="str">
        <f>IF(ISNUMBER(Y$115),INDEX('Weekly Summary'!$D$112:$BD$115,2,MATCH(Y$115,'Weekly Summary'!$D$40:$BD$40,0)),"")</f>
        <v/>
      </c>
      <c r="Z122" s="244" t="str">
        <f>IF(ISNUMBER(Z$115),INDEX('Weekly Summary'!$D$112:$BD$115,2,MATCH(Z$115,'Weekly Summary'!$D$40:$BD$40,0)),"")</f>
        <v/>
      </c>
      <c r="AA122" s="244" t="str">
        <f>IF(ISNUMBER(AA$115),INDEX('Weekly Summary'!$D$112:$BD$115,2,MATCH(AA$115,'Weekly Summary'!$D$40:$BD$40,0)),"")</f>
        <v/>
      </c>
      <c r="AB122" s="244" t="str">
        <f>IF(ISNUMBER(AB$115),INDEX('Weekly Summary'!$D$112:$BD$115,2,MATCH(AB$115,'Weekly Summary'!$D$40:$BD$40,0)),"")</f>
        <v/>
      </c>
      <c r="AC122" s="244" t="str">
        <f>IF(ISNUMBER(AC$115),INDEX('Weekly Summary'!$D$112:$BD$115,2,MATCH(AC$115,'Weekly Summary'!$D$40:$BD$40,0)),"")</f>
        <v/>
      </c>
      <c r="AD122" s="244" t="str">
        <f>IF(ISNUMBER(AD$115),INDEX('Weekly Summary'!$D$112:$BD$115,2,MATCH(AD$115,'Weekly Summary'!$D$40:$BD$40,0)),"")</f>
        <v/>
      </c>
      <c r="AE122" s="244" t="str">
        <f>IF(ISNUMBER(AE$115),INDEX('Weekly Summary'!$D$112:$BD$115,2,MATCH(AE$115,'Weekly Summary'!$D$40:$BD$40,0)),"")</f>
        <v/>
      </c>
      <c r="AF122" s="244" t="str">
        <f>IF(ISNUMBER(AF$115),INDEX('Weekly Summary'!$D$112:$BD$115,2,MATCH(AF$115,'Weekly Summary'!$D$40:$BD$40,0)),"")</f>
        <v/>
      </c>
      <c r="AG122" s="244" t="str">
        <f>IF(ISNUMBER(AG$115),INDEX('Weekly Summary'!$D$112:$BD$115,2,MATCH(AG$115,'Weekly Summary'!$D$40:$BD$40,0)),"")</f>
        <v/>
      </c>
      <c r="AH122" s="244" t="str">
        <f>IF(ISNUMBER(AH$115),INDEX('Weekly Summary'!$D$112:$BD$115,2,MATCH(AH$115,'Weekly Summary'!$D$40:$BD$40,0)),"")</f>
        <v/>
      </c>
      <c r="AI122" s="244" t="str">
        <f>IF(ISNUMBER(AI$115),INDEX('Weekly Summary'!$D$112:$BD$115,2,MATCH(AI$115,'Weekly Summary'!$D$40:$BD$40,0)),"")</f>
        <v/>
      </c>
      <c r="AJ122" s="244" t="str">
        <f>IF(ISNUMBER(AJ$115),INDEX('Weekly Summary'!$D$112:$BD$115,2,MATCH(AJ$115,'Weekly Summary'!$D$40:$BD$40,0)),"")</f>
        <v/>
      </c>
      <c r="AK122" s="244" t="str">
        <f>IF(ISNUMBER(AK$115),INDEX('Weekly Summary'!$D$112:$BD$115,2,MATCH(AK$115,'Weekly Summary'!$D$40:$BD$40,0)),"")</f>
        <v/>
      </c>
      <c r="AL122" s="244" t="str">
        <f>IF(ISNUMBER(AL$115),INDEX('Weekly Summary'!$D$112:$BD$115,2,MATCH(AL$115,'Weekly Summary'!$D$40:$BD$40,0)),"")</f>
        <v/>
      </c>
      <c r="AM122" s="244" t="str">
        <f>IF(ISNUMBER(AM$115),INDEX('Weekly Summary'!$D$112:$BD$115,2,MATCH(AM$115,'Weekly Summary'!$D$40:$BD$40,0)),"")</f>
        <v/>
      </c>
      <c r="AN122" s="244" t="str">
        <f>IF(ISNUMBER(AN$115),INDEX('Weekly Summary'!$D$112:$BD$115,2,MATCH(AN$115,'Weekly Summary'!$D$40:$BD$40,0)),"")</f>
        <v/>
      </c>
      <c r="AO122" s="244" t="str">
        <f>IF(ISNUMBER(AO$115),INDEX('Weekly Summary'!$D$112:$BD$115,2,MATCH(AO$115,'Weekly Summary'!$D$40:$BD$40,0)),"")</f>
        <v/>
      </c>
      <c r="AP122" s="244" t="str">
        <f>IF(ISNUMBER(AP$115),INDEX('Weekly Summary'!$D$112:$BD$115,2,MATCH(AP$115,'Weekly Summary'!$D$40:$BD$40,0)),"")</f>
        <v/>
      </c>
      <c r="AQ122" s="244" t="str">
        <f>IF(ISNUMBER(AQ$115),INDEX('Weekly Summary'!$D$112:$BD$115,2,MATCH(AQ$115,'Weekly Summary'!$D$40:$BD$40,0)),"")</f>
        <v/>
      </c>
      <c r="AR122" s="244" t="str">
        <f>IF(ISNUMBER(AR$115),INDEX('Weekly Summary'!$D$112:$BD$115,2,MATCH(AR$115,'Weekly Summary'!$D$40:$BD$40,0)),"")</f>
        <v/>
      </c>
      <c r="AS122" s="244" t="str">
        <f>IF(ISNUMBER(AS$115),INDEX('Weekly Summary'!$D$112:$BD$115,2,MATCH(AS$115,'Weekly Summary'!$D$40:$BD$40,0)),"")</f>
        <v/>
      </c>
      <c r="AT122" s="244" t="str">
        <f>IF(ISNUMBER(AT$115),INDEX('Weekly Summary'!$D$112:$BD$115,2,MATCH(AT$115,'Weekly Summary'!$D$40:$BD$40,0)),"")</f>
        <v/>
      </c>
      <c r="AU122" s="244" t="str">
        <f>IF(ISNUMBER(AU$115),INDEX('Weekly Summary'!$D$112:$BD$115,2,MATCH(AU$115,'Weekly Summary'!$D$40:$BD$40,0)),"")</f>
        <v/>
      </c>
      <c r="AV122" s="244" t="str">
        <f>IF(ISNUMBER(AV$115),INDEX('Weekly Summary'!$D$112:$BD$115,2,MATCH(AV$115,'Weekly Summary'!$D$40:$BD$40,0)),"")</f>
        <v/>
      </c>
      <c r="AW122" s="244" t="str">
        <f>IF(ISNUMBER(AW$115),INDEX('Weekly Summary'!$D$112:$BD$115,2,MATCH(AW$115,'Weekly Summary'!$D$40:$BD$40,0)),"")</f>
        <v/>
      </c>
      <c r="AX122" s="244" t="str">
        <f>IF(ISNUMBER(AX$115),INDEX('Weekly Summary'!$D$112:$BD$115,2,MATCH(AX$115,'Weekly Summary'!$D$40:$BD$40,0)),"")</f>
        <v/>
      </c>
      <c r="AY122" s="244" t="str">
        <f>IF(ISNUMBER(AY$115),INDEX('Weekly Summary'!$D$112:$BD$115,2,MATCH(AY$115,'Weekly Summary'!$D$40:$BD$40,0)),"")</f>
        <v/>
      </c>
      <c r="AZ122" s="244" t="str">
        <f>IF(ISNUMBER(AZ$115),INDEX('Weekly Summary'!$D$112:$BD$115,2,MATCH(AZ$115,'Weekly Summary'!$D$40:$BD$40,0)),"")</f>
        <v/>
      </c>
      <c r="BA122" s="244" t="str">
        <f>IF(ISNUMBER(BA$115),INDEX('Weekly Summary'!$D$112:$BD$115,2,MATCH(BA$115,'Weekly Summary'!$D$40:$BD$40,0)),"")</f>
        <v/>
      </c>
      <c r="BB122" s="244" t="str">
        <f>IF(ISNUMBER(BB$115),INDEX('Weekly Summary'!$D$112:$BD$115,2,MATCH(BB$115,'Weekly Summary'!$D$40:$BD$40,0)),"")</f>
        <v/>
      </c>
      <c r="BC122" s="244" t="str">
        <f>IF(ISNUMBER(BC$115),INDEX('Weekly Summary'!$D$112:$BD$115,2,MATCH(BC$115,'Weekly Summary'!$D$40:$BD$40,0)),"")</f>
        <v/>
      </c>
      <c r="BD122" s="244" t="str">
        <f>IF(ISNUMBER(BD$115),INDEX('Weekly Summary'!$D$112:$BD$115,2,MATCH(BD$115,'Weekly Summary'!$D$40:$BD$40,0)),"")</f>
        <v/>
      </c>
      <c r="BE122" s="93"/>
      <c r="BF122" s="93"/>
      <c r="BG122" s="93"/>
      <c r="BH122" s="93"/>
      <c r="BI122" s="93"/>
      <c r="BJ122" s="93"/>
      <c r="BK122" s="93"/>
      <c r="BL122" s="93"/>
      <c r="BM122" s="93"/>
      <c r="BN122" s="645"/>
    </row>
    <row r="123" spans="1:66" x14ac:dyDescent="0.35">
      <c r="B123" s="1495"/>
      <c r="C123" s="119" t="s">
        <v>1514</v>
      </c>
      <c r="D123" s="93"/>
      <c r="E123" s="93"/>
      <c r="F123" s="244">
        <f ca="1">IF(ISNUMBER(F$115),INDEX('Weekly Summary'!$D$112:$BD$115,3,MATCH(F$115,'Weekly Summary'!$D$40:$BD$40,0)),"")</f>
        <v>0</v>
      </c>
      <c r="G123" s="244">
        <f ca="1">IF(ISNUMBER(G$115),INDEX('Weekly Summary'!$D$112:$BD$115,3,MATCH(G$115,'Weekly Summary'!$D$40:$BD$40,0)),"")</f>
        <v>0</v>
      </c>
      <c r="H123" s="244">
        <f ca="1">IF(ISNUMBER(H$115),INDEX('Weekly Summary'!$D$112:$BD$115,3,MATCH(H$115,'Weekly Summary'!$D$40:$BD$40,0)),"")</f>
        <v>0</v>
      </c>
      <c r="I123" s="244">
        <f ca="1">IF(ISNUMBER(I$115),INDEX('Weekly Summary'!$D$112:$BD$115,3,MATCH(I$115,'Weekly Summary'!$D$40:$BD$40,0)),"")</f>
        <v>0</v>
      </c>
      <c r="J123" s="244">
        <f ca="1">IF(ISNUMBER(J$115),INDEX('Weekly Summary'!$D$112:$BD$115,3,MATCH(J$115,'Weekly Summary'!$D$40:$BD$40,0)),"")</f>
        <v>0</v>
      </c>
      <c r="K123" s="244">
        <f ca="1">IF(ISNUMBER(K$115),INDEX('Weekly Summary'!$D$112:$BD$115,3,MATCH(K$115,'Weekly Summary'!$D$40:$BD$40,0)),"")</f>
        <v>0</v>
      </c>
      <c r="L123" s="244" t="str">
        <f>IF(ISNUMBER(L$115),INDEX('Weekly Summary'!$D$112:$BD$115,3,MATCH(L$115,'Weekly Summary'!$D$40:$BD$40,0)),"")</f>
        <v/>
      </c>
      <c r="M123" s="244" t="str">
        <f>IF(ISNUMBER(M$115),INDEX('Weekly Summary'!$D$112:$BD$115,3,MATCH(M$115,'Weekly Summary'!$D$40:$BD$40,0)),"")</f>
        <v/>
      </c>
      <c r="N123" s="244" t="str">
        <f>IF(ISNUMBER(N$115),INDEX('Weekly Summary'!$D$112:$BD$115,3,MATCH(N$115,'Weekly Summary'!$D$40:$BD$40,0)),"")</f>
        <v/>
      </c>
      <c r="O123" s="244" t="str">
        <f>IF(ISNUMBER(O$115),INDEX('Weekly Summary'!$D$112:$BD$115,3,MATCH(O$115,'Weekly Summary'!$D$40:$BD$40,0)),"")</f>
        <v/>
      </c>
      <c r="P123" s="244" t="str">
        <f>IF(ISNUMBER(P$115),INDEX('Weekly Summary'!$D$112:$BD$115,3,MATCH(P$115,'Weekly Summary'!$D$40:$BD$40,0)),"")</f>
        <v/>
      </c>
      <c r="Q123" s="244" t="str">
        <f>IF(ISNUMBER(Q$115),INDEX('Weekly Summary'!$D$112:$BD$115,3,MATCH(Q$115,'Weekly Summary'!$D$40:$BD$40,0)),"")</f>
        <v/>
      </c>
      <c r="R123" s="244" t="str">
        <f>IF(ISNUMBER(R$115),INDEX('Weekly Summary'!$D$112:$BD$115,3,MATCH(R$115,'Weekly Summary'!$D$40:$BD$40,0)),"")</f>
        <v/>
      </c>
      <c r="S123" s="244" t="str">
        <f>IF(ISNUMBER(S$115),INDEX('Weekly Summary'!$D$112:$BD$115,3,MATCH(S$115,'Weekly Summary'!$D$40:$BD$40,0)),"")</f>
        <v/>
      </c>
      <c r="T123" s="244" t="str">
        <f>IF(ISNUMBER(T$115),INDEX('Weekly Summary'!$D$112:$BD$115,3,MATCH(T$115,'Weekly Summary'!$D$40:$BD$40,0)),"")</f>
        <v/>
      </c>
      <c r="U123" s="244" t="str">
        <f>IF(ISNUMBER(U$115),INDEX('Weekly Summary'!$D$112:$BD$115,3,MATCH(U$115,'Weekly Summary'!$D$40:$BD$40,0)),"")</f>
        <v/>
      </c>
      <c r="V123" s="244" t="str">
        <f>IF(ISNUMBER(V$115),INDEX('Weekly Summary'!$D$112:$BD$115,3,MATCH(V$115,'Weekly Summary'!$D$40:$BD$40,0)),"")</f>
        <v/>
      </c>
      <c r="W123" s="244" t="str">
        <f>IF(ISNUMBER(W$115),INDEX('Weekly Summary'!$D$112:$BD$115,3,MATCH(W$115,'Weekly Summary'!$D$40:$BD$40,0)),"")</f>
        <v/>
      </c>
      <c r="X123" s="860" t="str">
        <f>IF(ISNUMBER(X$115),INDEX('Weekly Summary'!$D$112:$BD$115,3,MATCH(X$115,'Weekly Summary'!$D$40:$BD$40,0)),"")</f>
        <v/>
      </c>
      <c r="Y123" s="244" t="str">
        <f>IF(ISNUMBER(Y$115),INDEX('Weekly Summary'!$D$112:$BD$115,3,MATCH(Y$115,'Weekly Summary'!$D$40:$BD$40,0)),"")</f>
        <v/>
      </c>
      <c r="Z123" s="244" t="str">
        <f>IF(ISNUMBER(Z$115),INDEX('Weekly Summary'!$D$112:$BD$115,3,MATCH(Z$115,'Weekly Summary'!$D$40:$BD$40,0)),"")</f>
        <v/>
      </c>
      <c r="AA123" s="244" t="str">
        <f>IF(ISNUMBER(AA$115),INDEX('Weekly Summary'!$D$112:$BD$115,3,MATCH(AA$115,'Weekly Summary'!$D$40:$BD$40,0)),"")</f>
        <v/>
      </c>
      <c r="AB123" s="244" t="str">
        <f>IF(ISNUMBER(AB$115),INDEX('Weekly Summary'!$D$112:$BD$115,3,MATCH(AB$115,'Weekly Summary'!$D$40:$BD$40,0)),"")</f>
        <v/>
      </c>
      <c r="AC123" s="244" t="str">
        <f>IF(ISNUMBER(AC$115),INDEX('Weekly Summary'!$D$112:$BD$115,3,MATCH(AC$115,'Weekly Summary'!$D$40:$BD$40,0)),"")</f>
        <v/>
      </c>
      <c r="AD123" s="244" t="str">
        <f>IF(ISNUMBER(AD$115),INDEX('Weekly Summary'!$D$112:$BD$115,3,MATCH(AD$115,'Weekly Summary'!$D$40:$BD$40,0)),"")</f>
        <v/>
      </c>
      <c r="AE123" s="244" t="str">
        <f>IF(ISNUMBER(AE$115),INDEX('Weekly Summary'!$D$112:$BD$115,3,MATCH(AE$115,'Weekly Summary'!$D$40:$BD$40,0)),"")</f>
        <v/>
      </c>
      <c r="AF123" s="244" t="str">
        <f>IF(ISNUMBER(AF$115),INDEX('Weekly Summary'!$D$112:$BD$115,3,MATCH(AF$115,'Weekly Summary'!$D$40:$BD$40,0)),"")</f>
        <v/>
      </c>
      <c r="AG123" s="244" t="str">
        <f>IF(ISNUMBER(AG$115),INDEX('Weekly Summary'!$D$112:$BD$115,3,MATCH(AG$115,'Weekly Summary'!$D$40:$BD$40,0)),"")</f>
        <v/>
      </c>
      <c r="AH123" s="244" t="str">
        <f>IF(ISNUMBER(AH$115),INDEX('Weekly Summary'!$D$112:$BD$115,3,MATCH(AH$115,'Weekly Summary'!$D$40:$BD$40,0)),"")</f>
        <v/>
      </c>
      <c r="AI123" s="244" t="str">
        <f>IF(ISNUMBER(AI$115),INDEX('Weekly Summary'!$D$112:$BD$115,3,MATCH(AI$115,'Weekly Summary'!$D$40:$BD$40,0)),"")</f>
        <v/>
      </c>
      <c r="AJ123" s="244" t="str">
        <f>IF(ISNUMBER(AJ$115),INDEX('Weekly Summary'!$D$112:$BD$115,3,MATCH(AJ$115,'Weekly Summary'!$D$40:$BD$40,0)),"")</f>
        <v/>
      </c>
      <c r="AK123" s="244" t="str">
        <f>IF(ISNUMBER(AK$115),INDEX('Weekly Summary'!$D$112:$BD$115,3,MATCH(AK$115,'Weekly Summary'!$D$40:$BD$40,0)),"")</f>
        <v/>
      </c>
      <c r="AL123" s="244" t="str">
        <f>IF(ISNUMBER(AL$115),INDEX('Weekly Summary'!$D$112:$BD$115,3,MATCH(AL$115,'Weekly Summary'!$D$40:$BD$40,0)),"")</f>
        <v/>
      </c>
      <c r="AM123" s="244" t="str">
        <f>IF(ISNUMBER(AM$115),INDEX('Weekly Summary'!$D$112:$BD$115,3,MATCH(AM$115,'Weekly Summary'!$D$40:$BD$40,0)),"")</f>
        <v/>
      </c>
      <c r="AN123" s="244" t="str">
        <f>IF(ISNUMBER(AN$115),INDEX('Weekly Summary'!$D$112:$BD$115,3,MATCH(AN$115,'Weekly Summary'!$D$40:$BD$40,0)),"")</f>
        <v/>
      </c>
      <c r="AO123" s="244" t="str">
        <f>IF(ISNUMBER(AO$115),INDEX('Weekly Summary'!$D$112:$BD$115,3,MATCH(AO$115,'Weekly Summary'!$D$40:$BD$40,0)),"")</f>
        <v/>
      </c>
      <c r="AP123" s="244" t="str">
        <f>IF(ISNUMBER(AP$115),INDEX('Weekly Summary'!$D$112:$BD$115,3,MATCH(AP$115,'Weekly Summary'!$D$40:$BD$40,0)),"")</f>
        <v/>
      </c>
      <c r="AQ123" s="244" t="str">
        <f>IF(ISNUMBER(AQ$115),INDEX('Weekly Summary'!$D$112:$BD$115,3,MATCH(AQ$115,'Weekly Summary'!$D$40:$BD$40,0)),"")</f>
        <v/>
      </c>
      <c r="AR123" s="244" t="str">
        <f>IF(ISNUMBER(AR$115),INDEX('Weekly Summary'!$D$112:$BD$115,3,MATCH(AR$115,'Weekly Summary'!$D$40:$BD$40,0)),"")</f>
        <v/>
      </c>
      <c r="AS123" s="244" t="str">
        <f>IF(ISNUMBER(AS$115),INDEX('Weekly Summary'!$D$112:$BD$115,3,MATCH(AS$115,'Weekly Summary'!$D$40:$BD$40,0)),"")</f>
        <v/>
      </c>
      <c r="AT123" s="244" t="str">
        <f>IF(ISNUMBER(AT$115),INDEX('Weekly Summary'!$D$112:$BD$115,3,MATCH(AT$115,'Weekly Summary'!$D$40:$BD$40,0)),"")</f>
        <v/>
      </c>
      <c r="AU123" s="244" t="str">
        <f>IF(ISNUMBER(AU$115),INDEX('Weekly Summary'!$D$112:$BD$115,3,MATCH(AU$115,'Weekly Summary'!$D$40:$BD$40,0)),"")</f>
        <v/>
      </c>
      <c r="AV123" s="244" t="str">
        <f>IF(ISNUMBER(AV$115),INDEX('Weekly Summary'!$D$112:$BD$115,3,MATCH(AV$115,'Weekly Summary'!$D$40:$BD$40,0)),"")</f>
        <v/>
      </c>
      <c r="AW123" s="244" t="str">
        <f>IF(ISNUMBER(AW$115),INDEX('Weekly Summary'!$D$112:$BD$115,3,MATCH(AW$115,'Weekly Summary'!$D$40:$BD$40,0)),"")</f>
        <v/>
      </c>
      <c r="AX123" s="244" t="str">
        <f>IF(ISNUMBER(AX$115),INDEX('Weekly Summary'!$D$112:$BD$115,3,MATCH(AX$115,'Weekly Summary'!$D$40:$BD$40,0)),"")</f>
        <v/>
      </c>
      <c r="AY123" s="244" t="str">
        <f>IF(ISNUMBER(AY$115),INDEX('Weekly Summary'!$D$112:$BD$115,3,MATCH(AY$115,'Weekly Summary'!$D$40:$BD$40,0)),"")</f>
        <v/>
      </c>
      <c r="AZ123" s="244" t="str">
        <f>IF(ISNUMBER(AZ$115),INDEX('Weekly Summary'!$D$112:$BD$115,3,MATCH(AZ$115,'Weekly Summary'!$D$40:$BD$40,0)),"")</f>
        <v/>
      </c>
      <c r="BA123" s="244" t="str">
        <f>IF(ISNUMBER(BA$115),INDEX('Weekly Summary'!$D$112:$BD$115,3,MATCH(BA$115,'Weekly Summary'!$D$40:$BD$40,0)),"")</f>
        <v/>
      </c>
      <c r="BB123" s="244" t="str">
        <f>IF(ISNUMBER(BB$115),INDEX('Weekly Summary'!$D$112:$BD$115,3,MATCH(BB$115,'Weekly Summary'!$D$40:$BD$40,0)),"")</f>
        <v/>
      </c>
      <c r="BC123" s="244" t="str">
        <f>IF(ISNUMBER(BC$115),INDEX('Weekly Summary'!$D$112:$BD$115,3,MATCH(BC$115,'Weekly Summary'!$D$40:$BD$40,0)),"")</f>
        <v/>
      </c>
      <c r="BD123" s="244" t="str">
        <f>IF(ISNUMBER(BD$115),INDEX('Weekly Summary'!$D$112:$BD$115,3,MATCH(BD$115,'Weekly Summary'!$D$40:$BD$40,0)),"")</f>
        <v/>
      </c>
      <c r="BE123" s="93"/>
      <c r="BF123" s="93"/>
      <c r="BG123" s="93"/>
      <c r="BH123" s="93"/>
      <c r="BI123" s="93"/>
      <c r="BJ123" s="93"/>
      <c r="BK123" s="93"/>
      <c r="BL123" s="93"/>
      <c r="BM123" s="93"/>
      <c r="BN123" s="645"/>
    </row>
    <row r="124" spans="1:66" x14ac:dyDescent="0.35">
      <c r="B124" s="1495"/>
      <c r="C124" s="119" t="s">
        <v>1241</v>
      </c>
      <c r="D124" s="93"/>
      <c r="E124" s="640"/>
      <c r="F124" s="244">
        <f ca="1">IF(ISNUMBER(F$115),INDEX('Weekly Summary'!$D$112:$BD$115,4,MATCH(F$115,'Weekly Summary'!$D$40:$BD$40,0)),"")</f>
        <v>3.8764649300170206E-2</v>
      </c>
      <c r="G124" s="244">
        <f ca="1">IF(ISNUMBER(G$115),INDEX('Weekly Summary'!$D$112:$BD$115,4,MATCH(G$115,'Weekly Summary'!$D$40:$BD$40,0)),"")</f>
        <v>0.1318466703609415</v>
      </c>
      <c r="H124" s="244">
        <f ca="1">IF(ISNUMBER(H$115),INDEX('Weekly Summary'!$D$112:$BD$115,4,MATCH(H$115,'Weekly Summary'!$D$40:$BD$40,0)),"")</f>
        <v>0.45308806952709124</v>
      </c>
      <c r="I124" s="244">
        <f ca="1">IF(ISNUMBER(I$115),INDEX('Weekly Summary'!$D$112:$BD$115,4,MATCH(I$115,'Weekly Summary'!$D$40:$BD$40,0)),"")</f>
        <v>1.5569775364734624</v>
      </c>
      <c r="J124" s="244">
        <f ca="1">IF(ISNUMBER(J$115),INDEX('Weekly Summary'!$D$112:$BD$115,4,MATCH(J$115,'Weekly Summary'!$D$40:$BD$40,0)),"")</f>
        <v>5.3497668170993622</v>
      </c>
      <c r="K124" s="244">
        <f ca="1">IF(ISNUMBER(K$115),INDEX('Weekly Summary'!$D$112:$BD$115,4,MATCH(K$115,'Weekly Summary'!$D$40:$BD$40,0)),"")</f>
        <v>18.374907001771295</v>
      </c>
      <c r="L124" s="244" t="str">
        <f>IF(ISNUMBER(L$115),INDEX('Weekly Summary'!$D$112:$BD$115,4,MATCH(L$115,'Weekly Summary'!$D$40:$BD$40,0)),"")</f>
        <v/>
      </c>
      <c r="M124" s="244" t="str">
        <f>IF(ISNUMBER(M$115),INDEX('Weekly Summary'!$D$112:$BD$115,4,MATCH(M$115,'Weekly Summary'!$D$40:$BD$40,0)),"")</f>
        <v/>
      </c>
      <c r="N124" s="244" t="str">
        <f>IF(ISNUMBER(N$115),INDEX('Weekly Summary'!$D$112:$BD$115,4,MATCH(N$115,'Weekly Summary'!$D$40:$BD$40,0)),"")</f>
        <v/>
      </c>
      <c r="O124" s="244" t="str">
        <f>IF(ISNUMBER(O$115),INDEX('Weekly Summary'!$D$112:$BD$115,4,MATCH(O$115,'Weekly Summary'!$D$40:$BD$40,0)),"")</f>
        <v/>
      </c>
      <c r="P124" s="244" t="str">
        <f>IF(ISNUMBER(P$115),INDEX('Weekly Summary'!$D$112:$BD$115,4,MATCH(P$115,'Weekly Summary'!$D$40:$BD$40,0)),"")</f>
        <v/>
      </c>
      <c r="Q124" s="244" t="str">
        <f>IF(ISNUMBER(Q$115),INDEX('Weekly Summary'!$D$112:$BD$115,4,MATCH(Q$115,'Weekly Summary'!$D$40:$BD$40,0)),"")</f>
        <v/>
      </c>
      <c r="R124" s="244" t="str">
        <f>IF(ISNUMBER(R$115),INDEX('Weekly Summary'!$D$112:$BD$115,4,MATCH(R$115,'Weekly Summary'!$D$40:$BD$40,0)),"")</f>
        <v/>
      </c>
      <c r="S124" s="244" t="str">
        <f>IF(ISNUMBER(S$115),INDEX('Weekly Summary'!$D$112:$BD$115,4,MATCH(S$115,'Weekly Summary'!$D$40:$BD$40,0)),"")</f>
        <v/>
      </c>
      <c r="T124" s="244" t="str">
        <f>IF(ISNUMBER(T$115),INDEX('Weekly Summary'!$D$112:$BD$115,4,MATCH(T$115,'Weekly Summary'!$D$40:$BD$40,0)),"")</f>
        <v/>
      </c>
      <c r="U124" s="244" t="str">
        <f>IF(ISNUMBER(U$115),INDEX('Weekly Summary'!$D$112:$BD$115,4,MATCH(U$115,'Weekly Summary'!$D$40:$BD$40,0)),"")</f>
        <v/>
      </c>
      <c r="V124" s="244" t="str">
        <f>IF(ISNUMBER(V$115),INDEX('Weekly Summary'!$D$112:$BD$115,4,MATCH(V$115,'Weekly Summary'!$D$40:$BD$40,0)),"")</f>
        <v/>
      </c>
      <c r="W124" s="244" t="str">
        <f>IF(ISNUMBER(W$115),INDEX('Weekly Summary'!$D$112:$BD$115,4,MATCH(W$115,'Weekly Summary'!$D$40:$BD$40,0)),"")</f>
        <v/>
      </c>
      <c r="X124" s="860" t="str">
        <f>IF(ISNUMBER(X$115),INDEX('Weekly Summary'!$D$112:$BD$115,4,MATCH(X$115,'Weekly Summary'!$D$40:$BD$40,0)),"")</f>
        <v/>
      </c>
      <c r="Y124" s="244" t="str">
        <f>IF(ISNUMBER(Y$115),INDEX('Weekly Summary'!$D$112:$BD$115,4,MATCH(Y$115,'Weekly Summary'!$D$40:$BD$40,0)),"")</f>
        <v/>
      </c>
      <c r="Z124" s="244" t="str">
        <f>IF(ISNUMBER(Z$115),INDEX('Weekly Summary'!$D$112:$BD$115,4,MATCH(Z$115,'Weekly Summary'!$D$40:$BD$40,0)),"")</f>
        <v/>
      </c>
      <c r="AA124" s="244" t="str">
        <f>IF(ISNUMBER(AA$115),INDEX('Weekly Summary'!$D$112:$BD$115,4,MATCH(AA$115,'Weekly Summary'!$D$40:$BD$40,0)),"")</f>
        <v/>
      </c>
      <c r="AB124" s="244" t="str">
        <f>IF(ISNUMBER(AB$115),INDEX('Weekly Summary'!$D$112:$BD$115,4,MATCH(AB$115,'Weekly Summary'!$D$40:$BD$40,0)),"")</f>
        <v/>
      </c>
      <c r="AC124" s="244" t="str">
        <f>IF(ISNUMBER(AC$115),INDEX('Weekly Summary'!$D$112:$BD$115,4,MATCH(AC$115,'Weekly Summary'!$D$40:$BD$40,0)),"")</f>
        <v/>
      </c>
      <c r="AD124" s="244" t="str">
        <f>IF(ISNUMBER(AD$115),INDEX('Weekly Summary'!$D$112:$BD$115,4,MATCH(AD$115,'Weekly Summary'!$D$40:$BD$40,0)),"")</f>
        <v/>
      </c>
      <c r="AE124" s="244" t="str">
        <f>IF(ISNUMBER(AE$115),INDEX('Weekly Summary'!$D$112:$BD$115,4,MATCH(AE$115,'Weekly Summary'!$D$40:$BD$40,0)),"")</f>
        <v/>
      </c>
      <c r="AF124" s="244" t="str">
        <f>IF(ISNUMBER(AF$115),INDEX('Weekly Summary'!$D$112:$BD$115,4,MATCH(AF$115,'Weekly Summary'!$D$40:$BD$40,0)),"")</f>
        <v/>
      </c>
      <c r="AG124" s="244" t="str">
        <f>IF(ISNUMBER(AG$115),INDEX('Weekly Summary'!$D$112:$BD$115,4,MATCH(AG$115,'Weekly Summary'!$D$40:$BD$40,0)),"")</f>
        <v/>
      </c>
      <c r="AH124" s="244" t="str">
        <f>IF(ISNUMBER(AH$115),INDEX('Weekly Summary'!$D$112:$BD$115,4,MATCH(AH$115,'Weekly Summary'!$D$40:$BD$40,0)),"")</f>
        <v/>
      </c>
      <c r="AI124" s="244" t="str">
        <f>IF(ISNUMBER(AI$115),INDEX('Weekly Summary'!$D$112:$BD$115,4,MATCH(AI$115,'Weekly Summary'!$D$40:$BD$40,0)),"")</f>
        <v/>
      </c>
      <c r="AJ124" s="244" t="str">
        <f>IF(ISNUMBER(AJ$115),INDEX('Weekly Summary'!$D$112:$BD$115,4,MATCH(AJ$115,'Weekly Summary'!$D$40:$BD$40,0)),"")</f>
        <v/>
      </c>
      <c r="AK124" s="244" t="str">
        <f>IF(ISNUMBER(AK$115),INDEX('Weekly Summary'!$D$112:$BD$115,4,MATCH(AK$115,'Weekly Summary'!$D$40:$BD$40,0)),"")</f>
        <v/>
      </c>
      <c r="AL124" s="244" t="str">
        <f>IF(ISNUMBER(AL$115),INDEX('Weekly Summary'!$D$112:$BD$115,4,MATCH(AL$115,'Weekly Summary'!$D$40:$BD$40,0)),"")</f>
        <v/>
      </c>
      <c r="AM124" s="244" t="str">
        <f>IF(ISNUMBER(AM$115),INDEX('Weekly Summary'!$D$112:$BD$115,4,MATCH(AM$115,'Weekly Summary'!$D$40:$BD$40,0)),"")</f>
        <v/>
      </c>
      <c r="AN124" s="244" t="str">
        <f>IF(ISNUMBER(AN$115),INDEX('Weekly Summary'!$D$112:$BD$115,4,MATCH(AN$115,'Weekly Summary'!$D$40:$BD$40,0)),"")</f>
        <v/>
      </c>
      <c r="AO124" s="244" t="str">
        <f>IF(ISNUMBER(AO$115),INDEX('Weekly Summary'!$D$112:$BD$115,4,MATCH(AO$115,'Weekly Summary'!$D$40:$BD$40,0)),"")</f>
        <v/>
      </c>
      <c r="AP124" s="244" t="str">
        <f>IF(ISNUMBER(AP$115),INDEX('Weekly Summary'!$D$112:$BD$115,4,MATCH(AP$115,'Weekly Summary'!$D$40:$BD$40,0)),"")</f>
        <v/>
      </c>
      <c r="AQ124" s="244" t="str">
        <f>IF(ISNUMBER(AQ$115),INDEX('Weekly Summary'!$D$112:$BD$115,4,MATCH(AQ$115,'Weekly Summary'!$D$40:$BD$40,0)),"")</f>
        <v/>
      </c>
      <c r="AR124" s="244" t="str">
        <f>IF(ISNUMBER(AR$115),INDEX('Weekly Summary'!$D$112:$BD$115,4,MATCH(AR$115,'Weekly Summary'!$D$40:$BD$40,0)),"")</f>
        <v/>
      </c>
      <c r="AS124" s="244" t="str">
        <f>IF(ISNUMBER(AS$115),INDEX('Weekly Summary'!$D$112:$BD$115,4,MATCH(AS$115,'Weekly Summary'!$D$40:$BD$40,0)),"")</f>
        <v/>
      </c>
      <c r="AT124" s="244" t="str">
        <f>IF(ISNUMBER(AT$115),INDEX('Weekly Summary'!$D$112:$BD$115,4,MATCH(AT$115,'Weekly Summary'!$D$40:$BD$40,0)),"")</f>
        <v/>
      </c>
      <c r="AU124" s="244" t="str">
        <f>IF(ISNUMBER(AU$115),INDEX('Weekly Summary'!$D$112:$BD$115,4,MATCH(AU$115,'Weekly Summary'!$D$40:$BD$40,0)),"")</f>
        <v/>
      </c>
      <c r="AV124" s="244" t="str">
        <f>IF(ISNUMBER(AV$115),INDEX('Weekly Summary'!$D$112:$BD$115,4,MATCH(AV$115,'Weekly Summary'!$D$40:$BD$40,0)),"")</f>
        <v/>
      </c>
      <c r="AW124" s="244" t="str">
        <f>IF(ISNUMBER(AW$115),INDEX('Weekly Summary'!$D$112:$BD$115,4,MATCH(AW$115,'Weekly Summary'!$D$40:$BD$40,0)),"")</f>
        <v/>
      </c>
      <c r="AX124" s="244" t="str">
        <f>IF(ISNUMBER(AX$115),INDEX('Weekly Summary'!$D$112:$BD$115,4,MATCH(AX$115,'Weekly Summary'!$D$40:$BD$40,0)),"")</f>
        <v/>
      </c>
      <c r="AY124" s="244" t="str">
        <f>IF(ISNUMBER(AY$115),INDEX('Weekly Summary'!$D$112:$BD$115,4,MATCH(AY$115,'Weekly Summary'!$D$40:$BD$40,0)),"")</f>
        <v/>
      </c>
      <c r="AZ124" s="244" t="str">
        <f>IF(ISNUMBER(AZ$115),INDEX('Weekly Summary'!$D$112:$BD$115,4,MATCH(AZ$115,'Weekly Summary'!$D$40:$BD$40,0)),"")</f>
        <v/>
      </c>
      <c r="BA124" s="244" t="str">
        <f>IF(ISNUMBER(BA$115),INDEX('Weekly Summary'!$D$112:$BD$115,4,MATCH(BA$115,'Weekly Summary'!$D$40:$BD$40,0)),"")</f>
        <v/>
      </c>
      <c r="BB124" s="244" t="str">
        <f>IF(ISNUMBER(BB$115),INDEX('Weekly Summary'!$D$112:$BD$115,4,MATCH(BB$115,'Weekly Summary'!$D$40:$BD$40,0)),"")</f>
        <v/>
      </c>
      <c r="BC124" s="244" t="str">
        <f>IF(ISNUMBER(BC$115),INDEX('Weekly Summary'!$D$112:$BD$115,4,MATCH(BC$115,'Weekly Summary'!$D$40:$BD$40,0)),"")</f>
        <v/>
      </c>
      <c r="BD124" s="244" t="str">
        <f>IF(ISNUMBER(BD$115),INDEX('Weekly Summary'!$D$112:$BD$115,4,MATCH(BD$115,'Weekly Summary'!$D$40:$BD$40,0)),"")</f>
        <v/>
      </c>
      <c r="BE124" s="93"/>
      <c r="BF124" s="93"/>
      <c r="BG124" s="93"/>
      <c r="BH124" s="93"/>
      <c r="BI124" s="93"/>
      <c r="BJ124" s="93"/>
      <c r="BK124" s="93"/>
      <c r="BL124" s="93"/>
      <c r="BM124" s="93"/>
      <c r="BN124" s="645"/>
    </row>
    <row r="125" spans="1:66" s="722" customFormat="1" x14ac:dyDescent="0.35">
      <c r="A125" s="84"/>
      <c r="B125" s="1496"/>
      <c r="C125" s="119" t="s">
        <v>1526</v>
      </c>
      <c r="D125" s="93"/>
      <c r="E125" s="640"/>
      <c r="F125" s="244">
        <f ca="1">IF(ISNUMBER(F$115),INDEX('Weekly Summary'!$D$112:$BD$116,5,MATCH(F$115,'Weekly Summary'!$D$40:$BD$40,0)),"")</f>
        <v>1.2921549766723404E-2</v>
      </c>
      <c r="G125" s="244">
        <f ca="1">IF(ISNUMBER(G$115),INDEX('Weekly Summary'!$D$112:$BD$116,5,MATCH(G$115,'Weekly Summary'!$D$40:$BD$40,0)),"")</f>
        <v>4.3948890120313833E-2</v>
      </c>
      <c r="H125" s="244">
        <f ca="1">IF(ISNUMBER(H$115),INDEX('Weekly Summary'!$D$112:$BD$116,5,MATCH(H$115,'Weekly Summary'!$D$40:$BD$40,0)),"")</f>
        <v>0.15102935650903043</v>
      </c>
      <c r="I125" s="244">
        <f ca="1">IF(ISNUMBER(I$115),INDEX('Weekly Summary'!$D$112:$BD$116,5,MATCH(I$115,'Weekly Summary'!$D$40:$BD$40,0)),"")</f>
        <v>0.51899251215782083</v>
      </c>
      <c r="J125" s="244">
        <f ca="1">IF(ISNUMBER(J$115),INDEX('Weekly Summary'!$D$112:$BD$116,5,MATCH(J$115,'Weekly Summary'!$D$40:$BD$40,0)),"")</f>
        <v>1.7832556056997875</v>
      </c>
      <c r="K125" s="244">
        <f ca="1">IF(ISNUMBER(K$115),INDEX('Weekly Summary'!$D$112:$BD$116,5,MATCH(K$115,'Weekly Summary'!$D$40:$BD$40,0)),"")</f>
        <v>6.1249690005904318</v>
      </c>
      <c r="L125" s="244" t="str">
        <f>IF(ISNUMBER(L$115),INDEX('Weekly Summary'!$D$112:$BD$116,5,MATCH(L$115,'Weekly Summary'!$D$40:$BD$40,0)),"")</f>
        <v/>
      </c>
      <c r="M125" s="244" t="str">
        <f>IF(ISNUMBER(M$115),INDEX('Weekly Summary'!$D$112:$BD$116,5,MATCH(M$115,'Weekly Summary'!$D$40:$BD$40,0)),"")</f>
        <v/>
      </c>
      <c r="N125" s="244" t="str">
        <f>IF(ISNUMBER(N$115),INDEX('Weekly Summary'!$D$112:$BD$116,5,MATCH(N$115,'Weekly Summary'!$D$40:$BD$40,0)),"")</f>
        <v/>
      </c>
      <c r="O125" s="244" t="str">
        <f>IF(ISNUMBER(O$115),INDEX('Weekly Summary'!$D$112:$BD$116,5,MATCH(O$115,'Weekly Summary'!$D$40:$BD$40,0)),"")</f>
        <v/>
      </c>
      <c r="P125" s="244" t="str">
        <f>IF(ISNUMBER(P$115),INDEX('Weekly Summary'!$D$112:$BD$116,5,MATCH(P$115,'Weekly Summary'!$D$40:$BD$40,0)),"")</f>
        <v/>
      </c>
      <c r="Q125" s="244" t="str">
        <f>IF(ISNUMBER(Q$115),INDEX('Weekly Summary'!$D$112:$BD$116,5,MATCH(Q$115,'Weekly Summary'!$D$40:$BD$40,0)),"")</f>
        <v/>
      </c>
      <c r="R125" s="244" t="str">
        <f>IF(ISNUMBER(R$115),INDEX('Weekly Summary'!$D$112:$BD$116,5,MATCH(R$115,'Weekly Summary'!$D$40:$BD$40,0)),"")</f>
        <v/>
      </c>
      <c r="S125" s="244" t="str">
        <f>IF(ISNUMBER(S$115),INDEX('Weekly Summary'!$D$112:$BD$116,5,MATCH(S$115,'Weekly Summary'!$D$40:$BD$40,0)),"")</f>
        <v/>
      </c>
      <c r="T125" s="244" t="str">
        <f>IF(ISNUMBER(T$115),INDEX('Weekly Summary'!$D$112:$BD$116,5,MATCH(T$115,'Weekly Summary'!$D$40:$BD$40,0)),"")</f>
        <v/>
      </c>
      <c r="U125" s="244" t="str">
        <f>IF(ISNUMBER(U$115),INDEX('Weekly Summary'!$D$112:$BD$116,5,MATCH(U$115,'Weekly Summary'!$D$40:$BD$40,0)),"")</f>
        <v/>
      </c>
      <c r="V125" s="244" t="str">
        <f>IF(ISNUMBER(V$115),INDEX('Weekly Summary'!$D$112:$BD$116,5,MATCH(V$115,'Weekly Summary'!$D$40:$BD$40,0)),"")</f>
        <v/>
      </c>
      <c r="W125" s="244" t="str">
        <f>IF(ISNUMBER(W$115),INDEX('Weekly Summary'!$D$112:$BD$116,5,MATCH(W$115,'Weekly Summary'!$D$40:$BD$40,0)),"")</f>
        <v/>
      </c>
      <c r="X125" s="244" t="str">
        <f>IF(ISNUMBER(X$115),INDEX('Weekly Summary'!$D$112:$BD$116,5,MATCH(X$115,'Weekly Summary'!$D$40:$BD$40,0)),"")</f>
        <v/>
      </c>
      <c r="Y125" s="244" t="str">
        <f>IF(ISNUMBER(Y$115),INDEX('Weekly Summary'!$D$112:$BD$116,5,MATCH(Y$115,'Weekly Summary'!$D$40:$BD$40,0)),"")</f>
        <v/>
      </c>
      <c r="Z125" s="244" t="str">
        <f>IF(ISNUMBER(Z$115),INDEX('Weekly Summary'!$D$112:$BD$116,5,MATCH(Z$115,'Weekly Summary'!$D$40:$BD$40,0)),"")</f>
        <v/>
      </c>
      <c r="AA125" s="244" t="str">
        <f>IF(ISNUMBER(AA$115),INDEX('Weekly Summary'!$D$112:$BD$116,5,MATCH(AA$115,'Weekly Summary'!$D$40:$BD$40,0)),"")</f>
        <v/>
      </c>
      <c r="AB125" s="244" t="str">
        <f>IF(ISNUMBER(AB$115),INDEX('Weekly Summary'!$D$112:$BD$116,5,MATCH(AB$115,'Weekly Summary'!$D$40:$BD$40,0)),"")</f>
        <v/>
      </c>
      <c r="AC125" s="244" t="str">
        <f>IF(ISNUMBER(AC$115),INDEX('Weekly Summary'!$D$112:$BD$116,5,MATCH(AC$115,'Weekly Summary'!$D$40:$BD$40,0)),"")</f>
        <v/>
      </c>
      <c r="AD125" s="244" t="str">
        <f>IF(ISNUMBER(AD$115),INDEX('Weekly Summary'!$D$112:$BD$116,5,MATCH(AD$115,'Weekly Summary'!$D$40:$BD$40,0)),"")</f>
        <v/>
      </c>
      <c r="AE125" s="244" t="str">
        <f>IF(ISNUMBER(AE$115),INDEX('Weekly Summary'!$D$112:$BD$116,5,MATCH(AE$115,'Weekly Summary'!$D$40:$BD$40,0)),"")</f>
        <v/>
      </c>
      <c r="AF125" s="244" t="str">
        <f>IF(ISNUMBER(AF$115),INDEX('Weekly Summary'!$D$112:$BD$116,5,MATCH(AF$115,'Weekly Summary'!$D$40:$BD$40,0)),"")</f>
        <v/>
      </c>
      <c r="AG125" s="244" t="str">
        <f>IF(ISNUMBER(AG$115),INDEX('Weekly Summary'!$D$112:$BD$116,5,MATCH(AG$115,'Weekly Summary'!$D$40:$BD$40,0)),"")</f>
        <v/>
      </c>
      <c r="AH125" s="244" t="str">
        <f>IF(ISNUMBER(AH$115),INDEX('Weekly Summary'!$D$112:$BD$116,5,MATCH(AH$115,'Weekly Summary'!$D$40:$BD$40,0)),"")</f>
        <v/>
      </c>
      <c r="AI125" s="244" t="str">
        <f>IF(ISNUMBER(AI$115),INDEX('Weekly Summary'!$D$112:$BD$116,5,MATCH(AI$115,'Weekly Summary'!$D$40:$BD$40,0)),"")</f>
        <v/>
      </c>
      <c r="AJ125" s="244" t="str">
        <f>IF(ISNUMBER(AJ$115),INDEX('Weekly Summary'!$D$112:$BD$116,5,MATCH(AJ$115,'Weekly Summary'!$D$40:$BD$40,0)),"")</f>
        <v/>
      </c>
      <c r="AK125" s="244" t="str">
        <f>IF(ISNUMBER(AK$115),INDEX('Weekly Summary'!$D$112:$BD$116,5,MATCH(AK$115,'Weekly Summary'!$D$40:$BD$40,0)),"")</f>
        <v/>
      </c>
      <c r="AL125" s="244" t="str">
        <f>IF(ISNUMBER(AL$115),INDEX('Weekly Summary'!$D$112:$BD$116,5,MATCH(AL$115,'Weekly Summary'!$D$40:$BD$40,0)),"")</f>
        <v/>
      </c>
      <c r="AM125" s="244" t="str">
        <f>IF(ISNUMBER(AM$115),INDEX('Weekly Summary'!$D$112:$BD$116,5,MATCH(AM$115,'Weekly Summary'!$D$40:$BD$40,0)),"")</f>
        <v/>
      </c>
      <c r="AN125" s="244" t="str">
        <f>IF(ISNUMBER(AN$115),INDEX('Weekly Summary'!$D$112:$BD$116,5,MATCH(AN$115,'Weekly Summary'!$D$40:$BD$40,0)),"")</f>
        <v/>
      </c>
      <c r="AO125" s="244" t="str">
        <f>IF(ISNUMBER(AO$115),INDEX('Weekly Summary'!$D$112:$BD$116,5,MATCH(AO$115,'Weekly Summary'!$D$40:$BD$40,0)),"")</f>
        <v/>
      </c>
      <c r="AP125" s="244" t="str">
        <f>IF(ISNUMBER(AP$115),INDEX('Weekly Summary'!$D$112:$BD$116,5,MATCH(AP$115,'Weekly Summary'!$D$40:$BD$40,0)),"")</f>
        <v/>
      </c>
      <c r="AQ125" s="244" t="str">
        <f>IF(ISNUMBER(AQ$115),INDEX('Weekly Summary'!$D$112:$BD$116,5,MATCH(AQ$115,'Weekly Summary'!$D$40:$BD$40,0)),"")</f>
        <v/>
      </c>
      <c r="AR125" s="244" t="str">
        <f>IF(ISNUMBER(AR$115),INDEX('Weekly Summary'!$D$112:$BD$116,5,MATCH(AR$115,'Weekly Summary'!$D$40:$BD$40,0)),"")</f>
        <v/>
      </c>
      <c r="AS125" s="244" t="str">
        <f>IF(ISNUMBER(AS$115),INDEX('Weekly Summary'!$D$112:$BD$116,5,MATCH(AS$115,'Weekly Summary'!$D$40:$BD$40,0)),"")</f>
        <v/>
      </c>
      <c r="AT125" s="244" t="str">
        <f>IF(ISNUMBER(AT$115),INDEX('Weekly Summary'!$D$112:$BD$116,5,MATCH(AT$115,'Weekly Summary'!$D$40:$BD$40,0)),"")</f>
        <v/>
      </c>
      <c r="AU125" s="244" t="str">
        <f>IF(ISNUMBER(AU$115),INDEX('Weekly Summary'!$D$112:$BD$116,5,MATCH(AU$115,'Weekly Summary'!$D$40:$BD$40,0)),"")</f>
        <v/>
      </c>
      <c r="AV125" s="244" t="str">
        <f>IF(ISNUMBER(AV$115),INDEX('Weekly Summary'!$D$112:$BD$116,5,MATCH(AV$115,'Weekly Summary'!$D$40:$BD$40,0)),"")</f>
        <v/>
      </c>
      <c r="AW125" s="244" t="str">
        <f>IF(ISNUMBER(AW$115),INDEX('Weekly Summary'!$D$112:$BD$116,5,MATCH(AW$115,'Weekly Summary'!$D$40:$BD$40,0)),"")</f>
        <v/>
      </c>
      <c r="AX125" s="244" t="str">
        <f>IF(ISNUMBER(AX$115),INDEX('Weekly Summary'!$D$112:$BD$116,5,MATCH(AX$115,'Weekly Summary'!$D$40:$BD$40,0)),"")</f>
        <v/>
      </c>
      <c r="AY125" s="244" t="str">
        <f>IF(ISNUMBER(AY$115),INDEX('Weekly Summary'!$D$112:$BD$116,5,MATCH(AY$115,'Weekly Summary'!$D$40:$BD$40,0)),"")</f>
        <v/>
      </c>
      <c r="AZ125" s="244" t="str">
        <f>IF(ISNUMBER(AZ$115),INDEX('Weekly Summary'!$D$112:$BD$116,5,MATCH(AZ$115,'Weekly Summary'!$D$40:$BD$40,0)),"")</f>
        <v/>
      </c>
      <c r="BA125" s="244" t="str">
        <f>IF(ISNUMBER(BA$115),INDEX('Weekly Summary'!$D$112:$BD$116,5,MATCH(BA$115,'Weekly Summary'!$D$40:$BD$40,0)),"")</f>
        <v/>
      </c>
      <c r="BB125" s="244" t="str">
        <f>IF(ISNUMBER(BB$115),INDEX('Weekly Summary'!$D$112:$BD$116,5,MATCH(BB$115,'Weekly Summary'!$D$40:$BD$40,0)),"")</f>
        <v/>
      </c>
      <c r="BC125" s="244" t="str">
        <f>IF(ISNUMBER(BC$115),INDEX('Weekly Summary'!$D$112:$BD$116,5,MATCH(BC$115,'Weekly Summary'!$D$40:$BD$40,0)),"")</f>
        <v/>
      </c>
      <c r="BD125" s="244" t="str">
        <f>IF(ISNUMBER(BD$115),INDEX('Weekly Summary'!$D$112:$BD$116,5,MATCH(BD$115,'Weekly Summary'!$D$40:$BD$40,0)),"")</f>
        <v/>
      </c>
      <c r="BE125" s="93"/>
      <c r="BF125" s="93"/>
      <c r="BG125" s="93"/>
      <c r="BH125" s="93"/>
      <c r="BI125" s="93"/>
      <c r="BJ125" s="93"/>
      <c r="BK125" s="93"/>
      <c r="BL125" s="93"/>
      <c r="BM125" s="93"/>
      <c r="BN125" s="645"/>
    </row>
    <row r="126" spans="1:66" hidden="1" x14ac:dyDescent="0.35">
      <c r="A126" s="639" t="s">
        <v>1317</v>
      </c>
      <c r="B126" s="1491" t="s">
        <v>977</v>
      </c>
      <c r="C126" s="1488" t="s">
        <v>1239</v>
      </c>
      <c r="D126" s="1489"/>
      <c r="E126" s="1490"/>
      <c r="F126" s="354">
        <f>IF(ISNUMBER(F$115),INDEX('Weekly Summary'!$D$120:$BD$122,1,MATCH(F$115,'Weekly Summary'!$D$40:$BD$40,0)),"")</f>
        <v>0</v>
      </c>
      <c r="G126" s="354">
        <f>IF(ISNUMBER(G$115),INDEX('Weekly Summary'!$D$120:$BD$122,1,MATCH(G$115,'Weekly Summary'!$D$40:$BD$40,0)),"")</f>
        <v>0</v>
      </c>
      <c r="H126" s="354">
        <f>IF(ISNUMBER(H$115),INDEX('Weekly Summary'!$D$120:$BD$122,1,MATCH(H$115,'Weekly Summary'!$D$40:$BD$40,0)),"")</f>
        <v>0</v>
      </c>
      <c r="I126" s="354">
        <f>IF(ISNUMBER(I$115),INDEX('Weekly Summary'!$D$120:$BD$122,1,MATCH(I$115,'Weekly Summary'!$D$40:$BD$40,0)),"")</f>
        <v>0</v>
      </c>
      <c r="J126" s="354">
        <f>IF(ISNUMBER(J$115),INDEX('Weekly Summary'!$D$120:$BD$122,1,MATCH(J$115,'Weekly Summary'!$D$40:$BD$40,0)),"")</f>
        <v>0</v>
      </c>
      <c r="K126" s="354">
        <f>IF(ISNUMBER(K$115),INDEX('Weekly Summary'!$D$120:$BD$122,1,MATCH(K$115,'Weekly Summary'!$D$40:$BD$40,0)),"")</f>
        <v>0</v>
      </c>
      <c r="L126" s="354" t="str">
        <f>IF(ISNUMBER(L$115),INDEX('Weekly Summary'!$D$120:$BD$122,1,MATCH(L$115,'Weekly Summary'!$D$40:$BD$40,0)),"")</f>
        <v/>
      </c>
      <c r="M126" s="354" t="str">
        <f>IF(ISNUMBER(M$115),INDEX('Weekly Summary'!$D$120:$BD$122,1,MATCH(M$115,'Weekly Summary'!$D$40:$BD$40,0)),"")</f>
        <v/>
      </c>
      <c r="N126" s="354" t="str">
        <f>IF(ISNUMBER(N$115),INDEX('Weekly Summary'!$D$120:$BD$122,1,MATCH(N$115,'Weekly Summary'!$D$40:$BD$40,0)),"")</f>
        <v/>
      </c>
      <c r="O126" s="354" t="str">
        <f>IF(ISNUMBER(O$115),INDEX('Weekly Summary'!$D$120:$BD$122,1,MATCH(O$115,'Weekly Summary'!$D$40:$BD$40,0)),"")</f>
        <v/>
      </c>
      <c r="P126" s="354" t="str">
        <f>IF(ISNUMBER(P$115),INDEX('Weekly Summary'!$D$120:$BD$122,1,MATCH(P$115,'Weekly Summary'!$D$40:$BD$40,0)),"")</f>
        <v/>
      </c>
      <c r="Q126" s="354" t="str">
        <f>IF(ISNUMBER(Q$115),INDEX('Weekly Summary'!$D$120:$BD$122,1,MATCH(Q$115,'Weekly Summary'!$D$40:$BD$40,0)),"")</f>
        <v/>
      </c>
      <c r="R126" s="354" t="str">
        <f>IF(ISNUMBER(R$115),INDEX('Weekly Summary'!$D$120:$BD$122,1,MATCH(R$115,'Weekly Summary'!$D$40:$BD$40,0)),"")</f>
        <v/>
      </c>
      <c r="S126" s="354" t="str">
        <f>IF(ISNUMBER(S$115),INDEX('Weekly Summary'!$D$120:$BD$122,1,MATCH(S$115,'Weekly Summary'!$D$40:$BD$40,0)),"")</f>
        <v/>
      </c>
      <c r="T126" s="354" t="str">
        <f>IF(ISNUMBER(T$115),INDEX('Weekly Summary'!$D$120:$BD$122,1,MATCH(T$115,'Weekly Summary'!$D$40:$BD$40,0)),"")</f>
        <v/>
      </c>
      <c r="U126" s="354" t="str">
        <f>IF(ISNUMBER(U$115),INDEX('Weekly Summary'!$D$120:$BD$122,1,MATCH(U$115,'Weekly Summary'!$D$40:$BD$40,0)),"")</f>
        <v/>
      </c>
      <c r="V126" s="354" t="str">
        <f>IF(ISNUMBER(V$115),INDEX('Weekly Summary'!$D$120:$BD$122,1,MATCH(V$115,'Weekly Summary'!$D$40:$BD$40,0)),"")</f>
        <v/>
      </c>
      <c r="W126" s="354" t="str">
        <f>IF(ISNUMBER(W$115),INDEX('Weekly Summary'!$D$120:$BD$122,1,MATCH(W$115,'Weekly Summary'!$D$40:$BD$40,0)),"")</f>
        <v/>
      </c>
      <c r="X126" s="861" t="str">
        <f>IF(ISNUMBER(X$115),INDEX('Weekly Summary'!$D$120:$BD$122,1,MATCH(X$115,'Weekly Summary'!$D$40:$BD$40,0)),"")</f>
        <v/>
      </c>
      <c r="Y126" s="354" t="str">
        <f>IF(ISNUMBER(Y$115),INDEX('Weekly Summary'!$D$120:$BD$122,1,MATCH(Y$115,'Weekly Summary'!$D$40:$BD$40,0)),"")</f>
        <v/>
      </c>
      <c r="Z126" s="354" t="str">
        <f>IF(ISNUMBER(Z$115),INDEX('Weekly Summary'!$D$120:$BD$122,1,MATCH(Z$115,'Weekly Summary'!$D$40:$BD$40,0)),"")</f>
        <v/>
      </c>
      <c r="AA126" s="354" t="str">
        <f>IF(ISNUMBER(AA$115),INDEX('Weekly Summary'!$D$120:$BD$122,1,MATCH(AA$115,'Weekly Summary'!$D$40:$BD$40,0)),"")</f>
        <v/>
      </c>
      <c r="AB126" s="354" t="str">
        <f>IF(ISNUMBER(AB$115),INDEX('Weekly Summary'!$D$120:$BD$122,1,MATCH(AB$115,'Weekly Summary'!$D$40:$BD$40,0)),"")</f>
        <v/>
      </c>
      <c r="AC126" s="354" t="str">
        <f>IF(ISNUMBER(AC$115),INDEX('Weekly Summary'!$D$120:$BD$122,1,MATCH(AC$115,'Weekly Summary'!$D$40:$BD$40,0)),"")</f>
        <v/>
      </c>
      <c r="AD126" s="354" t="str">
        <f>IF(ISNUMBER(AD$115),INDEX('Weekly Summary'!$D$120:$BD$122,1,MATCH(AD$115,'Weekly Summary'!$D$40:$BD$40,0)),"")</f>
        <v/>
      </c>
      <c r="AE126" s="354" t="str">
        <f>IF(ISNUMBER(AE$115),INDEX('Weekly Summary'!$D$120:$BD$122,1,MATCH(AE$115,'Weekly Summary'!$D$40:$BD$40,0)),"")</f>
        <v/>
      </c>
      <c r="AF126" s="354" t="str">
        <f>IF(ISNUMBER(AF$115),INDEX('Weekly Summary'!$D$120:$BD$122,1,MATCH(AF$115,'Weekly Summary'!$D$40:$BD$40,0)),"")</f>
        <v/>
      </c>
      <c r="AG126" s="354" t="str">
        <f>IF(ISNUMBER(AG$115),INDEX('Weekly Summary'!$D$120:$BD$122,1,MATCH(AG$115,'Weekly Summary'!$D$40:$BD$40,0)),"")</f>
        <v/>
      </c>
      <c r="AH126" s="354" t="str">
        <f>IF(ISNUMBER(AH$115),INDEX('Weekly Summary'!$D$120:$BD$122,1,MATCH(AH$115,'Weekly Summary'!$D$40:$BD$40,0)),"")</f>
        <v/>
      </c>
      <c r="AI126" s="354" t="str">
        <f>IF(ISNUMBER(AI$115),INDEX('Weekly Summary'!$D$120:$BD$122,1,MATCH(AI$115,'Weekly Summary'!$D$40:$BD$40,0)),"")</f>
        <v/>
      </c>
      <c r="AJ126" s="354" t="str">
        <f>IF(ISNUMBER(AJ$115),INDEX('Weekly Summary'!$D$120:$BD$122,1,MATCH(AJ$115,'Weekly Summary'!$D$40:$BD$40,0)),"")</f>
        <v/>
      </c>
      <c r="AK126" s="354" t="str">
        <f>IF(ISNUMBER(AK$115),INDEX('Weekly Summary'!$D$120:$BD$122,1,MATCH(AK$115,'Weekly Summary'!$D$40:$BD$40,0)),"")</f>
        <v/>
      </c>
      <c r="AL126" s="354" t="str">
        <f>IF(ISNUMBER(AL$115),INDEX('Weekly Summary'!$D$120:$BD$122,1,MATCH(AL$115,'Weekly Summary'!$D$40:$BD$40,0)),"")</f>
        <v/>
      </c>
      <c r="AM126" s="354" t="str">
        <f>IF(ISNUMBER(AM$115),INDEX('Weekly Summary'!$D$120:$BD$122,1,MATCH(AM$115,'Weekly Summary'!$D$40:$BD$40,0)),"")</f>
        <v/>
      </c>
      <c r="AN126" s="354" t="str">
        <f>IF(ISNUMBER(AN$115),INDEX('Weekly Summary'!$D$120:$BD$122,1,MATCH(AN$115,'Weekly Summary'!$D$40:$BD$40,0)),"")</f>
        <v/>
      </c>
      <c r="AO126" s="354" t="str">
        <f>IF(ISNUMBER(AO$115),INDEX('Weekly Summary'!$D$120:$BD$122,1,MATCH(AO$115,'Weekly Summary'!$D$40:$BD$40,0)),"")</f>
        <v/>
      </c>
      <c r="AP126" s="354" t="str">
        <f>IF(ISNUMBER(AP$115),INDEX('Weekly Summary'!$D$120:$BD$122,1,MATCH(AP$115,'Weekly Summary'!$D$40:$BD$40,0)),"")</f>
        <v/>
      </c>
      <c r="AQ126" s="354" t="str">
        <f>IF(ISNUMBER(AQ$115),INDEX('Weekly Summary'!$D$120:$BD$122,1,MATCH(AQ$115,'Weekly Summary'!$D$40:$BD$40,0)),"")</f>
        <v/>
      </c>
      <c r="AR126" s="354" t="str">
        <f>IF(ISNUMBER(AR$115),INDEX('Weekly Summary'!$D$120:$BD$122,1,MATCH(AR$115,'Weekly Summary'!$D$40:$BD$40,0)),"")</f>
        <v/>
      </c>
      <c r="AS126" s="354" t="str">
        <f>IF(ISNUMBER(AS$115),INDEX('Weekly Summary'!$D$120:$BD$122,1,MATCH(AS$115,'Weekly Summary'!$D$40:$BD$40,0)),"")</f>
        <v/>
      </c>
      <c r="AT126" s="354" t="str">
        <f>IF(ISNUMBER(AT$115),INDEX('Weekly Summary'!$D$120:$BD$122,1,MATCH(AT$115,'Weekly Summary'!$D$40:$BD$40,0)),"")</f>
        <v/>
      </c>
      <c r="AU126" s="354" t="str">
        <f>IF(ISNUMBER(AU$115),INDEX('Weekly Summary'!$D$120:$BD$122,1,MATCH(AU$115,'Weekly Summary'!$D$40:$BD$40,0)),"")</f>
        <v/>
      </c>
      <c r="AV126" s="354" t="str">
        <f>IF(ISNUMBER(AV$115),INDEX('Weekly Summary'!$D$120:$BD$122,1,MATCH(AV$115,'Weekly Summary'!$D$40:$BD$40,0)),"")</f>
        <v/>
      </c>
      <c r="AW126" s="354" t="str">
        <f>IF(ISNUMBER(AW$115),INDEX('Weekly Summary'!$D$120:$BD$122,1,MATCH(AW$115,'Weekly Summary'!$D$40:$BD$40,0)),"")</f>
        <v/>
      </c>
      <c r="AX126" s="354" t="str">
        <f>IF(ISNUMBER(AX$115),INDEX('Weekly Summary'!$D$120:$BD$122,1,MATCH(AX$115,'Weekly Summary'!$D$40:$BD$40,0)),"")</f>
        <v/>
      </c>
      <c r="AY126" s="354" t="str">
        <f>IF(ISNUMBER(AY$115),INDEX('Weekly Summary'!$D$120:$BD$122,1,MATCH(AY$115,'Weekly Summary'!$D$40:$BD$40,0)),"")</f>
        <v/>
      </c>
      <c r="AZ126" s="354" t="str">
        <f>IF(ISNUMBER(AZ$115),INDEX('Weekly Summary'!$D$120:$BD$122,1,MATCH(AZ$115,'Weekly Summary'!$D$40:$BD$40,0)),"")</f>
        <v/>
      </c>
      <c r="BA126" s="354" t="str">
        <f>IF(ISNUMBER(BA$115),INDEX('Weekly Summary'!$D$120:$BD$122,1,MATCH(BA$115,'Weekly Summary'!$D$40:$BD$40,0)),"")</f>
        <v/>
      </c>
      <c r="BB126" s="354" t="str">
        <f>IF(ISNUMBER(BB$115),INDEX('Weekly Summary'!$D$120:$BD$122,1,MATCH(BB$115,'Weekly Summary'!$D$40:$BD$40,0)),"")</f>
        <v/>
      </c>
      <c r="BC126" s="354" t="str">
        <f>IF(ISNUMBER(BC$115),INDEX('Weekly Summary'!$D$120:$BD$122,1,MATCH(BC$115,'Weekly Summary'!$D$40:$BD$40,0)),"")</f>
        <v/>
      </c>
      <c r="BD126" s="354" t="str">
        <f>IF(ISNUMBER(BD$115),INDEX('Weekly Summary'!$D$120:$BD$122,1,MATCH(BD$115,'Weekly Summary'!$D$40:$BD$40,0)),"")</f>
        <v/>
      </c>
      <c r="BE126" s="93"/>
      <c r="BF126" s="93"/>
      <c r="BG126" s="93"/>
      <c r="BH126" s="93"/>
      <c r="BI126" s="93"/>
      <c r="BJ126" s="93"/>
      <c r="BK126" s="93"/>
      <c r="BL126" s="93"/>
      <c r="BM126" s="93"/>
      <c r="BN126" s="645"/>
    </row>
    <row r="127" spans="1:66" ht="14.9" hidden="1" customHeight="1" x14ac:dyDescent="0.35">
      <c r="A127" s="639" t="s">
        <v>1317</v>
      </c>
      <c r="B127" s="1492"/>
      <c r="C127" s="1480" t="s">
        <v>1240</v>
      </c>
      <c r="D127" s="1481"/>
      <c r="E127" s="1482"/>
      <c r="F127" s="228">
        <f>IF(ISNUMBER(F$115),INDEX('Weekly Summary'!$D$120:$BD$122,2,MATCH(F$115,'Weekly Summary'!$D$40:$BD$40,0)),"")</f>
        <v>0</v>
      </c>
      <c r="G127" s="228">
        <f>IF(ISNUMBER(G$115),INDEX('Weekly Summary'!$D$120:$BD$122,2,MATCH(G$115,'Weekly Summary'!$D$40:$BD$40,0)),"")</f>
        <v>0</v>
      </c>
      <c r="H127" s="228">
        <f>IF(ISNUMBER(H$115),INDEX('Weekly Summary'!$D$120:$BD$122,2,MATCH(H$115,'Weekly Summary'!$D$40:$BD$40,0)),"")</f>
        <v>0</v>
      </c>
      <c r="I127" s="228">
        <f>IF(ISNUMBER(I$115),INDEX('Weekly Summary'!$D$120:$BD$122,2,MATCH(I$115,'Weekly Summary'!$D$40:$BD$40,0)),"")</f>
        <v>0</v>
      </c>
      <c r="J127" s="228">
        <f>IF(ISNUMBER(J$115),INDEX('Weekly Summary'!$D$120:$BD$122,2,MATCH(J$115,'Weekly Summary'!$D$40:$BD$40,0)),"")</f>
        <v>0</v>
      </c>
      <c r="K127" s="228">
        <f>IF(ISNUMBER(K$115),INDEX('Weekly Summary'!$D$120:$BD$122,2,MATCH(K$115,'Weekly Summary'!$D$40:$BD$40,0)),"")</f>
        <v>0</v>
      </c>
      <c r="L127" s="228" t="str">
        <f>IF(ISNUMBER(L$115),INDEX('Weekly Summary'!$D$120:$BD$122,2,MATCH(L$115,'Weekly Summary'!$D$40:$BD$40,0)),"")</f>
        <v/>
      </c>
      <c r="M127" s="228" t="str">
        <f>IF(ISNUMBER(M$115),INDEX('Weekly Summary'!$D$120:$BD$122,2,MATCH(M$115,'Weekly Summary'!$D$40:$BD$40,0)),"")</f>
        <v/>
      </c>
      <c r="N127" s="228" t="str">
        <f>IF(ISNUMBER(N$115),INDEX('Weekly Summary'!$D$120:$BD$122,2,MATCH(N$115,'Weekly Summary'!$D$40:$BD$40,0)),"")</f>
        <v/>
      </c>
      <c r="O127" s="228" t="str">
        <f>IF(ISNUMBER(O$115),INDEX('Weekly Summary'!$D$120:$BD$122,2,MATCH(O$115,'Weekly Summary'!$D$40:$BD$40,0)),"")</f>
        <v/>
      </c>
      <c r="P127" s="228" t="str">
        <f>IF(ISNUMBER(P$115),INDEX('Weekly Summary'!$D$120:$BD$122,2,MATCH(P$115,'Weekly Summary'!$D$40:$BD$40,0)),"")</f>
        <v/>
      </c>
      <c r="Q127" s="228" t="str">
        <f>IF(ISNUMBER(Q$115),INDEX('Weekly Summary'!$D$120:$BD$122,2,MATCH(Q$115,'Weekly Summary'!$D$40:$BD$40,0)),"")</f>
        <v/>
      </c>
      <c r="R127" s="228" t="str">
        <f>IF(ISNUMBER(R$115),INDEX('Weekly Summary'!$D$120:$BD$122,2,MATCH(R$115,'Weekly Summary'!$D$40:$BD$40,0)),"")</f>
        <v/>
      </c>
      <c r="S127" s="228" t="str">
        <f>IF(ISNUMBER(S$115),INDEX('Weekly Summary'!$D$120:$BD$122,2,MATCH(S$115,'Weekly Summary'!$D$40:$BD$40,0)),"")</f>
        <v/>
      </c>
      <c r="T127" s="228" t="str">
        <f>IF(ISNUMBER(T$115),INDEX('Weekly Summary'!$D$120:$BD$122,2,MATCH(T$115,'Weekly Summary'!$D$40:$BD$40,0)),"")</f>
        <v/>
      </c>
      <c r="U127" s="228" t="str">
        <f>IF(ISNUMBER(U$115),INDEX('Weekly Summary'!$D$120:$BD$122,2,MATCH(U$115,'Weekly Summary'!$D$40:$BD$40,0)),"")</f>
        <v/>
      </c>
      <c r="V127" s="228" t="str">
        <f>IF(ISNUMBER(V$115),INDEX('Weekly Summary'!$D$120:$BD$122,2,MATCH(V$115,'Weekly Summary'!$D$40:$BD$40,0)),"")</f>
        <v/>
      </c>
      <c r="W127" s="228" t="str">
        <f>IF(ISNUMBER(W$115),INDEX('Weekly Summary'!$D$120:$BD$122,2,MATCH(W$115,'Weekly Summary'!$D$40:$BD$40,0)),"")</f>
        <v/>
      </c>
      <c r="X127" s="862" t="str">
        <f>IF(ISNUMBER(X$115),INDEX('Weekly Summary'!$D$120:$BD$122,2,MATCH(X$115,'Weekly Summary'!$D$40:$BD$40,0)),"")</f>
        <v/>
      </c>
      <c r="Y127" s="228" t="str">
        <f>IF(ISNUMBER(Y$115),INDEX('Weekly Summary'!$D$120:$BD$122,2,MATCH(Y$115,'Weekly Summary'!$D$40:$BD$40,0)),"")</f>
        <v/>
      </c>
      <c r="Z127" s="228" t="str">
        <f>IF(ISNUMBER(Z$115),INDEX('Weekly Summary'!$D$120:$BD$122,2,MATCH(Z$115,'Weekly Summary'!$D$40:$BD$40,0)),"")</f>
        <v/>
      </c>
      <c r="AA127" s="228" t="str">
        <f>IF(ISNUMBER(AA$115),INDEX('Weekly Summary'!$D$120:$BD$122,2,MATCH(AA$115,'Weekly Summary'!$D$40:$BD$40,0)),"")</f>
        <v/>
      </c>
      <c r="AB127" s="228" t="str">
        <f>IF(ISNUMBER(AB$115),INDEX('Weekly Summary'!$D$120:$BD$122,2,MATCH(AB$115,'Weekly Summary'!$D$40:$BD$40,0)),"")</f>
        <v/>
      </c>
      <c r="AC127" s="228" t="str">
        <f>IF(ISNUMBER(AC$115),INDEX('Weekly Summary'!$D$120:$BD$122,2,MATCH(AC$115,'Weekly Summary'!$D$40:$BD$40,0)),"")</f>
        <v/>
      </c>
      <c r="AD127" s="228" t="str">
        <f>IF(ISNUMBER(AD$115),INDEX('Weekly Summary'!$D$120:$BD$122,2,MATCH(AD$115,'Weekly Summary'!$D$40:$BD$40,0)),"")</f>
        <v/>
      </c>
      <c r="AE127" s="228" t="str">
        <f>IF(ISNUMBER(AE$115),INDEX('Weekly Summary'!$D$120:$BD$122,2,MATCH(AE$115,'Weekly Summary'!$D$40:$BD$40,0)),"")</f>
        <v/>
      </c>
      <c r="AF127" s="228" t="str">
        <f>IF(ISNUMBER(AF$115),INDEX('Weekly Summary'!$D$120:$BD$122,2,MATCH(AF$115,'Weekly Summary'!$D$40:$BD$40,0)),"")</f>
        <v/>
      </c>
      <c r="AG127" s="228" t="str">
        <f>IF(ISNUMBER(AG$115),INDEX('Weekly Summary'!$D$120:$BD$122,2,MATCH(AG$115,'Weekly Summary'!$D$40:$BD$40,0)),"")</f>
        <v/>
      </c>
      <c r="AH127" s="228" t="str">
        <f>IF(ISNUMBER(AH$115),INDEX('Weekly Summary'!$D$120:$BD$122,2,MATCH(AH$115,'Weekly Summary'!$D$40:$BD$40,0)),"")</f>
        <v/>
      </c>
      <c r="AI127" s="228" t="str">
        <f>IF(ISNUMBER(AI$115),INDEX('Weekly Summary'!$D$120:$BD$122,2,MATCH(AI$115,'Weekly Summary'!$D$40:$BD$40,0)),"")</f>
        <v/>
      </c>
      <c r="AJ127" s="228" t="str">
        <f>IF(ISNUMBER(AJ$115),INDEX('Weekly Summary'!$D$120:$BD$122,2,MATCH(AJ$115,'Weekly Summary'!$D$40:$BD$40,0)),"")</f>
        <v/>
      </c>
      <c r="AK127" s="228" t="str">
        <f>IF(ISNUMBER(AK$115),INDEX('Weekly Summary'!$D$120:$BD$122,2,MATCH(AK$115,'Weekly Summary'!$D$40:$BD$40,0)),"")</f>
        <v/>
      </c>
      <c r="AL127" s="228" t="str">
        <f>IF(ISNUMBER(AL$115),INDEX('Weekly Summary'!$D$120:$BD$122,2,MATCH(AL$115,'Weekly Summary'!$D$40:$BD$40,0)),"")</f>
        <v/>
      </c>
      <c r="AM127" s="228" t="str">
        <f>IF(ISNUMBER(AM$115),INDEX('Weekly Summary'!$D$120:$BD$122,2,MATCH(AM$115,'Weekly Summary'!$D$40:$BD$40,0)),"")</f>
        <v/>
      </c>
      <c r="AN127" s="228" t="str">
        <f>IF(ISNUMBER(AN$115),INDEX('Weekly Summary'!$D$120:$BD$122,2,MATCH(AN$115,'Weekly Summary'!$D$40:$BD$40,0)),"")</f>
        <v/>
      </c>
      <c r="AO127" s="228" t="str">
        <f>IF(ISNUMBER(AO$115),INDEX('Weekly Summary'!$D$120:$BD$122,2,MATCH(AO$115,'Weekly Summary'!$D$40:$BD$40,0)),"")</f>
        <v/>
      </c>
      <c r="AP127" s="228" t="str">
        <f>IF(ISNUMBER(AP$115),INDEX('Weekly Summary'!$D$120:$BD$122,2,MATCH(AP$115,'Weekly Summary'!$D$40:$BD$40,0)),"")</f>
        <v/>
      </c>
      <c r="AQ127" s="228" t="str">
        <f>IF(ISNUMBER(AQ$115),INDEX('Weekly Summary'!$D$120:$BD$122,2,MATCH(AQ$115,'Weekly Summary'!$D$40:$BD$40,0)),"")</f>
        <v/>
      </c>
      <c r="AR127" s="228" t="str">
        <f>IF(ISNUMBER(AR$115),INDEX('Weekly Summary'!$D$120:$BD$122,2,MATCH(AR$115,'Weekly Summary'!$D$40:$BD$40,0)),"")</f>
        <v/>
      </c>
      <c r="AS127" s="228" t="str">
        <f>IF(ISNUMBER(AS$115),INDEX('Weekly Summary'!$D$120:$BD$122,2,MATCH(AS$115,'Weekly Summary'!$D$40:$BD$40,0)),"")</f>
        <v/>
      </c>
      <c r="AT127" s="228" t="str">
        <f>IF(ISNUMBER(AT$115),INDEX('Weekly Summary'!$D$120:$BD$122,2,MATCH(AT$115,'Weekly Summary'!$D$40:$BD$40,0)),"")</f>
        <v/>
      </c>
      <c r="AU127" s="228" t="str">
        <f>IF(ISNUMBER(AU$115),INDEX('Weekly Summary'!$D$120:$BD$122,2,MATCH(AU$115,'Weekly Summary'!$D$40:$BD$40,0)),"")</f>
        <v/>
      </c>
      <c r="AV127" s="228" t="str">
        <f>IF(ISNUMBER(AV$115),INDEX('Weekly Summary'!$D$120:$BD$122,2,MATCH(AV$115,'Weekly Summary'!$D$40:$BD$40,0)),"")</f>
        <v/>
      </c>
      <c r="AW127" s="228" t="str">
        <f>IF(ISNUMBER(AW$115),INDEX('Weekly Summary'!$D$120:$BD$122,2,MATCH(AW$115,'Weekly Summary'!$D$40:$BD$40,0)),"")</f>
        <v/>
      </c>
      <c r="AX127" s="228" t="str">
        <f>IF(ISNUMBER(AX$115),INDEX('Weekly Summary'!$D$120:$BD$122,2,MATCH(AX$115,'Weekly Summary'!$D$40:$BD$40,0)),"")</f>
        <v/>
      </c>
      <c r="AY127" s="228" t="str">
        <f>IF(ISNUMBER(AY$115),INDEX('Weekly Summary'!$D$120:$BD$122,2,MATCH(AY$115,'Weekly Summary'!$D$40:$BD$40,0)),"")</f>
        <v/>
      </c>
      <c r="AZ127" s="228" t="str">
        <f>IF(ISNUMBER(AZ$115),INDEX('Weekly Summary'!$D$120:$BD$122,2,MATCH(AZ$115,'Weekly Summary'!$D$40:$BD$40,0)),"")</f>
        <v/>
      </c>
      <c r="BA127" s="228" t="str">
        <f>IF(ISNUMBER(BA$115),INDEX('Weekly Summary'!$D$120:$BD$122,2,MATCH(BA$115,'Weekly Summary'!$D$40:$BD$40,0)),"")</f>
        <v/>
      </c>
      <c r="BB127" s="228" t="str">
        <f>IF(ISNUMBER(BB$115),INDEX('Weekly Summary'!$D$120:$BD$122,2,MATCH(BB$115,'Weekly Summary'!$D$40:$BD$40,0)),"")</f>
        <v/>
      </c>
      <c r="BC127" s="228" t="str">
        <f>IF(ISNUMBER(BC$115),INDEX('Weekly Summary'!$D$120:$BD$122,2,MATCH(BC$115,'Weekly Summary'!$D$40:$BD$40,0)),"")</f>
        <v/>
      </c>
      <c r="BD127" s="228" t="str">
        <f>IF(ISNUMBER(BD$115),INDEX('Weekly Summary'!$D$120:$BD$122,2,MATCH(BD$115,'Weekly Summary'!$D$40:$BD$40,0)),"")</f>
        <v/>
      </c>
      <c r="BE127" s="93"/>
      <c r="BF127" s="93"/>
      <c r="BG127" s="93"/>
      <c r="BH127" s="93"/>
      <c r="BI127" s="93"/>
      <c r="BJ127" s="93"/>
      <c r="BK127" s="93"/>
      <c r="BL127" s="93"/>
      <c r="BM127" s="93"/>
      <c r="BN127" s="645"/>
    </row>
    <row r="128" spans="1:66" hidden="1" x14ac:dyDescent="0.35">
      <c r="A128" s="639" t="s">
        <v>1317</v>
      </c>
      <c r="B128" s="1493"/>
      <c r="C128" s="119" t="s">
        <v>705</v>
      </c>
      <c r="D128" s="93"/>
      <c r="E128" s="93"/>
      <c r="F128" s="229" t="str">
        <f>IF(ISNUMBER(F$115),INDEX('Weekly Summary'!$D$120:$BD$122,3,MATCH(F$115,'Weekly Summary'!$D$40:$BD$40,0)),"")</f>
        <v/>
      </c>
      <c r="G128" s="229" t="str">
        <f>IF(ISNUMBER(G$115),INDEX('Weekly Summary'!$D$120:$BD$122,3,MATCH(G$115,'Weekly Summary'!$D$40:$BD$40,0)),"")</f>
        <v/>
      </c>
      <c r="H128" s="229" t="str">
        <f>IF(ISNUMBER(H$115),INDEX('Weekly Summary'!$D$120:$BD$122,3,MATCH(H$115,'Weekly Summary'!$D$40:$BD$40,0)),"")</f>
        <v/>
      </c>
      <c r="I128" s="229" t="str">
        <f>IF(ISNUMBER(I$115),INDEX('Weekly Summary'!$D$120:$BD$122,3,MATCH(I$115,'Weekly Summary'!$D$40:$BD$40,0)),"")</f>
        <v/>
      </c>
      <c r="J128" s="229" t="str">
        <f>IF(ISNUMBER(J$115),INDEX('Weekly Summary'!$D$120:$BD$122,3,MATCH(J$115,'Weekly Summary'!$D$40:$BD$40,0)),"")</f>
        <v/>
      </c>
      <c r="K128" s="229" t="str">
        <f>IF(ISNUMBER(K$115),INDEX('Weekly Summary'!$D$120:$BD$122,3,MATCH(K$115,'Weekly Summary'!$D$40:$BD$40,0)),"")</f>
        <v/>
      </c>
      <c r="L128" s="229" t="str">
        <f>IF(ISNUMBER(L$115),INDEX('Weekly Summary'!$D$120:$BD$122,3,MATCH(L$115,'Weekly Summary'!$D$40:$BD$40,0)),"")</f>
        <v/>
      </c>
      <c r="M128" s="229" t="str">
        <f>IF(ISNUMBER(M$115),INDEX('Weekly Summary'!$D$120:$BD$122,3,MATCH(M$115,'Weekly Summary'!$D$40:$BD$40,0)),"")</f>
        <v/>
      </c>
      <c r="N128" s="229" t="str">
        <f>IF(ISNUMBER(N$115),INDEX('Weekly Summary'!$D$120:$BD$122,3,MATCH(N$115,'Weekly Summary'!$D$40:$BD$40,0)),"")</f>
        <v/>
      </c>
      <c r="O128" s="229" t="str">
        <f>IF(ISNUMBER(O$115),INDEX('Weekly Summary'!$D$120:$BD$122,3,MATCH(O$115,'Weekly Summary'!$D$40:$BD$40,0)),"")</f>
        <v/>
      </c>
      <c r="P128" s="229" t="str">
        <f>IF(ISNUMBER(P$115),INDEX('Weekly Summary'!$D$120:$BD$122,3,MATCH(P$115,'Weekly Summary'!$D$40:$BD$40,0)),"")</f>
        <v/>
      </c>
      <c r="Q128" s="229" t="str">
        <f>IF(ISNUMBER(Q$115),INDEX('Weekly Summary'!$D$120:$BD$122,3,MATCH(Q$115,'Weekly Summary'!$D$40:$BD$40,0)),"")</f>
        <v/>
      </c>
      <c r="R128" s="229" t="str">
        <f>IF(ISNUMBER(R$115),INDEX('Weekly Summary'!$D$120:$BD$122,3,MATCH(R$115,'Weekly Summary'!$D$40:$BD$40,0)),"")</f>
        <v/>
      </c>
      <c r="S128" s="229" t="str">
        <f>IF(ISNUMBER(S$115),INDEX('Weekly Summary'!$D$120:$BD$122,3,MATCH(S$115,'Weekly Summary'!$D$40:$BD$40,0)),"")</f>
        <v/>
      </c>
      <c r="T128" s="229" t="str">
        <f>IF(ISNUMBER(T$115),INDEX('Weekly Summary'!$D$120:$BD$122,3,MATCH(T$115,'Weekly Summary'!$D$40:$BD$40,0)),"")</f>
        <v/>
      </c>
      <c r="U128" s="229" t="str">
        <f>IF(ISNUMBER(U$115),INDEX('Weekly Summary'!$D$120:$BD$122,3,MATCH(U$115,'Weekly Summary'!$D$40:$BD$40,0)),"")</f>
        <v/>
      </c>
      <c r="V128" s="229" t="str">
        <f>IF(ISNUMBER(V$115),INDEX('Weekly Summary'!$D$120:$BD$122,3,MATCH(V$115,'Weekly Summary'!$D$40:$BD$40,0)),"")</f>
        <v/>
      </c>
      <c r="W128" s="229" t="str">
        <f>IF(ISNUMBER(W$115),INDEX('Weekly Summary'!$D$120:$BD$122,3,MATCH(W$115,'Weekly Summary'!$D$40:$BD$40,0)),"")</f>
        <v/>
      </c>
      <c r="X128" s="863" t="str">
        <f>IF(ISNUMBER(X$115),INDEX('Weekly Summary'!$D$120:$BD$122,3,MATCH(X$115,'Weekly Summary'!$D$40:$BD$40,0)),"")</f>
        <v/>
      </c>
      <c r="Y128" s="229" t="str">
        <f>IF(ISNUMBER(Y$115),INDEX('Weekly Summary'!$D$120:$BD$122,3,MATCH(Y$115,'Weekly Summary'!$D$40:$BD$40,0)),"")</f>
        <v/>
      </c>
      <c r="Z128" s="229" t="str">
        <f>IF(ISNUMBER(Z$115),INDEX('Weekly Summary'!$D$120:$BD$122,3,MATCH(Z$115,'Weekly Summary'!$D$40:$BD$40,0)),"")</f>
        <v/>
      </c>
      <c r="AA128" s="229" t="str">
        <f>IF(ISNUMBER(AA$115),INDEX('Weekly Summary'!$D$120:$BD$122,3,MATCH(AA$115,'Weekly Summary'!$D$40:$BD$40,0)),"")</f>
        <v/>
      </c>
      <c r="AB128" s="229" t="str">
        <f>IF(ISNUMBER(AB$115),INDEX('Weekly Summary'!$D$120:$BD$122,3,MATCH(AB$115,'Weekly Summary'!$D$40:$BD$40,0)),"")</f>
        <v/>
      </c>
      <c r="AC128" s="229" t="str">
        <f>IF(ISNUMBER(AC$115),INDEX('Weekly Summary'!$D$120:$BD$122,3,MATCH(AC$115,'Weekly Summary'!$D$40:$BD$40,0)),"")</f>
        <v/>
      </c>
      <c r="AD128" s="229" t="str">
        <f>IF(ISNUMBER(AD$115),INDEX('Weekly Summary'!$D$120:$BD$122,3,MATCH(AD$115,'Weekly Summary'!$D$40:$BD$40,0)),"")</f>
        <v/>
      </c>
      <c r="AE128" s="229" t="str">
        <f>IF(ISNUMBER(AE$115),INDEX('Weekly Summary'!$D$120:$BD$122,3,MATCH(AE$115,'Weekly Summary'!$D$40:$BD$40,0)),"")</f>
        <v/>
      </c>
      <c r="AF128" s="229" t="str">
        <f>IF(ISNUMBER(AF$115),INDEX('Weekly Summary'!$D$120:$BD$122,3,MATCH(AF$115,'Weekly Summary'!$D$40:$BD$40,0)),"")</f>
        <v/>
      </c>
      <c r="AG128" s="229" t="str">
        <f>IF(ISNUMBER(AG$115),INDEX('Weekly Summary'!$D$120:$BD$122,3,MATCH(AG$115,'Weekly Summary'!$D$40:$BD$40,0)),"")</f>
        <v/>
      </c>
      <c r="AH128" s="229" t="str">
        <f>IF(ISNUMBER(AH$115),INDEX('Weekly Summary'!$D$120:$BD$122,3,MATCH(AH$115,'Weekly Summary'!$D$40:$BD$40,0)),"")</f>
        <v/>
      </c>
      <c r="AI128" s="229" t="str">
        <f>IF(ISNUMBER(AI$115),INDEX('Weekly Summary'!$D$120:$BD$122,3,MATCH(AI$115,'Weekly Summary'!$D$40:$BD$40,0)),"")</f>
        <v/>
      </c>
      <c r="AJ128" s="229" t="str">
        <f>IF(ISNUMBER(AJ$115),INDEX('Weekly Summary'!$D$120:$BD$122,3,MATCH(AJ$115,'Weekly Summary'!$D$40:$BD$40,0)),"")</f>
        <v/>
      </c>
      <c r="AK128" s="229" t="str">
        <f>IF(ISNUMBER(AK$115),INDEX('Weekly Summary'!$D$120:$BD$122,3,MATCH(AK$115,'Weekly Summary'!$D$40:$BD$40,0)),"")</f>
        <v/>
      </c>
      <c r="AL128" s="229" t="str">
        <f>IF(ISNUMBER(AL$115),INDEX('Weekly Summary'!$D$120:$BD$122,3,MATCH(AL$115,'Weekly Summary'!$D$40:$BD$40,0)),"")</f>
        <v/>
      </c>
      <c r="AM128" s="229" t="str">
        <f>IF(ISNUMBER(AM$115),INDEX('Weekly Summary'!$D$120:$BD$122,3,MATCH(AM$115,'Weekly Summary'!$D$40:$BD$40,0)),"")</f>
        <v/>
      </c>
      <c r="AN128" s="229" t="str">
        <f>IF(ISNUMBER(AN$115),INDEX('Weekly Summary'!$D$120:$BD$122,3,MATCH(AN$115,'Weekly Summary'!$D$40:$BD$40,0)),"")</f>
        <v/>
      </c>
      <c r="AO128" s="229" t="str">
        <f>IF(ISNUMBER(AO$115),INDEX('Weekly Summary'!$D$120:$BD$122,3,MATCH(AO$115,'Weekly Summary'!$D$40:$BD$40,0)),"")</f>
        <v/>
      </c>
      <c r="AP128" s="229" t="str">
        <f>IF(ISNUMBER(AP$115),INDEX('Weekly Summary'!$D$120:$BD$122,3,MATCH(AP$115,'Weekly Summary'!$D$40:$BD$40,0)),"")</f>
        <v/>
      </c>
      <c r="AQ128" s="229" t="str">
        <f>IF(ISNUMBER(AQ$115),INDEX('Weekly Summary'!$D$120:$BD$122,3,MATCH(AQ$115,'Weekly Summary'!$D$40:$BD$40,0)),"")</f>
        <v/>
      </c>
      <c r="AR128" s="229" t="str">
        <f>IF(ISNUMBER(AR$115),INDEX('Weekly Summary'!$D$120:$BD$122,3,MATCH(AR$115,'Weekly Summary'!$D$40:$BD$40,0)),"")</f>
        <v/>
      </c>
      <c r="AS128" s="229" t="str">
        <f>IF(ISNUMBER(AS$115),INDEX('Weekly Summary'!$D$120:$BD$122,3,MATCH(AS$115,'Weekly Summary'!$D$40:$BD$40,0)),"")</f>
        <v/>
      </c>
      <c r="AT128" s="229" t="str">
        <f>IF(ISNUMBER(AT$115),INDEX('Weekly Summary'!$D$120:$BD$122,3,MATCH(AT$115,'Weekly Summary'!$D$40:$BD$40,0)),"")</f>
        <v/>
      </c>
      <c r="AU128" s="229" t="str">
        <f>IF(ISNUMBER(AU$115),INDEX('Weekly Summary'!$D$120:$BD$122,3,MATCH(AU$115,'Weekly Summary'!$D$40:$BD$40,0)),"")</f>
        <v/>
      </c>
      <c r="AV128" s="229" t="str">
        <f>IF(ISNUMBER(AV$115),INDEX('Weekly Summary'!$D$120:$BD$122,3,MATCH(AV$115,'Weekly Summary'!$D$40:$BD$40,0)),"")</f>
        <v/>
      </c>
      <c r="AW128" s="229" t="str">
        <f>IF(ISNUMBER(AW$115),INDEX('Weekly Summary'!$D$120:$BD$122,3,MATCH(AW$115,'Weekly Summary'!$D$40:$BD$40,0)),"")</f>
        <v/>
      </c>
      <c r="AX128" s="229" t="str">
        <f>IF(ISNUMBER(AX$115),INDEX('Weekly Summary'!$D$120:$BD$122,3,MATCH(AX$115,'Weekly Summary'!$D$40:$BD$40,0)),"")</f>
        <v/>
      </c>
      <c r="AY128" s="229" t="str">
        <f>IF(ISNUMBER(AY$115),INDEX('Weekly Summary'!$D$120:$BD$122,3,MATCH(AY$115,'Weekly Summary'!$D$40:$BD$40,0)),"")</f>
        <v/>
      </c>
      <c r="AZ128" s="229" t="str">
        <f>IF(ISNUMBER(AZ$115),INDEX('Weekly Summary'!$D$120:$BD$122,3,MATCH(AZ$115,'Weekly Summary'!$D$40:$BD$40,0)),"")</f>
        <v/>
      </c>
      <c r="BA128" s="229" t="str">
        <f>IF(ISNUMBER(BA$115),INDEX('Weekly Summary'!$D$120:$BD$122,3,MATCH(BA$115,'Weekly Summary'!$D$40:$BD$40,0)),"")</f>
        <v/>
      </c>
      <c r="BB128" s="229" t="str">
        <f>IF(ISNUMBER(BB$115),INDEX('Weekly Summary'!$D$120:$BD$122,3,MATCH(BB$115,'Weekly Summary'!$D$40:$BD$40,0)),"")</f>
        <v/>
      </c>
      <c r="BC128" s="229" t="str">
        <f>IF(ISNUMBER(BC$115),INDEX('Weekly Summary'!$D$120:$BD$122,3,MATCH(BC$115,'Weekly Summary'!$D$40:$BD$40,0)),"")</f>
        <v/>
      </c>
      <c r="BD128" s="229" t="str">
        <f>IF(ISNUMBER(BD$115),INDEX('Weekly Summary'!$D$120:$BD$122,3,MATCH(BD$115,'Weekly Summary'!$D$40:$BD$40,0)),"")</f>
        <v/>
      </c>
      <c r="BE128" s="93"/>
      <c r="BF128" s="93"/>
      <c r="BG128" s="93"/>
      <c r="BH128" s="93"/>
      <c r="BI128" s="93"/>
      <c r="BJ128" s="93"/>
      <c r="BK128" s="93"/>
      <c r="BL128" s="93"/>
      <c r="BM128" s="93"/>
      <c r="BN128" s="645"/>
    </row>
    <row r="129" spans="1:66" s="139" customFormat="1" x14ac:dyDescent="0.35">
      <c r="B129" s="140" t="s">
        <v>1513</v>
      </c>
      <c r="C129" s="1483" t="s">
        <v>1446</v>
      </c>
      <c r="D129" s="1484"/>
      <c r="E129" s="1485"/>
      <c r="F129" s="505">
        <f ca="1">IF(ISNUMBER(F$115),INDEX('Weekly Summary'!$D$128:$BD$128,1,MATCH(F$115,'Weekly Summary'!$D$40:$BD$40,0)),"")</f>
        <v>1</v>
      </c>
      <c r="G129" s="505">
        <f ca="1">IF(ISNUMBER(G$115),INDEX('Weekly Summary'!$D$128:$BD$128,1,MATCH(G$115,'Weekly Summary'!$D$40:$BD$40,0)),"")</f>
        <v>1</v>
      </c>
      <c r="H129" s="505">
        <f ca="1">IF(ISNUMBER(H$115),INDEX('Weekly Summary'!$D$128:$BD$128,1,MATCH(H$115,'Weekly Summary'!$D$40:$BD$40,0)),"")</f>
        <v>1</v>
      </c>
      <c r="I129" s="505">
        <f ca="1">IF(ISNUMBER(I$115),INDEX('Weekly Summary'!$D$128:$BD$128,1,MATCH(I$115,'Weekly Summary'!$D$40:$BD$40,0)),"")</f>
        <v>2</v>
      </c>
      <c r="J129" s="505">
        <f ca="1">IF(ISNUMBER(J$115),INDEX('Weekly Summary'!$D$128:$BD$128,1,MATCH(J$115,'Weekly Summary'!$D$40:$BD$40,0)),"")</f>
        <v>7</v>
      </c>
      <c r="K129" s="505">
        <f ca="1">IF(ISNUMBER(K$115),INDEX('Weekly Summary'!$D$128:$BD$128,1,MATCH(K$115,'Weekly Summary'!$D$40:$BD$40,0)),"")</f>
        <v>23</v>
      </c>
      <c r="L129" s="505" t="str">
        <f>IF(ISNUMBER(L$115),INDEX('Weekly Summary'!$D$128:$BD$128,1,MATCH(L$115,'Weekly Summary'!$D$40:$BD$40,0)),"")</f>
        <v/>
      </c>
      <c r="M129" s="505" t="str">
        <f>IF(ISNUMBER(M$115),INDEX('Weekly Summary'!$D$128:$BD$128,1,MATCH(M$115,'Weekly Summary'!$D$40:$BD$40,0)),"")</f>
        <v/>
      </c>
      <c r="N129" s="505" t="str">
        <f>IF(ISNUMBER(N$115),INDEX('Weekly Summary'!$D$128:$BD$128,1,MATCH(N$115,'Weekly Summary'!$D$40:$BD$40,0)),"")</f>
        <v/>
      </c>
      <c r="O129" s="505" t="str">
        <f>IF(ISNUMBER(O$115),INDEX('Weekly Summary'!$D$128:$BD$128,1,MATCH(O$115,'Weekly Summary'!$D$40:$BD$40,0)),"")</f>
        <v/>
      </c>
      <c r="P129" s="505" t="str">
        <f>IF(ISNUMBER(P$115),INDEX('Weekly Summary'!$D$128:$BD$128,1,MATCH(P$115,'Weekly Summary'!$D$40:$BD$40,0)),"")</f>
        <v/>
      </c>
      <c r="Q129" s="505" t="str">
        <f>IF(ISNUMBER(Q$115),INDEX('Weekly Summary'!$D$128:$BD$128,1,MATCH(Q$115,'Weekly Summary'!$D$40:$BD$40,0)),"")</f>
        <v/>
      </c>
      <c r="R129" s="505" t="str">
        <f>IF(ISNUMBER(R$115),INDEX('Weekly Summary'!$D$128:$BD$128,1,MATCH(R$115,'Weekly Summary'!$D$40:$BD$40,0)),"")</f>
        <v/>
      </c>
      <c r="S129" s="505" t="str">
        <f>IF(ISNUMBER(S$115),INDEX('Weekly Summary'!$D$128:$BD$128,1,MATCH(S$115,'Weekly Summary'!$D$40:$BD$40,0)),"")</f>
        <v/>
      </c>
      <c r="T129" s="505" t="str">
        <f>IF(ISNUMBER(T$115),INDEX('Weekly Summary'!$D$128:$BD$128,1,MATCH(T$115,'Weekly Summary'!$D$40:$BD$40,0)),"")</f>
        <v/>
      </c>
      <c r="U129" s="505" t="str">
        <f>IF(ISNUMBER(U$115),INDEX('Weekly Summary'!$D$128:$BD$128,1,MATCH(U$115,'Weekly Summary'!$D$40:$BD$40,0)),"")</f>
        <v/>
      </c>
      <c r="V129" s="505" t="str">
        <f>IF(ISNUMBER(V$115),INDEX('Weekly Summary'!$D$128:$BD$128,1,MATCH(V$115,'Weekly Summary'!$D$40:$BD$40,0)),"")</f>
        <v/>
      </c>
      <c r="W129" s="505" t="str">
        <f>IF(ISNUMBER(W$115),INDEX('Weekly Summary'!$D$128:$BD$128,1,MATCH(W$115,'Weekly Summary'!$D$40:$BD$40,0)),"")</f>
        <v/>
      </c>
      <c r="X129" s="864" t="str">
        <f>IF(ISNUMBER(X$115),INDEX('Weekly Summary'!$D$128:$BD$128,1,MATCH(X$115,'Weekly Summary'!$D$40:$BD$40,0)),"")</f>
        <v/>
      </c>
      <c r="Y129" s="505" t="str">
        <f>IF(ISNUMBER(Y$115),INDEX('Weekly Summary'!$D$128:$BD$128,1,MATCH(Y$115,'Weekly Summary'!$D$40:$BD$40,0)),"")</f>
        <v/>
      </c>
      <c r="Z129" s="505" t="str">
        <f>IF(ISNUMBER(Z$115),INDEX('Weekly Summary'!$D$128:$BD$128,1,MATCH(Z$115,'Weekly Summary'!$D$40:$BD$40,0)),"")</f>
        <v/>
      </c>
      <c r="AA129" s="505" t="str">
        <f>IF(ISNUMBER(AA$115),INDEX('Weekly Summary'!$D$128:$BD$128,1,MATCH(AA$115,'Weekly Summary'!$D$40:$BD$40,0)),"")</f>
        <v/>
      </c>
      <c r="AB129" s="505" t="str">
        <f>IF(ISNUMBER(AB$115),INDEX('Weekly Summary'!$D$128:$BD$128,1,MATCH(AB$115,'Weekly Summary'!$D$40:$BD$40,0)),"")</f>
        <v/>
      </c>
      <c r="AC129" s="505" t="str">
        <f>IF(ISNUMBER(AC$115),INDEX('Weekly Summary'!$D$128:$BD$128,1,MATCH(AC$115,'Weekly Summary'!$D$40:$BD$40,0)),"")</f>
        <v/>
      </c>
      <c r="AD129" s="505" t="str">
        <f>IF(ISNUMBER(AD$115),INDEX('Weekly Summary'!$D$128:$BD$128,1,MATCH(AD$115,'Weekly Summary'!$D$40:$BD$40,0)),"")</f>
        <v/>
      </c>
      <c r="AE129" s="505" t="str">
        <f>IF(ISNUMBER(AE$115),INDEX('Weekly Summary'!$D$128:$BD$128,1,MATCH(AE$115,'Weekly Summary'!$D$40:$BD$40,0)),"")</f>
        <v/>
      </c>
      <c r="AF129" s="505" t="str">
        <f>IF(ISNUMBER(AF$115),INDEX('Weekly Summary'!$D$128:$BD$128,1,MATCH(AF$115,'Weekly Summary'!$D$40:$BD$40,0)),"")</f>
        <v/>
      </c>
      <c r="AG129" s="505" t="str">
        <f>IF(ISNUMBER(AG$115),INDEX('Weekly Summary'!$D$128:$BD$128,1,MATCH(AG$115,'Weekly Summary'!$D$40:$BD$40,0)),"")</f>
        <v/>
      </c>
      <c r="AH129" s="505" t="str">
        <f>IF(ISNUMBER(AH$115),INDEX('Weekly Summary'!$D$128:$BD$128,1,MATCH(AH$115,'Weekly Summary'!$D$40:$BD$40,0)),"")</f>
        <v/>
      </c>
      <c r="AI129" s="505" t="str">
        <f>IF(ISNUMBER(AI$115),INDEX('Weekly Summary'!$D$128:$BD$128,1,MATCH(AI$115,'Weekly Summary'!$D$40:$BD$40,0)),"")</f>
        <v/>
      </c>
      <c r="AJ129" s="505" t="str">
        <f>IF(ISNUMBER(AJ$115),INDEX('Weekly Summary'!$D$128:$BD$128,1,MATCH(AJ$115,'Weekly Summary'!$D$40:$BD$40,0)),"")</f>
        <v/>
      </c>
      <c r="AK129" s="505" t="str">
        <f>IF(ISNUMBER(AK$115),INDEX('Weekly Summary'!$D$128:$BD$128,1,MATCH(AK$115,'Weekly Summary'!$D$40:$BD$40,0)),"")</f>
        <v/>
      </c>
      <c r="AL129" s="505" t="str">
        <f>IF(ISNUMBER(AL$115),INDEX('Weekly Summary'!$D$128:$BD$128,1,MATCH(AL$115,'Weekly Summary'!$D$40:$BD$40,0)),"")</f>
        <v/>
      </c>
      <c r="AM129" s="505" t="str">
        <f>IF(ISNUMBER(AM$115),INDEX('Weekly Summary'!$D$128:$BD$128,1,MATCH(AM$115,'Weekly Summary'!$D$40:$BD$40,0)),"")</f>
        <v/>
      </c>
      <c r="AN129" s="505" t="str">
        <f>IF(ISNUMBER(AN$115),INDEX('Weekly Summary'!$D$128:$BD$128,1,MATCH(AN$115,'Weekly Summary'!$D$40:$BD$40,0)),"")</f>
        <v/>
      </c>
      <c r="AO129" s="505" t="str">
        <f>IF(ISNUMBER(AO$115),INDEX('Weekly Summary'!$D$128:$BD$128,1,MATCH(AO$115,'Weekly Summary'!$D$40:$BD$40,0)),"")</f>
        <v/>
      </c>
      <c r="AP129" s="505" t="str">
        <f>IF(ISNUMBER(AP$115),INDEX('Weekly Summary'!$D$128:$BD$128,1,MATCH(AP$115,'Weekly Summary'!$D$40:$BD$40,0)),"")</f>
        <v/>
      </c>
      <c r="AQ129" s="505" t="str">
        <f>IF(ISNUMBER(AQ$115),INDEX('Weekly Summary'!$D$128:$BD$128,1,MATCH(AQ$115,'Weekly Summary'!$D$40:$BD$40,0)),"")</f>
        <v/>
      </c>
      <c r="AR129" s="505" t="str">
        <f>IF(ISNUMBER(AR$115),INDEX('Weekly Summary'!$D$128:$BD$128,1,MATCH(AR$115,'Weekly Summary'!$D$40:$BD$40,0)),"")</f>
        <v/>
      </c>
      <c r="AS129" s="505" t="str">
        <f>IF(ISNUMBER(AS$115),INDEX('Weekly Summary'!$D$128:$BD$128,1,MATCH(AS$115,'Weekly Summary'!$D$40:$BD$40,0)),"")</f>
        <v/>
      </c>
      <c r="AT129" s="505" t="str">
        <f>IF(ISNUMBER(AT$115),INDEX('Weekly Summary'!$D$128:$BD$128,1,MATCH(AT$115,'Weekly Summary'!$D$40:$BD$40,0)),"")</f>
        <v/>
      </c>
      <c r="AU129" s="505" t="str">
        <f>IF(ISNUMBER(AU$115),INDEX('Weekly Summary'!$D$128:$BD$128,1,MATCH(AU$115,'Weekly Summary'!$D$40:$BD$40,0)),"")</f>
        <v/>
      </c>
      <c r="AV129" s="505" t="str">
        <f>IF(ISNUMBER(AV$115),INDEX('Weekly Summary'!$D$128:$BD$128,1,MATCH(AV$115,'Weekly Summary'!$D$40:$BD$40,0)),"")</f>
        <v/>
      </c>
      <c r="AW129" s="505" t="str">
        <f>IF(ISNUMBER(AW$115),INDEX('Weekly Summary'!$D$128:$BD$128,1,MATCH(AW$115,'Weekly Summary'!$D$40:$BD$40,0)),"")</f>
        <v/>
      </c>
      <c r="AX129" s="505" t="str">
        <f>IF(ISNUMBER(AX$115),INDEX('Weekly Summary'!$D$128:$BD$128,1,MATCH(AX$115,'Weekly Summary'!$D$40:$BD$40,0)),"")</f>
        <v/>
      </c>
      <c r="AY129" s="505" t="str">
        <f>IF(ISNUMBER(AY$115),INDEX('Weekly Summary'!$D$128:$BD$128,1,MATCH(AY$115,'Weekly Summary'!$D$40:$BD$40,0)),"")</f>
        <v/>
      </c>
      <c r="AZ129" s="505" t="str">
        <f>IF(ISNUMBER(AZ$115),INDEX('Weekly Summary'!$D$128:$BD$128,1,MATCH(AZ$115,'Weekly Summary'!$D$40:$BD$40,0)),"")</f>
        <v/>
      </c>
      <c r="BA129" s="505" t="str">
        <f>IF(ISNUMBER(BA$115),INDEX('Weekly Summary'!$D$128:$BD$128,1,MATCH(BA$115,'Weekly Summary'!$D$40:$BD$40,0)),"")</f>
        <v/>
      </c>
      <c r="BB129" s="505" t="str">
        <f>IF(ISNUMBER(BB$115),INDEX('Weekly Summary'!$D$128:$BD$128,1,MATCH(BB$115,'Weekly Summary'!$D$40:$BD$40,0)),"")</f>
        <v/>
      </c>
      <c r="BC129" s="505" t="str">
        <f>IF(ISNUMBER(BC$115),INDEX('Weekly Summary'!$D$128:$BD$128,1,MATCH(BC$115,'Weekly Summary'!$D$40:$BD$40,0)),"")</f>
        <v/>
      </c>
      <c r="BD129" s="505" t="str">
        <f>IF(ISNUMBER(BD$115),INDEX('Weekly Summary'!$D$128:$BD$128,1,MATCH(BD$115,'Weekly Summary'!$D$40:$BD$40,0)),"")</f>
        <v/>
      </c>
      <c r="BE129" s="643"/>
      <c r="BF129" s="643"/>
      <c r="BG129" s="643"/>
      <c r="BH129" s="643"/>
      <c r="BI129" s="643"/>
      <c r="BJ129" s="643"/>
      <c r="BK129" s="643"/>
      <c r="BL129" s="643"/>
      <c r="BM129" s="643"/>
      <c r="BN129" s="644"/>
    </row>
    <row r="130" spans="1:66" x14ac:dyDescent="0.35">
      <c r="B130" s="1541" t="s">
        <v>286</v>
      </c>
      <c r="C130" s="119" t="s">
        <v>797</v>
      </c>
      <c r="D130" s="93"/>
      <c r="E130" s="93"/>
      <c r="F130" s="228">
        <f>IF(ISNUMBER(F$115),INDEX('Weekly Summary'!$D$134:$BD$135,1,MATCH(F$115,'Weekly Summary'!$D$40:$BD$40,0)),"")</f>
        <v>312</v>
      </c>
      <c r="G130" s="228">
        <f>IF(ISNUMBER(G$115),INDEX('Weekly Summary'!$D$134:$BD$135,1,MATCH(G$115,'Weekly Summary'!$D$40:$BD$40,0)),"")</f>
        <v>312</v>
      </c>
      <c r="H130" s="228">
        <f>IF(ISNUMBER(H$115),INDEX('Weekly Summary'!$D$134:$BD$135,1,MATCH(H$115,'Weekly Summary'!$D$40:$BD$40,0)),"")</f>
        <v>312</v>
      </c>
      <c r="I130" s="228">
        <f>IF(ISNUMBER(I$115),INDEX('Weekly Summary'!$D$134:$BD$135,1,MATCH(I$115,'Weekly Summary'!$D$40:$BD$40,0)),"")</f>
        <v>312</v>
      </c>
      <c r="J130" s="228">
        <f>IF(ISNUMBER(J$115),INDEX('Weekly Summary'!$D$134:$BD$135,1,MATCH(J$115,'Weekly Summary'!$D$40:$BD$40,0)),"")</f>
        <v>312</v>
      </c>
      <c r="K130" s="228">
        <f>IF(ISNUMBER(K$115),INDEX('Weekly Summary'!$D$134:$BD$135,1,MATCH(K$115,'Weekly Summary'!$D$40:$BD$40,0)),"")</f>
        <v>312</v>
      </c>
      <c r="L130" s="228" t="str">
        <f>IF(ISNUMBER(L$115),INDEX('Weekly Summary'!$D$134:$BD$135,1,MATCH(L$115,'Weekly Summary'!$D$40:$BD$40,0)),"")</f>
        <v/>
      </c>
      <c r="M130" s="228" t="str">
        <f>IF(ISNUMBER(M$115),INDEX('Weekly Summary'!$D$134:$BD$135,1,MATCH(M$115,'Weekly Summary'!$D$40:$BD$40,0)),"")</f>
        <v/>
      </c>
      <c r="N130" s="228" t="str">
        <f>IF(ISNUMBER(N$115),INDEX('Weekly Summary'!$D$134:$BD$135,1,MATCH(N$115,'Weekly Summary'!$D$40:$BD$40,0)),"")</f>
        <v/>
      </c>
      <c r="O130" s="228" t="str">
        <f>IF(ISNUMBER(O$115),INDEX('Weekly Summary'!$D$134:$BD$135,1,MATCH(O$115,'Weekly Summary'!$D$40:$BD$40,0)),"")</f>
        <v/>
      </c>
      <c r="P130" s="228" t="str">
        <f>IF(ISNUMBER(P$115),INDEX('Weekly Summary'!$D$134:$BD$135,1,MATCH(P$115,'Weekly Summary'!$D$40:$BD$40,0)),"")</f>
        <v/>
      </c>
      <c r="Q130" s="228" t="str">
        <f>IF(ISNUMBER(Q$115),INDEX('Weekly Summary'!$D$134:$BD$135,1,MATCH(Q$115,'Weekly Summary'!$D$40:$BD$40,0)),"")</f>
        <v/>
      </c>
      <c r="R130" s="228" t="str">
        <f>IF(ISNUMBER(R$115),INDEX('Weekly Summary'!$D$134:$BD$135,1,MATCH(R$115,'Weekly Summary'!$D$40:$BD$40,0)),"")</f>
        <v/>
      </c>
      <c r="S130" s="228" t="str">
        <f>IF(ISNUMBER(S$115),INDEX('Weekly Summary'!$D$134:$BD$135,1,MATCH(S$115,'Weekly Summary'!$D$40:$BD$40,0)),"")</f>
        <v/>
      </c>
      <c r="T130" s="228" t="str">
        <f>IF(ISNUMBER(T$115),INDEX('Weekly Summary'!$D$134:$BD$135,1,MATCH(T$115,'Weekly Summary'!$D$40:$BD$40,0)),"")</f>
        <v/>
      </c>
      <c r="U130" s="228" t="str">
        <f>IF(ISNUMBER(U$115),INDEX('Weekly Summary'!$D$134:$BD$135,1,MATCH(U$115,'Weekly Summary'!$D$40:$BD$40,0)),"")</f>
        <v/>
      </c>
      <c r="V130" s="228" t="str">
        <f>IF(ISNUMBER(V$115),INDEX('Weekly Summary'!$D$134:$BD$135,1,MATCH(V$115,'Weekly Summary'!$D$40:$BD$40,0)),"")</f>
        <v/>
      </c>
      <c r="W130" s="228" t="str">
        <f>IF(ISNUMBER(W$115),INDEX('Weekly Summary'!$D$134:$BD$135,1,MATCH(W$115,'Weekly Summary'!$D$40:$BD$40,0)),"")</f>
        <v/>
      </c>
      <c r="X130" s="862" t="str">
        <f>IF(ISNUMBER(X$115),INDEX('Weekly Summary'!$D$134:$BD$135,1,MATCH(X$115,'Weekly Summary'!$D$40:$BD$40,0)),"")</f>
        <v/>
      </c>
      <c r="Y130" s="228" t="str">
        <f>IF(ISNUMBER(Y$115),INDEX('Weekly Summary'!$D$134:$BD$135,1,MATCH(Y$115,'Weekly Summary'!$D$40:$BD$40,0)),"")</f>
        <v/>
      </c>
      <c r="Z130" s="228" t="str">
        <f>IF(ISNUMBER(Z$115),INDEX('Weekly Summary'!$D$134:$BD$135,1,MATCH(Z$115,'Weekly Summary'!$D$40:$BD$40,0)),"")</f>
        <v/>
      </c>
      <c r="AA130" s="228" t="str">
        <f>IF(ISNUMBER(AA$115),INDEX('Weekly Summary'!$D$134:$BD$135,1,MATCH(AA$115,'Weekly Summary'!$D$40:$BD$40,0)),"")</f>
        <v/>
      </c>
      <c r="AB130" s="228" t="str">
        <f>IF(ISNUMBER(AB$115),INDEX('Weekly Summary'!$D$134:$BD$135,1,MATCH(AB$115,'Weekly Summary'!$D$40:$BD$40,0)),"")</f>
        <v/>
      </c>
      <c r="AC130" s="228" t="str">
        <f>IF(ISNUMBER(AC$115),INDEX('Weekly Summary'!$D$134:$BD$135,1,MATCH(AC$115,'Weekly Summary'!$D$40:$BD$40,0)),"")</f>
        <v/>
      </c>
      <c r="AD130" s="228" t="str">
        <f>IF(ISNUMBER(AD$115),INDEX('Weekly Summary'!$D$134:$BD$135,1,MATCH(AD$115,'Weekly Summary'!$D$40:$BD$40,0)),"")</f>
        <v/>
      </c>
      <c r="AE130" s="228" t="str">
        <f>IF(ISNUMBER(AE$115),INDEX('Weekly Summary'!$D$134:$BD$135,1,MATCH(AE$115,'Weekly Summary'!$D$40:$BD$40,0)),"")</f>
        <v/>
      </c>
      <c r="AF130" s="228" t="str">
        <f>IF(ISNUMBER(AF$115),INDEX('Weekly Summary'!$D$134:$BD$135,1,MATCH(AF$115,'Weekly Summary'!$D$40:$BD$40,0)),"")</f>
        <v/>
      </c>
      <c r="AG130" s="228" t="str">
        <f>IF(ISNUMBER(AG$115),INDEX('Weekly Summary'!$D$134:$BD$135,1,MATCH(AG$115,'Weekly Summary'!$D$40:$BD$40,0)),"")</f>
        <v/>
      </c>
      <c r="AH130" s="228" t="str">
        <f>IF(ISNUMBER(AH$115),INDEX('Weekly Summary'!$D$134:$BD$135,1,MATCH(AH$115,'Weekly Summary'!$D$40:$BD$40,0)),"")</f>
        <v/>
      </c>
      <c r="AI130" s="228" t="str">
        <f>IF(ISNUMBER(AI$115),INDEX('Weekly Summary'!$D$134:$BD$135,1,MATCH(AI$115,'Weekly Summary'!$D$40:$BD$40,0)),"")</f>
        <v/>
      </c>
      <c r="AJ130" s="228" t="str">
        <f>IF(ISNUMBER(AJ$115),INDEX('Weekly Summary'!$D$134:$BD$135,1,MATCH(AJ$115,'Weekly Summary'!$D$40:$BD$40,0)),"")</f>
        <v/>
      </c>
      <c r="AK130" s="228" t="str">
        <f>IF(ISNUMBER(AK$115),INDEX('Weekly Summary'!$D$134:$BD$135,1,MATCH(AK$115,'Weekly Summary'!$D$40:$BD$40,0)),"")</f>
        <v/>
      </c>
      <c r="AL130" s="228" t="str">
        <f>IF(ISNUMBER(AL$115),INDEX('Weekly Summary'!$D$134:$BD$135,1,MATCH(AL$115,'Weekly Summary'!$D$40:$BD$40,0)),"")</f>
        <v/>
      </c>
      <c r="AM130" s="228" t="str">
        <f>IF(ISNUMBER(AM$115),INDEX('Weekly Summary'!$D$134:$BD$135,1,MATCH(AM$115,'Weekly Summary'!$D$40:$BD$40,0)),"")</f>
        <v/>
      </c>
      <c r="AN130" s="228" t="str">
        <f>IF(ISNUMBER(AN$115),INDEX('Weekly Summary'!$D$134:$BD$135,1,MATCH(AN$115,'Weekly Summary'!$D$40:$BD$40,0)),"")</f>
        <v/>
      </c>
      <c r="AO130" s="228" t="str">
        <f>IF(ISNUMBER(AO$115),INDEX('Weekly Summary'!$D$134:$BD$135,1,MATCH(AO$115,'Weekly Summary'!$D$40:$BD$40,0)),"")</f>
        <v/>
      </c>
      <c r="AP130" s="228" t="str">
        <f>IF(ISNUMBER(AP$115),INDEX('Weekly Summary'!$D$134:$BD$135,1,MATCH(AP$115,'Weekly Summary'!$D$40:$BD$40,0)),"")</f>
        <v/>
      </c>
      <c r="AQ130" s="228" t="str">
        <f>IF(ISNUMBER(AQ$115),INDEX('Weekly Summary'!$D$134:$BD$135,1,MATCH(AQ$115,'Weekly Summary'!$D$40:$BD$40,0)),"")</f>
        <v/>
      </c>
      <c r="AR130" s="228" t="str">
        <f>IF(ISNUMBER(AR$115),INDEX('Weekly Summary'!$D$134:$BD$135,1,MATCH(AR$115,'Weekly Summary'!$D$40:$BD$40,0)),"")</f>
        <v/>
      </c>
      <c r="AS130" s="228" t="str">
        <f>IF(ISNUMBER(AS$115),INDEX('Weekly Summary'!$D$134:$BD$135,1,MATCH(AS$115,'Weekly Summary'!$D$40:$BD$40,0)),"")</f>
        <v/>
      </c>
      <c r="AT130" s="228" t="str">
        <f>IF(ISNUMBER(AT$115),INDEX('Weekly Summary'!$D$134:$BD$135,1,MATCH(AT$115,'Weekly Summary'!$D$40:$BD$40,0)),"")</f>
        <v/>
      </c>
      <c r="AU130" s="228" t="str">
        <f>IF(ISNUMBER(AU$115),INDEX('Weekly Summary'!$D$134:$BD$135,1,MATCH(AU$115,'Weekly Summary'!$D$40:$BD$40,0)),"")</f>
        <v/>
      </c>
      <c r="AV130" s="228" t="str">
        <f>IF(ISNUMBER(AV$115),INDEX('Weekly Summary'!$D$134:$BD$135,1,MATCH(AV$115,'Weekly Summary'!$D$40:$BD$40,0)),"")</f>
        <v/>
      </c>
      <c r="AW130" s="228" t="str">
        <f>IF(ISNUMBER(AW$115),INDEX('Weekly Summary'!$D$134:$BD$135,1,MATCH(AW$115,'Weekly Summary'!$D$40:$BD$40,0)),"")</f>
        <v/>
      </c>
      <c r="AX130" s="228" t="str">
        <f>IF(ISNUMBER(AX$115),INDEX('Weekly Summary'!$D$134:$BD$135,1,MATCH(AX$115,'Weekly Summary'!$D$40:$BD$40,0)),"")</f>
        <v/>
      </c>
      <c r="AY130" s="228" t="str">
        <f>IF(ISNUMBER(AY$115),INDEX('Weekly Summary'!$D$134:$BD$135,1,MATCH(AY$115,'Weekly Summary'!$D$40:$BD$40,0)),"")</f>
        <v/>
      </c>
      <c r="AZ130" s="228" t="str">
        <f>IF(ISNUMBER(AZ$115),INDEX('Weekly Summary'!$D$134:$BD$135,1,MATCH(AZ$115,'Weekly Summary'!$D$40:$BD$40,0)),"")</f>
        <v/>
      </c>
      <c r="BA130" s="228" t="str">
        <f>IF(ISNUMBER(BA$115),INDEX('Weekly Summary'!$D$134:$BD$135,1,MATCH(BA$115,'Weekly Summary'!$D$40:$BD$40,0)),"")</f>
        <v/>
      </c>
      <c r="BB130" s="228" t="str">
        <f>IF(ISNUMBER(BB$115),INDEX('Weekly Summary'!$D$134:$BD$135,1,MATCH(BB$115,'Weekly Summary'!$D$40:$BD$40,0)),"")</f>
        <v/>
      </c>
      <c r="BC130" s="228" t="str">
        <f>IF(ISNUMBER(BC$115),INDEX('Weekly Summary'!$D$134:$BD$135,1,MATCH(BC$115,'Weekly Summary'!$D$40:$BD$40,0)),"")</f>
        <v/>
      </c>
      <c r="BD130" s="228" t="str">
        <f>IF(ISNUMBER(BD$115),INDEX('Weekly Summary'!$D$134:$BD$135,1,MATCH(BD$115,'Weekly Summary'!$D$40:$BD$40,0)),"")</f>
        <v/>
      </c>
      <c r="BE130" s="93"/>
      <c r="BF130" s="93"/>
      <c r="BG130" s="93"/>
      <c r="BH130" s="93"/>
      <c r="BI130" s="93"/>
      <c r="BJ130" s="93"/>
      <c r="BK130" s="93"/>
      <c r="BL130" s="93"/>
      <c r="BM130" s="93"/>
      <c r="BN130" s="645"/>
    </row>
    <row r="131" spans="1:66" ht="15" thickBot="1" x14ac:dyDescent="0.4">
      <c r="B131" s="1542"/>
      <c r="C131" s="120" t="s">
        <v>1447</v>
      </c>
      <c r="D131" s="121"/>
      <c r="E131" s="121"/>
      <c r="F131" s="646">
        <f>IF(ISNUMBER(F$115),INDEX('Weekly Summary'!$D$134:$BD$135,2,MATCH(F$115,'Weekly Summary'!$D$40:$BD$40,0)),"")</f>
        <v>110</v>
      </c>
      <c r="G131" s="646">
        <f>IF(ISNUMBER(G$115),INDEX('Weekly Summary'!$D$134:$BD$135,2,MATCH(G$115,'Weekly Summary'!$D$40:$BD$40,0)),"")</f>
        <v>110</v>
      </c>
      <c r="H131" s="646">
        <f>IF(ISNUMBER(H$115),INDEX('Weekly Summary'!$D$134:$BD$135,2,MATCH(H$115,'Weekly Summary'!$D$40:$BD$40,0)),"")</f>
        <v>110</v>
      </c>
      <c r="I131" s="646">
        <f>IF(ISNUMBER(I$115),INDEX('Weekly Summary'!$D$134:$BD$135,2,MATCH(I$115,'Weekly Summary'!$D$40:$BD$40,0)),"")</f>
        <v>110</v>
      </c>
      <c r="J131" s="646">
        <f>IF(ISNUMBER(J$115),INDEX('Weekly Summary'!$D$134:$BD$135,2,MATCH(J$115,'Weekly Summary'!$D$40:$BD$40,0)),"")</f>
        <v>110</v>
      </c>
      <c r="K131" s="646">
        <f>IF(ISNUMBER(K$115),INDEX('Weekly Summary'!$D$134:$BD$135,2,MATCH(K$115,'Weekly Summary'!$D$40:$BD$40,0)),"")</f>
        <v>110</v>
      </c>
      <c r="L131" s="646" t="str">
        <f>IF(ISNUMBER(L$115),INDEX('Weekly Summary'!$D$134:$BD$135,2,MATCH(L$115,'Weekly Summary'!$D$40:$BD$40,0)),"")</f>
        <v/>
      </c>
      <c r="M131" s="646" t="str">
        <f>IF(ISNUMBER(M$115),INDEX('Weekly Summary'!$D$134:$BD$135,2,MATCH(M$115,'Weekly Summary'!$D$40:$BD$40,0)),"")</f>
        <v/>
      </c>
      <c r="N131" s="646" t="str">
        <f>IF(ISNUMBER(N$115),INDEX('Weekly Summary'!$D$134:$BD$135,2,MATCH(N$115,'Weekly Summary'!$D$40:$BD$40,0)),"")</f>
        <v/>
      </c>
      <c r="O131" s="646" t="str">
        <f>IF(ISNUMBER(O$115),INDEX('Weekly Summary'!$D$134:$BD$135,2,MATCH(O$115,'Weekly Summary'!$D$40:$BD$40,0)),"")</f>
        <v/>
      </c>
      <c r="P131" s="646" t="str">
        <f>IF(ISNUMBER(P$115),INDEX('Weekly Summary'!$D$134:$BD$135,2,MATCH(P$115,'Weekly Summary'!$D$40:$BD$40,0)),"")</f>
        <v/>
      </c>
      <c r="Q131" s="646" t="str">
        <f>IF(ISNUMBER(Q$115),INDEX('Weekly Summary'!$D$134:$BD$135,2,MATCH(Q$115,'Weekly Summary'!$D$40:$BD$40,0)),"")</f>
        <v/>
      </c>
      <c r="R131" s="646" t="str">
        <f>IF(ISNUMBER(R$115),INDEX('Weekly Summary'!$D$134:$BD$135,2,MATCH(R$115,'Weekly Summary'!$D$40:$BD$40,0)),"")</f>
        <v/>
      </c>
      <c r="S131" s="646" t="str">
        <f>IF(ISNUMBER(S$115),INDEX('Weekly Summary'!$D$134:$BD$135,2,MATCH(S$115,'Weekly Summary'!$D$40:$BD$40,0)),"")</f>
        <v/>
      </c>
      <c r="T131" s="646" t="str">
        <f>IF(ISNUMBER(T$115),INDEX('Weekly Summary'!$D$134:$BD$135,2,MATCH(T$115,'Weekly Summary'!$D$40:$BD$40,0)),"")</f>
        <v/>
      </c>
      <c r="U131" s="646" t="str">
        <f>IF(ISNUMBER(U$115),INDEX('Weekly Summary'!$D$134:$BD$135,2,MATCH(U$115,'Weekly Summary'!$D$40:$BD$40,0)),"")</f>
        <v/>
      </c>
      <c r="V131" s="646" t="str">
        <f>IF(ISNUMBER(V$115),INDEX('Weekly Summary'!$D$134:$BD$135,2,MATCH(V$115,'Weekly Summary'!$D$40:$BD$40,0)),"")</f>
        <v/>
      </c>
      <c r="W131" s="646" t="str">
        <f>IF(ISNUMBER(W$115),INDEX('Weekly Summary'!$D$134:$BD$135,2,MATCH(W$115,'Weekly Summary'!$D$40:$BD$40,0)),"")</f>
        <v/>
      </c>
      <c r="X131" s="865" t="str">
        <f>IF(ISNUMBER(X$115),INDEX('Weekly Summary'!$D$134:$BD$135,2,MATCH(X$115,'Weekly Summary'!$D$40:$BD$40,0)),"")</f>
        <v/>
      </c>
      <c r="Y131" s="646" t="str">
        <f>IF(ISNUMBER(Y$115),INDEX('Weekly Summary'!$D$134:$BD$135,2,MATCH(Y$115,'Weekly Summary'!$D$40:$BD$40,0)),"")</f>
        <v/>
      </c>
      <c r="Z131" s="646" t="str">
        <f>IF(ISNUMBER(Z$115),INDEX('Weekly Summary'!$D$134:$BD$135,2,MATCH(Z$115,'Weekly Summary'!$D$40:$BD$40,0)),"")</f>
        <v/>
      </c>
      <c r="AA131" s="646" t="str">
        <f>IF(ISNUMBER(AA$115),INDEX('Weekly Summary'!$D$134:$BD$135,2,MATCH(AA$115,'Weekly Summary'!$D$40:$BD$40,0)),"")</f>
        <v/>
      </c>
      <c r="AB131" s="646" t="str">
        <f>IF(ISNUMBER(AB$115),INDEX('Weekly Summary'!$D$134:$BD$135,2,MATCH(AB$115,'Weekly Summary'!$D$40:$BD$40,0)),"")</f>
        <v/>
      </c>
      <c r="AC131" s="646" t="str">
        <f>IF(ISNUMBER(AC$115),INDEX('Weekly Summary'!$D$134:$BD$135,2,MATCH(AC$115,'Weekly Summary'!$D$40:$BD$40,0)),"")</f>
        <v/>
      </c>
      <c r="AD131" s="646" t="str">
        <f>IF(ISNUMBER(AD$115),INDEX('Weekly Summary'!$D$134:$BD$135,2,MATCH(AD$115,'Weekly Summary'!$D$40:$BD$40,0)),"")</f>
        <v/>
      </c>
      <c r="AE131" s="646" t="str">
        <f>IF(ISNUMBER(AE$115),INDEX('Weekly Summary'!$D$134:$BD$135,2,MATCH(AE$115,'Weekly Summary'!$D$40:$BD$40,0)),"")</f>
        <v/>
      </c>
      <c r="AF131" s="646" t="str">
        <f>IF(ISNUMBER(AF$115),INDEX('Weekly Summary'!$D$134:$BD$135,2,MATCH(AF$115,'Weekly Summary'!$D$40:$BD$40,0)),"")</f>
        <v/>
      </c>
      <c r="AG131" s="646" t="str">
        <f>IF(ISNUMBER(AG$115),INDEX('Weekly Summary'!$D$134:$BD$135,2,MATCH(AG$115,'Weekly Summary'!$D$40:$BD$40,0)),"")</f>
        <v/>
      </c>
      <c r="AH131" s="646" t="str">
        <f>IF(ISNUMBER(AH$115),INDEX('Weekly Summary'!$D$134:$BD$135,2,MATCH(AH$115,'Weekly Summary'!$D$40:$BD$40,0)),"")</f>
        <v/>
      </c>
      <c r="AI131" s="646" t="str">
        <f>IF(ISNUMBER(AI$115),INDEX('Weekly Summary'!$D$134:$BD$135,2,MATCH(AI$115,'Weekly Summary'!$D$40:$BD$40,0)),"")</f>
        <v/>
      </c>
      <c r="AJ131" s="646" t="str">
        <f>IF(ISNUMBER(AJ$115),INDEX('Weekly Summary'!$D$134:$BD$135,2,MATCH(AJ$115,'Weekly Summary'!$D$40:$BD$40,0)),"")</f>
        <v/>
      </c>
      <c r="AK131" s="646" t="str">
        <f>IF(ISNUMBER(AK$115),INDEX('Weekly Summary'!$D$134:$BD$135,2,MATCH(AK$115,'Weekly Summary'!$D$40:$BD$40,0)),"")</f>
        <v/>
      </c>
      <c r="AL131" s="646" t="str">
        <f>IF(ISNUMBER(AL$115),INDEX('Weekly Summary'!$D$134:$BD$135,2,MATCH(AL$115,'Weekly Summary'!$D$40:$BD$40,0)),"")</f>
        <v/>
      </c>
      <c r="AM131" s="646" t="str">
        <f>IF(ISNUMBER(AM$115),INDEX('Weekly Summary'!$D$134:$BD$135,2,MATCH(AM$115,'Weekly Summary'!$D$40:$BD$40,0)),"")</f>
        <v/>
      </c>
      <c r="AN131" s="646" t="str">
        <f>IF(ISNUMBER(AN$115),INDEX('Weekly Summary'!$D$134:$BD$135,2,MATCH(AN$115,'Weekly Summary'!$D$40:$BD$40,0)),"")</f>
        <v/>
      </c>
      <c r="AO131" s="646" t="str">
        <f>IF(ISNUMBER(AO$115),INDEX('Weekly Summary'!$D$134:$BD$135,2,MATCH(AO$115,'Weekly Summary'!$D$40:$BD$40,0)),"")</f>
        <v/>
      </c>
      <c r="AP131" s="646" t="str">
        <f>IF(ISNUMBER(AP$115),INDEX('Weekly Summary'!$D$134:$BD$135,2,MATCH(AP$115,'Weekly Summary'!$D$40:$BD$40,0)),"")</f>
        <v/>
      </c>
      <c r="AQ131" s="646" t="str">
        <f>IF(ISNUMBER(AQ$115),INDEX('Weekly Summary'!$D$134:$BD$135,2,MATCH(AQ$115,'Weekly Summary'!$D$40:$BD$40,0)),"")</f>
        <v/>
      </c>
      <c r="AR131" s="646" t="str">
        <f>IF(ISNUMBER(AR$115),INDEX('Weekly Summary'!$D$134:$BD$135,2,MATCH(AR$115,'Weekly Summary'!$D$40:$BD$40,0)),"")</f>
        <v/>
      </c>
      <c r="AS131" s="646" t="str">
        <f>IF(ISNUMBER(AS$115),INDEX('Weekly Summary'!$D$134:$BD$135,2,MATCH(AS$115,'Weekly Summary'!$D$40:$BD$40,0)),"")</f>
        <v/>
      </c>
      <c r="AT131" s="646" t="str">
        <f>IF(ISNUMBER(AT$115),INDEX('Weekly Summary'!$D$134:$BD$135,2,MATCH(AT$115,'Weekly Summary'!$D$40:$BD$40,0)),"")</f>
        <v/>
      </c>
      <c r="AU131" s="646" t="str">
        <f>IF(ISNUMBER(AU$115),INDEX('Weekly Summary'!$D$134:$BD$135,2,MATCH(AU$115,'Weekly Summary'!$D$40:$BD$40,0)),"")</f>
        <v/>
      </c>
      <c r="AV131" s="646" t="str">
        <f>IF(ISNUMBER(AV$115),INDEX('Weekly Summary'!$D$134:$BD$135,2,MATCH(AV$115,'Weekly Summary'!$D$40:$BD$40,0)),"")</f>
        <v/>
      </c>
      <c r="AW131" s="646" t="str">
        <f>IF(ISNUMBER(AW$115),INDEX('Weekly Summary'!$D$134:$BD$135,2,MATCH(AW$115,'Weekly Summary'!$D$40:$BD$40,0)),"")</f>
        <v/>
      </c>
      <c r="AX131" s="646" t="str">
        <f>IF(ISNUMBER(AX$115),INDEX('Weekly Summary'!$D$134:$BD$135,2,MATCH(AX$115,'Weekly Summary'!$D$40:$BD$40,0)),"")</f>
        <v/>
      </c>
      <c r="AY131" s="646" t="str">
        <f>IF(ISNUMBER(AY$115),INDEX('Weekly Summary'!$D$134:$BD$135,2,MATCH(AY$115,'Weekly Summary'!$D$40:$BD$40,0)),"")</f>
        <v/>
      </c>
      <c r="AZ131" s="646" t="str">
        <f>IF(ISNUMBER(AZ$115),INDEX('Weekly Summary'!$D$134:$BD$135,2,MATCH(AZ$115,'Weekly Summary'!$D$40:$BD$40,0)),"")</f>
        <v/>
      </c>
      <c r="BA131" s="646" t="str">
        <f>IF(ISNUMBER(BA$115),INDEX('Weekly Summary'!$D$134:$BD$135,2,MATCH(BA$115,'Weekly Summary'!$D$40:$BD$40,0)),"")</f>
        <v/>
      </c>
      <c r="BB131" s="646" t="str">
        <f>IF(ISNUMBER(BB$115),INDEX('Weekly Summary'!$D$134:$BD$135,2,MATCH(BB$115,'Weekly Summary'!$D$40:$BD$40,0)),"")</f>
        <v/>
      </c>
      <c r="BC131" s="646" t="str">
        <f>IF(ISNUMBER(BC$115),INDEX('Weekly Summary'!$D$134:$BD$135,2,MATCH(BC$115,'Weekly Summary'!$D$40:$BD$40,0)),"")</f>
        <v/>
      </c>
      <c r="BD131" s="646" t="str">
        <f>IF(ISNUMBER(BD$115),INDEX('Weekly Summary'!$D$134:$BD$135,2,MATCH(BD$115,'Weekly Summary'!$D$40:$BD$40,0)),"")</f>
        <v/>
      </c>
      <c r="BE131" s="121"/>
      <c r="BF131" s="121"/>
      <c r="BG131" s="121"/>
      <c r="BH131" s="121"/>
      <c r="BI131" s="121"/>
      <c r="BJ131" s="121"/>
      <c r="BK131" s="121"/>
      <c r="BL131" s="121"/>
      <c r="BM131" s="121"/>
      <c r="BN131" s="647"/>
    </row>
    <row r="133" spans="1:66" s="86" customFormat="1" ht="17" x14ac:dyDescent="0.4">
      <c r="B133" s="87" t="s">
        <v>1528</v>
      </c>
      <c r="C133" s="88"/>
      <c r="X133" s="686"/>
    </row>
    <row r="134" spans="1:66" ht="15" thickBot="1" x14ac:dyDescent="0.4">
      <c r="B134" s="732" t="s">
        <v>1681</v>
      </c>
      <c r="C134" s="6"/>
      <c r="D134" s="6"/>
      <c r="E134" s="6"/>
    </row>
    <row r="135" spans="1:66" s="124" customFormat="1" ht="30.65" customHeight="1" thickBot="1" x14ac:dyDescent="0.4">
      <c r="B135" s="889" t="s">
        <v>737</v>
      </c>
      <c r="C135" s="1471" t="s">
        <v>1686</v>
      </c>
      <c r="D135" s="1472"/>
      <c r="E135" s="1473"/>
      <c r="F135" s="575" t="str">
        <f>F120</f>
        <v>First week of forecast</v>
      </c>
      <c r="G135" s="574" t="str">
        <f t="shared" ref="G135:BD135" si="18">G120</f>
        <v>Week 2 of forecast</v>
      </c>
      <c r="H135" s="574" t="str">
        <f t="shared" si="18"/>
        <v>Week 3 of forecast</v>
      </c>
      <c r="I135" s="574" t="str">
        <f t="shared" si="18"/>
        <v>Week 4 of forecast</v>
      </c>
      <c r="J135" s="574" t="str">
        <f t="shared" si="18"/>
        <v>Week 5 of forecast</v>
      </c>
      <c r="K135" s="574" t="str">
        <f t="shared" si="18"/>
        <v>Week 6 of forecast</v>
      </c>
      <c r="L135" s="574" t="str">
        <f t="shared" si="18"/>
        <v>Week 7 of forecast</v>
      </c>
      <c r="M135" s="574" t="str">
        <f t="shared" si="18"/>
        <v>Week 8 of forecast</v>
      </c>
      <c r="N135" s="575" t="str">
        <f t="shared" si="18"/>
        <v>Week 9 of forecast</v>
      </c>
      <c r="O135" s="575" t="str">
        <f t="shared" si="18"/>
        <v>Week 10 of forecast</v>
      </c>
      <c r="P135" s="575" t="str">
        <f t="shared" si="18"/>
        <v>Week 11 of forecast</v>
      </c>
      <c r="Q135" s="575" t="str">
        <f t="shared" si="18"/>
        <v>Week 12 of forecast</v>
      </c>
      <c r="R135" s="575" t="str">
        <f t="shared" si="18"/>
        <v>Week 13 of forecast</v>
      </c>
      <c r="S135" s="575" t="str">
        <f t="shared" si="18"/>
        <v>Week 14 of forecast</v>
      </c>
      <c r="T135" s="575" t="str">
        <f t="shared" si="18"/>
        <v>Week 15 of forecast</v>
      </c>
      <c r="U135" s="575" t="str">
        <f t="shared" si="18"/>
        <v>Week 16 of forecast</v>
      </c>
      <c r="V135" s="575" t="str">
        <f t="shared" si="18"/>
        <v>Week 17 of forecast</v>
      </c>
      <c r="W135" s="575" t="str">
        <f t="shared" si="18"/>
        <v>Week 18 of forecast</v>
      </c>
      <c r="X135" s="575" t="str">
        <f t="shared" si="18"/>
        <v>Week 19 of forecast</v>
      </c>
      <c r="Y135" s="575" t="str">
        <f t="shared" si="18"/>
        <v>Week 20 of forecast</v>
      </c>
      <c r="Z135" s="575" t="str">
        <f t="shared" si="18"/>
        <v>Week 21 of forecast</v>
      </c>
      <c r="AA135" s="575" t="str">
        <f t="shared" si="18"/>
        <v>Week 22 of forecast</v>
      </c>
      <c r="AB135" s="575" t="str">
        <f t="shared" si="18"/>
        <v>Week 23 of forecast</v>
      </c>
      <c r="AC135" s="575" t="str">
        <f t="shared" si="18"/>
        <v>Week 24 of forecast</v>
      </c>
      <c r="AD135" s="575" t="str">
        <f t="shared" si="18"/>
        <v>Week 25 of forecast</v>
      </c>
      <c r="AE135" s="575" t="str">
        <f t="shared" si="18"/>
        <v>Week 26 of forecast</v>
      </c>
      <c r="AF135" s="575" t="str">
        <f t="shared" si="18"/>
        <v>Week 27 of forecast</v>
      </c>
      <c r="AG135" s="575" t="str">
        <f t="shared" si="18"/>
        <v>Week 28 of forecast</v>
      </c>
      <c r="AH135" s="575" t="str">
        <f t="shared" si="18"/>
        <v>Week 29 of forecast</v>
      </c>
      <c r="AI135" s="575" t="str">
        <f t="shared" si="18"/>
        <v>Week 30 of forecast</v>
      </c>
      <c r="AJ135" s="575" t="str">
        <f t="shared" si="18"/>
        <v>Week 31 of forecast</v>
      </c>
      <c r="AK135" s="575" t="str">
        <f t="shared" si="18"/>
        <v>Week 32 of forecast</v>
      </c>
      <c r="AL135" s="575" t="str">
        <f t="shared" si="18"/>
        <v>Week 33 of forecast</v>
      </c>
      <c r="AM135" s="575" t="str">
        <f t="shared" si="18"/>
        <v>Week 34 of forecast</v>
      </c>
      <c r="AN135" s="575" t="str">
        <f t="shared" si="18"/>
        <v>Week 35 of forecast</v>
      </c>
      <c r="AO135" s="575" t="str">
        <f t="shared" si="18"/>
        <v>Week 36 of forecast</v>
      </c>
      <c r="AP135" s="575" t="str">
        <f t="shared" si="18"/>
        <v>Week 37 of forecast</v>
      </c>
      <c r="AQ135" s="575" t="str">
        <f t="shared" si="18"/>
        <v>Week 38 of forecast</v>
      </c>
      <c r="AR135" s="575" t="str">
        <f t="shared" si="18"/>
        <v>Week 39 of forecast</v>
      </c>
      <c r="AS135" s="575" t="str">
        <f t="shared" si="18"/>
        <v>Week 40 of forecast</v>
      </c>
      <c r="AT135" s="575" t="str">
        <f t="shared" si="18"/>
        <v>Week 41 of forecast</v>
      </c>
      <c r="AU135" s="575" t="str">
        <f t="shared" si="18"/>
        <v>Week 42 of forecast</v>
      </c>
      <c r="AV135" s="575" t="str">
        <f t="shared" si="18"/>
        <v>Week 43 of forecast</v>
      </c>
      <c r="AW135" s="575" t="str">
        <f t="shared" si="18"/>
        <v>Week 44 of forecast</v>
      </c>
      <c r="AX135" s="575" t="str">
        <f t="shared" si="18"/>
        <v>Week 45 of forecast</v>
      </c>
      <c r="AY135" s="575" t="str">
        <f t="shared" si="18"/>
        <v>Week 46 of forecast</v>
      </c>
      <c r="AZ135" s="575" t="str">
        <f t="shared" si="18"/>
        <v>Week 47 of forecast</v>
      </c>
      <c r="BA135" s="575" t="str">
        <f t="shared" si="18"/>
        <v>Week 48 of forecast</v>
      </c>
      <c r="BB135" s="575" t="str">
        <f t="shared" si="18"/>
        <v>Week 49 of forecast</v>
      </c>
      <c r="BC135" s="575" t="str">
        <f t="shared" si="18"/>
        <v>Week 50 of forecast</v>
      </c>
      <c r="BD135" s="577" t="str">
        <f t="shared" si="18"/>
        <v>Week 51 of forecast</v>
      </c>
      <c r="BE135"/>
      <c r="BF135"/>
      <c r="BG135"/>
      <c r="BH135"/>
      <c r="BI135"/>
      <c r="BJ135"/>
      <c r="BK135"/>
      <c r="BL135"/>
      <c r="BM135"/>
      <c r="BN135"/>
    </row>
    <row r="136" spans="1:66" x14ac:dyDescent="0.35">
      <c r="B136" s="1538" t="s">
        <v>704</v>
      </c>
      <c r="C136" s="1012" t="s">
        <v>1682</v>
      </c>
      <c r="D136" s="1013"/>
      <c r="E136" s="1014"/>
      <c r="F136" s="578">
        <f ca="1">IF(ISNUMBER(F$115),INDEX('Weekly Summary'!$D$59:$BD$60,1,MATCH(F$115,'Weekly Summary'!$D$40:$BD$40,0)),"")</f>
        <v>0.44705811625212766</v>
      </c>
      <c r="G136" s="578">
        <f ca="1">IF(ISNUMBER(G$115),INDEX('Weekly Summary'!$D$59:$BD$60,1,MATCH(G$115,'Weekly Summary'!$D$40:$BD$40,0)),"")</f>
        <v>1.5363188504487368</v>
      </c>
      <c r="H136" s="578">
        <f ca="1">IF(ISNUMBER(H$115),INDEX('Weekly Summary'!$D$59:$BD$60,1,MATCH(H$115,'Weekly Summary'!$D$40:$BD$40,0)),"")</f>
        <v>5.2795211564764566</v>
      </c>
      <c r="I136" s="578">
        <f ca="1">IF(ISNUMBER(I$115),INDEX('Weekly Summary'!$D$59:$BD$60,1,MATCH(I$115,'Weekly Summary'!$D$40:$BD$40,0)),"")</f>
        <v>18.142338916799165</v>
      </c>
      <c r="J136" s="578">
        <f ca="1">IF(ISNUMBER(J$115),INDEX('Weekly Summary'!$D$59:$BD$60,1,MATCH(J$115,'Weekly Summary'!$D$40:$BD$40,0)),"")</f>
        <v>62.336500484542228</v>
      </c>
      <c r="K136" s="578">
        <f ca="1">IF(ISNUMBER(K$115),INDEX('Weekly Summary'!$D$59:$BD$60,1,MATCH(K$115,'Weekly Summary'!$D$40:$BD$40,0)),"")</f>
        <v>214.1022124010056</v>
      </c>
      <c r="L136" s="578" t="str">
        <f>IF(ISNUMBER(L$115),INDEX('Weekly Summary'!$D$59:$BD$60,1,MATCH(L$115,'Weekly Summary'!$D$40:$BD$40,0)),"")</f>
        <v/>
      </c>
      <c r="M136" s="578" t="str">
        <f>IF(ISNUMBER(M$115),INDEX('Weekly Summary'!$D$59:$BD$60,1,MATCH(M$115,'Weekly Summary'!$D$40:$BD$40,0)),"")</f>
        <v/>
      </c>
      <c r="N136" s="578" t="str">
        <f>IF(ISNUMBER(N$115),INDEX('Weekly Summary'!$D$59:$BD$60,1,MATCH(N$115,'Weekly Summary'!$D$40:$BD$40,0)),"")</f>
        <v/>
      </c>
      <c r="O136" s="578" t="str">
        <f>IF(ISNUMBER(O$115),INDEX('Weekly Summary'!$D$59:$BD$60,1,MATCH(O$115,'Weekly Summary'!$D$40:$BD$40,0)),"")</f>
        <v/>
      </c>
      <c r="P136" s="578" t="str">
        <f>IF(ISNUMBER(P$115),INDEX('Weekly Summary'!$D$59:$BD$60,1,MATCH(P$115,'Weekly Summary'!$D$40:$BD$40,0)),"")</f>
        <v/>
      </c>
      <c r="Q136" s="578" t="str">
        <f>IF(ISNUMBER(Q$115),INDEX('Weekly Summary'!$D$59:$BD$60,1,MATCH(Q$115,'Weekly Summary'!$D$40:$BD$40,0)),"")</f>
        <v/>
      </c>
      <c r="R136" s="578" t="str">
        <f>IF(ISNUMBER(R$115),INDEX('Weekly Summary'!$D$59:$BD$60,1,MATCH(R$115,'Weekly Summary'!$D$40:$BD$40,0)),"")</f>
        <v/>
      </c>
      <c r="S136" s="578" t="str">
        <f>IF(ISNUMBER(S$115),INDEX('Weekly Summary'!$D$59:$BD$60,1,MATCH(S$115,'Weekly Summary'!$D$40:$BD$40,0)),"")</f>
        <v/>
      </c>
      <c r="T136" s="578" t="str">
        <f>IF(ISNUMBER(T$115),INDEX('Weekly Summary'!$D$59:$BD$60,1,MATCH(T$115,'Weekly Summary'!$D$40:$BD$40,0)),"")</f>
        <v/>
      </c>
      <c r="U136" s="578" t="str">
        <f>IF(ISNUMBER(U$115),INDEX('Weekly Summary'!$D$59:$BD$60,1,MATCH(U$115,'Weekly Summary'!$D$40:$BD$40,0)),"")</f>
        <v/>
      </c>
      <c r="V136" s="578" t="str">
        <f>IF(ISNUMBER(V$115),INDEX('Weekly Summary'!$D$59:$BD$60,1,MATCH(V$115,'Weekly Summary'!$D$40:$BD$40,0)),"")</f>
        <v/>
      </c>
      <c r="W136" s="578" t="str">
        <f>IF(ISNUMBER(W$115),INDEX('Weekly Summary'!$D$59:$BD$60,1,MATCH(W$115,'Weekly Summary'!$D$40:$BD$40,0)),"")</f>
        <v/>
      </c>
      <c r="X136" s="687" t="str">
        <f>IF(ISNUMBER(X$115),INDEX('Weekly Summary'!$D$59:$BD$60,1,MATCH(X$115,'Weekly Summary'!$D$40:$BD$40,0)),"")</f>
        <v/>
      </c>
      <c r="Y136" s="578" t="str">
        <f>IF(ISNUMBER(Y$115),INDEX('Weekly Summary'!$D$59:$BD$60,1,MATCH(Y$115,'Weekly Summary'!$D$40:$BD$40,0)),"")</f>
        <v/>
      </c>
      <c r="Z136" s="578" t="str">
        <f>IF(ISNUMBER(Z$115),INDEX('Weekly Summary'!$D$59:$BD$60,1,MATCH(Z$115,'Weekly Summary'!$D$40:$BD$40,0)),"")</f>
        <v/>
      </c>
      <c r="AA136" s="578" t="str">
        <f>IF(ISNUMBER(AA$115),INDEX('Weekly Summary'!$D$59:$BD$60,1,MATCH(AA$115,'Weekly Summary'!$D$40:$BD$40,0)),"")</f>
        <v/>
      </c>
      <c r="AB136" s="578" t="str">
        <f>IF(ISNUMBER(AB$115),INDEX('Weekly Summary'!$D$59:$BD$60,1,MATCH(AB$115,'Weekly Summary'!$D$40:$BD$40,0)),"")</f>
        <v/>
      </c>
      <c r="AC136" s="578" t="str">
        <f>IF(ISNUMBER(AC$115),INDEX('Weekly Summary'!$D$59:$BD$60,1,MATCH(AC$115,'Weekly Summary'!$D$40:$BD$40,0)),"")</f>
        <v/>
      </c>
      <c r="AD136" s="578" t="str">
        <f>IF(ISNUMBER(AD$115),INDEX('Weekly Summary'!$D$59:$BD$60,1,MATCH(AD$115,'Weekly Summary'!$D$40:$BD$40,0)),"")</f>
        <v/>
      </c>
      <c r="AE136" s="578" t="str">
        <f>IF(ISNUMBER(AE$115),INDEX('Weekly Summary'!$D$59:$BD$60,1,MATCH(AE$115,'Weekly Summary'!$D$40:$BD$40,0)),"")</f>
        <v/>
      </c>
      <c r="AF136" s="578" t="str">
        <f>IF(ISNUMBER(AF$115),INDEX('Weekly Summary'!$D$59:$BD$60,1,MATCH(AF$115,'Weekly Summary'!$D$40:$BD$40,0)),"")</f>
        <v/>
      </c>
      <c r="AG136" s="578" t="str">
        <f>IF(ISNUMBER(AG$115),INDEX('Weekly Summary'!$D$59:$BD$60,1,MATCH(AG$115,'Weekly Summary'!$D$40:$BD$40,0)),"")</f>
        <v/>
      </c>
      <c r="AH136" s="578" t="str">
        <f>IF(ISNUMBER(AH$115),INDEX('Weekly Summary'!$D$59:$BD$60,1,MATCH(AH$115,'Weekly Summary'!$D$40:$BD$40,0)),"")</f>
        <v/>
      </c>
      <c r="AI136" s="578" t="str">
        <f>IF(ISNUMBER(AI$115),INDEX('Weekly Summary'!$D$59:$BD$60,1,MATCH(AI$115,'Weekly Summary'!$D$40:$BD$40,0)),"")</f>
        <v/>
      </c>
      <c r="AJ136" s="578" t="str">
        <f>IF(ISNUMBER(AJ$115),INDEX('Weekly Summary'!$D$59:$BD$60,1,MATCH(AJ$115,'Weekly Summary'!$D$40:$BD$40,0)),"")</f>
        <v/>
      </c>
      <c r="AK136" s="578" t="str">
        <f>IF(ISNUMBER(AK$115),INDEX('Weekly Summary'!$D$59:$BD$60,1,MATCH(AK$115,'Weekly Summary'!$D$40:$BD$40,0)),"")</f>
        <v/>
      </c>
      <c r="AL136" s="578" t="str">
        <f>IF(ISNUMBER(AL$115),INDEX('Weekly Summary'!$D$59:$BD$60,1,MATCH(AL$115,'Weekly Summary'!$D$40:$BD$40,0)),"")</f>
        <v/>
      </c>
      <c r="AM136" s="578" t="str">
        <f>IF(ISNUMBER(AM$115),INDEX('Weekly Summary'!$D$59:$BD$60,1,MATCH(AM$115,'Weekly Summary'!$D$40:$BD$40,0)),"")</f>
        <v/>
      </c>
      <c r="AN136" s="578" t="str">
        <f>IF(ISNUMBER(AN$115),INDEX('Weekly Summary'!$D$59:$BD$60,1,MATCH(AN$115,'Weekly Summary'!$D$40:$BD$40,0)),"")</f>
        <v/>
      </c>
      <c r="AO136" s="578" t="str">
        <f>IF(ISNUMBER(AO$115),INDEX('Weekly Summary'!$D$59:$BD$60,1,MATCH(AO$115,'Weekly Summary'!$D$40:$BD$40,0)),"")</f>
        <v/>
      </c>
      <c r="AP136" s="578" t="str">
        <f>IF(ISNUMBER(AP$115),INDEX('Weekly Summary'!$D$59:$BD$60,1,MATCH(AP$115,'Weekly Summary'!$D$40:$BD$40,0)),"")</f>
        <v/>
      </c>
      <c r="AQ136" s="578" t="str">
        <f>IF(ISNUMBER(AQ$115),INDEX('Weekly Summary'!$D$59:$BD$60,1,MATCH(AQ$115,'Weekly Summary'!$D$40:$BD$40,0)),"")</f>
        <v/>
      </c>
      <c r="AR136" s="578" t="str">
        <f>IF(ISNUMBER(AR$115),INDEX('Weekly Summary'!$D$59:$BD$60,1,MATCH(AR$115,'Weekly Summary'!$D$40:$BD$40,0)),"")</f>
        <v/>
      </c>
      <c r="AS136" s="578" t="str">
        <f>IF(ISNUMBER(AS$115),INDEX('Weekly Summary'!$D$59:$BD$60,1,MATCH(AS$115,'Weekly Summary'!$D$40:$BD$40,0)),"")</f>
        <v/>
      </c>
      <c r="AT136" s="578" t="str">
        <f>IF(ISNUMBER(AT$115),INDEX('Weekly Summary'!$D$59:$BD$60,1,MATCH(AT$115,'Weekly Summary'!$D$40:$BD$40,0)),"")</f>
        <v/>
      </c>
      <c r="AU136" s="578" t="str">
        <f>IF(ISNUMBER(AU$115),INDEX('Weekly Summary'!$D$59:$BD$60,1,MATCH(AU$115,'Weekly Summary'!$D$40:$BD$40,0)),"")</f>
        <v/>
      </c>
      <c r="AV136" s="578" t="str">
        <f>IF(ISNUMBER(AV$115),INDEX('Weekly Summary'!$D$59:$BD$60,1,MATCH(AV$115,'Weekly Summary'!$D$40:$BD$40,0)),"")</f>
        <v/>
      </c>
      <c r="AW136" s="578" t="str">
        <f>IF(ISNUMBER(AW$115),INDEX('Weekly Summary'!$D$59:$BD$60,1,MATCH(AW$115,'Weekly Summary'!$D$40:$BD$40,0)),"")</f>
        <v/>
      </c>
      <c r="AX136" s="578" t="str">
        <f>IF(ISNUMBER(AX$115),INDEX('Weekly Summary'!$D$59:$BD$60,1,MATCH(AX$115,'Weekly Summary'!$D$40:$BD$40,0)),"")</f>
        <v/>
      </c>
      <c r="AY136" s="578" t="str">
        <f>IF(ISNUMBER(AY$115),INDEX('Weekly Summary'!$D$59:$BD$60,1,MATCH(AY$115,'Weekly Summary'!$D$40:$BD$40,0)),"")</f>
        <v/>
      </c>
      <c r="AZ136" s="578" t="str">
        <f>IF(ISNUMBER(AZ$115),INDEX('Weekly Summary'!$D$59:$BD$60,1,MATCH(AZ$115,'Weekly Summary'!$D$40:$BD$40,0)),"")</f>
        <v/>
      </c>
      <c r="BA136" s="578" t="str">
        <f>IF(ISNUMBER(BA$115),INDEX('Weekly Summary'!$D$59:$BD$60,1,MATCH(BA$115,'Weekly Summary'!$D$40:$BD$40,0)),"")</f>
        <v/>
      </c>
      <c r="BB136" s="578" t="str">
        <f>IF(ISNUMBER(BB$115),INDEX('Weekly Summary'!$D$59:$BD$60,1,MATCH(BB$115,'Weekly Summary'!$D$40:$BD$40,0)),"")</f>
        <v/>
      </c>
      <c r="BC136" s="578" t="str">
        <f>IF(ISNUMBER(BC$115),INDEX('Weekly Summary'!$D$59:$BD$60,1,MATCH(BC$115,'Weekly Summary'!$D$40:$BD$40,0)),"")</f>
        <v/>
      </c>
      <c r="BD136" s="890" t="str">
        <f>IF(ISNUMBER(BD$115),INDEX('Weekly Summary'!$D$59:$BD$60,1,MATCH(BD$115,'Weekly Summary'!$D$40:$BD$40,0)),"")</f>
        <v/>
      </c>
      <c r="BE136"/>
    </row>
    <row r="137" spans="1:66" x14ac:dyDescent="0.35">
      <c r="B137" s="1539"/>
      <c r="C137" s="1015" t="s">
        <v>1544</v>
      </c>
      <c r="D137" s="6"/>
      <c r="E137" s="1016"/>
      <c r="F137" s="579">
        <f ca="1">IF(ISNUMBER(F$115),INDEX('Weekly Summary'!$D$64:$BD$65,1,MATCH(F$115,'Weekly Summary'!$D$40:$BD$40,0)),"")</f>
        <v>0.44705811625212766</v>
      </c>
      <c r="G137" s="579">
        <f ca="1">IF(ISNUMBER(G$115),INDEX('Weekly Summary'!$D$64:$BD$65,1,MATCH(G$115,'Weekly Summary'!$D$40:$BD$40,0)),"")</f>
        <v>1.5363188504487368</v>
      </c>
      <c r="H137" s="579">
        <f ca="1">IF(ISNUMBER(H$115),INDEX('Weekly Summary'!$D$64:$BD$65,1,MATCH(H$115,'Weekly Summary'!$D$40:$BD$40,0)),"")</f>
        <v>5.2795211564764566</v>
      </c>
      <c r="I137" s="579">
        <f ca="1">IF(ISNUMBER(I$115),INDEX('Weekly Summary'!$D$64:$BD$65,1,MATCH(I$115,'Weekly Summary'!$D$40:$BD$40,0)),"")</f>
        <v>18.142338916799165</v>
      </c>
      <c r="J137" s="579">
        <f ca="1">IF(ISNUMBER(J$115),INDEX('Weekly Summary'!$D$64:$BD$65,1,MATCH(J$115,'Weekly Summary'!$D$40:$BD$40,0)),"")</f>
        <v>62.336500484542228</v>
      </c>
      <c r="K137" s="579">
        <f ca="1">IF(ISNUMBER(K$115),INDEX('Weekly Summary'!$D$64:$BD$65,1,MATCH(K$115,'Weekly Summary'!$D$40:$BD$40,0)),"")</f>
        <v>214.1022124010056</v>
      </c>
      <c r="L137" s="579" t="str">
        <f>IF(ISNUMBER(L$115),INDEX('Weekly Summary'!$D$64:$BD$65,1,MATCH(L$115,'Weekly Summary'!$D$40:$BD$40,0)),"")</f>
        <v/>
      </c>
      <c r="M137" s="579" t="str">
        <f>IF(ISNUMBER(M$115),INDEX('Weekly Summary'!$D$64:$BD$65,1,MATCH(M$115,'Weekly Summary'!$D$40:$BD$40,0)),"")</f>
        <v/>
      </c>
      <c r="N137" s="579" t="str">
        <f>IF(ISNUMBER(N$115),INDEX('Weekly Summary'!$D$64:$BD$65,1,MATCH(N$115,'Weekly Summary'!$D$40:$BD$40,0)),"")</f>
        <v/>
      </c>
      <c r="O137" s="579" t="str">
        <f>IF(ISNUMBER(O$115),INDEX('Weekly Summary'!$D$64:$BD$65,1,MATCH(O$115,'Weekly Summary'!$D$40:$BD$40,0)),"")</f>
        <v/>
      </c>
      <c r="P137" s="579" t="str">
        <f>IF(ISNUMBER(P$115),INDEX('Weekly Summary'!$D$64:$BD$65,1,MATCH(P$115,'Weekly Summary'!$D$40:$BD$40,0)),"")</f>
        <v/>
      </c>
      <c r="Q137" s="579" t="str">
        <f>IF(ISNUMBER(Q$115),INDEX('Weekly Summary'!$D$64:$BD$65,1,MATCH(Q$115,'Weekly Summary'!$D$40:$BD$40,0)),"")</f>
        <v/>
      </c>
      <c r="R137" s="579" t="str">
        <f>IF(ISNUMBER(R$115),INDEX('Weekly Summary'!$D$64:$BD$65,1,MATCH(R$115,'Weekly Summary'!$D$40:$BD$40,0)),"")</f>
        <v/>
      </c>
      <c r="S137" s="579" t="str">
        <f>IF(ISNUMBER(S$115),INDEX('Weekly Summary'!$D$64:$BD$65,1,MATCH(S$115,'Weekly Summary'!$D$40:$BD$40,0)),"")</f>
        <v/>
      </c>
      <c r="T137" s="579" t="str">
        <f>IF(ISNUMBER(T$115),INDEX('Weekly Summary'!$D$64:$BD$65,1,MATCH(T$115,'Weekly Summary'!$D$40:$BD$40,0)),"")</f>
        <v/>
      </c>
      <c r="U137" s="579" t="str">
        <f>IF(ISNUMBER(U$115),INDEX('Weekly Summary'!$D$64:$BD$65,1,MATCH(U$115,'Weekly Summary'!$D$40:$BD$40,0)),"")</f>
        <v/>
      </c>
      <c r="V137" s="579" t="str">
        <f>IF(ISNUMBER(V$115),INDEX('Weekly Summary'!$D$64:$BD$65,1,MATCH(V$115,'Weekly Summary'!$D$40:$BD$40,0)),"")</f>
        <v/>
      </c>
      <c r="W137" s="579" t="str">
        <f>IF(ISNUMBER(W$115),INDEX('Weekly Summary'!$D$64:$BD$65,1,MATCH(W$115,'Weekly Summary'!$D$40:$BD$40,0)),"")</f>
        <v/>
      </c>
      <c r="X137" s="866" t="str">
        <f>IF(ISNUMBER(X$115),INDEX('Weekly Summary'!$D$64:$BD$65,1,MATCH(X$115,'Weekly Summary'!$D$40:$BD$40,0)),"")</f>
        <v/>
      </c>
      <c r="Y137" s="579" t="str">
        <f>IF(ISNUMBER(Y$115),INDEX('Weekly Summary'!$D$64:$BD$65,1,MATCH(Y$115,'Weekly Summary'!$D$40:$BD$40,0)),"")</f>
        <v/>
      </c>
      <c r="Z137" s="579" t="str">
        <f>IF(ISNUMBER(Z$115),INDEX('Weekly Summary'!$D$64:$BD$65,1,MATCH(Z$115,'Weekly Summary'!$D$40:$BD$40,0)),"")</f>
        <v/>
      </c>
      <c r="AA137" s="579" t="str">
        <f>IF(ISNUMBER(AA$115),INDEX('Weekly Summary'!$D$64:$BD$65,1,MATCH(AA$115,'Weekly Summary'!$D$40:$BD$40,0)),"")</f>
        <v/>
      </c>
      <c r="AB137" s="579" t="str">
        <f>IF(ISNUMBER(AB$115),INDEX('Weekly Summary'!$D$64:$BD$65,1,MATCH(AB$115,'Weekly Summary'!$D$40:$BD$40,0)),"")</f>
        <v/>
      </c>
      <c r="AC137" s="579" t="str">
        <f>IF(ISNUMBER(AC$115),INDEX('Weekly Summary'!$D$64:$BD$65,1,MATCH(AC$115,'Weekly Summary'!$D$40:$BD$40,0)),"")</f>
        <v/>
      </c>
      <c r="AD137" s="579" t="str">
        <f>IF(ISNUMBER(AD$115),INDEX('Weekly Summary'!$D$64:$BD$65,1,MATCH(AD$115,'Weekly Summary'!$D$40:$BD$40,0)),"")</f>
        <v/>
      </c>
      <c r="AE137" s="579" t="str">
        <f>IF(ISNUMBER(AE$115),INDEX('Weekly Summary'!$D$64:$BD$65,1,MATCH(AE$115,'Weekly Summary'!$D$40:$BD$40,0)),"")</f>
        <v/>
      </c>
      <c r="AF137" s="579" t="str">
        <f>IF(ISNUMBER(AF$115),INDEX('Weekly Summary'!$D$64:$BD$65,1,MATCH(AF$115,'Weekly Summary'!$D$40:$BD$40,0)),"")</f>
        <v/>
      </c>
      <c r="AG137" s="579" t="str">
        <f>IF(ISNUMBER(AG$115),INDEX('Weekly Summary'!$D$64:$BD$65,1,MATCH(AG$115,'Weekly Summary'!$D$40:$BD$40,0)),"")</f>
        <v/>
      </c>
      <c r="AH137" s="579" t="str">
        <f>IF(ISNUMBER(AH$115),INDEX('Weekly Summary'!$D$64:$BD$65,1,MATCH(AH$115,'Weekly Summary'!$D$40:$BD$40,0)),"")</f>
        <v/>
      </c>
      <c r="AI137" s="579" t="str">
        <f>IF(ISNUMBER(AI$115),INDEX('Weekly Summary'!$D$64:$BD$65,1,MATCH(AI$115,'Weekly Summary'!$D$40:$BD$40,0)),"")</f>
        <v/>
      </c>
      <c r="AJ137" s="579" t="str">
        <f>IF(ISNUMBER(AJ$115),INDEX('Weekly Summary'!$D$64:$BD$65,1,MATCH(AJ$115,'Weekly Summary'!$D$40:$BD$40,0)),"")</f>
        <v/>
      </c>
      <c r="AK137" s="579" t="str">
        <f>IF(ISNUMBER(AK$115),INDEX('Weekly Summary'!$D$64:$BD$65,1,MATCH(AK$115,'Weekly Summary'!$D$40:$BD$40,0)),"")</f>
        <v/>
      </c>
      <c r="AL137" s="579" t="str">
        <f>IF(ISNUMBER(AL$115),INDEX('Weekly Summary'!$D$64:$BD$65,1,MATCH(AL$115,'Weekly Summary'!$D$40:$BD$40,0)),"")</f>
        <v/>
      </c>
      <c r="AM137" s="579" t="str">
        <f>IF(ISNUMBER(AM$115),INDEX('Weekly Summary'!$D$64:$BD$65,1,MATCH(AM$115,'Weekly Summary'!$D$40:$BD$40,0)),"")</f>
        <v/>
      </c>
      <c r="AN137" s="579" t="str">
        <f>IF(ISNUMBER(AN$115),INDEX('Weekly Summary'!$D$64:$BD$65,1,MATCH(AN$115,'Weekly Summary'!$D$40:$BD$40,0)),"")</f>
        <v/>
      </c>
      <c r="AO137" s="579" t="str">
        <f>IF(ISNUMBER(AO$115),INDEX('Weekly Summary'!$D$64:$BD$65,1,MATCH(AO$115,'Weekly Summary'!$D$40:$BD$40,0)),"")</f>
        <v/>
      </c>
      <c r="AP137" s="579" t="str">
        <f>IF(ISNUMBER(AP$115),INDEX('Weekly Summary'!$D$64:$BD$65,1,MATCH(AP$115,'Weekly Summary'!$D$40:$BD$40,0)),"")</f>
        <v/>
      </c>
      <c r="AQ137" s="579" t="str">
        <f>IF(ISNUMBER(AQ$115),INDEX('Weekly Summary'!$D$64:$BD$65,1,MATCH(AQ$115,'Weekly Summary'!$D$40:$BD$40,0)),"")</f>
        <v/>
      </c>
      <c r="AR137" s="579" t="str">
        <f>IF(ISNUMBER(AR$115),INDEX('Weekly Summary'!$D$64:$BD$65,1,MATCH(AR$115,'Weekly Summary'!$D$40:$BD$40,0)),"")</f>
        <v/>
      </c>
      <c r="AS137" s="579" t="str">
        <f>IF(ISNUMBER(AS$115),INDEX('Weekly Summary'!$D$64:$BD$65,1,MATCH(AS$115,'Weekly Summary'!$D$40:$BD$40,0)),"")</f>
        <v/>
      </c>
      <c r="AT137" s="579" t="str">
        <f>IF(ISNUMBER(AT$115),INDEX('Weekly Summary'!$D$64:$BD$65,1,MATCH(AT$115,'Weekly Summary'!$D$40:$BD$40,0)),"")</f>
        <v/>
      </c>
      <c r="AU137" s="579" t="str">
        <f>IF(ISNUMBER(AU$115),INDEX('Weekly Summary'!$D$64:$BD$65,1,MATCH(AU$115,'Weekly Summary'!$D$40:$BD$40,0)),"")</f>
        <v/>
      </c>
      <c r="AV137" s="579" t="str">
        <f>IF(ISNUMBER(AV$115),INDEX('Weekly Summary'!$D$64:$BD$65,1,MATCH(AV$115,'Weekly Summary'!$D$40:$BD$40,0)),"")</f>
        <v/>
      </c>
      <c r="AW137" s="579" t="str">
        <f>IF(ISNUMBER(AW$115),INDEX('Weekly Summary'!$D$64:$BD$65,1,MATCH(AW$115,'Weekly Summary'!$D$40:$BD$40,0)),"")</f>
        <v/>
      </c>
      <c r="AX137" s="579" t="str">
        <f>IF(ISNUMBER(AX$115),INDEX('Weekly Summary'!$D$64:$BD$65,1,MATCH(AX$115,'Weekly Summary'!$D$40:$BD$40,0)),"")</f>
        <v/>
      </c>
      <c r="AY137" s="579" t="str">
        <f>IF(ISNUMBER(AY$115),INDEX('Weekly Summary'!$D$64:$BD$65,1,MATCH(AY$115,'Weekly Summary'!$D$40:$BD$40,0)),"")</f>
        <v/>
      </c>
      <c r="AZ137" s="579" t="str">
        <f>IF(ISNUMBER(AZ$115),INDEX('Weekly Summary'!$D$64:$BD$65,1,MATCH(AZ$115,'Weekly Summary'!$D$40:$BD$40,0)),"")</f>
        <v/>
      </c>
      <c r="BA137" s="579" t="str">
        <f>IF(ISNUMBER(BA$115),INDEX('Weekly Summary'!$D$64:$BD$65,1,MATCH(BA$115,'Weekly Summary'!$D$40:$BD$40,0)),"")</f>
        <v/>
      </c>
      <c r="BB137" s="579" t="str">
        <f>IF(ISNUMBER(BB$115),INDEX('Weekly Summary'!$D$64:$BD$65,1,MATCH(BB$115,'Weekly Summary'!$D$40:$BD$40,0)),"")</f>
        <v/>
      </c>
      <c r="BC137" s="579" t="str">
        <f>IF(ISNUMBER(BC$115),INDEX('Weekly Summary'!$D$64:$BD$65,1,MATCH(BC$115,'Weekly Summary'!$D$40:$BD$40,0)),"")</f>
        <v/>
      </c>
      <c r="BD137" s="891" t="str">
        <f>IF(ISNUMBER(BD$115),INDEX('Weekly Summary'!$D$64:$BD$65,1,MATCH(BD$115,'Weekly Summary'!$D$40:$BD$40,0)),"")</f>
        <v/>
      </c>
      <c r="BE137" s="129"/>
    </row>
    <row r="138" spans="1:66" x14ac:dyDescent="0.35">
      <c r="B138" s="1539"/>
      <c r="C138" s="1017" t="s">
        <v>1770</v>
      </c>
      <c r="D138" s="1018"/>
      <c r="E138" s="1019"/>
      <c r="F138" s="580">
        <f ca="1">F137/'Weekly Summary'!$D$12</f>
        <v>2.0768038826897509E-5</v>
      </c>
      <c r="G138" s="580">
        <f ca="1">G137/'Weekly Summary'!$D$12</f>
        <v>7.1369534243327949E-5</v>
      </c>
      <c r="H138" s="580">
        <f ca="1">H137/'Weekly Summary'!$D$12</f>
        <v>2.4525961251823725E-4</v>
      </c>
      <c r="I138" s="580">
        <f ca="1">I137/'Weekly Summary'!$D$12</f>
        <v>8.4280048910313353E-4</v>
      </c>
      <c r="J138" s="580">
        <f ca="1">J137/'Weekly Summary'!$D$12</f>
        <v>2.8958357209776459E-3</v>
      </c>
      <c r="K138" s="580">
        <f ca="1">K137/'Weekly Summary'!$D$12</f>
        <v>9.9460962644978695E-3</v>
      </c>
      <c r="L138" s="580" t="e">
        <f>L137/'Weekly Summary'!$D$12</f>
        <v>#VALUE!</v>
      </c>
      <c r="M138" s="580" t="e">
        <f>M137/'Weekly Summary'!$D$12</f>
        <v>#VALUE!</v>
      </c>
      <c r="N138" s="580" t="e">
        <f>N137/'Weekly Summary'!$D$12</f>
        <v>#VALUE!</v>
      </c>
      <c r="O138" s="580" t="e">
        <f>O137/'Weekly Summary'!$D$12</f>
        <v>#VALUE!</v>
      </c>
      <c r="P138" s="580" t="e">
        <f>P137/'Weekly Summary'!$D$12</f>
        <v>#VALUE!</v>
      </c>
      <c r="Q138" s="580" t="e">
        <f>Q137/'Weekly Summary'!$D$12</f>
        <v>#VALUE!</v>
      </c>
      <c r="R138" s="580" t="e">
        <f>R137/'Weekly Summary'!$D$12</f>
        <v>#VALUE!</v>
      </c>
      <c r="S138" s="580" t="e">
        <f>S137/'Weekly Summary'!$D$12</f>
        <v>#VALUE!</v>
      </c>
      <c r="T138" s="580" t="e">
        <f>T137/'Weekly Summary'!$D$12</f>
        <v>#VALUE!</v>
      </c>
      <c r="U138" s="580" t="e">
        <f>U137/'Weekly Summary'!$D$12</f>
        <v>#VALUE!</v>
      </c>
      <c r="V138" s="580" t="e">
        <f>V137/'Weekly Summary'!$D$12</f>
        <v>#VALUE!</v>
      </c>
      <c r="W138" s="580" t="e">
        <f>W137/'Weekly Summary'!$D$12</f>
        <v>#VALUE!</v>
      </c>
      <c r="X138" s="867" t="e">
        <f>X137/'Weekly Summary'!$D$12</f>
        <v>#VALUE!</v>
      </c>
      <c r="Y138" s="580" t="e">
        <f>Y137/'Weekly Summary'!$D$12</f>
        <v>#VALUE!</v>
      </c>
      <c r="Z138" s="580" t="e">
        <f>Z137/'Weekly Summary'!$D$12</f>
        <v>#VALUE!</v>
      </c>
      <c r="AA138" s="580" t="e">
        <f>AA137/'Weekly Summary'!$D$12</f>
        <v>#VALUE!</v>
      </c>
      <c r="AB138" s="580" t="e">
        <f>AB137/'Weekly Summary'!$D$12</f>
        <v>#VALUE!</v>
      </c>
      <c r="AC138" s="580" t="e">
        <f>AC137/'Weekly Summary'!$D$12</f>
        <v>#VALUE!</v>
      </c>
      <c r="AD138" s="580" t="e">
        <f>AD137/'Weekly Summary'!$D$12</f>
        <v>#VALUE!</v>
      </c>
      <c r="AE138" s="580" t="e">
        <f>AE137/'Weekly Summary'!$D$12</f>
        <v>#VALUE!</v>
      </c>
      <c r="AF138" s="580" t="e">
        <f>AF137/'Weekly Summary'!$D$12</f>
        <v>#VALUE!</v>
      </c>
      <c r="AG138" s="580" t="e">
        <f>AG137/'Weekly Summary'!$D$12</f>
        <v>#VALUE!</v>
      </c>
      <c r="AH138" s="580" t="e">
        <f>AH137/'Weekly Summary'!$D$12</f>
        <v>#VALUE!</v>
      </c>
      <c r="AI138" s="580" t="e">
        <f>AI137/'Weekly Summary'!$D$12</f>
        <v>#VALUE!</v>
      </c>
      <c r="AJ138" s="580" t="e">
        <f>AJ137/'Weekly Summary'!$D$12</f>
        <v>#VALUE!</v>
      </c>
      <c r="AK138" s="576" t="e">
        <f>AK137/'Weekly Summary'!$D$12</f>
        <v>#VALUE!</v>
      </c>
      <c r="AL138" s="576" t="e">
        <f>AL137/'Weekly Summary'!$D$12</f>
        <v>#VALUE!</v>
      </c>
      <c r="AM138" s="576" t="e">
        <f>AM137/'Weekly Summary'!$D$12</f>
        <v>#VALUE!</v>
      </c>
      <c r="AN138" s="576" t="e">
        <f>AN137/'Weekly Summary'!$D$12</f>
        <v>#VALUE!</v>
      </c>
      <c r="AO138" s="576" t="e">
        <f>AO137/'Weekly Summary'!$D$12</f>
        <v>#VALUE!</v>
      </c>
      <c r="AP138" s="576" t="e">
        <f>AP137/'Weekly Summary'!$D$12</f>
        <v>#VALUE!</v>
      </c>
      <c r="AQ138" s="576" t="e">
        <f>AQ137/'Weekly Summary'!$D$12</f>
        <v>#VALUE!</v>
      </c>
      <c r="AR138" s="576" t="e">
        <f>AR137/'Weekly Summary'!$D$12</f>
        <v>#VALUE!</v>
      </c>
      <c r="AS138" s="576" t="e">
        <f>AS137/'Weekly Summary'!$D$12</f>
        <v>#VALUE!</v>
      </c>
      <c r="AT138" s="576" t="e">
        <f>AT137/'Weekly Summary'!$D$12</f>
        <v>#VALUE!</v>
      </c>
      <c r="AU138" s="576" t="e">
        <f>AU137/'Weekly Summary'!$D$12</f>
        <v>#VALUE!</v>
      </c>
      <c r="AV138" s="576" t="e">
        <f>AV137/'Weekly Summary'!$D$12</f>
        <v>#VALUE!</v>
      </c>
      <c r="AW138" s="576" t="e">
        <f>AW137/'Weekly Summary'!$D$12</f>
        <v>#VALUE!</v>
      </c>
      <c r="AX138" s="576" t="e">
        <f>AX137/'Weekly Summary'!$D$12</f>
        <v>#VALUE!</v>
      </c>
      <c r="AY138" s="576" t="e">
        <f>AY137/'Weekly Summary'!$D$12</f>
        <v>#VALUE!</v>
      </c>
      <c r="AZ138" s="576" t="e">
        <f>AZ137/'Weekly Summary'!$D$12</f>
        <v>#VALUE!</v>
      </c>
      <c r="BA138" s="576" t="e">
        <f>BA137/'Weekly Summary'!$D$12</f>
        <v>#VALUE!</v>
      </c>
      <c r="BB138" s="576" t="e">
        <f>BB137/'Weekly Summary'!$D$12</f>
        <v>#VALUE!</v>
      </c>
      <c r="BC138" s="576" t="e">
        <f>BC137/'Weekly Summary'!$D$12</f>
        <v>#VALUE!</v>
      </c>
      <c r="BD138" s="892" t="e">
        <f>BD137/'Weekly Summary'!$D$12</f>
        <v>#VALUE!</v>
      </c>
      <c r="BE138" s="129"/>
    </row>
    <row r="139" spans="1:66" x14ac:dyDescent="0.35">
      <c r="B139" s="1539"/>
      <c r="C139" s="1020" t="s">
        <v>1543</v>
      </c>
      <c r="D139" s="1021"/>
      <c r="E139" s="1022"/>
      <c r="F139" s="581">
        <f ca="1">IFERROR(F136-F137,"")</f>
        <v>0</v>
      </c>
      <c r="G139" s="581">
        <f t="shared" ref="G139:BD139" ca="1" si="19">IFERROR(G136-G137,"")</f>
        <v>0</v>
      </c>
      <c r="H139" s="581">
        <f t="shared" ca="1" si="19"/>
        <v>0</v>
      </c>
      <c r="I139" s="581">
        <f t="shared" ca="1" si="19"/>
        <v>0</v>
      </c>
      <c r="J139" s="581">
        <f t="shared" ca="1" si="19"/>
        <v>0</v>
      </c>
      <c r="K139" s="581">
        <f t="shared" ca="1" si="19"/>
        <v>0</v>
      </c>
      <c r="L139" s="581" t="str">
        <f t="shared" si="19"/>
        <v/>
      </c>
      <c r="M139" s="581" t="str">
        <f t="shared" si="19"/>
        <v/>
      </c>
      <c r="N139" s="581" t="str">
        <f t="shared" si="19"/>
        <v/>
      </c>
      <c r="O139" s="581" t="str">
        <f t="shared" si="19"/>
        <v/>
      </c>
      <c r="P139" s="581" t="str">
        <f t="shared" si="19"/>
        <v/>
      </c>
      <c r="Q139" s="581" t="str">
        <f t="shared" si="19"/>
        <v/>
      </c>
      <c r="R139" s="581" t="str">
        <f t="shared" si="19"/>
        <v/>
      </c>
      <c r="S139" s="581" t="str">
        <f t="shared" si="19"/>
        <v/>
      </c>
      <c r="T139" s="581" t="str">
        <f t="shared" si="19"/>
        <v/>
      </c>
      <c r="U139" s="581" t="str">
        <f t="shared" si="19"/>
        <v/>
      </c>
      <c r="V139" s="581" t="str">
        <f t="shared" si="19"/>
        <v/>
      </c>
      <c r="W139" s="581" t="str">
        <f t="shared" si="19"/>
        <v/>
      </c>
      <c r="X139" s="868" t="str">
        <f t="shared" si="19"/>
        <v/>
      </c>
      <c r="Y139" s="581" t="str">
        <f t="shared" si="19"/>
        <v/>
      </c>
      <c r="Z139" s="581" t="str">
        <f t="shared" si="19"/>
        <v/>
      </c>
      <c r="AA139" s="581" t="str">
        <f t="shared" si="19"/>
        <v/>
      </c>
      <c r="AB139" s="581" t="str">
        <f t="shared" si="19"/>
        <v/>
      </c>
      <c r="AC139" s="581" t="str">
        <f>IFERROR(AC136-AC137,"")</f>
        <v/>
      </c>
      <c r="AD139" s="581" t="str">
        <f t="shared" si="19"/>
        <v/>
      </c>
      <c r="AE139" s="581" t="str">
        <f t="shared" si="19"/>
        <v/>
      </c>
      <c r="AF139" s="581" t="str">
        <f t="shared" si="19"/>
        <v/>
      </c>
      <c r="AG139" s="581" t="str">
        <f t="shared" si="19"/>
        <v/>
      </c>
      <c r="AH139" s="581" t="str">
        <f t="shared" si="19"/>
        <v/>
      </c>
      <c r="AI139" s="581" t="str">
        <f t="shared" si="19"/>
        <v/>
      </c>
      <c r="AJ139" s="581" t="str">
        <f t="shared" si="19"/>
        <v/>
      </c>
      <c r="AK139" s="576" t="str">
        <f t="shared" si="19"/>
        <v/>
      </c>
      <c r="AL139" s="576" t="str">
        <f t="shared" si="19"/>
        <v/>
      </c>
      <c r="AM139" s="576" t="str">
        <f t="shared" si="19"/>
        <v/>
      </c>
      <c r="AN139" s="576" t="str">
        <f t="shared" si="19"/>
        <v/>
      </c>
      <c r="AO139" s="576" t="str">
        <f t="shared" si="19"/>
        <v/>
      </c>
      <c r="AP139" s="576" t="str">
        <f t="shared" si="19"/>
        <v/>
      </c>
      <c r="AQ139" s="576" t="str">
        <f t="shared" si="19"/>
        <v/>
      </c>
      <c r="AR139" s="576" t="str">
        <f t="shared" si="19"/>
        <v/>
      </c>
      <c r="AS139" s="576" t="str">
        <f t="shared" si="19"/>
        <v/>
      </c>
      <c r="AT139" s="576" t="str">
        <f t="shared" si="19"/>
        <v/>
      </c>
      <c r="AU139" s="576" t="str">
        <f t="shared" si="19"/>
        <v/>
      </c>
      <c r="AV139" s="576" t="str">
        <f t="shared" si="19"/>
        <v/>
      </c>
      <c r="AW139" s="576" t="str">
        <f t="shared" si="19"/>
        <v/>
      </c>
      <c r="AX139" s="576" t="str">
        <f t="shared" si="19"/>
        <v/>
      </c>
      <c r="AY139" s="576" t="str">
        <f t="shared" si="19"/>
        <v/>
      </c>
      <c r="AZ139" s="576" t="str">
        <f t="shared" si="19"/>
        <v/>
      </c>
      <c r="BA139" s="576" t="str">
        <f t="shared" si="19"/>
        <v/>
      </c>
      <c r="BB139" s="576" t="str">
        <f t="shared" si="19"/>
        <v/>
      </c>
      <c r="BC139" s="576" t="str">
        <f t="shared" si="19"/>
        <v/>
      </c>
      <c r="BD139" s="892" t="str">
        <f t="shared" si="19"/>
        <v/>
      </c>
      <c r="BE139" s="129"/>
    </row>
    <row r="140" spans="1:66" x14ac:dyDescent="0.35">
      <c r="B140" s="1539"/>
      <c r="C140" s="1012" t="s">
        <v>1683</v>
      </c>
      <c r="D140" s="1013"/>
      <c r="E140" s="1014"/>
      <c r="F140" s="578">
        <f ca="1">IF(ISNUMBER(F$115),INDEX('Weekly Summary'!$D$59:$BD$60,2,MATCH(F$115,'Weekly Summary'!$D$40:$BD$40,0)),"")</f>
        <v>0.19901937208404258</v>
      </c>
      <c r="G140" s="578">
        <f ca="1">IF(ISNUMBER(G$115),INDEX('Weekly Summary'!$D$59:$BD$60,2,MATCH(G$115,'Weekly Summary'!$D$40:$BD$40,0)),"")</f>
        <v>0.6611256555669548</v>
      </c>
      <c r="H140" s="578">
        <f ca="1">IF(ISNUMBER(H$115),INDEX('Weekly Summary'!$D$59:$BD$60,2,MATCH(H$115,'Weekly Summary'!$D$40:$BD$40,0)),"")</f>
        <v>2.2719466689750645</v>
      </c>
      <c r="I140" s="578">
        <f ca="1">IF(ISNUMBER(I$115),INDEX('Weekly Summary'!$D$59:$BD$60,2,MATCH(I$115,'Weekly Summary'!$D$40:$BD$40,0)),"")</f>
        <v>7.8072866910918748</v>
      </c>
      <c r="J140" s="578">
        <f ca="1">IF(ISNUMBER(J$115),INDEX('Weekly Summary'!$D$59:$BD$60,2,MATCH(J$115,'Weekly Summary'!$D$40:$BD$40,0)),"")</f>
        <v>26.826279800447136</v>
      </c>
      <c r="K140" s="578">
        <f ca="1">IF(ISNUMBER(K$115),INDEX('Weekly Summary'!$D$59:$BD$60,2,MATCH(K$115,'Weekly Summary'!$D$40:$BD$40,0)),"")</f>
        <v>92.146237628515948</v>
      </c>
      <c r="L140" s="578" t="str">
        <f>IF(ISNUMBER(L$115),INDEX('Weekly Summary'!$D$59:$BD$60,2,MATCH(L$115,'Weekly Summary'!$D$40:$BD$40,0)),"")</f>
        <v/>
      </c>
      <c r="M140" s="578" t="str">
        <f>IF(ISNUMBER(M$115),INDEX('Weekly Summary'!$D$59:$BD$60,2,MATCH(M$115,'Weekly Summary'!$D$40:$BD$40,0)),"")</f>
        <v/>
      </c>
      <c r="N140" s="578" t="str">
        <f>IF(ISNUMBER(N$115),INDEX('Weekly Summary'!$D$59:$BD$60,2,MATCH(N$115,'Weekly Summary'!$D$40:$BD$40,0)),"")</f>
        <v/>
      </c>
      <c r="O140" s="578" t="str">
        <f>IF(ISNUMBER(O$115),INDEX('Weekly Summary'!$D$59:$BD$60,2,MATCH(O$115,'Weekly Summary'!$D$40:$BD$40,0)),"")</f>
        <v/>
      </c>
      <c r="P140" s="578" t="str">
        <f>IF(ISNUMBER(P$115),INDEX('Weekly Summary'!$D$59:$BD$60,2,MATCH(P$115,'Weekly Summary'!$D$40:$BD$40,0)),"")</f>
        <v/>
      </c>
      <c r="Q140" s="578" t="str">
        <f>IF(ISNUMBER(Q$115),INDEX('Weekly Summary'!$D$59:$BD$60,2,MATCH(Q$115,'Weekly Summary'!$D$40:$BD$40,0)),"")</f>
        <v/>
      </c>
      <c r="R140" s="578" t="str">
        <f>IF(ISNUMBER(R$115),INDEX('Weekly Summary'!$D$59:$BD$60,2,MATCH(R$115,'Weekly Summary'!$D$40:$BD$40,0)),"")</f>
        <v/>
      </c>
      <c r="S140" s="578" t="str">
        <f>IF(ISNUMBER(S$115),INDEX('Weekly Summary'!$D$59:$BD$60,2,MATCH(S$115,'Weekly Summary'!$D$40:$BD$40,0)),"")</f>
        <v/>
      </c>
      <c r="T140" s="578" t="str">
        <f>IF(ISNUMBER(T$115),INDEX('Weekly Summary'!$D$59:$BD$60,2,MATCH(T$115,'Weekly Summary'!$D$40:$BD$40,0)),"")</f>
        <v/>
      </c>
      <c r="U140" s="578" t="str">
        <f>IF(ISNUMBER(U$115),INDEX('Weekly Summary'!$D$59:$BD$60,2,MATCH(U$115,'Weekly Summary'!$D$40:$BD$40,0)),"")</f>
        <v/>
      </c>
      <c r="V140" s="578" t="str">
        <f>IF(ISNUMBER(V$115),INDEX('Weekly Summary'!$D$59:$BD$60,2,MATCH(V$115,'Weekly Summary'!$D$40:$BD$40,0)),"")</f>
        <v/>
      </c>
      <c r="W140" s="578" t="str">
        <f>IF(ISNUMBER(W$115),INDEX('Weekly Summary'!$D$59:$BD$60,2,MATCH(W$115,'Weekly Summary'!$D$40:$BD$40,0)),"")</f>
        <v/>
      </c>
      <c r="X140" s="869" t="str">
        <f>IF(ISNUMBER(X$115),INDEX('Weekly Summary'!$D$59:$BD$60,2,MATCH(X$115,'Weekly Summary'!$D$40:$BD$40,0)),"")</f>
        <v/>
      </c>
      <c r="Y140" s="578" t="str">
        <f>IF(ISNUMBER(Y$115),INDEX('Weekly Summary'!$D$59:$BD$60,2,MATCH(Y$115,'Weekly Summary'!$D$40:$BD$40,0)),"")</f>
        <v/>
      </c>
      <c r="Z140" s="578" t="str">
        <f>IF(ISNUMBER(Z$115),INDEX('Weekly Summary'!$D$59:$BD$60,2,MATCH(Z$115,'Weekly Summary'!$D$40:$BD$40,0)),"")</f>
        <v/>
      </c>
      <c r="AA140" s="578" t="str">
        <f>IF(ISNUMBER(AA$115),INDEX('Weekly Summary'!$D$59:$BD$60,2,MATCH(AA$115,'Weekly Summary'!$D$40:$BD$40,0)),"")</f>
        <v/>
      </c>
      <c r="AB140" s="578" t="str">
        <f>IF(ISNUMBER(AB$115),INDEX('Weekly Summary'!$D$59:$BD$60,2,MATCH(AB$115,'Weekly Summary'!$D$40:$BD$40,0)),"")</f>
        <v/>
      </c>
      <c r="AC140" s="578" t="str">
        <f>IF(ISNUMBER(AC$115),INDEX('Weekly Summary'!$D$59:$BD$60,2,MATCH(AC$115,'Weekly Summary'!$D$40:$BD$40,0)),"")</f>
        <v/>
      </c>
      <c r="AD140" s="578" t="str">
        <f>IF(ISNUMBER(AD$115),INDEX('Weekly Summary'!$D$59:$BD$60,2,MATCH(AD$115,'Weekly Summary'!$D$40:$BD$40,0)),"")</f>
        <v/>
      </c>
      <c r="AE140" s="578" t="str">
        <f>IF(ISNUMBER(AE$115),INDEX('Weekly Summary'!$D$59:$BD$60,2,MATCH(AE$115,'Weekly Summary'!$D$40:$BD$40,0)),"")</f>
        <v/>
      </c>
      <c r="AF140" s="578" t="str">
        <f>IF(ISNUMBER(AF$115),INDEX('Weekly Summary'!$D$59:$BD$60,2,MATCH(AF$115,'Weekly Summary'!$D$40:$BD$40,0)),"")</f>
        <v/>
      </c>
      <c r="AG140" s="578" t="str">
        <f>IF(ISNUMBER(AG$115),INDEX('Weekly Summary'!$D$59:$BD$60,2,MATCH(AG$115,'Weekly Summary'!$D$40:$BD$40,0)),"")</f>
        <v/>
      </c>
      <c r="AH140" s="578" t="str">
        <f>IF(ISNUMBER(AH$115),INDEX('Weekly Summary'!$D$59:$BD$60,2,MATCH(AH$115,'Weekly Summary'!$D$40:$BD$40,0)),"")</f>
        <v/>
      </c>
      <c r="AI140" s="578" t="str">
        <f>IF(ISNUMBER(AI$115),INDEX('Weekly Summary'!$D$59:$BD$60,2,MATCH(AI$115,'Weekly Summary'!$D$40:$BD$40,0)),"")</f>
        <v/>
      </c>
      <c r="AJ140" s="578" t="str">
        <f>IF(ISNUMBER(AJ$115),INDEX('Weekly Summary'!$D$59:$BD$60,2,MATCH(AJ$115,'Weekly Summary'!$D$40:$BD$40,0)),"")</f>
        <v/>
      </c>
      <c r="AK140" s="578" t="str">
        <f>IF(ISNUMBER(AK$115),INDEX('Weekly Summary'!$D$59:$BD$60,2,MATCH(AK$115,'Weekly Summary'!$D$40:$BD$40,0)),"")</f>
        <v/>
      </c>
      <c r="AL140" s="578" t="str">
        <f>IF(ISNUMBER(AL$115),INDEX('Weekly Summary'!$D$59:$BD$60,2,MATCH(AL$115,'Weekly Summary'!$D$40:$BD$40,0)),"")</f>
        <v/>
      </c>
      <c r="AM140" s="578" t="str">
        <f>IF(ISNUMBER(AM$115),INDEX('Weekly Summary'!$D$59:$BD$60,2,MATCH(AM$115,'Weekly Summary'!$D$40:$BD$40,0)),"")</f>
        <v/>
      </c>
      <c r="AN140" s="578" t="str">
        <f>IF(ISNUMBER(AN$115),INDEX('Weekly Summary'!$D$59:$BD$60,2,MATCH(AN$115,'Weekly Summary'!$D$40:$BD$40,0)),"")</f>
        <v/>
      </c>
      <c r="AO140" s="578" t="str">
        <f>IF(ISNUMBER(AO$115),INDEX('Weekly Summary'!$D$59:$BD$60,2,MATCH(AO$115,'Weekly Summary'!$D$40:$BD$40,0)),"")</f>
        <v/>
      </c>
      <c r="AP140" s="578" t="str">
        <f>IF(ISNUMBER(AP$115),INDEX('Weekly Summary'!$D$59:$BD$60,2,MATCH(AP$115,'Weekly Summary'!$D$40:$BD$40,0)),"")</f>
        <v/>
      </c>
      <c r="AQ140" s="578" t="str">
        <f>IF(ISNUMBER(AQ$115),INDEX('Weekly Summary'!$D$59:$BD$60,2,MATCH(AQ$115,'Weekly Summary'!$D$40:$BD$40,0)),"")</f>
        <v/>
      </c>
      <c r="AR140" s="578" t="str">
        <f>IF(ISNUMBER(AR$115),INDEX('Weekly Summary'!$D$59:$BD$60,2,MATCH(AR$115,'Weekly Summary'!$D$40:$BD$40,0)),"")</f>
        <v/>
      </c>
      <c r="AS140" s="578" t="str">
        <f>IF(ISNUMBER(AS$115),INDEX('Weekly Summary'!$D$59:$BD$60,2,MATCH(AS$115,'Weekly Summary'!$D$40:$BD$40,0)),"")</f>
        <v/>
      </c>
      <c r="AT140" s="578" t="str">
        <f>IF(ISNUMBER(AT$115),INDEX('Weekly Summary'!$D$59:$BD$60,2,MATCH(AT$115,'Weekly Summary'!$D$40:$BD$40,0)),"")</f>
        <v/>
      </c>
      <c r="AU140" s="578" t="str">
        <f>IF(ISNUMBER(AU$115),INDEX('Weekly Summary'!$D$59:$BD$60,2,MATCH(AU$115,'Weekly Summary'!$D$40:$BD$40,0)),"")</f>
        <v/>
      </c>
      <c r="AV140" s="578" t="str">
        <f>IF(ISNUMBER(AV$115),INDEX('Weekly Summary'!$D$59:$BD$60,2,MATCH(AV$115,'Weekly Summary'!$D$40:$BD$40,0)),"")</f>
        <v/>
      </c>
      <c r="AW140" s="578" t="str">
        <f>IF(ISNUMBER(AW$115),INDEX('Weekly Summary'!$D$59:$BD$60,2,MATCH(AW$115,'Weekly Summary'!$D$40:$BD$40,0)),"")</f>
        <v/>
      </c>
      <c r="AX140" s="578" t="str">
        <f>IF(ISNUMBER(AX$115),INDEX('Weekly Summary'!$D$59:$BD$60,2,MATCH(AX$115,'Weekly Summary'!$D$40:$BD$40,0)),"")</f>
        <v/>
      </c>
      <c r="AY140" s="578" t="str">
        <f>IF(ISNUMBER(AY$115),INDEX('Weekly Summary'!$D$59:$BD$60,2,MATCH(AY$115,'Weekly Summary'!$D$40:$BD$40,0)),"")</f>
        <v/>
      </c>
      <c r="AZ140" s="578" t="str">
        <f>IF(ISNUMBER(AZ$115),INDEX('Weekly Summary'!$D$59:$BD$60,2,MATCH(AZ$115,'Weekly Summary'!$D$40:$BD$40,0)),"")</f>
        <v/>
      </c>
      <c r="BA140" s="578" t="str">
        <f>IF(ISNUMBER(BA$115),INDEX('Weekly Summary'!$D$59:$BD$60,2,MATCH(BA$115,'Weekly Summary'!$D$40:$BD$40,0)),"")</f>
        <v/>
      </c>
      <c r="BB140" s="578" t="str">
        <f>IF(ISNUMBER(BB$115),INDEX('Weekly Summary'!$D$59:$BD$60,2,MATCH(BB$115,'Weekly Summary'!$D$40:$BD$40,0)),"")</f>
        <v/>
      </c>
      <c r="BC140" s="578" t="str">
        <f>IF(ISNUMBER(BC$115),INDEX('Weekly Summary'!$D$59:$BD$60,2,MATCH(BC$115,'Weekly Summary'!$D$40:$BD$40,0)),"")</f>
        <v/>
      </c>
      <c r="BD140" s="890" t="str">
        <f>IF(ISNUMBER(BD$115),INDEX('Weekly Summary'!$D$59:$BD$60,2,MATCH(BD$115,'Weekly Summary'!$D$40:$BD$40,0)),"")</f>
        <v/>
      </c>
      <c r="BE140"/>
    </row>
    <row r="141" spans="1:66" x14ac:dyDescent="0.35">
      <c r="B141" s="1539"/>
      <c r="C141" s="1015" t="s">
        <v>1545</v>
      </c>
      <c r="D141" s="6"/>
      <c r="E141" s="1016"/>
      <c r="F141" s="579">
        <f ca="1">IF(ISNUMBER(F$115),INDEX('Weekly Summary'!$D$64:$BD$65,2,MATCH(F$115,'Weekly Summary'!$D$40:$BD$40,0)),"")</f>
        <v>0.19901937208404258</v>
      </c>
      <c r="G141" s="579">
        <f ca="1">IF(ISNUMBER(G$115),INDEX('Weekly Summary'!$D$64:$BD$65,2,MATCH(G$115,'Weekly Summary'!$D$40:$BD$40,0)),"")</f>
        <v>0.6611256555669548</v>
      </c>
      <c r="H141" s="579">
        <f ca="1">IF(ISNUMBER(H$115),INDEX('Weekly Summary'!$D$64:$BD$65,2,MATCH(H$115,'Weekly Summary'!$D$40:$BD$40,0)),"")</f>
        <v>2.2719466689750645</v>
      </c>
      <c r="I141" s="579">
        <f ca="1">IF(ISNUMBER(I$115),INDEX('Weekly Summary'!$D$64:$BD$65,2,MATCH(I$115,'Weekly Summary'!$D$40:$BD$40,0)),"")</f>
        <v>7.8072866910918748</v>
      </c>
      <c r="J141" s="579">
        <f ca="1">IF(ISNUMBER(J$115),INDEX('Weekly Summary'!$D$64:$BD$65,2,MATCH(J$115,'Weekly Summary'!$D$40:$BD$40,0)),"")</f>
        <v>26.826279800447136</v>
      </c>
      <c r="K141" s="579">
        <f ca="1">IF(ISNUMBER(K$115),INDEX('Weekly Summary'!$D$64:$BD$65,2,MATCH(K$115,'Weekly Summary'!$D$40:$BD$40,0)),"")</f>
        <v>92.146237628515948</v>
      </c>
      <c r="L141" s="579" t="str">
        <f>IF(ISNUMBER(L$115),INDEX('Weekly Summary'!$D$64:$BD$65,2,MATCH(L$115,'Weekly Summary'!$D$40:$BD$40,0)),"")</f>
        <v/>
      </c>
      <c r="M141" s="579" t="str">
        <f>IF(ISNUMBER(M$115),INDEX('Weekly Summary'!$D$64:$BD$65,2,MATCH(M$115,'Weekly Summary'!$D$40:$BD$40,0)),"")</f>
        <v/>
      </c>
      <c r="N141" s="579" t="str">
        <f>IF(ISNUMBER(N$115),INDEX('Weekly Summary'!$D$64:$BD$65,2,MATCH(N$115,'Weekly Summary'!$D$40:$BD$40,0)),"")</f>
        <v/>
      </c>
      <c r="O141" s="579" t="str">
        <f>IF(ISNUMBER(O$115),INDEX('Weekly Summary'!$D$64:$BD$65,2,MATCH(O$115,'Weekly Summary'!$D$40:$BD$40,0)),"")</f>
        <v/>
      </c>
      <c r="P141" s="579" t="str">
        <f>IF(ISNUMBER(P$115),INDEX('Weekly Summary'!$D$64:$BD$65,2,MATCH(P$115,'Weekly Summary'!$D$40:$BD$40,0)),"")</f>
        <v/>
      </c>
      <c r="Q141" s="579" t="str">
        <f>IF(ISNUMBER(Q$115),INDEX('Weekly Summary'!$D$64:$BD$65,2,MATCH(Q$115,'Weekly Summary'!$D$40:$BD$40,0)),"")</f>
        <v/>
      </c>
      <c r="R141" s="579" t="str">
        <f>IF(ISNUMBER(R$115),INDEX('Weekly Summary'!$D$64:$BD$65,2,MATCH(R$115,'Weekly Summary'!$D$40:$BD$40,0)),"")</f>
        <v/>
      </c>
      <c r="S141" s="579" t="str">
        <f>IF(ISNUMBER(S$115),INDEX('Weekly Summary'!$D$64:$BD$65,2,MATCH(S$115,'Weekly Summary'!$D$40:$BD$40,0)),"")</f>
        <v/>
      </c>
      <c r="T141" s="579" t="str">
        <f>IF(ISNUMBER(T$115),INDEX('Weekly Summary'!$D$64:$BD$65,2,MATCH(T$115,'Weekly Summary'!$D$40:$BD$40,0)),"")</f>
        <v/>
      </c>
      <c r="U141" s="579" t="str">
        <f>IF(ISNUMBER(U$115),INDEX('Weekly Summary'!$D$64:$BD$65,2,MATCH(U$115,'Weekly Summary'!$D$40:$BD$40,0)),"")</f>
        <v/>
      </c>
      <c r="V141" s="579" t="str">
        <f>IF(ISNUMBER(V$115),INDEX('Weekly Summary'!$D$64:$BD$65,2,MATCH(V$115,'Weekly Summary'!$D$40:$BD$40,0)),"")</f>
        <v/>
      </c>
      <c r="W141" s="579" t="str">
        <f>IF(ISNUMBER(W$115),INDEX('Weekly Summary'!$D$64:$BD$65,2,MATCH(W$115,'Weekly Summary'!$D$40:$BD$40,0)),"")</f>
        <v/>
      </c>
      <c r="X141" s="866" t="str">
        <f>IF(ISNUMBER(X$115),INDEX('Weekly Summary'!$D$64:$BD$65,2,MATCH(X$115,'Weekly Summary'!$D$40:$BD$40,0)),"")</f>
        <v/>
      </c>
      <c r="Y141" s="579" t="str">
        <f>IF(ISNUMBER(Y$115),INDEX('Weekly Summary'!$D$64:$BD$65,2,MATCH(Y$115,'Weekly Summary'!$D$40:$BD$40,0)),"")</f>
        <v/>
      </c>
      <c r="Z141" s="579" t="str">
        <f>IF(ISNUMBER(Z$115),INDEX('Weekly Summary'!$D$64:$BD$65,2,MATCH(Z$115,'Weekly Summary'!$D$40:$BD$40,0)),"")</f>
        <v/>
      </c>
      <c r="AA141" s="579" t="str">
        <f>IF(ISNUMBER(AA$115),INDEX('Weekly Summary'!$D$64:$BD$65,2,MATCH(AA$115,'Weekly Summary'!$D$40:$BD$40,0)),"")</f>
        <v/>
      </c>
      <c r="AB141" s="579" t="str">
        <f>IF(ISNUMBER(AB$115),INDEX('Weekly Summary'!$D$64:$BD$65,2,MATCH(AB$115,'Weekly Summary'!$D$40:$BD$40,0)),"")</f>
        <v/>
      </c>
      <c r="AC141" s="579" t="str">
        <f>IF(ISNUMBER(AC$115),INDEX('Weekly Summary'!$D$64:$BD$65,2,MATCH(AC$115,'Weekly Summary'!$D$40:$BD$40,0)),"")</f>
        <v/>
      </c>
      <c r="AD141" s="579" t="str">
        <f>IF(ISNUMBER(AD$115),INDEX('Weekly Summary'!$D$64:$BD$65,2,MATCH(AD$115,'Weekly Summary'!$D$40:$BD$40,0)),"")</f>
        <v/>
      </c>
      <c r="AE141" s="579" t="str">
        <f>IF(ISNUMBER(AE$115),INDEX('Weekly Summary'!$D$64:$BD$65,2,MATCH(AE$115,'Weekly Summary'!$D$40:$BD$40,0)),"")</f>
        <v/>
      </c>
      <c r="AF141" s="579" t="str">
        <f>IF(ISNUMBER(AF$115),INDEX('Weekly Summary'!$D$64:$BD$65,2,MATCH(AF$115,'Weekly Summary'!$D$40:$BD$40,0)),"")</f>
        <v/>
      </c>
      <c r="AG141" s="579" t="str">
        <f>IF(ISNUMBER(AG$115),INDEX('Weekly Summary'!$D$64:$BD$65,2,MATCH(AG$115,'Weekly Summary'!$D$40:$BD$40,0)),"")</f>
        <v/>
      </c>
      <c r="AH141" s="579" t="str">
        <f>IF(ISNUMBER(AH$115),INDEX('Weekly Summary'!$D$64:$BD$65,2,MATCH(AH$115,'Weekly Summary'!$D$40:$BD$40,0)),"")</f>
        <v/>
      </c>
      <c r="AI141" s="579" t="str">
        <f>IF(ISNUMBER(AI$115),INDEX('Weekly Summary'!$D$64:$BD$65,2,MATCH(AI$115,'Weekly Summary'!$D$40:$BD$40,0)),"")</f>
        <v/>
      </c>
      <c r="AJ141" s="579" t="str">
        <f>IF(ISNUMBER(AJ$115),INDEX('Weekly Summary'!$D$64:$BD$65,2,MATCH(AJ$115,'Weekly Summary'!$D$40:$BD$40,0)),"")</f>
        <v/>
      </c>
      <c r="AK141" s="579" t="str">
        <f>IF(ISNUMBER(AK$115),INDEX('Weekly Summary'!$D$64:$BD$65,2,MATCH(AK$115,'Weekly Summary'!$D$40:$BD$40,0)),"")</f>
        <v/>
      </c>
      <c r="AL141" s="579" t="str">
        <f>IF(ISNUMBER(AL$115),INDEX('Weekly Summary'!$D$64:$BD$65,2,MATCH(AL$115,'Weekly Summary'!$D$40:$BD$40,0)),"")</f>
        <v/>
      </c>
      <c r="AM141" s="579" t="str">
        <f>IF(ISNUMBER(AM$115),INDEX('Weekly Summary'!$D$64:$BD$65,2,MATCH(AM$115,'Weekly Summary'!$D$40:$BD$40,0)),"")</f>
        <v/>
      </c>
      <c r="AN141" s="579" t="str">
        <f>IF(ISNUMBER(AN$115),INDEX('Weekly Summary'!$D$64:$BD$65,2,MATCH(AN$115,'Weekly Summary'!$D$40:$BD$40,0)),"")</f>
        <v/>
      </c>
      <c r="AO141" s="579" t="str">
        <f>IF(ISNUMBER(AO$115),INDEX('Weekly Summary'!$D$64:$BD$65,2,MATCH(AO$115,'Weekly Summary'!$D$40:$BD$40,0)),"")</f>
        <v/>
      </c>
      <c r="AP141" s="579" t="str">
        <f>IF(ISNUMBER(AP$115),INDEX('Weekly Summary'!$D$64:$BD$65,2,MATCH(AP$115,'Weekly Summary'!$D$40:$BD$40,0)),"")</f>
        <v/>
      </c>
      <c r="AQ141" s="579" t="str">
        <f>IF(ISNUMBER(AQ$115),INDEX('Weekly Summary'!$D$64:$BD$65,2,MATCH(AQ$115,'Weekly Summary'!$D$40:$BD$40,0)),"")</f>
        <v/>
      </c>
      <c r="AR141" s="579" t="str">
        <f>IF(ISNUMBER(AR$115),INDEX('Weekly Summary'!$D$64:$BD$65,2,MATCH(AR$115,'Weekly Summary'!$D$40:$BD$40,0)),"")</f>
        <v/>
      </c>
      <c r="AS141" s="579" t="str">
        <f>IF(ISNUMBER(AS$115),INDEX('Weekly Summary'!$D$64:$BD$65,2,MATCH(AS$115,'Weekly Summary'!$D$40:$BD$40,0)),"")</f>
        <v/>
      </c>
      <c r="AT141" s="579" t="str">
        <f>IF(ISNUMBER(AT$115),INDEX('Weekly Summary'!$D$64:$BD$65,2,MATCH(AT$115,'Weekly Summary'!$D$40:$BD$40,0)),"")</f>
        <v/>
      </c>
      <c r="AU141" s="579" t="str">
        <f>IF(ISNUMBER(AU$115),INDEX('Weekly Summary'!$D$64:$BD$65,2,MATCH(AU$115,'Weekly Summary'!$D$40:$BD$40,0)),"")</f>
        <v/>
      </c>
      <c r="AV141" s="579" t="str">
        <f>IF(ISNUMBER(AV$115),INDEX('Weekly Summary'!$D$64:$BD$65,2,MATCH(AV$115,'Weekly Summary'!$D$40:$BD$40,0)),"")</f>
        <v/>
      </c>
      <c r="AW141" s="579" t="str">
        <f>IF(ISNUMBER(AW$115),INDEX('Weekly Summary'!$D$64:$BD$65,2,MATCH(AW$115,'Weekly Summary'!$D$40:$BD$40,0)),"")</f>
        <v/>
      </c>
      <c r="AX141" s="579" t="str">
        <f>IF(ISNUMBER(AX$115),INDEX('Weekly Summary'!$D$64:$BD$65,2,MATCH(AX$115,'Weekly Summary'!$D$40:$BD$40,0)),"")</f>
        <v/>
      </c>
      <c r="AY141" s="579" t="str">
        <f>IF(ISNUMBER(AY$115),INDEX('Weekly Summary'!$D$64:$BD$65,2,MATCH(AY$115,'Weekly Summary'!$D$40:$BD$40,0)),"")</f>
        <v/>
      </c>
      <c r="AZ141" s="579" t="str">
        <f>IF(ISNUMBER(AZ$115),INDEX('Weekly Summary'!$D$64:$BD$65,2,MATCH(AZ$115,'Weekly Summary'!$D$40:$BD$40,0)),"")</f>
        <v/>
      </c>
      <c r="BA141" s="579" t="str">
        <f>IF(ISNUMBER(BA$115),INDEX('Weekly Summary'!$D$64:$BD$65,2,MATCH(BA$115,'Weekly Summary'!$D$40:$BD$40,0)),"")</f>
        <v/>
      </c>
      <c r="BB141" s="579" t="str">
        <f>IF(ISNUMBER(BB$115),INDEX('Weekly Summary'!$D$64:$BD$65,2,MATCH(BB$115,'Weekly Summary'!$D$40:$BD$40,0)),"")</f>
        <v/>
      </c>
      <c r="BC141" s="579" t="str">
        <f>IF(ISNUMBER(BC$115),INDEX('Weekly Summary'!$D$64:$BD$65,2,MATCH(BC$115,'Weekly Summary'!$D$40:$BD$40,0)),"")</f>
        <v/>
      </c>
      <c r="BD141" s="891" t="str">
        <f>IF(ISNUMBER(BD$115),INDEX('Weekly Summary'!$D$64:$BD$65,2,MATCH(BD$115,'Weekly Summary'!$D$40:$BD$40,0)),"")</f>
        <v/>
      </c>
      <c r="BE141"/>
    </row>
    <row r="142" spans="1:66" x14ac:dyDescent="0.35">
      <c r="B142" s="1539"/>
      <c r="C142" s="1017" t="s">
        <v>1771</v>
      </c>
      <c r="D142" s="1018"/>
      <c r="E142" s="1019"/>
      <c r="F142" s="580">
        <f ca="1">F141/'Weekly Summary'!$D$13</f>
        <v>2.2383250330378646E-4</v>
      </c>
      <c r="G142" s="580">
        <f ca="1">G141/'Weekly Summary'!$D$13</f>
        <v>7.4355279556111902E-4</v>
      </c>
      <c r="H142" s="580">
        <f ca="1">H141/'Weekly Summary'!$D$13</f>
        <v>2.5552060835296055E-3</v>
      </c>
      <c r="I142" s="580">
        <f ca="1">I141/'Weekly Summary'!$D$13</f>
        <v>8.7806754979584574E-3</v>
      </c>
      <c r="J142" s="580">
        <f ca="1">J141/'Weekly Summary'!$D$13</f>
        <v>3.0170898939055255E-2</v>
      </c>
      <c r="K142" s="580">
        <f ca="1">K141/'Weekly Summary'!$D$13</f>
        <v>0.10363475084077019</v>
      </c>
      <c r="L142" s="580" t="e">
        <f>L141/'Weekly Summary'!$D$13</f>
        <v>#VALUE!</v>
      </c>
      <c r="M142" s="580" t="e">
        <f>M141/'Weekly Summary'!$D$13</f>
        <v>#VALUE!</v>
      </c>
      <c r="N142" s="580" t="e">
        <f>N141/'Weekly Summary'!$D$13</f>
        <v>#VALUE!</v>
      </c>
      <c r="O142" s="580" t="e">
        <f>O141/'Weekly Summary'!$D$13</f>
        <v>#VALUE!</v>
      </c>
      <c r="P142" s="580" t="e">
        <f>P141/'Weekly Summary'!$D$13</f>
        <v>#VALUE!</v>
      </c>
      <c r="Q142" s="580" t="e">
        <f>Q141/'Weekly Summary'!$D$13</f>
        <v>#VALUE!</v>
      </c>
      <c r="R142" s="580" t="e">
        <f>R141/'Weekly Summary'!$D$13</f>
        <v>#VALUE!</v>
      </c>
      <c r="S142" s="580" t="e">
        <f>S141/'Weekly Summary'!$D$13</f>
        <v>#VALUE!</v>
      </c>
      <c r="T142" s="580" t="e">
        <f>T141/'Weekly Summary'!$D$13</f>
        <v>#VALUE!</v>
      </c>
      <c r="U142" s="580" t="e">
        <f>U141/'Weekly Summary'!$D$13</f>
        <v>#VALUE!</v>
      </c>
      <c r="V142" s="580" t="e">
        <f>V141/'Weekly Summary'!$D$13</f>
        <v>#VALUE!</v>
      </c>
      <c r="W142" s="580" t="e">
        <f>W141/'Weekly Summary'!$D$13</f>
        <v>#VALUE!</v>
      </c>
      <c r="X142" s="867" t="e">
        <f>X141/'Weekly Summary'!$D$13</f>
        <v>#VALUE!</v>
      </c>
      <c r="Y142" s="580" t="e">
        <f>Y141/'Weekly Summary'!$D$13</f>
        <v>#VALUE!</v>
      </c>
      <c r="Z142" s="580" t="e">
        <f>Z141/'Weekly Summary'!$D$13</f>
        <v>#VALUE!</v>
      </c>
      <c r="AA142" s="580" t="e">
        <f>AA141/'Weekly Summary'!$D$13</f>
        <v>#VALUE!</v>
      </c>
      <c r="AB142" s="580" t="e">
        <f>AB141/'Weekly Summary'!$D$13</f>
        <v>#VALUE!</v>
      </c>
      <c r="AC142" s="580" t="e">
        <f>AC141/'Weekly Summary'!$D$13</f>
        <v>#VALUE!</v>
      </c>
      <c r="AD142" s="580" t="e">
        <f>AD141/'Weekly Summary'!$D$13</f>
        <v>#VALUE!</v>
      </c>
      <c r="AE142" s="580" t="e">
        <f>AE141/'Weekly Summary'!$D$13</f>
        <v>#VALUE!</v>
      </c>
      <c r="AF142" s="580" t="e">
        <f>AF141/'Weekly Summary'!$D$13</f>
        <v>#VALUE!</v>
      </c>
      <c r="AG142" s="580" t="e">
        <f>AG141/'Weekly Summary'!$D$13</f>
        <v>#VALUE!</v>
      </c>
      <c r="AH142" s="580" t="e">
        <f>AH141/'Weekly Summary'!$D$13</f>
        <v>#VALUE!</v>
      </c>
      <c r="AI142" s="580" t="e">
        <f>AI141/'Weekly Summary'!$D$13</f>
        <v>#VALUE!</v>
      </c>
      <c r="AJ142" s="580" t="e">
        <f>AJ141/'Weekly Summary'!$D$13</f>
        <v>#VALUE!</v>
      </c>
      <c r="AK142" s="576" t="e">
        <f>AK141/'Weekly Summary'!$D$13</f>
        <v>#VALUE!</v>
      </c>
      <c r="AL142" s="576" t="e">
        <f>AL141/'Weekly Summary'!$D$13</f>
        <v>#VALUE!</v>
      </c>
      <c r="AM142" s="576" t="e">
        <f>AM141/'Weekly Summary'!$D$13</f>
        <v>#VALUE!</v>
      </c>
      <c r="AN142" s="576" t="e">
        <f>AN141/'Weekly Summary'!$D$13</f>
        <v>#VALUE!</v>
      </c>
      <c r="AO142" s="576" t="e">
        <f>AO141/'Weekly Summary'!$D$13</f>
        <v>#VALUE!</v>
      </c>
      <c r="AP142" s="576" t="e">
        <f>AP141/'Weekly Summary'!$D$13</f>
        <v>#VALUE!</v>
      </c>
      <c r="AQ142" s="576" t="e">
        <f>AQ141/'Weekly Summary'!$D$13</f>
        <v>#VALUE!</v>
      </c>
      <c r="AR142" s="576" t="e">
        <f>AR141/'Weekly Summary'!$D$13</f>
        <v>#VALUE!</v>
      </c>
      <c r="AS142" s="576" t="e">
        <f>AS141/'Weekly Summary'!$D$13</f>
        <v>#VALUE!</v>
      </c>
      <c r="AT142" s="576" t="e">
        <f>AT141/'Weekly Summary'!$D$13</f>
        <v>#VALUE!</v>
      </c>
      <c r="AU142" s="576" t="e">
        <f>AU141/'Weekly Summary'!$D$13</f>
        <v>#VALUE!</v>
      </c>
      <c r="AV142" s="576" t="e">
        <f>AV141/'Weekly Summary'!$D$13</f>
        <v>#VALUE!</v>
      </c>
      <c r="AW142" s="576" t="e">
        <f>AW141/'Weekly Summary'!$D$13</f>
        <v>#VALUE!</v>
      </c>
      <c r="AX142" s="576" t="e">
        <f>AX141/'Weekly Summary'!$D$13</f>
        <v>#VALUE!</v>
      </c>
      <c r="AY142" s="576" t="e">
        <f>AY141/'Weekly Summary'!$D$13</f>
        <v>#VALUE!</v>
      </c>
      <c r="AZ142" s="576" t="e">
        <f>AZ141/'Weekly Summary'!$D$13</f>
        <v>#VALUE!</v>
      </c>
      <c r="BA142" s="576" t="e">
        <f>BA141/'Weekly Summary'!$D$13</f>
        <v>#VALUE!</v>
      </c>
      <c r="BB142" s="576" t="e">
        <f>BB141/'Weekly Summary'!$D$13</f>
        <v>#VALUE!</v>
      </c>
      <c r="BC142" s="576" t="e">
        <f>BC141/'Weekly Summary'!$D$13</f>
        <v>#VALUE!</v>
      </c>
      <c r="BD142" s="892" t="e">
        <f>BD141/'Weekly Summary'!$D$13</f>
        <v>#VALUE!</v>
      </c>
      <c r="BE142" s="129"/>
    </row>
    <row r="143" spans="1:66" ht="15" thickBot="1" x14ac:dyDescent="0.4">
      <c r="B143" s="1540"/>
      <c r="C143" s="1236" t="s">
        <v>1546</v>
      </c>
      <c r="D143" s="1023"/>
      <c r="E143" s="1024"/>
      <c r="F143" s="893">
        <f ca="1">IFERROR(F140-F141,"")</f>
        <v>0</v>
      </c>
      <c r="G143" s="893">
        <f t="shared" ref="G143:BD143" ca="1" si="20">IFERROR(G140-G141,"")</f>
        <v>0</v>
      </c>
      <c r="H143" s="893">
        <f t="shared" ca="1" si="20"/>
        <v>0</v>
      </c>
      <c r="I143" s="893">
        <f t="shared" ca="1" si="20"/>
        <v>0</v>
      </c>
      <c r="J143" s="893">
        <f t="shared" ca="1" si="20"/>
        <v>0</v>
      </c>
      <c r="K143" s="893">
        <f t="shared" ca="1" si="20"/>
        <v>0</v>
      </c>
      <c r="L143" s="893" t="str">
        <f t="shared" si="20"/>
        <v/>
      </c>
      <c r="M143" s="893" t="str">
        <f t="shared" si="20"/>
        <v/>
      </c>
      <c r="N143" s="893" t="str">
        <f t="shared" si="20"/>
        <v/>
      </c>
      <c r="O143" s="893" t="str">
        <f t="shared" si="20"/>
        <v/>
      </c>
      <c r="P143" s="893" t="str">
        <f t="shared" si="20"/>
        <v/>
      </c>
      <c r="Q143" s="893" t="str">
        <f t="shared" si="20"/>
        <v/>
      </c>
      <c r="R143" s="893" t="str">
        <f t="shared" si="20"/>
        <v/>
      </c>
      <c r="S143" s="893" t="str">
        <f t="shared" si="20"/>
        <v/>
      </c>
      <c r="T143" s="893" t="str">
        <f t="shared" si="20"/>
        <v/>
      </c>
      <c r="U143" s="893" t="str">
        <f t="shared" si="20"/>
        <v/>
      </c>
      <c r="V143" s="893" t="str">
        <f t="shared" si="20"/>
        <v/>
      </c>
      <c r="W143" s="893" t="str">
        <f t="shared" si="20"/>
        <v/>
      </c>
      <c r="X143" s="894" t="str">
        <f t="shared" si="20"/>
        <v/>
      </c>
      <c r="Y143" s="893" t="str">
        <f t="shared" si="20"/>
        <v/>
      </c>
      <c r="Z143" s="893" t="str">
        <f t="shared" si="20"/>
        <v/>
      </c>
      <c r="AA143" s="893" t="str">
        <f t="shared" si="20"/>
        <v/>
      </c>
      <c r="AB143" s="893" t="str">
        <f t="shared" si="20"/>
        <v/>
      </c>
      <c r="AC143" s="893" t="str">
        <f>IFERROR(AC140-AC141,"")</f>
        <v/>
      </c>
      <c r="AD143" s="893" t="str">
        <f t="shared" si="20"/>
        <v/>
      </c>
      <c r="AE143" s="893" t="str">
        <f t="shared" si="20"/>
        <v/>
      </c>
      <c r="AF143" s="893" t="str">
        <f t="shared" si="20"/>
        <v/>
      </c>
      <c r="AG143" s="893" t="str">
        <f t="shared" si="20"/>
        <v/>
      </c>
      <c r="AH143" s="893" t="str">
        <f t="shared" si="20"/>
        <v/>
      </c>
      <c r="AI143" s="893" t="str">
        <f t="shared" si="20"/>
        <v/>
      </c>
      <c r="AJ143" s="893" t="str">
        <f t="shared" si="20"/>
        <v/>
      </c>
      <c r="AK143" s="895" t="str">
        <f t="shared" si="20"/>
        <v/>
      </c>
      <c r="AL143" s="895" t="str">
        <f t="shared" si="20"/>
        <v/>
      </c>
      <c r="AM143" s="895" t="str">
        <f t="shared" si="20"/>
        <v/>
      </c>
      <c r="AN143" s="895" t="str">
        <f t="shared" si="20"/>
        <v/>
      </c>
      <c r="AO143" s="895" t="str">
        <f t="shared" si="20"/>
        <v/>
      </c>
      <c r="AP143" s="895" t="str">
        <f t="shared" si="20"/>
        <v/>
      </c>
      <c r="AQ143" s="895" t="str">
        <f t="shared" si="20"/>
        <v/>
      </c>
      <c r="AR143" s="895" t="str">
        <f t="shared" si="20"/>
        <v/>
      </c>
      <c r="AS143" s="895" t="str">
        <f t="shared" si="20"/>
        <v/>
      </c>
      <c r="AT143" s="895" t="str">
        <f t="shared" si="20"/>
        <v/>
      </c>
      <c r="AU143" s="895" t="str">
        <f t="shared" si="20"/>
        <v/>
      </c>
      <c r="AV143" s="895" t="str">
        <f t="shared" si="20"/>
        <v/>
      </c>
      <c r="AW143" s="895" t="str">
        <f t="shared" si="20"/>
        <v/>
      </c>
      <c r="AX143" s="895" t="str">
        <f t="shared" si="20"/>
        <v/>
      </c>
      <c r="AY143" s="895" t="str">
        <f t="shared" si="20"/>
        <v/>
      </c>
      <c r="AZ143" s="895" t="str">
        <f t="shared" si="20"/>
        <v/>
      </c>
      <c r="BA143" s="895" t="str">
        <f t="shared" si="20"/>
        <v/>
      </c>
      <c r="BB143" s="895" t="str">
        <f t="shared" si="20"/>
        <v/>
      </c>
      <c r="BC143" s="895" t="str">
        <f t="shared" si="20"/>
        <v/>
      </c>
      <c r="BD143" s="896" t="str">
        <f t="shared" si="20"/>
        <v/>
      </c>
      <c r="BE143" s="129"/>
    </row>
    <row r="144" spans="1:66" ht="24" customHeight="1" thickBot="1" x14ac:dyDescent="0.4">
      <c r="A144"/>
      <c r="B144" s="732" t="s">
        <v>1748</v>
      </c>
      <c r="C144" s="1018"/>
      <c r="D144" s="1018"/>
      <c r="E144" s="1018"/>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row>
    <row r="145" spans="1:66" s="124" customFormat="1" ht="30.65" customHeight="1" x14ac:dyDescent="0.35">
      <c r="B145" s="1246" t="s">
        <v>737</v>
      </c>
      <c r="C145" s="1462" t="s">
        <v>1687</v>
      </c>
      <c r="D145" s="1470"/>
      <c r="E145" s="1463"/>
      <c r="F145" s="1247" t="str">
        <f>F135</f>
        <v>First week of forecast</v>
      </c>
      <c r="G145" s="1247" t="str">
        <f t="shared" ref="G145:BD145" si="21">G135</f>
        <v>Week 2 of forecast</v>
      </c>
      <c r="H145" s="1247" t="str">
        <f t="shared" si="21"/>
        <v>Week 3 of forecast</v>
      </c>
      <c r="I145" s="1247" t="str">
        <f t="shared" si="21"/>
        <v>Week 4 of forecast</v>
      </c>
      <c r="J145" s="1247" t="str">
        <f t="shared" si="21"/>
        <v>Week 5 of forecast</v>
      </c>
      <c r="K145" s="1247" t="str">
        <f t="shared" si="21"/>
        <v>Week 6 of forecast</v>
      </c>
      <c r="L145" s="1247" t="str">
        <f t="shared" si="21"/>
        <v>Week 7 of forecast</v>
      </c>
      <c r="M145" s="1247" t="str">
        <f t="shared" si="21"/>
        <v>Week 8 of forecast</v>
      </c>
      <c r="N145" s="1247" t="str">
        <f t="shared" si="21"/>
        <v>Week 9 of forecast</v>
      </c>
      <c r="O145" s="1247" t="str">
        <f t="shared" si="21"/>
        <v>Week 10 of forecast</v>
      </c>
      <c r="P145" s="1247" t="str">
        <f t="shared" si="21"/>
        <v>Week 11 of forecast</v>
      </c>
      <c r="Q145" s="1247" t="str">
        <f t="shared" si="21"/>
        <v>Week 12 of forecast</v>
      </c>
      <c r="R145" s="1247" t="str">
        <f t="shared" si="21"/>
        <v>Week 13 of forecast</v>
      </c>
      <c r="S145" s="1247" t="str">
        <f t="shared" si="21"/>
        <v>Week 14 of forecast</v>
      </c>
      <c r="T145" s="1247" t="str">
        <f t="shared" si="21"/>
        <v>Week 15 of forecast</v>
      </c>
      <c r="U145" s="1247" t="str">
        <f t="shared" si="21"/>
        <v>Week 16 of forecast</v>
      </c>
      <c r="V145" s="1247" t="str">
        <f t="shared" si="21"/>
        <v>Week 17 of forecast</v>
      </c>
      <c r="W145" s="1247" t="str">
        <f t="shared" si="21"/>
        <v>Week 18 of forecast</v>
      </c>
      <c r="X145" s="1247" t="str">
        <f t="shared" si="21"/>
        <v>Week 19 of forecast</v>
      </c>
      <c r="Y145" s="1247" t="str">
        <f t="shared" si="21"/>
        <v>Week 20 of forecast</v>
      </c>
      <c r="Z145" s="1247" t="str">
        <f t="shared" si="21"/>
        <v>Week 21 of forecast</v>
      </c>
      <c r="AA145" s="1247" t="str">
        <f t="shared" si="21"/>
        <v>Week 22 of forecast</v>
      </c>
      <c r="AB145" s="1247" t="str">
        <f t="shared" si="21"/>
        <v>Week 23 of forecast</v>
      </c>
      <c r="AC145" s="1247" t="str">
        <f t="shared" si="21"/>
        <v>Week 24 of forecast</v>
      </c>
      <c r="AD145" s="1247" t="str">
        <f t="shared" si="21"/>
        <v>Week 25 of forecast</v>
      </c>
      <c r="AE145" s="1247" t="str">
        <f t="shared" si="21"/>
        <v>Week 26 of forecast</v>
      </c>
      <c r="AF145" s="1247" t="str">
        <f t="shared" si="21"/>
        <v>Week 27 of forecast</v>
      </c>
      <c r="AG145" s="1247" t="str">
        <f t="shared" si="21"/>
        <v>Week 28 of forecast</v>
      </c>
      <c r="AH145" s="1247" t="str">
        <f t="shared" si="21"/>
        <v>Week 29 of forecast</v>
      </c>
      <c r="AI145" s="1247" t="str">
        <f t="shared" si="21"/>
        <v>Week 30 of forecast</v>
      </c>
      <c r="AJ145" s="1247" t="str">
        <f t="shared" si="21"/>
        <v>Week 31 of forecast</v>
      </c>
      <c r="AK145" s="1247" t="str">
        <f t="shared" si="21"/>
        <v>Week 32 of forecast</v>
      </c>
      <c r="AL145" s="1247" t="str">
        <f t="shared" si="21"/>
        <v>Week 33 of forecast</v>
      </c>
      <c r="AM145" s="1247" t="str">
        <f t="shared" si="21"/>
        <v>Week 34 of forecast</v>
      </c>
      <c r="AN145" s="1247" t="str">
        <f t="shared" si="21"/>
        <v>Week 35 of forecast</v>
      </c>
      <c r="AO145" s="1247" t="str">
        <f t="shared" si="21"/>
        <v>Week 36 of forecast</v>
      </c>
      <c r="AP145" s="1247" t="str">
        <f t="shared" si="21"/>
        <v>Week 37 of forecast</v>
      </c>
      <c r="AQ145" s="1247" t="str">
        <f t="shared" si="21"/>
        <v>Week 38 of forecast</v>
      </c>
      <c r="AR145" s="1247" t="str">
        <f t="shared" si="21"/>
        <v>Week 39 of forecast</v>
      </c>
      <c r="AS145" s="1247" t="str">
        <f t="shared" si="21"/>
        <v>Week 40 of forecast</v>
      </c>
      <c r="AT145" s="1247" t="str">
        <f t="shared" si="21"/>
        <v>Week 41 of forecast</v>
      </c>
      <c r="AU145" s="1247" t="str">
        <f t="shared" si="21"/>
        <v>Week 42 of forecast</v>
      </c>
      <c r="AV145" s="1247" t="str">
        <f t="shared" si="21"/>
        <v>Week 43 of forecast</v>
      </c>
      <c r="AW145" s="1247" t="str">
        <f t="shared" si="21"/>
        <v>Week 44 of forecast</v>
      </c>
      <c r="AX145" s="1247" t="str">
        <f t="shared" si="21"/>
        <v>Week 45 of forecast</v>
      </c>
      <c r="AY145" s="1247" t="str">
        <f t="shared" si="21"/>
        <v>Week 46 of forecast</v>
      </c>
      <c r="AZ145" s="1247" t="str">
        <f t="shared" si="21"/>
        <v>Week 47 of forecast</v>
      </c>
      <c r="BA145" s="1247" t="str">
        <f t="shared" si="21"/>
        <v>Week 48 of forecast</v>
      </c>
      <c r="BB145" s="1247" t="str">
        <f t="shared" si="21"/>
        <v>Week 49 of forecast</v>
      </c>
      <c r="BC145" s="1247" t="str">
        <f t="shared" si="21"/>
        <v>Week 50 of forecast</v>
      </c>
      <c r="BD145" s="1248" t="str">
        <f t="shared" si="21"/>
        <v>Week 51 of forecast</v>
      </c>
      <c r="BE145" s="722"/>
      <c r="BF145" s="722"/>
      <c r="BG145" s="722"/>
      <c r="BH145" s="722"/>
      <c r="BI145" s="722"/>
      <c r="BJ145" s="722"/>
      <c r="BK145" s="722"/>
      <c r="BL145" s="722"/>
      <c r="BM145" s="722"/>
      <c r="BN145" s="722"/>
    </row>
    <row r="146" spans="1:66" s="122" customFormat="1" x14ac:dyDescent="0.35">
      <c r="B146" s="1536" t="s">
        <v>1529</v>
      </c>
      <c r="C146" s="1018" t="s">
        <v>1684</v>
      </c>
      <c r="D146" s="1025"/>
      <c r="E146" s="1026"/>
      <c r="F146" s="579">
        <f>IF(ISNUMBER(F$115),INDEX('Weekly Summary'!$D$101:$BD$101,1,MATCH(F$115,'Weekly Summary'!$D$40:$BD$40,0)),"")</f>
        <v>0.11921549766723405</v>
      </c>
      <c r="G146" s="579">
        <f>IF(ISNUMBER(G$115),INDEX('Weekly Summary'!$D$101:$BD$101,1,MATCH(G$115,'Weekly Summary'!$D$40:$BD$40,0)),"")</f>
        <v>0.40968502678632979</v>
      </c>
      <c r="H146" s="579">
        <f>IF(ISNUMBER(H$115),INDEX('Weekly Summary'!$D$101:$BD$101,1,MATCH(H$115,'Weekly Summary'!$D$40:$BD$40,0)),"")</f>
        <v>1.4078723083937219</v>
      </c>
      <c r="I146" s="579">
        <f>IF(ISNUMBER(I$115),INDEX('Weekly Summary'!$D$101:$BD$101,1,MATCH(I$115,'Weekly Summary'!$D$40:$BD$40,0)),"")</f>
        <v>4.8379570444797784</v>
      </c>
      <c r="J146" s="579">
        <f>IF(ISNUMBER(J$115),INDEX('Weekly Summary'!$D$101:$BD$101,1,MATCH(J$115,'Weekly Summary'!$D$40:$BD$40,0)),"")</f>
        <v>16.623066795877932</v>
      </c>
      <c r="K146" s="579">
        <f>IF(ISNUMBER(K$115),INDEX('Weekly Summary'!$D$101:$BD$101,1,MATCH(K$115,'Weekly Summary'!$D$40:$BD$40,0)),"")</f>
        <v>57.09392330693484</v>
      </c>
      <c r="L146" s="579" t="str">
        <f>IF(ISNUMBER(L$115),INDEX('Weekly Summary'!$D$101:$BD$101,1,MATCH(L$115,'Weekly Summary'!$D$40:$BD$40,0)),"")</f>
        <v/>
      </c>
      <c r="M146" s="579" t="str">
        <f>IF(ISNUMBER(M$115),INDEX('Weekly Summary'!$D$101:$BD$101,1,MATCH(M$115,'Weekly Summary'!$D$40:$BD$40,0)),"")</f>
        <v/>
      </c>
      <c r="N146" s="579" t="str">
        <f>IF(ISNUMBER(N$115),INDEX('Weekly Summary'!$D$101:$BD$101,1,MATCH(N$115,'Weekly Summary'!$D$40:$BD$40,0)),"")</f>
        <v/>
      </c>
      <c r="O146" s="579" t="str">
        <f>IF(ISNUMBER(O$115),INDEX('Weekly Summary'!$D$101:$BD$101,1,MATCH(O$115,'Weekly Summary'!$D$40:$BD$40,0)),"")</f>
        <v/>
      </c>
      <c r="P146" s="579" t="str">
        <f>IF(ISNUMBER(P$115),INDEX('Weekly Summary'!$D$101:$BD$101,1,MATCH(P$115,'Weekly Summary'!$D$40:$BD$40,0)),"")</f>
        <v/>
      </c>
      <c r="Q146" s="579" t="str">
        <f>IF(ISNUMBER(Q$115),INDEX('Weekly Summary'!$D$101:$BD$101,1,MATCH(Q$115,'Weekly Summary'!$D$40:$BD$40,0)),"")</f>
        <v/>
      </c>
      <c r="R146" s="579" t="str">
        <f>IF(ISNUMBER(R$115),INDEX('Weekly Summary'!$D$101:$BD$101,1,MATCH(R$115,'Weekly Summary'!$D$40:$BD$40,0)),"")</f>
        <v/>
      </c>
      <c r="S146" s="579" t="str">
        <f>IF(ISNUMBER(S$115),INDEX('Weekly Summary'!$D$101:$BD$101,1,MATCH(S$115,'Weekly Summary'!$D$40:$BD$40,0)),"")</f>
        <v/>
      </c>
      <c r="T146" s="579" t="str">
        <f>IF(ISNUMBER(T$115),INDEX('Weekly Summary'!$D$101:$BD$101,1,MATCH(T$115,'Weekly Summary'!$D$40:$BD$40,0)),"")</f>
        <v/>
      </c>
      <c r="U146" s="579" t="str">
        <f>IF(ISNUMBER(U$115),INDEX('Weekly Summary'!$D$101:$BD$101,1,MATCH(U$115,'Weekly Summary'!$D$40:$BD$40,0)),"")</f>
        <v/>
      </c>
      <c r="V146" s="579" t="str">
        <f>IF(ISNUMBER(V$115),INDEX('Weekly Summary'!$D$101:$BD$101,1,MATCH(V$115,'Weekly Summary'!$D$40:$BD$40,0)),"")</f>
        <v/>
      </c>
      <c r="W146" s="579" t="str">
        <f>IF(ISNUMBER(W$115),INDEX('Weekly Summary'!$D$101:$BD$101,1,MATCH(W$115,'Weekly Summary'!$D$40:$BD$40,0)),"")</f>
        <v/>
      </c>
      <c r="X146" s="866" t="str">
        <f>IF(ISNUMBER(X$115),INDEX('Weekly Summary'!$D$101:$BD$101,1,MATCH(X$115,'Weekly Summary'!$D$40:$BD$40,0)),"")</f>
        <v/>
      </c>
      <c r="Y146" s="579" t="str">
        <f>IF(ISNUMBER(Y$115),INDEX('Weekly Summary'!$D$101:$BD$101,1,MATCH(Y$115,'Weekly Summary'!$D$40:$BD$40,0)),"")</f>
        <v/>
      </c>
      <c r="Z146" s="579" t="str">
        <f>IF(ISNUMBER(Z$115),INDEX('Weekly Summary'!$D$101:$BD$101,1,MATCH(Z$115,'Weekly Summary'!$D$40:$BD$40,0)),"")</f>
        <v/>
      </c>
      <c r="AA146" s="579" t="str">
        <f>IF(ISNUMBER(AA$115),INDEX('Weekly Summary'!$D$101:$BD$101,1,MATCH(AA$115,'Weekly Summary'!$D$40:$BD$40,0)),"")</f>
        <v/>
      </c>
      <c r="AB146" s="579" t="str">
        <f>IF(ISNUMBER(AB$115),INDEX('Weekly Summary'!$D$101:$BD$101,1,MATCH(AB$115,'Weekly Summary'!$D$40:$BD$40,0)),"")</f>
        <v/>
      </c>
      <c r="AC146" s="579" t="str">
        <f>IF(ISNUMBER(AC$115),INDEX('Weekly Summary'!$D$101:$BD$101,1,MATCH(AC$115,'Weekly Summary'!$D$40:$BD$40,0)),"")</f>
        <v/>
      </c>
      <c r="AD146" s="579" t="str">
        <f>IF(ISNUMBER(AD$115),INDEX('Weekly Summary'!$D$101:$BD$101,1,MATCH(AD$115,'Weekly Summary'!$D$40:$BD$40,0)),"")</f>
        <v/>
      </c>
      <c r="AE146" s="579" t="str">
        <f>IF(ISNUMBER(AE$115),INDEX('Weekly Summary'!$D$101:$BD$101,1,MATCH(AE$115,'Weekly Summary'!$D$40:$BD$40,0)),"")</f>
        <v/>
      </c>
      <c r="AF146" s="579" t="str">
        <f>IF(ISNUMBER(AF$115),INDEX('Weekly Summary'!$D$101:$BD$101,1,MATCH(AF$115,'Weekly Summary'!$D$40:$BD$40,0)),"")</f>
        <v/>
      </c>
      <c r="AG146" s="579" t="str">
        <f>IF(ISNUMBER(AG$115),INDEX('Weekly Summary'!$D$101:$BD$101,1,MATCH(AG$115,'Weekly Summary'!$D$40:$BD$40,0)),"")</f>
        <v/>
      </c>
      <c r="AH146" s="579" t="str">
        <f>IF(ISNUMBER(AH$115),INDEX('Weekly Summary'!$D$101:$BD$101,1,MATCH(AH$115,'Weekly Summary'!$D$40:$BD$40,0)),"")</f>
        <v/>
      </c>
      <c r="AI146" s="579" t="str">
        <f>IF(ISNUMBER(AI$115),INDEX('Weekly Summary'!$D$101:$BD$101,1,MATCH(AI$115,'Weekly Summary'!$D$40:$BD$40,0)),"")</f>
        <v/>
      </c>
      <c r="AJ146" s="579" t="str">
        <f>IF(ISNUMBER(AJ$115),INDEX('Weekly Summary'!$D$101:$BD$101,1,MATCH(AJ$115,'Weekly Summary'!$D$40:$BD$40,0)),"")</f>
        <v/>
      </c>
      <c r="AK146" s="579" t="str">
        <f>IF(ISNUMBER(AK$115),INDEX('Weekly Summary'!$D$101:$BD$101,1,MATCH(AK$115,'Weekly Summary'!$D$40:$BD$40,0)),"")</f>
        <v/>
      </c>
      <c r="AL146" s="579" t="str">
        <f>IF(ISNUMBER(AL$115),INDEX('Weekly Summary'!$D$101:$BD$101,1,MATCH(AL$115,'Weekly Summary'!$D$40:$BD$40,0)),"")</f>
        <v/>
      </c>
      <c r="AM146" s="579" t="str">
        <f>IF(ISNUMBER(AM$115),INDEX('Weekly Summary'!$D$101:$BD$101,1,MATCH(AM$115,'Weekly Summary'!$D$40:$BD$40,0)),"")</f>
        <v/>
      </c>
      <c r="AN146" s="579" t="str">
        <f>IF(ISNUMBER(AN$115),INDEX('Weekly Summary'!$D$101:$BD$101,1,MATCH(AN$115,'Weekly Summary'!$D$40:$BD$40,0)),"")</f>
        <v/>
      </c>
      <c r="AO146" s="579" t="str">
        <f>IF(ISNUMBER(AO$115),INDEX('Weekly Summary'!$D$101:$BD$101,1,MATCH(AO$115,'Weekly Summary'!$D$40:$BD$40,0)),"")</f>
        <v/>
      </c>
      <c r="AP146" s="579" t="str">
        <f>IF(ISNUMBER(AP$115),INDEX('Weekly Summary'!$D$101:$BD$101,1,MATCH(AP$115,'Weekly Summary'!$D$40:$BD$40,0)),"")</f>
        <v/>
      </c>
      <c r="AQ146" s="579" t="str">
        <f>IF(ISNUMBER(AQ$115),INDEX('Weekly Summary'!$D$101:$BD$101,1,MATCH(AQ$115,'Weekly Summary'!$D$40:$BD$40,0)),"")</f>
        <v/>
      </c>
      <c r="AR146" s="579" t="str">
        <f>IF(ISNUMBER(AR$115),INDEX('Weekly Summary'!$D$101:$BD$101,1,MATCH(AR$115,'Weekly Summary'!$D$40:$BD$40,0)),"")</f>
        <v/>
      </c>
      <c r="AS146" s="579" t="str">
        <f>IF(ISNUMBER(AS$115),INDEX('Weekly Summary'!$D$101:$BD$101,1,MATCH(AS$115,'Weekly Summary'!$D$40:$BD$40,0)),"")</f>
        <v/>
      </c>
      <c r="AT146" s="579" t="str">
        <f>IF(ISNUMBER(AT$115),INDEX('Weekly Summary'!$D$101:$BD$101,1,MATCH(AT$115,'Weekly Summary'!$D$40:$BD$40,0)),"")</f>
        <v/>
      </c>
      <c r="AU146" s="579" t="str">
        <f>IF(ISNUMBER(AU$115),INDEX('Weekly Summary'!$D$101:$BD$101,1,MATCH(AU$115,'Weekly Summary'!$D$40:$BD$40,0)),"")</f>
        <v/>
      </c>
      <c r="AV146" s="579" t="str">
        <f>IF(ISNUMBER(AV$115),INDEX('Weekly Summary'!$D$101:$BD$101,1,MATCH(AV$115,'Weekly Summary'!$D$40:$BD$40,0)),"")</f>
        <v/>
      </c>
      <c r="AW146" s="579" t="str">
        <f>IF(ISNUMBER(AW$115),INDEX('Weekly Summary'!$D$101:$BD$101,1,MATCH(AW$115,'Weekly Summary'!$D$40:$BD$40,0)),"")</f>
        <v/>
      </c>
      <c r="AX146" s="579" t="str">
        <f>IF(ISNUMBER(AX$115),INDEX('Weekly Summary'!$D$101:$BD$101,1,MATCH(AX$115,'Weekly Summary'!$D$40:$BD$40,0)),"")</f>
        <v/>
      </c>
      <c r="AY146" s="579" t="str">
        <f>IF(ISNUMBER(AY$115),INDEX('Weekly Summary'!$D$101:$BD$101,1,MATCH(AY$115,'Weekly Summary'!$D$40:$BD$40,0)),"")</f>
        <v/>
      </c>
      <c r="AZ146" s="579" t="str">
        <f>IF(ISNUMBER(AZ$115),INDEX('Weekly Summary'!$D$101:$BD$101,1,MATCH(AZ$115,'Weekly Summary'!$D$40:$BD$40,0)),"")</f>
        <v/>
      </c>
      <c r="BA146" s="579" t="str">
        <f>IF(ISNUMBER(BA$115),INDEX('Weekly Summary'!$D$101:$BD$101,1,MATCH(BA$115,'Weekly Summary'!$D$40:$BD$40,0)),"")</f>
        <v/>
      </c>
      <c r="BB146" s="579" t="str">
        <f>IF(ISNUMBER(BB$115),INDEX('Weekly Summary'!$D$101:$BD$101,1,MATCH(BB$115,'Weekly Summary'!$D$40:$BD$40,0)),"")</f>
        <v/>
      </c>
      <c r="BC146" s="579" t="str">
        <f>IF(ISNUMBER(BC$115),INDEX('Weekly Summary'!$D$101:$BD$101,1,MATCH(BC$115,'Weekly Summary'!$D$40:$BD$40,0)),"")</f>
        <v/>
      </c>
      <c r="BD146" s="891" t="str">
        <f>IF(ISNUMBER(BD$115),INDEX('Weekly Summary'!$D$101:$BD$101,1,MATCH(BD$115,'Weekly Summary'!$D$40:$BD$40,0)),"")</f>
        <v/>
      </c>
      <c r="BE146" s="129"/>
    </row>
    <row r="147" spans="1:66" ht="15" thickBot="1" x14ac:dyDescent="0.4">
      <c r="B147" s="1537"/>
      <c r="C147" s="1027" t="s">
        <v>1685</v>
      </c>
      <c r="D147" s="1027"/>
      <c r="E147" s="1028"/>
      <c r="F147" s="582">
        <f>IF(ISNUMBER(F$115),INDEX('Weekly Summary'!$D$100:$BD$100,1,MATCH(F$115,'Weekly Summary'!$D$40:$BD$40,0)),"")</f>
        <v>0.11921549766723405</v>
      </c>
      <c r="G147" s="582">
        <f>IF(ISNUMBER(G$115),INDEX('Weekly Summary'!$D$100:$BD$100,1,MATCH(G$115,'Weekly Summary'!$D$40:$BD$40,0)),"")</f>
        <v>0.40968502678632979</v>
      </c>
      <c r="H147" s="582">
        <f>IF(ISNUMBER(H$115),INDEX('Weekly Summary'!$D$100:$BD$100,1,MATCH(H$115,'Weekly Summary'!$D$40:$BD$40,0)),"")</f>
        <v>1.4078723083937219</v>
      </c>
      <c r="I147" s="582">
        <f>IF(ISNUMBER(I$115),INDEX('Weekly Summary'!$D$100:$BD$100,1,MATCH(I$115,'Weekly Summary'!$D$40:$BD$40,0)),"")</f>
        <v>4.8379570444797784</v>
      </c>
      <c r="J147" s="582">
        <f>IF(ISNUMBER(J$115),INDEX('Weekly Summary'!$D$100:$BD$100,1,MATCH(J$115,'Weekly Summary'!$D$40:$BD$40,0)),"")</f>
        <v>16.623066795877932</v>
      </c>
      <c r="K147" s="582">
        <f>IF(ISNUMBER(K$115),INDEX('Weekly Summary'!$D$100:$BD$100,1,MATCH(K$115,'Weekly Summary'!$D$40:$BD$40,0)),"")</f>
        <v>57.09392330693484</v>
      </c>
      <c r="L147" s="582" t="str">
        <f>IF(ISNUMBER(L$115),INDEX('Weekly Summary'!$D$100:$BD$100,1,MATCH(L$115,'Weekly Summary'!$D$40:$BD$40,0)),"")</f>
        <v/>
      </c>
      <c r="M147" s="582" t="str">
        <f>IF(ISNUMBER(M$115),INDEX('Weekly Summary'!$D$100:$BD$100,1,MATCH(M$115,'Weekly Summary'!$D$40:$BD$40,0)),"")</f>
        <v/>
      </c>
      <c r="N147" s="582" t="str">
        <f>IF(ISNUMBER(N$115),INDEX('Weekly Summary'!$D$100:$BD$100,1,MATCH(N$115,'Weekly Summary'!$D$40:$BD$40,0)),"")</f>
        <v/>
      </c>
      <c r="O147" s="582" t="str">
        <f>IF(ISNUMBER(O$115),INDEX('Weekly Summary'!$D$100:$BD$100,1,MATCH(O$115,'Weekly Summary'!$D$40:$BD$40,0)),"")</f>
        <v/>
      </c>
      <c r="P147" s="582" t="str">
        <f>IF(ISNUMBER(P$115),INDEX('Weekly Summary'!$D$100:$BD$100,1,MATCH(P$115,'Weekly Summary'!$D$40:$BD$40,0)),"")</f>
        <v/>
      </c>
      <c r="Q147" s="582" t="str">
        <f>IF(ISNUMBER(Q$115),INDEX('Weekly Summary'!$D$100:$BD$100,1,MATCH(Q$115,'Weekly Summary'!$D$40:$BD$40,0)),"")</f>
        <v/>
      </c>
      <c r="R147" s="582" t="str">
        <f>IF(ISNUMBER(R$115),INDEX('Weekly Summary'!$D$100:$BD$100,1,MATCH(R$115,'Weekly Summary'!$D$40:$BD$40,0)),"")</f>
        <v/>
      </c>
      <c r="S147" s="582" t="str">
        <f>IF(ISNUMBER(S$115),INDEX('Weekly Summary'!$D$100:$BD$100,1,MATCH(S$115,'Weekly Summary'!$D$40:$BD$40,0)),"")</f>
        <v/>
      </c>
      <c r="T147" s="582" t="str">
        <f>IF(ISNUMBER(T$115),INDEX('Weekly Summary'!$D$100:$BD$100,1,MATCH(T$115,'Weekly Summary'!$D$40:$BD$40,0)),"")</f>
        <v/>
      </c>
      <c r="U147" s="582" t="str">
        <f>IF(ISNUMBER(U$115),INDEX('Weekly Summary'!$D$100:$BD$100,1,MATCH(U$115,'Weekly Summary'!$D$40:$BD$40,0)),"")</f>
        <v/>
      </c>
      <c r="V147" s="582" t="str">
        <f>IF(ISNUMBER(V$115),INDEX('Weekly Summary'!$D$100:$BD$100,1,MATCH(V$115,'Weekly Summary'!$D$40:$BD$40,0)),"")</f>
        <v/>
      </c>
      <c r="W147" s="582" t="str">
        <f>IF(ISNUMBER(W$115),INDEX('Weekly Summary'!$D$100:$BD$100,1,MATCH(W$115,'Weekly Summary'!$D$40:$BD$40,0)),"")</f>
        <v/>
      </c>
      <c r="X147" s="870" t="str">
        <f>IF(ISNUMBER(X$115),INDEX('Weekly Summary'!$D$100:$BD$100,1,MATCH(X$115,'Weekly Summary'!$D$40:$BD$40,0)),"")</f>
        <v/>
      </c>
      <c r="Y147" s="582" t="str">
        <f>IF(ISNUMBER(Y$115),INDEX('Weekly Summary'!$D$100:$BD$100,1,MATCH(Y$115,'Weekly Summary'!$D$40:$BD$40,0)),"")</f>
        <v/>
      </c>
      <c r="Z147" s="582" t="str">
        <f>IF(ISNUMBER(Z$115),INDEX('Weekly Summary'!$D$100:$BD$100,1,MATCH(Z$115,'Weekly Summary'!$D$40:$BD$40,0)),"")</f>
        <v/>
      </c>
      <c r="AA147" s="582" t="str">
        <f>IF(ISNUMBER(AA$115),INDEX('Weekly Summary'!$D$100:$BD$100,1,MATCH(AA$115,'Weekly Summary'!$D$40:$BD$40,0)),"")</f>
        <v/>
      </c>
      <c r="AB147" s="582" t="str">
        <f>IF(ISNUMBER(AB$115),INDEX('Weekly Summary'!$D$100:$BD$100,1,MATCH(AB$115,'Weekly Summary'!$D$40:$BD$40,0)),"")</f>
        <v/>
      </c>
      <c r="AC147" s="582" t="str">
        <f>IF(ISNUMBER(AC$115),INDEX('Weekly Summary'!$D$100:$BD$100,1,MATCH(AC$115,'Weekly Summary'!$D$40:$BD$40,0)),"")</f>
        <v/>
      </c>
      <c r="AD147" s="582" t="str">
        <f>IF(ISNUMBER(AD$115),INDEX('Weekly Summary'!$D$100:$BD$100,1,MATCH(AD$115,'Weekly Summary'!$D$40:$BD$40,0)),"")</f>
        <v/>
      </c>
      <c r="AE147" s="582" t="str">
        <f>IF(ISNUMBER(AE$115),INDEX('Weekly Summary'!$D$100:$BD$100,1,MATCH(AE$115,'Weekly Summary'!$D$40:$BD$40,0)),"")</f>
        <v/>
      </c>
      <c r="AF147" s="582" t="str">
        <f>IF(ISNUMBER(AF$115),INDEX('Weekly Summary'!$D$100:$BD$100,1,MATCH(AF$115,'Weekly Summary'!$D$40:$BD$40,0)),"")</f>
        <v/>
      </c>
      <c r="AG147" s="582" t="str">
        <f>IF(ISNUMBER(AG$115),INDEX('Weekly Summary'!$D$100:$BD$100,1,MATCH(AG$115,'Weekly Summary'!$D$40:$BD$40,0)),"")</f>
        <v/>
      </c>
      <c r="AH147" s="582" t="str">
        <f>IF(ISNUMBER(AH$115),INDEX('Weekly Summary'!$D$100:$BD$100,1,MATCH(AH$115,'Weekly Summary'!$D$40:$BD$40,0)),"")</f>
        <v/>
      </c>
      <c r="AI147" s="582" t="str">
        <f>IF(ISNUMBER(AI$115),INDEX('Weekly Summary'!$D$100:$BD$100,1,MATCH(AI$115,'Weekly Summary'!$D$40:$BD$40,0)),"")</f>
        <v/>
      </c>
      <c r="AJ147" s="582" t="str">
        <f>IF(ISNUMBER(AJ$115),INDEX('Weekly Summary'!$D$100:$BD$100,1,MATCH(AJ$115,'Weekly Summary'!$D$40:$BD$40,0)),"")</f>
        <v/>
      </c>
      <c r="AK147" s="582" t="str">
        <f>IF(ISNUMBER(AK$115),INDEX('Weekly Summary'!$D$100:$BD$100,1,MATCH(AK$115,'Weekly Summary'!$D$40:$BD$40,0)),"")</f>
        <v/>
      </c>
      <c r="AL147" s="582" t="str">
        <f>IF(ISNUMBER(AL$115),INDEX('Weekly Summary'!$D$100:$BD$100,1,MATCH(AL$115,'Weekly Summary'!$D$40:$BD$40,0)),"")</f>
        <v/>
      </c>
      <c r="AM147" s="582" t="str">
        <f>IF(ISNUMBER(AM$115),INDEX('Weekly Summary'!$D$100:$BD$100,1,MATCH(AM$115,'Weekly Summary'!$D$40:$BD$40,0)),"")</f>
        <v/>
      </c>
      <c r="AN147" s="582" t="str">
        <f>IF(ISNUMBER(AN$115),INDEX('Weekly Summary'!$D$100:$BD$100,1,MATCH(AN$115,'Weekly Summary'!$D$40:$BD$40,0)),"")</f>
        <v/>
      </c>
      <c r="AO147" s="582" t="str">
        <f>IF(ISNUMBER(AO$115),INDEX('Weekly Summary'!$D$100:$BD$100,1,MATCH(AO$115,'Weekly Summary'!$D$40:$BD$40,0)),"")</f>
        <v/>
      </c>
      <c r="AP147" s="582" t="str">
        <f>IF(ISNUMBER(AP$115),INDEX('Weekly Summary'!$D$100:$BD$100,1,MATCH(AP$115,'Weekly Summary'!$D$40:$BD$40,0)),"")</f>
        <v/>
      </c>
      <c r="AQ147" s="582" t="str">
        <f>IF(ISNUMBER(AQ$115),INDEX('Weekly Summary'!$D$100:$BD$100,1,MATCH(AQ$115,'Weekly Summary'!$D$40:$BD$40,0)),"")</f>
        <v/>
      </c>
      <c r="AR147" s="582" t="str">
        <f>IF(ISNUMBER(AR$115),INDEX('Weekly Summary'!$D$100:$BD$100,1,MATCH(AR$115,'Weekly Summary'!$D$40:$BD$40,0)),"")</f>
        <v/>
      </c>
      <c r="AS147" s="582" t="str">
        <f>IF(ISNUMBER(AS$115),INDEX('Weekly Summary'!$D$100:$BD$100,1,MATCH(AS$115,'Weekly Summary'!$D$40:$BD$40,0)),"")</f>
        <v/>
      </c>
      <c r="AT147" s="582" t="str">
        <f>IF(ISNUMBER(AT$115),INDEX('Weekly Summary'!$D$100:$BD$100,1,MATCH(AT$115,'Weekly Summary'!$D$40:$BD$40,0)),"")</f>
        <v/>
      </c>
      <c r="AU147" s="582" t="str">
        <f>IF(ISNUMBER(AU$115),INDEX('Weekly Summary'!$D$100:$BD$100,1,MATCH(AU$115,'Weekly Summary'!$D$40:$BD$40,0)),"")</f>
        <v/>
      </c>
      <c r="AV147" s="582" t="str">
        <f>IF(ISNUMBER(AV$115),INDEX('Weekly Summary'!$D$100:$BD$100,1,MATCH(AV$115,'Weekly Summary'!$D$40:$BD$40,0)),"")</f>
        <v/>
      </c>
      <c r="AW147" s="582" t="str">
        <f>IF(ISNUMBER(AW$115),INDEX('Weekly Summary'!$D$100:$BD$100,1,MATCH(AW$115,'Weekly Summary'!$D$40:$BD$40,0)),"")</f>
        <v/>
      </c>
      <c r="AX147" s="582" t="str">
        <f>IF(ISNUMBER(AX$115),INDEX('Weekly Summary'!$D$100:$BD$100,1,MATCH(AX$115,'Weekly Summary'!$D$40:$BD$40,0)),"")</f>
        <v/>
      </c>
      <c r="AY147" s="582" t="str">
        <f>IF(ISNUMBER(AY$115),INDEX('Weekly Summary'!$D$100:$BD$100,1,MATCH(AY$115,'Weekly Summary'!$D$40:$BD$40,0)),"")</f>
        <v/>
      </c>
      <c r="AZ147" s="582" t="str">
        <f>IF(ISNUMBER(AZ$115),INDEX('Weekly Summary'!$D$100:$BD$100,1,MATCH(AZ$115,'Weekly Summary'!$D$40:$BD$40,0)),"")</f>
        <v/>
      </c>
      <c r="BA147" s="582" t="str">
        <f>IF(ISNUMBER(BA$115),INDEX('Weekly Summary'!$D$100:$BD$100,1,MATCH(BA$115,'Weekly Summary'!$D$40:$BD$40,0)),"")</f>
        <v/>
      </c>
      <c r="BB147" s="582" t="str">
        <f>IF(ISNUMBER(BB$115),INDEX('Weekly Summary'!$D$100:$BD$100,1,MATCH(BB$115,'Weekly Summary'!$D$40:$BD$40,0)),"")</f>
        <v/>
      </c>
      <c r="BC147" s="582" t="str">
        <f>IF(ISNUMBER(BC$115),INDEX('Weekly Summary'!$D$100:$BD$100,1,MATCH(BC$115,'Weekly Summary'!$D$40:$BD$40,0)),"")</f>
        <v/>
      </c>
      <c r="BD147" s="897" t="str">
        <f>IF(ISNUMBER(BD$115),INDEX('Weekly Summary'!$D$100:$BD$100,1,MATCH(BD$115,'Weekly Summary'!$D$40:$BD$40,0)),"")</f>
        <v/>
      </c>
      <c r="BE147"/>
    </row>
    <row r="149" spans="1:66" s="86" customFormat="1" ht="17" x14ac:dyDescent="0.4">
      <c r="B149" s="87" t="s">
        <v>1776</v>
      </c>
      <c r="C149" s="88"/>
      <c r="X149" s="686"/>
    </row>
    <row r="150" spans="1:66" s="909" customFormat="1" ht="15" thickBot="1" x14ac:dyDescent="0.4">
      <c r="A150" s="910"/>
      <c r="B150" s="910"/>
      <c r="C150" s="910"/>
      <c r="D150" s="910"/>
      <c r="E150" s="910"/>
      <c r="F150" s="910"/>
      <c r="G150" s="85"/>
      <c r="H150"/>
      <c r="I150" s="910"/>
      <c r="J150" s="910"/>
      <c r="K150" s="910"/>
      <c r="L150" s="910"/>
      <c r="M150" s="910"/>
      <c r="N150" s="910"/>
      <c r="O150" s="910"/>
      <c r="P150" s="910"/>
      <c r="Q150" s="910"/>
      <c r="R150" s="910"/>
      <c r="S150" s="910"/>
      <c r="T150" s="910"/>
      <c r="U150" s="910"/>
      <c r="V150" s="910"/>
      <c r="W150" s="910"/>
      <c r="X150" s="911"/>
      <c r="Y150" s="910"/>
      <c r="Z150" s="910"/>
      <c r="AA150" s="910"/>
      <c r="AB150" s="910"/>
      <c r="AC150" s="910"/>
      <c r="AD150" s="910"/>
      <c r="AE150" s="910"/>
      <c r="AF150" s="910"/>
      <c r="AG150" s="910"/>
      <c r="AH150" s="910"/>
      <c r="AI150" s="910"/>
      <c r="AJ150" s="910"/>
      <c r="AK150" s="910"/>
      <c r="AL150" s="910"/>
      <c r="AM150" s="910"/>
      <c r="AN150" s="910"/>
      <c r="AO150" s="910"/>
      <c r="AP150" s="910"/>
      <c r="AQ150" s="910"/>
      <c r="AR150" s="910"/>
      <c r="AS150" s="910"/>
      <c r="AT150" s="910"/>
      <c r="AU150" s="910"/>
      <c r="AV150" s="910"/>
      <c r="AW150" s="910"/>
      <c r="AX150" s="910"/>
      <c r="AY150" s="910"/>
      <c r="AZ150" s="910"/>
      <c r="BA150" s="910"/>
      <c r="BB150" s="910"/>
      <c r="BC150" s="910"/>
      <c r="BD150" s="910"/>
      <c r="BE150" s="910"/>
      <c r="BF150" s="910"/>
      <c r="BG150" s="910"/>
      <c r="BH150" s="910"/>
      <c r="BI150" s="910"/>
      <c r="BJ150" s="910"/>
      <c r="BK150" s="910"/>
      <c r="BL150" s="910"/>
      <c r="BM150" s="910"/>
      <c r="BN150" s="910"/>
    </row>
    <row r="151" spans="1:66" s="909" customFormat="1" ht="29.5" thickBot="1" x14ac:dyDescent="0.4">
      <c r="A151" s="910"/>
      <c r="B151" s="889" t="s">
        <v>737</v>
      </c>
      <c r="C151" s="1471" t="s">
        <v>1868</v>
      </c>
      <c r="D151" s="1472"/>
      <c r="E151" s="1473"/>
      <c r="F151" s="1247" t="str">
        <f>F145</f>
        <v>First week of forecast</v>
      </c>
      <c r="G151" s="1247" t="str">
        <f t="shared" ref="G151:BD151" si="22">G145</f>
        <v>Week 2 of forecast</v>
      </c>
      <c r="H151" s="1247" t="str">
        <f t="shared" si="22"/>
        <v>Week 3 of forecast</v>
      </c>
      <c r="I151" s="1247" t="str">
        <f t="shared" si="22"/>
        <v>Week 4 of forecast</v>
      </c>
      <c r="J151" s="1247" t="str">
        <f t="shared" si="22"/>
        <v>Week 5 of forecast</v>
      </c>
      <c r="K151" s="1247" t="str">
        <f t="shared" si="22"/>
        <v>Week 6 of forecast</v>
      </c>
      <c r="L151" s="1247" t="str">
        <f t="shared" si="22"/>
        <v>Week 7 of forecast</v>
      </c>
      <c r="M151" s="1247" t="str">
        <f t="shared" si="22"/>
        <v>Week 8 of forecast</v>
      </c>
      <c r="N151" s="1247" t="str">
        <f t="shared" si="22"/>
        <v>Week 9 of forecast</v>
      </c>
      <c r="O151" s="1247" t="str">
        <f t="shared" si="22"/>
        <v>Week 10 of forecast</v>
      </c>
      <c r="P151" s="1247" t="str">
        <f t="shared" si="22"/>
        <v>Week 11 of forecast</v>
      </c>
      <c r="Q151" s="1247" t="str">
        <f t="shared" si="22"/>
        <v>Week 12 of forecast</v>
      </c>
      <c r="R151" s="1247" t="str">
        <f t="shared" si="22"/>
        <v>Week 13 of forecast</v>
      </c>
      <c r="S151" s="1247" t="str">
        <f t="shared" si="22"/>
        <v>Week 14 of forecast</v>
      </c>
      <c r="T151" s="1247" t="str">
        <f t="shared" si="22"/>
        <v>Week 15 of forecast</v>
      </c>
      <c r="U151" s="1247" t="str">
        <f t="shared" si="22"/>
        <v>Week 16 of forecast</v>
      </c>
      <c r="V151" s="1247" t="str">
        <f t="shared" si="22"/>
        <v>Week 17 of forecast</v>
      </c>
      <c r="W151" s="1247" t="str">
        <f t="shared" si="22"/>
        <v>Week 18 of forecast</v>
      </c>
      <c r="X151" s="1247" t="str">
        <f t="shared" si="22"/>
        <v>Week 19 of forecast</v>
      </c>
      <c r="Y151" s="1247" t="str">
        <f t="shared" si="22"/>
        <v>Week 20 of forecast</v>
      </c>
      <c r="Z151" s="1247" t="str">
        <f t="shared" si="22"/>
        <v>Week 21 of forecast</v>
      </c>
      <c r="AA151" s="1247" t="str">
        <f t="shared" si="22"/>
        <v>Week 22 of forecast</v>
      </c>
      <c r="AB151" s="1247" t="str">
        <f t="shared" si="22"/>
        <v>Week 23 of forecast</v>
      </c>
      <c r="AC151" s="1247" t="str">
        <f t="shared" si="22"/>
        <v>Week 24 of forecast</v>
      </c>
      <c r="AD151" s="1247" t="str">
        <f t="shared" si="22"/>
        <v>Week 25 of forecast</v>
      </c>
      <c r="AE151" s="1247" t="str">
        <f t="shared" si="22"/>
        <v>Week 26 of forecast</v>
      </c>
      <c r="AF151" s="1247" t="str">
        <f t="shared" si="22"/>
        <v>Week 27 of forecast</v>
      </c>
      <c r="AG151" s="1247" t="str">
        <f t="shared" si="22"/>
        <v>Week 28 of forecast</v>
      </c>
      <c r="AH151" s="1247" t="str">
        <f t="shared" si="22"/>
        <v>Week 29 of forecast</v>
      </c>
      <c r="AI151" s="1247" t="str">
        <f t="shared" si="22"/>
        <v>Week 30 of forecast</v>
      </c>
      <c r="AJ151" s="1247" t="str">
        <f t="shared" si="22"/>
        <v>Week 31 of forecast</v>
      </c>
      <c r="AK151" s="1247" t="str">
        <f t="shared" si="22"/>
        <v>Week 32 of forecast</v>
      </c>
      <c r="AL151" s="1247" t="str">
        <f t="shared" si="22"/>
        <v>Week 33 of forecast</v>
      </c>
      <c r="AM151" s="1247" t="str">
        <f t="shared" si="22"/>
        <v>Week 34 of forecast</v>
      </c>
      <c r="AN151" s="1247" t="str">
        <f t="shared" si="22"/>
        <v>Week 35 of forecast</v>
      </c>
      <c r="AO151" s="1247" t="str">
        <f t="shared" si="22"/>
        <v>Week 36 of forecast</v>
      </c>
      <c r="AP151" s="1247" t="str">
        <f t="shared" si="22"/>
        <v>Week 37 of forecast</v>
      </c>
      <c r="AQ151" s="1247" t="str">
        <f t="shared" si="22"/>
        <v>Week 38 of forecast</v>
      </c>
      <c r="AR151" s="1247" t="str">
        <f t="shared" si="22"/>
        <v>Week 39 of forecast</v>
      </c>
      <c r="AS151" s="1247" t="str">
        <f t="shared" si="22"/>
        <v>Week 40 of forecast</v>
      </c>
      <c r="AT151" s="1247" t="str">
        <f t="shared" si="22"/>
        <v>Week 41 of forecast</v>
      </c>
      <c r="AU151" s="1247" t="str">
        <f t="shared" si="22"/>
        <v>Week 42 of forecast</v>
      </c>
      <c r="AV151" s="1247" t="str">
        <f t="shared" si="22"/>
        <v>Week 43 of forecast</v>
      </c>
      <c r="AW151" s="1247" t="str">
        <f t="shared" si="22"/>
        <v>Week 44 of forecast</v>
      </c>
      <c r="AX151" s="1247" t="str">
        <f t="shared" si="22"/>
        <v>Week 45 of forecast</v>
      </c>
      <c r="AY151" s="1247" t="str">
        <f t="shared" si="22"/>
        <v>Week 46 of forecast</v>
      </c>
      <c r="AZ151" s="1247" t="str">
        <f t="shared" si="22"/>
        <v>Week 47 of forecast</v>
      </c>
      <c r="BA151" s="1247" t="str">
        <f t="shared" si="22"/>
        <v>Week 48 of forecast</v>
      </c>
      <c r="BB151" s="1247" t="str">
        <f t="shared" si="22"/>
        <v>Week 49 of forecast</v>
      </c>
      <c r="BC151" s="1247" t="str">
        <f t="shared" si="22"/>
        <v>Week 50 of forecast</v>
      </c>
      <c r="BD151" s="1247" t="str">
        <f t="shared" si="22"/>
        <v>Week 51 of forecast</v>
      </c>
      <c r="BE151" s="910"/>
      <c r="BF151" s="910"/>
      <c r="BG151" s="910"/>
      <c r="BH151" s="910"/>
      <c r="BI151" s="910"/>
      <c r="BJ151" s="910"/>
      <c r="BK151" s="910"/>
      <c r="BL151" s="910"/>
      <c r="BM151" s="910"/>
      <c r="BN151" s="910"/>
    </row>
    <row r="152" spans="1:66" s="909" customFormat="1" x14ac:dyDescent="0.35">
      <c r="A152" s="910"/>
      <c r="B152" s="1533" t="s">
        <v>704</v>
      </c>
      <c r="C152" s="910" t="s">
        <v>1869</v>
      </c>
      <c r="D152" s="910"/>
      <c r="E152" s="1255"/>
      <c r="F152" s="579">
        <f ca="1">IF(F137&lt;1,0,F137*Inputs!$I$184*1440*0.001)</f>
        <v>0</v>
      </c>
      <c r="G152" s="579">
        <f ca="1">IF(G137&lt;1,0,G137*Inputs!$I$184*1440*0.001)</f>
        <v>22.122991446461814</v>
      </c>
      <c r="H152" s="579">
        <f ca="1">IF(H137&lt;1,0,H137*Inputs!$I$184*1440*0.001)</f>
        <v>76.025104653260982</v>
      </c>
      <c r="I152" s="579">
        <f ca="1">IF(I137&lt;1,0,I137*Inputs!$I$184*1440*0.001)</f>
        <v>261.24968040190799</v>
      </c>
      <c r="J152" s="579">
        <f ca="1">IF(J137&lt;1,0,J137*Inputs!$I$184*1440*0.001)</f>
        <v>897.64560697740808</v>
      </c>
      <c r="K152" s="579">
        <f ca="1">IF(K137&lt;1,0,K137*Inputs!$I$184*1440*0.001)</f>
        <v>3083.0718585744803</v>
      </c>
      <c r="L152" s="579" t="e">
        <f>IF(L137&lt;1,0,L137*Inputs!$I$184*1440*0.001)</f>
        <v>#VALUE!</v>
      </c>
      <c r="M152" s="579" t="e">
        <f>IF(M137&lt;1,0,M137*Inputs!$I$184*1440*0.001)</f>
        <v>#VALUE!</v>
      </c>
      <c r="N152" s="579" t="e">
        <f>IF(N137&lt;1,0,N137*Inputs!$I$184*1440*0.001)</f>
        <v>#VALUE!</v>
      </c>
      <c r="O152" s="579" t="e">
        <f>IF(O137&lt;1,0,O137*Inputs!$I$184*1440*0.001)</f>
        <v>#VALUE!</v>
      </c>
      <c r="P152" s="579" t="e">
        <f>IF(P137&lt;1,0,P137*Inputs!$I$184*1440*0.001)</f>
        <v>#VALUE!</v>
      </c>
      <c r="Q152" s="579" t="e">
        <f>IF(Q137&lt;1,0,Q137*Inputs!$I$184*1440*0.001)</f>
        <v>#VALUE!</v>
      </c>
      <c r="R152" s="579" t="e">
        <f>IF(R137&lt;1,0,R137*Inputs!$I$184*1440*0.001)</f>
        <v>#VALUE!</v>
      </c>
      <c r="S152" s="579" t="e">
        <f>IF(S137&lt;1,0,S137*Inputs!$I$184*1440*0.001)</f>
        <v>#VALUE!</v>
      </c>
      <c r="T152" s="579" t="e">
        <f>IF(T137&lt;1,0,T137*Inputs!$I$184*1440*0.001)</f>
        <v>#VALUE!</v>
      </c>
      <c r="U152" s="579" t="e">
        <f>IF(U137&lt;1,0,U137*Inputs!$I$184*1440*0.001)</f>
        <v>#VALUE!</v>
      </c>
      <c r="V152" s="579" t="e">
        <f>IF(V137&lt;1,0,V137*Inputs!$I$184*1440*0.001)</f>
        <v>#VALUE!</v>
      </c>
      <c r="W152" s="579" t="e">
        <f>IF(W137&lt;1,0,W137*Inputs!$I$184*1440*0.001)</f>
        <v>#VALUE!</v>
      </c>
      <c r="X152" s="579" t="e">
        <f>IF(X137&lt;1,0,X137*Inputs!$I$184*1440*0.001)</f>
        <v>#VALUE!</v>
      </c>
      <c r="Y152" s="579" t="e">
        <f>IF(Y137&lt;1,0,Y137*Inputs!$I$184*1440*0.001)</f>
        <v>#VALUE!</v>
      </c>
      <c r="Z152" s="579" t="e">
        <f>IF(Z137&lt;1,0,Z137*Inputs!$I$184*1440*0.001)</f>
        <v>#VALUE!</v>
      </c>
      <c r="AA152" s="579" t="e">
        <f>IF(AA137&lt;1,0,AA137*Inputs!$I$184*1440*0.001)</f>
        <v>#VALUE!</v>
      </c>
      <c r="AB152" s="579" t="e">
        <f>IF(AB137&lt;1,0,AB137*Inputs!$I$184*1440*0.001)</f>
        <v>#VALUE!</v>
      </c>
      <c r="AC152" s="579" t="e">
        <f>IF(AC137&lt;1,0,AC137*Inputs!$I$184*1440*0.001)</f>
        <v>#VALUE!</v>
      </c>
      <c r="AD152" s="579" t="e">
        <f>IF(AD137&lt;1,0,AD137*Inputs!$I$184*1440*0.001)</f>
        <v>#VALUE!</v>
      </c>
      <c r="AE152" s="579" t="e">
        <f>IF(AE137&lt;1,0,AE137*Inputs!$I$184*1440*0.001)</f>
        <v>#VALUE!</v>
      </c>
      <c r="AF152" s="579" t="e">
        <f>IF(AF137&lt;1,0,AF137*Inputs!$I$184*1440*0.001)</f>
        <v>#VALUE!</v>
      </c>
      <c r="AG152" s="579" t="e">
        <f>IF(AG137&lt;1,0,AG137*Inputs!$I$184*1440*0.001)</f>
        <v>#VALUE!</v>
      </c>
      <c r="AH152" s="579" t="e">
        <f>IF(AH137&lt;1,0,AH137*Inputs!$I$184*1440*0.001)</f>
        <v>#VALUE!</v>
      </c>
      <c r="AI152" s="579" t="e">
        <f>IF(AI137&lt;1,0,AI137*Inputs!$I$184*1440*0.001)</f>
        <v>#VALUE!</v>
      </c>
      <c r="AJ152" s="579" t="e">
        <f>IF(AJ137&lt;1,0,AJ137*Inputs!$I$184*1440*0.001)</f>
        <v>#VALUE!</v>
      </c>
      <c r="AK152" s="579" t="e">
        <f>IF(AK137&lt;1,0,AK137*Inputs!$I$184*1440*0.001)</f>
        <v>#VALUE!</v>
      </c>
      <c r="AL152" s="579" t="e">
        <f>IF(AL137&lt;1,0,AL137*Inputs!$I$184*1440*0.001)</f>
        <v>#VALUE!</v>
      </c>
      <c r="AM152" s="579" t="e">
        <f>IF(AM137&lt;1,0,AM137*Inputs!$I$184*1440*0.001)</f>
        <v>#VALUE!</v>
      </c>
      <c r="AN152" s="579" t="e">
        <f>IF(AN137&lt;1,0,AN137*Inputs!$I$184*1440*0.001)</f>
        <v>#VALUE!</v>
      </c>
      <c r="AO152" s="579" t="e">
        <f>IF(AO137&lt;1,0,AO137*Inputs!$I$184*1440*0.001)</f>
        <v>#VALUE!</v>
      </c>
      <c r="AP152" s="579" t="e">
        <f>IF(AP137&lt;1,0,AP137*Inputs!$I$184*1440*0.001)</f>
        <v>#VALUE!</v>
      </c>
      <c r="AQ152" s="579" t="e">
        <f>IF(AQ137&lt;1,0,AQ137*Inputs!$I$184*1440*0.001)</f>
        <v>#VALUE!</v>
      </c>
      <c r="AR152" s="579" t="e">
        <f>IF(AR137&lt;1,0,AR137*Inputs!$I$184*1440*0.001)</f>
        <v>#VALUE!</v>
      </c>
      <c r="AS152" s="579" t="e">
        <f>IF(AS137&lt;1,0,AS137*Inputs!$I$184*1440*0.001)</f>
        <v>#VALUE!</v>
      </c>
      <c r="AT152" s="579" t="e">
        <f>IF(AT137&lt;1,0,AT137*Inputs!$I$184*1440*0.001)</f>
        <v>#VALUE!</v>
      </c>
      <c r="AU152" s="579" t="e">
        <f>IF(AU137&lt;1,0,AU137*Inputs!$I$184*1440*0.001)</f>
        <v>#VALUE!</v>
      </c>
      <c r="AV152" s="579" t="e">
        <f>IF(AV137&lt;1,0,AV137*Inputs!$I$184*1440*0.001)</f>
        <v>#VALUE!</v>
      </c>
      <c r="AW152" s="579" t="e">
        <f>IF(AW137&lt;1,0,AW137*Inputs!$I$184*1440*0.001)</f>
        <v>#VALUE!</v>
      </c>
      <c r="AX152" s="579" t="e">
        <f>IF(AX137&lt;1,0,AX137*Inputs!$I$184*1440*0.001)</f>
        <v>#VALUE!</v>
      </c>
      <c r="AY152" s="579" t="e">
        <f>IF(AY137&lt;1,0,AY137*Inputs!$I$184*1440*0.001)</f>
        <v>#VALUE!</v>
      </c>
      <c r="AZ152" s="579" t="e">
        <f>IF(AZ137&lt;1,0,AZ137*Inputs!$I$184*1440*0.001)</f>
        <v>#VALUE!</v>
      </c>
      <c r="BA152" s="579" t="e">
        <f>IF(BA137&lt;1,0,BA137*Inputs!$I$184*1440*0.001)</f>
        <v>#VALUE!</v>
      </c>
      <c r="BB152" s="579" t="e">
        <f>IF(BB137&lt;1,0,BB137*Inputs!$I$184*1440*0.001)</f>
        <v>#VALUE!</v>
      </c>
      <c r="BC152" s="579" t="e">
        <f>IF(BC137&lt;1,0,BC137*Inputs!$I$184*1440*0.001)</f>
        <v>#VALUE!</v>
      </c>
      <c r="BD152" s="579" t="e">
        <f>IF(BD137&lt;1,0,BD137*Inputs!$I$184*1440*0.001)</f>
        <v>#VALUE!</v>
      </c>
      <c r="BE152" s="910"/>
      <c r="BF152" s="910"/>
      <c r="BG152" s="910"/>
      <c r="BH152" s="910"/>
      <c r="BI152" s="910"/>
      <c r="BJ152" s="910"/>
      <c r="BK152" s="910"/>
      <c r="BL152" s="910"/>
      <c r="BM152" s="910"/>
      <c r="BN152" s="910"/>
    </row>
    <row r="153" spans="1:66" s="909" customFormat="1" x14ac:dyDescent="0.35">
      <c r="A153" s="910"/>
      <c r="B153" s="1534"/>
      <c r="C153" s="910" t="s">
        <v>1878</v>
      </c>
      <c r="D153" s="910"/>
      <c r="E153" s="640"/>
      <c r="F153" s="579">
        <f ca="1">IF(F$141&lt;1,0,(F$141*Inputs!$I$180*Inputs!$I$185*1440*0.001))</f>
        <v>0</v>
      </c>
      <c r="G153" s="579">
        <f ca="1">IF(G$141&lt;1,0,(G$141*Inputs!$I$180*Inputs!$I$185*1440*0.001))</f>
        <v>0</v>
      </c>
      <c r="H153" s="579">
        <f ca="1">IF(H$141&lt;1,0,(H$141*Inputs!$I$180*Inputs!$I$185*1440*0.001))</f>
        <v>65.432064066481857</v>
      </c>
      <c r="I153" s="579">
        <f ca="1">IF(I$141&lt;1,0,(I$141*Inputs!$I$180*Inputs!$I$185*1440*0.001))</f>
        <v>224.84985670344597</v>
      </c>
      <c r="J153" s="579">
        <f ca="1">IF(J$141&lt;1,0,(J$141*Inputs!$I$180*Inputs!$I$185*1440*0.001))</f>
        <v>772.5968582528775</v>
      </c>
      <c r="K153" s="579">
        <f ca="1">IF(K$141&lt;1,0,(K$141*Inputs!$I$180*Inputs!$I$185*1440*0.001))</f>
        <v>2653.8116437012595</v>
      </c>
      <c r="L153" s="579" t="e">
        <f>IF(L$141&lt;1,0,(L$141*Inputs!$I$180*Inputs!$I$185*1440*0.001))</f>
        <v>#VALUE!</v>
      </c>
      <c r="M153" s="579" t="e">
        <f>IF(M$141&lt;1,0,(M$141*Inputs!$I$180*Inputs!$I$185*1440*0.001))</f>
        <v>#VALUE!</v>
      </c>
      <c r="N153" s="579" t="e">
        <f>IF(N$141&lt;1,0,(N$141*Inputs!$I$180*Inputs!$I$185*1440*0.001))</f>
        <v>#VALUE!</v>
      </c>
      <c r="O153" s="579" t="e">
        <f>IF(O$141&lt;1,0,(O$141*Inputs!$I$180*Inputs!$I$185*1440*0.001))</f>
        <v>#VALUE!</v>
      </c>
      <c r="P153" s="579" t="e">
        <f>IF(P$141&lt;1,0,(P$141*Inputs!$I$180*Inputs!$I$185*1440*0.001))</f>
        <v>#VALUE!</v>
      </c>
      <c r="Q153" s="579" t="e">
        <f>IF(Q$141&lt;1,0,(Q$141*Inputs!$I$180*Inputs!$I$185*1440*0.001))</f>
        <v>#VALUE!</v>
      </c>
      <c r="R153" s="579" t="e">
        <f>IF(R$141&lt;1,0,(R$141*Inputs!$I$180*Inputs!$I$185*1440*0.001))</f>
        <v>#VALUE!</v>
      </c>
      <c r="S153" s="579" t="e">
        <f>IF(S$141&lt;1,0,(S$141*Inputs!$I$180*Inputs!$I$185*1440*0.001))</f>
        <v>#VALUE!</v>
      </c>
      <c r="T153" s="579" t="e">
        <f>IF(T$141&lt;1,0,(T$141*Inputs!$I$180*Inputs!$I$185*1440*0.001))</f>
        <v>#VALUE!</v>
      </c>
      <c r="U153" s="579" t="e">
        <f>IF(U$141&lt;1,0,(U$141*Inputs!$I$180*Inputs!$I$185*1440*0.001))</f>
        <v>#VALUE!</v>
      </c>
      <c r="V153" s="579" t="e">
        <f>IF(V$141&lt;1,0,(V$141*Inputs!$I$180*Inputs!$I$185*1440*0.001))</f>
        <v>#VALUE!</v>
      </c>
      <c r="W153" s="579" t="e">
        <f>IF(W$141&lt;1,0,(W$141*Inputs!$I$180*Inputs!$I$185*1440*0.001))</f>
        <v>#VALUE!</v>
      </c>
      <c r="X153" s="579" t="e">
        <f>IF(X$141&lt;1,0,(X$141*Inputs!$I$180*Inputs!$I$185*1440*0.001))</f>
        <v>#VALUE!</v>
      </c>
      <c r="Y153" s="579" t="e">
        <f>IF(Y$141&lt;1,0,(Y$141*Inputs!$I$180*Inputs!$I$185*1440*0.001))</f>
        <v>#VALUE!</v>
      </c>
      <c r="Z153" s="579" t="e">
        <f>IF(Z$141&lt;1,0,(Z$141*Inputs!$I$180*Inputs!$I$185*1440*0.001))</f>
        <v>#VALUE!</v>
      </c>
      <c r="AA153" s="579" t="e">
        <f>IF(AA$141&lt;1,0,(AA$141*Inputs!$I$180*Inputs!$I$185*1440*0.001))</f>
        <v>#VALUE!</v>
      </c>
      <c r="AB153" s="579" t="e">
        <f>IF(AB$141&lt;1,0,(AB$141*Inputs!$I$180*Inputs!$I$185*1440*0.001))</f>
        <v>#VALUE!</v>
      </c>
      <c r="AC153" s="579" t="e">
        <f>IF(AC$141&lt;1,0,(AC$141*Inputs!$I$180*Inputs!$I$185*1440*0.001))</f>
        <v>#VALUE!</v>
      </c>
      <c r="AD153" s="579" t="e">
        <f>IF(AD$141&lt;1,0,(AD$141*Inputs!$I$180*Inputs!$I$185*1440*0.001))</f>
        <v>#VALUE!</v>
      </c>
      <c r="AE153" s="579" t="e">
        <f>IF(AE$141&lt;1,0,(AE$141*Inputs!$I$180*Inputs!$I$185*1440*0.001))</f>
        <v>#VALUE!</v>
      </c>
      <c r="AF153" s="579" t="e">
        <f>IF(AF$141&lt;1,0,(AF$141*Inputs!$I$180*Inputs!$I$185*1440*0.001))</f>
        <v>#VALUE!</v>
      </c>
      <c r="AG153" s="579" t="e">
        <f>IF(AG$141&lt;1,0,(AG$141*Inputs!$I$180*Inputs!$I$185*1440*0.001))</f>
        <v>#VALUE!</v>
      </c>
      <c r="AH153" s="579" t="e">
        <f>IF(AH$141&lt;1,0,(AH$141*Inputs!$I$180*Inputs!$I$185*1440*0.001))</f>
        <v>#VALUE!</v>
      </c>
      <c r="AI153" s="579" t="e">
        <f>IF(AI$141&lt;1,0,(AI$141*Inputs!$I$180*Inputs!$I$185*1440*0.001))</f>
        <v>#VALUE!</v>
      </c>
      <c r="AJ153" s="579" t="e">
        <f>IF(AJ$141&lt;1,0,(AJ$141*Inputs!$I$180*Inputs!$I$185*1440*0.001))</f>
        <v>#VALUE!</v>
      </c>
      <c r="AK153" s="579" t="e">
        <f>IF(AK$141&lt;1,0,(AK$141*Inputs!$I$180*Inputs!$I$185*1440*0.001))</f>
        <v>#VALUE!</v>
      </c>
      <c r="AL153" s="579" t="e">
        <f>IF(AL$141&lt;1,0,(AL$141*Inputs!$I$180*Inputs!$I$185*1440*0.001))</f>
        <v>#VALUE!</v>
      </c>
      <c r="AM153" s="579" t="e">
        <f>IF(AM$141&lt;1,0,(AM$141*Inputs!$I$180*Inputs!$I$185*1440*0.001))</f>
        <v>#VALUE!</v>
      </c>
      <c r="AN153" s="579" t="e">
        <f>IF(AN$141&lt;1,0,(AN$141*Inputs!$I$180*Inputs!$I$185*1440*0.001))</f>
        <v>#VALUE!</v>
      </c>
      <c r="AO153" s="579" t="e">
        <f>IF(AO$141&lt;1,0,(AO$141*Inputs!$I$180*Inputs!$I$185*1440*0.001))</f>
        <v>#VALUE!</v>
      </c>
      <c r="AP153" s="579" t="e">
        <f>IF(AP$141&lt;1,0,(AP$141*Inputs!$I$180*Inputs!$I$185*1440*0.001))</f>
        <v>#VALUE!</v>
      </c>
      <c r="AQ153" s="579" t="e">
        <f>IF(AQ$141&lt;1,0,(AQ$141*Inputs!$I$180*Inputs!$I$185*1440*0.001))</f>
        <v>#VALUE!</v>
      </c>
      <c r="AR153" s="579" t="e">
        <f>IF(AR$141&lt;1,0,(AR$141*Inputs!$I$180*Inputs!$I$185*1440*0.001))</f>
        <v>#VALUE!</v>
      </c>
      <c r="AS153" s="579" t="e">
        <f>IF(AS$141&lt;1,0,(AS$141*Inputs!$I$180*Inputs!$I$185*1440*0.001))</f>
        <v>#VALUE!</v>
      </c>
      <c r="AT153" s="579" t="e">
        <f>IF(AT$141&lt;1,0,(AT$141*Inputs!$I$180*Inputs!$I$185*1440*0.001))</f>
        <v>#VALUE!</v>
      </c>
      <c r="AU153" s="579" t="e">
        <f>IF(AU$141&lt;1,0,(AU$141*Inputs!$I$180*Inputs!$I$185*1440*0.001))</f>
        <v>#VALUE!</v>
      </c>
      <c r="AV153" s="579" t="e">
        <f>IF(AV$141&lt;1,0,(AV$141*Inputs!$I$180*Inputs!$I$185*1440*0.001))</f>
        <v>#VALUE!</v>
      </c>
      <c r="AW153" s="579" t="e">
        <f>IF(AW$141&lt;1,0,(AW$141*Inputs!$I$180*Inputs!$I$185*1440*0.001))</f>
        <v>#VALUE!</v>
      </c>
      <c r="AX153" s="579" t="e">
        <f>IF(AX$141&lt;1,0,(AX$141*Inputs!$I$180*Inputs!$I$185*1440*0.001))</f>
        <v>#VALUE!</v>
      </c>
      <c r="AY153" s="579" t="e">
        <f>IF(AY$141&lt;1,0,(AY$141*Inputs!$I$180*Inputs!$I$185*1440*0.001))</f>
        <v>#VALUE!</v>
      </c>
      <c r="AZ153" s="579" t="e">
        <f>IF(AZ$141&lt;1,0,(AZ$141*Inputs!$I$180*Inputs!$I$185*1440*0.001))</f>
        <v>#VALUE!</v>
      </c>
      <c r="BA153" s="579" t="e">
        <f>IF(BA$141&lt;1,0,(BA$141*Inputs!$I$180*Inputs!$I$185*1440*0.001))</f>
        <v>#VALUE!</v>
      </c>
      <c r="BB153" s="579" t="e">
        <f>IF(BB$141&lt;1,0,(BB$141*Inputs!$I$180*Inputs!$I$185*1440*0.001))</f>
        <v>#VALUE!</v>
      </c>
      <c r="BC153" s="579" t="e">
        <f>IF(BC$141&lt;1,0,(BC$141*Inputs!$I$180*Inputs!$I$185*1440*0.001))</f>
        <v>#VALUE!</v>
      </c>
      <c r="BD153" s="579" t="e">
        <f>IF(BD$141&lt;1,0,(BD$141*Inputs!$I$180*Inputs!$I$185*1440*0.001))</f>
        <v>#VALUE!</v>
      </c>
      <c r="BE153" s="910"/>
      <c r="BF153" s="910"/>
      <c r="BG153" s="910"/>
      <c r="BH153" s="910"/>
      <c r="BI153" s="910"/>
      <c r="BJ153" s="910"/>
      <c r="BK153" s="910"/>
      <c r="BL153" s="910"/>
      <c r="BM153" s="910"/>
      <c r="BN153" s="910"/>
    </row>
    <row r="154" spans="1:66" s="909" customFormat="1" x14ac:dyDescent="0.35">
      <c r="A154" s="910"/>
      <c r="B154" s="1534"/>
      <c r="C154" s="910" t="s">
        <v>1877</v>
      </c>
      <c r="D154" s="910"/>
      <c r="E154" s="640"/>
      <c r="F154" s="579">
        <f ca="1">IF(F$141&lt;1,0,(F$141*Inputs!$I$181*Inputs!$I$186*1440*0.001))</f>
        <v>0</v>
      </c>
      <c r="G154" s="579">
        <f ca="1">IF(G$141&lt;1,0,(G$141*Inputs!$I$181*Inputs!$I$186*1440*0.001))</f>
        <v>0</v>
      </c>
      <c r="H154" s="579">
        <f ca="1">IF(H$141&lt;1,0,(H$141*Inputs!$I$181*Inputs!$I$186*1440*0.001))</f>
        <v>32.716032033240928</v>
      </c>
      <c r="I154" s="579">
        <f ca="1">IF(I$141&lt;1,0,(I$141*Inputs!$I$181*Inputs!$I$186*1440*0.001))</f>
        <v>112.42492835172298</v>
      </c>
      <c r="J154" s="579">
        <f ca="1">IF(J$141&lt;1,0,(J$141*Inputs!$I$181*Inputs!$I$186*1440*0.001))</f>
        <v>386.29842912643875</v>
      </c>
      <c r="K154" s="579">
        <f ca="1">IF(K$141&lt;1,0,(K$141*Inputs!$I$181*Inputs!$I$186*1440*0.001))</f>
        <v>1326.9058218506298</v>
      </c>
      <c r="L154" s="579" t="e">
        <f>IF(L$141&lt;1,0,(L$141*Inputs!$I$181*Inputs!$I$186*1440*0.001))</f>
        <v>#VALUE!</v>
      </c>
      <c r="M154" s="579" t="e">
        <f>IF(M$141&lt;1,0,(M$141*Inputs!$I$181*Inputs!$I$186*1440*0.001))</f>
        <v>#VALUE!</v>
      </c>
      <c r="N154" s="579" t="e">
        <f>IF(N$141&lt;1,0,(N$141*Inputs!$I$181*Inputs!$I$186*1440*0.001))</f>
        <v>#VALUE!</v>
      </c>
      <c r="O154" s="579" t="e">
        <f>IF(O$141&lt;1,0,(O$141*Inputs!$I$181*Inputs!$I$186*1440*0.001))</f>
        <v>#VALUE!</v>
      </c>
      <c r="P154" s="579" t="e">
        <f>IF(P$141&lt;1,0,(P$141*Inputs!$I$181*Inputs!$I$186*1440*0.001))</f>
        <v>#VALUE!</v>
      </c>
      <c r="Q154" s="579" t="e">
        <f>IF(Q$141&lt;1,0,(Q$141*Inputs!$I$181*Inputs!$I$186*1440*0.001))</f>
        <v>#VALUE!</v>
      </c>
      <c r="R154" s="579" t="e">
        <f>IF(R$141&lt;1,0,(R$141*Inputs!$I$181*Inputs!$I$186*1440*0.001))</f>
        <v>#VALUE!</v>
      </c>
      <c r="S154" s="579" t="e">
        <f>IF(S$141&lt;1,0,(S$141*Inputs!$I$181*Inputs!$I$186*1440*0.001))</f>
        <v>#VALUE!</v>
      </c>
      <c r="T154" s="579" t="e">
        <f>IF(T$141&lt;1,0,(T$141*Inputs!$I$181*Inputs!$I$186*1440*0.001))</f>
        <v>#VALUE!</v>
      </c>
      <c r="U154" s="579" t="e">
        <f>IF(U$141&lt;1,0,(U$141*Inputs!$I$181*Inputs!$I$186*1440*0.001))</f>
        <v>#VALUE!</v>
      </c>
      <c r="V154" s="579" t="e">
        <f>IF(V$141&lt;1,0,(V$141*Inputs!$I$181*Inputs!$I$186*1440*0.001))</f>
        <v>#VALUE!</v>
      </c>
      <c r="W154" s="579" t="e">
        <f>IF(W$141&lt;1,0,(W$141*Inputs!$I$181*Inputs!$I$186*1440*0.001))</f>
        <v>#VALUE!</v>
      </c>
      <c r="X154" s="579" t="e">
        <f>IF(X$141&lt;1,0,(X$141*Inputs!$I$181*Inputs!$I$186*1440*0.001))</f>
        <v>#VALUE!</v>
      </c>
      <c r="Y154" s="579" t="e">
        <f>IF(Y$141&lt;1,0,(Y$141*Inputs!$I$181*Inputs!$I$186*1440*0.001))</f>
        <v>#VALUE!</v>
      </c>
      <c r="Z154" s="579" t="e">
        <f>IF(Z$141&lt;1,0,(Z$141*Inputs!$I$181*Inputs!$I$186*1440*0.001))</f>
        <v>#VALUE!</v>
      </c>
      <c r="AA154" s="579" t="e">
        <f>IF(AA$141&lt;1,0,(AA$141*Inputs!$I$181*Inputs!$I$186*1440*0.001))</f>
        <v>#VALUE!</v>
      </c>
      <c r="AB154" s="579" t="e">
        <f>IF(AB$141&lt;1,0,(AB$141*Inputs!$I$181*Inputs!$I$186*1440*0.001))</f>
        <v>#VALUE!</v>
      </c>
      <c r="AC154" s="579" t="e">
        <f>IF(AC$141&lt;1,0,(AC$141*Inputs!$I$181*Inputs!$I$186*1440*0.001))</f>
        <v>#VALUE!</v>
      </c>
      <c r="AD154" s="579" t="e">
        <f>IF(AD$141&lt;1,0,(AD$141*Inputs!$I$181*Inputs!$I$186*1440*0.001))</f>
        <v>#VALUE!</v>
      </c>
      <c r="AE154" s="579" t="e">
        <f>IF(AE$141&lt;1,0,(AE$141*Inputs!$I$181*Inputs!$I$186*1440*0.001))</f>
        <v>#VALUE!</v>
      </c>
      <c r="AF154" s="579" t="e">
        <f>IF(AF$141&lt;1,0,(AF$141*Inputs!$I$181*Inputs!$I$186*1440*0.001))</f>
        <v>#VALUE!</v>
      </c>
      <c r="AG154" s="579" t="e">
        <f>IF(AG$141&lt;1,0,(AG$141*Inputs!$I$181*Inputs!$I$186*1440*0.001))</f>
        <v>#VALUE!</v>
      </c>
      <c r="AH154" s="579" t="e">
        <f>IF(AH$141&lt;1,0,(AH$141*Inputs!$I$181*Inputs!$I$186*1440*0.001))</f>
        <v>#VALUE!</v>
      </c>
      <c r="AI154" s="579" t="e">
        <f>IF(AI$141&lt;1,0,(AI$141*Inputs!$I$181*Inputs!$I$186*1440*0.001))</f>
        <v>#VALUE!</v>
      </c>
      <c r="AJ154" s="579" t="e">
        <f>IF(AJ$141&lt;1,0,(AJ$141*Inputs!$I$181*Inputs!$I$186*1440*0.001))</f>
        <v>#VALUE!</v>
      </c>
      <c r="AK154" s="579" t="e">
        <f>IF(AK$141&lt;1,0,(AK$141*Inputs!$I$181*Inputs!$I$186*1440*0.001))</f>
        <v>#VALUE!</v>
      </c>
      <c r="AL154" s="579" t="e">
        <f>IF(AL$141&lt;1,0,(AL$141*Inputs!$I$181*Inputs!$I$186*1440*0.001))</f>
        <v>#VALUE!</v>
      </c>
      <c r="AM154" s="579" t="e">
        <f>IF(AM$141&lt;1,0,(AM$141*Inputs!$I$181*Inputs!$I$186*1440*0.001))</f>
        <v>#VALUE!</v>
      </c>
      <c r="AN154" s="579" t="e">
        <f>IF(AN$141&lt;1,0,(AN$141*Inputs!$I$181*Inputs!$I$186*1440*0.001))</f>
        <v>#VALUE!</v>
      </c>
      <c r="AO154" s="579" t="e">
        <f>IF(AO$141&lt;1,0,(AO$141*Inputs!$I$181*Inputs!$I$186*1440*0.001))</f>
        <v>#VALUE!</v>
      </c>
      <c r="AP154" s="579" t="e">
        <f>IF(AP$141&lt;1,0,(AP$141*Inputs!$I$181*Inputs!$I$186*1440*0.001))</f>
        <v>#VALUE!</v>
      </c>
      <c r="AQ154" s="579" t="e">
        <f>IF(AQ$141&lt;1,0,(AQ$141*Inputs!$I$181*Inputs!$I$186*1440*0.001))</f>
        <v>#VALUE!</v>
      </c>
      <c r="AR154" s="579" t="e">
        <f>IF(AR$141&lt;1,0,(AR$141*Inputs!$I$181*Inputs!$I$186*1440*0.001))</f>
        <v>#VALUE!</v>
      </c>
      <c r="AS154" s="579" t="e">
        <f>IF(AS$141&lt;1,0,(AS$141*Inputs!$I$181*Inputs!$I$186*1440*0.001))</f>
        <v>#VALUE!</v>
      </c>
      <c r="AT154" s="579" t="e">
        <f>IF(AT$141&lt;1,0,(AT$141*Inputs!$I$181*Inputs!$I$186*1440*0.001))</f>
        <v>#VALUE!</v>
      </c>
      <c r="AU154" s="579" t="e">
        <f>IF(AU$141&lt;1,0,(AU$141*Inputs!$I$181*Inputs!$I$186*1440*0.001))</f>
        <v>#VALUE!</v>
      </c>
      <c r="AV154" s="579" t="e">
        <f>IF(AV$141&lt;1,0,(AV$141*Inputs!$I$181*Inputs!$I$186*1440*0.001))</f>
        <v>#VALUE!</v>
      </c>
      <c r="AW154" s="579" t="e">
        <f>IF(AW$141&lt;1,0,(AW$141*Inputs!$I$181*Inputs!$I$186*1440*0.001))</f>
        <v>#VALUE!</v>
      </c>
      <c r="AX154" s="579" t="e">
        <f>IF(AX$141&lt;1,0,(AX$141*Inputs!$I$181*Inputs!$I$186*1440*0.001))</f>
        <v>#VALUE!</v>
      </c>
      <c r="AY154" s="579" t="e">
        <f>IF(AY$141&lt;1,0,(AY$141*Inputs!$I$181*Inputs!$I$186*1440*0.001))</f>
        <v>#VALUE!</v>
      </c>
      <c r="AZ154" s="579" t="e">
        <f>IF(AZ$141&lt;1,0,(AZ$141*Inputs!$I$181*Inputs!$I$186*1440*0.001))</f>
        <v>#VALUE!</v>
      </c>
      <c r="BA154" s="579" t="e">
        <f>IF(BA$141&lt;1,0,(BA$141*Inputs!$I$181*Inputs!$I$186*1440*0.001))</f>
        <v>#VALUE!</v>
      </c>
      <c r="BB154" s="579" t="e">
        <f>IF(BB$141&lt;1,0,(BB$141*Inputs!$I$181*Inputs!$I$186*1440*0.001))</f>
        <v>#VALUE!</v>
      </c>
      <c r="BC154" s="579" t="e">
        <f>IF(BC$141&lt;1,0,(BC$141*Inputs!$I$181*Inputs!$I$186*1440*0.001))</f>
        <v>#VALUE!</v>
      </c>
      <c r="BD154" s="579" t="e">
        <f>IF(BD$141&lt;1,0,(BD$141*Inputs!$I$181*Inputs!$I$186*1440*0.001))</f>
        <v>#VALUE!</v>
      </c>
      <c r="BE154" s="910"/>
      <c r="BF154" s="910"/>
      <c r="BG154" s="910"/>
      <c r="BH154" s="910"/>
      <c r="BI154" s="910"/>
      <c r="BJ154" s="910"/>
      <c r="BK154" s="910"/>
      <c r="BL154" s="910"/>
      <c r="BM154" s="910"/>
      <c r="BN154" s="910"/>
    </row>
    <row r="155" spans="1:66" s="909" customFormat="1" ht="15" thickBot="1" x14ac:dyDescent="0.4">
      <c r="A155" s="910"/>
      <c r="B155" s="1535"/>
      <c r="C155" s="1027" t="s">
        <v>1870</v>
      </c>
      <c r="D155" s="1027"/>
      <c r="E155" s="1028"/>
      <c r="F155" s="582">
        <f ca="1">SUM(F152:F154)</f>
        <v>0</v>
      </c>
      <c r="G155" s="582">
        <f t="shared" ref="G155:BD155" ca="1" si="23">SUM(G152:G154)</f>
        <v>22.122991446461814</v>
      </c>
      <c r="H155" s="582">
        <f t="shared" ca="1" si="23"/>
        <v>174.17320075298377</v>
      </c>
      <c r="I155" s="582">
        <f t="shared" ca="1" si="23"/>
        <v>598.52446545707699</v>
      </c>
      <c r="J155" s="582">
        <f t="shared" ca="1" si="23"/>
        <v>2056.5408943567245</v>
      </c>
      <c r="K155" s="582">
        <f t="shared" ca="1" si="23"/>
        <v>7063.7893241263691</v>
      </c>
      <c r="L155" s="582" t="e">
        <f t="shared" si="23"/>
        <v>#VALUE!</v>
      </c>
      <c r="M155" s="582" t="e">
        <f t="shared" si="23"/>
        <v>#VALUE!</v>
      </c>
      <c r="N155" s="582" t="e">
        <f t="shared" si="23"/>
        <v>#VALUE!</v>
      </c>
      <c r="O155" s="582" t="e">
        <f t="shared" si="23"/>
        <v>#VALUE!</v>
      </c>
      <c r="P155" s="582" t="e">
        <f t="shared" si="23"/>
        <v>#VALUE!</v>
      </c>
      <c r="Q155" s="582" t="e">
        <f>SUM(Q152:Q154)</f>
        <v>#VALUE!</v>
      </c>
      <c r="R155" s="582" t="e">
        <f t="shared" si="23"/>
        <v>#VALUE!</v>
      </c>
      <c r="S155" s="582" t="e">
        <f t="shared" si="23"/>
        <v>#VALUE!</v>
      </c>
      <c r="T155" s="582" t="e">
        <f t="shared" si="23"/>
        <v>#VALUE!</v>
      </c>
      <c r="U155" s="582" t="e">
        <f t="shared" si="23"/>
        <v>#VALUE!</v>
      </c>
      <c r="V155" s="582" t="e">
        <f t="shared" si="23"/>
        <v>#VALUE!</v>
      </c>
      <c r="W155" s="582" t="e">
        <f t="shared" si="23"/>
        <v>#VALUE!</v>
      </c>
      <c r="X155" s="582" t="e">
        <f t="shared" si="23"/>
        <v>#VALUE!</v>
      </c>
      <c r="Y155" s="582" t="e">
        <f t="shared" si="23"/>
        <v>#VALUE!</v>
      </c>
      <c r="Z155" s="582" t="e">
        <f t="shared" si="23"/>
        <v>#VALUE!</v>
      </c>
      <c r="AA155" s="582" t="e">
        <f t="shared" si="23"/>
        <v>#VALUE!</v>
      </c>
      <c r="AB155" s="582" t="e">
        <f t="shared" si="23"/>
        <v>#VALUE!</v>
      </c>
      <c r="AC155" s="582" t="e">
        <f t="shared" si="23"/>
        <v>#VALUE!</v>
      </c>
      <c r="AD155" s="582" t="e">
        <f t="shared" si="23"/>
        <v>#VALUE!</v>
      </c>
      <c r="AE155" s="582" t="e">
        <f t="shared" si="23"/>
        <v>#VALUE!</v>
      </c>
      <c r="AF155" s="582" t="e">
        <f t="shared" si="23"/>
        <v>#VALUE!</v>
      </c>
      <c r="AG155" s="582" t="e">
        <f t="shared" si="23"/>
        <v>#VALUE!</v>
      </c>
      <c r="AH155" s="582" t="e">
        <f t="shared" si="23"/>
        <v>#VALUE!</v>
      </c>
      <c r="AI155" s="582" t="e">
        <f t="shared" si="23"/>
        <v>#VALUE!</v>
      </c>
      <c r="AJ155" s="582" t="e">
        <f t="shared" si="23"/>
        <v>#VALUE!</v>
      </c>
      <c r="AK155" s="582" t="e">
        <f t="shared" si="23"/>
        <v>#VALUE!</v>
      </c>
      <c r="AL155" s="582" t="e">
        <f t="shared" si="23"/>
        <v>#VALUE!</v>
      </c>
      <c r="AM155" s="582" t="e">
        <f t="shared" si="23"/>
        <v>#VALUE!</v>
      </c>
      <c r="AN155" s="582" t="e">
        <f t="shared" si="23"/>
        <v>#VALUE!</v>
      </c>
      <c r="AO155" s="582" t="e">
        <f t="shared" si="23"/>
        <v>#VALUE!</v>
      </c>
      <c r="AP155" s="582" t="e">
        <f t="shared" si="23"/>
        <v>#VALUE!</v>
      </c>
      <c r="AQ155" s="582" t="e">
        <f t="shared" si="23"/>
        <v>#VALUE!</v>
      </c>
      <c r="AR155" s="582" t="e">
        <f t="shared" si="23"/>
        <v>#VALUE!</v>
      </c>
      <c r="AS155" s="582" t="e">
        <f t="shared" si="23"/>
        <v>#VALUE!</v>
      </c>
      <c r="AT155" s="582" t="e">
        <f t="shared" si="23"/>
        <v>#VALUE!</v>
      </c>
      <c r="AU155" s="582" t="e">
        <f t="shared" si="23"/>
        <v>#VALUE!</v>
      </c>
      <c r="AV155" s="582" t="e">
        <f t="shared" si="23"/>
        <v>#VALUE!</v>
      </c>
      <c r="AW155" s="582" t="e">
        <f t="shared" si="23"/>
        <v>#VALUE!</v>
      </c>
      <c r="AX155" s="582" t="e">
        <f t="shared" si="23"/>
        <v>#VALUE!</v>
      </c>
      <c r="AY155" s="582" t="e">
        <f t="shared" si="23"/>
        <v>#VALUE!</v>
      </c>
      <c r="AZ155" s="582" t="e">
        <f t="shared" si="23"/>
        <v>#VALUE!</v>
      </c>
      <c r="BA155" s="582" t="e">
        <f t="shared" si="23"/>
        <v>#VALUE!</v>
      </c>
      <c r="BB155" s="582" t="e">
        <f t="shared" si="23"/>
        <v>#VALUE!</v>
      </c>
      <c r="BC155" s="582" t="e">
        <f t="shared" si="23"/>
        <v>#VALUE!</v>
      </c>
      <c r="BD155" s="582" t="e">
        <f t="shared" si="23"/>
        <v>#VALUE!</v>
      </c>
      <c r="BE155" s="910"/>
      <c r="BF155" s="910"/>
      <c r="BG155" s="910"/>
      <c r="BH155" s="910"/>
      <c r="BI155" s="910"/>
      <c r="BJ155" s="910"/>
      <c r="BK155" s="910"/>
      <c r="BL155" s="910"/>
      <c r="BM155" s="910"/>
      <c r="BN155" s="910"/>
    </row>
    <row r="156" spans="1:66" s="909" customFormat="1" x14ac:dyDescent="0.35">
      <c r="A156" s="910"/>
      <c r="B156" s="910"/>
      <c r="C156"/>
      <c r="D156"/>
      <c r="E156"/>
      <c r="F156"/>
      <c r="G156"/>
      <c r="H156" s="910"/>
      <c r="I156" s="910"/>
      <c r="J156" s="910"/>
      <c r="K156" s="910"/>
      <c r="L156" s="910"/>
      <c r="M156" s="910"/>
      <c r="N156" s="910"/>
      <c r="O156" s="910"/>
      <c r="P156" s="910"/>
      <c r="Q156" s="910"/>
      <c r="R156" s="910"/>
      <c r="S156" s="910"/>
      <c r="T156" s="910"/>
      <c r="U156" s="910"/>
      <c r="V156" s="910"/>
      <c r="W156" s="910"/>
      <c r="X156" s="911"/>
      <c r="Y156" s="910"/>
      <c r="Z156" s="910"/>
      <c r="AA156" s="910"/>
      <c r="AB156" s="910"/>
      <c r="AC156" s="910"/>
      <c r="AD156" s="910"/>
      <c r="AE156" s="910"/>
      <c r="AF156" s="910"/>
      <c r="AG156" s="910"/>
      <c r="AH156" s="910"/>
      <c r="AI156" s="910"/>
      <c r="AJ156" s="910"/>
      <c r="AK156" s="910"/>
      <c r="AL156" s="910"/>
      <c r="AM156" s="910"/>
      <c r="AN156" s="910"/>
      <c r="AO156" s="910"/>
      <c r="AP156" s="910"/>
      <c r="AQ156" s="910"/>
      <c r="AR156" s="910"/>
      <c r="AS156" s="910"/>
      <c r="AT156" s="910"/>
      <c r="AU156" s="910"/>
      <c r="AV156" s="910"/>
      <c r="AW156" s="910"/>
      <c r="AX156" s="910"/>
      <c r="AY156" s="910"/>
      <c r="AZ156" s="910"/>
      <c r="BA156" s="910"/>
      <c r="BB156" s="910"/>
      <c r="BC156" s="910"/>
      <c r="BD156" s="910"/>
      <c r="BE156" s="910"/>
      <c r="BF156" s="910"/>
      <c r="BG156" s="910"/>
      <c r="BH156" s="910"/>
      <c r="BI156" s="910"/>
      <c r="BJ156" s="910"/>
      <c r="BK156" s="910"/>
      <c r="BL156" s="910"/>
      <c r="BM156" s="910"/>
      <c r="BN156" s="910"/>
    </row>
    <row r="157" spans="1:66" s="909" customFormat="1" x14ac:dyDescent="0.35">
      <c r="A157" s="910"/>
      <c r="B157" s="910" t="s">
        <v>1777</v>
      </c>
      <c r="C157" s="910"/>
      <c r="D157" s="910"/>
      <c r="E157" s="910"/>
      <c r="F157" s="189" t="s">
        <v>1778</v>
      </c>
      <c r="G157" s="85"/>
      <c r="H157" s="910"/>
      <c r="I157" s="910"/>
      <c r="J157" s="910"/>
      <c r="K157" s="910"/>
      <c r="L157" s="910"/>
      <c r="M157" s="910"/>
      <c r="N157" s="910"/>
      <c r="O157" s="910"/>
      <c r="P157" s="910"/>
      <c r="Q157" s="910"/>
      <c r="R157" s="910"/>
      <c r="S157" s="910"/>
      <c r="T157" s="910"/>
      <c r="U157" s="910"/>
      <c r="V157" s="910"/>
      <c r="W157" s="910"/>
      <c r="X157" s="911"/>
      <c r="Y157" s="910"/>
      <c r="Z157" s="910"/>
      <c r="AA157" s="910"/>
      <c r="AB157" s="910"/>
      <c r="AC157" s="910"/>
      <c r="AD157" s="910"/>
      <c r="AE157" s="910"/>
      <c r="AF157" s="910"/>
      <c r="AG157" s="910"/>
      <c r="AH157" s="910"/>
      <c r="AI157" s="910"/>
      <c r="AJ157" s="910"/>
      <c r="AK157" s="910"/>
      <c r="AL157" s="910"/>
      <c r="AM157" s="910"/>
      <c r="AN157" s="910"/>
      <c r="AO157" s="910"/>
      <c r="AP157" s="910"/>
      <c r="AQ157" s="910"/>
      <c r="AR157" s="910"/>
      <c r="AS157" s="910"/>
      <c r="AT157" s="910"/>
      <c r="AU157" s="910"/>
      <c r="AV157" s="910"/>
      <c r="AW157" s="910"/>
      <c r="AX157" s="910"/>
      <c r="AY157" s="910"/>
      <c r="AZ157" s="910"/>
      <c r="BA157" s="910"/>
      <c r="BB157" s="910"/>
      <c r="BC157" s="910"/>
      <c r="BD157" s="910"/>
      <c r="BE157" s="910"/>
      <c r="BF157" s="910"/>
      <c r="BG157" s="910"/>
      <c r="BH157" s="910"/>
      <c r="BI157" s="910"/>
      <c r="BJ157" s="910"/>
      <c r="BK157" s="910"/>
      <c r="BL157" s="910"/>
      <c r="BM157" s="910"/>
      <c r="BN157" s="910"/>
    </row>
    <row r="158" spans="1:66" s="909" customFormat="1" x14ac:dyDescent="0.35">
      <c r="A158" s="910"/>
      <c r="B158" s="85"/>
      <c r="C158" s="910"/>
      <c r="D158" s="910"/>
      <c r="E158" s="910"/>
      <c r="F158" s="910"/>
      <c r="G158" s="85"/>
      <c r="H158" s="910"/>
      <c r="I158" s="910"/>
      <c r="J158" s="910"/>
      <c r="K158" s="910"/>
      <c r="L158" s="910"/>
      <c r="M158" s="910"/>
      <c r="N158" s="910"/>
      <c r="O158" s="910"/>
      <c r="P158" s="910"/>
      <c r="Q158" s="910"/>
      <c r="R158" s="910"/>
      <c r="S158" s="910"/>
      <c r="T158" s="910"/>
      <c r="U158" s="910"/>
      <c r="V158" s="910"/>
      <c r="W158" s="910"/>
      <c r="X158" s="911"/>
      <c r="Y158" s="910"/>
      <c r="Z158" s="910"/>
      <c r="AA158" s="910"/>
      <c r="AB158" s="910"/>
      <c r="AC158" s="910"/>
      <c r="AD158" s="910"/>
      <c r="AE158" s="910"/>
      <c r="AF158" s="910"/>
      <c r="AG158" s="910"/>
      <c r="AH158" s="910"/>
      <c r="AI158" s="910"/>
      <c r="AJ158" s="910"/>
      <c r="AK158" s="910"/>
      <c r="AL158" s="910"/>
      <c r="AM158" s="910"/>
      <c r="AN158" s="910"/>
      <c r="AO158" s="910"/>
      <c r="AP158" s="910"/>
      <c r="AQ158" s="910"/>
      <c r="AR158" s="910"/>
      <c r="AS158" s="910"/>
      <c r="AT158" s="910"/>
      <c r="AU158" s="910"/>
      <c r="AV158" s="910"/>
      <c r="AW158" s="910"/>
      <c r="AX158" s="910"/>
      <c r="AY158" s="910"/>
      <c r="AZ158" s="910"/>
      <c r="BA158" s="910"/>
      <c r="BB158" s="910"/>
      <c r="BC158" s="910"/>
      <c r="BD158" s="910"/>
      <c r="BE158" s="910"/>
      <c r="BF158" s="910"/>
      <c r="BG158" s="910"/>
      <c r="BH158" s="910"/>
      <c r="BI158" s="910"/>
      <c r="BJ158" s="910"/>
      <c r="BK158" s="910"/>
      <c r="BL158" s="910"/>
      <c r="BM158" s="910"/>
      <c r="BN158" s="910"/>
    </row>
    <row r="159" spans="1:66" s="86" customFormat="1" ht="17" x14ac:dyDescent="0.4">
      <c r="B159" s="87" t="s">
        <v>623</v>
      </c>
      <c r="C159" s="88"/>
      <c r="D159" s="702" t="s">
        <v>1355</v>
      </c>
      <c r="X159" s="686"/>
    </row>
    <row r="160" spans="1:66" ht="19" thickBot="1" x14ac:dyDescent="0.5">
      <c r="D160" s="326"/>
      <c r="G160" s="129"/>
    </row>
    <row r="161" spans="1:66" x14ac:dyDescent="0.35">
      <c r="B161" s="697"/>
      <c r="C161" s="932" t="s">
        <v>294</v>
      </c>
      <c r="D161" s="1462" t="str">
        <f>'Equipment List &amp; Usage'!D14</f>
        <v>Item</v>
      </c>
      <c r="E161" s="1463"/>
      <c r="F161" s="986" t="s">
        <v>287</v>
      </c>
      <c r="G161" s="925" t="s">
        <v>802</v>
      </c>
      <c r="H161" s="914" t="s">
        <v>819</v>
      </c>
    </row>
    <row r="162" spans="1:66" x14ac:dyDescent="0.35">
      <c r="B162"/>
      <c r="C162" s="943" t="str">
        <f>'Equipment List &amp; Usage'!C15</f>
        <v>Hygiene</v>
      </c>
      <c r="D162" s="931" t="str">
        <f>'Equipment List &amp; Usage'!D15</f>
        <v>Chlorine, HTH 70%</v>
      </c>
      <c r="E162" s="930"/>
      <c r="F162" s="929" t="str">
        <f>'Equipment List &amp; Usage'!E15</f>
        <v>Kg</v>
      </c>
      <c r="G162" s="920">
        <f ca="1">'Equipment List &amp; Usage'!BE15</f>
        <v>1521.4469211251032</v>
      </c>
      <c r="H162" s="921">
        <f ca="1">'Equipment List &amp; Usage'!BF15</f>
        <v>5325.0642239378612</v>
      </c>
      <c r="I162" s="1035" t="str">
        <f ca="1">IF(H162=0,IF(G162&gt;0,"Reminder: please enter a unit price in the 'Equipment List &amp; Usage' tab. No price currently entered",""),"")</f>
        <v/>
      </c>
    </row>
    <row r="163" spans="1:66" x14ac:dyDescent="0.35">
      <c r="B163"/>
      <c r="C163" s="943" t="str">
        <f>'Equipment List &amp; Usage'!C16</f>
        <v>Hygiene</v>
      </c>
      <c r="D163" s="931" t="str">
        <f>'Equipment List &amp; Usage'!D16</f>
        <v>Alcohol-based hand rub</v>
      </c>
      <c r="E163" s="930"/>
      <c r="F163" s="929" t="str">
        <f>'Equipment List &amp; Usage'!E16</f>
        <v>Lt</v>
      </c>
      <c r="G163" s="920">
        <f ca="1">'Equipment List &amp; Usage'!BE16</f>
        <v>1024.0724805495404</v>
      </c>
      <c r="H163" s="921">
        <f ca="1">'Equipment List &amp; Usage'!BF16</f>
        <v>8499.8015885611858</v>
      </c>
      <c r="I163" s="1035" t="str">
        <f ca="1">IF(H163=0,IF(G163&gt;0,"Reminder: please enter a unit price in the 'Equipment List &amp; Usage' tab. No price currently entered",""),"")</f>
        <v/>
      </c>
    </row>
    <row r="164" spans="1:66" s="84" customFormat="1" x14ac:dyDescent="0.35">
      <c r="B164"/>
      <c r="C164" s="943" t="str">
        <f>'Equipment List &amp; Usage'!C17</f>
        <v>Hygiene</v>
      </c>
      <c r="D164" s="931" t="str">
        <f>'Equipment List &amp; Usage'!D17</f>
        <v>Liquid soap</v>
      </c>
      <c r="E164" s="930"/>
      <c r="F164" s="929" t="str">
        <f>'Equipment List &amp; Usage'!E17</f>
        <v>Lt</v>
      </c>
      <c r="G164" s="920">
        <f ca="1">'Equipment List &amp; Usage'!BE17</f>
        <v>564.31843761737161</v>
      </c>
      <c r="H164" s="921">
        <f ca="1">'Equipment List &amp; Usage'!BF17</f>
        <v>507.88659385563449</v>
      </c>
      <c r="I164" s="1035" t="str">
        <f ca="1">IF(H164=0,IF(G164&gt;0,"Reminder: please enter a unit price in the 'Equipment List &amp; Usage' tab. No price currently entered",""),"")</f>
        <v/>
      </c>
      <c r="X164" s="115"/>
    </row>
    <row r="165" spans="1:66" s="84" customFormat="1" ht="15" thickBot="1" x14ac:dyDescent="0.4">
      <c r="B165"/>
      <c r="C165" s="944" t="str">
        <f>'Equipment List &amp; Usage'!C18</f>
        <v>Hygiene</v>
      </c>
      <c r="D165" s="933" t="str">
        <f>'Equipment List &amp; Usage'!D18</f>
        <v>Bio-hazardous bag</v>
      </c>
      <c r="E165" s="934"/>
      <c r="F165" s="935" t="str">
        <f>'Equipment List &amp; Usage'!E18</f>
        <v>Each</v>
      </c>
      <c r="G165" s="936">
        <f ca="1">'Equipment List &amp; Usage'!BE18</f>
        <v>13146.122680687973</v>
      </c>
      <c r="H165" s="937">
        <f ca="1">'Equipment List &amp; Usage'!BF18</f>
        <v>1971.9184021031958</v>
      </c>
      <c r="I165" s="1035" t="str">
        <f ca="1">IF(H165=0,IF(G165&gt;0,"Reminder: please enter a unit price in the 'Equipment List &amp; Usage' tab. No price currently entered",""),"")</f>
        <v/>
      </c>
      <c r="X165" s="115"/>
    </row>
    <row r="166" spans="1:66" ht="15" thickBot="1" x14ac:dyDescent="0.4">
      <c r="A166"/>
      <c r="B166"/>
      <c r="C166"/>
      <c r="D166"/>
      <c r="E166"/>
      <c r="F166"/>
      <c r="G166"/>
      <c r="H166"/>
      <c r="I166"/>
      <c r="J166"/>
      <c r="K166"/>
      <c r="L166"/>
      <c r="M166"/>
      <c r="N166"/>
      <c r="O166"/>
      <c r="P166"/>
      <c r="Q166"/>
      <c r="R166"/>
      <c r="S166"/>
      <c r="T166"/>
      <c r="U166"/>
      <c r="V166"/>
      <c r="W166"/>
      <c r="X166" s="9"/>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row>
    <row r="167" spans="1:66" s="84" customFormat="1" x14ac:dyDescent="0.35">
      <c r="B167"/>
      <c r="C167" s="382" t="str">
        <f>'Equipment List &amp; Usage'!C20</f>
        <v>PPE</v>
      </c>
      <c r="D167" s="348" t="str">
        <f>'Equipment List &amp; Usage'!D20</f>
        <v>Gown, protective</v>
      </c>
      <c r="E167" s="349"/>
      <c r="F167" s="350" t="str">
        <f>'Equipment List &amp; Usage'!E20</f>
        <v>Each</v>
      </c>
      <c r="G167" s="351">
        <f ca="1">'Equipment List &amp; Usage'!BE20</f>
        <v>42262.045361375946</v>
      </c>
      <c r="H167" s="352">
        <f ca="1">'Equipment List &amp; Usage'!BF20</f>
        <v>33809.636289100759</v>
      </c>
      <c r="I167" s="1035" t="str">
        <f t="shared" ref="I167:I180" ca="1" si="24">IF(H167=0,IF(G167&gt;0,"Reminder: please enter a unit price in the 'Equipment List &amp; Usage' tab. No price currently entered",""),"")</f>
        <v/>
      </c>
      <c r="X167" s="115"/>
    </row>
    <row r="168" spans="1:66" s="84" customFormat="1" x14ac:dyDescent="0.35">
      <c r="B168"/>
      <c r="C168" s="380" t="str">
        <f>'Equipment List &amp; Usage'!C21</f>
        <v>PPE</v>
      </c>
      <c r="D168" s="327" t="str">
        <f>'Equipment List &amp; Usage'!D21</f>
        <v>Scrubs, tops</v>
      </c>
      <c r="E168" s="325"/>
      <c r="F168" s="310" t="str">
        <f>'Equipment List &amp; Usage'!E21</f>
        <v>Each</v>
      </c>
      <c r="G168" s="230">
        <f ca="1">'Equipment List &amp; Usage'!BE21</f>
        <v>1113.5841632777458</v>
      </c>
      <c r="H168" s="231">
        <f ca="1">'Equipment List &amp; Usage'!BF21</f>
        <v>2895.318824522139</v>
      </c>
      <c r="I168" s="1035" t="str">
        <f t="shared" ca="1" si="24"/>
        <v/>
      </c>
      <c r="X168" s="115"/>
    </row>
    <row r="169" spans="1:66" s="84" customFormat="1" ht="14.9" customHeight="1" x14ac:dyDescent="0.35">
      <c r="B169"/>
      <c r="C169" s="380" t="str">
        <f>'Equipment List &amp; Usage'!C22</f>
        <v>PPE</v>
      </c>
      <c r="D169" s="327" t="str">
        <f>'Equipment List &amp; Usage'!D22</f>
        <v>Scrubs, pants</v>
      </c>
      <c r="E169" s="325"/>
      <c r="F169" s="310" t="str">
        <f>'Equipment List &amp; Usage'!E22</f>
        <v>Each</v>
      </c>
      <c r="G169" s="230">
        <f ca="1">'Equipment List &amp; Usage'!BE22</f>
        <v>1113.5841632777458</v>
      </c>
      <c r="H169" s="231">
        <f ca="1">'Equipment List &amp; Usage'!BF22</f>
        <v>2895.318824522139</v>
      </c>
      <c r="I169" s="1035" t="str">
        <f t="shared" ca="1" si="24"/>
        <v/>
      </c>
      <c r="X169" s="115"/>
    </row>
    <row r="170" spans="1:66" s="84" customFormat="1" x14ac:dyDescent="0.35">
      <c r="B170"/>
      <c r="C170" s="380" t="str">
        <f>'Equipment List &amp; Usage'!C23</f>
        <v>PPE</v>
      </c>
      <c r="D170" s="327" t="str">
        <f>'Equipment List &amp; Usage'!D23</f>
        <v>Apron, disposable</v>
      </c>
      <c r="E170" s="325"/>
      <c r="F170" s="310" t="str">
        <f>'Equipment List &amp; Usage'!E23</f>
        <v>Each</v>
      </c>
      <c r="G170" s="230">
        <f ca="1">'Equipment List &amp; Usage'!BE23</f>
        <v>8529.1479905391734</v>
      </c>
      <c r="H170" s="231">
        <f ca="1">'Equipment List &amp; Usage'!BF23</f>
        <v>1705.8295981078347</v>
      </c>
      <c r="I170" s="1035" t="str">
        <f t="shared" ca="1" si="24"/>
        <v/>
      </c>
      <c r="X170" s="115"/>
    </row>
    <row r="171" spans="1:66" s="84" customFormat="1" x14ac:dyDescent="0.35">
      <c r="B171"/>
      <c r="C171" s="380" t="str">
        <f>'Equipment List &amp; Usage'!C24</f>
        <v>PPE</v>
      </c>
      <c r="D171" s="327" t="str">
        <f>'Equipment List &amp; Usage'!D24</f>
        <v>Apron, heavy duty, reusable</v>
      </c>
      <c r="E171" s="325"/>
      <c r="F171" s="310" t="str">
        <f>'Equipment List &amp; Usage'!E24</f>
        <v>Each</v>
      </c>
      <c r="G171" s="230">
        <f ca="1">'Equipment List &amp; Usage'!BE24</f>
        <v>226.32641273461746</v>
      </c>
      <c r="H171" s="231">
        <f ca="1">'Equipment List &amp; Usage'!BF24</f>
        <v>905.30565093846985</v>
      </c>
      <c r="I171" s="1035" t="str">
        <f t="shared" ca="1" si="24"/>
        <v/>
      </c>
      <c r="X171" s="115"/>
    </row>
    <row r="172" spans="1:66" s="84" customFormat="1" ht="15" customHeight="1" x14ac:dyDescent="0.35">
      <c r="B172"/>
      <c r="C172" s="380" t="str">
        <f>'Equipment List &amp; Usage'!C25</f>
        <v>PPE</v>
      </c>
      <c r="D172" s="327" t="str">
        <f>'Equipment List &amp; Usage'!D25</f>
        <v>Gum boots</v>
      </c>
      <c r="E172" s="325"/>
      <c r="F172" s="310" t="str">
        <f>'Equipment List &amp; Usage'!E25</f>
        <v>Pair</v>
      </c>
      <c r="G172" s="230">
        <f ca="1">'Equipment List &amp; Usage'!BE25</f>
        <v>226.32641273461746</v>
      </c>
      <c r="H172" s="231">
        <f ca="1">'Equipment List &amp; Usage'!BF25</f>
        <v>1041.1014985792403</v>
      </c>
      <c r="I172" s="1035" t="str">
        <f t="shared" ca="1" si="24"/>
        <v/>
      </c>
      <c r="X172" s="115"/>
    </row>
    <row r="173" spans="1:66" s="84" customFormat="1" ht="14.9" customHeight="1" x14ac:dyDescent="0.35">
      <c r="B173"/>
      <c r="C173" s="380" t="str">
        <f>'Equipment List &amp; Usage'!C26</f>
        <v>PPE</v>
      </c>
      <c r="D173" s="327" t="str">
        <f>'Equipment List &amp; Usage'!D26</f>
        <v>Gloves, heavy duty</v>
      </c>
      <c r="E173" s="325"/>
      <c r="F173" s="310" t="str">
        <f>'Equipment List &amp; Usage'!E26</f>
        <v>Pair</v>
      </c>
      <c r="G173" s="230">
        <f ca="1">'Equipment List &amp; Usage'!BE26</f>
        <v>220.20144373402704</v>
      </c>
      <c r="H173" s="231">
        <f ca="1">'Equipment List &amp; Usage'!BF26</f>
        <v>396.36259872124867</v>
      </c>
      <c r="I173" s="1035" t="str">
        <f t="shared" ca="1" si="24"/>
        <v/>
      </c>
      <c r="X173" s="115"/>
    </row>
    <row r="174" spans="1:66" s="84" customFormat="1" ht="14.9" customHeight="1" x14ac:dyDescent="0.35">
      <c r="B174"/>
      <c r="C174" s="380" t="str">
        <f>'Equipment List &amp; Usage'!C27</f>
        <v>PPE</v>
      </c>
      <c r="D174" s="327" t="str">
        <f>'Equipment List &amp; Usage'!D27</f>
        <v>Gloves, examination</v>
      </c>
      <c r="E174" s="325"/>
      <c r="F174" s="310" t="str">
        <f>'Equipment List &amp; Usage'!E27</f>
        <v>Pair</v>
      </c>
      <c r="G174" s="230">
        <f ca="1">'Equipment List &amp; Usage'!BE27</f>
        <v>321352.86586837051</v>
      </c>
      <c r="H174" s="231">
        <f ca="1">'Equipment List &amp; Usage'!BF27</f>
        <v>19281.171952102231</v>
      </c>
      <c r="I174" s="1035" t="str">
        <f t="shared" ca="1" si="24"/>
        <v/>
      </c>
      <c r="X174" s="115"/>
    </row>
    <row r="175" spans="1:66" s="84" customFormat="1" ht="14.9" customHeight="1" x14ac:dyDescent="0.35">
      <c r="B175"/>
      <c r="C175" s="380" t="str">
        <f>'Equipment List &amp; Usage'!C28</f>
        <v>PPE</v>
      </c>
      <c r="D175" s="327" t="str">
        <f>'Equipment List &amp; Usage'!D28</f>
        <v>Gloves, surgical</v>
      </c>
      <c r="E175" s="325"/>
      <c r="F175" s="310" t="str">
        <f>'Equipment List &amp; Usage'!E28</f>
        <v>Pair</v>
      </c>
      <c r="G175" s="230">
        <f ca="1">'Equipment List &amp; Usage'!BE28</f>
        <v>8529.1479905391734</v>
      </c>
      <c r="H175" s="231">
        <f ca="1">'Equipment List &amp; Usage'!BF28</f>
        <v>3411.6591962156695</v>
      </c>
      <c r="I175" s="1035" t="str">
        <f t="shared" ca="1" si="24"/>
        <v/>
      </c>
      <c r="X175" s="115"/>
    </row>
    <row r="176" spans="1:66" s="84" customFormat="1" ht="14.9" customHeight="1" x14ac:dyDescent="0.35">
      <c r="B176"/>
      <c r="C176" s="380" t="str">
        <f>'Equipment List &amp; Usage'!C29</f>
        <v>PPE</v>
      </c>
      <c r="D176" s="327" t="str">
        <f>'Equipment List &amp; Usage'!D29</f>
        <v>Goggles, protective</v>
      </c>
      <c r="E176" s="325"/>
      <c r="F176" s="310" t="str">
        <f>'Equipment List &amp; Usage'!E29</f>
        <v>Each</v>
      </c>
      <c r="G176" s="230">
        <f ca="1">'Equipment List &amp; Usage'!BE29</f>
        <v>1437.8341012789267</v>
      </c>
      <c r="H176" s="231">
        <f ca="1">'Equipment List &amp; Usage'!BF29</f>
        <v>4025.9354835809945</v>
      </c>
      <c r="I176" s="1035" t="str">
        <f t="shared" ca="1" si="24"/>
        <v/>
      </c>
      <c r="X176" s="115"/>
    </row>
    <row r="177" spans="2:24" s="84" customFormat="1" x14ac:dyDescent="0.35">
      <c r="B177"/>
      <c r="C177" s="380" t="str">
        <f>'Equipment List &amp; Usage'!C30</f>
        <v>PPE</v>
      </c>
      <c r="D177" s="327" t="str">
        <f>'Equipment List &amp; Usage'!D30</f>
        <v>Face shield</v>
      </c>
      <c r="E177" s="325"/>
      <c r="F177" s="310" t="str">
        <f>'Equipment List &amp; Usage'!E30</f>
        <v>Each</v>
      </c>
      <c r="G177" s="230">
        <f ca="1">'Equipment List &amp; Usage'!BE30</f>
        <v>36970.707906164214</v>
      </c>
      <c r="H177" s="231">
        <f ca="1">'Equipment List &amp; Usage'!BF30</f>
        <v>22182.424743698528</v>
      </c>
      <c r="I177" s="1035" t="str">
        <f t="shared" ca="1" si="24"/>
        <v/>
      </c>
      <c r="X177" s="115"/>
    </row>
    <row r="178" spans="2:24" s="84" customFormat="1" x14ac:dyDescent="0.35">
      <c r="B178"/>
      <c r="C178" s="380" t="str">
        <f>'Equipment List &amp; Usage'!C31</f>
        <v>PPE</v>
      </c>
      <c r="D178" s="327" t="str">
        <f>'Equipment List &amp; Usage'!D31</f>
        <v>Respirator</v>
      </c>
      <c r="E178" s="325"/>
      <c r="F178" s="310" t="str">
        <f>'Equipment List &amp; Usage'!E31</f>
        <v>Each</v>
      </c>
      <c r="G178" s="230">
        <f ca="1">'Equipment List &amp; Usage'!BE31</f>
        <v>8529.1479905391734</v>
      </c>
      <c r="H178" s="231">
        <f ca="1">'Equipment List &amp; Usage'!BF31</f>
        <v>12793.721985808759</v>
      </c>
      <c r="I178" s="1035" t="str">
        <f t="shared" ca="1" si="24"/>
        <v/>
      </c>
      <c r="X178" s="115"/>
    </row>
    <row r="179" spans="2:24" s="84" customFormat="1" x14ac:dyDescent="0.35">
      <c r="B179"/>
      <c r="C179" s="380" t="str">
        <f>'Equipment List &amp; Usage'!C32</f>
        <v>PPE</v>
      </c>
      <c r="D179" s="327" t="str">
        <f>'Equipment List &amp; Usage'!D32</f>
        <v>Mask, medical / surgical for healthworker</v>
      </c>
      <c r="E179" s="325"/>
      <c r="F179" s="310" t="str">
        <f>'Equipment List &amp; Usage'!E32</f>
        <v>Each</v>
      </c>
      <c r="G179" s="230">
        <f ca="1">'Equipment List &amp; Usage'!BE32</f>
        <v>101498.38030917989</v>
      </c>
      <c r="H179" s="231">
        <f ca="1">'Equipment List &amp; Usage'!BF32</f>
        <v>71048.866216425915</v>
      </c>
      <c r="I179" s="1035" t="str">
        <f t="shared" ca="1" si="24"/>
        <v/>
      </c>
      <c r="X179" s="115"/>
    </row>
    <row r="180" spans="2:24" s="84" customFormat="1" ht="16.399999999999999" customHeight="1" thickBot="1" x14ac:dyDescent="0.4">
      <c r="B180"/>
      <c r="C180" s="381" t="str">
        <f>'Equipment List &amp; Usage'!C33</f>
        <v>PPE</v>
      </c>
      <c r="D180" s="343" t="str">
        <f>'Equipment List &amp; Usage'!D33</f>
        <v>Mask, medical / surgical for patient</v>
      </c>
      <c r="E180" s="344"/>
      <c r="F180" s="345" t="str">
        <f>'Equipment List &amp; Usage'!E33</f>
        <v>Each</v>
      </c>
      <c r="G180" s="346">
        <f ca="1">'Equipment List &amp; Usage'!BE33</f>
        <v>10552.118159278705</v>
      </c>
      <c r="H180" s="347">
        <f ca="1">'Equipment List &amp; Usage'!BF33</f>
        <v>7386.4827114950931</v>
      </c>
      <c r="I180" s="1035" t="str">
        <f t="shared" ca="1" si="24"/>
        <v/>
      </c>
      <c r="X180" s="115"/>
    </row>
    <row r="181" spans="2:24" customFormat="1" ht="15" thickBot="1" x14ac:dyDescent="0.4">
      <c r="X181" s="9"/>
    </row>
    <row r="182" spans="2:24" s="84" customFormat="1" x14ac:dyDescent="0.35">
      <c r="B182"/>
      <c r="C182" s="382" t="str">
        <f>'Equipment List &amp; Usage'!C35</f>
        <v>Diagnostics</v>
      </c>
      <c r="D182" s="348" t="str">
        <f>'Equipment List &amp; Usage'!D35</f>
        <v>Triple packaging boxes</v>
      </c>
      <c r="E182" s="349"/>
      <c r="F182" s="350" t="str">
        <f>'Equipment List &amp; Usage'!E35</f>
        <v>Unit</v>
      </c>
      <c r="G182" s="351">
        <f ca="1">'Equipment List &amp; Usage'!BE35</f>
        <v>32</v>
      </c>
      <c r="H182" s="352">
        <f ca="1">'Equipment List &amp; Usage'!BF35</f>
        <v>960</v>
      </c>
      <c r="I182" s="1035" t="str">
        <f t="shared" ref="I182:I195" ca="1" si="25">IF(H182=0,IF(G182&gt;0,"Reminder: please enter a unit price in the 'Equipment List &amp; Usage' tab. No price currently entered",""),"")</f>
        <v/>
      </c>
      <c r="X182" s="115"/>
    </row>
    <row r="183" spans="2:24" s="84" customFormat="1" x14ac:dyDescent="0.35">
      <c r="B183"/>
      <c r="C183" s="380" t="str">
        <f>'Equipment List &amp; Usage'!C36</f>
        <v>Diagnostics</v>
      </c>
      <c r="D183" s="327" t="str">
        <f>'Equipment List &amp; Usage'!D36</f>
        <v>Swab and Viral transport medium</v>
      </c>
      <c r="E183" s="325"/>
      <c r="F183" s="310" t="str">
        <f>'Equipment List &amp; Usage'!E36</f>
        <v>Unit</v>
      </c>
      <c r="G183" s="230">
        <f ca="1">'Equipment List &amp; Usage'!BE36</f>
        <v>2887.5941249875659</v>
      </c>
      <c r="H183" s="231">
        <f ca="1">'Equipment List &amp; Usage'!BF36</f>
        <v>2021.3158874912961</v>
      </c>
      <c r="I183" s="1035" t="str">
        <f t="shared" ca="1" si="25"/>
        <v/>
      </c>
      <c r="X183" s="115"/>
    </row>
    <row r="184" spans="2:24" s="84" customFormat="1" ht="14.9" customHeight="1" x14ac:dyDescent="0.35">
      <c r="B184"/>
      <c r="C184" s="380" t="str">
        <f>'Equipment List &amp; Usage'!C37</f>
        <v>Diagnostics</v>
      </c>
      <c r="D184" s="327" t="str">
        <f>'Equipment List &amp; Usage'!D37</f>
        <v>Safety box</v>
      </c>
      <c r="E184" s="325"/>
      <c r="F184" s="310" t="str">
        <f>'Equipment List &amp; Usage'!E37</f>
        <v>Each</v>
      </c>
      <c r="G184" s="230">
        <f ca="1">'Equipment List &amp; Usage'!BE37</f>
        <v>120</v>
      </c>
      <c r="H184" s="231">
        <f ca="1">'Equipment List &amp; Usage'!BF37</f>
        <v>96</v>
      </c>
      <c r="I184" s="1035" t="str">
        <f t="shared" ca="1" si="25"/>
        <v/>
      </c>
      <c r="X184" s="115"/>
    </row>
    <row r="185" spans="2:24" s="84" customFormat="1" x14ac:dyDescent="0.35">
      <c r="B185"/>
      <c r="C185" s="380" t="str">
        <f>'Equipment List &amp; Usage'!C38</f>
        <v>Diagnostics</v>
      </c>
      <c r="D185" s="327" t="str">
        <f>'Equipment List &amp; Usage'!D38</f>
        <v>Extraction kit</v>
      </c>
      <c r="E185" s="325"/>
      <c r="F185" s="310" t="str">
        <f>'Equipment List &amp; Usage'!E38</f>
        <v>Unit</v>
      </c>
      <c r="G185" s="230">
        <f ca="1">'Equipment List &amp; Usage'!BE38</f>
        <v>0.49852253403524249</v>
      </c>
      <c r="H185" s="231">
        <f ca="1">'Equipment List &amp; Usage'!BF38</f>
        <v>478.58163267383281</v>
      </c>
      <c r="I185" s="1035" t="str">
        <f t="shared" ca="1" si="25"/>
        <v/>
      </c>
      <c r="X185" s="115"/>
    </row>
    <row r="186" spans="2:24" s="84" customFormat="1" x14ac:dyDescent="0.35">
      <c r="B186"/>
      <c r="C186" s="380" t="str">
        <f>'Equipment List &amp; Usage'!C39</f>
        <v>Diagnostics</v>
      </c>
      <c r="D186" s="327" t="str">
        <f>'Equipment List &amp; Usage'!D39</f>
        <v>RT-PCR reaction kit (manual)</v>
      </c>
      <c r="E186" s="325"/>
      <c r="F186" s="310" t="str">
        <f>'Equipment List &amp; Usage'!E39</f>
        <v>100T/kit</v>
      </c>
      <c r="G186" s="230">
        <f ca="1">'Equipment List &amp; Usage'!BE39</f>
        <v>1.2463063350881063</v>
      </c>
      <c r="H186" s="231">
        <f ca="1">'Equipment List &amp; Usage'!BF39</f>
        <v>324.03964712290764</v>
      </c>
      <c r="I186" s="1035" t="str">
        <f t="shared" ca="1" si="25"/>
        <v/>
      </c>
      <c r="X186" s="115"/>
    </row>
    <row r="187" spans="2:24" s="84" customFormat="1" x14ac:dyDescent="0.35">
      <c r="B187" s="129"/>
      <c r="C187" s="380" t="str">
        <f>'Equipment List &amp; Usage'!C40</f>
        <v>Diagnostics</v>
      </c>
      <c r="D187" s="327" t="str">
        <f>'Equipment List &amp; Usage'!D40</f>
        <v>Test kits - high-throughput PCR</v>
      </c>
      <c r="E187" s="325"/>
      <c r="F187" s="310" t="str">
        <f>'Equipment List &amp; Usage'!E40</f>
        <v>1T/kit</v>
      </c>
      <c r="G187" s="230">
        <f ca="1">'Equipment List &amp; Usage'!BE40</f>
        <v>2476.5366443113708</v>
      </c>
      <c r="H187" s="231">
        <f ca="1">'Equipment List &amp; Usage'!BF40</f>
        <v>37148.049664670558</v>
      </c>
      <c r="I187" s="1035" t="str">
        <f t="shared" ca="1" si="25"/>
        <v/>
      </c>
      <c r="X187" s="115"/>
    </row>
    <row r="188" spans="2:24" s="84" customFormat="1" x14ac:dyDescent="0.35">
      <c r="B188" s="129"/>
      <c r="C188" s="380" t="str">
        <f>'Equipment List &amp; Usage'!C41</f>
        <v>Diagnostics</v>
      </c>
      <c r="D188" s="327" t="str">
        <f>'Equipment List &amp; Usage'!D41</f>
        <v>For near patient PCR machine - RT-PCR cartridge</v>
      </c>
      <c r="E188" s="325"/>
      <c r="F188" s="611" t="str">
        <f>'Equipment List &amp; Usage'!E41</f>
        <v>1T/kit</v>
      </c>
      <c r="G188" s="230">
        <f ca="1">'Equipment List &amp; Usage'!BE41</f>
        <v>298.88991051826559</v>
      </c>
      <c r="H188" s="231">
        <f ca="1">'Equipment List &amp; Usage'!BF41</f>
        <v>5977.7982103653121</v>
      </c>
      <c r="I188" s="1035" t="str">
        <f t="shared" ca="1" si="25"/>
        <v/>
      </c>
      <c r="X188" s="115"/>
    </row>
    <row r="189" spans="2:24" s="84" customFormat="1" x14ac:dyDescent="0.35">
      <c r="B189" s="129"/>
      <c r="C189" s="943" t="str">
        <f>'Equipment List &amp; Usage'!C42</f>
        <v>Diagnostics</v>
      </c>
      <c r="D189" s="931" t="str">
        <f>'Equipment List &amp; Usage'!D42</f>
        <v>N/A - no additional platform entered</v>
      </c>
      <c r="E189" s="930"/>
      <c r="F189" s="929" t="str">
        <f>'Equipment List &amp; Usage'!E42</f>
        <v>Each</v>
      </c>
      <c r="G189" s="920">
        <f ca="1">'Equipment List &amp; Usage'!BE42</f>
        <v>0</v>
      </c>
      <c r="H189" s="921">
        <f ca="1">'Equipment List &amp; Usage'!BF42</f>
        <v>0</v>
      </c>
      <c r="I189" s="1035" t="str">
        <f t="shared" ca="1" si="25"/>
        <v/>
      </c>
      <c r="X189" s="115"/>
    </row>
    <row r="190" spans="2:24" s="910" customFormat="1" x14ac:dyDescent="0.35">
      <c r="B190" s="909"/>
      <c r="C190" s="943" t="str">
        <f>'Equipment List &amp; Usage'!C43</f>
        <v>Diagnostics</v>
      </c>
      <c r="D190" s="931" t="str">
        <f>'Equipment List &amp; Usage'!D43</f>
        <v>Thermocyclers for RT-PCR</v>
      </c>
      <c r="E190" s="930"/>
      <c r="F190" s="929" t="str">
        <f>'Equipment List &amp; Usage'!E43</f>
        <v>Each</v>
      </c>
      <c r="G190" s="920">
        <f>'Equipment List &amp; Usage'!BE43</f>
        <v>0</v>
      </c>
      <c r="H190" s="921">
        <f>'Equipment List &amp; Usage'!BF43</f>
        <v>0</v>
      </c>
      <c r="I190" s="1035" t="str">
        <f t="shared" si="25"/>
        <v/>
      </c>
      <c r="X190" s="911"/>
    </row>
    <row r="191" spans="2:24" s="910" customFormat="1" x14ac:dyDescent="0.35">
      <c r="B191" s="909"/>
      <c r="C191" s="943" t="str">
        <f>'Equipment List &amp; Usage'!C44</f>
        <v>Diagnostics</v>
      </c>
      <c r="D191" s="931" t="str">
        <f>'Equipment List &amp; Usage'!D44</f>
        <v>Near patient PCR machine, 2 modules instrument</v>
      </c>
      <c r="E191" s="930"/>
      <c r="F191" s="929" t="str">
        <f>'Equipment List &amp; Usage'!E44</f>
        <v>Each</v>
      </c>
      <c r="G191" s="920">
        <f>'Equipment List &amp; Usage'!BE44</f>
        <v>0</v>
      </c>
      <c r="H191" s="921">
        <f>'Equipment List &amp; Usage'!BF44</f>
        <v>0</v>
      </c>
      <c r="I191" s="1035" t="str">
        <f t="shared" si="25"/>
        <v/>
      </c>
      <c r="X191" s="911"/>
    </row>
    <row r="192" spans="2:24" s="910" customFormat="1" ht="15" thickBot="1" x14ac:dyDescent="0.4">
      <c r="B192" s="909"/>
      <c r="C192" s="944" t="str">
        <f>'Equipment List &amp; Usage'!C45</f>
        <v>Diagnostics</v>
      </c>
      <c r="D192" s="933" t="str">
        <f>'Equipment List &amp; Usage'!D45</f>
        <v>Near patient PCR machine, 4 modules instrument</v>
      </c>
      <c r="E192" s="934"/>
      <c r="F192" s="935" t="str">
        <f>'Equipment List &amp; Usage'!E45</f>
        <v>Each</v>
      </c>
      <c r="G192" s="936">
        <f>'Equipment List &amp; Usage'!BE45</f>
        <v>0</v>
      </c>
      <c r="H192" s="937">
        <f>'Equipment List &amp; Usage'!BF45</f>
        <v>0</v>
      </c>
      <c r="I192" s="1035" t="str">
        <f t="shared" si="25"/>
        <v/>
      </c>
      <c r="X192" s="911"/>
    </row>
    <row r="193" spans="2:24" customFormat="1" ht="15" thickBot="1" x14ac:dyDescent="0.4">
      <c r="X193" s="9"/>
    </row>
    <row r="194" spans="2:24" s="129" customFormat="1" x14ac:dyDescent="0.35">
      <c r="C194" s="382" t="str">
        <f>'Equipment List &amp; Usage'!C47</f>
        <v>Drugs and consumables</v>
      </c>
      <c r="D194" s="348" t="str">
        <f>'Equipment List &amp; Usage'!D47</f>
        <v>Drugs modules 40 patients (severe + critical)</v>
      </c>
      <c r="E194" s="349"/>
      <c r="F194" s="373" t="str">
        <f>'Equipment List &amp; Usage'!E47</f>
        <v>Each</v>
      </c>
      <c r="G194" s="374">
        <f ca="1">'Equipment List &amp; Usage'!BE47</f>
        <v>10.061464997517479</v>
      </c>
      <c r="H194" s="352">
        <f ca="1">'Equipment List &amp; Usage'!BF47</f>
        <v>80491.719980139838</v>
      </c>
      <c r="I194" s="1035" t="str">
        <f t="shared" ca="1" si="25"/>
        <v/>
      </c>
      <c r="X194" s="9"/>
    </row>
    <row r="195" spans="2:24" s="84" customFormat="1" ht="30" customHeight="1" thickBot="1" x14ac:dyDescent="0.4">
      <c r="B195"/>
      <c r="C195" s="381" t="str">
        <f>'Equipment List &amp; Usage'!C48</f>
        <v>Drugs and consumables</v>
      </c>
      <c r="D195" s="1459" t="str">
        <f>'Equipment List &amp; Usage'!D48</f>
        <v>Medical supply, consumables, 40 patients (severe + critical)</v>
      </c>
      <c r="E195" s="1460"/>
      <c r="F195" s="375" t="str">
        <f>'Equipment List &amp; Usage'!E48</f>
        <v>Each</v>
      </c>
      <c r="G195" s="376">
        <f ca="1">'Equipment List &amp; Usage'!BE48</f>
        <v>10.061464997517479</v>
      </c>
      <c r="H195" s="347">
        <f ca="1">'Equipment List &amp; Usage'!BF48</f>
        <v>18110.636995531462</v>
      </c>
      <c r="I195" s="1035" t="str">
        <f t="shared" ca="1" si="25"/>
        <v/>
      </c>
      <c r="X195" s="115"/>
    </row>
    <row r="196" spans="2:24" customFormat="1" ht="29.25" customHeight="1" x14ac:dyDescent="0.35">
      <c r="C196" s="1531" t="s">
        <v>1705</v>
      </c>
      <c r="D196" s="1531"/>
      <c r="E196" s="1531"/>
      <c r="F196" s="1531"/>
      <c r="G196" s="1531"/>
      <c r="H196" s="1531"/>
      <c r="X196" s="9"/>
    </row>
    <row r="197" spans="2:24" s="909" customFormat="1" ht="20.25" customHeight="1" thickBot="1" x14ac:dyDescent="0.4">
      <c r="C197" s="1532"/>
      <c r="D197" s="1532"/>
      <c r="E197" s="1532"/>
      <c r="F197" s="1532"/>
      <c r="G197" s="1532"/>
      <c r="H197" s="1532"/>
      <c r="X197" s="9"/>
    </row>
    <row r="198" spans="2:24" customFormat="1" ht="29.9" customHeight="1" x14ac:dyDescent="0.35">
      <c r="B198" s="1066" t="str">
        <f>RIGHT('Equipment List &amp; Usage'!B51,9)</f>
        <v>equipment</v>
      </c>
      <c r="C198" s="945" t="str">
        <f>'Equipment List &amp; Usage'!C51</f>
        <v>Monitoring</v>
      </c>
      <c r="D198" s="1474" t="str">
        <f>'Equipment List &amp; Usage'!D51</f>
        <v>Infrared thermometer</v>
      </c>
      <c r="E198" s="1475"/>
      <c r="F198" s="939" t="str">
        <f>'Equipment List &amp; Usage'!E51</f>
        <v>Each</v>
      </c>
      <c r="G198" s="940">
        <f ca="1">'Equipment List &amp; Usage'!BE51</f>
        <v>15.312422501476078</v>
      </c>
      <c r="H198" s="962">
        <f ca="1">'Equipment List &amp; Usage'!BF51</f>
        <v>382.81056253690195</v>
      </c>
      <c r="I198" s="1035" t="str">
        <f t="shared" ref="I198:I233" ca="1" si="26">IF(H198=0,IF(G198&gt;0,"Reminder: please enter a unit price in the 'Equipment List &amp; Usage' tab. No price currently entered",""),"")</f>
        <v/>
      </c>
      <c r="X198" s="9"/>
    </row>
    <row r="199" spans="2:24" s="84" customFormat="1" ht="31.5" customHeight="1" x14ac:dyDescent="0.35">
      <c r="B199" s="1066" t="str">
        <f>RIGHT('Equipment List &amp; Usage'!B52,9)</f>
        <v>equipment</v>
      </c>
      <c r="C199" s="943" t="str">
        <f>'Equipment List &amp; Usage'!C52</f>
        <v>Monitoring</v>
      </c>
      <c r="D199" s="1453" t="str">
        <f>'Equipment List &amp; Usage'!D52</f>
        <v>Pulse oximeter (adult + paediatric probes)</v>
      </c>
      <c r="E199" s="1454"/>
      <c r="F199" s="970" t="str">
        <f>'Equipment List &amp; Usage'!E52</f>
        <v>Each</v>
      </c>
      <c r="G199" s="938">
        <f ca="1">'Equipment List &amp; Usage'!BE52</f>
        <v>306.24845002952156</v>
      </c>
      <c r="H199" s="963">
        <f>'Equipment List &amp; Usage'!BF52</f>
        <v>0</v>
      </c>
      <c r="I199" s="1035" t="str">
        <f t="shared" ca="1" si="26"/>
        <v>Reminder: please enter a unit price in the 'Equipment List &amp; Usage' tab. No price currently entered</v>
      </c>
      <c r="J199"/>
      <c r="K199"/>
      <c r="L199"/>
      <c r="X199" s="115"/>
    </row>
    <row r="200" spans="2:24" s="84" customFormat="1" ht="35.9" customHeight="1" x14ac:dyDescent="0.35">
      <c r="B200" s="1066" t="str">
        <f>RIGHT('Equipment List &amp; Usage'!B53,9)</f>
        <v>equipment</v>
      </c>
      <c r="C200" s="943" t="str">
        <f>'Equipment List &amp; Usage'!C53</f>
        <v>Monitoring</v>
      </c>
      <c r="D200" s="1453" t="str">
        <f>'Equipment List &amp; Usage'!D53</f>
        <v>Patient monitor, multiparametric with ECG, with accessories</v>
      </c>
      <c r="E200" s="1454"/>
      <c r="F200" s="970" t="str">
        <f>'Equipment List &amp; Usage'!E53</f>
        <v>Each</v>
      </c>
      <c r="G200" s="938">
        <f ca="1">'Equipment List &amp; Usage'!BE53</f>
        <v>92.146237628515948</v>
      </c>
      <c r="H200" s="963">
        <f ca="1">'Equipment List &amp; Usage'!BF53</f>
        <v>728047.42350290448</v>
      </c>
      <c r="I200" s="1035" t="str">
        <f t="shared" ca="1" si="26"/>
        <v/>
      </c>
      <c r="J200"/>
      <c r="K200"/>
      <c r="L200"/>
      <c r="X200" s="115"/>
    </row>
    <row r="201" spans="2:24" s="84" customFormat="1" ht="32.9" customHeight="1" x14ac:dyDescent="0.35">
      <c r="B201" s="1066" t="str">
        <f>RIGHT('Equipment List &amp; Usage'!B54,9)</f>
        <v>equipment</v>
      </c>
      <c r="C201" s="943" t="str">
        <f>'Equipment List &amp; Usage'!C54</f>
        <v>Monitoring</v>
      </c>
      <c r="D201" s="1453" t="str">
        <f>'Equipment List &amp; Usage'!D54</f>
        <v>Patient monitor, multiparametric without ECG, with accessories</v>
      </c>
      <c r="E201" s="1454"/>
      <c r="F201" s="970" t="str">
        <f>'Equipment List &amp; Usage'!E54</f>
        <v>Each</v>
      </c>
      <c r="G201" s="938">
        <f ca="1">'Equipment List &amp; Usage'!BE54</f>
        <v>53.5255531002514</v>
      </c>
      <c r="H201" s="963">
        <f ca="1">'Equipment List &amp; Usage'!BF54</f>
        <v>69583.219030326814</v>
      </c>
      <c r="I201" s="1035" t="str">
        <f t="shared" ca="1" si="26"/>
        <v/>
      </c>
      <c r="J201"/>
      <c r="K201"/>
      <c r="L201"/>
      <c r="X201" s="115"/>
    </row>
    <row r="202" spans="2:24" s="84" customFormat="1" ht="43.75" customHeight="1" x14ac:dyDescent="0.35">
      <c r="B202" s="1066" t="str">
        <f>RIGHT('Equipment List &amp; Usage'!B55,9)</f>
        <v>equipment</v>
      </c>
      <c r="C202" s="943" t="str">
        <f>'Equipment List &amp; Usage'!C55</f>
        <v>Oxygen therapy</v>
      </c>
      <c r="D202" s="1453" t="str">
        <f>'Equipment List &amp; Usage'!D55</f>
        <v>Oxygen source capable of delivering an average flow rate of 10 L/min (e.g., concentrator, cylinder, pipe supply)</v>
      </c>
      <c r="E202" s="1454"/>
      <c r="F202" s="970" t="str">
        <f>'Equipment List &amp; Usage'!E55</f>
        <v>Each</v>
      </c>
      <c r="G202" s="938">
        <f ca="1">'Equipment List &amp; Usage'!BE55</f>
        <v>214.1022124010056</v>
      </c>
      <c r="H202" s="963">
        <f>'Equipment List &amp; Usage'!BF55</f>
        <v>0</v>
      </c>
      <c r="I202" s="1035" t="str">
        <f t="shared" ca="1" si="26"/>
        <v>Reminder: please enter a unit price in the 'Equipment List &amp; Usage' tab. No price currently entered</v>
      </c>
      <c r="J202"/>
      <c r="K202"/>
      <c r="L202"/>
      <c r="X202" s="115"/>
    </row>
    <row r="203" spans="2:24" s="910" customFormat="1" ht="44.5" customHeight="1" x14ac:dyDescent="0.35">
      <c r="B203" s="1066"/>
      <c r="C203" s="943" t="str">
        <f>'Equipment List &amp; Usage'!C56</f>
        <v>Oxygen therapy</v>
      </c>
      <c r="D203" s="1453" t="str">
        <f>'Equipment List &amp; Usage'!D56</f>
        <v>Oxygen source capable of delivering an average flow rate of 30 L/min (e.g., cylinder or pipe supply) for invasively ventilated patients</v>
      </c>
      <c r="E203" s="1454"/>
      <c r="F203" s="970" t="str">
        <f>'Equipment List &amp; Usage'!E56</f>
        <v>Each</v>
      </c>
      <c r="G203" s="938">
        <f ca="1">'Equipment List &amp; Usage'!BE56</f>
        <v>61.430825085677299</v>
      </c>
      <c r="H203" s="963">
        <f>'Equipment List &amp; Usage'!BF56</f>
        <v>0</v>
      </c>
      <c r="I203" s="1035" t="str">
        <f t="shared" ca="1" si="26"/>
        <v>Reminder: please enter a unit price in the 'Equipment List &amp; Usage' tab. No price currently entered</v>
      </c>
      <c r="J203" s="909"/>
      <c r="K203" s="909"/>
      <c r="L203" s="909"/>
      <c r="X203" s="911"/>
    </row>
    <row r="204" spans="2:24" s="910" customFormat="1" ht="48" customHeight="1" x14ac:dyDescent="0.35">
      <c r="B204" s="1066"/>
      <c r="C204" s="943" t="str">
        <f>'Equipment List &amp; Usage'!C57</f>
        <v>Oxygen therapy</v>
      </c>
      <c r="D204" s="1453" t="str">
        <f>'Equipment List &amp; Usage'!D57</f>
        <v>Oxygen source capable of delivering an average flow rate of 30 L/min (e.g., cylinder or pipe supply) for non-invasively ventilated patients</v>
      </c>
      <c r="E204" s="1454"/>
      <c r="F204" s="970" t="str">
        <f>'Equipment List &amp; Usage'!E57</f>
        <v>Each</v>
      </c>
      <c r="G204" s="938">
        <f ca="1">'Equipment List &amp; Usage'!BE57</f>
        <v>30.715412542838649</v>
      </c>
      <c r="H204" s="963">
        <f>'Equipment List &amp; Usage'!BF57</f>
        <v>0</v>
      </c>
      <c r="I204" s="1035" t="str">
        <f ca="1">IF(H204=0,IF(G204&gt;0,"Reminder: please enter a unit price in the 'Equipment List &amp; Usage' tab. No price currently entered",""),"")</f>
        <v>Reminder: please enter a unit price in the 'Equipment List &amp; Usage' tab. No price currently entered</v>
      </c>
      <c r="J204" s="909"/>
      <c r="K204" s="909"/>
      <c r="L204" s="909"/>
      <c r="X204" s="911"/>
    </row>
    <row r="205" spans="2:24" s="84" customFormat="1" ht="27" customHeight="1" x14ac:dyDescent="0.35">
      <c r="B205" s="1066" t="str">
        <f>RIGHT('Equipment List &amp; Usage'!B58,9)</f>
        <v>equipment</v>
      </c>
      <c r="C205" s="943" t="str">
        <f>'Equipment List &amp; Usage'!C58</f>
        <v>Airway Management &amp; Intubation</v>
      </c>
      <c r="D205" s="1453" t="str">
        <f>'Equipment List &amp; Usage'!D58</f>
        <v>Laryngoscope (direct or video type)</v>
      </c>
      <c r="E205" s="1454"/>
      <c r="F205" s="970" t="str">
        <f>'Equipment List &amp; Usage'!E58</f>
        <v>Each</v>
      </c>
      <c r="G205" s="938">
        <f ca="1">'Equipment List &amp; Usage'!BE58</f>
        <v>61.430825085677299</v>
      </c>
      <c r="H205" s="963">
        <f ca="1">'Equipment List &amp; Usage'!BF58</f>
        <v>4914.4660068541834</v>
      </c>
      <c r="I205" s="1035" t="str">
        <f t="shared" ca="1" si="26"/>
        <v/>
      </c>
      <c r="J205"/>
      <c r="K205"/>
      <c r="L205"/>
      <c r="X205" s="115"/>
    </row>
    <row r="206" spans="2:24" s="84" customFormat="1" ht="32.15" customHeight="1" x14ac:dyDescent="0.35">
      <c r="B206" s="1066" t="str">
        <f>RIGHT('Equipment List &amp; Usage'!B59,9)</f>
        <v>equipment</v>
      </c>
      <c r="C206" s="943" t="str">
        <f>'Equipment List &amp; Usage'!C59</f>
        <v>Mechanical Ventilation</v>
      </c>
      <c r="D206" s="1453" t="str">
        <f>'Equipment List &amp; Usage'!D59</f>
        <v>Patient ventilator, intensive care, with breathing circuits and patient interface</v>
      </c>
      <c r="E206" s="1454"/>
      <c r="F206" s="970" t="str">
        <f>'Equipment List &amp; Usage'!E59</f>
        <v>Each</v>
      </c>
      <c r="G206" s="938">
        <f ca="1">'Equipment List &amp; Usage'!BE59</f>
        <v>61.430825085677299</v>
      </c>
      <c r="H206" s="963">
        <f ca="1">'Equipment List &amp; Usage'!BF59</f>
        <v>1743652.5392318645</v>
      </c>
      <c r="I206" s="1035" t="str">
        <f t="shared" ca="1" si="26"/>
        <v/>
      </c>
      <c r="J206"/>
      <c r="K206"/>
      <c r="L206"/>
      <c r="X206" s="115"/>
    </row>
    <row r="207" spans="2:24" s="84" customFormat="1" ht="30.65" customHeight="1" x14ac:dyDescent="0.35">
      <c r="B207" s="1066" t="str">
        <f>RIGHT('Equipment List &amp; Usage'!B60,9)</f>
        <v>equipment</v>
      </c>
      <c r="C207" s="943" t="str">
        <f>'Equipment List &amp; Usage'!C60</f>
        <v>Non-Invasive Ventilation</v>
      </c>
      <c r="D207" s="1453" t="str">
        <f>'Equipment List &amp; Usage'!D60</f>
        <v>CPAP, with tubing and patient interfaces, with accessories</v>
      </c>
      <c r="E207" s="1454"/>
      <c r="F207" s="970" t="str">
        <f>'Equipment List &amp; Usage'!E60</f>
        <v>Each</v>
      </c>
      <c r="G207" s="938">
        <f ca="1">'Equipment List &amp; Usage'!BE60</f>
        <v>15.357706271419325</v>
      </c>
      <c r="H207" s="963">
        <f ca="1">'Equipment List &amp; Usage'!BF60</f>
        <v>86095.30135757674</v>
      </c>
      <c r="I207" s="1035" t="str">
        <f t="shared" ca="1" si="26"/>
        <v/>
      </c>
      <c r="J207"/>
      <c r="K207"/>
      <c r="L207"/>
      <c r="X207" s="115"/>
    </row>
    <row r="208" spans="2:24" s="84" customFormat="1" ht="15" customHeight="1" x14ac:dyDescent="0.35">
      <c r="B208" s="1066" t="str">
        <f>RIGHT('Equipment List &amp; Usage'!B61,9)</f>
        <v>equipment</v>
      </c>
      <c r="C208" s="943" t="str">
        <f>'Equipment List &amp; Usage'!C61</f>
        <v>Non-Invasive Ventilation</v>
      </c>
      <c r="D208" s="1453" t="str">
        <f>'Equipment List &amp; Usage'!D61</f>
        <v>High Flow Nasal Cannula, with tubing and patient interfaces</v>
      </c>
      <c r="E208" s="1454"/>
      <c r="F208" s="970" t="str">
        <f>'Equipment List &amp; Usage'!E61</f>
        <v>Each</v>
      </c>
      <c r="G208" s="938">
        <f ca="1">'Equipment List &amp; Usage'!BE61</f>
        <v>15.357706271419325</v>
      </c>
      <c r="H208" s="963">
        <f ca="1">'Equipment List &amp; Usage'!BF61</f>
        <v>30715.412542838651</v>
      </c>
      <c r="I208" s="1035" t="str">
        <f t="shared" ca="1" si="26"/>
        <v/>
      </c>
      <c r="J208"/>
      <c r="K208"/>
      <c r="L208"/>
      <c r="X208" s="115"/>
    </row>
    <row r="209" spans="2:24" s="84" customFormat="1" ht="29.15" customHeight="1" x14ac:dyDescent="0.35">
      <c r="B209" s="1066" t="str">
        <f>RIGHT('Equipment List &amp; Usage'!B62,9)</f>
        <v>equipment</v>
      </c>
      <c r="C209" s="943" t="str">
        <f>'Equipment List &amp; Usage'!C62</f>
        <v>IV Infusion</v>
      </c>
      <c r="D209" s="1453" t="str">
        <f>'Equipment List &amp; Usage'!D62</f>
        <v xml:space="preserve">Electronic drop counter, IV fluids </v>
      </c>
      <c r="E209" s="1454"/>
      <c r="F209" s="970" t="str">
        <f>'Equipment List &amp; Usage'!E62</f>
        <v>Each</v>
      </c>
      <c r="G209" s="938">
        <f ca="1">'Equipment List &amp; Usage'!BE62</f>
        <v>214.1022124010056</v>
      </c>
      <c r="H209" s="963">
        <f ca="1">'Equipment List &amp; Usage'!BF62</f>
        <v>35005.711727564412</v>
      </c>
      <c r="I209" s="1035" t="str">
        <f t="shared" ca="1" si="26"/>
        <v/>
      </c>
      <c r="J209"/>
      <c r="K209"/>
      <c r="L209"/>
      <c r="X209" s="115"/>
    </row>
    <row r="210" spans="2:24" s="84" customFormat="1" x14ac:dyDescent="0.35">
      <c r="B210" s="1066" t="str">
        <f>RIGHT('Equipment List &amp; Usage'!B63,9)</f>
        <v>equipment</v>
      </c>
      <c r="C210" s="943" t="str">
        <f>'Equipment List &amp; Usage'!C63</f>
        <v>IV Infusion</v>
      </c>
      <c r="D210" s="1453" t="str">
        <f>'Equipment List &amp; Usage'!D63</f>
        <v>Infusion pump</v>
      </c>
      <c r="E210" s="1454"/>
      <c r="F210" s="970" t="str">
        <f>'Equipment List &amp; Usage'!E63</f>
        <v>Each</v>
      </c>
      <c r="G210" s="938">
        <f ca="1">'Equipment List &amp; Usage'!BE63</f>
        <v>53.5255531002514</v>
      </c>
      <c r="H210" s="963">
        <f ca="1">'Equipment List &amp; Usage'!BF63</f>
        <v>53525.553100251404</v>
      </c>
      <c r="I210" s="1035" t="str">
        <f t="shared" ca="1" si="26"/>
        <v/>
      </c>
      <c r="J210"/>
      <c r="K210"/>
      <c r="L210"/>
      <c r="X210" s="115"/>
    </row>
    <row r="211" spans="2:24" s="84" customFormat="1" ht="30.65" customHeight="1" x14ac:dyDescent="0.35">
      <c r="B211" s="1066" t="str">
        <f>RIGHT('Equipment List &amp; Usage'!B64,9)</f>
        <v>equipment</v>
      </c>
      <c r="C211" s="943" t="str">
        <f>'Equipment List &amp; Usage'!C64</f>
        <v>Blood Chemistry</v>
      </c>
      <c r="D211" s="1453" t="str">
        <f>'Equipment List &amp; Usage'!D64</f>
        <v>Blood Gas Analyser, portable with cartridges and control solutions</v>
      </c>
      <c r="E211" s="1454"/>
      <c r="F211" s="970" t="str">
        <f>'Equipment List &amp; Usage'!E64</f>
        <v>Each</v>
      </c>
      <c r="G211" s="938">
        <f ca="1">'Equipment List &amp; Usage'!BE64</f>
        <v>7.6562112507380391</v>
      </c>
      <c r="H211" s="963">
        <f ca="1">'Equipment List &amp; Usage'!BF64</f>
        <v>3674.9814003542588</v>
      </c>
      <c r="I211" s="1035" t="str">
        <f t="shared" ca="1" si="26"/>
        <v/>
      </c>
      <c r="J211"/>
      <c r="K211"/>
      <c r="L211"/>
      <c r="X211" s="115"/>
    </row>
    <row r="212" spans="2:24" s="84" customFormat="1" ht="21" customHeight="1" x14ac:dyDescent="0.35">
      <c r="B212" s="1066" t="str">
        <f>RIGHT('Equipment List &amp; Usage'!B65,9)</f>
        <v>equipment</v>
      </c>
      <c r="C212" s="943" t="str">
        <f>'Equipment List &amp; Usage'!C65</f>
        <v>Imaging</v>
      </c>
      <c r="D212" s="1453" t="str">
        <f>'Equipment List &amp; Usage'!D65</f>
        <v>Ultrasound, portable, w/ transducers and trolley</v>
      </c>
      <c r="E212" s="1454"/>
      <c r="F212" s="970" t="str">
        <f>'Equipment List &amp; Usage'!E65</f>
        <v>Each</v>
      </c>
      <c r="G212" s="938">
        <f ca="1">'Equipment List &amp; Usage'!BE65</f>
        <v>7.6562112507380391</v>
      </c>
      <c r="H212" s="963">
        <f ca="1">'Equipment List &amp; Usage'!BF65</f>
        <v>61249.690005904311</v>
      </c>
      <c r="I212" s="1035" t="str">
        <f t="shared" ca="1" si="26"/>
        <v/>
      </c>
      <c r="J212"/>
      <c r="K212"/>
      <c r="L212"/>
      <c r="X212" s="115"/>
    </row>
    <row r="213" spans="2:24" s="84" customFormat="1" ht="32.9" customHeight="1" x14ac:dyDescent="0.35">
      <c r="B213" s="1066" t="str">
        <f>RIGHT('Equipment List &amp; Usage'!B66,9)</f>
        <v>equipment</v>
      </c>
      <c r="C213" s="943" t="str">
        <f>'Equipment List &amp; Usage'!C66</f>
        <v>ICU</v>
      </c>
      <c r="D213" s="1453" t="str">
        <f>'Equipment List &amp; Usage'!D66</f>
        <v>Drill, for vascular access, w/accessories, w/transport bag</v>
      </c>
      <c r="E213" s="1454"/>
      <c r="F213" s="970" t="str">
        <f>'Equipment List &amp; Usage'!E66</f>
        <v>Each</v>
      </c>
      <c r="G213" s="938">
        <f ca="1">'Equipment List &amp; Usage'!BE66</f>
        <v>7.6562112507380391</v>
      </c>
      <c r="H213" s="963">
        <f ca="1">'Equipment List &amp; Usage'!BF66</f>
        <v>6507.7795631273329</v>
      </c>
      <c r="I213" s="1035" t="str">
        <f t="shared" ca="1" si="26"/>
        <v/>
      </c>
      <c r="J213"/>
      <c r="K213"/>
      <c r="L213"/>
      <c r="X213" s="115"/>
    </row>
    <row r="214" spans="2:24" s="84" customFormat="1" ht="18.649999999999999" customHeight="1" x14ac:dyDescent="0.35">
      <c r="B214" s="1066" t="str">
        <f>RIGHT('Equipment List &amp; Usage'!B67,9)</f>
        <v>equipment</v>
      </c>
      <c r="C214" s="943" t="str">
        <f>'Equipment List &amp; Usage'!C67</f>
        <v>ICU</v>
      </c>
      <c r="D214" s="1453" t="str">
        <f>'Equipment List &amp; Usage'!D67</f>
        <v>Electrocardiograph, portable w/accessories</v>
      </c>
      <c r="E214" s="1454"/>
      <c r="F214" s="970" t="str">
        <f>'Equipment List &amp; Usage'!E67</f>
        <v>Each</v>
      </c>
      <c r="G214" s="938">
        <f ca="1">'Equipment List &amp; Usage'!BE67</f>
        <v>7.6562112507380391</v>
      </c>
      <c r="H214" s="963">
        <f ca="1">'Equipment List &amp; Usage'!BF67</f>
        <v>11101.506313570157</v>
      </c>
      <c r="I214" s="1035" t="str">
        <f t="shared" ca="1" si="26"/>
        <v/>
      </c>
      <c r="J214"/>
      <c r="K214"/>
      <c r="L214"/>
      <c r="X214" s="115"/>
    </row>
    <row r="215" spans="2:24" s="84" customFormat="1" x14ac:dyDescent="0.35">
      <c r="B215" s="1066" t="str">
        <f>RIGHT('Equipment List &amp; Usage'!B68,9)</f>
        <v>equipment</v>
      </c>
      <c r="C215" s="943" t="str">
        <f>'Equipment List &amp; Usage'!C68</f>
        <v>ICU</v>
      </c>
      <c r="D215" s="1453" t="str">
        <f>'Equipment List &amp; Usage'!D68</f>
        <v>Suction pump</v>
      </c>
      <c r="E215" s="1454"/>
      <c r="F215" s="970" t="str">
        <f>'Equipment List &amp; Usage'!E68</f>
        <v>Each</v>
      </c>
      <c r="G215" s="938">
        <f ca="1">'Equipment List &amp; Usage'!BE68</f>
        <v>145.67179072876735</v>
      </c>
      <c r="H215" s="963">
        <f ca="1">'Equipment List &amp; Usage'!BF68</f>
        <v>262209.22331178124</v>
      </c>
      <c r="I215" s="1035" t="str">
        <f t="shared" ca="1" si="26"/>
        <v/>
      </c>
      <c r="J215"/>
      <c r="K215"/>
      <c r="L215"/>
      <c r="X215" s="115"/>
    </row>
    <row r="216" spans="2:24" s="84" customFormat="1" ht="15" customHeight="1" x14ac:dyDescent="0.35">
      <c r="B216" s="1066" t="str">
        <f>RIGHT('Equipment List &amp; Usage'!B69,9)</f>
        <v>equipment</v>
      </c>
      <c r="C216" s="943" t="str">
        <f>'Equipment List &amp; Usage'!C69</f>
        <v>Oxygen therapy</v>
      </c>
      <c r="D216" s="1453" t="str">
        <f>'Equipment List &amp; Usage'!D69</f>
        <v>Bubble humidifier, non-heated</v>
      </c>
      <c r="E216" s="1454"/>
      <c r="F216" s="970" t="str">
        <f>'Equipment List &amp; Usage'!E69</f>
        <v>Each</v>
      </c>
      <c r="G216" s="938">
        <f ca="1">'Equipment List &amp; Usage'!BE69</f>
        <v>235.51243364110618</v>
      </c>
      <c r="H216" s="963">
        <f ca="1">'Equipment List &amp; Usage'!BF69</f>
        <v>824.29351774387169</v>
      </c>
      <c r="I216" s="1035" t="str">
        <f t="shared" ca="1" si="26"/>
        <v/>
      </c>
      <c r="J216"/>
      <c r="K216"/>
      <c r="L216"/>
      <c r="X216" s="115"/>
    </row>
    <row r="217" spans="2:24" s="84" customFormat="1" ht="14.9" customHeight="1" x14ac:dyDescent="0.35">
      <c r="B217" s="1066" t="str">
        <f>RIGHT('Equipment List &amp; Usage'!B70,9)</f>
        <v>nsumables</v>
      </c>
      <c r="C217" s="943" t="str">
        <f>'Equipment List &amp; Usage'!C70</f>
        <v>Oxygen therapy</v>
      </c>
      <c r="D217" s="1453" t="str">
        <f>'Equipment List &amp; Usage'!D70</f>
        <v>Tubing, medical gases, int. diam. 5 mm</v>
      </c>
      <c r="E217" s="1454"/>
      <c r="F217" s="970" t="str">
        <f>'Equipment List &amp; Usage'!E70</f>
        <v>Each</v>
      </c>
      <c r="G217" s="938">
        <f ca="1">'Equipment List &amp; Usage'!BE70</f>
        <v>7.6562112507380391</v>
      </c>
      <c r="H217" s="963">
        <f ca="1">'Equipment List &amp; Usage'!BF70</f>
        <v>20.671770376992708</v>
      </c>
      <c r="I217" s="1035" t="str">
        <f t="shared" ca="1" si="26"/>
        <v/>
      </c>
      <c r="J217"/>
      <c r="K217"/>
      <c r="L217"/>
      <c r="X217" s="115"/>
    </row>
    <row r="218" spans="2:24" s="84" customFormat="1" ht="17.5" customHeight="1" x14ac:dyDescent="0.35">
      <c r="B218" s="1066" t="str">
        <f>RIGHT('Equipment List &amp; Usage'!B71,9)</f>
        <v>nsumables</v>
      </c>
      <c r="C218" s="943" t="str">
        <f>'Equipment List &amp; Usage'!C71</f>
        <v>Oxygen therapy</v>
      </c>
      <c r="D218" s="1453" t="str">
        <f>'Equipment List &amp; Usage'!D71</f>
        <v>Flow splitter, 5 flowmeters 0-2 L/min, for paediatric use</v>
      </c>
      <c r="E218" s="1454"/>
      <c r="F218" s="970" t="str">
        <f>'Equipment List &amp; Usage'!E71</f>
        <v>Each</v>
      </c>
      <c r="G218" s="938">
        <f ca="1">'Equipment List &amp; Usage'!BE71</f>
        <v>7.6562112507380391</v>
      </c>
      <c r="H218" s="963">
        <f ca="1">'Equipment List &amp; Usage'!BF71</f>
        <v>1048.9009413511114</v>
      </c>
      <c r="I218" s="1035" t="str">
        <f t="shared" ca="1" si="26"/>
        <v/>
      </c>
      <c r="J218"/>
      <c r="K218"/>
      <c r="L218"/>
      <c r="X218" s="115"/>
    </row>
    <row r="219" spans="2:24" s="84" customFormat="1" ht="29.15" customHeight="1" x14ac:dyDescent="0.35">
      <c r="B219" s="1066" t="str">
        <f>RIGHT('Equipment List &amp; Usage'!B72,9)</f>
        <v>nsumables</v>
      </c>
      <c r="C219" s="943" t="str">
        <f>'Equipment List &amp; Usage'!C72</f>
        <v>Oxygen therapy</v>
      </c>
      <c r="D219" s="1453" t="str">
        <f>'Equipment List &amp; Usage'!D72</f>
        <v>Flowmeter, Thorpe tube, for pipe oxygen 0-15 L/min</v>
      </c>
      <c r="E219" s="1454"/>
      <c r="F219" s="970" t="str">
        <f>'Equipment List &amp; Usage'!E72</f>
        <v>Each</v>
      </c>
      <c r="G219" s="938">
        <f ca="1">'Equipment List &amp; Usage'!BE72</f>
        <v>42.820442480201123</v>
      </c>
      <c r="H219" s="963">
        <f ca="1">'Equipment List &amp; Usage'!BF72</f>
        <v>4282.0442480201127</v>
      </c>
      <c r="I219" s="1035" t="str">
        <f t="shared" ca="1" si="26"/>
        <v/>
      </c>
      <c r="J219"/>
      <c r="K219"/>
      <c r="L219"/>
      <c r="X219" s="115"/>
    </row>
    <row r="220" spans="2:24" s="84" customFormat="1" ht="15" customHeight="1" x14ac:dyDescent="0.35">
      <c r="B220" s="1066" t="str">
        <f>RIGHT('Equipment List &amp; Usage'!B73,9)</f>
        <v>nsumables</v>
      </c>
      <c r="C220" s="943" t="str">
        <f>'Equipment List &amp; Usage'!C73</f>
        <v>Oxygen therapy</v>
      </c>
      <c r="D220" s="1453" t="str">
        <f>'Equipment List &amp; Usage'!D73</f>
        <v xml:space="preserve">Filter, heat and moisture exchanger (HMEF), high efficiency, with connectors, for adult </v>
      </c>
      <c r="E220" s="1454"/>
      <c r="F220" s="970" t="str">
        <f>'Equipment List &amp; Usage'!E73</f>
        <v>Each</v>
      </c>
      <c r="G220" s="938">
        <f ca="1">'Equipment List &amp; Usage'!BE73</f>
        <v>201.22929995034957</v>
      </c>
      <c r="H220" s="963">
        <f ca="1">'Equipment List &amp; Usage'!BF73</f>
        <v>804.91719980139828</v>
      </c>
      <c r="I220" s="1035" t="str">
        <f t="shared" ca="1" si="26"/>
        <v/>
      </c>
      <c r="J220"/>
      <c r="K220"/>
      <c r="L220"/>
      <c r="X220" s="115"/>
    </row>
    <row r="221" spans="2:24" s="84" customFormat="1" ht="29.15" customHeight="1" x14ac:dyDescent="0.35">
      <c r="B221" s="1066" t="str">
        <f>RIGHT('Equipment List &amp; Usage'!B74,9)</f>
        <v>nsumables</v>
      </c>
      <c r="C221" s="943" t="str">
        <f>'Equipment List &amp; Usage'!C74</f>
        <v>Imaging</v>
      </c>
      <c r="D221" s="1453" t="str">
        <f>'Equipment List &amp; Usage'!D74</f>
        <v>Conductive gel, container</v>
      </c>
      <c r="E221" s="1454"/>
      <c r="F221" s="970" t="str">
        <f>'Equipment List &amp; Usage'!E74</f>
        <v>Each</v>
      </c>
      <c r="G221" s="938">
        <f ca="1">'Equipment List &amp; Usage'!BE74</f>
        <v>5.0307324987587396</v>
      </c>
      <c r="H221" s="963">
        <f ca="1">'Equipment List &amp; Usage'!BF74</f>
        <v>6.1374936484856626</v>
      </c>
      <c r="I221" s="1035" t="str">
        <f t="shared" ca="1" si="26"/>
        <v/>
      </c>
      <c r="J221"/>
      <c r="K221"/>
      <c r="L221"/>
      <c r="X221" s="115"/>
    </row>
    <row r="222" spans="2:24" s="84" customFormat="1" ht="29.15" customHeight="1" x14ac:dyDescent="0.35">
      <c r="B222" s="1066" t="str">
        <f>RIGHT('Equipment List &amp; Usage'!B75,9)</f>
        <v>nsumables</v>
      </c>
      <c r="C222" s="943" t="str">
        <f>'Equipment List &amp; Usage'!C75</f>
        <v>Oxygen delivery devices</v>
      </c>
      <c r="D222" s="1453" t="str">
        <f>'Equipment List &amp; Usage'!D75</f>
        <v>Nasal oxygen cannula, with prongs, adult and paediatric</v>
      </c>
      <c r="E222" s="1454"/>
      <c r="F222" s="970" t="str">
        <f>'Equipment List &amp; Usage'!E75</f>
        <v>Each</v>
      </c>
      <c r="G222" s="938">
        <f ca="1">'Equipment List &amp; Usage'!BE75</f>
        <v>201.22929995034954</v>
      </c>
      <c r="H222" s="963">
        <f ca="1">'Equipment List &amp; Usage'!BF75</f>
        <v>140.86050996524466</v>
      </c>
      <c r="I222" s="1035" t="str">
        <f t="shared" ca="1" si="26"/>
        <v/>
      </c>
      <c r="J222"/>
      <c r="K222"/>
      <c r="L222"/>
      <c r="X222" s="115"/>
    </row>
    <row r="223" spans="2:24" s="84" customFormat="1" ht="31.75" customHeight="1" x14ac:dyDescent="0.35">
      <c r="B223" s="1066" t="str">
        <f>RIGHT('Equipment List &amp; Usage'!B76,9)</f>
        <v>nsumables</v>
      </c>
      <c r="C223" s="943" t="str">
        <f>'Equipment List &amp; Usage'!C76</f>
        <v>Oxygen delivery devices</v>
      </c>
      <c r="D223" s="1453" t="str">
        <f>'Equipment List &amp; Usage'!D76</f>
        <v>Mask, oxygen, with connection tube, reservoir bag and valve, high-concentration single use (adult)</v>
      </c>
      <c r="E223" s="1454"/>
      <c r="F223" s="970" t="str">
        <f>'Equipment List &amp; Usage'!E76</f>
        <v>Each</v>
      </c>
      <c r="G223" s="938">
        <f ca="1">'Equipment List &amp; Usage'!BE76</f>
        <v>201.22929995034954</v>
      </c>
      <c r="H223" s="963">
        <f ca="1">'Equipment List &amp; Usage'!BF76</f>
        <v>382.33566990566413</v>
      </c>
      <c r="I223" s="1035" t="str">
        <f t="shared" ca="1" si="26"/>
        <v/>
      </c>
      <c r="J223"/>
      <c r="K223"/>
      <c r="L223"/>
      <c r="X223" s="115"/>
    </row>
    <row r="224" spans="2:24" s="84" customFormat="1" ht="29.15" customHeight="1" x14ac:dyDescent="0.35">
      <c r="B224" s="1066" t="str">
        <f>RIGHT('Equipment List &amp; Usage'!B77,9)</f>
        <v>nsumables</v>
      </c>
      <c r="C224" s="943" t="str">
        <f>'Equipment List &amp; Usage'!C77</f>
        <v>Oxygen delivery devices</v>
      </c>
      <c r="D224" s="1453" t="str">
        <f>'Equipment List &amp; Usage'!D77</f>
        <v>Venturi Mask, with percent O2 Lock and tubing (adult)</v>
      </c>
      <c r="E224" s="1454"/>
      <c r="F224" s="970" t="str">
        <f>'Equipment List &amp; Usage'!E77</f>
        <v>Each</v>
      </c>
      <c r="G224" s="938">
        <f ca="1">'Equipment List &amp; Usage'!BE77</f>
        <v>201.22929995034954</v>
      </c>
      <c r="H224" s="963">
        <f ca="1">'Equipment List &amp; Usage'!BF77</f>
        <v>261.59808993545442</v>
      </c>
      <c r="I224" s="1035" t="str">
        <f t="shared" ca="1" si="26"/>
        <v/>
      </c>
      <c r="J224"/>
      <c r="K224"/>
      <c r="L224"/>
      <c r="X224" s="115"/>
    </row>
    <row r="225" spans="2:24" s="84" customFormat="1" ht="29.15" customHeight="1" x14ac:dyDescent="0.35">
      <c r="B225" s="1066" t="str">
        <f>RIGHT('Equipment List &amp; Usage'!B78,9)</f>
        <v>nsumables</v>
      </c>
      <c r="C225" s="943" t="str">
        <f>'Equipment List &amp; Usage'!C78</f>
        <v>Airway Management &amp; Intubation</v>
      </c>
      <c r="D225" s="1453" t="str">
        <f>'Equipment List &amp; Usage'!D78</f>
        <v>Compressible self-refilling ventilation bag, capacity &gt; 1500 mL, with masks (small, medium, large)</v>
      </c>
      <c r="E225" s="1454"/>
      <c r="F225" s="970" t="str">
        <f>'Equipment List &amp; Usage'!E78</f>
        <v>Each</v>
      </c>
      <c r="G225" s="938">
        <f ca="1">'Equipment List &amp; Usage'!BE78</f>
        <v>30.715412542838649</v>
      </c>
      <c r="H225" s="963">
        <f ca="1">'Equipment List &amp; Usage'!BF78</f>
        <v>1904.3555776559963</v>
      </c>
      <c r="I225" s="1035" t="str">
        <f t="shared" ca="1" si="26"/>
        <v/>
      </c>
      <c r="J225"/>
      <c r="K225"/>
      <c r="L225"/>
      <c r="X225" s="115"/>
    </row>
    <row r="226" spans="2:24" s="84" customFormat="1" ht="43.75" customHeight="1" x14ac:dyDescent="0.35">
      <c r="B226" s="1066" t="str">
        <f>RIGHT('Equipment List &amp; Usage'!B79,9)</f>
        <v>nsumables</v>
      </c>
      <c r="C226" s="943" t="str">
        <f>'Equipment List &amp; Usage'!C79</f>
        <v>Airway Management &amp; Intubation</v>
      </c>
      <c r="D226" s="1453" t="str">
        <f>'Equipment List &amp; Usage'!D79</f>
        <v>Airway, nasopharyngeal, sterile, single use, set with sizes of: 20 Fr, 22 Fr, 24 Fr, 26 Fr, 28 Fr, 30 Fr, 32 Fr, 34 Fr, 36 Fr</v>
      </c>
      <c r="E226" s="1454"/>
      <c r="F226" s="970" t="str">
        <f>'Equipment List &amp; Usage'!E79</f>
        <v>Each</v>
      </c>
      <c r="G226" s="938">
        <f ca="1">'Equipment List &amp; Usage'!BE79</f>
        <v>134.15286663356636</v>
      </c>
      <c r="H226" s="963">
        <f ca="1">'Equipment List &amp; Usage'!BF79</f>
        <v>55.002675319762204</v>
      </c>
      <c r="I226" s="1035" t="str">
        <f t="shared" ca="1" si="26"/>
        <v/>
      </c>
      <c r="J226"/>
      <c r="K226"/>
      <c r="L226"/>
      <c r="X226" s="115"/>
    </row>
    <row r="227" spans="2:24" s="84" customFormat="1" ht="45" customHeight="1" x14ac:dyDescent="0.35">
      <c r="B227" s="1066" t="str">
        <f>RIGHT('Equipment List &amp; Usage'!B80,9)</f>
        <v>nsumables</v>
      </c>
      <c r="C227" s="943" t="str">
        <f>'Equipment List &amp; Usage'!C80</f>
        <v>Airway Management &amp; Intubation</v>
      </c>
      <c r="D227" s="1453" t="str">
        <f>'Equipment List &amp; Usage'!D80</f>
        <v>Airway, oropharyngeal, Guedel, set with sizes of: No. 2 (70 mm), No. 3 (80 mm), No. 4 (90 mm), No. 5 (100 mm)</v>
      </c>
      <c r="E227" s="1454"/>
      <c r="F227" s="970" t="str">
        <f>'Equipment List &amp; Usage'!E80</f>
        <v>Each</v>
      </c>
      <c r="G227" s="938">
        <f ca="1">'Equipment List &amp; Usage'!BE80</f>
        <v>134.15286663356636</v>
      </c>
      <c r="H227" s="963">
        <f ca="1">'Equipment List &amp; Usage'!BF80</f>
        <v>26.830573326713274</v>
      </c>
      <c r="I227" s="1035" t="str">
        <f t="shared" ca="1" si="26"/>
        <v/>
      </c>
      <c r="J227"/>
      <c r="K227"/>
      <c r="L227"/>
      <c r="X227" s="115"/>
    </row>
    <row r="228" spans="2:24" s="84" customFormat="1" ht="29.15" customHeight="1" x14ac:dyDescent="0.35">
      <c r="B228" s="1066" t="str">
        <f>RIGHT('Equipment List &amp; Usage'!B81,9)</f>
        <v>nsumables</v>
      </c>
      <c r="C228" s="943" t="str">
        <f>'Equipment List &amp; Usage'!C81</f>
        <v>Airway Management &amp; Intubation</v>
      </c>
      <c r="D228" s="1453" t="str">
        <f>'Equipment List &amp; Usage'!D81</f>
        <v>Colorimetric End Tidal CO2 detector single use (adult)</v>
      </c>
      <c r="E228" s="1454"/>
      <c r="F228" s="970" t="str">
        <f>'Equipment List &amp; Usage'!E81</f>
        <v>Each</v>
      </c>
      <c r="G228" s="938">
        <f ca="1">'Equipment List &amp; Usage'!BE81</f>
        <v>134.15286663356636</v>
      </c>
      <c r="H228" s="963">
        <f ca="1">'Equipment List &amp; Usage'!BF81</f>
        <v>1743.9872662363628</v>
      </c>
      <c r="I228" s="1035" t="str">
        <f t="shared" ca="1" si="26"/>
        <v/>
      </c>
      <c r="J228"/>
      <c r="K228"/>
      <c r="L228"/>
      <c r="X228" s="115"/>
    </row>
    <row r="229" spans="2:24" s="84" customFormat="1" ht="32.9" customHeight="1" x14ac:dyDescent="0.35">
      <c r="B229" s="1066" t="str">
        <f>RIGHT('Equipment List &amp; Usage'!B82,9)</f>
        <v>nsumables</v>
      </c>
      <c r="C229" s="943" t="str">
        <f>'Equipment List &amp; Usage'!C82</f>
        <v>Airway Management &amp; Intubation</v>
      </c>
      <c r="D229" s="1453" t="str">
        <f>'Equipment List &amp; Usage'!D82</f>
        <v>Cricothyrotomy, set, emergency, 6 mm, sterile, single use</v>
      </c>
      <c r="E229" s="1454"/>
      <c r="F229" s="970" t="str">
        <f>'Equipment List &amp; Usage'!E82</f>
        <v>Each</v>
      </c>
      <c r="G229" s="938">
        <f ca="1">'Equipment List &amp; Usage'!BE82</f>
        <v>6.1430825085677299</v>
      </c>
      <c r="H229" s="963">
        <f ca="1">'Equipment List &amp; Usage'!BF82</f>
        <v>3378.6953797122515</v>
      </c>
      <c r="I229" s="1035" t="str">
        <f t="shared" ca="1" si="26"/>
        <v/>
      </c>
      <c r="J229"/>
      <c r="K229"/>
      <c r="L229"/>
      <c r="X229" s="115"/>
    </row>
    <row r="230" spans="2:24" s="84" customFormat="1" ht="30" customHeight="1" x14ac:dyDescent="0.35">
      <c r="B230" s="1066" t="str">
        <f>RIGHT('Equipment List &amp; Usage'!B83,9)</f>
        <v>nsumables</v>
      </c>
      <c r="C230" s="943" t="str">
        <f>'Equipment List &amp; Usage'!C83</f>
        <v>Airway Management &amp; Intubation</v>
      </c>
      <c r="D230" s="1453" t="str">
        <f>'Equipment List &amp; Usage'!D83</f>
        <v>Endotracheal tube introducer</v>
      </c>
      <c r="E230" s="1454"/>
      <c r="F230" s="970" t="str">
        <f>'Equipment List &amp; Usage'!E83</f>
        <v>Each</v>
      </c>
      <c r="G230" s="938">
        <f ca="1">'Equipment List &amp; Usage'!BE83</f>
        <v>134.15286663356636</v>
      </c>
      <c r="H230" s="963">
        <f ca="1">'Equipment List &amp; Usage'!BF83</f>
        <v>99.273121308839109</v>
      </c>
      <c r="I230" s="1035" t="str">
        <f t="shared" ca="1" si="26"/>
        <v/>
      </c>
      <c r="J230"/>
      <c r="K230"/>
      <c r="L230"/>
      <c r="X230" s="115"/>
    </row>
    <row r="231" spans="2:24" s="84" customFormat="1" ht="29.15" customHeight="1" x14ac:dyDescent="0.35">
      <c r="B231" s="1066" t="str">
        <f>RIGHT('Equipment List &amp; Usage'!B84,9)</f>
        <v>nsumables</v>
      </c>
      <c r="C231" s="943" t="str">
        <f>'Equipment List &amp; Usage'!C84</f>
        <v>Airway Management &amp; Intubation</v>
      </c>
      <c r="D231" s="1453" t="str">
        <f>'Equipment List &amp; Usage'!D84</f>
        <v>Tube, endotracheal</v>
      </c>
      <c r="E231" s="1454"/>
      <c r="F231" s="970" t="str">
        <f>'Equipment List &amp; Usage'!E84</f>
        <v>Each</v>
      </c>
      <c r="G231" s="938">
        <f ca="1">'Equipment List &amp; Usage'!BE84</f>
        <v>134.15286663356636</v>
      </c>
      <c r="H231" s="963">
        <f ca="1">'Equipment List &amp; Usage'!BF84</f>
        <v>146.22662463058734</v>
      </c>
      <c r="I231" s="1035" t="str">
        <f t="shared" ca="1" si="26"/>
        <v/>
      </c>
      <c r="J231"/>
      <c r="K231"/>
      <c r="L231"/>
      <c r="X231" s="115"/>
    </row>
    <row r="232" spans="2:24" s="84" customFormat="1" ht="30" customHeight="1" x14ac:dyDescent="0.35">
      <c r="B232" s="1066" t="str">
        <f>RIGHT('Equipment List &amp; Usage'!B85,9)</f>
        <v>nsumables</v>
      </c>
      <c r="C232" s="943" t="str">
        <f>'Equipment List &amp; Usage'!C85</f>
        <v>Airway Management &amp; Intubation</v>
      </c>
      <c r="D232" s="1453" t="str">
        <f>'Equipment List &amp; Usage'!D85</f>
        <v>Laryngeal mask airway (LMA)</v>
      </c>
      <c r="E232" s="1454"/>
      <c r="F232" s="970" t="str">
        <f>'Equipment List &amp; Usage'!E85</f>
        <v>Each</v>
      </c>
      <c r="G232" s="938">
        <f ca="1">'Equipment List &amp; Usage'!BE85</f>
        <v>134.15286663356636</v>
      </c>
      <c r="H232" s="963">
        <f ca="1">'Equipment List &amp; Usage'!BF85</f>
        <v>399.77554256802773</v>
      </c>
      <c r="I232" s="1035" t="str">
        <f t="shared" ca="1" si="26"/>
        <v/>
      </c>
      <c r="J232"/>
      <c r="K232"/>
      <c r="L232"/>
      <c r="X232" s="115"/>
    </row>
    <row r="233" spans="2:24" s="84" customFormat="1" ht="33" customHeight="1" thickBot="1" x14ac:dyDescent="0.4">
      <c r="B233" s="1066" t="str">
        <f>RIGHT('Equipment List &amp; Usage'!B86,9)</f>
        <v>nsumables</v>
      </c>
      <c r="C233" s="944" t="str">
        <f>'Equipment List &amp; Usage'!C86</f>
        <v>Airway Management &amp; Intubation</v>
      </c>
      <c r="D233" s="1459" t="str">
        <f>'Equipment List &amp; Usage'!D86</f>
        <v>Lubricating jelly - for critical patient gastro-enteral feeding and airway management &amp; intubation</v>
      </c>
      <c r="E233" s="1460"/>
      <c r="F233" s="941" t="str">
        <f>'Equipment List &amp; Usage'!E86</f>
        <v>Each</v>
      </c>
      <c r="G233" s="942">
        <f ca="1">'Equipment List &amp; Usage'!BE86</f>
        <v>5.0307324987587396</v>
      </c>
      <c r="H233" s="985">
        <f ca="1">'Equipment List &amp; Usage'!BF86</f>
        <v>17.305719795730063</v>
      </c>
      <c r="I233" s="1035" t="str">
        <f t="shared" ca="1" si="26"/>
        <v/>
      </c>
      <c r="J233" s="129"/>
      <c r="K233" s="129"/>
      <c r="L233" s="129"/>
      <c r="X233" s="115"/>
    </row>
    <row r="234" spans="2:24" customFormat="1" x14ac:dyDescent="0.35">
      <c r="X234" s="9"/>
    </row>
    <row r="235" spans="2:24" s="84" customFormat="1" ht="15" thickBot="1" x14ac:dyDescent="0.4">
      <c r="B235" s="129"/>
      <c r="C235" s="129"/>
      <c r="D235" s="129"/>
      <c r="E235" s="129"/>
      <c r="F235" s="129"/>
      <c r="G235" s="129"/>
      <c r="H235" s="129"/>
      <c r="I235" s="129"/>
      <c r="X235" s="115"/>
    </row>
    <row r="236" spans="2:24" s="84" customFormat="1" x14ac:dyDescent="0.35">
      <c r="B236"/>
      <c r="C236"/>
      <c r="D236"/>
      <c r="E236"/>
      <c r="F236"/>
      <c r="G236" s="571" t="s">
        <v>297</v>
      </c>
      <c r="H236" s="352">
        <f ca="1">SUMIF($C$162:$C$233,"="&amp;G236,$H$162:$H$233)</f>
        <v>16304.670808457877</v>
      </c>
      <c r="I236"/>
      <c r="X236" s="115"/>
    </row>
    <row r="237" spans="2:24" s="84" customFormat="1" x14ac:dyDescent="0.35">
      <c r="B237"/>
      <c r="C237"/>
      <c r="D237"/>
      <c r="E237"/>
      <c r="F237"/>
      <c r="G237" s="265" t="s">
        <v>263</v>
      </c>
      <c r="H237" s="231">
        <f ca="1">SUMIF($C$162:$C$233,"="&amp;G237,$H$162:$H$233)</f>
        <v>183779.13557381905</v>
      </c>
      <c r="I237"/>
      <c r="X237" s="115"/>
    </row>
    <row r="238" spans="2:24" s="84" customFormat="1" x14ac:dyDescent="0.35">
      <c r="B238"/>
      <c r="C238"/>
      <c r="D238"/>
      <c r="E238"/>
      <c r="F238"/>
      <c r="G238" s="265" t="s">
        <v>262</v>
      </c>
      <c r="H238" s="231">
        <f ca="1">SUMIF($C$162:$C$233,"="&amp;G238,$H$162:$H$233)</f>
        <v>47005.785042323907</v>
      </c>
      <c r="I238"/>
      <c r="X238" s="115"/>
    </row>
    <row r="239" spans="2:24" s="84" customFormat="1" x14ac:dyDescent="0.35">
      <c r="B239"/>
      <c r="C239"/>
      <c r="D239"/>
      <c r="E239"/>
      <c r="F239"/>
      <c r="G239" s="265" t="s">
        <v>642</v>
      </c>
      <c r="H239" s="231">
        <f ca="1">SUMIF($C$162:$C$233,"="&amp;G239,$H$162:$H$233)</f>
        <v>98602.356975671297</v>
      </c>
      <c r="I239"/>
      <c r="X239" s="115"/>
    </row>
    <row r="240" spans="2:24" s="84" customFormat="1" x14ac:dyDescent="0.35">
      <c r="G240" s="572" t="s">
        <v>610</v>
      </c>
      <c r="H240" s="231">
        <f ca="1">SUMIF($B$162:$B$233,"equipment",$H$162:$H$233)</f>
        <v>3097489.9111751998</v>
      </c>
      <c r="X240" s="115"/>
    </row>
    <row r="241" spans="2:24" s="84" customFormat="1" ht="15" thickBot="1" x14ac:dyDescent="0.4">
      <c r="G241" s="573" t="s">
        <v>999</v>
      </c>
      <c r="H241" s="347">
        <f ca="1">SUMIF($B$162:$B$233,"nsumables",$H$162:$H$233)</f>
        <v>14718.918403558735</v>
      </c>
      <c r="X241" s="115"/>
    </row>
    <row r="242" spans="2:24" s="84" customFormat="1" ht="15" thickBot="1" x14ac:dyDescent="0.4">
      <c r="F242" s="93"/>
      <c r="G242" s="1244" t="s">
        <v>259</v>
      </c>
      <c r="X242" s="115"/>
    </row>
    <row r="243" spans="2:24" s="84" customFormat="1" ht="15" thickBot="1" x14ac:dyDescent="0.4">
      <c r="G243" s="1231" t="s">
        <v>819</v>
      </c>
      <c r="H243" s="353">
        <f ca="1">SUM(H236:H241)</f>
        <v>3457900.7779790307</v>
      </c>
      <c r="X243" s="115"/>
    </row>
    <row r="251" spans="2:24" x14ac:dyDescent="0.35">
      <c r="B251" s="1389" t="s">
        <v>1898</v>
      </c>
      <c r="C251" s="1389"/>
      <c r="D251" s="1389"/>
      <c r="E251" s="1389"/>
      <c r="F251" s="1389"/>
      <c r="G251" s="1389"/>
    </row>
    <row r="252" spans="2:24" x14ac:dyDescent="0.35">
      <c r="B252" s="909" t="s">
        <v>1897</v>
      </c>
      <c r="C252" s="909"/>
      <c r="D252" s="909"/>
      <c r="E252" s="909"/>
      <c r="F252" s="909"/>
      <c r="G252" s="909"/>
    </row>
  </sheetData>
  <sheetProtection algorithmName="SHA-512" hashValue="2oF4yQE09hpyeNePB++bX99+LBDlOSVihs7tZkybM6fOM3clHnAx40UsP36UPX33Nvjr5uLGgG9ldQ1UhaCawg==" saltValue="ZTa2YjslZhdcH8BMn1UNmw==" spinCount="100000" sheet="1" objects="1" scenarios="1"/>
  <mergeCells count="79">
    <mergeCell ref="B251:G251"/>
    <mergeCell ref="D202:E202"/>
    <mergeCell ref="O15:Q15"/>
    <mergeCell ref="U15:W15"/>
    <mergeCell ref="O16:R18"/>
    <mergeCell ref="C196:H197"/>
    <mergeCell ref="B152:B155"/>
    <mergeCell ref="B146:B147"/>
    <mergeCell ref="B136:B143"/>
    <mergeCell ref="B130:B131"/>
    <mergeCell ref="D232:E232"/>
    <mergeCell ref="D218:E218"/>
    <mergeCell ref="D219:E219"/>
    <mergeCell ref="D221:E221"/>
    <mergeCell ref="D206:E206"/>
    <mergeCell ref="D207:E207"/>
    <mergeCell ref="Z8:AH10"/>
    <mergeCell ref="J8:K8"/>
    <mergeCell ref="J10:K10"/>
    <mergeCell ref="J11:K11"/>
    <mergeCell ref="J9:K9"/>
    <mergeCell ref="K12:L12"/>
    <mergeCell ref="T9:V10"/>
    <mergeCell ref="Q9:S10"/>
    <mergeCell ref="U14:W14"/>
    <mergeCell ref="U13:W13"/>
    <mergeCell ref="U12:W12"/>
    <mergeCell ref="O12:Q12"/>
    <mergeCell ref="O13:Q13"/>
    <mergeCell ref="O11:Q11"/>
    <mergeCell ref="D222:E222"/>
    <mergeCell ref="D229:E229"/>
    <mergeCell ref="D227:E227"/>
    <mergeCell ref="D228:E228"/>
    <mergeCell ref="D216:E216"/>
    <mergeCell ref="D217:E217"/>
    <mergeCell ref="D233:E233"/>
    <mergeCell ref="D230:E230"/>
    <mergeCell ref="D231:E231"/>
    <mergeCell ref="D208:E208"/>
    <mergeCell ref="D209:E209"/>
    <mergeCell ref="D223:E223"/>
    <mergeCell ref="D225:E225"/>
    <mergeCell ref="D226:E226"/>
    <mergeCell ref="D224:E224"/>
    <mergeCell ref="D215:E215"/>
    <mergeCell ref="D220:E220"/>
    <mergeCell ref="D210:E210"/>
    <mergeCell ref="D211:E211"/>
    <mergeCell ref="D212:E212"/>
    <mergeCell ref="D213:E213"/>
    <mergeCell ref="D214:E214"/>
    <mergeCell ref="A4:I4"/>
    <mergeCell ref="C121:E121"/>
    <mergeCell ref="C122:E122"/>
    <mergeCell ref="C129:E129"/>
    <mergeCell ref="B118:F118"/>
    <mergeCell ref="C23:I23"/>
    <mergeCell ref="C126:E126"/>
    <mergeCell ref="B126:B128"/>
    <mergeCell ref="C127:E127"/>
    <mergeCell ref="B121:B125"/>
    <mergeCell ref="I13:J13"/>
    <mergeCell ref="D205:E205"/>
    <mergeCell ref="Z13:AG13"/>
    <mergeCell ref="O14:Q14"/>
    <mergeCell ref="D195:E195"/>
    <mergeCell ref="J15:L16"/>
    <mergeCell ref="D161:E161"/>
    <mergeCell ref="Z18:AB19"/>
    <mergeCell ref="C145:E145"/>
    <mergeCell ref="C135:E135"/>
    <mergeCell ref="D201:E201"/>
    <mergeCell ref="C151:E151"/>
    <mergeCell ref="D204:E204"/>
    <mergeCell ref="D203:E203"/>
    <mergeCell ref="D198:E198"/>
    <mergeCell ref="D199:E199"/>
    <mergeCell ref="D200:E200"/>
  </mergeCells>
  <conditionalFormatting sqref="B14:D14">
    <cfRule type="expression" dxfId="73" priority="126">
      <formula>IF(OR($C$12="manual entry",$C$12="sir model"),TRUE,FALSE)</formula>
    </cfRule>
  </conditionalFormatting>
  <conditionalFormatting sqref="D12">
    <cfRule type="expression" dxfId="72" priority="69">
      <formula>$C$12="SIR Model"</formula>
    </cfRule>
    <cfRule type="expression" dxfId="71" priority="129">
      <formula>IF($C$12="Manual Entry",TRUE,FALSE)</formula>
    </cfRule>
  </conditionalFormatting>
  <conditionalFormatting sqref="G120:BN120">
    <cfRule type="expression" dxfId="70" priority="112">
      <formula>IF(ISNUMBER($G$115),FALSE,TRUE)</formula>
    </cfRule>
  </conditionalFormatting>
  <conditionalFormatting sqref="G120:BN131 G145:BD147 G153:BD154 G135:BD143">
    <cfRule type="expression" dxfId="69" priority="107">
      <formula>IF(ISNUMBER(G$115),FALSE,TRUE)</formula>
    </cfRule>
  </conditionalFormatting>
  <conditionalFormatting sqref="E12">
    <cfRule type="expression" dxfId="68" priority="88">
      <formula>IF($C$12&lt;&gt;"Manual Entry",TRUE,FALSE)</formula>
    </cfRule>
  </conditionalFormatting>
  <conditionalFormatting sqref="B13:D13">
    <cfRule type="expression" dxfId="67" priority="86">
      <formula>IF($C$12="manual entry",TRUE,FALSE)</formula>
    </cfRule>
  </conditionalFormatting>
  <conditionalFormatting sqref="B16">
    <cfRule type="expression" dxfId="66" priority="84">
      <formula>IF(OR($C$12="manual entry",$C$12="sir model"),TRUE,FALSE)</formula>
    </cfRule>
  </conditionalFormatting>
  <conditionalFormatting sqref="B13:C13">
    <cfRule type="expression" dxfId="65" priority="80">
      <formula>IF($C$12="manual entry",TRUE,FALSE)</formula>
    </cfRule>
  </conditionalFormatting>
  <conditionalFormatting sqref="G18:H18">
    <cfRule type="expression" dxfId="64" priority="71">
      <formula>$H$17="All Suspected Cases"</formula>
    </cfRule>
    <cfRule type="expression" dxfId="63" priority="72">
      <formula>$H$17&lt;&gt;"Targeted"</formula>
    </cfRule>
  </conditionalFormatting>
  <conditionalFormatting sqref="D11">
    <cfRule type="expression" dxfId="62" priority="68">
      <formula>IF($C$12&lt;&gt;"SIR Model",TRUE,FALSE)</formula>
    </cfRule>
  </conditionalFormatting>
  <conditionalFormatting sqref="AC143:BD143">
    <cfRule type="expression" dxfId="61" priority="65">
      <formula>IF(ISNUMBER(AC$115),FALSE,TRUE)</formula>
    </cfRule>
  </conditionalFormatting>
  <conditionalFormatting sqref="AJ15:AN18">
    <cfRule type="expression" dxfId="60" priority="52">
      <formula>$AI15=""</formula>
    </cfRule>
  </conditionalFormatting>
  <conditionalFormatting sqref="AL13">
    <cfRule type="expression" dxfId="59" priority="49">
      <formula>$E13=""</formula>
    </cfRule>
  </conditionalFormatting>
  <conditionalFormatting sqref="T12:T15">
    <cfRule type="expression" dxfId="58" priority="282">
      <formula>$W$9</formula>
    </cfRule>
  </conditionalFormatting>
  <conditionalFormatting sqref="R12:R15">
    <cfRule type="expression" dxfId="57" priority="283">
      <formula>$W$9</formula>
    </cfRule>
    <cfRule type="expression" dxfId="56" priority="284">
      <formula>$W$9</formula>
    </cfRule>
  </conditionalFormatting>
  <conditionalFormatting sqref="T9">
    <cfRule type="expression" dxfId="55" priority="285">
      <formula>$W$9</formula>
    </cfRule>
  </conditionalFormatting>
  <conditionalFormatting sqref="AK13">
    <cfRule type="expression" dxfId="54" priority="35">
      <formula>$E13=""</formula>
    </cfRule>
  </conditionalFormatting>
  <conditionalFormatting sqref="B14:C14">
    <cfRule type="expression" dxfId="53" priority="28">
      <formula>$C$12="SIR Model"</formula>
    </cfRule>
  </conditionalFormatting>
  <conditionalFormatting sqref="AI15:AI18">
    <cfRule type="expression" dxfId="52" priority="300">
      <formula>OR(AI14&gt;=$Z$12,AI14="""")</formula>
    </cfRule>
  </conditionalFormatting>
  <conditionalFormatting sqref="AI15:AN18 AI10:AN13 AJ9:AN9 AI7">
    <cfRule type="expression" dxfId="51" priority="25">
      <formula>$Z$12=1</formula>
    </cfRule>
  </conditionalFormatting>
  <conditionalFormatting sqref="AI14">
    <cfRule type="expression" dxfId="50" priority="24">
      <formula>$Z$12=1</formula>
    </cfRule>
  </conditionalFormatting>
  <conditionalFormatting sqref="AJ14">
    <cfRule type="expression" dxfId="49" priority="23" stopIfTrue="1">
      <formula>$Z$12=1</formula>
    </cfRule>
  </conditionalFormatting>
  <conditionalFormatting sqref="AM14">
    <cfRule type="expression" dxfId="48" priority="20">
      <formula>$Z$12=1</formula>
    </cfRule>
  </conditionalFormatting>
  <conditionalFormatting sqref="AN14">
    <cfRule type="expression" dxfId="47" priority="19">
      <formula>$Z$12=1</formula>
    </cfRule>
  </conditionalFormatting>
  <conditionalFormatting sqref="O11 O16 Z7:Z8 P9:Y10 O7 V18:AH19 R11 T11:AH11 AF15:AH15 X16:AH17 R15 X15:AD15 O12:AH14 S15:S17 T15:U15">
    <cfRule type="expression" dxfId="46" priority="18">
      <formula>$C$12&lt;&gt;"SIR Model"</formula>
    </cfRule>
  </conditionalFormatting>
  <conditionalFormatting sqref="AL15:AL18">
    <cfRule type="expression" dxfId="45" priority="302">
      <formula>$AE$16=1</formula>
    </cfRule>
    <cfRule type="expression" dxfId="44" priority="303">
      <formula>$AE$16=2</formula>
    </cfRule>
  </conditionalFormatting>
  <conditionalFormatting sqref="AL14">
    <cfRule type="expression" dxfId="43" priority="304">
      <formula>$AE$16=1</formula>
    </cfRule>
    <cfRule type="expression" dxfId="42" priority="305">
      <formula>$AE$16=2</formula>
    </cfRule>
  </conditionalFormatting>
  <conditionalFormatting sqref="AL13">
    <cfRule type="expression" dxfId="41" priority="306">
      <formula>$AE$16=1</formula>
    </cfRule>
    <cfRule type="expression" dxfId="40" priority="307">
      <formula>$AE$16=2</formula>
    </cfRule>
  </conditionalFormatting>
  <conditionalFormatting sqref="AK15:AK18">
    <cfRule type="expression" dxfId="39" priority="308">
      <formula>$AE$16=2</formula>
    </cfRule>
    <cfRule type="expression" dxfId="38" priority="309">
      <formula>$AE$16=1</formula>
    </cfRule>
  </conditionalFormatting>
  <conditionalFormatting sqref="AK14">
    <cfRule type="expression" dxfId="37" priority="310">
      <formula>$AE$16=2</formula>
    </cfRule>
    <cfRule type="expression" dxfId="36" priority="311">
      <formula>$AE$16=1</formula>
    </cfRule>
  </conditionalFormatting>
  <conditionalFormatting sqref="AK13">
    <cfRule type="expression" dxfId="35" priority="312">
      <formula>$AE$16=2</formula>
    </cfRule>
    <cfRule type="expression" dxfId="34" priority="313">
      <formula>$AE$16=1</formula>
    </cfRule>
  </conditionalFormatting>
  <conditionalFormatting sqref="Q7 AB7">
    <cfRule type="expression" dxfId="33" priority="12">
      <formula>$C$12&lt;&gt;"SIR Model"</formula>
    </cfRule>
  </conditionalFormatting>
  <conditionalFormatting sqref="AK13:AK18">
    <cfRule type="expression" dxfId="32" priority="11">
      <formula>$AE$16=2</formula>
    </cfRule>
  </conditionalFormatting>
  <conditionalFormatting sqref="AK13:AM18">
    <cfRule type="expression" dxfId="31" priority="9">
      <formula>$Z$12=1</formula>
    </cfRule>
  </conditionalFormatting>
  <conditionalFormatting sqref="G12">
    <cfRule type="expression" dxfId="30" priority="8">
      <formula>AND($C$13="",$C$12&lt;&gt;"Manual Entry")</formula>
    </cfRule>
  </conditionalFormatting>
  <conditionalFormatting sqref="AL13:AL18">
    <cfRule type="expression" dxfId="29" priority="6">
      <formula>$Z$12=1</formula>
    </cfRule>
    <cfRule type="expression" dxfId="28" priority="7">
      <formula>$AE$16=1</formula>
    </cfRule>
  </conditionalFormatting>
  <conditionalFormatting sqref="G151:BD151">
    <cfRule type="expression" dxfId="27" priority="5">
      <formula>IF(ISNUMBER(G$115),FALSE,TRUE)</formula>
    </cfRule>
  </conditionalFormatting>
  <conditionalFormatting sqref="G155:BD155">
    <cfRule type="expression" dxfId="26" priority="4">
      <formula>IF(ISNUMBER(G$115),FALSE,TRUE)</formula>
    </cfRule>
  </conditionalFormatting>
  <conditionalFormatting sqref="J152:BD152">
    <cfRule type="expression" dxfId="25" priority="3">
      <formula>IF(ISNUMBER(J$115),FALSE,TRUE)</formula>
    </cfRule>
  </conditionalFormatting>
  <conditionalFormatting sqref="O15:Q15">
    <cfRule type="expression" dxfId="24" priority="2">
      <formula>$C$12&lt;&gt;"SIR Model"</formula>
    </cfRule>
  </conditionalFormatting>
  <conditionalFormatting sqref="B17:C19">
    <cfRule type="expression" dxfId="23" priority="321">
      <formula>IF(OR($C$12="manual entry",$C$12="sir model"),TRUE,FALSE)</formula>
    </cfRule>
    <cfRule type="expression" dxfId="22" priority="322">
      <formula>IF($C$14&lt;&gt;"combined",TRUE,FALSE)</formula>
    </cfRule>
  </conditionalFormatting>
  <conditionalFormatting sqref="E13">
    <cfRule type="expression" dxfId="21" priority="323">
      <formula>$C$12="Manual Entry"</formula>
    </cfRule>
    <cfRule type="expression" dxfId="20" priority="324">
      <formula>AND($C$14="Manual",$C$12="Exponential Growth")</formula>
    </cfRule>
    <cfRule type="expression" dxfId="19" priority="325">
      <formula>$C$13&lt;&gt;"Manual"</formula>
    </cfRule>
  </conditionalFormatting>
  <conditionalFormatting sqref="E14">
    <cfRule type="expression" dxfId="18" priority="326">
      <formula>AND($C$12="SIR Model",$C$13="Manual")</formula>
    </cfRule>
    <cfRule type="expression" dxfId="17" priority="327">
      <formula>OR($C$12="Manual Entry",$C$12="SIR Model")</formula>
    </cfRule>
    <cfRule type="expression" dxfId="16" priority="328">
      <formula>$C$13="Manual"</formula>
    </cfRule>
    <cfRule type="expression" dxfId="15" priority="329">
      <formula>$C$14&lt;&gt;"Manual"</formula>
    </cfRule>
  </conditionalFormatting>
  <conditionalFormatting sqref="AK14:AL14">
    <cfRule type="expression" dxfId="14" priority="331">
      <formula>$Z$12=1</formula>
    </cfRule>
    <cfRule type="expression" dxfId="13" priority="332">
      <formula>$E14=""</formula>
    </cfRule>
  </conditionalFormatting>
  <conditionalFormatting sqref="G152:I152">
    <cfRule type="expression" dxfId="12" priority="1">
      <formula>IF(ISNUMBER(G$115),FALSE,TRUE)</formula>
    </cfRule>
  </conditionalFormatting>
  <dataValidations count="13">
    <dataValidation type="list" allowBlank="1" showInputMessage="1" showErrorMessage="1" sqref="H13" xr:uid="{00000000-0002-0000-0500-000000000000}">
      <formula1>"0,1"</formula1>
    </dataValidation>
    <dataValidation type="decimal" allowBlank="1" showInputMessage="1" showErrorMessage="1" sqref="R15 H18 E13" xr:uid="{00000000-0002-0000-0500-000001000000}">
      <formula1>0</formula1>
      <formula2>1</formula2>
    </dataValidation>
    <dataValidation type="list" allowBlank="1" showInputMessage="1" showErrorMessage="1" sqref="H17" xr:uid="{00000000-0002-0000-0500-000002000000}">
      <formula1>"Targeted, All Suspected Cases"</formula1>
    </dataValidation>
    <dataValidation type="decimal" allowBlank="1" showInputMessage="1" showErrorMessage="1" sqref="H19 C17:C19" xr:uid="{00000000-0002-0000-0500-000003000000}">
      <formula1>0</formula1>
      <formula2>1000000</formula2>
    </dataValidation>
    <dataValidation type="decimal" allowBlank="1" showInputMessage="1" showErrorMessage="1" sqref="J18:J19 K19" xr:uid="{00000000-0002-0000-0500-000004000000}">
      <formula1>0</formula1>
      <formula2>100000</formula2>
    </dataValidation>
    <dataValidation type="whole" allowBlank="1" showInputMessage="1" showErrorMessage="1" errorTitle="Error:" error="Must be less than or equal to &quot;Max # of weeks needed to forecast equipment (#)&quot; in cell above" sqref="I12" xr:uid="{00000000-0002-0000-0500-000005000000}">
      <formula1>1</formula1>
      <formula2>C47</formula2>
    </dataValidation>
    <dataValidation type="whole" errorStyle="warning" operator="greaterThanOrEqual" allowBlank="1" showInputMessage="1" sqref="R12" xr:uid="{00000000-0002-0000-0500-000006000000}">
      <formula1>1</formula1>
    </dataValidation>
    <dataValidation type="whole" operator="greaterThanOrEqual" allowBlank="1" showInputMessage="1" showErrorMessage="1" errorTitle="Please enter a positive integer" error="Please enter a positive integer" sqref="X17" xr:uid="{00000000-0002-0000-0500-000007000000}">
      <formula1>0</formula1>
    </dataValidation>
    <dataValidation type="whole" allowBlank="1" showInputMessage="1" showErrorMessage="1" sqref="Z12" xr:uid="{00000000-0002-0000-0500-000008000000}">
      <formula1>1</formula1>
      <formula2>5</formula2>
    </dataValidation>
    <dataValidation type="whole" operator="greaterThanOrEqual" allowBlank="1" showInputMessage="1" showErrorMessage="1" error="Stage start day must be on or after the previous stage's start day" sqref="AJ15:AJ18" xr:uid="{00000000-0002-0000-0500-000009000000}">
      <formula1>AJ14</formula1>
    </dataValidation>
    <dataValidation type="decimal" operator="greaterThanOrEqual" allowBlank="1" showInputMessage="1" showErrorMessage="1" sqref="R14 AK15:AL18" xr:uid="{00000000-0002-0000-0500-00000A000000}">
      <formula1>0</formula1>
    </dataValidation>
    <dataValidation type="whole" allowBlank="1" showInputMessage="1" showErrorMessage="1" error="Must be less than total number of cases input on 'Inputs' tab" sqref="R13" xr:uid="{00000000-0002-0000-0500-00000B000000}">
      <formula1>0</formula1>
      <formula2>Current_known_cases-1</formula2>
    </dataValidation>
    <dataValidation type="whole" operator="greaterThan" allowBlank="1" showInputMessage="1" showErrorMessage="1" sqref="H12" xr:uid="{00000000-0002-0000-0500-00000C000000}">
      <formula1>0</formula1>
    </dataValidation>
  </dataValidations>
  <hyperlinks>
    <hyperlink ref="E12" location="'Patient Calcs'!B71" display="Jump to Manual Case Estimation" xr:uid="{00000000-0004-0000-0500-000000000000}"/>
    <hyperlink ref="D11" location="'User Dashboard'!Z7" display="Edit SIR Model" xr:uid="{00000000-0004-0000-0500-000001000000}"/>
    <hyperlink ref="Z18:AB19" location="'User Dashboard'!A7" display="Jump back to Dashboard inputs" xr:uid="{00000000-0004-0000-0500-000002000000}"/>
    <hyperlink ref="J10" location="Inputs!B17" display="Country/Territory Selection" xr:uid="{00000000-0004-0000-0500-000003000000}"/>
    <hyperlink ref="J11" location="Inputs!B33" display="Health Care Workers (HCW) and Care Staff" xr:uid="{00000000-0004-0000-0500-000004000000}"/>
    <hyperlink ref="G99" location="'User Dashboard'!A1" display="Back to top" xr:uid="{00000000-0004-0000-0500-000005000000}"/>
    <hyperlink ref="J9:K9" location="'User Dashboard'!B99" display="High-Level Summary" xr:uid="{00000000-0004-0000-0500-000006000000}"/>
    <hyperlink ref="J10:K10" location="'User Dashboard'!B114" display="Care Staff &amp; Patients" xr:uid="{00000000-0004-0000-0500-000007000000}"/>
    <hyperlink ref="J11:K11" location="'User Dashboard'!B159" display="Commodity Quantification" xr:uid="{00000000-0004-0000-0500-000008000000}"/>
    <hyperlink ref="D114" location="'User Dashboard'!A1" display="Back to top" xr:uid="{00000000-0004-0000-0500-000009000000}"/>
    <hyperlink ref="D159" location="'User Dashboard'!A1" display="Back to top" xr:uid="{00000000-0004-0000-0500-00000A000000}"/>
    <hyperlink ref="F157" r:id="rId1" xr:uid="{00000000-0004-0000-0500-00000B000000}"/>
    <hyperlink ref="B251" r:id="rId2" display="https://creativecommons.org/licenses/by-nc-sa/3.0/igo" xr:uid="{3AFBC05F-EC06-4660-83F4-476EBCE25151}"/>
  </hyperlinks>
  <pageMargins left="0.7" right="0.7" top="0.75" bottom="0.75" header="0.3" footer="0.3"/>
  <pageSetup orientation="portrait" r:id="rId3"/>
  <ignoredErrors>
    <ignoredError sqref="I12:J12" unlockedFormula="1"/>
    <ignoredError sqref="L138:BD138 L142:BD142" evalError="1"/>
  </ignoredErrors>
  <drawing r:id="rId4"/>
  <legacyDrawing r:id="rId5"/>
  <mc:AlternateContent xmlns:mc="http://schemas.openxmlformats.org/markup-compatibility/2006">
    <mc:Choice Requires="x14">
      <controls>
        <mc:AlternateContent xmlns:mc="http://schemas.openxmlformats.org/markup-compatibility/2006">
          <mc:Choice Requires="x14">
            <control shapeId="2065" r:id="rId6" name="Check Box 17">
              <controlPr locked="0" defaultSize="0" autoFill="0" autoLine="0" autoPict="0">
                <anchor moveWithCells="1">
                  <from>
                    <xdr:col>18</xdr:col>
                    <xdr:colOff>1060450</xdr:colOff>
                    <xdr:row>8</xdr:row>
                    <xdr:rowOff>31750</xdr:rowOff>
                  </from>
                  <to>
                    <xdr:col>22</xdr:col>
                    <xdr:colOff>69850</xdr:colOff>
                    <xdr:row>9</xdr:row>
                    <xdr:rowOff>146050</xdr:rowOff>
                  </to>
                </anchor>
              </controlPr>
            </control>
          </mc:Choice>
        </mc:AlternateContent>
        <mc:AlternateContent xmlns:mc="http://schemas.openxmlformats.org/markup-compatibility/2006">
          <mc:Choice Requires="x14">
            <control shapeId="2081" r:id="rId7" name="Option Button 33">
              <controlPr locked="0" defaultSize="0" autoFill="0" autoLine="0" autoPict="0">
                <anchor moveWithCells="1">
                  <from>
                    <xdr:col>25</xdr:col>
                    <xdr:colOff>222250</xdr:colOff>
                    <xdr:row>14</xdr:row>
                    <xdr:rowOff>69850</xdr:rowOff>
                  </from>
                  <to>
                    <xdr:col>28</xdr:col>
                    <xdr:colOff>184150</xdr:colOff>
                    <xdr:row>14</xdr:row>
                    <xdr:rowOff>393700</xdr:rowOff>
                  </to>
                </anchor>
              </controlPr>
            </control>
          </mc:Choice>
        </mc:AlternateContent>
        <mc:AlternateContent xmlns:mc="http://schemas.openxmlformats.org/markup-compatibility/2006">
          <mc:Choice Requires="x14">
            <control shapeId="2082" r:id="rId8" name="Option Button 34">
              <controlPr locked="0" defaultSize="0" autoFill="0" autoLine="0" autoPict="0">
                <anchor moveWithCells="1">
                  <from>
                    <xdr:col>25</xdr:col>
                    <xdr:colOff>222250</xdr:colOff>
                    <xdr:row>14</xdr:row>
                    <xdr:rowOff>488950</xdr:rowOff>
                  </from>
                  <to>
                    <xdr:col>27</xdr:col>
                    <xdr:colOff>336550</xdr:colOff>
                    <xdr:row>16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7" id="{6575FF29-47A9-4AE2-8780-A027D64E8FAD}">
            <xm:f>IF($G$118&lt;SUM('Weekly Summary'!$D$16:$D$17),TRUE,FALSE)</xm:f>
            <x14:dxf>
              <font>
                <color theme="0"/>
              </font>
              <fill>
                <patternFill>
                  <bgColor theme="0"/>
                </patternFill>
              </fill>
              <border>
                <left/>
                <right/>
                <top/>
                <bottom/>
                <vertical/>
                <horizontal/>
              </border>
            </x14:dxf>
          </x14:cfRule>
          <xm:sqref>B118 G118:J118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D000000}">
          <x14:formula1>
            <xm:f>lists!$B$26:$B$30</xm:f>
          </x14:formula1>
          <xm:sqref>C13</xm:sqref>
        </x14:dataValidation>
        <x14:dataValidation type="list" allowBlank="1" showInputMessage="1" showErrorMessage="1" xr:uid="{00000000-0002-0000-0500-00000E000000}">
          <x14:formula1>
            <xm:f>lists!$B$33:$B$35</xm:f>
          </x14:formula1>
          <xm:sqref>C12</xm:sqref>
        </x14:dataValidation>
        <x14:dataValidation type="list" allowBlank="1" showInputMessage="1" showErrorMessage="1" xr:uid="{00000000-0002-0000-0500-00000F000000}">
          <x14:formula1>
            <xm:f>'Back Calculations'!$B$89:$B$95</xm:f>
          </x14:formula1>
          <xm:sqref>C14</xm:sqref>
        </x14:dataValidation>
        <x14:dataValidation type="date" allowBlank="1" showInputMessage="1" showErrorMessage="1" errorTitle="Data Limit" error="Date entered must be between Jan. 1, 2020 and Dec, 31, 2025." xr:uid="{00000000-0002-0000-0500-000010000000}">
          <x14:formula1>
            <xm:f>lists!B42</xm:f>
          </x14:formula1>
          <x14:formula2>
            <xm:f>lists!B43</xm:f>
          </x14:formula2>
          <xm:sqref>H14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1E7FB8"/>
  </sheetPr>
  <dimension ref="A1:BH249"/>
  <sheetViews>
    <sheetView showGridLines="0" zoomScale="70" zoomScaleNormal="70" workbookViewId="0">
      <pane xSplit="5" ySplit="14" topLeftCell="F170" activePane="bottomRight" state="frozen"/>
      <selection pane="topRight" activeCell="F1" sqref="F1"/>
      <selection pane="bottomLeft" activeCell="A15" sqref="A15"/>
      <selection pane="bottomRight" activeCell="B4" sqref="B4:D9"/>
    </sheetView>
  </sheetViews>
  <sheetFormatPr defaultColWidth="8.453125" defaultRowHeight="14.5" x14ac:dyDescent="0.35"/>
  <cols>
    <col min="1" max="1" width="5" customWidth="1"/>
    <col min="2" max="2" width="23.453125" style="81" customWidth="1"/>
    <col min="3" max="3" width="25.453125" style="81" customWidth="1"/>
    <col min="4" max="4" width="41.453125" customWidth="1"/>
    <col min="5" max="5" width="10.453125" style="129" customWidth="1"/>
    <col min="6" max="6" width="14.453125" customWidth="1"/>
    <col min="7" max="7" width="39.453125" customWidth="1"/>
    <col min="8" max="8" width="25.1796875" style="129" customWidth="1"/>
    <col min="9" max="9" width="19.81640625" customWidth="1"/>
    <col min="10" max="10" width="14.453125" customWidth="1"/>
    <col min="11" max="12" width="13.453125" customWidth="1"/>
    <col min="13" max="13" width="14" customWidth="1"/>
    <col min="14" max="14" width="13.7265625" style="722" customWidth="1"/>
    <col min="15" max="15" width="14.453125" style="129" customWidth="1"/>
    <col min="16" max="16" width="15.453125" style="129" customWidth="1"/>
    <col min="17" max="17" width="13" customWidth="1"/>
    <col min="18" max="19" width="11.453125" style="129" customWidth="1"/>
    <col min="20" max="20" width="10.453125" style="129" customWidth="1"/>
    <col min="21" max="21" width="14.453125" customWidth="1"/>
    <col min="22" max="22" width="3" customWidth="1"/>
    <col min="23" max="23" width="12.453125" customWidth="1"/>
    <col min="24" max="24" width="10" customWidth="1"/>
    <col min="25" max="25" width="13.453125" customWidth="1"/>
    <col min="26" max="26" width="6.453125" customWidth="1"/>
    <col min="27" max="27" width="8.453125" customWidth="1"/>
    <col min="28" max="28" width="10" customWidth="1"/>
    <col min="29" max="29" width="12.453125" customWidth="1"/>
    <col min="30" max="30" width="4.453125" customWidth="1"/>
    <col min="31" max="31" width="14.26953125" style="129" customWidth="1"/>
    <col min="32" max="32" width="12.453125" style="129" customWidth="1"/>
    <col min="33" max="33" width="11.453125" style="129" customWidth="1"/>
    <col min="34" max="34" width="3.453125" customWidth="1"/>
    <col min="35" max="39" width="8.453125" hidden="1" customWidth="1"/>
    <col min="40" max="40" width="15.453125" hidden="1" customWidth="1"/>
    <col min="41" max="41" width="8.453125" hidden="1" customWidth="1"/>
    <col min="42" max="46" width="8.453125" style="129" hidden="1" customWidth="1"/>
    <col min="47" max="47" width="15.453125" style="129" hidden="1" customWidth="1"/>
    <col min="48" max="48" width="8.453125" style="129" hidden="1" customWidth="1"/>
    <col min="49" max="56" width="8.453125" hidden="1" customWidth="1"/>
    <col min="57" max="57" width="20.1796875" customWidth="1"/>
    <col min="58" max="58" width="16.453125" customWidth="1"/>
    <col min="59" max="59" width="19.453125" customWidth="1"/>
  </cols>
  <sheetData>
    <row r="1" spans="2:60" ht="38.15" customHeight="1" x14ac:dyDescent="0.35"/>
    <row r="2" spans="2:60" s="23" customFormat="1" ht="18.5" x14ac:dyDescent="0.45">
      <c r="B2" s="523" t="s">
        <v>1753</v>
      </c>
      <c r="C2" s="523"/>
      <c r="F2" s="24"/>
      <c r="G2" s="24"/>
      <c r="H2" s="24"/>
      <c r="I2" s="24"/>
    </row>
    <row r="3" spans="2:60" ht="15" thickBot="1" x14ac:dyDescent="0.4">
      <c r="B3" s="733" t="s">
        <v>1360</v>
      </c>
      <c r="F3" s="6"/>
      <c r="G3" s="33"/>
      <c r="H3" s="33"/>
    </row>
    <row r="4" spans="2:60" ht="15" thickBot="1" x14ac:dyDescent="0.4">
      <c r="B4" s="1428" t="s">
        <v>1754</v>
      </c>
      <c r="C4" s="1429"/>
      <c r="D4" s="1430"/>
      <c r="E4" s="278"/>
      <c r="G4" s="165" t="s">
        <v>1441</v>
      </c>
      <c r="H4"/>
      <c r="J4" s="1543" t="s">
        <v>1445</v>
      </c>
      <c r="K4" s="1544"/>
      <c r="M4" s="1518" t="s">
        <v>1442</v>
      </c>
      <c r="N4" s="1545"/>
      <c r="O4" s="1519"/>
    </row>
    <row r="5" spans="2:60" s="41" customFormat="1" ht="15" customHeight="1" x14ac:dyDescent="0.35">
      <c r="B5" s="1431"/>
      <c r="C5" s="1432"/>
      <c r="D5" s="1433"/>
      <c r="E5" s="278"/>
      <c r="F5" s="6"/>
      <c r="G5" s="164" t="s">
        <v>297</v>
      </c>
      <c r="H5" s="279"/>
      <c r="I5"/>
      <c r="J5" s="1520" t="s">
        <v>845</v>
      </c>
      <c r="K5" s="1521"/>
      <c r="M5" s="1520" t="s">
        <v>1443</v>
      </c>
      <c r="N5" s="1546"/>
      <c r="O5" s="1521"/>
      <c r="P5" s="129"/>
      <c r="R5" s="129"/>
      <c r="S5" s="129"/>
      <c r="T5" s="129"/>
      <c r="AE5" s="129"/>
      <c r="AF5" s="129"/>
      <c r="AG5" s="129"/>
      <c r="AH5"/>
      <c r="AP5" s="129"/>
      <c r="AQ5" s="129"/>
      <c r="AR5" s="129"/>
      <c r="AS5" s="129"/>
      <c r="AT5" s="129"/>
      <c r="AU5" s="129"/>
      <c r="AV5" s="129"/>
    </row>
    <row r="6" spans="2:60" s="137" customFormat="1" ht="15" customHeight="1" x14ac:dyDescent="0.35">
      <c r="B6" s="1431"/>
      <c r="C6" s="1432"/>
      <c r="D6" s="1433"/>
      <c r="E6" s="278"/>
      <c r="F6" s="138"/>
      <c r="G6" s="164" t="s">
        <v>263</v>
      </c>
      <c r="H6" s="279"/>
      <c r="I6"/>
      <c r="J6" s="1520" t="s">
        <v>846</v>
      </c>
      <c r="K6" s="1521"/>
      <c r="M6" s="1520" t="s">
        <v>1529</v>
      </c>
      <c r="N6" s="1546"/>
      <c r="O6" s="1521"/>
      <c r="AH6"/>
    </row>
    <row r="7" spans="2:60" s="137" customFormat="1" ht="15" customHeight="1" x14ac:dyDescent="0.35">
      <c r="B7" s="1431"/>
      <c r="C7" s="1432"/>
      <c r="D7" s="1433"/>
      <c r="E7" s="278"/>
      <c r="F7" s="138"/>
      <c r="G7" s="164" t="s">
        <v>262</v>
      </c>
      <c r="H7" s="279"/>
      <c r="I7"/>
      <c r="J7" s="1520" t="s">
        <v>842</v>
      </c>
      <c r="K7" s="1521"/>
      <c r="M7" s="1520" t="s">
        <v>1444</v>
      </c>
      <c r="N7" s="1546"/>
      <c r="O7" s="1521"/>
      <c r="AH7"/>
    </row>
    <row r="8" spans="2:60" ht="15" thickBot="1" x14ac:dyDescent="0.4">
      <c r="B8" s="1431"/>
      <c r="C8" s="1432"/>
      <c r="D8" s="1433"/>
      <c r="E8" s="5"/>
      <c r="F8" s="6"/>
      <c r="G8" s="700" t="s">
        <v>610</v>
      </c>
      <c r="H8" s="279"/>
      <c r="J8" s="1522" t="s">
        <v>843</v>
      </c>
      <c r="K8" s="1523"/>
      <c r="M8" s="1522" t="s">
        <v>286</v>
      </c>
      <c r="N8" s="1547"/>
      <c r="O8" s="1523"/>
      <c r="Q8" s="1323"/>
      <c r="R8" s="33"/>
      <c r="S8" s="33"/>
      <c r="T8" s="33"/>
      <c r="U8" s="33"/>
      <c r="V8" s="33"/>
      <c r="W8" s="33"/>
      <c r="X8" s="33"/>
      <c r="Y8" s="33"/>
      <c r="Z8" s="33"/>
      <c r="AA8" s="33"/>
      <c r="AB8" s="33"/>
    </row>
    <row r="9" spans="2:60" s="722" customFormat="1" ht="15" thickBot="1" x14ac:dyDescent="0.4">
      <c r="B9" s="1434"/>
      <c r="C9" s="1435"/>
      <c r="D9" s="1436"/>
      <c r="E9" s="5"/>
      <c r="F9" s="6"/>
      <c r="G9" s="279"/>
      <c r="H9" s="279"/>
      <c r="Q9" s="33"/>
      <c r="R9" s="33"/>
      <c r="S9" s="33"/>
      <c r="T9" s="33"/>
      <c r="U9" s="33"/>
      <c r="V9" s="33"/>
      <c r="W9" s="33"/>
      <c r="X9" s="33"/>
      <c r="Y9" s="33"/>
      <c r="Z9" s="33"/>
      <c r="AA9" s="33"/>
      <c r="AB9" s="33"/>
    </row>
    <row r="11" spans="2:60" s="240" customFormat="1" ht="18.5" x14ac:dyDescent="0.35">
      <c r="B11" s="606" t="s">
        <v>1310</v>
      </c>
      <c r="C11" s="603"/>
    </row>
    <row r="12" spans="2:60" ht="14.9" customHeight="1" thickBot="1" x14ac:dyDescent="0.4">
      <c r="B12"/>
      <c r="C12"/>
      <c r="E12"/>
      <c r="H12"/>
      <c r="O12"/>
      <c r="P12"/>
      <c r="R12"/>
      <c r="S12"/>
      <c r="T12"/>
      <c r="AE12"/>
      <c r="AF12"/>
      <c r="AG12"/>
      <c r="AI12" s="403" t="s">
        <v>1318</v>
      </c>
      <c r="AJ12" s="403" t="s">
        <v>1318</v>
      </c>
      <c r="AK12" s="403" t="s">
        <v>1318</v>
      </c>
      <c r="AL12" s="403" t="s">
        <v>1318</v>
      </c>
      <c r="AM12" s="403" t="s">
        <v>1318</v>
      </c>
      <c r="AN12" s="403" t="s">
        <v>1318</v>
      </c>
      <c r="AO12" s="403" t="s">
        <v>1318</v>
      </c>
      <c r="AP12" s="403" t="s">
        <v>1318</v>
      </c>
      <c r="AQ12" s="403" t="s">
        <v>1318</v>
      </c>
      <c r="AR12" s="403" t="s">
        <v>1318</v>
      </c>
      <c r="AS12" s="403" t="s">
        <v>1318</v>
      </c>
      <c r="AT12" s="403" t="s">
        <v>1318</v>
      </c>
      <c r="AU12" s="403" t="s">
        <v>1318</v>
      </c>
      <c r="AV12" s="403" t="s">
        <v>1318</v>
      </c>
      <c r="AW12" s="403" t="s">
        <v>1318</v>
      </c>
      <c r="AX12" s="403" t="s">
        <v>1318</v>
      </c>
      <c r="AY12" s="403" t="s">
        <v>1318</v>
      </c>
      <c r="AZ12" s="403" t="s">
        <v>1318</v>
      </c>
      <c r="BA12" s="403" t="s">
        <v>1318</v>
      </c>
      <c r="BB12" s="403" t="s">
        <v>1318</v>
      </c>
      <c r="BC12" s="403" t="s">
        <v>1318</v>
      </c>
    </row>
    <row r="13" spans="2:60" s="129" customFormat="1" ht="30.65" customHeight="1" thickBot="1" x14ac:dyDescent="0.4">
      <c r="B13" s="81"/>
      <c r="C13" s="81"/>
      <c r="D13" s="324"/>
      <c r="E13" s="1550" t="s">
        <v>1311</v>
      </c>
      <c r="F13" s="1550"/>
      <c r="G13" s="1550"/>
      <c r="H13" s="1550"/>
      <c r="I13"/>
      <c r="J13" s="1556" t="s">
        <v>1764</v>
      </c>
      <c r="K13" s="1557"/>
      <c r="L13" s="1557"/>
      <c r="M13" s="1557"/>
      <c r="N13" s="1557"/>
      <c r="O13" s="1557"/>
      <c r="P13" s="1557"/>
      <c r="Q13" s="1557"/>
      <c r="R13" s="1558"/>
      <c r="S13" s="1558"/>
      <c r="T13" s="1558"/>
      <c r="U13" s="1559"/>
      <c r="W13" s="1563" t="s">
        <v>1767</v>
      </c>
      <c r="X13" s="1564"/>
      <c r="Y13" s="1565"/>
      <c r="Z13" s="67"/>
      <c r="AA13" s="1560" t="s">
        <v>1766</v>
      </c>
      <c r="AB13" s="1561"/>
      <c r="AC13" s="1562"/>
      <c r="AE13" s="1560" t="s">
        <v>1765</v>
      </c>
      <c r="AF13" s="1561"/>
      <c r="AG13" s="1562"/>
      <c r="AH13"/>
      <c r="AI13" s="1553" t="s">
        <v>939</v>
      </c>
      <c r="AJ13" s="1554"/>
      <c r="AK13" s="1554"/>
      <c r="AL13" s="1554"/>
      <c r="AM13" s="1554"/>
      <c r="AN13" s="1555"/>
      <c r="AP13" s="1553" t="s">
        <v>995</v>
      </c>
      <c r="AQ13" s="1554"/>
      <c r="AR13" s="1554"/>
      <c r="AS13" s="1554"/>
      <c r="AT13" s="1554"/>
      <c r="AU13" s="1555"/>
      <c r="AW13" s="1553" t="s">
        <v>941</v>
      </c>
      <c r="AX13" s="1554"/>
      <c r="AY13" s="1554"/>
      <c r="AZ13" s="1554"/>
      <c r="BA13" s="1554"/>
      <c r="BB13" s="1554"/>
      <c r="BC13" s="1555"/>
      <c r="BE13" s="1548" t="s">
        <v>878</v>
      </c>
      <c r="BF13" s="1549"/>
    </row>
    <row r="14" spans="2:60" s="1" customFormat="1" ht="29.5" thickBot="1" x14ac:dyDescent="0.4">
      <c r="B14" s="772" t="s">
        <v>292</v>
      </c>
      <c r="C14" s="773" t="s">
        <v>294</v>
      </c>
      <c r="D14" s="773" t="s">
        <v>293</v>
      </c>
      <c r="E14" s="773" t="s">
        <v>287</v>
      </c>
      <c r="F14" s="773" t="s">
        <v>276</v>
      </c>
      <c r="G14" s="774" t="s">
        <v>778</v>
      </c>
      <c r="H14" s="775" t="s">
        <v>809</v>
      </c>
      <c r="J14" s="777" t="s">
        <v>270</v>
      </c>
      <c r="K14" s="778" t="s">
        <v>1183</v>
      </c>
      <c r="L14" s="778" t="s">
        <v>1501</v>
      </c>
      <c r="M14" s="778" t="s">
        <v>1521</v>
      </c>
      <c r="N14" s="778" t="s">
        <v>1525</v>
      </c>
      <c r="O14" s="776" t="s">
        <v>974</v>
      </c>
      <c r="P14" s="776" t="s">
        <v>975</v>
      </c>
      <c r="Q14" s="776" t="s">
        <v>984</v>
      </c>
      <c r="R14" s="776" t="s">
        <v>985</v>
      </c>
      <c r="S14" s="776" t="s">
        <v>986</v>
      </c>
      <c r="T14" s="776" t="s">
        <v>987</v>
      </c>
      <c r="U14" s="649" t="s">
        <v>878</v>
      </c>
      <c r="W14" s="777" t="s">
        <v>1501</v>
      </c>
      <c r="X14" s="776" t="s">
        <v>282</v>
      </c>
      <c r="Y14" s="649" t="s">
        <v>878</v>
      </c>
      <c r="AA14" s="777" t="s">
        <v>270</v>
      </c>
      <c r="AB14" s="776" t="s">
        <v>282</v>
      </c>
      <c r="AC14" s="649" t="s">
        <v>878</v>
      </c>
      <c r="AE14" s="777" t="s">
        <v>1502</v>
      </c>
      <c r="AF14" s="778" t="s">
        <v>1183</v>
      </c>
      <c r="AG14" s="649" t="s">
        <v>878</v>
      </c>
      <c r="AI14" s="532" t="s">
        <v>270</v>
      </c>
      <c r="AJ14" s="533" t="s">
        <v>271</v>
      </c>
      <c r="AK14" s="533" t="s">
        <v>283</v>
      </c>
      <c r="AL14" s="766" t="s">
        <v>282</v>
      </c>
      <c r="AM14" s="536" t="s">
        <v>309</v>
      </c>
      <c r="AN14" s="534" t="s">
        <v>878</v>
      </c>
      <c r="AP14" s="532" t="s">
        <v>270</v>
      </c>
      <c r="AQ14" s="533" t="s">
        <v>271</v>
      </c>
      <c r="AR14" s="533" t="s">
        <v>283</v>
      </c>
      <c r="AS14" s="766" t="s">
        <v>282</v>
      </c>
      <c r="AT14" s="536" t="s">
        <v>309</v>
      </c>
      <c r="AU14" s="534" t="s">
        <v>878</v>
      </c>
      <c r="AW14" s="532" t="s">
        <v>270</v>
      </c>
      <c r="AX14" s="533" t="s">
        <v>271</v>
      </c>
      <c r="AY14" s="533" t="s">
        <v>283</v>
      </c>
      <c r="AZ14" s="533" t="s">
        <v>284</v>
      </c>
      <c r="BA14" s="535" t="s">
        <v>282</v>
      </c>
      <c r="BB14" s="536" t="s">
        <v>309</v>
      </c>
      <c r="BC14" s="534" t="s">
        <v>878</v>
      </c>
      <c r="BE14" s="783" t="s">
        <v>940</v>
      </c>
      <c r="BF14" s="649" t="s">
        <v>884</v>
      </c>
    </row>
    <row r="15" spans="2:60" x14ac:dyDescent="0.35">
      <c r="B15" s="612" t="s">
        <v>295</v>
      </c>
      <c r="C15" s="613" t="s">
        <v>297</v>
      </c>
      <c r="D15" s="614" t="s">
        <v>298</v>
      </c>
      <c r="E15" s="614" t="s">
        <v>274</v>
      </c>
      <c r="F15" s="1346" t="s">
        <v>590</v>
      </c>
      <c r="G15" s="615" t="s">
        <v>866</v>
      </c>
      <c r="H15" s="814">
        <v>3.5</v>
      </c>
      <c r="J15" s="1347"/>
      <c r="K15" s="820">
        <v>0.03</v>
      </c>
      <c r="L15" s="820"/>
      <c r="M15" s="820">
        <v>0.03</v>
      </c>
      <c r="N15" s="820">
        <v>0.03</v>
      </c>
      <c r="O15" s="594"/>
      <c r="P15" s="595"/>
      <c r="Q15" s="596"/>
      <c r="R15" s="596"/>
      <c r="S15" s="596"/>
      <c r="T15" s="597"/>
      <c r="U15" s="272">
        <f ca="1">IFERROR(IF($F15="yes",MMULT(--(J15:N15&gt;0),--('Weekly Summary'!$BH$112:$BH$116))*$C$114,MMULT(--(J15:N15),--('Weekly Summary'!$BF$112:$BF$116))*$C$115),0)+IF('Equipment List &amp; Usage'!$F15="yes",$C$114,$C$115)*((Total_Inpatients_in_beds_over_time*Q15)+(Total_severe_patients_in_bed_over_forecast*O15)+(Total_crit_patients_in_bed_over_forecast*P15))</f>
        <v>72.446921125103188</v>
      </c>
      <c r="W15" s="821"/>
      <c r="X15" s="822"/>
      <c r="Y15" s="272">
        <f>IF($F15="Yes",$C$114*(Total_caretaker*SelfQuarantine_Mild+(Total_Mild_Outpatient*SelfQuarantine_Mild)+(Total_moderate_outpatient*SelfQuarantine_Moderate)),$C$115)*(Total_caretaker*SelfQuarantine_Mild*W15+(Total_Mild_Outpatient*SelfQuarantine_Mild*X15)+(Total_moderate_outpatient*SelfQuarantine_Moderate*X15))</f>
        <v>0</v>
      </c>
      <c r="AA15" s="834"/>
      <c r="AB15" s="600"/>
      <c r="AC15" s="272">
        <f ca="1">IFERROR(IF($F15="yes",IF(AA15&gt;0,Max_HCW_for_outpatient*$C$114,0),Total_HCW_for_outpatient_over_time*'Equipment List &amp; Usage'!AA15*$C$115)+(Total_Mild_Outpatient*SelfQuarantine_Mild*7*AB15)+(Total_moderate_outpatient*7*AB15*SelfQuarantine_Moderate),0)</f>
        <v>0</v>
      </c>
      <c r="AE15" s="834">
        <v>0.1</v>
      </c>
      <c r="AF15" s="836">
        <v>0.03</v>
      </c>
      <c r="AG15" s="272">
        <f>IFERROR(IF($F15="yes",IF(AE15&gt;0,Max_Lab_HCWs*$C$114,0),Total_HCW_labs_over_time*'Equipment List &amp; Usage'!AE15*$C$115)+IF($F15="yes",IF(AF15&gt;0,Max_Lab_hygienists*$C$114,0),Total_hygienist_labs_over_time*'Equipment List &amp; Usage'!AF15*$C$115),0)</f>
        <v>1449</v>
      </c>
      <c r="AI15" s="758"/>
      <c r="AJ15" s="759">
        <v>0.03</v>
      </c>
      <c r="AK15" s="760"/>
      <c r="AL15" s="765"/>
      <c r="AM15" s="760"/>
      <c r="AN15" s="272"/>
      <c r="AP15" s="767"/>
      <c r="AQ15" s="752">
        <v>0.03</v>
      </c>
      <c r="AR15" s="768"/>
      <c r="AS15" s="768"/>
      <c r="AT15" s="768"/>
      <c r="AU15" s="272"/>
      <c r="AW15" s="270"/>
      <c r="AX15" s="268"/>
      <c r="AY15" s="268"/>
      <c r="AZ15" s="268"/>
      <c r="BA15" s="268"/>
      <c r="BB15" s="268"/>
      <c r="BC15" s="271"/>
      <c r="BE15" s="784">
        <f ca="1">SUM(BC15,AN15,AG15,AC15,Y15,U15)</f>
        <v>1521.4469211251032</v>
      </c>
      <c r="BF15" s="785">
        <f ca="1">BE15*H15</f>
        <v>5325.0642239378612</v>
      </c>
      <c r="BG15" s="28"/>
    </row>
    <row r="16" spans="2:60" x14ac:dyDescent="0.35">
      <c r="B16" s="529" t="s">
        <v>295</v>
      </c>
      <c r="C16" s="524" t="s">
        <v>297</v>
      </c>
      <c r="D16" s="222" t="s">
        <v>267</v>
      </c>
      <c r="E16" s="219" t="s">
        <v>272</v>
      </c>
      <c r="F16" s="1091" t="s">
        <v>590</v>
      </c>
      <c r="G16" s="220" t="s">
        <v>866</v>
      </c>
      <c r="H16" s="814">
        <v>8.3000000000000007</v>
      </c>
      <c r="J16" s="821">
        <v>3.3333333333333333E-2</v>
      </c>
      <c r="K16" s="822">
        <v>3.3333333333333333E-2</v>
      </c>
      <c r="L16" s="822"/>
      <c r="M16" s="822">
        <v>3.3333333333333333E-2</v>
      </c>
      <c r="N16" s="822">
        <v>3.3333333333333333E-2</v>
      </c>
      <c r="O16" s="598"/>
      <c r="P16" s="587"/>
      <c r="Q16" s="588"/>
      <c r="R16" s="588"/>
      <c r="S16" s="588"/>
      <c r="T16" s="599"/>
      <c r="U16" s="272">
        <f ca="1">IFERROR(IF($F16="yes",MMULT(--(J16:N16&gt;0),--('Weekly Summary'!$BH$112:$BH$116))*$C$114,MMULT(--(J16:N16),--('Weekly Summary'!$BF$112:$BF$116))*$C$115),0)+IF('Equipment List &amp; Usage'!$F16="yes",$C$114,$C$115)*((Total_Inpatients_in_beds_over_time*Q16)+(Total_severe_patients_in_bed_over_forecast*O16)+(Total_crit_patients_in_bed_over_forecast*P16))</f>
        <v>364.80151204586485</v>
      </c>
      <c r="W16" s="821">
        <v>3.3333333333333333E-2</v>
      </c>
      <c r="X16" s="822">
        <v>0.01</v>
      </c>
      <c r="Y16" s="272">
        <f>IF($F16="Yes",$C$114*(Total_caretaker*SelfQuarantine_Mild+(Total_Mild_Outpatient*SelfQuarantine_Mild)+(Total_moderate_outpatient*SelfQuarantine_Moderate)),$C$115)*(Total_caretaker*SelfQuarantine_Mild*W16+(Total_Mild_Outpatient*SelfQuarantine_Mild*X16)+(Total_moderate_outpatient*SelfQuarantine_Moderate*X16))</f>
        <v>97.663286909236319</v>
      </c>
      <c r="AA16" s="834">
        <v>0.03</v>
      </c>
      <c r="AB16" s="836">
        <v>0.01</v>
      </c>
      <c r="AC16" s="272">
        <f ca="1">IFERROR(IF($F16="yes",IF(AA16&gt;0,Max_HCW_for_outpatient*$C$114,0),Total_HCW_for_outpatient_over_time*'Equipment List &amp; Usage'!AA16*$C$115)+(Total_Mild_Outpatient*SelfQuarantine_Mild*7*AB16)+(Total_moderate_outpatient*7*AB16*SelfQuarantine_Moderate),0)</f>
        <v>29.887681594439158</v>
      </c>
      <c r="AE16" s="834">
        <v>0.03</v>
      </c>
      <c r="AF16" s="836">
        <v>0.03</v>
      </c>
      <c r="AG16" s="274">
        <f>IFERROR(IF($F16="yes",IF(AE16&gt;0,Max_Lab_HCWs*$C$114,0),Total_HCW_labs_over_time*'Equipment List &amp; Usage'!AE16*$C$115)+IF($F16="yes",IF(AF16&gt;0,Max_Lab_hygienists*$C$114,0),Total_hygienist_labs_over_time*'Equipment List &amp; Usage'!AF16*$C$115),0)</f>
        <v>531.72</v>
      </c>
      <c r="AI16" s="758">
        <v>3.3333333333333333E-2</v>
      </c>
      <c r="AJ16" s="759">
        <v>3.3333333333333333E-2</v>
      </c>
      <c r="AK16" s="760">
        <v>0.01</v>
      </c>
      <c r="AL16" s="760">
        <v>0.01</v>
      </c>
      <c r="AM16" s="760"/>
      <c r="AN16" s="272"/>
      <c r="AP16" s="769">
        <v>0.03</v>
      </c>
      <c r="AQ16" s="754">
        <v>3.3333333333333333E-2</v>
      </c>
      <c r="AR16" s="753"/>
      <c r="AS16" s="753">
        <v>0.01</v>
      </c>
      <c r="AT16" s="753"/>
      <c r="AU16" s="272"/>
      <c r="AW16" s="265"/>
      <c r="AX16" s="252"/>
      <c r="AY16" s="252"/>
      <c r="AZ16" s="252"/>
      <c r="BA16" s="252"/>
      <c r="BB16" s="252"/>
      <c r="BC16" s="266"/>
      <c r="BE16" s="784">
        <f ca="1">SUM(BC16,AN16,AG16,AC16,Y16,U16)</f>
        <v>1024.0724805495404</v>
      </c>
      <c r="BF16" s="785">
        <f ca="1">BE16*H16</f>
        <v>8499.8015885611858</v>
      </c>
      <c r="BG16" s="28"/>
      <c r="BH16" s="909"/>
    </row>
    <row r="17" spans="2:60" x14ac:dyDescent="0.35">
      <c r="B17" s="529" t="s">
        <v>295</v>
      </c>
      <c r="C17" s="524" t="s">
        <v>297</v>
      </c>
      <c r="D17" s="222" t="s">
        <v>273</v>
      </c>
      <c r="E17" s="219" t="s">
        <v>272</v>
      </c>
      <c r="F17" s="1091" t="s">
        <v>590</v>
      </c>
      <c r="G17" s="220" t="s">
        <v>866</v>
      </c>
      <c r="H17" s="814">
        <v>0.9</v>
      </c>
      <c r="J17" s="821">
        <f>1/60</f>
        <v>1.6666666666666666E-2</v>
      </c>
      <c r="K17" s="823">
        <f>1/60</f>
        <v>1.6666666666666666E-2</v>
      </c>
      <c r="L17" s="822">
        <v>0.01</v>
      </c>
      <c r="M17" s="824">
        <f>1/60</f>
        <v>1.6666666666666666E-2</v>
      </c>
      <c r="N17" s="824">
        <f>1/60</f>
        <v>1.6666666666666666E-2</v>
      </c>
      <c r="O17" s="598"/>
      <c r="P17" s="587"/>
      <c r="Q17" s="916"/>
      <c r="R17" s="916"/>
      <c r="S17" s="916"/>
      <c r="T17" s="583"/>
      <c r="U17" s="272">
        <f ca="1">IFERROR(IF($F17="yes",MMULT(--(J17:N17&gt;0),--('Weekly Summary'!$BH$112:$BH$116))*$C$114,MMULT(--(J17:N17),--('Weekly Summary'!$BF$112:$BF$116))*$C$115),0)+IF('Equipment List &amp; Usage'!$F17="yes",$C$114,$C$115)*((Total_Inpatients_in_beds_over_time*Q17)+(Total_severe_patients_in_bed_over_forecast*O17)+(Total_crit_patients_in_bed_over_forecast*P17))</f>
        <v>182.40075602293243</v>
      </c>
      <c r="W17" s="821"/>
      <c r="X17" s="822"/>
      <c r="Y17" s="272">
        <f>IF($F17="Yes",$C$114*(Total_caretaker*SelfQuarantine_Mild+(Total_Mild_Outpatient*SelfQuarantine_Mild)+(Total_moderate_outpatient*SelfQuarantine_Moderate)),$C$115)*(Total_caretaker*SelfQuarantine_Mild*W17+(Total_Mild_Outpatient*SelfQuarantine_Mild*X17)+(Total_moderate_outpatient*SelfQuarantine_Moderate*X17))</f>
        <v>0</v>
      </c>
      <c r="AA17" s="834">
        <v>0.02</v>
      </c>
      <c r="AB17" s="836">
        <v>0.01</v>
      </c>
      <c r="AC17" s="272">
        <f ca="1">IFERROR(IF($F17="yes",IF(AA17&gt;0,Max_HCW_for_outpatient*$C$114,0),Total_HCW_for_outpatient_over_time*'Equipment List &amp; Usage'!AA17*$C$115)+(Total_Mild_Outpatient*SelfQuarantine_Mild*7*AB17)+(Total_moderate_outpatient*7*AB17*SelfQuarantine_Moderate),0)</f>
        <v>27.437681594439159</v>
      </c>
      <c r="AE17" s="834">
        <v>0.02</v>
      </c>
      <c r="AF17" s="836">
        <v>0.02</v>
      </c>
      <c r="AG17" s="274">
        <f>IFERROR(IF($F17="yes",IF(AE17&gt;0,Max_Lab_HCWs*$C$114,0),Total_HCW_labs_over_time*'Equipment List &amp; Usage'!AE17*$C$115)+IF($F17="yes",IF(AF17&gt;0,Max_Lab_hygienists*$C$114,0),Total_hygienist_labs_over_time*'Equipment List &amp; Usage'!AF17*$C$115),0)</f>
        <v>354.48</v>
      </c>
      <c r="AI17" s="758">
        <f>1/60</f>
        <v>1.6666666666666666E-2</v>
      </c>
      <c r="AJ17" s="759">
        <f>1/60</f>
        <v>1.6666666666666666E-2</v>
      </c>
      <c r="AK17" s="760">
        <v>0.01</v>
      </c>
      <c r="AL17" s="760">
        <v>0.01</v>
      </c>
      <c r="AM17" s="760"/>
      <c r="AN17" s="272"/>
      <c r="AP17" s="769">
        <v>0.03</v>
      </c>
      <c r="AQ17" s="754">
        <f>1/60</f>
        <v>1.6666666666666666E-2</v>
      </c>
      <c r="AR17" s="753"/>
      <c r="AS17" s="753">
        <v>0.01</v>
      </c>
      <c r="AT17" s="753"/>
      <c r="AU17" s="272"/>
      <c r="AW17" s="265"/>
      <c r="AX17" s="252"/>
      <c r="AY17" s="252"/>
      <c r="AZ17" s="252"/>
      <c r="BA17" s="252"/>
      <c r="BB17" s="252"/>
      <c r="BC17" s="266"/>
      <c r="BE17" s="784">
        <f ca="1">SUM(BC17,AN17,AG17,AC17,Y17,U17)</f>
        <v>564.31843761737161</v>
      </c>
      <c r="BF17" s="785">
        <f ca="1">BE17*H17</f>
        <v>507.88659385563449</v>
      </c>
      <c r="BG17" s="28"/>
      <c r="BH17" s="909"/>
    </row>
    <row r="18" spans="2:60" ht="15" thickBot="1" x14ac:dyDescent="0.4">
      <c r="B18" s="616" t="s">
        <v>295</v>
      </c>
      <c r="C18" s="617" t="s">
        <v>297</v>
      </c>
      <c r="D18" s="618" t="s">
        <v>268</v>
      </c>
      <c r="E18" s="619" t="s">
        <v>289</v>
      </c>
      <c r="F18" s="1092" t="s">
        <v>590</v>
      </c>
      <c r="G18" s="620" t="s">
        <v>866</v>
      </c>
      <c r="H18" s="815">
        <v>0.15</v>
      </c>
      <c r="J18" s="825">
        <v>0.5</v>
      </c>
      <c r="K18" s="826">
        <v>0.5</v>
      </c>
      <c r="L18" s="826"/>
      <c r="M18" s="826">
        <v>0.5</v>
      </c>
      <c r="N18" s="826">
        <v>0.5</v>
      </c>
      <c r="O18" s="586"/>
      <c r="P18" s="590"/>
      <c r="Q18" s="781"/>
      <c r="R18" s="781"/>
      <c r="S18" s="781"/>
      <c r="T18" s="782"/>
      <c r="U18" s="309">
        <f ca="1">IFERROR(IF($F18="yes",MMULT(--(J18:N18&gt;0),--('Weekly Summary'!$BH$112:$BH$116))*$C$114,MMULT(--(J18:N18),--('Weekly Summary'!$BF$112:$BF$116))*$C$115),0)+IF('Equipment List &amp; Usage'!$F18="yes",$C$114,$C$115)*((Total_Inpatients_in_beds_over_time*Q18)+(Total_severe_patients_in_bed_over_forecast*O18)+(Total_crit_patients_in_bed_over_forecast*P18))</f>
        <v>5472.0226806879728</v>
      </c>
      <c r="W18" s="830"/>
      <c r="X18" s="831"/>
      <c r="Y18" s="272">
        <f>IF($F18="Yes",$C$114*(Total_caretaker*SelfQuarantine_Mild+(Total_Mild_Outpatient*SelfQuarantine_Mild)+(Total_moderate_outpatient*SelfQuarantine_Moderate)),$C$115)*(Total_caretaker*SelfQuarantine_Mild*W18+(Total_Mild_Outpatient*SelfQuarantine_Mild*X18)+(Total_moderate_outpatient*SelfQuarantine_Moderate*X18))</f>
        <v>0</v>
      </c>
      <c r="AA18" s="835">
        <v>0.5</v>
      </c>
      <c r="AB18" s="780"/>
      <c r="AC18" s="309">
        <f ca="1">IFERROR(IF($F18="yes",IF(AA18&gt;0,Max_HCW_for_outpatient*$C$114,0),Total_HCW_for_outpatient_over_time*'Equipment List &amp; Usage'!AA18*$C$115)+(Total_Mild_Outpatient*SelfQuarantine_Mild*7*AB18)+(Total_moderate_outpatient*7*AB18*SelfQuarantine_Moderate),0)</f>
        <v>122.5</v>
      </c>
      <c r="AE18" s="835">
        <v>0.4</v>
      </c>
      <c r="AF18" s="832">
        <v>0.5</v>
      </c>
      <c r="AG18" s="779">
        <f>IFERROR(IF($F18="yes",IF(AE18&gt;0,Max_Lab_HCWs*$C$114,0),Total_HCW_labs_over_time*'Equipment List &amp; Usage'!AE18*$C$115)+IF($F18="yes",IF(AF18&gt;0,Max_Lab_hygienists*$C$114,0),Total_hygienist_labs_over_time*'Equipment List &amp; Usage'!AF18*$C$115),0)</f>
        <v>7551.6</v>
      </c>
      <c r="AI18" s="758">
        <v>0.5</v>
      </c>
      <c r="AJ18" s="759">
        <v>0.5</v>
      </c>
      <c r="AK18" s="760"/>
      <c r="AL18" s="760"/>
      <c r="AM18" s="760"/>
      <c r="AN18" s="272"/>
      <c r="AP18" s="769">
        <v>0.5</v>
      </c>
      <c r="AQ18" s="752">
        <v>0.5</v>
      </c>
      <c r="AR18" s="753"/>
      <c r="AS18" s="753"/>
      <c r="AT18" s="753"/>
      <c r="AU18" s="272"/>
      <c r="AW18" s="265"/>
      <c r="AX18" s="252"/>
      <c r="AY18" s="252"/>
      <c r="AZ18" s="252"/>
      <c r="BA18" s="252"/>
      <c r="BB18" s="252"/>
      <c r="BC18" s="266"/>
      <c r="BE18" s="786">
        <f ca="1">SUM(BC18,AN18,AG18,AC18,Y18,U18)</f>
        <v>13146.122680687973</v>
      </c>
      <c r="BF18" s="787">
        <f ca="1">BE18*H18</f>
        <v>1971.9184021031958</v>
      </c>
      <c r="BG18" s="28"/>
      <c r="BH18" s="909"/>
    </row>
    <row r="19" spans="2:60" ht="15" thickBot="1" x14ac:dyDescent="0.4">
      <c r="E19"/>
      <c r="H19"/>
      <c r="O19" s="6"/>
      <c r="P19" s="6"/>
      <c r="R19"/>
      <c r="S19"/>
      <c r="T19"/>
      <c r="W19" s="1330"/>
      <c r="X19" s="781"/>
      <c r="Y19" s="1331"/>
      <c r="AB19" s="7"/>
      <c r="AE19"/>
      <c r="AG19"/>
      <c r="AI19" s="761"/>
      <c r="AJ19" s="761"/>
      <c r="AK19" s="761"/>
      <c r="AL19" s="761"/>
      <c r="AM19" s="761"/>
      <c r="AP19" s="755"/>
      <c r="AQ19" s="755"/>
      <c r="AR19" s="755"/>
      <c r="AS19" s="755"/>
      <c r="AT19" s="755"/>
      <c r="BG19" s="129"/>
    </row>
    <row r="20" spans="2:60" x14ac:dyDescent="0.35">
      <c r="B20" s="612" t="s">
        <v>295</v>
      </c>
      <c r="C20" s="613" t="s">
        <v>263</v>
      </c>
      <c r="D20" s="1090" t="s">
        <v>301</v>
      </c>
      <c r="E20" s="1090" t="s">
        <v>289</v>
      </c>
      <c r="F20" s="1090" t="s">
        <v>590</v>
      </c>
      <c r="G20" s="615" t="s">
        <v>866</v>
      </c>
      <c r="H20" s="816">
        <v>0.8</v>
      </c>
      <c r="J20" s="827">
        <v>1</v>
      </c>
      <c r="K20" s="828">
        <v>1</v>
      </c>
      <c r="L20" s="828">
        <v>1</v>
      </c>
      <c r="M20" s="828">
        <v>1</v>
      </c>
      <c r="N20" s="828">
        <v>1</v>
      </c>
      <c r="O20" s="801"/>
      <c r="P20" s="801"/>
      <c r="Q20" s="802"/>
      <c r="R20" s="802"/>
      <c r="S20" s="802"/>
      <c r="T20" s="802"/>
      <c r="U20" s="793">
        <f ca="1">IFERROR(IF($F20="yes",MMULT(--(J20:N20&gt;0),--('Weekly Summary'!$BH$112:$BH$116))*$C$114,MMULT(--(J20:N20),--('Weekly Summary'!$BF$112:$BF$116))*$C$115),0)+IF('Equipment List &amp; Usage'!$F20="yes",$C$114,$C$115)*((Total_Inpatients_in_beds_over_time*Q20)+(Total_severe_patients_in_bed_over_forecast*O20)+(Total_crit_patients_in_bed_over_forecast*P20))</f>
        <v>10944.045361375946</v>
      </c>
      <c r="W20" s="827"/>
      <c r="X20" s="828"/>
      <c r="Y20" s="793">
        <f t="shared" ref="Y20:Y33" si="0">IF($F20="Yes",$C$114*(Total_caretaker*SelfQuarantine_Mild+(Total_Mild_Outpatient*SelfQuarantine_Mild)+(Total_moderate_outpatient*SelfQuarantine_Moderate)),$C$115)*(Total_caretaker*SelfQuarantine_Mild*W20+(Total_Mild_Outpatient*SelfQuarantine_Mild*X20)+(Total_moderate_outpatient*SelfQuarantine_Moderate*X20))</f>
        <v>0</v>
      </c>
      <c r="AA20" s="833">
        <v>2</v>
      </c>
      <c r="AB20" s="799"/>
      <c r="AC20" s="793">
        <f ca="1">IFERROR(IF($F20="yes",IF(AA20&gt;0,Max_HCW_for_outpatient*$C$114,0),Total_HCW_for_outpatient_over_time*'Equipment List &amp; Usage'!AA20*$C$115)+(Total_Mild_Outpatient*SelfQuarantine_Mild*7*AB20)+(Total_moderate_outpatient*7*AB20*SelfQuarantine_Moderate),0)</f>
        <v>490</v>
      </c>
      <c r="AE20" s="833">
        <v>2</v>
      </c>
      <c r="AF20" s="837">
        <v>1</v>
      </c>
      <c r="AG20" s="796">
        <f>IFERROR(IF($F20="yes",IF(AE20&gt;0,Max_Lab_HCWs*$C$114,0),Total_HCW_labs_over_time*'Equipment List &amp; Usage'!AE20*$C$115)+IF($F20="yes",IF(AF20&gt;0,Max_Lab_hygienists*$C$114,0),Total_hygienist_labs_over_time*'Equipment List &amp; Usage'!AF20*$C$115),0)</f>
        <v>30828</v>
      </c>
      <c r="AI20" s="758">
        <v>1</v>
      </c>
      <c r="AJ20" s="759">
        <v>1</v>
      </c>
      <c r="AK20" s="760">
        <v>1</v>
      </c>
      <c r="AL20" s="760"/>
      <c r="AM20" s="760"/>
      <c r="AN20" s="272"/>
      <c r="AP20" s="769">
        <v>1</v>
      </c>
      <c r="AQ20" s="754">
        <v>1</v>
      </c>
      <c r="AR20" s="753"/>
      <c r="AS20" s="753"/>
      <c r="AT20" s="753"/>
      <c r="AU20" s="272"/>
      <c r="AW20" s="265"/>
      <c r="AX20" s="252"/>
      <c r="AY20" s="252"/>
      <c r="AZ20" s="252"/>
      <c r="BA20" s="252"/>
      <c r="BB20" s="252"/>
      <c r="BC20" s="266"/>
      <c r="BE20" s="788">
        <f t="shared" ref="BE20:BE33" ca="1" si="1">SUM(BC20,AN20,AG20,AC20,Y20,U20)</f>
        <v>42262.045361375946</v>
      </c>
      <c r="BF20" s="789">
        <f t="shared" ref="BF20:BF33" ca="1" si="2">BE20*H20</f>
        <v>33809.636289100759</v>
      </c>
      <c r="BG20" s="28"/>
      <c r="BH20" s="909"/>
    </row>
    <row r="21" spans="2:60" x14ac:dyDescent="0.35">
      <c r="B21" s="529" t="s">
        <v>295</v>
      </c>
      <c r="C21" s="524" t="s">
        <v>263</v>
      </c>
      <c r="D21" s="222" t="s">
        <v>265</v>
      </c>
      <c r="E21" s="219" t="s">
        <v>289</v>
      </c>
      <c r="F21" s="1091" t="s">
        <v>589</v>
      </c>
      <c r="G21" s="220" t="s">
        <v>866</v>
      </c>
      <c r="H21" s="814">
        <v>2.6</v>
      </c>
      <c r="J21" s="821">
        <v>3.3333333333333333E-2</v>
      </c>
      <c r="K21" s="822">
        <v>3.3333333333333333E-2</v>
      </c>
      <c r="L21" s="822"/>
      <c r="M21" s="822"/>
      <c r="N21" s="822">
        <v>0.03</v>
      </c>
      <c r="O21" s="587"/>
      <c r="P21" s="587"/>
      <c r="Q21" s="588"/>
      <c r="R21" s="588"/>
      <c r="S21" s="588"/>
      <c r="T21" s="588"/>
      <c r="U21" s="272">
        <f ca="1">IFERROR(IF($F21="yes",MMULT(--(J21:N21&gt;0),--('Weekly Summary'!$BH$112:$BH$116))*$C$114,MMULT(--(J21:N21),--('Weekly Summary'!$BF$112:$BF$116))*$C$115),0)+IF('Equipment List &amp; Usage'!$F21="yes",$C$114,$C$115)*((Total_Inpatients_in_beds_over_time*Q21)+(Total_severe_patients_in_bed_over_forecast*O21)+(Total_crit_patients_in_bed_over_forecast*P21))</f>
        <v>1090.5841632777458</v>
      </c>
      <c r="W21" s="821"/>
      <c r="X21" s="822"/>
      <c r="Y21" s="272">
        <f t="shared" si="0"/>
        <v>0</v>
      </c>
      <c r="AA21" s="834">
        <v>0.03</v>
      </c>
      <c r="AB21" s="601"/>
      <c r="AC21" s="272">
        <f ca="1">IFERROR(IF($F21="yes",IF(AA21&gt;0,Max_HCW_for_outpatient*$C$114,0),Total_HCW_for_outpatient_over_time*'Equipment List &amp; Usage'!AA21*$C$115)+(Total_Mild_Outpatient*SelfQuarantine_Mild*7*AB21)+(Total_moderate_outpatient*7*AB21*SelfQuarantine_Moderate),0)</f>
        <v>23</v>
      </c>
      <c r="AE21" s="834"/>
      <c r="AF21" s="836"/>
      <c r="AG21" s="274">
        <f>IFERROR(IF($F21="yes",IF(AE21&gt;0,Max_Lab_HCWs*$C$114,0),Total_HCW_labs_over_time*'Equipment List &amp; Usage'!AE21*$C$115)+IF($F21="yes",IF(AF21&gt;0,Max_Lab_hygienists*$C$114,0),Total_hygienist_labs_over_time*'Equipment List &amp; Usage'!AF21*$C$115),0)</f>
        <v>0</v>
      </c>
      <c r="AI21" s="758">
        <v>3.3333333333333333E-2</v>
      </c>
      <c r="AJ21" s="759">
        <v>3.3333333333333333E-2</v>
      </c>
      <c r="AK21" s="760"/>
      <c r="AL21" s="760"/>
      <c r="AM21" s="760"/>
      <c r="AN21" s="272"/>
      <c r="AP21" s="769"/>
      <c r="AQ21" s="754"/>
      <c r="AR21" s="753"/>
      <c r="AS21" s="753"/>
      <c r="AT21" s="753"/>
      <c r="AU21" s="272"/>
      <c r="AW21" s="265"/>
      <c r="AX21" s="252"/>
      <c r="AY21" s="252"/>
      <c r="AZ21" s="252"/>
      <c r="BA21" s="252"/>
      <c r="BB21" s="252"/>
      <c r="BC21" s="266"/>
      <c r="BE21" s="784">
        <f t="shared" ca="1" si="1"/>
        <v>1113.5841632777458</v>
      </c>
      <c r="BF21" s="785">
        <f t="shared" ca="1" si="2"/>
        <v>2895.318824522139</v>
      </c>
      <c r="BG21" s="28"/>
      <c r="BH21" s="909"/>
    </row>
    <row r="22" spans="2:60" x14ac:dyDescent="0.35">
      <c r="B22" s="529" t="s">
        <v>295</v>
      </c>
      <c r="C22" s="524" t="s">
        <v>263</v>
      </c>
      <c r="D22" s="222" t="s">
        <v>266</v>
      </c>
      <c r="E22" s="219" t="s">
        <v>289</v>
      </c>
      <c r="F22" s="1091" t="s">
        <v>589</v>
      </c>
      <c r="G22" s="220" t="s">
        <v>866</v>
      </c>
      <c r="H22" s="814">
        <v>2.6</v>
      </c>
      <c r="J22" s="821">
        <v>3.3333333333333333E-2</v>
      </c>
      <c r="K22" s="822">
        <v>3.3333333333333333E-2</v>
      </c>
      <c r="L22" s="822"/>
      <c r="M22" s="822"/>
      <c r="N22" s="822">
        <v>0.03</v>
      </c>
      <c r="O22" s="587"/>
      <c r="P22" s="587"/>
      <c r="Q22" s="588"/>
      <c r="R22" s="588"/>
      <c r="S22" s="588"/>
      <c r="T22" s="588"/>
      <c r="U22" s="272">
        <f ca="1">IFERROR(IF($F22="yes",MMULT(--(J22:N22&gt;0),--('Weekly Summary'!$BH$112:$BH$116))*$C$114,MMULT(--(J22:N22),--('Weekly Summary'!$BF$112:$BF$116))*$C$115),0)+IF('Equipment List &amp; Usage'!$F22="yes",$C$114,$C$115)*((Total_Inpatients_in_beds_over_time*Q22)+(Total_severe_patients_in_bed_over_forecast*O22)+(Total_crit_patients_in_bed_over_forecast*P22))</f>
        <v>1090.5841632777458</v>
      </c>
      <c r="W22" s="821"/>
      <c r="X22" s="822"/>
      <c r="Y22" s="272">
        <f t="shared" si="0"/>
        <v>0</v>
      </c>
      <c r="AA22" s="834">
        <v>0.03</v>
      </c>
      <c r="AB22" s="601"/>
      <c r="AC22" s="272">
        <f ca="1">IFERROR(IF($F22="yes",IF(AA22&gt;0,Max_HCW_for_outpatient*$C$114,0),Total_HCW_for_outpatient_over_time*'Equipment List &amp; Usage'!AA22*$C$115)+(Total_Mild_Outpatient*SelfQuarantine_Mild*7*AB22)+(Total_moderate_outpatient*7*AB22*SelfQuarantine_Moderate),0)</f>
        <v>23</v>
      </c>
      <c r="AE22" s="834"/>
      <c r="AF22" s="836"/>
      <c r="AG22" s="274">
        <f>IFERROR(IF($F22="yes",IF(AE22&gt;0,Max_Lab_HCWs*$C$114,0),Total_HCW_labs_over_time*'Equipment List &amp; Usage'!AE22*$C$115)+IF($F22="yes",IF(AF22&gt;0,Max_Lab_hygienists*$C$114,0),Total_hygienist_labs_over_time*'Equipment List &amp; Usage'!AF22*$C$115),0)</f>
        <v>0</v>
      </c>
      <c r="AI22" s="758">
        <v>3.3333333333333333E-2</v>
      </c>
      <c r="AJ22" s="759">
        <v>3.3333333333333333E-2</v>
      </c>
      <c r="AK22" s="760"/>
      <c r="AL22" s="760"/>
      <c r="AM22" s="760"/>
      <c r="AN22" s="272"/>
      <c r="AP22" s="769"/>
      <c r="AQ22" s="754"/>
      <c r="AR22" s="753"/>
      <c r="AS22" s="753"/>
      <c r="AT22" s="753"/>
      <c r="AU22" s="272"/>
      <c r="AW22" s="265"/>
      <c r="AX22" s="252"/>
      <c r="AY22" s="252"/>
      <c r="AZ22" s="252"/>
      <c r="BA22" s="252"/>
      <c r="BB22" s="252"/>
      <c r="BC22" s="266"/>
      <c r="BE22" s="784">
        <f t="shared" ca="1" si="1"/>
        <v>1113.5841632777458</v>
      </c>
      <c r="BF22" s="785">
        <f t="shared" ca="1" si="2"/>
        <v>2895.318824522139</v>
      </c>
      <c r="BG22" s="28"/>
      <c r="BH22" s="909"/>
    </row>
    <row r="23" spans="2:60" x14ac:dyDescent="0.35">
      <c r="B23" s="529" t="s">
        <v>295</v>
      </c>
      <c r="C23" s="524" t="s">
        <v>263</v>
      </c>
      <c r="D23" s="222" t="s">
        <v>300</v>
      </c>
      <c r="E23" s="219" t="s">
        <v>289</v>
      </c>
      <c r="F23" s="1091" t="s">
        <v>590</v>
      </c>
      <c r="G23" s="220" t="s">
        <v>866</v>
      </c>
      <c r="H23" s="814">
        <v>0.2</v>
      </c>
      <c r="J23" s="821">
        <v>1</v>
      </c>
      <c r="K23" s="822"/>
      <c r="L23" s="822"/>
      <c r="M23" s="822"/>
      <c r="N23" s="822"/>
      <c r="O23" s="589"/>
      <c r="P23" s="589"/>
      <c r="Q23" s="916"/>
      <c r="R23" s="916"/>
      <c r="S23" s="916"/>
      <c r="T23" s="916"/>
      <c r="U23" s="272">
        <f ca="1">IFERROR(IF($F23="yes",MMULT(--(J23:N23&gt;0),--('Weekly Summary'!$BH$112:$BH$116))*$C$114,MMULT(--(J23:N23),--('Weekly Summary'!$BF$112:$BF$116))*$C$115),0)+IF('Equipment List &amp; Usage'!$F23="yes",$C$114,$C$115)*((Total_Inpatients_in_beds_over_time*Q23)+(Total_severe_patients_in_bed_over_forecast*O23)+(Total_crit_patients_in_bed_over_forecast*P23))</f>
        <v>8529.1479905391734</v>
      </c>
      <c r="W23" s="821"/>
      <c r="X23" s="822"/>
      <c r="Y23" s="272">
        <f t="shared" si="0"/>
        <v>0</v>
      </c>
      <c r="AA23" s="834"/>
      <c r="AB23" s="601"/>
      <c r="AC23" s="272">
        <f ca="1">IFERROR(IF($F23="yes",IF(AA23&gt;0,Max_HCW_for_outpatient*$C$114,0),Total_HCW_for_outpatient_over_time*'Equipment List &amp; Usage'!AA23*$C$115)+(Total_Mild_Outpatient*SelfQuarantine_Mild*7*AB23)+(Total_moderate_outpatient*7*AB23*SelfQuarantine_Moderate),0)</f>
        <v>0</v>
      </c>
      <c r="AE23" s="834"/>
      <c r="AF23" s="836"/>
      <c r="AG23" s="274">
        <f>IFERROR(IF($F23="yes",IF(AE23&gt;0,Max_Lab_HCWs*$C$114,0),Total_HCW_labs_over_time*'Equipment List &amp; Usage'!AE23*$C$115)+IF($F23="yes",IF(AF23&gt;0,Max_Lab_hygienists*$C$114,0),Total_hygienist_labs_over_time*'Equipment List &amp; Usage'!AF23*$C$115),0)</f>
        <v>0</v>
      </c>
      <c r="AI23" s="762"/>
      <c r="AJ23" s="759"/>
      <c r="AK23" s="760"/>
      <c r="AL23" s="760"/>
      <c r="AM23" s="760"/>
      <c r="AN23" s="272"/>
      <c r="AP23" s="769"/>
      <c r="AQ23" s="752"/>
      <c r="AR23" s="753"/>
      <c r="AS23" s="753"/>
      <c r="AT23" s="753"/>
      <c r="AU23" s="272"/>
      <c r="AW23" s="265"/>
      <c r="AX23" s="252"/>
      <c r="AY23" s="252"/>
      <c r="AZ23" s="252"/>
      <c r="BA23" s="252"/>
      <c r="BB23" s="252"/>
      <c r="BC23" s="266"/>
      <c r="BE23" s="784">
        <f t="shared" ca="1" si="1"/>
        <v>8529.1479905391734</v>
      </c>
      <c r="BF23" s="785">
        <f t="shared" ca="1" si="2"/>
        <v>1705.8295981078347</v>
      </c>
      <c r="BG23" s="28"/>
      <c r="BH23" s="909"/>
    </row>
    <row r="24" spans="2:60" x14ac:dyDescent="0.35">
      <c r="B24" s="529" t="s">
        <v>295</v>
      </c>
      <c r="C24" s="524" t="s">
        <v>263</v>
      </c>
      <c r="D24" s="222" t="s">
        <v>291</v>
      </c>
      <c r="E24" s="219" t="s">
        <v>289</v>
      </c>
      <c r="F24" s="1091" t="s">
        <v>589</v>
      </c>
      <c r="G24" s="220" t="s">
        <v>866</v>
      </c>
      <c r="H24" s="814">
        <v>4</v>
      </c>
      <c r="J24" s="821"/>
      <c r="K24" s="822">
        <v>0.05</v>
      </c>
      <c r="L24" s="822"/>
      <c r="M24" s="822"/>
      <c r="N24" s="822">
        <v>0.05</v>
      </c>
      <c r="O24" s="589"/>
      <c r="P24" s="589"/>
      <c r="Q24" s="916"/>
      <c r="R24" s="916"/>
      <c r="S24" s="916"/>
      <c r="T24" s="916"/>
      <c r="U24" s="272">
        <f ca="1">IFERROR(IF($F24="yes",MMULT(--(J24:N24&gt;0),--('Weekly Summary'!$BH$112:$BH$116))*$C$114,MMULT(--(J24:N24),--('Weekly Summary'!$BF$112:$BF$116))*$C$115),0)+IF('Equipment List &amp; Usage'!$F24="yes",$C$114,$C$115)*((Total_Inpatients_in_beds_over_time*Q24)+(Total_severe_patients_in_bed_over_forecast*O24)+(Total_crit_patients_in_bed_over_forecast*P24))</f>
        <v>226.32641273461746</v>
      </c>
      <c r="W24" s="821"/>
      <c r="X24" s="822"/>
      <c r="Y24" s="272">
        <f t="shared" si="0"/>
        <v>0</v>
      </c>
      <c r="AA24" s="834"/>
      <c r="AB24" s="601"/>
      <c r="AC24" s="272">
        <f>IFERROR(IF($F24="yes",IF(AA24&gt;0,Max_HCW_for_outpatient*$C$114,0),Total_HCW_for_outpatient_over_time*'Equipment List &amp; Usage'!AA24*$C$115)+(Total_Mild_Outpatient*SelfQuarantine_Mild*7*AB24)+(Total_moderate_outpatient*7*AB24*SelfQuarantine_Moderate),0)</f>
        <v>0</v>
      </c>
      <c r="AE24" s="834"/>
      <c r="AF24" s="836"/>
      <c r="AG24" s="274">
        <f>IFERROR(IF($F24="yes",IF(AE24&gt;0,Max_Lab_HCWs*$C$114,0),Total_HCW_labs_over_time*'Equipment List &amp; Usage'!AE24*$C$115)+IF($F24="yes",IF(AF24&gt;0,Max_Lab_hygienists*$C$114,0),Total_hygienist_labs_over_time*'Equipment List &amp; Usage'!AF24*$C$115),0)</f>
        <v>0</v>
      </c>
      <c r="AI24" s="762"/>
      <c r="AJ24" s="759">
        <v>0.05</v>
      </c>
      <c r="AK24" s="760"/>
      <c r="AL24" s="760"/>
      <c r="AM24" s="760"/>
      <c r="AN24" s="272"/>
      <c r="AP24" s="769"/>
      <c r="AQ24" s="752">
        <v>0.05</v>
      </c>
      <c r="AR24" s="753"/>
      <c r="AS24" s="753"/>
      <c r="AT24" s="753"/>
      <c r="AU24" s="272"/>
      <c r="AW24" s="265"/>
      <c r="AX24" s="252"/>
      <c r="AY24" s="252"/>
      <c r="AZ24" s="252"/>
      <c r="BA24" s="252"/>
      <c r="BB24" s="252"/>
      <c r="BC24" s="266"/>
      <c r="BE24" s="784">
        <f t="shared" ca="1" si="1"/>
        <v>226.32641273461746</v>
      </c>
      <c r="BF24" s="785">
        <f t="shared" ca="1" si="2"/>
        <v>905.30565093846985</v>
      </c>
      <c r="BG24" s="28"/>
      <c r="BH24" s="909"/>
    </row>
    <row r="25" spans="2:60" x14ac:dyDescent="0.35">
      <c r="B25" s="529" t="s">
        <v>295</v>
      </c>
      <c r="C25" s="524" t="s">
        <v>263</v>
      </c>
      <c r="D25" s="222" t="s">
        <v>269</v>
      </c>
      <c r="E25" s="219" t="s">
        <v>288</v>
      </c>
      <c r="F25" s="1091" t="s">
        <v>589</v>
      </c>
      <c r="G25" s="220" t="s">
        <v>866</v>
      </c>
      <c r="H25" s="814">
        <v>4.5999999999999996</v>
      </c>
      <c r="J25" s="821"/>
      <c r="K25" s="822">
        <v>0.01</v>
      </c>
      <c r="L25" s="822"/>
      <c r="M25" s="822"/>
      <c r="N25" s="822">
        <v>0.01</v>
      </c>
      <c r="O25" s="589"/>
      <c r="P25" s="589"/>
      <c r="Q25" s="916"/>
      <c r="R25" s="916"/>
      <c r="S25" s="916"/>
      <c r="T25" s="916"/>
      <c r="U25" s="272">
        <f ca="1">IFERROR(IF($F25="yes",MMULT(--(J25:N25&gt;0),--('Weekly Summary'!$BH$112:$BH$116))*$C$114,MMULT(--(J25:N25),--('Weekly Summary'!$BF$112:$BF$116))*$C$115),0)+IF('Equipment List &amp; Usage'!$F25="yes",$C$114,$C$115)*((Total_Inpatients_in_beds_over_time*Q25)+(Total_severe_patients_in_bed_over_forecast*O25)+(Total_crit_patients_in_bed_over_forecast*P25))</f>
        <v>226.32641273461746</v>
      </c>
      <c r="W25" s="821"/>
      <c r="X25" s="822"/>
      <c r="Y25" s="272">
        <f t="shared" si="0"/>
        <v>0</v>
      </c>
      <c r="AA25" s="834"/>
      <c r="AB25" s="601"/>
      <c r="AC25" s="272">
        <f>IFERROR(IF($F25="yes",IF(AA25&gt;0,Max_HCW_for_outpatient*$C$114,0),Total_HCW_for_outpatient_over_time*'Equipment List &amp; Usage'!AA25*$C$115)+(Total_Mild_Outpatient*SelfQuarantine_Mild*7*AB25)+(Total_moderate_outpatient*7*AB25*SelfQuarantine_Moderate),0)</f>
        <v>0</v>
      </c>
      <c r="AE25" s="834"/>
      <c r="AF25" s="836"/>
      <c r="AG25" s="274">
        <f>IFERROR(IF($F25="yes",IF(AE25&gt;0,Max_Lab_HCWs*$C$114,0),Total_HCW_labs_over_time*'Equipment List &amp; Usage'!AE25*$C$115)+IF($F25="yes",IF(AF25&gt;0,Max_Lab_hygienists*$C$114,0),Total_hygienist_labs_over_time*'Equipment List &amp; Usage'!AF25*$C$115),0)</f>
        <v>0</v>
      </c>
      <c r="AI25" s="762"/>
      <c r="AJ25" s="759">
        <v>0.01</v>
      </c>
      <c r="AK25" s="760"/>
      <c r="AL25" s="760"/>
      <c r="AM25" s="760"/>
      <c r="AN25" s="272"/>
      <c r="AP25" s="769"/>
      <c r="AQ25" s="752"/>
      <c r="AR25" s="753"/>
      <c r="AS25" s="753"/>
      <c r="AT25" s="753"/>
      <c r="AU25" s="272"/>
      <c r="AW25" s="265"/>
      <c r="AX25" s="252"/>
      <c r="AY25" s="252"/>
      <c r="AZ25" s="252"/>
      <c r="BA25" s="252"/>
      <c r="BB25" s="252"/>
      <c r="BC25" s="266"/>
      <c r="BE25" s="784">
        <f t="shared" ca="1" si="1"/>
        <v>226.32641273461746</v>
      </c>
      <c r="BF25" s="785">
        <f t="shared" ca="1" si="2"/>
        <v>1041.1014985792403</v>
      </c>
      <c r="BG25" s="28"/>
      <c r="BH25" s="909"/>
    </row>
    <row r="26" spans="2:60" x14ac:dyDescent="0.35">
      <c r="B26" s="529" t="s">
        <v>295</v>
      </c>
      <c r="C26" s="524" t="s">
        <v>263</v>
      </c>
      <c r="D26" s="222" t="s">
        <v>296</v>
      </c>
      <c r="E26" s="219" t="s">
        <v>288</v>
      </c>
      <c r="F26" s="1091" t="s">
        <v>589</v>
      </c>
      <c r="G26" s="220" t="s">
        <v>866</v>
      </c>
      <c r="H26" s="814">
        <v>1.8</v>
      </c>
      <c r="J26" s="821"/>
      <c r="K26" s="822">
        <v>0.1</v>
      </c>
      <c r="L26" s="822"/>
      <c r="M26" s="822"/>
      <c r="N26" s="822"/>
      <c r="O26" s="589"/>
      <c r="P26" s="589"/>
      <c r="Q26" s="916"/>
      <c r="R26" s="916"/>
      <c r="S26" s="916"/>
      <c r="T26" s="916"/>
      <c r="U26" s="272">
        <f ca="1">IFERROR(IF($F26="yes",MMULT(--(J26:N26&gt;0),--('Weekly Summary'!$BH$112:$BH$116))*$C$114,MMULT(--(J26:N26),--('Weekly Summary'!$BF$112:$BF$116))*$C$115),0)+IF('Equipment List &amp; Usage'!$F26="yes",$C$114,$C$115)*((Total_Inpatients_in_beds_over_time*Q26)+(Total_severe_patients_in_bed_over_forecast*O26)+(Total_crit_patients_in_bed_over_forecast*P26))</f>
        <v>220.20144373402704</v>
      </c>
      <c r="W26" s="821"/>
      <c r="X26" s="822"/>
      <c r="Y26" s="272">
        <f t="shared" si="0"/>
        <v>0</v>
      </c>
      <c r="AA26" s="834"/>
      <c r="AB26" s="601"/>
      <c r="AC26" s="272">
        <f>IFERROR(IF($F26="yes",IF(AA26&gt;0,Max_HCW_for_outpatient*$C$114,0),Total_HCW_for_outpatient_over_time*'Equipment List &amp; Usage'!AA26*$C$115)+(Total_Mild_Outpatient*SelfQuarantine_Mild*7*AB26)+(Total_moderate_outpatient*7*AB26*SelfQuarantine_Moderate),0)</f>
        <v>0</v>
      </c>
      <c r="AE26" s="834"/>
      <c r="AF26" s="836"/>
      <c r="AG26" s="274">
        <f>IFERROR(IF($F26="yes",IF(AE26&gt;0,Max_Lab_HCWs*$C$114,0),Total_HCW_labs_over_time*'Equipment List &amp; Usage'!AE26*$C$115)+IF($F26="yes",IF(AF26&gt;0,Max_Lab_hygienists*$C$114,0),Total_hygienist_labs_over_time*'Equipment List &amp; Usage'!AF26*$C$115),0)</f>
        <v>0</v>
      </c>
      <c r="AI26" s="762"/>
      <c r="AJ26" s="759">
        <v>0.1</v>
      </c>
      <c r="AK26" s="760"/>
      <c r="AL26" s="760"/>
      <c r="AM26" s="760"/>
      <c r="AN26" s="272"/>
      <c r="AP26" s="769"/>
      <c r="AQ26" s="752">
        <v>0.1</v>
      </c>
      <c r="AR26" s="753"/>
      <c r="AS26" s="753"/>
      <c r="AT26" s="753"/>
      <c r="AU26" s="272"/>
      <c r="AW26" s="265"/>
      <c r="AX26" s="252"/>
      <c r="AY26" s="252"/>
      <c r="AZ26" s="252"/>
      <c r="BA26" s="252"/>
      <c r="BB26" s="252"/>
      <c r="BC26" s="266"/>
      <c r="BE26" s="784">
        <f t="shared" ca="1" si="1"/>
        <v>220.20144373402704</v>
      </c>
      <c r="BF26" s="785">
        <f t="shared" ca="1" si="2"/>
        <v>396.36259872124867</v>
      </c>
      <c r="BG26" s="28"/>
      <c r="BH26" s="909"/>
    </row>
    <row r="27" spans="2:60" x14ac:dyDescent="0.35">
      <c r="B27" s="529" t="s">
        <v>295</v>
      </c>
      <c r="C27" s="524" t="s">
        <v>263</v>
      </c>
      <c r="D27" s="222" t="s">
        <v>285</v>
      </c>
      <c r="E27" s="219" t="s">
        <v>288</v>
      </c>
      <c r="F27" s="1091" t="s">
        <v>590</v>
      </c>
      <c r="G27" s="220" t="s">
        <v>866</v>
      </c>
      <c r="H27" s="814">
        <v>0.06</v>
      </c>
      <c r="J27" s="821">
        <v>24</v>
      </c>
      <c r="K27" s="822"/>
      <c r="L27" s="822">
        <v>4</v>
      </c>
      <c r="M27" s="822">
        <v>4</v>
      </c>
      <c r="N27" s="822">
        <v>2</v>
      </c>
      <c r="O27" s="589"/>
      <c r="P27" s="589"/>
      <c r="Q27" s="916"/>
      <c r="R27" s="916"/>
      <c r="S27" s="916"/>
      <c r="T27" s="916"/>
      <c r="U27" s="272">
        <f ca="1">IFERROR(IF($F27="yes",MMULT(--(J27:N27&gt;0),--('Weekly Summary'!$BH$112:$BH$116))*$C$114,MMULT(--(J27:N27),--('Weekly Summary'!$BF$112:$BF$116))*$C$115),0)+IF('Equipment List &amp; Usage'!$F27="yes",$C$114,$C$115)*((Total_Inpatients_in_beds_over_time*Q27)+(Total_severe_patients_in_bed_over_forecast*O27)+(Total_crit_patients_in_bed_over_forecast*P27))</f>
        <v>205545.79323059486</v>
      </c>
      <c r="W27" s="821">
        <v>4</v>
      </c>
      <c r="X27" s="822"/>
      <c r="Y27" s="272">
        <f t="shared" si="0"/>
        <v>9015.0726377756619</v>
      </c>
      <c r="AA27" s="834">
        <v>8</v>
      </c>
      <c r="AB27" s="601"/>
      <c r="AC27" s="272">
        <f ca="1">IFERROR(IF($F27="yes",IF(AA27&gt;0,Max_HCW_for_outpatient*$C$114,0),Total_HCW_for_outpatient_over_time*'Equipment List &amp; Usage'!AA27*$C$115)+(Total_Mild_Outpatient*SelfQuarantine_Mild*7*AB27)+(Total_moderate_outpatient*7*AB27*SelfQuarantine_Moderate),0)</f>
        <v>1960</v>
      </c>
      <c r="AE27" s="834">
        <v>8</v>
      </c>
      <c r="AF27" s="836"/>
      <c r="AG27" s="274">
        <f>IFERROR(IF($F27="yes",IF(AE27&gt;0,Max_Lab_HCWs*$C$114,0),Total_HCW_labs_over_time*'Equipment List &amp; Usage'!AE27*$C$115)+IF($F27="yes",IF(AF27&gt;0,Max_Lab_hygienists*$C$114,0),Total_hygienist_labs_over_time*'Equipment List &amp; Usage'!AF27*$C$115),0)</f>
        <v>104832</v>
      </c>
      <c r="AI27" s="762">
        <v>12</v>
      </c>
      <c r="AJ27" s="759"/>
      <c r="AK27" s="760">
        <v>2</v>
      </c>
      <c r="AL27" s="760"/>
      <c r="AM27" s="760"/>
      <c r="AN27" s="272"/>
      <c r="AP27" s="769">
        <v>6</v>
      </c>
      <c r="AQ27" s="752"/>
      <c r="AR27" s="753"/>
      <c r="AS27" s="753"/>
      <c r="AT27" s="753"/>
      <c r="AU27" s="272"/>
      <c r="AW27" s="265"/>
      <c r="AX27" s="252"/>
      <c r="AY27" s="252"/>
      <c r="AZ27" s="252"/>
      <c r="BA27" s="252"/>
      <c r="BB27" s="252"/>
      <c r="BC27" s="266"/>
      <c r="BE27" s="784">
        <f t="shared" ca="1" si="1"/>
        <v>321352.86586837051</v>
      </c>
      <c r="BF27" s="785">
        <f t="shared" ca="1" si="2"/>
        <v>19281.171952102231</v>
      </c>
      <c r="BG27" s="28"/>
      <c r="BH27" s="909"/>
    </row>
    <row r="28" spans="2:60" x14ac:dyDescent="0.35">
      <c r="B28" s="529" t="s">
        <v>295</v>
      </c>
      <c r="C28" s="524" t="s">
        <v>263</v>
      </c>
      <c r="D28" s="222" t="s">
        <v>275</v>
      </c>
      <c r="E28" s="219" t="s">
        <v>288</v>
      </c>
      <c r="F28" s="1091" t="s">
        <v>590</v>
      </c>
      <c r="G28" s="220" t="s">
        <v>866</v>
      </c>
      <c r="H28" s="814">
        <v>0.4</v>
      </c>
      <c r="J28" s="821">
        <v>1</v>
      </c>
      <c r="K28" s="822"/>
      <c r="L28" s="822"/>
      <c r="M28" s="822"/>
      <c r="N28" s="822"/>
      <c r="O28" s="589"/>
      <c r="P28" s="589"/>
      <c r="Q28" s="916"/>
      <c r="R28" s="916"/>
      <c r="S28" s="916"/>
      <c r="T28" s="916"/>
      <c r="U28" s="272">
        <f ca="1">IFERROR(IF($F28="yes",MMULT(--(J28:N28&gt;0),--('Weekly Summary'!$BH$112:$BH$116))*$C$114,MMULT(--(J28:N28),--('Weekly Summary'!$BF$112:$BF$116))*$C$115),0)+IF('Equipment List &amp; Usage'!$F28="yes",$C$114,$C$115)*((Total_Inpatients_in_beds_over_time*Q28)+(Total_severe_patients_in_bed_over_forecast*O28)+(Total_crit_patients_in_bed_over_forecast*P28))</f>
        <v>8529.1479905391734</v>
      </c>
      <c r="W28" s="821"/>
      <c r="X28" s="822"/>
      <c r="Y28" s="272">
        <f t="shared" si="0"/>
        <v>0</v>
      </c>
      <c r="AA28" s="834"/>
      <c r="AB28" s="601"/>
      <c r="AC28" s="272">
        <f ca="1">IFERROR(IF($F28="yes",IF(AA28&gt;0,Max_HCW_for_outpatient*$C$114,0),Total_HCW_for_outpatient_over_time*'Equipment List &amp; Usage'!AA28*$C$115)+(Total_Mild_Outpatient*SelfQuarantine_Mild*7*AB28)+(Total_moderate_outpatient*7*AB28*SelfQuarantine_Moderate),0)</f>
        <v>0</v>
      </c>
      <c r="AE28" s="834"/>
      <c r="AF28" s="836"/>
      <c r="AG28" s="274">
        <f>IFERROR(IF($F28="yes",IF(AE28&gt;0,Max_Lab_HCWs*$C$114,0),Total_HCW_labs_over_time*'Equipment List &amp; Usage'!AE28*$C$115)+IF($F28="yes",IF(AF28&gt;0,Max_Lab_hygienists*$C$114,0),Total_hygienist_labs_over_time*'Equipment List &amp; Usage'!AF28*$C$115),0)</f>
        <v>0</v>
      </c>
      <c r="AI28" s="762"/>
      <c r="AJ28" s="759"/>
      <c r="AK28" s="760"/>
      <c r="AL28" s="760"/>
      <c r="AM28" s="760"/>
      <c r="AN28" s="272"/>
      <c r="AP28" s="769"/>
      <c r="AQ28" s="752"/>
      <c r="AR28" s="753"/>
      <c r="AS28" s="753"/>
      <c r="AT28" s="753"/>
      <c r="AU28" s="272"/>
      <c r="AW28" s="265"/>
      <c r="AX28" s="252"/>
      <c r="AY28" s="252"/>
      <c r="AZ28" s="252"/>
      <c r="BA28" s="252"/>
      <c r="BB28" s="252"/>
      <c r="BC28" s="266"/>
      <c r="BE28" s="784">
        <f t="shared" ca="1" si="1"/>
        <v>8529.1479905391734</v>
      </c>
      <c r="BF28" s="785">
        <f t="shared" ca="1" si="2"/>
        <v>3411.6591962156695</v>
      </c>
      <c r="BG28" s="28"/>
      <c r="BH28" s="909"/>
    </row>
    <row r="29" spans="2:60" x14ac:dyDescent="0.35">
      <c r="B29" s="529" t="s">
        <v>295</v>
      </c>
      <c r="C29" s="524" t="s">
        <v>263</v>
      </c>
      <c r="D29" s="222" t="s">
        <v>290</v>
      </c>
      <c r="E29" s="219" t="s">
        <v>289</v>
      </c>
      <c r="F29" s="1091" t="s">
        <v>589</v>
      </c>
      <c r="G29" s="220" t="s">
        <v>866</v>
      </c>
      <c r="H29" s="814">
        <v>2.8</v>
      </c>
      <c r="J29" s="821">
        <v>0.1</v>
      </c>
      <c r="K29" s="822">
        <v>0.1</v>
      </c>
      <c r="L29" s="822"/>
      <c r="M29" s="822">
        <v>0.1</v>
      </c>
      <c r="N29" s="822"/>
      <c r="O29" s="589"/>
      <c r="P29" s="589"/>
      <c r="Q29" s="916"/>
      <c r="R29" s="916"/>
      <c r="S29" s="916"/>
      <c r="T29" s="916"/>
      <c r="U29" s="272">
        <f ca="1">IFERROR(IF($F29="yes",MMULT(--(J29:N29&gt;0),--('Weekly Summary'!$BH$112:$BH$116))*$C$114,MMULT(--(J29:N29),--('Weekly Summary'!$BF$112:$BF$116))*$C$115),0)+IF('Equipment List &amp; Usage'!$F29="yes",$C$114,$C$115)*((Total_Inpatients_in_beds_over_time*Q29)+(Total_severe_patients_in_bed_over_forecast*O29)+(Total_crit_patients_in_bed_over_forecast*P29))</f>
        <v>1102.8341012789267</v>
      </c>
      <c r="W29" s="821"/>
      <c r="X29" s="822"/>
      <c r="Y29" s="272">
        <f t="shared" si="0"/>
        <v>0</v>
      </c>
      <c r="AA29" s="834">
        <v>0.1</v>
      </c>
      <c r="AB29" s="601"/>
      <c r="AC29" s="272">
        <f ca="1">IFERROR(IF($F29="yes",IF(AA29&gt;0,Max_HCW_for_outpatient*$C$114,0),Total_HCW_for_outpatient_over_time*'Equipment List &amp; Usage'!AA29*$C$115)+(Total_Mild_Outpatient*SelfQuarantine_Mild*7*AB29)+(Total_moderate_outpatient*7*AB29*SelfQuarantine_Moderate),0)</f>
        <v>23</v>
      </c>
      <c r="AE29" s="834">
        <f>2/30</f>
        <v>6.6666666666666666E-2</v>
      </c>
      <c r="AF29" s="836"/>
      <c r="AG29" s="274">
        <f>IFERROR(IF($F29="yes",IF(AE29&gt;0,Max_Lab_HCWs*$C$114,0),Total_HCW_labs_over_time*'Equipment List &amp; Usage'!AE29*$C$115)+IF($F29="yes",IF(AF29&gt;0,Max_Lab_hygienists*$C$114,0),Total_hygienist_labs_over_time*'Equipment List &amp; Usage'!AF29*$C$115),0)</f>
        <v>312</v>
      </c>
      <c r="AI29" s="762">
        <v>0.1</v>
      </c>
      <c r="AJ29" s="759">
        <v>0.1</v>
      </c>
      <c r="AK29" s="760"/>
      <c r="AL29" s="760"/>
      <c r="AM29" s="760"/>
      <c r="AN29" s="272"/>
      <c r="AP29" s="769">
        <v>0.1</v>
      </c>
      <c r="AQ29" s="752">
        <v>0.1</v>
      </c>
      <c r="AR29" s="753"/>
      <c r="AS29" s="753"/>
      <c r="AT29" s="753"/>
      <c r="AU29" s="272"/>
      <c r="AW29" s="265"/>
      <c r="AX29" s="252"/>
      <c r="AY29" s="252"/>
      <c r="AZ29" s="252"/>
      <c r="BA29" s="252"/>
      <c r="BB29" s="252"/>
      <c r="BC29" s="266"/>
      <c r="BE29" s="784">
        <f t="shared" ca="1" si="1"/>
        <v>1437.8341012789267</v>
      </c>
      <c r="BF29" s="785">
        <f t="shared" ca="1" si="2"/>
        <v>4025.9354835809945</v>
      </c>
      <c r="BG29" s="28"/>
      <c r="BH29" s="909"/>
    </row>
    <row r="30" spans="2:60" x14ac:dyDescent="0.35">
      <c r="B30" s="529" t="s">
        <v>295</v>
      </c>
      <c r="C30" s="524" t="s">
        <v>263</v>
      </c>
      <c r="D30" s="222" t="s">
        <v>264</v>
      </c>
      <c r="E30" s="219" t="s">
        <v>289</v>
      </c>
      <c r="F30" s="1091" t="s">
        <v>590</v>
      </c>
      <c r="G30" s="220" t="s">
        <v>866</v>
      </c>
      <c r="H30" s="814">
        <v>0.6</v>
      </c>
      <c r="J30" s="821">
        <v>1</v>
      </c>
      <c r="K30" s="822">
        <v>1</v>
      </c>
      <c r="L30" s="822"/>
      <c r="M30" s="822"/>
      <c r="N30" s="822">
        <v>1</v>
      </c>
      <c r="O30" s="589"/>
      <c r="P30" s="589"/>
      <c r="Q30" s="916"/>
      <c r="R30" s="916"/>
      <c r="S30" s="916"/>
      <c r="T30" s="916"/>
      <c r="U30" s="272">
        <f ca="1">IFERROR(IF($F30="yes",MMULT(--(J30:N30&gt;0),--('Weekly Summary'!$BH$112:$BH$116))*$C$114,MMULT(--(J30:N30),--('Weekly Summary'!$BF$112:$BF$116))*$C$115),0)+IF('Equipment List &amp; Usage'!$F30="yes",$C$114,$C$115)*((Total_Inpatients_in_beds_over_time*Q30)+(Total_severe_patients_in_bed_over_forecast*O30)+(Total_crit_patients_in_bed_over_forecast*P30))</f>
        <v>10762.707906164218</v>
      </c>
      <c r="W30" s="821"/>
      <c r="X30" s="822"/>
      <c r="Y30" s="272">
        <f t="shared" si="0"/>
        <v>0</v>
      </c>
      <c r="AA30" s="834"/>
      <c r="AB30" s="601"/>
      <c r="AC30" s="272">
        <f ca="1">IFERROR(IF($F30="yes",IF(AA30&gt;0,Max_HCW_for_outpatient*$C$114,0),Total_HCW_for_outpatient_over_time*'Equipment List &amp; Usage'!AA30*$C$115)+(Total_Mild_Outpatient*SelfQuarantine_Mild*7*AB30)+(Total_moderate_outpatient*7*AB30*SelfQuarantine_Moderate),0)</f>
        <v>0</v>
      </c>
      <c r="AE30" s="834">
        <v>2</v>
      </c>
      <c r="AF30" s="836"/>
      <c r="AG30" s="274">
        <f>IFERROR(IF($F30="yes",IF(AE30&gt;0,Max_Lab_HCWs*$C$114,0),Total_HCW_labs_over_time*'Equipment List &amp; Usage'!AE30*$C$115)+IF($F30="yes",IF(AF30&gt;0,Max_Lab_hygienists*$C$114,0),Total_hygienist_labs_over_time*'Equipment List &amp; Usage'!AF30*$C$115),0)</f>
        <v>26208</v>
      </c>
      <c r="AI30" s="762">
        <v>1</v>
      </c>
      <c r="AJ30" s="759">
        <v>1</v>
      </c>
      <c r="AK30" s="760"/>
      <c r="AL30" s="760"/>
      <c r="AM30" s="760"/>
      <c r="AN30" s="272"/>
      <c r="AP30" s="769">
        <v>1</v>
      </c>
      <c r="AQ30" s="752">
        <v>1</v>
      </c>
      <c r="AR30" s="753"/>
      <c r="AS30" s="753"/>
      <c r="AT30" s="753"/>
      <c r="AU30" s="272"/>
      <c r="AW30" s="265"/>
      <c r="AX30" s="252"/>
      <c r="AY30" s="252"/>
      <c r="AZ30" s="252"/>
      <c r="BA30" s="252"/>
      <c r="BB30" s="252"/>
      <c r="BC30" s="266"/>
      <c r="BE30" s="784">
        <f t="shared" ca="1" si="1"/>
        <v>36970.707906164214</v>
      </c>
      <c r="BF30" s="785">
        <f t="shared" ca="1" si="2"/>
        <v>22182.424743698528</v>
      </c>
      <c r="BG30" s="28"/>
      <c r="BH30" s="909"/>
    </row>
    <row r="31" spans="2:60" x14ac:dyDescent="0.35">
      <c r="B31" s="529" t="s">
        <v>295</v>
      </c>
      <c r="C31" s="524" t="s">
        <v>263</v>
      </c>
      <c r="D31" s="222" t="s">
        <v>1228</v>
      </c>
      <c r="E31" s="219" t="s">
        <v>289</v>
      </c>
      <c r="F31" s="1091" t="s">
        <v>590</v>
      </c>
      <c r="G31" s="220" t="s">
        <v>866</v>
      </c>
      <c r="H31" s="814">
        <v>1.5</v>
      </c>
      <c r="J31" s="821">
        <v>1</v>
      </c>
      <c r="K31" s="822"/>
      <c r="L31" s="822"/>
      <c r="M31" s="822"/>
      <c r="N31" s="822"/>
      <c r="O31" s="589"/>
      <c r="P31" s="589"/>
      <c r="Q31" s="916"/>
      <c r="R31" s="916"/>
      <c r="S31" s="916"/>
      <c r="T31" s="916"/>
      <c r="U31" s="272">
        <f ca="1">IFERROR(IF($F31="yes",MMULT(--(J31:N31&gt;0),--('Weekly Summary'!$BH$112:$BH$116))*$C$114,MMULT(--(J31:N31),--('Weekly Summary'!$BF$112:$BF$116))*$C$115),0)+IF('Equipment List &amp; Usage'!$F31="yes",$C$114,$C$115)*((Total_Inpatients_in_beds_over_time*Q31)+(Total_severe_patients_in_bed_over_forecast*O31)+(Total_crit_patients_in_bed_over_forecast*P31))</f>
        <v>8529.1479905391734</v>
      </c>
      <c r="W31" s="821"/>
      <c r="X31" s="822"/>
      <c r="Y31" s="272">
        <f t="shared" si="0"/>
        <v>0</v>
      </c>
      <c r="AA31" s="834"/>
      <c r="AB31" s="601"/>
      <c r="AC31" s="272">
        <f ca="1">IFERROR(IF($F31="yes",IF(AA31&gt;0,Max_HCW_for_outpatient*$C$114,0),Total_HCW_for_outpatient_over_time*'Equipment List &amp; Usage'!AA31*$C$115)+(Total_Mild_Outpatient*SelfQuarantine_Mild*7*AB31)+(Total_moderate_outpatient*7*AB31*SelfQuarantine_Moderate),0)</f>
        <v>0</v>
      </c>
      <c r="AE31" s="834"/>
      <c r="AF31" s="836"/>
      <c r="AG31" s="274">
        <f>IFERROR(IF($F31="yes",IF(AE31&gt;0,Max_Lab_HCWs*$C$114,0),Total_HCW_labs_over_time*'Equipment List &amp; Usage'!AE31*$C$115)+IF($F31="yes",IF(AF31&gt;0,Max_Lab_hygienists*$C$114,0),Total_hygienist_labs_over_time*'Equipment List &amp; Usage'!AF31*$C$115),0)</f>
        <v>0</v>
      </c>
      <c r="AI31" s="762"/>
      <c r="AJ31" s="759">
        <v>0</v>
      </c>
      <c r="AK31" s="760"/>
      <c r="AL31" s="760"/>
      <c r="AM31" s="760"/>
      <c r="AN31" s="272"/>
      <c r="AP31" s="769"/>
      <c r="AQ31" s="752"/>
      <c r="AR31" s="753"/>
      <c r="AS31" s="753"/>
      <c r="AT31" s="753"/>
      <c r="AU31" s="272"/>
      <c r="AW31" s="265"/>
      <c r="AX31" s="252"/>
      <c r="AY31" s="252"/>
      <c r="AZ31" s="252"/>
      <c r="BA31" s="252"/>
      <c r="BB31" s="252"/>
      <c r="BC31" s="266"/>
      <c r="BE31" s="784">
        <f t="shared" ca="1" si="1"/>
        <v>8529.1479905391734</v>
      </c>
      <c r="BF31" s="785">
        <f t="shared" ca="1" si="2"/>
        <v>12793.721985808759</v>
      </c>
      <c r="BG31" s="28"/>
      <c r="BH31" s="909"/>
    </row>
    <row r="32" spans="2:60" x14ac:dyDescent="0.35">
      <c r="B32" s="529" t="s">
        <v>295</v>
      </c>
      <c r="C32" s="524" t="s">
        <v>263</v>
      </c>
      <c r="D32" s="222" t="s">
        <v>1229</v>
      </c>
      <c r="E32" s="219" t="s">
        <v>289</v>
      </c>
      <c r="F32" s="1091" t="s">
        <v>590</v>
      </c>
      <c r="G32" s="220" t="s">
        <v>866</v>
      </c>
      <c r="H32" s="814">
        <v>0.7</v>
      </c>
      <c r="J32" s="821">
        <v>4</v>
      </c>
      <c r="K32" s="822">
        <v>4</v>
      </c>
      <c r="L32" s="822">
        <v>2</v>
      </c>
      <c r="M32" s="822">
        <v>4</v>
      </c>
      <c r="N32" s="822">
        <v>1</v>
      </c>
      <c r="O32" s="589"/>
      <c r="P32" s="589"/>
      <c r="Q32" s="916"/>
      <c r="R32" s="916"/>
      <c r="S32" s="916"/>
      <c r="T32" s="916"/>
      <c r="U32" s="272">
        <f ca="1">IFERROR(IF($F32="yes",MMULT(--(J32:N32&gt;0),--('Weekly Summary'!$BH$112:$BH$116))*$C$114,MMULT(--(J32:N32),--('Weekly Summary'!$BF$112:$BF$116))*$C$115),0)+IF('Equipment List &amp; Usage'!$F32="yes",$C$114,$C$115)*((Total_Inpatients_in_beds_over_time*Q32)+(Total_severe_patients_in_bed_over_forecast*O32)+(Total_crit_patients_in_bed_over_forecast*P32))</f>
        <v>43594.843990292051</v>
      </c>
      <c r="W32" s="821">
        <v>2</v>
      </c>
      <c r="X32" s="822"/>
      <c r="Y32" s="272">
        <f t="shared" si="0"/>
        <v>4507.5363188878309</v>
      </c>
      <c r="AA32" s="834">
        <v>4</v>
      </c>
      <c r="AB32" s="602"/>
      <c r="AC32" s="272">
        <f ca="1">IFERROR(IF($F32="yes",IF(AA32&gt;0,Max_HCW_for_outpatient*$C$114,0),Total_HCW_for_outpatient_over_time*'Equipment List &amp; Usage'!AA32*$C$115)+(Total_Mild_Outpatient*SelfQuarantine_Mild*7*AB32)+(Total_moderate_outpatient*7*AB32*SelfQuarantine_Moderate),0)</f>
        <v>980</v>
      </c>
      <c r="AE32" s="838">
        <v>4</v>
      </c>
      <c r="AF32" s="839"/>
      <c r="AG32" s="274">
        <f>IFERROR(IF($F32="yes",IF(AE32&gt;0,Max_Lab_HCWs*$C$114,0),Total_HCW_labs_over_time*'Equipment List &amp; Usage'!AE32*$C$115)+IF($F32="yes",IF(AF32&gt;0,Max_Lab_hygienists*$C$114,0),Total_hygienist_labs_over_time*'Equipment List &amp; Usage'!AF32*$C$115),0)</f>
        <v>52416</v>
      </c>
      <c r="AI32" s="762">
        <v>2</v>
      </c>
      <c r="AJ32" s="759">
        <v>2</v>
      </c>
      <c r="AK32" s="760"/>
      <c r="AL32" s="760"/>
      <c r="AM32" s="760"/>
      <c r="AN32" s="272"/>
      <c r="AP32" s="769">
        <v>2</v>
      </c>
      <c r="AQ32" s="752">
        <v>2</v>
      </c>
      <c r="AR32" s="753"/>
      <c r="AS32" s="753"/>
      <c r="AT32" s="753"/>
      <c r="AU32" s="272"/>
      <c r="AW32" s="265"/>
      <c r="AX32" s="252"/>
      <c r="AY32" s="252"/>
      <c r="AZ32" s="252"/>
      <c r="BA32" s="252"/>
      <c r="BB32" s="252"/>
      <c r="BC32" s="266"/>
      <c r="BE32" s="964">
        <f t="shared" ca="1" si="1"/>
        <v>101498.38030917989</v>
      </c>
      <c r="BF32" s="1336">
        <f t="shared" ca="1" si="2"/>
        <v>71048.866216425915</v>
      </c>
      <c r="BG32" s="28"/>
      <c r="BH32" s="909"/>
    </row>
    <row r="33" spans="2:60" ht="15" thickBot="1" x14ac:dyDescent="0.4">
      <c r="B33" s="616" t="s">
        <v>295</v>
      </c>
      <c r="C33" s="617" t="s">
        <v>263</v>
      </c>
      <c r="D33" s="618" t="s">
        <v>1230</v>
      </c>
      <c r="E33" s="619" t="s">
        <v>289</v>
      </c>
      <c r="F33" s="1092" t="s">
        <v>590</v>
      </c>
      <c r="G33" s="620" t="s">
        <v>866</v>
      </c>
      <c r="H33" s="815">
        <v>0.7</v>
      </c>
      <c r="J33" s="592"/>
      <c r="K33" s="593"/>
      <c r="L33" s="593"/>
      <c r="M33" s="593"/>
      <c r="N33" s="781"/>
      <c r="O33" s="829"/>
      <c r="P33" s="829"/>
      <c r="Q33" s="829">
        <v>2</v>
      </c>
      <c r="R33" s="586"/>
      <c r="S33" s="590"/>
      <c r="T33" s="591"/>
      <c r="U33" s="309">
        <f ca="1">IFERROR(IF($F33="yes",MMULT(--(J33:N33&gt;0),--('Weekly Summary'!$BH$112:$BH$116))*$C$114,MMULT(--(J33:N33),--('Weekly Summary'!$BF$112:$BF$116))*$C$115),0)+IF('Equipment List &amp; Usage'!$F33="yes",$C$114,$C$115)*((Total_Inpatients_in_beds_over_time*Q33)+(Total_severe_patients_in_bed_over_forecast*O33)+(Total_crit_patients_in_bed_over_forecast*P33))</f>
        <v>6044.5818403908743</v>
      </c>
      <c r="W33" s="830"/>
      <c r="X33" s="831">
        <v>1</v>
      </c>
      <c r="Y33" s="309">
        <f t="shared" si="0"/>
        <v>2253.7681594439155</v>
      </c>
      <c r="AA33" s="800"/>
      <c r="AB33" s="832">
        <v>1</v>
      </c>
      <c r="AC33" s="309">
        <f ca="1">IFERROR(IF($F33="yes",IF(AA33&gt;0,Max_HCW_for_outpatient*$C$114,0),Total_HCW_for_outpatient_over_time*'Equipment List &amp; Usage'!AA33*$C$115)+(Total_Mild_Outpatient*SelfQuarantine_Mild*7*AB33)+(Total_moderate_outpatient*7*AB33*SelfQuarantine_Moderate),0)</f>
        <v>2253.7681594439155</v>
      </c>
      <c r="AE33" s="797"/>
      <c r="AF33" s="798"/>
      <c r="AG33" s="779">
        <f>IFERROR(IF($F33="yes",IF(AE33&gt;0,Max_Lab_HCWs*$C$114,0),Total_HCW_labs_over_time*'Equipment List &amp; Usage'!AE33*$C$115)+IF($F33="yes",IF(AF33&gt;0,Max_Lab_hygienists*$C$114,0),Total_hygienist_labs_over_time*'Equipment List &amp; Usage'!AF33*$C$115),0)</f>
        <v>0</v>
      </c>
      <c r="AI33" s="763"/>
      <c r="AJ33" s="764"/>
      <c r="AK33" s="764">
        <v>1</v>
      </c>
      <c r="AL33" s="764">
        <v>1</v>
      </c>
      <c r="AM33" s="764"/>
      <c r="AN33" s="272"/>
      <c r="AP33" s="756"/>
      <c r="AQ33" s="757"/>
      <c r="AR33" s="757"/>
      <c r="AS33" s="757">
        <v>1</v>
      </c>
      <c r="AT33" s="757"/>
      <c r="AU33" s="272"/>
      <c r="AW33" s="267"/>
      <c r="AX33" s="127"/>
      <c r="AY33" s="127"/>
      <c r="AZ33" s="127"/>
      <c r="BA33" s="127"/>
      <c r="BB33" s="127"/>
      <c r="BC33" s="269"/>
      <c r="BE33" s="786">
        <f t="shared" ca="1" si="1"/>
        <v>10552.118159278705</v>
      </c>
      <c r="BF33" s="787">
        <f t="shared" ca="1" si="2"/>
        <v>7386.4827114950931</v>
      </c>
      <c r="BG33" s="28"/>
      <c r="BH33" s="909"/>
    </row>
    <row r="34" spans="2:60" ht="15" thickBot="1" x14ac:dyDescent="0.4">
      <c r="E34"/>
      <c r="H34"/>
      <c r="AE34"/>
      <c r="AF34"/>
      <c r="AG34"/>
    </row>
    <row r="35" spans="2:60" x14ac:dyDescent="0.35">
      <c r="B35" s="950" t="s">
        <v>1389</v>
      </c>
      <c r="C35" s="951" t="s">
        <v>262</v>
      </c>
      <c r="D35" s="952" t="s">
        <v>261</v>
      </c>
      <c r="E35" s="952" t="s">
        <v>287</v>
      </c>
      <c r="F35" s="1090" t="s">
        <v>589</v>
      </c>
      <c r="G35" s="953" t="s">
        <v>866</v>
      </c>
      <c r="H35" s="973">
        <v>30</v>
      </c>
      <c r="J35" s="1566" t="s">
        <v>1308</v>
      </c>
      <c r="K35" s="1567"/>
      <c r="L35" s="1567"/>
      <c r="M35" s="1567"/>
      <c r="N35" s="1567"/>
      <c r="O35" s="1567"/>
      <c r="P35" s="1567"/>
      <c r="Q35" s="1567"/>
      <c r="R35" s="1567"/>
      <c r="S35" s="1567"/>
      <c r="T35" s="1567"/>
      <c r="U35" s="1567"/>
      <c r="V35" s="1567"/>
      <c r="W35" s="1567"/>
      <c r="X35" s="1567"/>
      <c r="Y35" s="1567"/>
      <c r="Z35" s="1567"/>
      <c r="AA35" s="1567"/>
      <c r="AB35" s="1567"/>
      <c r="AC35" s="1567"/>
      <c r="AD35" s="1567"/>
      <c r="AE35" s="1567"/>
      <c r="AF35" s="1567"/>
      <c r="AG35" s="1568"/>
      <c r="AI35" s="265"/>
      <c r="AJ35" s="252"/>
      <c r="AK35" s="252"/>
      <c r="AL35" s="252"/>
      <c r="AM35" s="252"/>
      <c r="AN35" s="272"/>
      <c r="AP35" s="265"/>
      <c r="AQ35" s="277"/>
      <c r="AR35" s="277"/>
      <c r="AS35" s="277"/>
      <c r="AT35" s="277"/>
      <c r="AU35" s="272"/>
      <c r="AW35" s="265"/>
      <c r="AX35" s="252"/>
      <c r="AY35" s="252"/>
      <c r="AZ35" s="252"/>
      <c r="BA35" s="252"/>
      <c r="BB35" s="252"/>
      <c r="BC35" s="266"/>
      <c r="BE35" s="968">
        <f ca="1">'Back Calculations'!F63</f>
        <v>32</v>
      </c>
      <c r="BF35" s="969">
        <f t="shared" ref="BF35:BF45" ca="1" si="3">BE35*H35</f>
        <v>960</v>
      </c>
      <c r="BG35" s="28"/>
      <c r="BH35" s="909"/>
    </row>
    <row r="36" spans="2:60" ht="15" customHeight="1" x14ac:dyDescent="0.35">
      <c r="B36" s="949" t="s">
        <v>1389</v>
      </c>
      <c r="C36" s="948" t="s">
        <v>262</v>
      </c>
      <c r="D36" s="919" t="s">
        <v>1068</v>
      </c>
      <c r="E36" s="917" t="s">
        <v>287</v>
      </c>
      <c r="F36" s="1091" t="s">
        <v>590</v>
      </c>
      <c r="G36" s="918" t="s">
        <v>866</v>
      </c>
      <c r="H36" s="971">
        <v>0.7</v>
      </c>
      <c r="J36" s="1572"/>
      <c r="K36" s="1573"/>
      <c r="L36" s="1573"/>
      <c r="M36" s="1573"/>
      <c r="N36" s="1573"/>
      <c r="O36" s="1573"/>
      <c r="P36" s="1573"/>
      <c r="Q36" s="1573"/>
      <c r="R36" s="1573"/>
      <c r="S36" s="1573"/>
      <c r="T36" s="1573"/>
      <c r="U36" s="1573"/>
      <c r="V36" s="1573"/>
      <c r="W36" s="1573"/>
      <c r="X36" s="1573"/>
      <c r="Y36" s="1573"/>
      <c r="Z36" s="1573"/>
      <c r="AA36" s="1573"/>
      <c r="AB36" s="1573"/>
      <c r="AC36" s="1573"/>
      <c r="AD36" s="1573"/>
      <c r="AE36" s="1573"/>
      <c r="AF36" s="1573"/>
      <c r="AG36" s="1574"/>
      <c r="AI36" s="265"/>
      <c r="AJ36" s="252"/>
      <c r="AK36" s="252"/>
      <c r="AL36" s="252"/>
      <c r="AM36" s="252"/>
      <c r="AN36" s="272"/>
      <c r="AP36" s="265"/>
      <c r="AQ36" s="277"/>
      <c r="AR36" s="277"/>
      <c r="AS36" s="277"/>
      <c r="AT36" s="277"/>
      <c r="AU36" s="272"/>
      <c r="AW36" s="265"/>
      <c r="AX36" s="252"/>
      <c r="AY36" s="252"/>
      <c r="AZ36" s="252"/>
      <c r="BA36" s="252"/>
      <c r="BB36" s="252"/>
      <c r="BC36" s="266"/>
      <c r="BE36" s="964">
        <f ca="1">'Back Calculations'!F64</f>
        <v>2887.5941249875659</v>
      </c>
      <c r="BF36" s="965">
        <f t="shared" ca="1" si="3"/>
        <v>2021.3158874912961</v>
      </c>
      <c r="BG36" s="28"/>
      <c r="BH36" s="909"/>
    </row>
    <row r="37" spans="2:60" x14ac:dyDescent="0.35">
      <c r="B37" s="949" t="s">
        <v>1389</v>
      </c>
      <c r="C37" s="948" t="s">
        <v>262</v>
      </c>
      <c r="D37" s="919" t="s">
        <v>299</v>
      </c>
      <c r="E37" s="917" t="s">
        <v>289</v>
      </c>
      <c r="F37" s="1091" t="s">
        <v>589</v>
      </c>
      <c r="G37" s="918" t="s">
        <v>866</v>
      </c>
      <c r="H37" s="971">
        <v>0.8</v>
      </c>
      <c r="J37" s="1572"/>
      <c r="K37" s="1573"/>
      <c r="L37" s="1573"/>
      <c r="M37" s="1573"/>
      <c r="N37" s="1573"/>
      <c r="O37" s="1573"/>
      <c r="P37" s="1573"/>
      <c r="Q37" s="1573"/>
      <c r="R37" s="1573"/>
      <c r="S37" s="1573"/>
      <c r="T37" s="1573"/>
      <c r="U37" s="1573"/>
      <c r="V37" s="1573"/>
      <c r="W37" s="1573"/>
      <c r="X37" s="1573"/>
      <c r="Y37" s="1573"/>
      <c r="Z37" s="1573"/>
      <c r="AA37" s="1573"/>
      <c r="AB37" s="1573"/>
      <c r="AC37" s="1573"/>
      <c r="AD37" s="1573"/>
      <c r="AE37" s="1573"/>
      <c r="AF37" s="1573"/>
      <c r="AG37" s="1574"/>
      <c r="AI37" s="265"/>
      <c r="AJ37" s="252"/>
      <c r="AK37" s="252"/>
      <c r="AL37" s="252"/>
      <c r="AM37" s="252"/>
      <c r="AN37" s="272"/>
      <c r="AP37" s="265"/>
      <c r="AQ37" s="277"/>
      <c r="AR37" s="277"/>
      <c r="AS37" s="277"/>
      <c r="AT37" s="277"/>
      <c r="AU37" s="272"/>
      <c r="AW37" s="265"/>
      <c r="AX37" s="252"/>
      <c r="AY37" s="252"/>
      <c r="AZ37" s="252"/>
      <c r="BA37" s="252"/>
      <c r="BB37" s="252"/>
      <c r="BC37" s="266"/>
      <c r="BE37" s="964">
        <f ca="1">'Back Calculations'!F65</f>
        <v>120</v>
      </c>
      <c r="BF37" s="965">
        <f t="shared" ca="1" si="3"/>
        <v>96</v>
      </c>
      <c r="BG37" s="28"/>
      <c r="BH37" s="909"/>
    </row>
    <row r="38" spans="2:60" x14ac:dyDescent="0.35">
      <c r="B38" s="949" t="s">
        <v>1389</v>
      </c>
      <c r="C38" s="948" t="s">
        <v>262</v>
      </c>
      <c r="D38" s="919" t="s">
        <v>1069</v>
      </c>
      <c r="E38" s="917" t="s">
        <v>287</v>
      </c>
      <c r="F38" s="1091" t="s">
        <v>590</v>
      </c>
      <c r="G38" s="918" t="s">
        <v>866</v>
      </c>
      <c r="H38" s="971">
        <v>960</v>
      </c>
      <c r="J38" s="1572"/>
      <c r="K38" s="1573"/>
      <c r="L38" s="1573"/>
      <c r="M38" s="1573"/>
      <c r="N38" s="1573"/>
      <c r="O38" s="1573"/>
      <c r="P38" s="1573"/>
      <c r="Q38" s="1573"/>
      <c r="R38" s="1573"/>
      <c r="S38" s="1573"/>
      <c r="T38" s="1573"/>
      <c r="U38" s="1573"/>
      <c r="V38" s="1573"/>
      <c r="W38" s="1573"/>
      <c r="X38" s="1573"/>
      <c r="Y38" s="1573"/>
      <c r="Z38" s="1573"/>
      <c r="AA38" s="1573"/>
      <c r="AB38" s="1573"/>
      <c r="AC38" s="1573"/>
      <c r="AD38" s="1573"/>
      <c r="AE38" s="1573"/>
      <c r="AF38" s="1573"/>
      <c r="AG38" s="1574"/>
      <c r="AI38" s="265"/>
      <c r="AJ38" s="252"/>
      <c r="AK38" s="252"/>
      <c r="AL38" s="252"/>
      <c r="AM38" s="252"/>
      <c r="AN38" s="272"/>
      <c r="AP38" s="265"/>
      <c r="AQ38" s="277"/>
      <c r="AR38" s="277"/>
      <c r="AS38" s="277"/>
      <c r="AT38" s="277"/>
      <c r="AU38" s="272"/>
      <c r="AW38" s="265"/>
      <c r="AX38" s="252"/>
      <c r="AY38" s="252"/>
      <c r="AZ38" s="252"/>
      <c r="BA38" s="252"/>
      <c r="BB38" s="252"/>
      <c r="BC38" s="266"/>
      <c r="BE38" s="964">
        <f ca="1">'Back Calculations'!F66</f>
        <v>0.49852253403524249</v>
      </c>
      <c r="BF38" s="1336">
        <f t="shared" ca="1" si="3"/>
        <v>478.58163267383281</v>
      </c>
      <c r="BG38" s="28"/>
      <c r="BH38" s="909"/>
    </row>
    <row r="39" spans="2:60" x14ac:dyDescent="0.35">
      <c r="B39" s="949" t="s">
        <v>1389</v>
      </c>
      <c r="C39" s="948" t="s">
        <v>262</v>
      </c>
      <c r="D39" s="919" t="s">
        <v>1398</v>
      </c>
      <c r="E39" s="917" t="s">
        <v>1294</v>
      </c>
      <c r="F39" s="1091" t="s">
        <v>590</v>
      </c>
      <c r="G39" s="918" t="s">
        <v>866</v>
      </c>
      <c r="H39" s="971">
        <v>260</v>
      </c>
      <c r="J39" s="1572"/>
      <c r="K39" s="1573"/>
      <c r="L39" s="1573"/>
      <c r="M39" s="1573"/>
      <c r="N39" s="1573"/>
      <c r="O39" s="1573"/>
      <c r="P39" s="1573"/>
      <c r="Q39" s="1573"/>
      <c r="R39" s="1573"/>
      <c r="S39" s="1573"/>
      <c r="T39" s="1573"/>
      <c r="U39" s="1573"/>
      <c r="V39" s="1573"/>
      <c r="W39" s="1573"/>
      <c r="X39" s="1573"/>
      <c r="Y39" s="1573"/>
      <c r="Z39" s="1573"/>
      <c r="AA39" s="1573"/>
      <c r="AB39" s="1573"/>
      <c r="AC39" s="1573"/>
      <c r="AD39" s="1573"/>
      <c r="AE39" s="1573"/>
      <c r="AF39" s="1573"/>
      <c r="AG39" s="1574"/>
      <c r="AI39" s="265"/>
      <c r="AJ39" s="252"/>
      <c r="AK39" s="252"/>
      <c r="AL39" s="252"/>
      <c r="AM39" s="252"/>
      <c r="AN39" s="272"/>
      <c r="AP39" s="265"/>
      <c r="AQ39" s="277"/>
      <c r="AR39" s="277"/>
      <c r="AS39" s="277"/>
      <c r="AT39" s="277"/>
      <c r="AU39" s="272"/>
      <c r="AW39" s="265"/>
      <c r="AX39" s="252"/>
      <c r="AY39" s="252"/>
      <c r="AZ39" s="252"/>
      <c r="BA39" s="252"/>
      <c r="BB39" s="252"/>
      <c r="BC39" s="266"/>
      <c r="BE39" s="964">
        <f ca="1">'Back Calculations'!F69</f>
        <v>1.2463063350881063</v>
      </c>
      <c r="BF39" s="965">
        <f t="shared" ca="1" si="3"/>
        <v>324.03964712290764</v>
      </c>
      <c r="BG39" s="28"/>
      <c r="BH39" s="909"/>
    </row>
    <row r="40" spans="2:60" s="129" customFormat="1" x14ac:dyDescent="0.35">
      <c r="B40" s="949" t="s">
        <v>1389</v>
      </c>
      <c r="C40" s="948" t="s">
        <v>262</v>
      </c>
      <c r="D40" s="919" t="s">
        <v>1090</v>
      </c>
      <c r="E40" s="917" t="s">
        <v>1295</v>
      </c>
      <c r="F40" s="1091" t="s">
        <v>590</v>
      </c>
      <c r="G40" s="918" t="s">
        <v>866</v>
      </c>
      <c r="H40" s="971">
        <v>15</v>
      </c>
      <c r="J40" s="1572"/>
      <c r="K40" s="1573"/>
      <c r="L40" s="1573"/>
      <c r="M40" s="1573"/>
      <c r="N40" s="1573"/>
      <c r="O40" s="1573"/>
      <c r="P40" s="1573"/>
      <c r="Q40" s="1573"/>
      <c r="R40" s="1573"/>
      <c r="S40" s="1573"/>
      <c r="T40" s="1573"/>
      <c r="U40" s="1573"/>
      <c r="V40" s="1573"/>
      <c r="W40" s="1573"/>
      <c r="X40" s="1573"/>
      <c r="Y40" s="1573"/>
      <c r="Z40" s="1573"/>
      <c r="AA40" s="1573"/>
      <c r="AB40" s="1573"/>
      <c r="AC40" s="1573"/>
      <c r="AD40" s="1573"/>
      <c r="AE40" s="1573"/>
      <c r="AF40" s="1573"/>
      <c r="AG40" s="1574"/>
      <c r="AI40" s="265"/>
      <c r="AJ40" s="277"/>
      <c r="AK40" s="277"/>
      <c r="AL40" s="277"/>
      <c r="AM40" s="277"/>
      <c r="AN40" s="272"/>
      <c r="AP40" s="265"/>
      <c r="AQ40" s="277"/>
      <c r="AR40" s="277"/>
      <c r="AS40" s="277"/>
      <c r="AT40" s="277"/>
      <c r="AU40" s="272"/>
      <c r="AW40" s="265"/>
      <c r="AX40" s="277"/>
      <c r="AY40" s="277"/>
      <c r="AZ40" s="277"/>
      <c r="BA40" s="277"/>
      <c r="BB40" s="277"/>
      <c r="BC40" s="266"/>
      <c r="BE40" s="964">
        <f ca="1">'Diagnostics Module'!J5</f>
        <v>2476.5366443113708</v>
      </c>
      <c r="BF40" s="965">
        <f t="shared" ca="1" si="3"/>
        <v>37148.049664670558</v>
      </c>
      <c r="BG40" s="28"/>
      <c r="BH40" s="909"/>
    </row>
    <row r="41" spans="2:60" s="129" customFormat="1" x14ac:dyDescent="0.35">
      <c r="B41" s="949" t="s">
        <v>1389</v>
      </c>
      <c r="C41" s="948" t="s">
        <v>262</v>
      </c>
      <c r="D41" s="919" t="s">
        <v>1397</v>
      </c>
      <c r="E41" s="917" t="s">
        <v>1295</v>
      </c>
      <c r="F41" s="1091" t="s">
        <v>590</v>
      </c>
      <c r="G41" s="918" t="s">
        <v>866</v>
      </c>
      <c r="H41" s="971">
        <v>20</v>
      </c>
      <c r="J41" s="1572"/>
      <c r="K41" s="1573"/>
      <c r="L41" s="1573"/>
      <c r="M41" s="1573"/>
      <c r="N41" s="1573"/>
      <c r="O41" s="1573"/>
      <c r="P41" s="1573"/>
      <c r="Q41" s="1573"/>
      <c r="R41" s="1573"/>
      <c r="S41" s="1573"/>
      <c r="T41" s="1573"/>
      <c r="U41" s="1573"/>
      <c r="V41" s="1573"/>
      <c r="W41" s="1573"/>
      <c r="X41" s="1573"/>
      <c r="Y41" s="1573"/>
      <c r="Z41" s="1573"/>
      <c r="AA41" s="1573"/>
      <c r="AB41" s="1573"/>
      <c r="AC41" s="1573"/>
      <c r="AD41" s="1573"/>
      <c r="AE41" s="1573"/>
      <c r="AF41" s="1573"/>
      <c r="AG41" s="1574"/>
      <c r="AI41" s="265"/>
      <c r="AJ41" s="277"/>
      <c r="AK41" s="277"/>
      <c r="AL41" s="277"/>
      <c r="AM41" s="277"/>
      <c r="AN41" s="272"/>
      <c r="AP41" s="265"/>
      <c r="AQ41" s="277"/>
      <c r="AR41" s="277"/>
      <c r="AS41" s="277"/>
      <c r="AT41" s="277"/>
      <c r="AU41" s="272"/>
      <c r="AW41" s="265"/>
      <c r="AX41" s="277"/>
      <c r="AY41" s="277"/>
      <c r="AZ41" s="277"/>
      <c r="BA41" s="277"/>
      <c r="BB41" s="277"/>
      <c r="BC41" s="266"/>
      <c r="BE41" s="964">
        <f ca="1">'Diagnostics Module'!J6</f>
        <v>298.88991051826559</v>
      </c>
      <c r="BF41" s="965">
        <f t="shared" ca="1" si="3"/>
        <v>5977.7982103653121</v>
      </c>
      <c r="BG41" s="28"/>
      <c r="BH41" s="909"/>
    </row>
    <row r="42" spans="2:60" s="129" customFormat="1" x14ac:dyDescent="0.35">
      <c r="B42" s="949" t="s">
        <v>1389</v>
      </c>
      <c r="C42" s="948" t="s">
        <v>262</v>
      </c>
      <c r="D42" s="919" t="str">
        <f>IF(ISBLANK(Inputs!B144),"N/A - no additional platform entered","Test kits - "&amp;Inputs!B144)</f>
        <v>N/A - no additional platform entered</v>
      </c>
      <c r="E42" s="917" t="s">
        <v>289</v>
      </c>
      <c r="F42" s="1091" t="s">
        <v>589</v>
      </c>
      <c r="G42" s="918" t="s">
        <v>866</v>
      </c>
      <c r="H42" s="971"/>
      <c r="J42" s="1572"/>
      <c r="K42" s="1573"/>
      <c r="L42" s="1573"/>
      <c r="M42" s="1573"/>
      <c r="N42" s="1573"/>
      <c r="O42" s="1573"/>
      <c r="P42" s="1573"/>
      <c r="Q42" s="1573"/>
      <c r="R42" s="1573"/>
      <c r="S42" s="1573"/>
      <c r="T42" s="1573"/>
      <c r="U42" s="1573"/>
      <c r="V42" s="1573"/>
      <c r="W42" s="1573"/>
      <c r="X42" s="1573"/>
      <c r="Y42" s="1573"/>
      <c r="Z42" s="1573"/>
      <c r="AA42" s="1573"/>
      <c r="AB42" s="1573"/>
      <c r="AC42" s="1573"/>
      <c r="AD42" s="1573"/>
      <c r="AE42" s="1573"/>
      <c r="AF42" s="1573"/>
      <c r="AG42" s="1574"/>
      <c r="AI42" s="265"/>
      <c r="AJ42" s="277"/>
      <c r="AK42" s="277"/>
      <c r="AL42" s="277"/>
      <c r="AM42" s="277"/>
      <c r="AN42" s="272"/>
      <c r="AP42" s="265"/>
      <c r="AQ42" s="277"/>
      <c r="AR42" s="277"/>
      <c r="AS42" s="277"/>
      <c r="AT42" s="277"/>
      <c r="AU42" s="272"/>
      <c r="AW42" s="265"/>
      <c r="AX42" s="277"/>
      <c r="AY42" s="277"/>
      <c r="AZ42" s="277"/>
      <c r="BA42" s="277"/>
      <c r="BB42" s="277"/>
      <c r="BC42" s="266"/>
      <c r="BE42" s="964">
        <f ca="1">'Diagnostics Module'!J8</f>
        <v>0</v>
      </c>
      <c r="BF42" s="965">
        <f t="shared" ca="1" si="3"/>
        <v>0</v>
      </c>
      <c r="BG42" s="28"/>
      <c r="BH42" s="909"/>
    </row>
    <row r="43" spans="2:60" s="909" customFormat="1" x14ac:dyDescent="0.35">
      <c r="B43" s="949" t="s">
        <v>1389</v>
      </c>
      <c r="C43" s="948" t="s">
        <v>262</v>
      </c>
      <c r="D43" s="919" t="s">
        <v>1552</v>
      </c>
      <c r="E43" s="917" t="s">
        <v>289</v>
      </c>
      <c r="F43" s="1091" t="s">
        <v>589</v>
      </c>
      <c r="G43" s="918" t="s">
        <v>866</v>
      </c>
      <c r="H43" s="971">
        <v>25000</v>
      </c>
      <c r="J43" s="1572"/>
      <c r="K43" s="1573"/>
      <c r="L43" s="1573"/>
      <c r="M43" s="1573"/>
      <c r="N43" s="1573"/>
      <c r="O43" s="1573"/>
      <c r="P43" s="1573"/>
      <c r="Q43" s="1573"/>
      <c r="R43" s="1573"/>
      <c r="S43" s="1573"/>
      <c r="T43" s="1573"/>
      <c r="U43" s="1573"/>
      <c r="V43" s="1573"/>
      <c r="W43" s="1573"/>
      <c r="X43" s="1573"/>
      <c r="Y43" s="1573"/>
      <c r="Z43" s="1573"/>
      <c r="AA43" s="1573"/>
      <c r="AB43" s="1573"/>
      <c r="AC43" s="1573"/>
      <c r="AD43" s="1573"/>
      <c r="AE43" s="1573"/>
      <c r="AF43" s="1573"/>
      <c r="AG43" s="1574"/>
      <c r="AI43" s="916"/>
      <c r="AJ43" s="916"/>
      <c r="AK43" s="916"/>
      <c r="AL43" s="916"/>
      <c r="AM43" s="916"/>
      <c r="AN43" s="906"/>
      <c r="AP43" s="916"/>
      <c r="AQ43" s="916"/>
      <c r="AR43" s="916"/>
      <c r="AS43" s="916"/>
      <c r="AT43" s="916"/>
      <c r="AU43" s="906"/>
      <c r="AW43" s="916"/>
      <c r="AX43" s="916"/>
      <c r="AY43" s="916"/>
      <c r="AZ43" s="916"/>
      <c r="BA43" s="916"/>
      <c r="BB43" s="916"/>
      <c r="BC43" s="916"/>
      <c r="BE43" s="964">
        <f>Inputs!C157</f>
        <v>0</v>
      </c>
      <c r="BF43" s="965">
        <f t="shared" si="3"/>
        <v>0</v>
      </c>
      <c r="BG43" s="28"/>
    </row>
    <row r="44" spans="2:60" s="909" customFormat="1" ht="30" customHeight="1" x14ac:dyDescent="0.35">
      <c r="B44" s="949" t="s">
        <v>1389</v>
      </c>
      <c r="C44" s="948" t="s">
        <v>262</v>
      </c>
      <c r="D44" s="919" t="s">
        <v>1553</v>
      </c>
      <c r="E44" s="917" t="s">
        <v>289</v>
      </c>
      <c r="F44" s="1091" t="s">
        <v>589</v>
      </c>
      <c r="G44" s="918" t="s">
        <v>866</v>
      </c>
      <c r="H44" s="971">
        <v>12500</v>
      </c>
      <c r="J44" s="1572"/>
      <c r="K44" s="1573"/>
      <c r="L44" s="1573"/>
      <c r="M44" s="1573"/>
      <c r="N44" s="1573"/>
      <c r="O44" s="1573"/>
      <c r="P44" s="1573"/>
      <c r="Q44" s="1573"/>
      <c r="R44" s="1573"/>
      <c r="S44" s="1573"/>
      <c r="T44" s="1573"/>
      <c r="U44" s="1573"/>
      <c r="V44" s="1573"/>
      <c r="W44" s="1573"/>
      <c r="X44" s="1573"/>
      <c r="Y44" s="1573"/>
      <c r="Z44" s="1573"/>
      <c r="AA44" s="1573"/>
      <c r="AB44" s="1573"/>
      <c r="AC44" s="1573"/>
      <c r="AD44" s="1573"/>
      <c r="AE44" s="1573"/>
      <c r="AF44" s="1573"/>
      <c r="AG44" s="1574"/>
      <c r="AI44" s="916"/>
      <c r="AJ44" s="916"/>
      <c r="AK44" s="916"/>
      <c r="AL44" s="916"/>
      <c r="AM44" s="916"/>
      <c r="AN44" s="906"/>
      <c r="AP44" s="916"/>
      <c r="AQ44" s="916"/>
      <c r="AR44" s="916"/>
      <c r="AS44" s="916"/>
      <c r="AT44" s="916"/>
      <c r="AU44" s="906"/>
      <c r="AW44" s="916"/>
      <c r="AX44" s="916"/>
      <c r="AY44" s="916"/>
      <c r="AZ44" s="916"/>
      <c r="BA44" s="916"/>
      <c r="BB44" s="916"/>
      <c r="BC44" s="916"/>
      <c r="BE44" s="964">
        <f>Inputs!C154</f>
        <v>0</v>
      </c>
      <c r="BF44" s="965">
        <f t="shared" si="3"/>
        <v>0</v>
      </c>
      <c r="BG44" s="28"/>
    </row>
    <row r="45" spans="2:60" s="909" customFormat="1" ht="31.75" customHeight="1" thickBot="1" x14ac:dyDescent="0.4">
      <c r="B45" s="954" t="s">
        <v>1389</v>
      </c>
      <c r="C45" s="955" t="s">
        <v>262</v>
      </c>
      <c r="D45" s="956" t="s">
        <v>1554</v>
      </c>
      <c r="E45" s="957" t="s">
        <v>289</v>
      </c>
      <c r="F45" s="1092" t="s">
        <v>589</v>
      </c>
      <c r="G45" s="958" t="s">
        <v>866</v>
      </c>
      <c r="H45" s="972">
        <v>18000</v>
      </c>
      <c r="J45" s="1569"/>
      <c r="K45" s="1570"/>
      <c r="L45" s="1570"/>
      <c r="M45" s="1570"/>
      <c r="N45" s="1570"/>
      <c r="O45" s="1570"/>
      <c r="P45" s="1570"/>
      <c r="Q45" s="1570"/>
      <c r="R45" s="1570"/>
      <c r="S45" s="1570"/>
      <c r="T45" s="1570"/>
      <c r="U45" s="1570"/>
      <c r="V45" s="1570"/>
      <c r="W45" s="1570"/>
      <c r="X45" s="1570"/>
      <c r="Y45" s="1570"/>
      <c r="Z45" s="1570"/>
      <c r="AA45" s="1570"/>
      <c r="AB45" s="1570"/>
      <c r="AC45" s="1570"/>
      <c r="AD45" s="1570"/>
      <c r="AE45" s="1570"/>
      <c r="AF45" s="1570"/>
      <c r="AG45" s="1571"/>
      <c r="AI45" s="916"/>
      <c r="AJ45" s="916"/>
      <c r="AK45" s="916"/>
      <c r="AL45" s="916"/>
      <c r="AM45" s="916"/>
      <c r="AN45" s="906"/>
      <c r="AP45" s="916"/>
      <c r="AQ45" s="916"/>
      <c r="AR45" s="916"/>
      <c r="AS45" s="916"/>
      <c r="AT45" s="916"/>
      <c r="AU45" s="906"/>
      <c r="AW45" s="916"/>
      <c r="AX45" s="916"/>
      <c r="AY45" s="916"/>
      <c r="AZ45" s="916"/>
      <c r="BA45" s="916"/>
      <c r="BB45" s="916"/>
      <c r="BC45" s="916"/>
      <c r="BE45" s="966">
        <f>Inputs!C155</f>
        <v>0</v>
      </c>
      <c r="BF45" s="967">
        <f t="shared" si="3"/>
        <v>0</v>
      </c>
      <c r="BG45" s="28"/>
    </row>
    <row r="46" spans="2:60" s="129" customFormat="1" ht="15" thickBot="1" x14ac:dyDescent="0.4">
      <c r="B46" s="81"/>
      <c r="C46" s="81"/>
      <c r="N46" s="722"/>
    </row>
    <row r="47" spans="2:60" s="67" customFormat="1" ht="24.65" customHeight="1" x14ac:dyDescent="0.35">
      <c r="B47" s="621" t="s">
        <v>302</v>
      </c>
      <c r="C47" s="622" t="s">
        <v>642</v>
      </c>
      <c r="D47" s="623" t="s">
        <v>647</v>
      </c>
      <c r="E47" s="614" t="s">
        <v>289</v>
      </c>
      <c r="F47" s="624"/>
      <c r="G47" s="770" t="s">
        <v>869</v>
      </c>
      <c r="H47" s="817">
        <v>8000</v>
      </c>
      <c r="J47" s="1566" t="s">
        <v>1309</v>
      </c>
      <c r="K47" s="1567"/>
      <c r="L47" s="1567"/>
      <c r="M47" s="1567"/>
      <c r="N47" s="1567"/>
      <c r="O47" s="1567"/>
      <c r="P47" s="1567"/>
      <c r="Q47" s="1567"/>
      <c r="R47" s="1567"/>
      <c r="S47" s="1567"/>
      <c r="T47" s="1567"/>
      <c r="U47" s="1568"/>
      <c r="AG47"/>
      <c r="BE47" s="968">
        <f ca="1">(Total_admitted_capped_severe_patients+Total_admitted_capped_critical_patients)/40</f>
        <v>10.061464997517479</v>
      </c>
      <c r="BF47" s="1337">
        <f ca="1">BE47*H47</f>
        <v>80491.719980139838</v>
      </c>
      <c r="BG47" s="28"/>
      <c r="BH47" s="909"/>
    </row>
    <row r="48" spans="2:60" s="67" customFormat="1" ht="29.5" thickBot="1" x14ac:dyDescent="0.4">
      <c r="B48" s="625" t="s">
        <v>302</v>
      </c>
      <c r="C48" s="626" t="s">
        <v>642</v>
      </c>
      <c r="D48" s="627" t="s">
        <v>648</v>
      </c>
      <c r="E48" s="618" t="s">
        <v>289</v>
      </c>
      <c r="F48" s="628"/>
      <c r="G48" s="771" t="s">
        <v>870</v>
      </c>
      <c r="H48" s="818">
        <v>1800</v>
      </c>
      <c r="J48" s="1569"/>
      <c r="K48" s="1570"/>
      <c r="L48" s="1570"/>
      <c r="M48" s="1570"/>
      <c r="N48" s="1570"/>
      <c r="O48" s="1570"/>
      <c r="P48" s="1570"/>
      <c r="Q48" s="1570"/>
      <c r="R48" s="1570"/>
      <c r="S48" s="1570"/>
      <c r="T48" s="1570"/>
      <c r="U48" s="1571"/>
      <c r="AC48" s="585"/>
      <c r="AG48"/>
      <c r="BE48" s="966">
        <f ca="1">(Total_admitted_capped_critical_patients+Total_admitted_capped_severe_patients)/40</f>
        <v>10.061464997517479</v>
      </c>
      <c r="BF48" s="1338">
        <f ca="1">BE48*H48</f>
        <v>18110.636995531462</v>
      </c>
      <c r="BG48" s="28"/>
      <c r="BH48" s="909"/>
    </row>
    <row r="49" spans="2:60" x14ac:dyDescent="0.35">
      <c r="E49"/>
      <c r="H49"/>
      <c r="R49"/>
      <c r="S49"/>
      <c r="T49"/>
      <c r="AE49"/>
      <c r="AF49"/>
      <c r="AG49"/>
    </row>
    <row r="50" spans="2:60" s="909" customFormat="1" ht="15" thickBot="1" x14ac:dyDescent="0.4">
      <c r="B50" s="1033" t="s">
        <v>1705</v>
      </c>
      <c r="C50" s="81"/>
    </row>
    <row r="51" spans="2:60" s="129" customFormat="1" ht="29" x14ac:dyDescent="0.35">
      <c r="B51" s="734" t="s">
        <v>1409</v>
      </c>
      <c r="C51" s="613" t="s">
        <v>1391</v>
      </c>
      <c r="D51" s="614" t="s">
        <v>951</v>
      </c>
      <c r="E51" s="614" t="s">
        <v>289</v>
      </c>
      <c r="F51" s="1093" t="s">
        <v>589</v>
      </c>
      <c r="G51" s="615" t="s">
        <v>866</v>
      </c>
      <c r="H51" s="816">
        <v>25</v>
      </c>
      <c r="N51" s="722"/>
      <c r="O51" s="840"/>
      <c r="P51" s="841"/>
      <c r="Q51" s="841"/>
      <c r="R51" s="841"/>
      <c r="S51" s="841"/>
      <c r="T51" s="841">
        <f>2/NumberOfBeds_per_centre</f>
        <v>0.05</v>
      </c>
      <c r="U51" s="793">
        <f t="shared" ref="U51:U86" ca="1" si="4">Max_severe_capped_beds*R51+Max_total_capped_beds*T51+Max_critical_capped_beds*S51+Q51*(Total_admitted_capped_severe_patients+Total_admitted_capped_critical_patients)+O51*Total_admitted_capped_severe_patients+P51*Total_admitted_capped_critical_patients</f>
        <v>15.312422501476078</v>
      </c>
      <c r="W51" s="28"/>
      <c r="AI51" s="265"/>
      <c r="AJ51" s="277"/>
      <c r="AK51" s="277"/>
      <c r="AL51" s="277"/>
      <c r="AM51" s="277"/>
      <c r="AN51" s="273"/>
      <c r="AP51" s="265"/>
      <c r="AQ51" s="277"/>
      <c r="AR51" s="277"/>
      <c r="AS51" s="277"/>
      <c r="AT51" s="277"/>
      <c r="AU51" s="273"/>
      <c r="AW51" s="265"/>
      <c r="AX51" s="277"/>
      <c r="AY51" s="277"/>
      <c r="AZ51" s="277"/>
      <c r="BA51" s="277"/>
      <c r="BB51" s="277"/>
      <c r="BC51" s="266"/>
      <c r="BE51" s="968">
        <f t="shared" ref="BE51:BE86" ca="1" si="5">U51</f>
        <v>15.312422501476078</v>
      </c>
      <c r="BF51" s="790">
        <f t="shared" ref="BF51:BF86" ca="1" si="6">IF(H51="*",0,BE51*H51)</f>
        <v>382.81056253690195</v>
      </c>
      <c r="BG51" s="28"/>
      <c r="BH51" s="909"/>
    </row>
    <row r="52" spans="2:60" ht="29" x14ac:dyDescent="0.35">
      <c r="B52" s="735" t="s">
        <v>1409</v>
      </c>
      <c r="C52" s="524" t="s">
        <v>1391</v>
      </c>
      <c r="D52" s="222" t="s">
        <v>1267</v>
      </c>
      <c r="E52" s="219" t="s">
        <v>289</v>
      </c>
      <c r="F52" s="1094" t="s">
        <v>589</v>
      </c>
      <c r="G52" s="220" t="s">
        <v>866</v>
      </c>
      <c r="H52" s="819" t="s">
        <v>1439</v>
      </c>
      <c r="I52" s="129"/>
      <c r="O52" s="842"/>
      <c r="P52" s="843"/>
      <c r="Q52" s="843"/>
      <c r="R52" s="843"/>
      <c r="S52" s="843"/>
      <c r="T52" s="843">
        <v>1</v>
      </c>
      <c r="U52" s="272">
        <f t="shared" ca="1" si="4"/>
        <v>306.24845002952156</v>
      </c>
      <c r="W52" s="28"/>
      <c r="X52" s="909"/>
      <c r="BE52" s="964">
        <f t="shared" ca="1" si="5"/>
        <v>306.24845002952156</v>
      </c>
      <c r="BF52" s="792">
        <f t="shared" si="6"/>
        <v>0</v>
      </c>
      <c r="BG52" s="28"/>
      <c r="BH52" s="909"/>
    </row>
    <row r="53" spans="2:60" ht="87" x14ac:dyDescent="0.35">
      <c r="B53" s="735" t="s">
        <v>1409</v>
      </c>
      <c r="C53" s="524" t="s">
        <v>1391</v>
      </c>
      <c r="D53" s="222" t="s">
        <v>1477</v>
      </c>
      <c r="E53" s="219" t="s">
        <v>289</v>
      </c>
      <c r="F53" s="1094" t="s">
        <v>589</v>
      </c>
      <c r="G53" s="522" t="s">
        <v>1488</v>
      </c>
      <c r="H53" s="814">
        <v>7901</v>
      </c>
      <c r="I53" s="129"/>
      <c r="O53" s="842"/>
      <c r="P53" s="843"/>
      <c r="Q53" s="843"/>
      <c r="R53" s="843"/>
      <c r="S53" s="843">
        <v>1</v>
      </c>
      <c r="T53" s="843"/>
      <c r="U53" s="272">
        <f t="shared" ca="1" si="4"/>
        <v>92.146237628515948</v>
      </c>
      <c r="W53" s="28"/>
      <c r="X53" s="909"/>
      <c r="BE53" s="964">
        <f t="shared" ca="1" si="5"/>
        <v>92.146237628515948</v>
      </c>
      <c r="BF53" s="792">
        <f t="shared" ca="1" si="6"/>
        <v>728047.42350290448</v>
      </c>
      <c r="BG53" s="28"/>
      <c r="BH53" s="909"/>
    </row>
    <row r="54" spans="2:60" s="129" customFormat="1" ht="54" customHeight="1" x14ac:dyDescent="0.35">
      <c r="B54" s="735" t="s">
        <v>1409</v>
      </c>
      <c r="C54" s="524" t="s">
        <v>1391</v>
      </c>
      <c r="D54" s="222" t="s">
        <v>1478</v>
      </c>
      <c r="E54" s="219" t="s">
        <v>289</v>
      </c>
      <c r="F54" s="1094" t="s">
        <v>589</v>
      </c>
      <c r="G54" s="918" t="s">
        <v>866</v>
      </c>
      <c r="H54" s="814">
        <v>1300</v>
      </c>
      <c r="N54" s="722"/>
      <c r="O54" s="842"/>
      <c r="P54" s="843"/>
      <c r="Q54" s="843"/>
      <c r="R54" s="843">
        <f>1/4</f>
        <v>0.25</v>
      </c>
      <c r="S54" s="843"/>
      <c r="T54" s="843"/>
      <c r="U54" s="272">
        <f t="shared" ca="1" si="4"/>
        <v>53.5255531002514</v>
      </c>
      <c r="W54" s="28"/>
      <c r="X54" s="909"/>
      <c r="BE54" s="964">
        <f t="shared" ca="1" si="5"/>
        <v>53.5255531002514</v>
      </c>
      <c r="BF54" s="792">
        <f t="shared" ca="1" si="6"/>
        <v>69583.219030326814</v>
      </c>
      <c r="BG54" s="28"/>
      <c r="BH54" s="909"/>
    </row>
    <row r="55" spans="2:60" ht="64.400000000000006" customHeight="1" x14ac:dyDescent="0.35">
      <c r="B55" s="735" t="s">
        <v>1409</v>
      </c>
      <c r="C55" s="524" t="s">
        <v>1400</v>
      </c>
      <c r="D55" s="222" t="str">
        <f>"Oxygen source capable of delivering an average flow rate of "&amp;Inputs!I184&amp;" L/min (e.g., concentrator, cylinder, pipe supply)"</f>
        <v>Oxygen source capable of delivering an average flow rate of 10 L/min (e.g., concentrator, cylinder, pipe supply)</v>
      </c>
      <c r="E55" s="219" t="s">
        <v>289</v>
      </c>
      <c r="F55" s="1094" t="s">
        <v>589</v>
      </c>
      <c r="G55" s="522" t="s">
        <v>1706</v>
      </c>
      <c r="H55" s="819" t="s">
        <v>1439</v>
      </c>
      <c r="I55" s="129"/>
      <c r="O55" s="842"/>
      <c r="P55" s="843"/>
      <c r="Q55" s="843"/>
      <c r="R55" s="843">
        <v>1</v>
      </c>
      <c r="S55" s="843"/>
      <c r="T55" s="843"/>
      <c r="U55" s="272">
        <f t="shared" ca="1" si="4"/>
        <v>214.1022124010056</v>
      </c>
      <c r="W55" s="28"/>
      <c r="X55" s="909"/>
      <c r="BE55" s="964">
        <f t="shared" ca="1" si="5"/>
        <v>214.1022124010056</v>
      </c>
      <c r="BF55" s="792">
        <f t="shared" si="6"/>
        <v>0</v>
      </c>
      <c r="BG55" s="28"/>
      <c r="BH55" s="909"/>
    </row>
    <row r="56" spans="2:60" s="909" customFormat="1" ht="60.65" customHeight="1" x14ac:dyDescent="0.35">
      <c r="B56" s="735" t="s">
        <v>1409</v>
      </c>
      <c r="C56" s="948" t="s">
        <v>1400</v>
      </c>
      <c r="D56" s="919" t="str">
        <f>"Oxygen source capable of delivering an average flow rate of "&amp;Inputs!I185&amp;" L/min (e.g., cylinder or pipe supply) for invasively ventilated patients"</f>
        <v>Oxygen source capable of delivering an average flow rate of 30 L/min (e.g., cylinder or pipe supply) for invasively ventilated patients</v>
      </c>
      <c r="E56" s="917" t="s">
        <v>289</v>
      </c>
      <c r="F56" s="1094" t="s">
        <v>589</v>
      </c>
      <c r="G56" s="522" t="s">
        <v>1706</v>
      </c>
      <c r="H56" s="819" t="s">
        <v>1439</v>
      </c>
      <c r="O56" s="842"/>
      <c r="P56" s="843"/>
      <c r="Q56" s="843"/>
      <c r="R56" s="843"/>
      <c r="S56" s="843">
        <f>Inputs!I180</f>
        <v>0.66666666666666663</v>
      </c>
      <c r="T56" s="843"/>
      <c r="U56" s="272">
        <f t="shared" ca="1" si="4"/>
        <v>61.430825085677299</v>
      </c>
      <c r="W56" s="28"/>
      <c r="BE56" s="964">
        <f t="shared" ca="1" si="5"/>
        <v>61.430825085677299</v>
      </c>
      <c r="BF56" s="792">
        <f t="shared" si="6"/>
        <v>0</v>
      </c>
      <c r="BG56" s="28"/>
    </row>
    <row r="57" spans="2:60" s="909" customFormat="1" ht="63" customHeight="1" x14ac:dyDescent="0.35">
      <c r="B57" s="735" t="s">
        <v>1409</v>
      </c>
      <c r="C57" s="948" t="s">
        <v>1400</v>
      </c>
      <c r="D57" s="919" t="str">
        <f>"Oxygen source capable of delivering an average flow rate of "&amp;Inputs!I186&amp;" L/min (e.g., cylinder or pipe supply) for non-invasively ventilated patients"</f>
        <v>Oxygen source capable of delivering an average flow rate of 30 L/min (e.g., cylinder or pipe supply) for non-invasively ventilated patients</v>
      </c>
      <c r="E57" s="917" t="s">
        <v>289</v>
      </c>
      <c r="F57" s="1094" t="s">
        <v>589</v>
      </c>
      <c r="G57" s="522" t="s">
        <v>1706</v>
      </c>
      <c r="H57" s="819" t="s">
        <v>1439</v>
      </c>
      <c r="O57" s="842"/>
      <c r="P57" s="843"/>
      <c r="Q57" s="843"/>
      <c r="R57" s="843"/>
      <c r="S57" s="843">
        <f>Inputs!I181</f>
        <v>0.33333333333333331</v>
      </c>
      <c r="T57" s="843"/>
      <c r="U57" s="272">
        <f t="shared" ca="1" si="4"/>
        <v>30.715412542838649</v>
      </c>
      <c r="W57" s="28"/>
      <c r="BE57" s="964">
        <f t="shared" ca="1" si="5"/>
        <v>30.715412542838649</v>
      </c>
      <c r="BF57" s="792">
        <f t="shared" si="6"/>
        <v>0</v>
      </c>
      <c r="BG57" s="28"/>
    </row>
    <row r="58" spans="2:60" ht="45" customHeight="1" x14ac:dyDescent="0.35">
      <c r="B58" s="735" t="s">
        <v>1409</v>
      </c>
      <c r="C58" s="526" t="s">
        <v>1401</v>
      </c>
      <c r="D58" s="1316" t="s">
        <v>1474</v>
      </c>
      <c r="E58" s="219" t="s">
        <v>289</v>
      </c>
      <c r="F58" s="1094" t="s">
        <v>589</v>
      </c>
      <c r="G58" s="522" t="s">
        <v>1413</v>
      </c>
      <c r="H58" s="814">
        <v>80</v>
      </c>
      <c r="O58" s="842"/>
      <c r="P58" s="843"/>
      <c r="Q58" s="843"/>
      <c r="R58" s="843"/>
      <c r="S58" s="843">
        <f>Inputs!$I$180</f>
        <v>0.66666666666666663</v>
      </c>
      <c r="T58" s="843"/>
      <c r="U58" s="272">
        <f t="shared" ca="1" si="4"/>
        <v>61.430825085677299</v>
      </c>
      <c r="W58" s="28"/>
      <c r="X58" s="909"/>
      <c r="BE58" s="964">
        <f t="shared" ca="1" si="5"/>
        <v>61.430825085677299</v>
      </c>
      <c r="BF58" s="792">
        <f t="shared" ca="1" si="6"/>
        <v>4914.4660068541834</v>
      </c>
      <c r="BG58" s="28"/>
      <c r="BH58" s="909"/>
    </row>
    <row r="59" spans="2:60" ht="29" collapsed="1" x14ac:dyDescent="0.35">
      <c r="B59" s="735" t="s">
        <v>1409</v>
      </c>
      <c r="C59" s="526" t="s">
        <v>1402</v>
      </c>
      <c r="D59" s="1316" t="s">
        <v>1475</v>
      </c>
      <c r="E59" s="219" t="s">
        <v>289</v>
      </c>
      <c r="F59" s="1094" t="s">
        <v>589</v>
      </c>
      <c r="G59" s="522" t="s">
        <v>777</v>
      </c>
      <c r="H59" s="814">
        <v>28384</v>
      </c>
      <c r="O59" s="842"/>
      <c r="P59" s="843"/>
      <c r="Q59" s="843"/>
      <c r="R59" s="843"/>
      <c r="S59" s="843">
        <f>Inputs!$I$180</f>
        <v>0.66666666666666663</v>
      </c>
      <c r="T59" s="843"/>
      <c r="U59" s="272">
        <f t="shared" ca="1" si="4"/>
        <v>61.430825085677299</v>
      </c>
      <c r="W59" s="28"/>
      <c r="X59" s="909"/>
      <c r="BE59" s="964">
        <f t="shared" ca="1" si="5"/>
        <v>61.430825085677299</v>
      </c>
      <c r="BF59" s="792">
        <f t="shared" ca="1" si="6"/>
        <v>1743652.5392318645</v>
      </c>
      <c r="BG59" s="28"/>
      <c r="BH59" s="909"/>
    </row>
    <row r="60" spans="2:60" ht="33" customHeight="1" collapsed="1" x14ac:dyDescent="0.35">
      <c r="B60" s="735" t="s">
        <v>1409</v>
      </c>
      <c r="C60" s="526" t="s">
        <v>1403</v>
      </c>
      <c r="D60" s="222" t="s">
        <v>1476</v>
      </c>
      <c r="E60" s="219" t="s">
        <v>289</v>
      </c>
      <c r="F60" s="1094" t="s">
        <v>589</v>
      </c>
      <c r="G60" s="522" t="s">
        <v>1479</v>
      </c>
      <c r="H60" s="814">
        <v>5606</v>
      </c>
      <c r="O60" s="842"/>
      <c r="P60" s="843"/>
      <c r="Q60" s="843"/>
      <c r="R60" s="843"/>
      <c r="S60" s="843">
        <f>1/6</f>
        <v>0.16666666666666666</v>
      </c>
      <c r="T60" s="843"/>
      <c r="U60" s="272">
        <f t="shared" ca="1" si="4"/>
        <v>15.357706271419325</v>
      </c>
      <c r="W60" s="28"/>
      <c r="X60" s="909"/>
      <c r="BE60" s="964">
        <f t="shared" ca="1" si="5"/>
        <v>15.357706271419325</v>
      </c>
      <c r="BF60" s="792">
        <f t="shared" ca="1" si="6"/>
        <v>86095.30135757674</v>
      </c>
      <c r="BG60" s="28"/>
      <c r="BH60" s="909"/>
    </row>
    <row r="61" spans="2:60" s="129" customFormat="1" ht="29" x14ac:dyDescent="0.35">
      <c r="B61" s="735" t="s">
        <v>1409</v>
      </c>
      <c r="C61" s="526" t="s">
        <v>1403</v>
      </c>
      <c r="D61" s="222" t="s">
        <v>1480</v>
      </c>
      <c r="E61" s="219" t="s">
        <v>289</v>
      </c>
      <c r="F61" s="1094" t="s">
        <v>589</v>
      </c>
      <c r="G61" s="522" t="s">
        <v>1479</v>
      </c>
      <c r="H61" s="814">
        <v>2000</v>
      </c>
      <c r="N61" s="722"/>
      <c r="O61" s="842"/>
      <c r="P61" s="843"/>
      <c r="Q61" s="843"/>
      <c r="R61" s="843"/>
      <c r="S61" s="843">
        <f>1/6</f>
        <v>0.16666666666666666</v>
      </c>
      <c r="T61" s="843"/>
      <c r="U61" s="272">
        <f t="shared" ca="1" si="4"/>
        <v>15.357706271419325</v>
      </c>
      <c r="W61" s="28"/>
      <c r="X61" s="909"/>
      <c r="BE61" s="964">
        <f t="shared" ca="1" si="5"/>
        <v>15.357706271419325</v>
      </c>
      <c r="BF61" s="792">
        <f t="shared" ca="1" si="6"/>
        <v>30715.412542838651</v>
      </c>
      <c r="BG61" s="28"/>
      <c r="BH61" s="909"/>
    </row>
    <row r="62" spans="2:60" ht="29" collapsed="1" x14ac:dyDescent="0.35">
      <c r="B62" s="735" t="s">
        <v>1409</v>
      </c>
      <c r="C62" s="524" t="s">
        <v>1404</v>
      </c>
      <c r="D62" s="222" t="s">
        <v>1246</v>
      </c>
      <c r="E62" s="219" t="s">
        <v>289</v>
      </c>
      <c r="F62" s="1094" t="s">
        <v>589</v>
      </c>
      <c r="G62" s="918" t="s">
        <v>866</v>
      </c>
      <c r="H62" s="814">
        <v>163.5</v>
      </c>
      <c r="O62" s="842"/>
      <c r="P62" s="843"/>
      <c r="Q62" s="843"/>
      <c r="R62" s="843">
        <v>1</v>
      </c>
      <c r="S62" s="843"/>
      <c r="T62" s="843"/>
      <c r="U62" s="272">
        <f t="shared" ca="1" si="4"/>
        <v>214.1022124010056</v>
      </c>
      <c r="W62" s="28"/>
      <c r="X62" s="909"/>
      <c r="BE62" s="964">
        <f t="shared" ca="1" si="5"/>
        <v>214.1022124010056</v>
      </c>
      <c r="BF62" s="792">
        <f t="shared" ca="1" si="6"/>
        <v>35005.711727564412</v>
      </c>
      <c r="BG62" s="28"/>
      <c r="BH62" s="909"/>
    </row>
    <row r="63" spans="2:60" ht="29" x14ac:dyDescent="0.35">
      <c r="B63" s="735" t="s">
        <v>1409</v>
      </c>
      <c r="C63" s="524" t="s">
        <v>1404</v>
      </c>
      <c r="D63" s="222" t="s">
        <v>1232</v>
      </c>
      <c r="E63" s="219" t="s">
        <v>289</v>
      </c>
      <c r="F63" s="1094" t="s">
        <v>589</v>
      </c>
      <c r="G63" s="522" t="s">
        <v>1263</v>
      </c>
      <c r="H63" s="814">
        <v>1000</v>
      </c>
      <c r="O63" s="842"/>
      <c r="P63" s="843"/>
      <c r="Q63" s="843"/>
      <c r="R63" s="843">
        <v>0.25</v>
      </c>
      <c r="S63" s="843"/>
      <c r="T63" s="843"/>
      <c r="U63" s="272">
        <f t="shared" ca="1" si="4"/>
        <v>53.5255531002514</v>
      </c>
      <c r="W63" s="28"/>
      <c r="X63" s="909"/>
      <c r="BE63" s="964">
        <f t="shared" ca="1" si="5"/>
        <v>53.5255531002514</v>
      </c>
      <c r="BF63" s="792">
        <f t="shared" ca="1" si="6"/>
        <v>53525.553100251404</v>
      </c>
      <c r="BG63" s="28"/>
      <c r="BH63" s="909"/>
    </row>
    <row r="64" spans="2:60" ht="29" x14ac:dyDescent="0.35">
      <c r="B64" s="735" t="s">
        <v>1409</v>
      </c>
      <c r="C64" s="524" t="s">
        <v>1405</v>
      </c>
      <c r="D64" s="222" t="s">
        <v>1231</v>
      </c>
      <c r="E64" s="219" t="s">
        <v>289</v>
      </c>
      <c r="F64" s="1094" t="s">
        <v>589</v>
      </c>
      <c r="G64" s="522" t="s">
        <v>1483</v>
      </c>
      <c r="H64" s="814">
        <v>480</v>
      </c>
      <c r="O64" s="842"/>
      <c r="P64" s="843"/>
      <c r="Q64" s="843"/>
      <c r="R64" s="843"/>
      <c r="S64" s="843"/>
      <c r="T64" s="843">
        <f>1/NumberOfBeds_per_centre</f>
        <v>2.5000000000000001E-2</v>
      </c>
      <c r="U64" s="272">
        <f t="shared" ca="1" si="4"/>
        <v>7.6562112507380391</v>
      </c>
      <c r="W64" s="28"/>
      <c r="X64" s="909"/>
      <c r="BE64" s="964">
        <f t="shared" ca="1" si="5"/>
        <v>7.6562112507380391</v>
      </c>
      <c r="BF64" s="792">
        <f t="shared" ca="1" si="6"/>
        <v>3674.9814003542588</v>
      </c>
      <c r="BG64" s="28"/>
      <c r="BH64" s="909"/>
    </row>
    <row r="65" spans="2:60" ht="66.650000000000006" customHeight="1" x14ac:dyDescent="0.35">
      <c r="B65" s="735" t="s">
        <v>1409</v>
      </c>
      <c r="C65" s="524" t="s">
        <v>1406</v>
      </c>
      <c r="D65" s="222" t="s">
        <v>796</v>
      </c>
      <c r="E65" s="219" t="s">
        <v>289</v>
      </c>
      <c r="F65" s="1094" t="s">
        <v>589</v>
      </c>
      <c r="G65" s="522" t="s">
        <v>1484</v>
      </c>
      <c r="H65" s="814">
        <v>8000</v>
      </c>
      <c r="O65" s="842"/>
      <c r="P65" s="843"/>
      <c r="Q65" s="843"/>
      <c r="R65" s="843"/>
      <c r="S65" s="843"/>
      <c r="T65" s="843">
        <f>1/NumberOfBeds_per_centre</f>
        <v>2.5000000000000001E-2</v>
      </c>
      <c r="U65" s="272">
        <f t="shared" ca="1" si="4"/>
        <v>7.6562112507380391</v>
      </c>
      <c r="W65" s="28"/>
      <c r="X65" s="909"/>
      <c r="BE65" s="964">
        <f t="shared" ca="1" si="5"/>
        <v>7.6562112507380391</v>
      </c>
      <c r="BF65" s="792">
        <f t="shared" ca="1" si="6"/>
        <v>61249.690005904311</v>
      </c>
      <c r="BG65" s="28"/>
      <c r="BH65" s="909"/>
    </row>
    <row r="66" spans="2:60" ht="62.5" customHeight="1" x14ac:dyDescent="0.35">
      <c r="B66" s="735" t="s">
        <v>1409</v>
      </c>
      <c r="C66" s="524" t="s">
        <v>1407</v>
      </c>
      <c r="D66" s="222" t="s">
        <v>1264</v>
      </c>
      <c r="E66" s="219" t="s">
        <v>289</v>
      </c>
      <c r="F66" s="1094" t="s">
        <v>589</v>
      </c>
      <c r="G66" s="522" t="s">
        <v>1485</v>
      </c>
      <c r="H66" s="814">
        <v>850</v>
      </c>
      <c r="O66" s="842"/>
      <c r="P66" s="843"/>
      <c r="Q66" s="843"/>
      <c r="R66" s="843"/>
      <c r="S66" s="843"/>
      <c r="T66" s="843">
        <f>1/NumberOfBeds_per_centre</f>
        <v>2.5000000000000001E-2</v>
      </c>
      <c r="U66" s="272">
        <f t="shared" ca="1" si="4"/>
        <v>7.6562112507380391</v>
      </c>
      <c r="W66" s="28"/>
      <c r="X66" s="909"/>
      <c r="BE66" s="964">
        <f t="shared" ca="1" si="5"/>
        <v>7.6562112507380391</v>
      </c>
      <c r="BF66" s="792">
        <f t="shared" ca="1" si="6"/>
        <v>6507.7795631273329</v>
      </c>
      <c r="BG66" s="28"/>
      <c r="BH66" s="909"/>
    </row>
    <row r="67" spans="2:60" s="129" customFormat="1" ht="62.5" customHeight="1" x14ac:dyDescent="0.35">
      <c r="B67" s="735" t="s">
        <v>1409</v>
      </c>
      <c r="C67" s="524" t="s">
        <v>1407</v>
      </c>
      <c r="D67" s="222" t="s">
        <v>1271</v>
      </c>
      <c r="E67" s="219" t="s">
        <v>289</v>
      </c>
      <c r="F67" s="1094" t="s">
        <v>589</v>
      </c>
      <c r="G67" s="522" t="s">
        <v>1486</v>
      </c>
      <c r="H67" s="814">
        <v>1450</v>
      </c>
      <c r="N67" s="722"/>
      <c r="O67" s="842"/>
      <c r="P67" s="843"/>
      <c r="Q67" s="843"/>
      <c r="R67" s="843"/>
      <c r="S67" s="843"/>
      <c r="T67" s="843">
        <f>1/NumberOfBeds_per_centre</f>
        <v>2.5000000000000001E-2</v>
      </c>
      <c r="U67" s="272">
        <f t="shared" ca="1" si="4"/>
        <v>7.6562112507380391</v>
      </c>
      <c r="W67" s="28"/>
      <c r="X67" s="909"/>
      <c r="BE67" s="964">
        <f t="shared" ca="1" si="5"/>
        <v>7.6562112507380391</v>
      </c>
      <c r="BF67" s="792">
        <f t="shared" ca="1" si="6"/>
        <v>11101.506313570157</v>
      </c>
      <c r="BG67" s="28"/>
      <c r="BH67" s="909"/>
    </row>
    <row r="68" spans="2:60" s="15" customFormat="1" ht="31.4" customHeight="1" collapsed="1" x14ac:dyDescent="0.35">
      <c r="B68" s="735" t="s">
        <v>1409</v>
      </c>
      <c r="C68" s="524" t="s">
        <v>1407</v>
      </c>
      <c r="D68" s="222" t="s">
        <v>988</v>
      </c>
      <c r="E68" s="219" t="s">
        <v>289</v>
      </c>
      <c r="F68" s="1094" t="s">
        <v>589</v>
      </c>
      <c r="G68" s="522" t="s">
        <v>1879</v>
      </c>
      <c r="H68" s="814">
        <v>1800</v>
      </c>
      <c r="O68" s="842"/>
      <c r="P68" s="843"/>
      <c r="Q68" s="843"/>
      <c r="R68" s="843">
        <f>1/4</f>
        <v>0.25</v>
      </c>
      <c r="S68" s="843">
        <v>1</v>
      </c>
      <c r="T68" s="843"/>
      <c r="U68" s="272">
        <f t="shared" ca="1" si="4"/>
        <v>145.67179072876735</v>
      </c>
      <c r="W68" s="1328"/>
      <c r="X68" s="909"/>
      <c r="BE68" s="964">
        <f t="shared" ca="1" si="5"/>
        <v>145.67179072876735</v>
      </c>
      <c r="BF68" s="792">
        <f t="shared" ca="1" si="6"/>
        <v>262209.22331178124</v>
      </c>
      <c r="BG68" s="28"/>
      <c r="BH68" s="909"/>
    </row>
    <row r="69" spans="2:60" s="129" customFormat="1" ht="31.4" customHeight="1" collapsed="1" x14ac:dyDescent="0.35">
      <c r="B69" s="735" t="s">
        <v>1409</v>
      </c>
      <c r="C69" s="524" t="s">
        <v>1400</v>
      </c>
      <c r="D69" s="222" t="s">
        <v>1481</v>
      </c>
      <c r="E69" s="219" t="s">
        <v>289</v>
      </c>
      <c r="F69" s="1094" t="s">
        <v>589</v>
      </c>
      <c r="G69" s="522" t="s">
        <v>1487</v>
      </c>
      <c r="H69" s="814">
        <v>3.5</v>
      </c>
      <c r="N69" s="722"/>
      <c r="O69" s="842"/>
      <c r="P69" s="843"/>
      <c r="Q69" s="843"/>
      <c r="R69" s="843">
        <v>1.1000000000000001</v>
      </c>
      <c r="S69" s="843"/>
      <c r="T69" s="843"/>
      <c r="U69" s="272">
        <f t="shared" ca="1" si="4"/>
        <v>235.51243364110618</v>
      </c>
      <c r="W69" s="28"/>
      <c r="X69" s="909"/>
      <c r="BE69" s="964">
        <f t="shared" ca="1" si="5"/>
        <v>235.51243364110618</v>
      </c>
      <c r="BF69" s="792">
        <f t="shared" ca="1" si="6"/>
        <v>824.29351774387169</v>
      </c>
      <c r="BG69" s="28"/>
      <c r="BH69" s="909"/>
    </row>
    <row r="70" spans="2:60" s="129" customFormat="1" ht="44.5" customHeight="1" x14ac:dyDescent="0.35">
      <c r="B70" s="735" t="s">
        <v>1410</v>
      </c>
      <c r="C70" s="524" t="s">
        <v>1400</v>
      </c>
      <c r="D70" s="222" t="s">
        <v>1114</v>
      </c>
      <c r="E70" s="219" t="s">
        <v>289</v>
      </c>
      <c r="F70" s="1094" t="s">
        <v>589</v>
      </c>
      <c r="G70" s="522" t="s">
        <v>990</v>
      </c>
      <c r="H70" s="814">
        <v>2.7</v>
      </c>
      <c r="N70" s="722"/>
      <c r="O70" s="842"/>
      <c r="P70" s="843"/>
      <c r="Q70" s="843"/>
      <c r="R70" s="843"/>
      <c r="S70" s="843"/>
      <c r="T70" s="843">
        <f>0.05/2</f>
        <v>2.5000000000000001E-2</v>
      </c>
      <c r="U70" s="272">
        <f t="shared" ca="1" si="4"/>
        <v>7.6562112507380391</v>
      </c>
      <c r="V70" s="67"/>
      <c r="W70" s="28"/>
      <c r="X70" s="909"/>
      <c r="BE70" s="964">
        <f t="shared" ca="1" si="5"/>
        <v>7.6562112507380391</v>
      </c>
      <c r="BF70" s="792">
        <f t="shared" ca="1" si="6"/>
        <v>20.671770376992708</v>
      </c>
      <c r="BG70" s="28"/>
      <c r="BH70" s="909"/>
    </row>
    <row r="71" spans="2:60" s="129" customFormat="1" ht="48.65" customHeight="1" x14ac:dyDescent="0.35">
      <c r="B71" s="735" t="s">
        <v>1410</v>
      </c>
      <c r="C71" s="524" t="s">
        <v>1400</v>
      </c>
      <c r="D71" s="222" t="s">
        <v>991</v>
      </c>
      <c r="E71" s="219" t="s">
        <v>289</v>
      </c>
      <c r="F71" s="1094" t="s">
        <v>589</v>
      </c>
      <c r="G71" s="522" t="s">
        <v>990</v>
      </c>
      <c r="H71" s="814">
        <v>137</v>
      </c>
      <c r="N71" s="722"/>
      <c r="O71" s="842"/>
      <c r="P71" s="843"/>
      <c r="Q71" s="843"/>
      <c r="R71" s="843"/>
      <c r="S71" s="843"/>
      <c r="T71" s="843">
        <f>0.05/2</f>
        <v>2.5000000000000001E-2</v>
      </c>
      <c r="U71" s="272">
        <f t="shared" ca="1" si="4"/>
        <v>7.6562112507380391</v>
      </c>
      <c r="W71" s="28"/>
      <c r="X71" s="909"/>
      <c r="BE71" s="964">
        <f t="shared" ca="1" si="5"/>
        <v>7.6562112507380391</v>
      </c>
      <c r="BF71" s="792">
        <f t="shared" ca="1" si="6"/>
        <v>1048.9009413511114</v>
      </c>
      <c r="BG71" s="28"/>
      <c r="BH71" s="909"/>
    </row>
    <row r="72" spans="2:60" s="41" customFormat="1" ht="49.75" customHeight="1" x14ac:dyDescent="0.35">
      <c r="B72" s="735" t="s">
        <v>1410</v>
      </c>
      <c r="C72" s="524" t="s">
        <v>1400</v>
      </c>
      <c r="D72" s="1316" t="s">
        <v>1116</v>
      </c>
      <c r="E72" s="219" t="s">
        <v>289</v>
      </c>
      <c r="F72" s="1094" t="s">
        <v>589</v>
      </c>
      <c r="G72" s="522" t="s">
        <v>1242</v>
      </c>
      <c r="H72" s="814">
        <v>100</v>
      </c>
      <c r="I72" s="129"/>
      <c r="N72" s="722"/>
      <c r="O72" s="842"/>
      <c r="P72" s="843"/>
      <c r="Q72" s="843"/>
      <c r="R72" s="843">
        <v>0.2</v>
      </c>
      <c r="S72" s="843"/>
      <c r="T72" s="843"/>
      <c r="U72" s="272">
        <f t="shared" ca="1" si="4"/>
        <v>42.820442480201123</v>
      </c>
      <c r="V72"/>
      <c r="W72" s="28"/>
      <c r="X72" s="909"/>
      <c r="AE72" s="129"/>
      <c r="AF72" s="129"/>
      <c r="AG72" s="129"/>
      <c r="AH72"/>
      <c r="AP72" s="129"/>
      <c r="AQ72" s="129"/>
      <c r="AR72" s="129"/>
      <c r="AS72" s="129"/>
      <c r="AT72" s="129"/>
      <c r="AU72" s="129"/>
      <c r="AV72" s="129"/>
      <c r="BE72" s="964">
        <f t="shared" ca="1" si="5"/>
        <v>42.820442480201123</v>
      </c>
      <c r="BF72" s="792">
        <f t="shared" ca="1" si="6"/>
        <v>4282.0442480201127</v>
      </c>
      <c r="BG72" s="28"/>
      <c r="BH72" s="909"/>
    </row>
    <row r="73" spans="2:60" s="129" customFormat="1" ht="46.75" customHeight="1" x14ac:dyDescent="0.35">
      <c r="B73" s="735" t="s">
        <v>1410</v>
      </c>
      <c r="C73" s="524" t="s">
        <v>1400</v>
      </c>
      <c r="D73" s="222" t="s">
        <v>1243</v>
      </c>
      <c r="E73" s="219" t="s">
        <v>289</v>
      </c>
      <c r="F73" s="1094" t="s">
        <v>590</v>
      </c>
      <c r="G73" s="522" t="s">
        <v>1482</v>
      </c>
      <c r="H73" s="814">
        <v>4</v>
      </c>
      <c r="N73" s="722"/>
      <c r="O73" s="842"/>
      <c r="P73" s="843">
        <f>Inputs!$I$180*3</f>
        <v>2</v>
      </c>
      <c r="Q73" s="843"/>
      <c r="R73" s="843"/>
      <c r="S73" s="843"/>
      <c r="T73" s="843"/>
      <c r="U73" s="272">
        <f t="shared" ca="1" si="4"/>
        <v>201.22929995034957</v>
      </c>
      <c r="W73" s="28"/>
      <c r="X73" s="909"/>
      <c r="BE73" s="964">
        <f t="shared" ca="1" si="5"/>
        <v>201.22929995034957</v>
      </c>
      <c r="BF73" s="792">
        <f t="shared" ca="1" si="6"/>
        <v>804.91719980139828</v>
      </c>
      <c r="BG73" s="28"/>
      <c r="BH73" s="909"/>
    </row>
    <row r="74" spans="2:60" s="129" customFormat="1" ht="45.75" customHeight="1" collapsed="1" x14ac:dyDescent="0.35">
      <c r="B74" s="735" t="s">
        <v>1410</v>
      </c>
      <c r="C74" s="524" t="s">
        <v>1406</v>
      </c>
      <c r="D74" s="222" t="s">
        <v>952</v>
      </c>
      <c r="E74" s="219" t="s">
        <v>289</v>
      </c>
      <c r="F74" s="1094" t="s">
        <v>590</v>
      </c>
      <c r="G74" s="918" t="s">
        <v>866</v>
      </c>
      <c r="H74" s="814">
        <v>1.22</v>
      </c>
      <c r="N74" s="722"/>
      <c r="O74" s="842"/>
      <c r="P74" s="843">
        <v>0.05</v>
      </c>
      <c r="Q74" s="843"/>
      <c r="R74" s="843"/>
      <c r="S74" s="843"/>
      <c r="T74" s="843"/>
      <c r="U74" s="272">
        <f t="shared" ca="1" si="4"/>
        <v>5.0307324987587396</v>
      </c>
      <c r="W74" s="28"/>
      <c r="X74" s="909"/>
      <c r="BE74" s="964">
        <f t="shared" ca="1" si="5"/>
        <v>5.0307324987587396</v>
      </c>
      <c r="BF74" s="792">
        <f t="shared" ca="1" si="6"/>
        <v>6.1374936484856626</v>
      </c>
      <c r="BG74" s="28"/>
      <c r="BH74" s="909"/>
    </row>
    <row r="75" spans="2:60" s="129" customFormat="1" ht="43.5" x14ac:dyDescent="0.35">
      <c r="B75" s="735" t="s">
        <v>1410</v>
      </c>
      <c r="C75" s="526" t="s">
        <v>1411</v>
      </c>
      <c r="D75" s="1316" t="s">
        <v>993</v>
      </c>
      <c r="E75" s="219" t="s">
        <v>289</v>
      </c>
      <c r="F75" s="1094" t="s">
        <v>590</v>
      </c>
      <c r="G75" s="918" t="s">
        <v>866</v>
      </c>
      <c r="H75" s="814">
        <v>0.7</v>
      </c>
      <c r="N75" s="722"/>
      <c r="O75" s="842">
        <f>2/3</f>
        <v>0.66666666666666663</v>
      </c>
      <c r="P75" s="843"/>
      <c r="Q75" s="843"/>
      <c r="R75" s="843"/>
      <c r="S75" s="843"/>
      <c r="T75" s="843"/>
      <c r="U75" s="272">
        <f t="shared" ca="1" si="4"/>
        <v>201.22929995034954</v>
      </c>
      <c r="W75" s="28"/>
      <c r="X75" s="909"/>
      <c r="BE75" s="964">
        <f t="shared" ca="1" si="5"/>
        <v>201.22929995034954</v>
      </c>
      <c r="BF75" s="792">
        <f t="shared" ca="1" si="6"/>
        <v>140.86050996524466</v>
      </c>
      <c r="BG75" s="28"/>
      <c r="BH75" s="909"/>
    </row>
    <row r="76" spans="2:60" s="129" customFormat="1" ht="43.5" collapsed="1" x14ac:dyDescent="0.35">
      <c r="B76" s="735" t="s">
        <v>1410</v>
      </c>
      <c r="C76" s="526" t="s">
        <v>1411</v>
      </c>
      <c r="D76" s="1316" t="s">
        <v>1250</v>
      </c>
      <c r="E76" s="219" t="s">
        <v>289</v>
      </c>
      <c r="F76" s="1094" t="s">
        <v>590</v>
      </c>
      <c r="G76" s="918" t="s">
        <v>866</v>
      </c>
      <c r="H76" s="814">
        <v>1.9</v>
      </c>
      <c r="N76" s="722"/>
      <c r="O76" s="842">
        <f>2/3</f>
        <v>0.66666666666666663</v>
      </c>
      <c r="P76" s="843"/>
      <c r="Q76" s="843"/>
      <c r="R76" s="843"/>
      <c r="S76" s="843"/>
      <c r="T76" s="843"/>
      <c r="U76" s="272">
        <f t="shared" ca="1" si="4"/>
        <v>201.22929995034954</v>
      </c>
      <c r="W76" s="28"/>
      <c r="X76" s="909"/>
      <c r="BE76" s="964">
        <f t="shared" ca="1" si="5"/>
        <v>201.22929995034954</v>
      </c>
      <c r="BF76" s="792">
        <f t="shared" ca="1" si="6"/>
        <v>382.33566990566413</v>
      </c>
      <c r="BG76" s="28"/>
      <c r="BH76" s="909"/>
    </row>
    <row r="77" spans="2:60" s="129" customFormat="1" ht="43.5" collapsed="1" x14ac:dyDescent="0.35">
      <c r="B77" s="735" t="s">
        <v>1410</v>
      </c>
      <c r="C77" s="526" t="s">
        <v>1411</v>
      </c>
      <c r="D77" s="1316" t="s">
        <v>1252</v>
      </c>
      <c r="E77" s="219" t="s">
        <v>289</v>
      </c>
      <c r="F77" s="1094" t="s">
        <v>590</v>
      </c>
      <c r="G77" s="918" t="s">
        <v>866</v>
      </c>
      <c r="H77" s="814">
        <v>1.3</v>
      </c>
      <c r="N77" s="722"/>
      <c r="O77" s="842">
        <f>2/3</f>
        <v>0.66666666666666663</v>
      </c>
      <c r="P77" s="843"/>
      <c r="Q77" s="843"/>
      <c r="R77" s="843"/>
      <c r="S77" s="843"/>
      <c r="T77" s="843"/>
      <c r="U77" s="272">
        <f t="shared" ca="1" si="4"/>
        <v>201.22929995034954</v>
      </c>
      <c r="W77" s="28"/>
      <c r="X77" s="909"/>
      <c r="BE77" s="964">
        <f t="shared" ca="1" si="5"/>
        <v>201.22929995034954</v>
      </c>
      <c r="BF77" s="792">
        <f t="shared" ca="1" si="6"/>
        <v>261.59808993545442</v>
      </c>
      <c r="BG77" s="28"/>
      <c r="BH77" s="909"/>
    </row>
    <row r="78" spans="2:60" s="129" customFormat="1" ht="136.75" customHeight="1" x14ac:dyDescent="0.35">
      <c r="B78" s="735" t="s">
        <v>1410</v>
      </c>
      <c r="C78" s="526" t="s">
        <v>1401</v>
      </c>
      <c r="D78" s="1316" t="s">
        <v>1154</v>
      </c>
      <c r="E78" s="219" t="s">
        <v>289</v>
      </c>
      <c r="F78" s="1094" t="s">
        <v>589</v>
      </c>
      <c r="G78" s="522" t="s">
        <v>776</v>
      </c>
      <c r="H78" s="814">
        <v>62</v>
      </c>
      <c r="N78" s="722"/>
      <c r="O78" s="842"/>
      <c r="P78" s="843"/>
      <c r="Q78" s="843"/>
      <c r="R78" s="843"/>
      <c r="S78" s="843">
        <f>Inputs!$I$180/2</f>
        <v>0.33333333333333331</v>
      </c>
      <c r="T78" s="843"/>
      <c r="U78" s="272">
        <f t="shared" ca="1" si="4"/>
        <v>30.715412542838649</v>
      </c>
      <c r="W78" s="28"/>
      <c r="X78" s="909"/>
      <c r="BE78" s="964">
        <f t="shared" ca="1" si="5"/>
        <v>30.715412542838649</v>
      </c>
      <c r="BF78" s="792">
        <f t="shared" ca="1" si="6"/>
        <v>1904.3555776559963</v>
      </c>
      <c r="BG78" s="28"/>
      <c r="BH78" s="909"/>
    </row>
    <row r="79" spans="2:60" s="129" customFormat="1" ht="43.5" x14ac:dyDescent="0.35">
      <c r="B79" s="735" t="s">
        <v>1410</v>
      </c>
      <c r="C79" s="526" t="s">
        <v>1401</v>
      </c>
      <c r="D79" s="1316" t="s">
        <v>1566</v>
      </c>
      <c r="E79" s="219" t="s">
        <v>289</v>
      </c>
      <c r="F79" s="1094" t="s">
        <v>590</v>
      </c>
      <c r="G79" s="918" t="s">
        <v>866</v>
      </c>
      <c r="H79" s="814">
        <v>0.41</v>
      </c>
      <c r="N79" s="722"/>
      <c r="O79" s="842"/>
      <c r="P79" s="843">
        <f>Inputs!$I$180*2</f>
        <v>1.3333333333333333</v>
      </c>
      <c r="Q79" s="843"/>
      <c r="R79" s="843"/>
      <c r="S79" s="843"/>
      <c r="T79" s="843"/>
      <c r="U79" s="272">
        <f t="shared" ca="1" si="4"/>
        <v>134.15286663356636</v>
      </c>
      <c r="W79" s="28"/>
      <c r="X79" s="909"/>
      <c r="BE79" s="964">
        <f t="shared" ca="1" si="5"/>
        <v>134.15286663356636</v>
      </c>
      <c r="BF79" s="792">
        <f t="shared" ca="1" si="6"/>
        <v>55.002675319762204</v>
      </c>
      <c r="BG79" s="28"/>
      <c r="BH79" s="909"/>
    </row>
    <row r="80" spans="2:60" s="129" customFormat="1" ht="62.9" customHeight="1" collapsed="1" x14ac:dyDescent="0.35">
      <c r="B80" s="735" t="s">
        <v>1410</v>
      </c>
      <c r="C80" s="526" t="s">
        <v>1401</v>
      </c>
      <c r="D80" s="1316" t="s">
        <v>1567</v>
      </c>
      <c r="E80" s="219" t="s">
        <v>289</v>
      </c>
      <c r="F80" s="1094" t="s">
        <v>590</v>
      </c>
      <c r="G80" s="918" t="s">
        <v>866</v>
      </c>
      <c r="H80" s="814">
        <v>0.2</v>
      </c>
      <c r="N80" s="722"/>
      <c r="O80" s="842"/>
      <c r="P80" s="843">
        <f>Inputs!$I$180*2</f>
        <v>1.3333333333333333</v>
      </c>
      <c r="Q80" s="843"/>
      <c r="R80" s="843"/>
      <c r="S80" s="843"/>
      <c r="T80" s="843"/>
      <c r="U80" s="272">
        <f t="shared" ca="1" si="4"/>
        <v>134.15286663356636</v>
      </c>
      <c r="W80" s="28"/>
      <c r="X80" s="909"/>
      <c r="BE80" s="964">
        <f t="shared" ca="1" si="5"/>
        <v>134.15286663356636</v>
      </c>
      <c r="BF80" s="792">
        <f t="shared" ca="1" si="6"/>
        <v>26.830573326713274</v>
      </c>
      <c r="BG80" s="28"/>
      <c r="BH80" s="909"/>
    </row>
    <row r="81" spans="1:60" s="15" customFormat="1" ht="43.5" x14ac:dyDescent="0.35">
      <c r="B81" s="735" t="s">
        <v>1410</v>
      </c>
      <c r="C81" s="526" t="s">
        <v>1401</v>
      </c>
      <c r="D81" s="1316" t="s">
        <v>1256</v>
      </c>
      <c r="E81" s="219" t="s">
        <v>289</v>
      </c>
      <c r="F81" s="1094" t="s">
        <v>590</v>
      </c>
      <c r="G81" s="918" t="s">
        <v>866</v>
      </c>
      <c r="H81" s="971">
        <v>13</v>
      </c>
      <c r="O81" s="842"/>
      <c r="P81" s="843">
        <f>Inputs!$I$180*2</f>
        <v>1.3333333333333333</v>
      </c>
      <c r="Q81" s="843"/>
      <c r="R81" s="843"/>
      <c r="S81" s="843"/>
      <c r="T81" s="843"/>
      <c r="U81" s="272">
        <f t="shared" ca="1" si="4"/>
        <v>134.15286663356636</v>
      </c>
      <c r="W81" s="1328"/>
      <c r="X81" s="909"/>
      <c r="BE81" s="964">
        <f t="shared" ca="1" si="5"/>
        <v>134.15286663356636</v>
      </c>
      <c r="BF81" s="792">
        <f t="shared" ca="1" si="6"/>
        <v>1743.9872662363628</v>
      </c>
      <c r="BG81" s="28"/>
      <c r="BH81" s="909"/>
    </row>
    <row r="82" spans="1:60" ht="208.4" customHeight="1" collapsed="1" x14ac:dyDescent="0.35">
      <c r="B82" s="858" t="s">
        <v>1410</v>
      </c>
      <c r="C82" s="859" t="s">
        <v>1401</v>
      </c>
      <c r="D82" s="1316" t="s">
        <v>782</v>
      </c>
      <c r="E82" s="219" t="s">
        <v>289</v>
      </c>
      <c r="F82" s="1094" t="s">
        <v>589</v>
      </c>
      <c r="G82" s="522" t="s">
        <v>775</v>
      </c>
      <c r="H82" s="814">
        <v>550</v>
      </c>
      <c r="O82" s="842"/>
      <c r="P82" s="843"/>
      <c r="Q82" s="843"/>
      <c r="R82" s="843"/>
      <c r="S82" s="843">
        <f>Inputs!$I$180*0.1</f>
        <v>6.6666666666666666E-2</v>
      </c>
      <c r="T82" s="843"/>
      <c r="U82" s="272">
        <f t="shared" ca="1" si="4"/>
        <v>6.1430825085677299</v>
      </c>
      <c r="W82" s="28"/>
      <c r="X82" s="909"/>
      <c r="BE82" s="964">
        <f t="shared" ca="1" si="5"/>
        <v>6.1430825085677299</v>
      </c>
      <c r="BF82" s="792">
        <f t="shared" ca="1" si="6"/>
        <v>3378.6953797122515</v>
      </c>
      <c r="BG82" s="28"/>
      <c r="BH82" s="909"/>
    </row>
    <row r="83" spans="1:60" s="15" customFormat="1" ht="30.65" customHeight="1" x14ac:dyDescent="0.35">
      <c r="B83" s="735" t="s">
        <v>1410</v>
      </c>
      <c r="C83" s="526" t="s">
        <v>1401</v>
      </c>
      <c r="D83" s="1316" t="s">
        <v>989</v>
      </c>
      <c r="E83" s="219" t="s">
        <v>289</v>
      </c>
      <c r="F83" s="1094" t="s">
        <v>590</v>
      </c>
      <c r="G83" s="522" t="s">
        <v>1259</v>
      </c>
      <c r="H83" s="814">
        <v>0.74</v>
      </c>
      <c r="O83" s="842"/>
      <c r="P83" s="843">
        <f>2*Inputs!$I$180</f>
        <v>1.3333333333333333</v>
      </c>
      <c r="Q83" s="843"/>
      <c r="R83" s="843"/>
      <c r="S83" s="843"/>
      <c r="T83" s="843"/>
      <c r="U83" s="272">
        <f t="shared" ca="1" si="4"/>
        <v>134.15286663356636</v>
      </c>
      <c r="W83" s="1328"/>
      <c r="X83" s="909"/>
      <c r="BE83" s="964">
        <f t="shared" ca="1" si="5"/>
        <v>134.15286663356636</v>
      </c>
      <c r="BF83" s="792">
        <f t="shared" ca="1" si="6"/>
        <v>99.273121308839109</v>
      </c>
      <c r="BG83" s="28"/>
      <c r="BH83" s="909"/>
    </row>
    <row r="84" spans="1:60" s="15" customFormat="1" ht="31.4" customHeight="1" collapsed="1" x14ac:dyDescent="0.35">
      <c r="B84" s="735" t="s">
        <v>1410</v>
      </c>
      <c r="C84" s="526" t="s">
        <v>1401</v>
      </c>
      <c r="D84" s="1316" t="s">
        <v>1270</v>
      </c>
      <c r="E84" s="219" t="s">
        <v>289</v>
      </c>
      <c r="F84" s="1094" t="s">
        <v>590</v>
      </c>
      <c r="G84" s="522" t="s">
        <v>1259</v>
      </c>
      <c r="H84" s="814">
        <v>1.0900000000000001</v>
      </c>
      <c r="O84" s="842"/>
      <c r="P84" s="843">
        <f>2*Inputs!$I$180</f>
        <v>1.3333333333333333</v>
      </c>
      <c r="Q84" s="843"/>
      <c r="R84" s="843"/>
      <c r="S84" s="843"/>
      <c r="T84" s="843"/>
      <c r="U84" s="272">
        <f t="shared" ca="1" si="4"/>
        <v>134.15286663356636</v>
      </c>
      <c r="W84" s="1328"/>
      <c r="X84" s="909"/>
      <c r="BE84" s="964">
        <f t="shared" ca="1" si="5"/>
        <v>134.15286663356636</v>
      </c>
      <c r="BF84" s="792">
        <f t="shared" ca="1" si="6"/>
        <v>146.22662463058734</v>
      </c>
      <c r="BG84" s="28"/>
      <c r="BH84" s="909"/>
    </row>
    <row r="85" spans="1:60" s="15" customFormat="1" ht="33" customHeight="1" collapsed="1" x14ac:dyDescent="0.35">
      <c r="B85" s="735" t="s">
        <v>1410</v>
      </c>
      <c r="C85" s="526" t="s">
        <v>1401</v>
      </c>
      <c r="D85" s="1316" t="s">
        <v>1392</v>
      </c>
      <c r="E85" s="219" t="s">
        <v>289</v>
      </c>
      <c r="F85" s="1094" t="s">
        <v>590</v>
      </c>
      <c r="G85" s="522" t="s">
        <v>1262</v>
      </c>
      <c r="H85" s="814">
        <v>2.98</v>
      </c>
      <c r="O85" s="842"/>
      <c r="P85" s="843">
        <f>2*Inputs!$I$180</f>
        <v>1.3333333333333333</v>
      </c>
      <c r="Q85" s="843"/>
      <c r="R85" s="843"/>
      <c r="S85" s="843"/>
      <c r="T85" s="843"/>
      <c r="U85" s="272">
        <f t="shared" ca="1" si="4"/>
        <v>134.15286663356636</v>
      </c>
      <c r="W85" s="1328"/>
      <c r="X85" s="909"/>
      <c r="BE85" s="964">
        <f t="shared" ca="1" si="5"/>
        <v>134.15286663356636</v>
      </c>
      <c r="BF85" s="792">
        <f t="shared" ca="1" si="6"/>
        <v>399.77554256802773</v>
      </c>
      <c r="BG85" s="28"/>
      <c r="BH85" s="909"/>
    </row>
    <row r="86" spans="1:60" s="129" customFormat="1" ht="44" thickBot="1" x14ac:dyDescent="0.4">
      <c r="B86" s="736" t="s">
        <v>1410</v>
      </c>
      <c r="C86" s="737" t="s">
        <v>1401</v>
      </c>
      <c r="D86" s="618" t="s">
        <v>954</v>
      </c>
      <c r="E86" s="619" t="s">
        <v>289</v>
      </c>
      <c r="F86" s="1095" t="s">
        <v>590</v>
      </c>
      <c r="G86" s="804" t="s">
        <v>866</v>
      </c>
      <c r="H86" s="815">
        <v>3.44</v>
      </c>
      <c r="N86" s="722"/>
      <c r="O86" s="1039"/>
      <c r="P86" s="1040">
        <v>0.05</v>
      </c>
      <c r="Q86" s="1040"/>
      <c r="R86" s="1040"/>
      <c r="S86" s="1040"/>
      <c r="T86" s="1040"/>
      <c r="U86" s="309">
        <f t="shared" ca="1" si="4"/>
        <v>5.0307324987587396</v>
      </c>
      <c r="W86" s="28"/>
      <c r="X86" s="909"/>
      <c r="BE86" s="966">
        <f t="shared" ca="1" si="5"/>
        <v>5.0307324987587396</v>
      </c>
      <c r="BF86" s="791">
        <f t="shared" ca="1" si="6"/>
        <v>17.305719795730063</v>
      </c>
      <c r="BG86" s="28"/>
      <c r="BH86" s="909"/>
    </row>
    <row r="87" spans="1:60" x14ac:dyDescent="0.35">
      <c r="G87" s="210"/>
      <c r="H87" s="261"/>
      <c r="O87" s="509"/>
      <c r="P87" s="509"/>
      <c r="Q87" s="509"/>
      <c r="R87" s="509"/>
      <c r="S87" s="509"/>
      <c r="T87" s="509"/>
      <c r="U87" s="509"/>
    </row>
    <row r="88" spans="1:60" s="10" customFormat="1" hidden="1" collapsed="1" x14ac:dyDescent="0.35">
      <c r="B88" s="848" t="s">
        <v>1452</v>
      </c>
      <c r="C88" s="849"/>
      <c r="D88" s="850"/>
      <c r="E88" s="850"/>
      <c r="F88" s="851"/>
      <c r="G88" s="852"/>
      <c r="H88" s="853"/>
      <c r="O88" s="519"/>
      <c r="P88" s="519"/>
      <c r="Q88" s="519"/>
      <c r="R88" s="520"/>
      <c r="S88" s="521"/>
      <c r="T88" s="520"/>
      <c r="U88" s="418"/>
      <c r="BE88" s="418"/>
      <c r="BF88" s="419"/>
    </row>
    <row r="89" spans="1:60" ht="28.5" hidden="1" customHeight="1" x14ac:dyDescent="0.35">
      <c r="A89" s="15" t="s">
        <v>1103</v>
      </c>
      <c r="B89" s="529" t="s">
        <v>302</v>
      </c>
      <c r="C89" s="524" t="s">
        <v>610</v>
      </c>
      <c r="D89" s="512" t="s">
        <v>1265</v>
      </c>
      <c r="E89" s="219" t="s">
        <v>289</v>
      </c>
      <c r="F89" s="223"/>
      <c r="G89" s="522" t="s">
        <v>795</v>
      </c>
      <c r="H89" s="854">
        <v>1450</v>
      </c>
      <c r="O89" s="516"/>
      <c r="P89" s="516"/>
      <c r="Q89" s="516"/>
      <c r="R89" s="517"/>
      <c r="S89" s="517"/>
      <c r="T89" s="517"/>
      <c r="U89" s="280">
        <f ca="1">Max_severe_capped_beds*R89+Max_total_capped_beds*T89+Max_critical_capped_beds*S89+Q89*(Total_severe_patients_in_bed_over_forecast+Total_crit_patients_in_bed_over_forecast)+O89*Total_admitted_capped_severe_patients+P89*Total_admitted_capped_critical_patients</f>
        <v>0</v>
      </c>
      <c r="BE89" s="280">
        <f ca="1">U89</f>
        <v>0</v>
      </c>
      <c r="BF89" s="299">
        <f ca="1">BE89*H89</f>
        <v>0</v>
      </c>
    </row>
    <row r="90" spans="1:60" s="129" customFormat="1" ht="29" hidden="1" x14ac:dyDescent="0.35">
      <c r="A90" s="15" t="s">
        <v>1103</v>
      </c>
      <c r="B90" s="529" t="s">
        <v>302</v>
      </c>
      <c r="C90" s="524" t="s">
        <v>610</v>
      </c>
      <c r="D90" s="512" t="s">
        <v>1269</v>
      </c>
      <c r="E90" s="219" t="s">
        <v>289</v>
      </c>
      <c r="F90" s="224"/>
      <c r="G90" s="225" t="s">
        <v>777</v>
      </c>
      <c r="H90" s="854">
        <v>7500</v>
      </c>
      <c r="N90" s="722"/>
      <c r="O90" s="516"/>
      <c r="P90" s="516"/>
      <c r="Q90" s="516"/>
      <c r="R90" s="516"/>
      <c r="S90" s="516"/>
      <c r="T90" s="516"/>
      <c r="U90" s="280"/>
      <c r="BE90" s="280"/>
      <c r="BF90" s="299"/>
    </row>
    <row r="91" spans="1:60" s="129" customFormat="1" ht="25.5" hidden="1" customHeight="1" x14ac:dyDescent="0.35">
      <c r="A91" s="15" t="s">
        <v>1103</v>
      </c>
      <c r="B91" s="529" t="s">
        <v>302</v>
      </c>
      <c r="C91" s="524" t="s">
        <v>610</v>
      </c>
      <c r="D91" s="512" t="s">
        <v>1248</v>
      </c>
      <c r="E91" s="219" t="s">
        <v>289</v>
      </c>
      <c r="F91" s="224"/>
      <c r="G91" s="513" t="s">
        <v>1247</v>
      </c>
      <c r="H91" s="854">
        <v>80</v>
      </c>
      <c r="N91" s="722"/>
      <c r="O91" s="537"/>
      <c r="P91" s="537"/>
      <c r="Q91" s="537"/>
      <c r="R91" s="517"/>
      <c r="S91" s="517"/>
      <c r="T91" s="517"/>
      <c r="U91" s="280"/>
      <c r="BE91" s="280"/>
      <c r="BF91" s="299"/>
    </row>
    <row r="92" spans="1:60" s="129" customFormat="1" ht="33" hidden="1" customHeight="1" x14ac:dyDescent="0.35">
      <c r="A92" s="15" t="s">
        <v>1268</v>
      </c>
      <c r="B92" s="529" t="s">
        <v>302</v>
      </c>
      <c r="C92" s="524" t="s">
        <v>610</v>
      </c>
      <c r="D92" s="512" t="s">
        <v>1266</v>
      </c>
      <c r="E92" s="219" t="s">
        <v>289</v>
      </c>
      <c r="F92" s="224"/>
      <c r="G92" s="220" t="s">
        <v>866</v>
      </c>
      <c r="H92" s="854">
        <v>1800</v>
      </c>
      <c r="N92" s="722"/>
      <c r="O92" s="516"/>
      <c r="P92" s="516"/>
      <c r="Q92" s="516"/>
      <c r="R92" s="516"/>
      <c r="S92" s="516"/>
      <c r="T92" s="516"/>
      <c r="U92" s="280"/>
      <c r="BE92" s="280"/>
      <c r="BF92" s="299"/>
    </row>
    <row r="93" spans="1:60" s="15" customFormat="1" ht="31.4" hidden="1" customHeight="1" x14ac:dyDescent="0.35">
      <c r="A93" s="15" t="s">
        <v>1268</v>
      </c>
      <c r="B93" s="530" t="s">
        <v>302</v>
      </c>
      <c r="C93" s="525" t="s">
        <v>610</v>
      </c>
      <c r="D93" s="515" t="s">
        <v>1255</v>
      </c>
      <c r="E93" s="369" t="s">
        <v>289</v>
      </c>
      <c r="F93" s="368"/>
      <c r="G93" s="513" t="s">
        <v>1254</v>
      </c>
      <c r="H93" s="855">
        <v>1800</v>
      </c>
      <c r="O93" s="538"/>
      <c r="P93" s="538"/>
      <c r="Q93" s="538"/>
      <c r="R93" s="517"/>
      <c r="S93" s="517"/>
      <c r="T93" s="517"/>
      <c r="U93" s="280"/>
      <c r="BE93" s="280"/>
      <c r="BF93" s="299"/>
    </row>
    <row r="94" spans="1:60" s="129" customFormat="1" ht="29" hidden="1" x14ac:dyDescent="0.35">
      <c r="A94" s="15" t="s">
        <v>1103</v>
      </c>
      <c r="B94" s="529" t="s">
        <v>302</v>
      </c>
      <c r="C94" s="524" t="s">
        <v>610</v>
      </c>
      <c r="D94" s="510" t="s">
        <v>1244</v>
      </c>
      <c r="E94" s="219" t="s">
        <v>289</v>
      </c>
      <c r="F94" s="224"/>
      <c r="G94" s="225" t="s">
        <v>1245</v>
      </c>
      <c r="H94" s="854"/>
      <c r="N94" s="722"/>
      <c r="O94" s="537"/>
      <c r="P94" s="537"/>
      <c r="Q94" s="537"/>
      <c r="R94" s="517"/>
      <c r="S94" s="517"/>
      <c r="T94" s="517"/>
      <c r="U94" s="280"/>
      <c r="BE94" s="280"/>
      <c r="BF94" s="299"/>
    </row>
    <row r="95" spans="1:60" s="129" customFormat="1" ht="29" hidden="1" x14ac:dyDescent="0.35">
      <c r="A95" s="15" t="s">
        <v>1103</v>
      </c>
      <c r="B95" s="529" t="s">
        <v>302</v>
      </c>
      <c r="C95" s="526" t="s">
        <v>999</v>
      </c>
      <c r="D95" s="510" t="s">
        <v>1249</v>
      </c>
      <c r="E95" s="219" t="s">
        <v>289</v>
      </c>
      <c r="F95" s="224"/>
      <c r="G95" s="221"/>
      <c r="H95" s="856"/>
      <c r="N95" s="722"/>
      <c r="O95" s="516"/>
      <c r="P95" s="516"/>
      <c r="Q95" s="516"/>
      <c r="R95" s="516"/>
      <c r="S95" s="516"/>
      <c r="T95" s="516"/>
      <c r="U95" s="280"/>
      <c r="BE95" s="280"/>
      <c r="BF95" s="299"/>
    </row>
    <row r="96" spans="1:60" s="129" customFormat="1" ht="43.5" hidden="1" x14ac:dyDescent="0.35">
      <c r="A96" s="15" t="s">
        <v>1103</v>
      </c>
      <c r="B96" s="529" t="s">
        <v>302</v>
      </c>
      <c r="C96" s="526" t="s">
        <v>999</v>
      </c>
      <c r="D96" s="510" t="s">
        <v>1251</v>
      </c>
      <c r="E96" s="222" t="s">
        <v>289</v>
      </c>
      <c r="F96" s="224" t="s">
        <v>590</v>
      </c>
      <c r="G96" s="221" t="s">
        <v>866</v>
      </c>
      <c r="H96" s="856"/>
      <c r="N96" s="722"/>
      <c r="O96" s="516"/>
      <c r="P96" s="516"/>
      <c r="Q96" s="516"/>
      <c r="R96" s="516"/>
      <c r="S96" s="516"/>
      <c r="T96" s="516"/>
      <c r="U96" s="280"/>
      <c r="BE96" s="280"/>
      <c r="BF96" s="299"/>
    </row>
    <row r="97" spans="1:58" s="129" customFormat="1" ht="29" hidden="1" x14ac:dyDescent="0.35">
      <c r="A97" s="15" t="s">
        <v>1103</v>
      </c>
      <c r="B97" s="530" t="s">
        <v>302</v>
      </c>
      <c r="C97" s="526" t="s">
        <v>999</v>
      </c>
      <c r="D97" s="515" t="s">
        <v>1253</v>
      </c>
      <c r="E97" s="222" t="s">
        <v>289</v>
      </c>
      <c r="F97" s="224" t="s">
        <v>590</v>
      </c>
      <c r="G97" s="514"/>
      <c r="H97" s="854"/>
      <c r="N97" s="722"/>
      <c r="O97" s="516"/>
      <c r="P97" s="516"/>
      <c r="Q97" s="516"/>
      <c r="R97" s="516"/>
      <c r="S97" s="516"/>
      <c r="T97" s="516"/>
      <c r="U97" s="280"/>
      <c r="BE97" s="280"/>
      <c r="BF97" s="299"/>
    </row>
    <row r="98" spans="1:58" s="15" customFormat="1" ht="29" hidden="1" x14ac:dyDescent="0.35">
      <c r="A98" s="15" t="s">
        <v>1268</v>
      </c>
      <c r="B98" s="530" t="s">
        <v>302</v>
      </c>
      <c r="C98" s="525" t="s">
        <v>610</v>
      </c>
      <c r="D98" s="515" t="s">
        <v>1257</v>
      </c>
      <c r="E98" s="219" t="s">
        <v>289</v>
      </c>
      <c r="F98" s="368"/>
      <c r="G98" s="370"/>
      <c r="H98" s="857"/>
      <c r="O98" s="516"/>
      <c r="P98" s="516"/>
      <c r="Q98" s="516"/>
      <c r="R98" s="517"/>
      <c r="S98" s="517"/>
      <c r="T98" s="517"/>
      <c r="U98" s="280"/>
      <c r="BE98" s="280"/>
      <c r="BF98" s="299"/>
    </row>
    <row r="99" spans="1:58" s="15" customFormat="1" ht="21.65" hidden="1" customHeight="1" x14ac:dyDescent="0.35">
      <c r="A99" s="15" t="s">
        <v>1268</v>
      </c>
      <c r="B99" s="530" t="s">
        <v>302</v>
      </c>
      <c r="C99" s="525" t="s">
        <v>610</v>
      </c>
      <c r="D99" s="515" t="s">
        <v>1258</v>
      </c>
      <c r="E99" s="219" t="s">
        <v>289</v>
      </c>
      <c r="F99" s="368"/>
      <c r="G99" s="511" t="s">
        <v>1259</v>
      </c>
      <c r="H99" s="857"/>
      <c r="O99" s="538"/>
      <c r="P99" s="538"/>
      <c r="Q99" s="538"/>
      <c r="R99" s="517"/>
      <c r="S99" s="517"/>
      <c r="T99" s="517"/>
      <c r="U99" s="280"/>
      <c r="BE99" s="280"/>
      <c r="BF99" s="299"/>
    </row>
    <row r="100" spans="1:58" s="15" customFormat="1" ht="21.65" hidden="1" customHeight="1" x14ac:dyDescent="0.35">
      <c r="A100" s="15" t="s">
        <v>1268</v>
      </c>
      <c r="B100" s="530" t="s">
        <v>302</v>
      </c>
      <c r="C100" s="525" t="s">
        <v>610</v>
      </c>
      <c r="D100" s="515" t="s">
        <v>1260</v>
      </c>
      <c r="E100" s="219" t="s">
        <v>289</v>
      </c>
      <c r="F100" s="368"/>
      <c r="G100" s="511" t="s">
        <v>1259</v>
      </c>
      <c r="H100" s="857"/>
      <c r="O100" s="516"/>
      <c r="P100" s="516"/>
      <c r="Q100" s="516"/>
      <c r="R100" s="517"/>
      <c r="S100" s="517"/>
      <c r="T100" s="517"/>
      <c r="U100" s="280"/>
      <c r="BE100" s="280"/>
      <c r="BF100" s="299"/>
    </row>
    <row r="101" spans="1:58" s="15" customFormat="1" ht="21.65" hidden="1" customHeight="1" x14ac:dyDescent="0.35">
      <c r="A101" s="15" t="s">
        <v>1268</v>
      </c>
      <c r="B101" s="530" t="s">
        <v>302</v>
      </c>
      <c r="C101" s="525" t="s">
        <v>610</v>
      </c>
      <c r="D101" s="515" t="s">
        <v>1261</v>
      </c>
      <c r="E101" s="219" t="s">
        <v>289</v>
      </c>
      <c r="F101" s="368"/>
      <c r="G101" s="511" t="s">
        <v>1262</v>
      </c>
      <c r="H101" s="857"/>
      <c r="O101" s="516"/>
      <c r="P101" s="516"/>
      <c r="Q101" s="516"/>
      <c r="R101" s="517"/>
      <c r="S101" s="518"/>
      <c r="T101" s="517"/>
      <c r="U101" s="280"/>
      <c r="BE101" s="280"/>
      <c r="BF101" s="299"/>
    </row>
    <row r="102" spans="1:58" ht="29" hidden="1" x14ac:dyDescent="0.35">
      <c r="A102" s="15" t="s">
        <v>1103</v>
      </c>
      <c r="B102" s="529" t="s">
        <v>302</v>
      </c>
      <c r="C102" s="524" t="s">
        <v>610</v>
      </c>
      <c r="D102" s="515" t="s">
        <v>307</v>
      </c>
      <c r="E102" s="219" t="s">
        <v>289</v>
      </c>
      <c r="F102" s="224"/>
      <c r="G102" s="220" t="s">
        <v>866</v>
      </c>
      <c r="H102" s="854">
        <v>15</v>
      </c>
      <c r="O102" s="517"/>
      <c r="P102" s="517"/>
      <c r="Q102" s="517"/>
      <c r="R102" s="517"/>
      <c r="S102" s="517"/>
      <c r="T102" s="517"/>
      <c r="U102" s="280">
        <f ca="1">Max_severe_capped_beds*R102+Max_total_capped_beds*T102+Max_critical_capped_beds*S102+Q102*(Total_severe_patients_in_bed_over_forecast+Total_crit_patients_in_bed_over_forecast)+O102*Total_admitted_capped_severe_patients+P102*Total_admitted_capped_critical_patients</f>
        <v>0</v>
      </c>
      <c r="BE102" s="280">
        <f t="shared" ref="BE102:BE112" ca="1" si="7">U102</f>
        <v>0</v>
      </c>
      <c r="BF102" s="299">
        <f ca="1">BE102*H102</f>
        <v>0</v>
      </c>
    </row>
    <row r="103" spans="1:58" hidden="1" x14ac:dyDescent="0.35">
      <c r="A103" s="15" t="s">
        <v>1103</v>
      </c>
      <c r="B103" s="529" t="s">
        <v>302</v>
      </c>
      <c r="C103" s="524" t="s">
        <v>610</v>
      </c>
      <c r="D103" s="515" t="s">
        <v>308</v>
      </c>
      <c r="E103" s="219" t="s">
        <v>289</v>
      </c>
      <c r="F103" s="224"/>
      <c r="G103" s="220" t="s">
        <v>866</v>
      </c>
      <c r="H103" s="854">
        <v>3500</v>
      </c>
      <c r="O103" s="517"/>
      <c r="P103" s="517"/>
      <c r="Q103" s="517"/>
      <c r="R103" s="517"/>
      <c r="S103" s="517"/>
      <c r="T103" s="517">
        <f>1/NumberOfBeds_per_centre</f>
        <v>2.5000000000000001E-2</v>
      </c>
      <c r="U103" s="280">
        <f ca="1">Max_severe_capped_beds*R103+Max_total_capped_beds*T103+Max_critical_capped_beds*S103+Q103*(Total_severe_patients_in_bed_over_forecast+Total_crit_patients_in_bed_over_forecast)+O103*Total_admitted_capped_severe_patients+P103*Total_admitted_capped_critical_patients</f>
        <v>7.6562112507380391</v>
      </c>
      <c r="BE103" s="280">
        <f t="shared" ca="1" si="7"/>
        <v>7.6562112507380391</v>
      </c>
      <c r="BF103" s="299">
        <f ca="1">BE103*H103</f>
        <v>26796.739377583137</v>
      </c>
    </row>
    <row r="104" spans="1:58" hidden="1" x14ac:dyDescent="0.35">
      <c r="A104" s="15" t="s">
        <v>1103</v>
      </c>
      <c r="B104" s="529" t="s">
        <v>302</v>
      </c>
      <c r="C104" s="524" t="s">
        <v>610</v>
      </c>
      <c r="D104" s="515" t="s">
        <v>784</v>
      </c>
      <c r="E104" s="219" t="s">
        <v>289</v>
      </c>
      <c r="F104" s="224"/>
      <c r="G104" s="220" t="s">
        <v>866</v>
      </c>
      <c r="H104" s="854">
        <v>100</v>
      </c>
      <c r="O104" s="517"/>
      <c r="P104" s="517"/>
      <c r="Q104" s="517"/>
      <c r="R104" s="517"/>
      <c r="S104" s="517"/>
      <c r="T104" s="517">
        <f>1/NumberOfBeds_per_centre</f>
        <v>2.5000000000000001E-2</v>
      </c>
      <c r="U104" s="280">
        <f ca="1">Max_severe_capped_beds*R104+Max_total_capped_beds*T104+Max_critical_capped_beds*S104+Q104*(Total_severe_patients_in_bed_over_forecast+Total_crit_patients_in_bed_over_forecast)+O104*Total_admitted_capped_severe_patients+P104*Total_admitted_capped_critical_patients</f>
        <v>7.6562112507380391</v>
      </c>
      <c r="BE104" s="280">
        <f t="shared" ca="1" si="7"/>
        <v>7.6562112507380391</v>
      </c>
      <c r="BF104" s="299">
        <f ca="1">BE104*H104</f>
        <v>765.62112507380391</v>
      </c>
    </row>
    <row r="105" spans="1:58" hidden="1" x14ac:dyDescent="0.35">
      <c r="A105" s="15" t="s">
        <v>1103</v>
      </c>
      <c r="B105" s="529" t="s">
        <v>302</v>
      </c>
      <c r="C105" s="524" t="s">
        <v>610</v>
      </c>
      <c r="D105" s="515" t="s">
        <v>785</v>
      </c>
      <c r="E105" s="219" t="s">
        <v>289</v>
      </c>
      <c r="F105" s="224"/>
      <c r="G105" s="220" t="s">
        <v>866</v>
      </c>
      <c r="H105" s="854">
        <v>100</v>
      </c>
      <c r="O105" s="517"/>
      <c r="P105" s="517"/>
      <c r="Q105" s="517"/>
      <c r="R105" s="517"/>
      <c r="S105" s="517"/>
      <c r="T105" s="517">
        <f>1/NumberOfBeds_per_centre</f>
        <v>2.5000000000000001E-2</v>
      </c>
      <c r="U105" s="280">
        <f ca="1">Max_severe_capped_beds*R105+Max_total_capped_beds*T105+Max_critical_capped_beds*S105+Q105*(Total_severe_patients_in_bed_over_forecast+Total_crit_patients_in_bed_over_forecast)+O105*Total_admitted_capped_severe_patients+P105*Total_admitted_capped_critical_patients</f>
        <v>7.6562112507380391</v>
      </c>
      <c r="BE105" s="280">
        <f t="shared" ca="1" si="7"/>
        <v>7.6562112507380391</v>
      </c>
      <c r="BF105" s="299">
        <f ca="1">BE105*H105</f>
        <v>765.62112507380391</v>
      </c>
    </row>
    <row r="106" spans="1:58" ht="30.75" hidden="1" customHeight="1" thickBot="1" x14ac:dyDescent="0.4">
      <c r="A106" s="15" t="s">
        <v>1103</v>
      </c>
      <c r="B106" s="529" t="s">
        <v>1410</v>
      </c>
      <c r="C106" s="524" t="s">
        <v>1407</v>
      </c>
      <c r="D106" s="515" t="s">
        <v>783</v>
      </c>
      <c r="E106" s="219" t="s">
        <v>289</v>
      </c>
      <c r="F106" s="224" t="s">
        <v>589</v>
      </c>
      <c r="G106" s="220"/>
      <c r="H106" s="854">
        <v>4600</v>
      </c>
      <c r="O106" s="794"/>
      <c r="P106" s="795"/>
      <c r="Q106" s="795"/>
      <c r="R106" s="795"/>
      <c r="S106" s="795"/>
      <c r="T106" s="795">
        <f>1/NumberOfBeds_per_centre</f>
        <v>2.5000000000000001E-2</v>
      </c>
      <c r="U106" s="309">
        <f ca="1">Max_severe_capped_beds*R106+Max_total_capped_beds*T106+Max_critical_capped_beds*S106+Q106*(Total_severe_patients_in_bed_over_forecast+Total_crit_patients_in_bed_over_forecast)+O106*Total_admitted_capped_severe_patients+P106*Total_admitted_capped_critical_patients</f>
        <v>7.6562112507380391</v>
      </c>
      <c r="BE106" s="786">
        <f t="shared" ca="1" si="7"/>
        <v>7.6562112507380391</v>
      </c>
      <c r="BF106" s="791">
        <f t="shared" ref="BF106:BF112" ca="1" si="8">IF(H106="*",0,BE106*H106)</f>
        <v>35218.571753394979</v>
      </c>
    </row>
    <row r="107" spans="1:58" s="129" customFormat="1" ht="30" hidden="1" customHeight="1" x14ac:dyDescent="0.35">
      <c r="A107" s="15" t="s">
        <v>1103</v>
      </c>
      <c r="B107" s="529" t="s">
        <v>1410</v>
      </c>
      <c r="C107" s="524" t="s">
        <v>1401</v>
      </c>
      <c r="D107" s="515" t="s">
        <v>992</v>
      </c>
      <c r="E107" s="219" t="s">
        <v>289</v>
      </c>
      <c r="F107" s="224" t="s">
        <v>589</v>
      </c>
      <c r="G107" s="220"/>
      <c r="H107" s="854">
        <v>0.55000000000000004</v>
      </c>
      <c r="N107" s="722"/>
      <c r="O107" s="842"/>
      <c r="P107" s="843"/>
      <c r="Q107" s="843"/>
      <c r="R107" s="843"/>
      <c r="S107" s="843">
        <v>0.5</v>
      </c>
      <c r="T107" s="843"/>
      <c r="U107" s="272">
        <f t="shared" ref="U107:U112" ca="1" si="9">Max_severe_capped_beds*R107+Max_total_capped_beds*T107+Max_critical_capped_beds*S107+Q107*(Total_severe_patients_in_bed_over_forecast+Total_crit_patients_in_bed_over_forecast)+O107*Total_admitted_capped_severe_patients+P107*Total_admitted_capped_critical_patients</f>
        <v>46.073118814257974</v>
      </c>
      <c r="BE107" s="784">
        <f t="shared" ca="1" si="7"/>
        <v>46.073118814257974</v>
      </c>
      <c r="BF107" s="792">
        <f t="shared" ca="1" si="8"/>
        <v>25.340215347841887</v>
      </c>
    </row>
    <row r="108" spans="1:58" hidden="1" x14ac:dyDescent="0.35">
      <c r="A108" s="15" t="s">
        <v>1103</v>
      </c>
      <c r="B108" s="529" t="s">
        <v>1409</v>
      </c>
      <c r="C108" s="524" t="s">
        <v>1408</v>
      </c>
      <c r="D108" s="515" t="s">
        <v>786</v>
      </c>
      <c r="E108" s="219" t="s">
        <v>289</v>
      </c>
      <c r="F108" s="224" t="s">
        <v>589</v>
      </c>
      <c r="G108" s="220" t="s">
        <v>866</v>
      </c>
      <c r="H108" s="854">
        <v>500</v>
      </c>
      <c r="O108" s="842"/>
      <c r="P108" s="843"/>
      <c r="Q108" s="843"/>
      <c r="R108" s="843"/>
      <c r="S108" s="843"/>
      <c r="T108" s="843">
        <f>1/NumberOfBeds_per_centre</f>
        <v>2.5000000000000001E-2</v>
      </c>
      <c r="U108" s="272">
        <f t="shared" ca="1" si="9"/>
        <v>7.6562112507380391</v>
      </c>
      <c r="BE108" s="784">
        <f t="shared" ca="1" si="7"/>
        <v>7.6562112507380391</v>
      </c>
      <c r="BF108" s="792">
        <f t="shared" ca="1" si="8"/>
        <v>3828.1056253690194</v>
      </c>
    </row>
    <row r="109" spans="1:58" hidden="1" x14ac:dyDescent="0.35">
      <c r="A109" s="15" t="s">
        <v>1103</v>
      </c>
      <c r="B109" s="529" t="s">
        <v>1409</v>
      </c>
      <c r="C109" s="524" t="s">
        <v>1408</v>
      </c>
      <c r="D109" s="515" t="s">
        <v>787</v>
      </c>
      <c r="E109" s="219" t="s">
        <v>289</v>
      </c>
      <c r="F109" s="224" t="s">
        <v>589</v>
      </c>
      <c r="G109" s="220" t="s">
        <v>866</v>
      </c>
      <c r="H109" s="854">
        <v>1200</v>
      </c>
      <c r="O109" s="842"/>
      <c r="P109" s="843"/>
      <c r="Q109" s="843"/>
      <c r="R109" s="843"/>
      <c r="S109" s="843"/>
      <c r="T109" s="843">
        <f>1/NumberOfBeds_per_centre</f>
        <v>2.5000000000000001E-2</v>
      </c>
      <c r="U109" s="272">
        <f t="shared" ca="1" si="9"/>
        <v>7.6562112507380391</v>
      </c>
      <c r="BE109" s="784">
        <f t="shared" ca="1" si="7"/>
        <v>7.6562112507380391</v>
      </c>
      <c r="BF109" s="792">
        <f t="shared" ca="1" si="8"/>
        <v>9187.4535008856474</v>
      </c>
    </row>
    <row r="110" spans="1:58" s="129" customFormat="1" ht="29" hidden="1" x14ac:dyDescent="0.35">
      <c r="A110" s="15" t="s">
        <v>1103</v>
      </c>
      <c r="B110" s="529" t="s">
        <v>302</v>
      </c>
      <c r="C110" s="524" t="s">
        <v>999</v>
      </c>
      <c r="D110" s="515" t="s">
        <v>1115</v>
      </c>
      <c r="E110" s="219" t="s">
        <v>289</v>
      </c>
      <c r="F110" s="738" t="s">
        <v>589</v>
      </c>
      <c r="G110" s="522" t="s">
        <v>990</v>
      </c>
      <c r="H110" s="814"/>
      <c r="N110" s="722"/>
      <c r="O110" s="842"/>
      <c r="P110" s="843"/>
      <c r="Q110" s="843"/>
      <c r="R110" s="843"/>
      <c r="S110" s="843"/>
      <c r="T110" s="843">
        <f>0.05/2</f>
        <v>2.5000000000000001E-2</v>
      </c>
      <c r="U110" s="272">
        <f t="shared" ca="1" si="9"/>
        <v>7.6562112507380391</v>
      </c>
      <c r="V110" s="67"/>
      <c r="BE110" s="784">
        <f t="shared" ca="1" si="7"/>
        <v>7.6562112507380391</v>
      </c>
      <c r="BF110" s="792">
        <f t="shared" ca="1" si="8"/>
        <v>0</v>
      </c>
    </row>
    <row r="111" spans="1:58" s="129" customFormat="1" ht="43.5" hidden="1" x14ac:dyDescent="0.35">
      <c r="A111" s="15" t="s">
        <v>1103</v>
      </c>
      <c r="B111" s="735" t="s">
        <v>1410</v>
      </c>
      <c r="C111" s="524" t="s">
        <v>1407</v>
      </c>
      <c r="D111" s="515" t="s">
        <v>1153</v>
      </c>
      <c r="E111" s="219" t="s">
        <v>289</v>
      </c>
      <c r="F111" s="738" t="s">
        <v>589</v>
      </c>
      <c r="G111" s="522"/>
      <c r="H111" s="814">
        <v>39.49</v>
      </c>
      <c r="N111" s="722"/>
      <c r="O111" s="844"/>
      <c r="P111" s="845"/>
      <c r="Q111" s="845"/>
      <c r="R111" s="845">
        <f>R68</f>
        <v>0.25</v>
      </c>
      <c r="S111" s="845">
        <f>S68</f>
        <v>1</v>
      </c>
      <c r="T111" s="845"/>
      <c r="U111" s="272">
        <f t="shared" ca="1" si="9"/>
        <v>145.67179072876735</v>
      </c>
      <c r="V111" s="67"/>
      <c r="BE111" s="784">
        <f t="shared" ca="1" si="7"/>
        <v>145.67179072876735</v>
      </c>
      <c r="BF111" s="792">
        <f t="shared" ca="1" si="8"/>
        <v>5752.5790158790232</v>
      </c>
    </row>
    <row r="112" spans="1:58" s="129" customFormat="1" ht="32.25" hidden="1" customHeight="1" thickBot="1" x14ac:dyDescent="0.4">
      <c r="A112" s="15" t="s">
        <v>1103</v>
      </c>
      <c r="B112" s="736" t="s">
        <v>1410</v>
      </c>
      <c r="C112" s="737" t="s">
        <v>1412</v>
      </c>
      <c r="D112" s="847" t="s">
        <v>953</v>
      </c>
      <c r="E112" s="619" t="s">
        <v>289</v>
      </c>
      <c r="F112" s="803" t="s">
        <v>590</v>
      </c>
      <c r="G112" s="804"/>
      <c r="H112" s="815">
        <v>1.58</v>
      </c>
      <c r="N112" s="722"/>
      <c r="O112" s="842"/>
      <c r="P112" s="843">
        <f>2/3</f>
        <v>0.66666666666666663</v>
      </c>
      <c r="Q112" s="843"/>
      <c r="R112" s="843"/>
      <c r="S112" s="843"/>
      <c r="T112" s="843"/>
      <c r="U112" s="272">
        <f t="shared" ca="1" si="9"/>
        <v>67.076433316783181</v>
      </c>
      <c r="BE112" s="784">
        <f t="shared" ca="1" si="7"/>
        <v>67.076433316783181</v>
      </c>
      <c r="BF112" s="792">
        <f t="shared" ca="1" si="8"/>
        <v>105.98076464051744</v>
      </c>
    </row>
    <row r="113" spans="2:58" s="6" customFormat="1" hidden="1" x14ac:dyDescent="0.35">
      <c r="B113" s="527"/>
      <c r="C113" s="527"/>
      <c r="D113" s="333"/>
      <c r="E113" s="333"/>
      <c r="F113" s="332"/>
      <c r="G113" s="7"/>
      <c r="H113" s="334"/>
      <c r="R113" s="335"/>
      <c r="S113" s="335"/>
      <c r="T113" s="335"/>
      <c r="U113" s="336"/>
      <c r="BE113" s="336"/>
      <c r="BF113" s="337"/>
    </row>
    <row r="114" spans="2:58" s="129" customFormat="1" hidden="1" x14ac:dyDescent="0.35">
      <c r="B114" s="65" t="s">
        <v>1307</v>
      </c>
      <c r="C114" s="1321">
        <v>1</v>
      </c>
      <c r="G114" s="250"/>
      <c r="H114" s="261"/>
      <c r="I114"/>
      <c r="N114" s="722"/>
      <c r="AH114"/>
    </row>
    <row r="115" spans="2:58" s="129" customFormat="1" ht="43.5" hidden="1" x14ac:dyDescent="0.35">
      <c r="B115" s="65" t="s">
        <v>781</v>
      </c>
      <c r="C115" s="1322">
        <v>7</v>
      </c>
      <c r="G115" s="250"/>
      <c r="H115" s="261"/>
      <c r="I115"/>
      <c r="N115" s="722"/>
      <c r="AH115"/>
    </row>
    <row r="116" spans="2:58" x14ac:dyDescent="0.35">
      <c r="B116"/>
      <c r="C116"/>
      <c r="E116"/>
      <c r="H116"/>
      <c r="O116"/>
      <c r="P116"/>
      <c r="R116"/>
      <c r="S116"/>
      <c r="T116"/>
      <c r="AE116"/>
      <c r="AF116"/>
      <c r="AG116"/>
      <c r="AP116"/>
      <c r="AQ116"/>
      <c r="AR116"/>
      <c r="AS116"/>
      <c r="AT116"/>
      <c r="AU116"/>
      <c r="AV116"/>
    </row>
    <row r="117" spans="2:58" s="604" customFormat="1" ht="18.5" x14ac:dyDescent="0.45">
      <c r="B117" s="606" t="s">
        <v>1708</v>
      </c>
      <c r="C117" s="605"/>
    </row>
    <row r="118" spans="2:58" s="63" customFormat="1" ht="15" thickBot="1" x14ac:dyDescent="0.4">
      <c r="B118" s="915" t="s">
        <v>1355</v>
      </c>
      <c r="C118" s="528"/>
      <c r="I118"/>
      <c r="AH118"/>
    </row>
    <row r="119" spans="2:58" s="63" customFormat="1" ht="87.5" thickBot="1" x14ac:dyDescent="0.4">
      <c r="B119" s="773" t="s">
        <v>1582</v>
      </c>
      <c r="C119" s="773" t="s">
        <v>872</v>
      </c>
      <c r="D119" s="773" t="s">
        <v>1583</v>
      </c>
      <c r="E119" s="773" t="s">
        <v>735</v>
      </c>
      <c r="F119" s="996" t="s">
        <v>736</v>
      </c>
      <c r="I119" s="909"/>
      <c r="AH119" s="909"/>
    </row>
    <row r="120" spans="2:58" s="63" customFormat="1" x14ac:dyDescent="0.35">
      <c r="B120" s="1575" t="s">
        <v>1584</v>
      </c>
      <c r="C120" s="1047">
        <v>1</v>
      </c>
      <c r="D120" s="1041" t="s">
        <v>1585</v>
      </c>
      <c r="E120" s="997">
        <v>30</v>
      </c>
      <c r="F120" s="1001">
        <f ca="1">E120*'User Dashboard'!$G$194</f>
        <v>301.84394992552438</v>
      </c>
      <c r="I120" s="909"/>
      <c r="AH120" s="909"/>
    </row>
    <row r="121" spans="2:58" s="63" customFormat="1" x14ac:dyDescent="0.35">
      <c r="B121" s="1576"/>
      <c r="C121" s="1048">
        <v>2</v>
      </c>
      <c r="D121" s="999" t="s">
        <v>1586</v>
      </c>
      <c r="E121" s="1000">
        <v>200</v>
      </c>
      <c r="F121" s="1001">
        <f ca="1">E121*'User Dashboard'!$G$194</f>
        <v>2012.2929995034958</v>
      </c>
      <c r="I121" s="909"/>
      <c r="AH121" s="909"/>
    </row>
    <row r="122" spans="2:58" s="63" customFormat="1" x14ac:dyDescent="0.35">
      <c r="B122" s="1576"/>
      <c r="C122" s="1048">
        <v>3</v>
      </c>
      <c r="D122" s="1042" t="s">
        <v>1587</v>
      </c>
      <c r="E122" s="1000">
        <v>100</v>
      </c>
      <c r="F122" s="1001">
        <f ca="1">E122*'User Dashboard'!$G$194</f>
        <v>1006.1464997517479</v>
      </c>
      <c r="I122" s="909"/>
      <c r="AH122" s="909"/>
    </row>
    <row r="123" spans="2:58" s="63" customFormat="1" x14ac:dyDescent="0.35">
      <c r="B123" s="1576"/>
      <c r="C123" s="1048">
        <v>4</v>
      </c>
      <c r="D123" s="1042" t="s">
        <v>1588</v>
      </c>
      <c r="E123" s="1000">
        <v>30</v>
      </c>
      <c r="F123" s="1001">
        <f ca="1">E123*'User Dashboard'!$G$194</f>
        <v>301.84394992552438</v>
      </c>
      <c r="I123" s="909"/>
      <c r="AH123" s="909"/>
    </row>
    <row r="124" spans="2:58" s="63" customFormat="1" ht="26" x14ac:dyDescent="0.35">
      <c r="B124" s="1576"/>
      <c r="C124" s="1048">
        <v>5</v>
      </c>
      <c r="D124" s="1042" t="s">
        <v>1589</v>
      </c>
      <c r="E124" s="1000">
        <v>100</v>
      </c>
      <c r="F124" s="1001">
        <f ca="1">E124*'User Dashboard'!$G$194</f>
        <v>1006.1464997517479</v>
      </c>
      <c r="I124" s="909"/>
      <c r="AH124" s="909"/>
    </row>
    <row r="125" spans="2:58" s="63" customFormat="1" ht="26" x14ac:dyDescent="0.35">
      <c r="B125" s="1576"/>
      <c r="C125" s="1048">
        <v>6</v>
      </c>
      <c r="D125" s="1042" t="s">
        <v>1590</v>
      </c>
      <c r="E125" s="1000">
        <v>400</v>
      </c>
      <c r="F125" s="1001">
        <f ca="1">E125*'User Dashboard'!$G$194</f>
        <v>4024.5859990069916</v>
      </c>
      <c r="I125" s="909"/>
      <c r="AH125" s="909"/>
    </row>
    <row r="126" spans="2:58" s="63" customFormat="1" x14ac:dyDescent="0.35">
      <c r="B126" s="1576"/>
      <c r="C126" s="1048">
        <v>7</v>
      </c>
      <c r="D126" s="1042" t="s">
        <v>1591</v>
      </c>
      <c r="E126" s="1000">
        <v>400</v>
      </c>
      <c r="F126" s="1001">
        <f ca="1">E126*'User Dashboard'!$G$194</f>
        <v>4024.5859990069916</v>
      </c>
      <c r="I126" s="909"/>
      <c r="AH126" s="909"/>
    </row>
    <row r="127" spans="2:58" s="63" customFormat="1" x14ac:dyDescent="0.35">
      <c r="B127" s="1576"/>
      <c r="C127" s="1048">
        <v>8</v>
      </c>
      <c r="D127" s="1042" t="s">
        <v>1592</v>
      </c>
      <c r="E127" s="1000">
        <v>2000</v>
      </c>
      <c r="F127" s="1001">
        <f ca="1">E127*'User Dashboard'!$G$194</f>
        <v>20122.92999503496</v>
      </c>
      <c r="I127" s="909"/>
      <c r="AH127" s="909"/>
    </row>
    <row r="128" spans="2:58" s="63" customFormat="1" x14ac:dyDescent="0.35">
      <c r="B128" s="1576"/>
      <c r="C128" s="1048">
        <v>9</v>
      </c>
      <c r="D128" s="1042" t="s">
        <v>1593</v>
      </c>
      <c r="E128" s="1000">
        <v>500</v>
      </c>
      <c r="F128" s="1001">
        <f ca="1">E128*'User Dashboard'!$G$194</f>
        <v>5030.7324987587399</v>
      </c>
      <c r="I128" s="909"/>
      <c r="AH128" s="909"/>
    </row>
    <row r="129" spans="2:34" s="63" customFormat="1" x14ac:dyDescent="0.35">
      <c r="B129" s="1576"/>
      <c r="C129" s="1048">
        <v>10</v>
      </c>
      <c r="D129" s="1042" t="s">
        <v>1594</v>
      </c>
      <c r="E129" s="1000">
        <v>200</v>
      </c>
      <c r="F129" s="1001">
        <f ca="1">E129*'User Dashboard'!$G$194</f>
        <v>2012.2929995034958</v>
      </c>
      <c r="I129" s="909"/>
      <c r="AH129" s="909"/>
    </row>
    <row r="130" spans="2:34" s="63" customFormat="1" x14ac:dyDescent="0.35">
      <c r="B130" s="1576"/>
      <c r="C130" s="1048">
        <v>11</v>
      </c>
      <c r="D130" s="1042" t="s">
        <v>1595</v>
      </c>
      <c r="E130" s="1000">
        <v>400</v>
      </c>
      <c r="F130" s="1001">
        <f ca="1">E130*'User Dashboard'!$G$194</f>
        <v>4024.5859990069916</v>
      </c>
      <c r="I130" s="909"/>
      <c r="AH130" s="909"/>
    </row>
    <row r="131" spans="2:34" s="63" customFormat="1" x14ac:dyDescent="0.35">
      <c r="B131" s="1576"/>
      <c r="C131" s="1048">
        <v>12</v>
      </c>
      <c r="D131" s="1042" t="s">
        <v>1596</v>
      </c>
      <c r="E131" s="1000">
        <v>200</v>
      </c>
      <c r="F131" s="1001">
        <f ca="1">E131*'User Dashboard'!$G$194</f>
        <v>2012.2929995034958</v>
      </c>
      <c r="I131" s="909"/>
      <c r="AH131" s="909"/>
    </row>
    <row r="132" spans="2:34" s="63" customFormat="1" x14ac:dyDescent="0.35">
      <c r="B132" s="1576"/>
      <c r="C132" s="1048">
        <v>13</v>
      </c>
      <c r="D132" s="1042" t="s">
        <v>1597</v>
      </c>
      <c r="E132" s="1000">
        <v>40</v>
      </c>
      <c r="F132" s="1001">
        <f ca="1">E132*'User Dashboard'!$G$194</f>
        <v>402.45859990069914</v>
      </c>
      <c r="I132" s="909"/>
      <c r="AH132" s="909"/>
    </row>
    <row r="133" spans="2:34" s="63" customFormat="1" ht="26" x14ac:dyDescent="0.35">
      <c r="B133" s="1576"/>
      <c r="C133" s="1048">
        <v>14</v>
      </c>
      <c r="D133" s="1042" t="s">
        <v>1598</v>
      </c>
      <c r="E133" s="1000">
        <v>100</v>
      </c>
      <c r="F133" s="1001">
        <f ca="1">E133*'User Dashboard'!$G$194</f>
        <v>1006.1464997517479</v>
      </c>
      <c r="I133" s="909"/>
      <c r="AH133" s="909"/>
    </row>
    <row r="134" spans="2:34" s="63" customFormat="1" x14ac:dyDescent="0.35">
      <c r="B134" s="1576"/>
      <c r="C134" s="1048">
        <v>15</v>
      </c>
      <c r="D134" s="1042" t="s">
        <v>1599</v>
      </c>
      <c r="E134" s="1000">
        <v>200</v>
      </c>
      <c r="F134" s="1001">
        <f ca="1">E134*'User Dashboard'!$G$194</f>
        <v>2012.2929995034958</v>
      </c>
      <c r="I134" s="909"/>
      <c r="AH134" s="909"/>
    </row>
    <row r="135" spans="2:34" s="63" customFormat="1" x14ac:dyDescent="0.35">
      <c r="B135" s="1576"/>
      <c r="C135" s="1048">
        <v>16</v>
      </c>
      <c r="D135" s="1042" t="s">
        <v>1600</v>
      </c>
      <c r="E135" s="1000">
        <v>400</v>
      </c>
      <c r="F135" s="1001">
        <f ca="1">E135*'User Dashboard'!$G$194</f>
        <v>4024.5859990069916</v>
      </c>
      <c r="I135" s="909"/>
      <c r="AH135" s="909"/>
    </row>
    <row r="136" spans="2:34" s="63" customFormat="1" x14ac:dyDescent="0.35">
      <c r="B136" s="1576"/>
      <c r="C136" s="1048">
        <v>17</v>
      </c>
      <c r="D136" s="1042" t="s">
        <v>1601</v>
      </c>
      <c r="E136" s="1000">
        <v>200</v>
      </c>
      <c r="F136" s="1001">
        <f ca="1">E136*'User Dashboard'!$G$194</f>
        <v>2012.2929995034958</v>
      </c>
      <c r="I136" s="909"/>
      <c r="AH136" s="909"/>
    </row>
    <row r="137" spans="2:34" s="63" customFormat="1" x14ac:dyDescent="0.35">
      <c r="B137" s="1576"/>
      <c r="C137" s="1048">
        <v>18</v>
      </c>
      <c r="D137" s="1042" t="s">
        <v>1602</v>
      </c>
      <c r="E137" s="1000">
        <v>50</v>
      </c>
      <c r="F137" s="1001">
        <f ca="1">E137*'User Dashboard'!$G$194</f>
        <v>503.07324987587396</v>
      </c>
      <c r="I137" s="909"/>
      <c r="AH137" s="909"/>
    </row>
    <row r="138" spans="2:34" s="63" customFormat="1" x14ac:dyDescent="0.35">
      <c r="B138" s="1576"/>
      <c r="C138" s="1048">
        <v>19</v>
      </c>
      <c r="D138" s="1042" t="s">
        <v>1603</v>
      </c>
      <c r="E138" s="1000">
        <v>400</v>
      </c>
      <c r="F138" s="1001">
        <f ca="1">E138*'User Dashboard'!$G$194</f>
        <v>4024.5859990069916</v>
      </c>
      <c r="I138" s="909"/>
      <c r="AH138" s="909"/>
    </row>
    <row r="139" spans="2:34" s="63" customFormat="1" ht="26" x14ac:dyDescent="0.35">
      <c r="B139" s="1576"/>
      <c r="C139" s="1048">
        <v>20</v>
      </c>
      <c r="D139" s="1042" t="s">
        <v>1604</v>
      </c>
      <c r="E139" s="1000">
        <v>1000</v>
      </c>
      <c r="F139" s="1001">
        <f ca="1">E139*'User Dashboard'!$G$194</f>
        <v>10061.46499751748</v>
      </c>
      <c r="I139" s="909"/>
      <c r="AH139" s="909"/>
    </row>
    <row r="140" spans="2:34" s="63" customFormat="1" x14ac:dyDescent="0.35">
      <c r="B140" s="1576"/>
      <c r="C140" s="1048">
        <v>21</v>
      </c>
      <c r="D140" s="1042" t="s">
        <v>1605</v>
      </c>
      <c r="E140" s="1000">
        <v>500</v>
      </c>
      <c r="F140" s="1001">
        <f ca="1">E140*'User Dashboard'!$G$194</f>
        <v>5030.7324987587399</v>
      </c>
      <c r="I140" s="909"/>
      <c r="AH140" s="909"/>
    </row>
    <row r="141" spans="2:34" s="63" customFormat="1" ht="26" x14ac:dyDescent="0.35">
      <c r="B141" s="1576"/>
      <c r="C141" s="1048">
        <v>22</v>
      </c>
      <c r="D141" s="1042" t="s">
        <v>1606</v>
      </c>
      <c r="E141" s="1000">
        <v>100</v>
      </c>
      <c r="F141" s="1001">
        <f ca="1">E141*'User Dashboard'!$G$194</f>
        <v>1006.1464997517479</v>
      </c>
      <c r="I141" s="909"/>
      <c r="AH141" s="909"/>
    </row>
    <row r="142" spans="2:34" s="63" customFormat="1" ht="26" x14ac:dyDescent="0.35">
      <c r="B142" s="1576"/>
      <c r="C142" s="1048">
        <v>23</v>
      </c>
      <c r="D142" s="1042" t="s">
        <v>1607</v>
      </c>
      <c r="E142" s="1000">
        <v>200</v>
      </c>
      <c r="F142" s="1001">
        <f ca="1">E142*'User Dashboard'!$G$194</f>
        <v>2012.2929995034958</v>
      </c>
      <c r="I142" s="909"/>
      <c r="AH142" s="909"/>
    </row>
    <row r="143" spans="2:34" s="63" customFormat="1" x14ac:dyDescent="0.35">
      <c r="B143" s="1576"/>
      <c r="C143" s="1048">
        <v>24</v>
      </c>
      <c r="D143" s="1042" t="s">
        <v>1608</v>
      </c>
      <c r="E143" s="1000">
        <v>600</v>
      </c>
      <c r="F143" s="1001">
        <f ca="1">E143*'User Dashboard'!$G$194</f>
        <v>6036.8789985104877</v>
      </c>
      <c r="I143" s="909"/>
      <c r="AH143" s="909"/>
    </row>
    <row r="144" spans="2:34" s="63" customFormat="1" x14ac:dyDescent="0.35">
      <c r="B144" s="1576"/>
      <c r="C144" s="1048">
        <v>25</v>
      </c>
      <c r="D144" s="1042" t="s">
        <v>1609</v>
      </c>
      <c r="E144" s="1000">
        <v>200</v>
      </c>
      <c r="F144" s="1001">
        <f ca="1">E144*'User Dashboard'!$G$194</f>
        <v>2012.2929995034958</v>
      </c>
      <c r="I144" s="909"/>
      <c r="AH144" s="909"/>
    </row>
    <row r="145" spans="2:34" s="63" customFormat="1" ht="26" x14ac:dyDescent="0.35">
      <c r="B145" s="1576"/>
      <c r="C145" s="1048">
        <v>26</v>
      </c>
      <c r="D145" s="1042" t="s">
        <v>1610</v>
      </c>
      <c r="E145" s="1000">
        <v>400</v>
      </c>
      <c r="F145" s="1001">
        <f ca="1">E145*'User Dashboard'!$G$194</f>
        <v>4024.5859990069916</v>
      </c>
      <c r="I145" s="909"/>
      <c r="AH145" s="909"/>
    </row>
    <row r="146" spans="2:34" s="63" customFormat="1" x14ac:dyDescent="0.35">
      <c r="B146" s="1576"/>
      <c r="C146" s="1048">
        <v>27</v>
      </c>
      <c r="D146" s="1042" t="s">
        <v>1611</v>
      </c>
      <c r="E146" s="1000">
        <v>60</v>
      </c>
      <c r="F146" s="1001">
        <f ca="1">E146*'User Dashboard'!$G$194</f>
        <v>603.68789985104877</v>
      </c>
      <c r="I146" s="909"/>
      <c r="AH146" s="909"/>
    </row>
    <row r="147" spans="2:34" s="63" customFormat="1" x14ac:dyDescent="0.35">
      <c r="B147" s="1576"/>
      <c r="C147" s="1048">
        <v>28</v>
      </c>
      <c r="D147" s="1042" t="s">
        <v>1612</v>
      </c>
      <c r="E147" s="1000">
        <v>100</v>
      </c>
      <c r="F147" s="1001">
        <f ca="1">E147*'User Dashboard'!$G$194</f>
        <v>1006.1464997517479</v>
      </c>
      <c r="I147" s="909"/>
      <c r="AH147" s="909"/>
    </row>
    <row r="148" spans="2:34" s="63" customFormat="1" x14ac:dyDescent="0.35">
      <c r="B148" s="1576"/>
      <c r="C148" s="1048">
        <v>29</v>
      </c>
      <c r="D148" s="1042" t="s">
        <v>1613</v>
      </c>
      <c r="E148" s="1000">
        <v>40</v>
      </c>
      <c r="F148" s="1001">
        <f ca="1">E148*'User Dashboard'!$G$194</f>
        <v>402.45859990069914</v>
      </c>
      <c r="I148" s="909"/>
      <c r="AH148" s="909"/>
    </row>
    <row r="149" spans="2:34" s="63" customFormat="1" x14ac:dyDescent="0.35">
      <c r="B149" s="1576"/>
      <c r="C149" s="1048">
        <v>30</v>
      </c>
      <c r="D149" s="1042" t="s">
        <v>1614</v>
      </c>
      <c r="E149" s="1000">
        <v>600</v>
      </c>
      <c r="F149" s="1001">
        <f ca="1">E149*'User Dashboard'!$G$194</f>
        <v>6036.8789985104877</v>
      </c>
      <c r="I149" s="909"/>
      <c r="AH149" s="909"/>
    </row>
    <row r="150" spans="2:34" s="63" customFormat="1" ht="26" x14ac:dyDescent="0.35">
      <c r="B150" s="1576"/>
      <c r="C150" s="1048">
        <v>31</v>
      </c>
      <c r="D150" s="1042" t="s">
        <v>1615</v>
      </c>
      <c r="E150" s="1000">
        <v>200</v>
      </c>
      <c r="F150" s="1001">
        <f ca="1">E150*'User Dashboard'!$G$194</f>
        <v>2012.2929995034958</v>
      </c>
      <c r="I150" s="909"/>
      <c r="AH150" s="909"/>
    </row>
    <row r="151" spans="2:34" s="63" customFormat="1" x14ac:dyDescent="0.35">
      <c r="B151" s="1576"/>
      <c r="C151" s="1048">
        <v>32</v>
      </c>
      <c r="D151" s="1042" t="s">
        <v>1616</v>
      </c>
      <c r="E151" s="1000">
        <v>30</v>
      </c>
      <c r="F151" s="1001">
        <f ca="1">E151*'User Dashboard'!$G$194</f>
        <v>301.84394992552438</v>
      </c>
      <c r="I151" s="909"/>
      <c r="AH151" s="909"/>
    </row>
    <row r="152" spans="2:34" s="63" customFormat="1" x14ac:dyDescent="0.35">
      <c r="B152" s="1576"/>
      <c r="C152" s="1048">
        <v>33</v>
      </c>
      <c r="D152" s="1042" t="s">
        <v>1617</v>
      </c>
      <c r="E152" s="1000">
        <v>200</v>
      </c>
      <c r="F152" s="1001">
        <f ca="1">E152*'User Dashboard'!$G$194</f>
        <v>2012.2929995034958</v>
      </c>
      <c r="I152" s="909"/>
      <c r="AH152" s="909"/>
    </row>
    <row r="153" spans="2:34" s="63" customFormat="1" x14ac:dyDescent="0.35">
      <c r="B153" s="1576"/>
      <c r="C153" s="1048">
        <v>34</v>
      </c>
      <c r="D153" s="1042" t="s">
        <v>1618</v>
      </c>
      <c r="E153" s="1000">
        <v>200</v>
      </c>
      <c r="F153" s="1001">
        <f ca="1">E153*'User Dashboard'!$G$194</f>
        <v>2012.2929995034958</v>
      </c>
      <c r="I153" s="909"/>
      <c r="AH153" s="909"/>
    </row>
    <row r="154" spans="2:34" s="63" customFormat="1" x14ac:dyDescent="0.35">
      <c r="B154" s="1576"/>
      <c r="C154" s="1048">
        <v>35</v>
      </c>
      <c r="D154" s="1042" t="s">
        <v>1619</v>
      </c>
      <c r="E154" s="1000">
        <v>40</v>
      </c>
      <c r="F154" s="1001">
        <f ca="1">E154*'User Dashboard'!$G$194</f>
        <v>402.45859990069914</v>
      </c>
      <c r="I154" s="909"/>
      <c r="AH154" s="909"/>
    </row>
    <row r="155" spans="2:34" s="63" customFormat="1" x14ac:dyDescent="0.35">
      <c r="B155" s="1576"/>
      <c r="C155" s="1048">
        <v>36</v>
      </c>
      <c r="D155" s="1042" t="s">
        <v>1620</v>
      </c>
      <c r="E155" s="1000">
        <v>200</v>
      </c>
      <c r="F155" s="1001">
        <f ca="1">E155*'User Dashboard'!$G$194</f>
        <v>2012.2929995034958</v>
      </c>
      <c r="I155" s="909"/>
      <c r="AH155" s="909"/>
    </row>
    <row r="156" spans="2:34" s="63" customFormat="1" ht="26" x14ac:dyDescent="0.35">
      <c r="B156" s="1576"/>
      <c r="C156" s="1048">
        <v>37</v>
      </c>
      <c r="D156" s="1042" t="s">
        <v>1621</v>
      </c>
      <c r="E156" s="1000">
        <v>30</v>
      </c>
      <c r="F156" s="1001">
        <f ca="1">E156*'User Dashboard'!$G$194</f>
        <v>301.84394992552438</v>
      </c>
      <c r="I156" s="909"/>
      <c r="AH156" s="909"/>
    </row>
    <row r="157" spans="2:34" s="63" customFormat="1" ht="26" x14ac:dyDescent="0.35">
      <c r="B157" s="1576"/>
      <c r="C157" s="1048">
        <v>38</v>
      </c>
      <c r="D157" s="1042" t="s">
        <v>1622</v>
      </c>
      <c r="E157" s="1000">
        <v>80</v>
      </c>
      <c r="F157" s="1001">
        <f ca="1">E157*'User Dashboard'!$G$194</f>
        <v>804.91719980139828</v>
      </c>
      <c r="I157" s="909"/>
      <c r="AH157" s="909"/>
    </row>
    <row r="158" spans="2:34" s="63" customFormat="1" x14ac:dyDescent="0.35">
      <c r="B158" s="1576"/>
      <c r="C158" s="1048">
        <v>39</v>
      </c>
      <c r="D158" s="1042" t="s">
        <v>1623</v>
      </c>
      <c r="E158" s="1000">
        <v>200</v>
      </c>
      <c r="F158" s="1001">
        <f ca="1">E158*'User Dashboard'!$G$194</f>
        <v>2012.2929995034958</v>
      </c>
      <c r="I158" s="909"/>
      <c r="AH158" s="909"/>
    </row>
    <row r="159" spans="2:34" s="63" customFormat="1" ht="26" x14ac:dyDescent="0.35">
      <c r="B159" s="1576"/>
      <c r="C159" s="1048">
        <v>40</v>
      </c>
      <c r="D159" s="1042" t="s">
        <v>1624</v>
      </c>
      <c r="E159" s="1000">
        <v>200</v>
      </c>
      <c r="F159" s="1001">
        <f ca="1">E159*'User Dashboard'!$G$194</f>
        <v>2012.2929995034958</v>
      </c>
      <c r="I159" s="909"/>
      <c r="AH159" s="909"/>
    </row>
    <row r="160" spans="2:34" s="63" customFormat="1" x14ac:dyDescent="0.35">
      <c r="B160" s="1576"/>
      <c r="C160" s="1048">
        <v>41</v>
      </c>
      <c r="D160" s="1042" t="s">
        <v>1625</v>
      </c>
      <c r="E160" s="1000">
        <v>400</v>
      </c>
      <c r="F160" s="1001">
        <f ca="1">E160*'User Dashboard'!$G$194</f>
        <v>4024.5859990069916</v>
      </c>
      <c r="I160" s="909"/>
      <c r="AH160" s="909"/>
    </row>
    <row r="161" spans="2:34" s="63" customFormat="1" x14ac:dyDescent="0.35">
      <c r="B161" s="1576"/>
      <c r="C161" s="1048">
        <v>42</v>
      </c>
      <c r="D161" s="1042" t="s">
        <v>1626</v>
      </c>
      <c r="E161" s="1000">
        <v>200</v>
      </c>
      <c r="F161" s="1001">
        <f ca="1">E161*'User Dashboard'!$G$194</f>
        <v>2012.2929995034958</v>
      </c>
      <c r="I161" s="909"/>
      <c r="AH161" s="909"/>
    </row>
    <row r="162" spans="2:34" s="63" customFormat="1" ht="28.4" customHeight="1" x14ac:dyDescent="0.35">
      <c r="B162" s="1576"/>
      <c r="C162" s="1048">
        <v>43</v>
      </c>
      <c r="D162" s="1042" t="s">
        <v>1627</v>
      </c>
      <c r="E162" s="1000">
        <v>80</v>
      </c>
      <c r="F162" s="1001">
        <f ca="1">E162*'User Dashboard'!$G$194</f>
        <v>804.91719980139828</v>
      </c>
      <c r="I162" s="909"/>
      <c r="AH162" s="909"/>
    </row>
    <row r="163" spans="2:34" s="63" customFormat="1" ht="26" x14ac:dyDescent="0.35">
      <c r="B163" s="1576"/>
      <c r="C163" s="1048">
        <v>44</v>
      </c>
      <c r="D163" s="1042" t="s">
        <v>1628</v>
      </c>
      <c r="E163" s="1000">
        <v>1000</v>
      </c>
      <c r="F163" s="1001">
        <f ca="1">E163*'User Dashboard'!$G$194</f>
        <v>10061.46499751748</v>
      </c>
      <c r="I163" s="909"/>
      <c r="AH163" s="909"/>
    </row>
    <row r="164" spans="2:34" s="63" customFormat="1" ht="26" x14ac:dyDescent="0.35">
      <c r="B164" s="1576"/>
      <c r="C164" s="1048">
        <v>45</v>
      </c>
      <c r="D164" s="1042" t="s">
        <v>1629</v>
      </c>
      <c r="E164" s="1000">
        <v>30</v>
      </c>
      <c r="F164" s="1001">
        <f ca="1">E164*'User Dashboard'!$G$194</f>
        <v>301.84394992552438</v>
      </c>
      <c r="I164" s="909"/>
      <c r="AH164" s="909"/>
    </row>
    <row r="165" spans="2:34" s="63" customFormat="1" ht="29.15" customHeight="1" x14ac:dyDescent="0.35">
      <c r="B165" s="1576"/>
      <c r="C165" s="1048">
        <v>46</v>
      </c>
      <c r="D165" s="1042" t="s">
        <v>1630</v>
      </c>
      <c r="E165" s="1000">
        <v>200</v>
      </c>
      <c r="F165" s="1001">
        <f ca="1">E165*'User Dashboard'!$G$194</f>
        <v>2012.2929995034958</v>
      </c>
      <c r="I165" s="909"/>
      <c r="AH165" s="909"/>
    </row>
    <row r="166" spans="2:34" s="63" customFormat="1" x14ac:dyDescent="0.35">
      <c r="B166" s="1576"/>
      <c r="C166" s="1048">
        <v>47</v>
      </c>
      <c r="D166" s="1042" t="s">
        <v>1631</v>
      </c>
      <c r="E166" s="1000">
        <v>400</v>
      </c>
      <c r="F166" s="1001">
        <f ca="1">E166*'User Dashboard'!$G$194</f>
        <v>4024.5859990069916</v>
      </c>
      <c r="I166" s="909"/>
      <c r="AH166" s="909"/>
    </row>
    <row r="167" spans="2:34" s="63" customFormat="1" x14ac:dyDescent="0.35">
      <c r="B167" s="1576"/>
      <c r="C167" s="1048">
        <v>48</v>
      </c>
      <c r="D167" s="1042" t="s">
        <v>1632</v>
      </c>
      <c r="E167" s="1000">
        <v>100</v>
      </c>
      <c r="F167" s="1001">
        <f ca="1">E167*'User Dashboard'!$G$194</f>
        <v>1006.1464997517479</v>
      </c>
      <c r="I167" s="909"/>
      <c r="AH167" s="909"/>
    </row>
    <row r="168" spans="2:34" s="63" customFormat="1" ht="26" x14ac:dyDescent="0.35">
      <c r="B168" s="1576"/>
      <c r="C168" s="1048">
        <v>49</v>
      </c>
      <c r="D168" s="1042" t="s">
        <v>1633</v>
      </c>
      <c r="E168" s="1000">
        <v>400</v>
      </c>
      <c r="F168" s="1001">
        <f ca="1">E168*'User Dashboard'!$G$194</f>
        <v>4024.5859990069916</v>
      </c>
      <c r="I168" s="909"/>
      <c r="AH168" s="909"/>
    </row>
    <row r="169" spans="2:34" s="63" customFormat="1" x14ac:dyDescent="0.35">
      <c r="B169" s="1576"/>
      <c r="C169" s="1048">
        <v>50</v>
      </c>
      <c r="D169" s="1042" t="s">
        <v>1634</v>
      </c>
      <c r="E169" s="1000">
        <v>100</v>
      </c>
      <c r="F169" s="1001">
        <f ca="1">E169*'User Dashboard'!$G$194</f>
        <v>1006.1464997517479</v>
      </c>
      <c r="I169" s="909"/>
      <c r="AH169" s="909"/>
    </row>
    <row r="170" spans="2:34" s="63" customFormat="1" x14ac:dyDescent="0.35">
      <c r="B170" s="1576"/>
      <c r="C170" s="1048">
        <v>51</v>
      </c>
      <c r="D170" s="1042" t="s">
        <v>1635</v>
      </c>
      <c r="E170" s="1000">
        <v>200</v>
      </c>
      <c r="F170" s="1001">
        <f ca="1">E170*'User Dashboard'!$G$194</f>
        <v>2012.2929995034958</v>
      </c>
      <c r="I170" s="909"/>
      <c r="AH170" s="909"/>
    </row>
    <row r="171" spans="2:34" s="63" customFormat="1" x14ac:dyDescent="0.35">
      <c r="B171" s="1576"/>
      <c r="C171" s="1048">
        <v>52</v>
      </c>
      <c r="D171" s="1042" t="s">
        <v>1636</v>
      </c>
      <c r="E171" s="1000">
        <v>200</v>
      </c>
      <c r="F171" s="1001">
        <f ca="1">E171*'User Dashboard'!$G$194</f>
        <v>2012.2929995034958</v>
      </c>
      <c r="I171" s="909"/>
      <c r="AH171" s="909"/>
    </row>
    <row r="172" spans="2:34" s="63" customFormat="1" ht="27" customHeight="1" x14ac:dyDescent="0.35">
      <c r="B172" s="1576"/>
      <c r="C172" s="1048">
        <v>53</v>
      </c>
      <c r="D172" s="1042" t="s">
        <v>1637</v>
      </c>
      <c r="E172" s="1000">
        <v>100</v>
      </c>
      <c r="F172" s="1001">
        <f ca="1">E172*'User Dashboard'!$G$194</f>
        <v>1006.1464997517479</v>
      </c>
      <c r="I172" s="909"/>
      <c r="AH172" s="909"/>
    </row>
    <row r="173" spans="2:34" s="63" customFormat="1" x14ac:dyDescent="0.35">
      <c r="B173" s="1576"/>
      <c r="C173" s="1048">
        <v>54</v>
      </c>
      <c r="D173" s="1042" t="s">
        <v>1638</v>
      </c>
      <c r="E173" s="1000">
        <v>400</v>
      </c>
      <c r="F173" s="1001">
        <f ca="1">E173*'User Dashboard'!$G$194</f>
        <v>4024.5859990069916</v>
      </c>
      <c r="I173" s="909"/>
      <c r="AH173" s="909"/>
    </row>
    <row r="174" spans="2:34" s="63" customFormat="1" ht="26" x14ac:dyDescent="0.35">
      <c r="B174" s="1576"/>
      <c r="C174" s="1048">
        <v>55</v>
      </c>
      <c r="D174" s="1042" t="s">
        <v>1639</v>
      </c>
      <c r="E174" s="1000">
        <v>200</v>
      </c>
      <c r="F174" s="1001">
        <f ca="1">E174*'User Dashboard'!$G$194</f>
        <v>2012.2929995034958</v>
      </c>
      <c r="I174" s="909"/>
      <c r="AH174" s="909"/>
    </row>
    <row r="175" spans="2:34" s="63" customFormat="1" x14ac:dyDescent="0.35">
      <c r="B175" s="1576"/>
      <c r="C175" s="1048">
        <v>56</v>
      </c>
      <c r="D175" s="1042" t="s">
        <v>1640</v>
      </c>
      <c r="E175" s="1000">
        <v>600</v>
      </c>
      <c r="F175" s="1001">
        <f ca="1">E175*'User Dashboard'!$G$194</f>
        <v>6036.8789985104877</v>
      </c>
      <c r="I175" s="909"/>
      <c r="AH175" s="909"/>
    </row>
    <row r="176" spans="2:34" s="63" customFormat="1" ht="26" x14ac:dyDescent="0.35">
      <c r="B176" s="1576"/>
      <c r="C176" s="1048">
        <v>57</v>
      </c>
      <c r="D176" s="1042" t="s">
        <v>1641</v>
      </c>
      <c r="E176" s="1000">
        <v>40</v>
      </c>
      <c r="F176" s="1001">
        <f ca="1">E176*'User Dashboard'!$G$194</f>
        <v>402.45859990069914</v>
      </c>
      <c r="I176" s="909"/>
      <c r="AH176" s="909"/>
    </row>
    <row r="177" spans="2:34" s="63" customFormat="1" ht="26" x14ac:dyDescent="0.35">
      <c r="B177" s="1576"/>
      <c r="C177" s="1048">
        <v>58</v>
      </c>
      <c r="D177" s="1042" t="s">
        <v>1642</v>
      </c>
      <c r="E177" s="1000">
        <v>160</v>
      </c>
      <c r="F177" s="1001">
        <f ca="1">E177*'User Dashboard'!$G$194</f>
        <v>1609.8343996027966</v>
      </c>
      <c r="I177" s="909"/>
      <c r="AH177" s="909"/>
    </row>
    <row r="178" spans="2:34" s="63" customFormat="1" ht="26" x14ac:dyDescent="0.35">
      <c r="B178" s="1576"/>
      <c r="C178" s="1048">
        <v>59</v>
      </c>
      <c r="D178" s="1042" t="s">
        <v>1643</v>
      </c>
      <c r="E178" s="1000">
        <v>160</v>
      </c>
      <c r="F178" s="1001">
        <f ca="1">E178*'User Dashboard'!$G$194</f>
        <v>1609.8343996027966</v>
      </c>
      <c r="I178" s="909"/>
      <c r="AH178" s="909"/>
    </row>
    <row r="179" spans="2:34" s="63" customFormat="1" x14ac:dyDescent="0.35">
      <c r="B179" s="1576"/>
      <c r="C179" s="1048">
        <v>60</v>
      </c>
      <c r="D179" s="1042" t="s">
        <v>1644</v>
      </c>
      <c r="E179" s="1000">
        <v>4000</v>
      </c>
      <c r="F179" s="1001">
        <f ca="1">E179*'User Dashboard'!$G$194</f>
        <v>40245.859990069919</v>
      </c>
      <c r="I179" s="909"/>
      <c r="AH179" s="909"/>
    </row>
    <row r="180" spans="2:34" s="63" customFormat="1" x14ac:dyDescent="0.35">
      <c r="B180" s="1576"/>
      <c r="C180" s="1048">
        <v>61</v>
      </c>
      <c r="D180" s="1042" t="s">
        <v>1645</v>
      </c>
      <c r="E180" s="1000">
        <v>900</v>
      </c>
      <c r="F180" s="1001">
        <f ca="1">E180*'User Dashboard'!$G$194</f>
        <v>9055.3184977657311</v>
      </c>
      <c r="I180" s="909"/>
      <c r="AH180" s="909"/>
    </row>
    <row r="181" spans="2:34" s="63" customFormat="1" x14ac:dyDescent="0.35">
      <c r="B181" s="1576"/>
      <c r="C181" s="1048">
        <v>62</v>
      </c>
      <c r="D181" s="1042" t="s">
        <v>1646</v>
      </c>
      <c r="E181" s="1000">
        <v>200</v>
      </c>
      <c r="F181" s="1001">
        <f ca="1">E181*'User Dashboard'!$G$194</f>
        <v>2012.2929995034958</v>
      </c>
      <c r="I181" s="909"/>
      <c r="AH181" s="909"/>
    </row>
    <row r="182" spans="2:34" s="63" customFormat="1" x14ac:dyDescent="0.35">
      <c r="B182" s="1576"/>
      <c r="C182" s="1048">
        <v>63</v>
      </c>
      <c r="D182" s="1042" t="s">
        <v>1647</v>
      </c>
      <c r="E182" s="1000">
        <v>200</v>
      </c>
      <c r="F182" s="1001">
        <f ca="1">E182*'User Dashboard'!$G$194</f>
        <v>2012.2929995034958</v>
      </c>
      <c r="I182" s="909"/>
      <c r="AH182" s="909"/>
    </row>
    <row r="183" spans="2:34" s="63" customFormat="1" x14ac:dyDescent="0.35">
      <c r="B183" s="1576"/>
      <c r="C183" s="1048">
        <v>64</v>
      </c>
      <c r="D183" s="1042" t="s">
        <v>1648</v>
      </c>
      <c r="E183" s="1000">
        <v>2000</v>
      </c>
      <c r="F183" s="1001">
        <f ca="1">E183*'User Dashboard'!$G$194</f>
        <v>20122.92999503496</v>
      </c>
      <c r="I183" s="909"/>
      <c r="AH183" s="909"/>
    </row>
    <row r="184" spans="2:34" s="63" customFormat="1" x14ac:dyDescent="0.35">
      <c r="B184" s="1576"/>
      <c r="C184" s="1048">
        <v>65</v>
      </c>
      <c r="D184" s="1042" t="s">
        <v>1649</v>
      </c>
      <c r="E184" s="1000">
        <v>150</v>
      </c>
      <c r="F184" s="1001">
        <f ca="1">E184*'User Dashboard'!$G$194</f>
        <v>1509.2197496276219</v>
      </c>
      <c r="I184" s="909"/>
      <c r="AH184" s="909"/>
    </row>
    <row r="185" spans="2:34" s="63" customFormat="1" x14ac:dyDescent="0.35">
      <c r="B185" s="1576"/>
      <c r="C185" s="1048">
        <v>66</v>
      </c>
      <c r="D185" s="1042" t="s">
        <v>1650</v>
      </c>
      <c r="E185" s="1000">
        <v>800</v>
      </c>
      <c r="F185" s="1001">
        <f ca="1">E185*'User Dashboard'!$G$194</f>
        <v>8049.1719980139833</v>
      </c>
      <c r="I185" s="909"/>
      <c r="AH185" s="909"/>
    </row>
    <row r="186" spans="2:34" s="63" customFormat="1" x14ac:dyDescent="0.35">
      <c r="B186" s="1576"/>
      <c r="C186" s="1048">
        <v>67</v>
      </c>
      <c r="D186" s="1042" t="s">
        <v>1651</v>
      </c>
      <c r="E186" s="1000">
        <v>100</v>
      </c>
      <c r="F186" s="1001">
        <f ca="1">E186*'User Dashboard'!$G$194</f>
        <v>1006.1464997517479</v>
      </c>
      <c r="I186" s="909"/>
      <c r="AH186" s="909"/>
    </row>
    <row r="187" spans="2:34" s="63" customFormat="1" ht="26" x14ac:dyDescent="0.35">
      <c r="B187" s="1576"/>
      <c r="C187" s="1048">
        <v>68</v>
      </c>
      <c r="D187" s="1042" t="s">
        <v>1652</v>
      </c>
      <c r="E187" s="1000">
        <v>200</v>
      </c>
      <c r="F187" s="1001">
        <f ca="1">E187*'User Dashboard'!$G$194</f>
        <v>2012.2929995034958</v>
      </c>
      <c r="I187" s="909"/>
      <c r="AH187" s="909"/>
    </row>
    <row r="188" spans="2:34" s="63" customFormat="1" x14ac:dyDescent="0.35">
      <c r="B188" s="1576"/>
      <c r="C188" s="1048">
        <v>69</v>
      </c>
      <c r="D188" s="1042" t="s">
        <v>1653</v>
      </c>
      <c r="E188" s="1000">
        <v>20</v>
      </c>
      <c r="F188" s="1001">
        <f ca="1">E188*'User Dashboard'!$G$194</f>
        <v>201.22929995034957</v>
      </c>
      <c r="I188" s="909"/>
      <c r="AH188" s="909"/>
    </row>
    <row r="189" spans="2:34" s="63" customFormat="1" x14ac:dyDescent="0.35">
      <c r="B189" s="1576"/>
      <c r="C189" s="1048">
        <v>70</v>
      </c>
      <c r="D189" s="1042" t="s">
        <v>1654</v>
      </c>
      <c r="E189" s="1000">
        <v>200</v>
      </c>
      <c r="F189" s="1001">
        <f ca="1">E189*'User Dashboard'!$G$194</f>
        <v>2012.2929995034958</v>
      </c>
      <c r="I189" s="909"/>
      <c r="AH189" s="909"/>
    </row>
    <row r="190" spans="2:34" s="63" customFormat="1" x14ac:dyDescent="0.35">
      <c r="B190" s="1576"/>
      <c r="C190" s="1048">
        <v>71</v>
      </c>
      <c r="D190" s="1042" t="s">
        <v>1655</v>
      </c>
      <c r="E190" s="1000">
        <v>50</v>
      </c>
      <c r="F190" s="1001">
        <f ca="1">E190*'User Dashboard'!$G$194</f>
        <v>503.07324987587396</v>
      </c>
      <c r="I190" s="909"/>
      <c r="AH190" s="909"/>
    </row>
    <row r="191" spans="2:34" s="63" customFormat="1" ht="26" x14ac:dyDescent="0.35">
      <c r="B191" s="1576"/>
      <c r="C191" s="1048">
        <v>72</v>
      </c>
      <c r="D191" s="1042" t="s">
        <v>1656</v>
      </c>
      <c r="E191" s="1000">
        <v>400</v>
      </c>
      <c r="F191" s="1001">
        <f ca="1">E191*'User Dashboard'!$G$194</f>
        <v>4024.5859990069916</v>
      </c>
      <c r="I191" s="909"/>
      <c r="AH191" s="909"/>
    </row>
    <row r="192" spans="2:34" s="63" customFormat="1" ht="28.4" customHeight="1" x14ac:dyDescent="0.35">
      <c r="B192" s="1576"/>
      <c r="C192" s="1048">
        <v>73</v>
      </c>
      <c r="D192" s="1042" t="s">
        <v>1657</v>
      </c>
      <c r="E192" s="1000">
        <v>200</v>
      </c>
      <c r="F192" s="1001">
        <f ca="1">E192*'User Dashboard'!$G$194</f>
        <v>2012.2929995034958</v>
      </c>
      <c r="I192" s="909"/>
      <c r="AH192" s="909"/>
    </row>
    <row r="193" spans="2:34" s="63" customFormat="1" x14ac:dyDescent="0.35">
      <c r="B193" s="1576"/>
      <c r="C193" s="1048">
        <v>74</v>
      </c>
      <c r="D193" s="1042" t="s">
        <v>1658</v>
      </c>
      <c r="E193" s="1000">
        <v>8000</v>
      </c>
      <c r="F193" s="1001">
        <f ca="1">E193*'User Dashboard'!$G$194</f>
        <v>80491.719980139838</v>
      </c>
      <c r="I193" s="909"/>
      <c r="AH193" s="909"/>
    </row>
    <row r="194" spans="2:34" s="63" customFormat="1" ht="26.5" thickBot="1" x14ac:dyDescent="0.4">
      <c r="B194" s="1577"/>
      <c r="C194" s="1049">
        <v>75</v>
      </c>
      <c r="D194" s="1043" t="s">
        <v>1659</v>
      </c>
      <c r="E194" s="1002">
        <v>200</v>
      </c>
      <c r="F194" s="1003">
        <f ca="1">E194*'User Dashboard'!$G$194</f>
        <v>2012.2929995034958</v>
      </c>
      <c r="I194" s="909"/>
      <c r="AH194" s="909"/>
    </row>
    <row r="195" spans="2:34" s="63" customFormat="1" x14ac:dyDescent="0.35">
      <c r="B195" s="1578" t="s">
        <v>1660</v>
      </c>
      <c r="C195" s="1050">
        <v>76</v>
      </c>
      <c r="D195" s="1044" t="s">
        <v>1661</v>
      </c>
      <c r="E195" s="1004">
        <v>90</v>
      </c>
      <c r="F195" s="1005">
        <f ca="1">E195*'User Dashboard'!$G$194</f>
        <v>905.53184977657315</v>
      </c>
      <c r="I195" s="909"/>
      <c r="AH195" s="909"/>
    </row>
    <row r="196" spans="2:34" s="63" customFormat="1" ht="26" x14ac:dyDescent="0.35">
      <c r="B196" s="1579"/>
      <c r="C196" s="1051">
        <v>77</v>
      </c>
      <c r="D196" s="1045" t="s">
        <v>1662</v>
      </c>
      <c r="E196" s="215">
        <v>50</v>
      </c>
      <c r="F196" s="1006">
        <f ca="1">E196*'User Dashboard'!$G$194</f>
        <v>503.07324987587396</v>
      </c>
      <c r="I196" s="909"/>
      <c r="AH196" s="909"/>
    </row>
    <row r="197" spans="2:34" s="63" customFormat="1" ht="15" thickBot="1" x14ac:dyDescent="0.4">
      <c r="B197" s="1580"/>
      <c r="C197" s="1052">
        <v>78</v>
      </c>
      <c r="D197" s="1046" t="s">
        <v>1663</v>
      </c>
      <c r="E197" s="216">
        <v>90</v>
      </c>
      <c r="F197" s="1007">
        <f ca="1">E197*'User Dashboard'!$G$194</f>
        <v>905.53184977657315</v>
      </c>
      <c r="I197" s="909"/>
      <c r="AH197" s="909"/>
    </row>
    <row r="198" spans="2:34" s="63" customFormat="1" x14ac:dyDescent="0.35">
      <c r="B198" s="1575" t="s">
        <v>842</v>
      </c>
      <c r="C198" s="1047">
        <v>79</v>
      </c>
      <c r="D198" s="1041" t="s">
        <v>1664</v>
      </c>
      <c r="E198" s="997">
        <v>200</v>
      </c>
      <c r="F198" s="998">
        <f ca="1">E198*'User Dashboard'!$G$194</f>
        <v>2012.2929995034958</v>
      </c>
      <c r="I198" s="909"/>
      <c r="AH198" s="909"/>
    </row>
    <row r="199" spans="2:34" s="63" customFormat="1" x14ac:dyDescent="0.35">
      <c r="B199" s="1576"/>
      <c r="C199" s="1048">
        <v>80</v>
      </c>
      <c r="D199" s="1042" t="s">
        <v>1665</v>
      </c>
      <c r="E199" s="1000">
        <v>200</v>
      </c>
      <c r="F199" s="1001">
        <f ca="1">E199*'User Dashboard'!$G$194</f>
        <v>2012.2929995034958</v>
      </c>
      <c r="I199" s="909"/>
      <c r="AH199" s="909"/>
    </row>
    <row r="200" spans="2:34" s="63" customFormat="1" x14ac:dyDescent="0.35">
      <c r="B200" s="1576"/>
      <c r="C200" s="1048">
        <v>81</v>
      </c>
      <c r="D200" s="1042" t="s">
        <v>1666</v>
      </c>
      <c r="E200" s="1000">
        <v>100</v>
      </c>
      <c r="F200" s="1001">
        <f ca="1">E200*'User Dashboard'!$G$194</f>
        <v>1006.1464997517479</v>
      </c>
      <c r="I200" s="909"/>
      <c r="AH200" s="909"/>
    </row>
    <row r="201" spans="2:34" s="63" customFormat="1" x14ac:dyDescent="0.35">
      <c r="B201" s="1576"/>
      <c r="C201" s="1048">
        <v>82</v>
      </c>
      <c r="D201" s="1042" t="s">
        <v>1667</v>
      </c>
      <c r="E201" s="1000">
        <v>100</v>
      </c>
      <c r="F201" s="1001">
        <f ca="1">E201*'User Dashboard'!$G$194</f>
        <v>1006.1464997517479</v>
      </c>
      <c r="I201" s="909"/>
      <c r="AH201" s="909"/>
    </row>
    <row r="202" spans="2:34" s="63" customFormat="1" ht="26" x14ac:dyDescent="0.35">
      <c r="B202" s="1576"/>
      <c r="C202" s="1048">
        <v>83</v>
      </c>
      <c r="D202" s="1042" t="s">
        <v>1668</v>
      </c>
      <c r="E202" s="1000">
        <v>400</v>
      </c>
      <c r="F202" s="1001">
        <f ca="1">E202*'User Dashboard'!$G$194</f>
        <v>4024.5859990069916</v>
      </c>
      <c r="I202" s="909"/>
      <c r="AH202" s="909"/>
    </row>
    <row r="203" spans="2:34" s="63" customFormat="1" ht="26" x14ac:dyDescent="0.35">
      <c r="B203" s="1576"/>
      <c r="C203" s="1048">
        <v>84</v>
      </c>
      <c r="D203" s="1042" t="s">
        <v>1669</v>
      </c>
      <c r="E203" s="1000">
        <v>100</v>
      </c>
      <c r="F203" s="1001">
        <f ca="1">E203*'User Dashboard'!$G$194</f>
        <v>1006.1464997517479</v>
      </c>
      <c r="I203" s="909"/>
      <c r="AH203" s="909"/>
    </row>
    <row r="204" spans="2:34" s="63" customFormat="1" x14ac:dyDescent="0.35">
      <c r="B204" s="1576"/>
      <c r="C204" s="1048">
        <v>85</v>
      </c>
      <c r="D204" s="1042" t="s">
        <v>1670</v>
      </c>
      <c r="E204" s="1000">
        <v>100</v>
      </c>
      <c r="F204" s="1001">
        <f ca="1">E204*'User Dashboard'!$G$194</f>
        <v>1006.1464997517479</v>
      </c>
      <c r="I204" s="909"/>
      <c r="AH204" s="909"/>
    </row>
    <row r="205" spans="2:34" s="63" customFormat="1" x14ac:dyDescent="0.35">
      <c r="B205" s="1576"/>
      <c r="C205" s="1048">
        <v>86</v>
      </c>
      <c r="D205" s="1042" t="s">
        <v>1671</v>
      </c>
      <c r="E205" s="1000">
        <v>200</v>
      </c>
      <c r="F205" s="1001">
        <f ca="1">E205*'User Dashboard'!$G$194</f>
        <v>2012.2929995034958</v>
      </c>
      <c r="I205" s="909"/>
      <c r="AH205" s="909"/>
    </row>
    <row r="206" spans="2:34" s="63" customFormat="1" ht="29.15" customHeight="1" x14ac:dyDescent="0.35">
      <c r="B206" s="1576"/>
      <c r="C206" s="1048">
        <v>87</v>
      </c>
      <c r="D206" s="1042" t="s">
        <v>1672</v>
      </c>
      <c r="E206" s="1000">
        <v>200</v>
      </c>
      <c r="F206" s="1001">
        <f ca="1">E206*'User Dashboard'!$G$194</f>
        <v>2012.2929995034958</v>
      </c>
      <c r="I206" s="909"/>
      <c r="AH206" s="909"/>
    </row>
    <row r="207" spans="2:34" s="63" customFormat="1" x14ac:dyDescent="0.35">
      <c r="B207" s="1576"/>
      <c r="C207" s="1048">
        <v>88</v>
      </c>
      <c r="D207" s="1042" t="s">
        <v>1673</v>
      </c>
      <c r="E207" s="1000">
        <v>200</v>
      </c>
      <c r="F207" s="1001">
        <f ca="1">E207*'User Dashboard'!$G$194</f>
        <v>2012.2929995034958</v>
      </c>
      <c r="I207" s="909"/>
      <c r="AH207" s="909"/>
    </row>
    <row r="208" spans="2:34" s="63" customFormat="1" ht="15" thickBot="1" x14ac:dyDescent="0.4">
      <c r="B208" s="1577"/>
      <c r="C208" s="1049">
        <v>89</v>
      </c>
      <c r="D208" s="1043" t="s">
        <v>1674</v>
      </c>
      <c r="E208" s="1002">
        <v>200</v>
      </c>
      <c r="F208" s="1003">
        <f ca="1">E208*'User Dashboard'!$G$194</f>
        <v>2012.2929995034958</v>
      </c>
      <c r="I208" s="909"/>
      <c r="AH208" s="909"/>
    </row>
    <row r="209" spans="2:34" s="63" customFormat="1" x14ac:dyDescent="0.35">
      <c r="B209" s="531"/>
      <c r="C209" s="528"/>
      <c r="I209" s="909"/>
      <c r="AH209" s="909"/>
    </row>
    <row r="210" spans="2:34" s="610" customFormat="1" ht="18.5" x14ac:dyDescent="0.45">
      <c r="B210" s="605" t="s">
        <v>1581</v>
      </c>
      <c r="C210" s="605"/>
    </row>
    <row r="211" spans="2:34" s="63" customFormat="1" ht="15" thickBot="1" x14ac:dyDescent="0.4">
      <c r="B211" s="915" t="s">
        <v>1355</v>
      </c>
      <c r="C211" s="528"/>
      <c r="H211" s="316"/>
      <c r="I211"/>
      <c r="AH211"/>
    </row>
    <row r="212" spans="2:34" s="607" customFormat="1" ht="87.5" thickBot="1" x14ac:dyDescent="0.4">
      <c r="B212" s="773" t="s">
        <v>292</v>
      </c>
      <c r="C212" s="773" t="s">
        <v>872</v>
      </c>
      <c r="D212" s="773" t="s">
        <v>871</v>
      </c>
      <c r="E212" s="773" t="s">
        <v>735</v>
      </c>
      <c r="F212" s="608" t="s">
        <v>736</v>
      </c>
      <c r="H212" s="609"/>
      <c r="I212" s="67"/>
      <c r="AH212" s="67"/>
    </row>
    <row r="213" spans="2:34" s="63" customFormat="1" ht="30" customHeight="1" x14ac:dyDescent="0.35">
      <c r="B213" s="1551" t="s">
        <v>874</v>
      </c>
      <c r="C213" s="992">
        <v>1</v>
      </c>
      <c r="D213" s="1038" t="s">
        <v>706</v>
      </c>
      <c r="E213" s="217">
        <v>4000</v>
      </c>
      <c r="F213" s="218">
        <f ca="1">E213*'User Dashboard'!$G$195</f>
        <v>40245.859990069919</v>
      </c>
      <c r="H213" s="402"/>
      <c r="I213"/>
      <c r="AH213"/>
    </row>
    <row r="214" spans="2:34" s="63" customFormat="1" ht="26" x14ac:dyDescent="0.35">
      <c r="B214" s="1551"/>
      <c r="C214" s="993">
        <f t="shared" ref="C214:C242" si="10">C213+1</f>
        <v>2</v>
      </c>
      <c r="D214" s="214" t="s">
        <v>873</v>
      </c>
      <c r="E214" s="215">
        <v>1000</v>
      </c>
      <c r="F214" s="218">
        <f ca="1">E214*'User Dashboard'!$G$195</f>
        <v>10061.46499751748</v>
      </c>
      <c r="H214" s="402"/>
      <c r="I214"/>
      <c r="AH214"/>
    </row>
    <row r="215" spans="2:34" s="63" customFormat="1" ht="26" x14ac:dyDescent="0.35">
      <c r="B215" s="1551"/>
      <c r="C215" s="993">
        <f t="shared" si="10"/>
        <v>3</v>
      </c>
      <c r="D215" s="990" t="s">
        <v>707</v>
      </c>
      <c r="E215" s="215">
        <v>400</v>
      </c>
      <c r="F215" s="218">
        <f ca="1">E215*'User Dashboard'!$G$195</f>
        <v>4024.5859990069916</v>
      </c>
      <c r="H215" s="402"/>
      <c r="I215"/>
      <c r="AH215"/>
    </row>
    <row r="216" spans="2:34" s="63" customFormat="1" ht="26" x14ac:dyDescent="0.35">
      <c r="B216" s="1551"/>
      <c r="C216" s="993">
        <f t="shared" si="10"/>
        <v>4</v>
      </c>
      <c r="D216" s="990" t="s">
        <v>708</v>
      </c>
      <c r="E216" s="215">
        <v>400</v>
      </c>
      <c r="F216" s="218">
        <f ca="1">E216*'User Dashboard'!$G$195</f>
        <v>4024.5859990069916</v>
      </c>
      <c r="H216" s="402"/>
      <c r="I216"/>
      <c r="AH216"/>
    </row>
    <row r="217" spans="2:34" s="63" customFormat="1" ht="26" x14ac:dyDescent="0.35">
      <c r="B217" s="1551"/>
      <c r="C217" s="993">
        <f t="shared" si="10"/>
        <v>5</v>
      </c>
      <c r="D217" s="990" t="s">
        <v>709</v>
      </c>
      <c r="E217" s="215">
        <v>400</v>
      </c>
      <c r="F217" s="218">
        <f ca="1">E217*'User Dashboard'!$G$195</f>
        <v>4024.5859990069916</v>
      </c>
      <c r="H217" s="402"/>
      <c r="I217"/>
      <c r="AH217"/>
    </row>
    <row r="218" spans="2:34" s="63" customFormat="1" ht="26" x14ac:dyDescent="0.35">
      <c r="B218" s="1551"/>
      <c r="C218" s="993">
        <f t="shared" si="10"/>
        <v>6</v>
      </c>
      <c r="D218" s="990" t="s">
        <v>710</v>
      </c>
      <c r="E218" s="215">
        <v>400</v>
      </c>
      <c r="F218" s="218">
        <f ca="1">E218*'User Dashboard'!$G$195</f>
        <v>4024.5859990069916</v>
      </c>
      <c r="H218" s="402"/>
      <c r="I218"/>
      <c r="AH218"/>
    </row>
    <row r="219" spans="2:34" s="63" customFormat="1" ht="26" x14ac:dyDescent="0.35">
      <c r="B219" s="1551"/>
      <c r="C219" s="993">
        <f t="shared" si="10"/>
        <v>7</v>
      </c>
      <c r="D219" s="990" t="s">
        <v>711</v>
      </c>
      <c r="E219" s="215">
        <v>400</v>
      </c>
      <c r="F219" s="218">
        <f ca="1">E219*'User Dashboard'!$G$195</f>
        <v>4024.5859990069916</v>
      </c>
      <c r="H219" s="402"/>
      <c r="I219"/>
      <c r="AH219"/>
    </row>
    <row r="220" spans="2:34" s="63" customFormat="1" ht="26" x14ac:dyDescent="0.35">
      <c r="B220" s="1551"/>
      <c r="C220" s="993">
        <f t="shared" si="10"/>
        <v>8</v>
      </c>
      <c r="D220" s="990" t="s">
        <v>712</v>
      </c>
      <c r="E220" s="215">
        <v>400</v>
      </c>
      <c r="F220" s="218">
        <f ca="1">E220*'User Dashboard'!$G$195</f>
        <v>4024.5859990069916</v>
      </c>
      <c r="H220" s="402"/>
      <c r="I220"/>
      <c r="AH220"/>
    </row>
    <row r="221" spans="2:34" s="63" customFormat="1" ht="26" x14ac:dyDescent="0.35">
      <c r="B221" s="1551"/>
      <c r="C221" s="993">
        <f t="shared" si="10"/>
        <v>9</v>
      </c>
      <c r="D221" s="990" t="s">
        <v>713</v>
      </c>
      <c r="E221" s="215">
        <v>400</v>
      </c>
      <c r="F221" s="218">
        <f ca="1">E221*'User Dashboard'!$G$195</f>
        <v>4024.5859990069916</v>
      </c>
      <c r="H221" s="402"/>
      <c r="I221"/>
      <c r="AH221"/>
    </row>
    <row r="222" spans="2:34" s="63" customFormat="1" ht="26" x14ac:dyDescent="0.35">
      <c r="B222" s="1551"/>
      <c r="C222" s="993">
        <f t="shared" si="10"/>
        <v>10</v>
      </c>
      <c r="D222" s="990" t="s">
        <v>714</v>
      </c>
      <c r="E222" s="215">
        <v>400</v>
      </c>
      <c r="F222" s="218">
        <f ca="1">E222*'User Dashboard'!$G$195</f>
        <v>4024.5859990069916</v>
      </c>
      <c r="H222" s="402"/>
      <c r="I222"/>
      <c r="AH222"/>
    </row>
    <row r="223" spans="2:34" s="63" customFormat="1" ht="26" x14ac:dyDescent="0.35">
      <c r="B223" s="1551"/>
      <c r="C223" s="993">
        <f t="shared" si="10"/>
        <v>11</v>
      </c>
      <c r="D223" s="990" t="s">
        <v>715</v>
      </c>
      <c r="E223" s="215">
        <v>400</v>
      </c>
      <c r="F223" s="218">
        <f ca="1">E223*'User Dashboard'!$G$195</f>
        <v>4024.5859990069916</v>
      </c>
      <c r="H223" s="402"/>
      <c r="I223"/>
      <c r="AH223"/>
    </row>
    <row r="224" spans="2:34" s="63" customFormat="1" x14ac:dyDescent="0.35">
      <c r="B224" s="1551"/>
      <c r="C224" s="993">
        <f t="shared" si="10"/>
        <v>12</v>
      </c>
      <c r="D224" s="990" t="s">
        <v>716</v>
      </c>
      <c r="E224" s="215">
        <v>400</v>
      </c>
      <c r="F224" s="218">
        <f ca="1">E224*'User Dashboard'!$G$195</f>
        <v>4024.5859990069916</v>
      </c>
      <c r="H224" s="402"/>
      <c r="I224"/>
      <c r="AH224"/>
    </row>
    <row r="225" spans="2:34" s="63" customFormat="1" ht="26" x14ac:dyDescent="0.35">
      <c r="B225" s="1551"/>
      <c r="C225" s="993">
        <f t="shared" si="10"/>
        <v>13</v>
      </c>
      <c r="D225" s="990" t="s">
        <v>717</v>
      </c>
      <c r="E225" s="215">
        <v>400</v>
      </c>
      <c r="F225" s="218">
        <f ca="1">E225*'User Dashboard'!$G$195</f>
        <v>4024.5859990069916</v>
      </c>
      <c r="H225" s="402"/>
      <c r="I225"/>
      <c r="AH225"/>
    </row>
    <row r="226" spans="2:34" s="63" customFormat="1" ht="26" x14ac:dyDescent="0.35">
      <c r="B226" s="1551"/>
      <c r="C226" s="993">
        <f t="shared" si="10"/>
        <v>14</v>
      </c>
      <c r="D226" s="990" t="s">
        <v>718</v>
      </c>
      <c r="E226" s="215">
        <v>600</v>
      </c>
      <c r="F226" s="218">
        <f ca="1">E226*'User Dashboard'!$G$195</f>
        <v>6036.8789985104877</v>
      </c>
      <c r="H226" s="402"/>
      <c r="I226"/>
      <c r="AH226"/>
    </row>
    <row r="227" spans="2:34" s="63" customFormat="1" x14ac:dyDescent="0.35">
      <c r="B227" s="1551"/>
      <c r="C227" s="993">
        <f t="shared" si="10"/>
        <v>15</v>
      </c>
      <c r="D227" s="990" t="s">
        <v>719</v>
      </c>
      <c r="E227" s="215">
        <v>400</v>
      </c>
      <c r="F227" s="218">
        <f ca="1">E227*'User Dashboard'!$G$195</f>
        <v>4024.5859990069916</v>
      </c>
      <c r="H227" s="402"/>
      <c r="I227"/>
      <c r="AH227"/>
    </row>
    <row r="228" spans="2:34" s="63" customFormat="1" ht="26" x14ac:dyDescent="0.35">
      <c r="B228" s="1551"/>
      <c r="C228" s="993">
        <f t="shared" si="10"/>
        <v>16</v>
      </c>
      <c r="D228" s="990" t="s">
        <v>720</v>
      </c>
      <c r="E228" s="215">
        <v>400</v>
      </c>
      <c r="F228" s="218">
        <f ca="1">E228*'User Dashboard'!$G$195</f>
        <v>4024.5859990069916</v>
      </c>
      <c r="H228" s="402"/>
      <c r="I228"/>
      <c r="AH228"/>
    </row>
    <row r="229" spans="2:34" s="63" customFormat="1" x14ac:dyDescent="0.35">
      <c r="B229" s="1551"/>
      <c r="C229" s="993">
        <f t="shared" si="10"/>
        <v>17</v>
      </c>
      <c r="D229" s="990" t="s">
        <v>721</v>
      </c>
      <c r="E229" s="215">
        <v>200</v>
      </c>
      <c r="F229" s="218">
        <f ca="1">E229*'User Dashboard'!$G$195</f>
        <v>2012.2929995034958</v>
      </c>
      <c r="H229" s="402"/>
      <c r="I229"/>
      <c r="AH229"/>
    </row>
    <row r="230" spans="2:34" s="63" customFormat="1" x14ac:dyDescent="0.35">
      <c r="B230" s="1551"/>
      <c r="C230" s="993">
        <f t="shared" si="10"/>
        <v>18</v>
      </c>
      <c r="D230" s="990" t="s">
        <v>722</v>
      </c>
      <c r="E230" s="215">
        <v>2000</v>
      </c>
      <c r="F230" s="218">
        <f ca="1">E230*'User Dashboard'!$G$195</f>
        <v>20122.92999503496</v>
      </c>
      <c r="H230" s="402"/>
      <c r="I230"/>
      <c r="AH230"/>
    </row>
    <row r="231" spans="2:34" s="63" customFormat="1" x14ac:dyDescent="0.35">
      <c r="B231" s="1551"/>
      <c r="C231" s="993">
        <f t="shared" si="10"/>
        <v>19</v>
      </c>
      <c r="D231" s="990" t="s">
        <v>723</v>
      </c>
      <c r="E231" s="215">
        <v>2000</v>
      </c>
      <c r="F231" s="218">
        <f ca="1">E231*'User Dashboard'!$G$195</f>
        <v>20122.92999503496</v>
      </c>
      <c r="H231" s="402"/>
      <c r="I231"/>
      <c r="AH231"/>
    </row>
    <row r="232" spans="2:34" s="63" customFormat="1" x14ac:dyDescent="0.35">
      <c r="B232" s="1551"/>
      <c r="C232" s="993">
        <f t="shared" si="10"/>
        <v>20</v>
      </c>
      <c r="D232" s="990" t="s">
        <v>724</v>
      </c>
      <c r="E232" s="215">
        <v>400</v>
      </c>
      <c r="F232" s="218">
        <f ca="1">E232*'User Dashboard'!$G$195</f>
        <v>4024.5859990069916</v>
      </c>
      <c r="H232" s="402"/>
      <c r="I232"/>
      <c r="AH232"/>
    </row>
    <row r="233" spans="2:34" s="63" customFormat="1" ht="26" x14ac:dyDescent="0.35">
      <c r="B233" s="1551"/>
      <c r="C233" s="993">
        <f t="shared" si="10"/>
        <v>21</v>
      </c>
      <c r="D233" s="990" t="s">
        <v>725</v>
      </c>
      <c r="E233" s="215">
        <v>40</v>
      </c>
      <c r="F233" s="218">
        <f ca="1">E233*'User Dashboard'!$G$195</f>
        <v>402.45859990069914</v>
      </c>
      <c r="H233" s="402"/>
      <c r="I233"/>
      <c r="AH233"/>
    </row>
    <row r="234" spans="2:34" s="63" customFormat="1" ht="26" x14ac:dyDescent="0.35">
      <c r="B234" s="1551"/>
      <c r="C234" s="993">
        <f t="shared" si="10"/>
        <v>22</v>
      </c>
      <c r="D234" s="990" t="s">
        <v>726</v>
      </c>
      <c r="E234" s="215">
        <v>40</v>
      </c>
      <c r="F234" s="218">
        <f ca="1">E234*'User Dashboard'!$G$195</f>
        <v>402.45859990069914</v>
      </c>
      <c r="H234" s="402"/>
      <c r="I234"/>
      <c r="AH234"/>
    </row>
    <row r="235" spans="2:34" s="63" customFormat="1" ht="26" x14ac:dyDescent="0.35">
      <c r="B235" s="1551"/>
      <c r="C235" s="993">
        <f t="shared" si="10"/>
        <v>23</v>
      </c>
      <c r="D235" s="990" t="s">
        <v>727</v>
      </c>
      <c r="E235" s="215">
        <v>40</v>
      </c>
      <c r="F235" s="218">
        <f ca="1">E235*'User Dashboard'!$G$195</f>
        <v>402.45859990069914</v>
      </c>
      <c r="H235" s="402"/>
      <c r="I235"/>
      <c r="AH235"/>
    </row>
    <row r="236" spans="2:34" s="63" customFormat="1" x14ac:dyDescent="0.35">
      <c r="B236" s="1551"/>
      <c r="C236" s="993">
        <f t="shared" si="10"/>
        <v>24</v>
      </c>
      <c r="D236" s="990" t="s">
        <v>728</v>
      </c>
      <c r="E236" s="215">
        <v>20</v>
      </c>
      <c r="F236" s="218">
        <f ca="1">E236*'User Dashboard'!$G$195</f>
        <v>201.22929995034957</v>
      </c>
      <c r="H236" s="402"/>
      <c r="I236"/>
      <c r="AH236"/>
    </row>
    <row r="237" spans="2:34" s="63" customFormat="1" x14ac:dyDescent="0.35">
      <c r="B237" s="1551"/>
      <c r="C237" s="993">
        <f t="shared" si="10"/>
        <v>25</v>
      </c>
      <c r="D237" s="990" t="s">
        <v>729</v>
      </c>
      <c r="E237" s="215">
        <v>40</v>
      </c>
      <c r="F237" s="218">
        <f ca="1">E237*'User Dashboard'!$G$195</f>
        <v>402.45859990069914</v>
      </c>
      <c r="H237" s="402"/>
      <c r="I237"/>
      <c r="AH237"/>
    </row>
    <row r="238" spans="2:34" s="63" customFormat="1" ht="26" x14ac:dyDescent="0.35">
      <c r="B238" s="1551"/>
      <c r="C238" s="993">
        <f t="shared" si="10"/>
        <v>26</v>
      </c>
      <c r="D238" s="990" t="s">
        <v>730</v>
      </c>
      <c r="E238" s="215">
        <v>200</v>
      </c>
      <c r="F238" s="218">
        <f ca="1">E238*'User Dashboard'!$G$195</f>
        <v>2012.2929995034958</v>
      </c>
      <c r="H238" s="402"/>
      <c r="I238"/>
      <c r="AH238"/>
    </row>
    <row r="239" spans="2:34" s="63" customFormat="1" ht="26" x14ac:dyDescent="0.35">
      <c r="B239" s="1551"/>
      <c r="C239" s="993">
        <f t="shared" si="10"/>
        <v>27</v>
      </c>
      <c r="D239" s="990" t="s">
        <v>731</v>
      </c>
      <c r="E239" s="215">
        <v>200</v>
      </c>
      <c r="F239" s="218">
        <f ca="1">E239*'User Dashboard'!$G$195</f>
        <v>2012.2929995034958</v>
      </c>
      <c r="H239" s="402"/>
      <c r="I239"/>
      <c r="AH239"/>
    </row>
    <row r="240" spans="2:34" s="63" customFormat="1" ht="26" x14ac:dyDescent="0.35">
      <c r="B240" s="1551"/>
      <c r="C240" s="993">
        <f t="shared" si="10"/>
        <v>28</v>
      </c>
      <c r="D240" s="990" t="s">
        <v>732</v>
      </c>
      <c r="E240" s="215">
        <v>30</v>
      </c>
      <c r="F240" s="218">
        <f ca="1">E240*'User Dashboard'!$G$195</f>
        <v>301.84394992552438</v>
      </c>
      <c r="H240" s="402"/>
      <c r="I240"/>
      <c r="AH240"/>
    </row>
    <row r="241" spans="2:34" s="63" customFormat="1" ht="30.65" customHeight="1" x14ac:dyDescent="0.35">
      <c r="B241" s="1551"/>
      <c r="C241" s="993">
        <f t="shared" si="10"/>
        <v>29</v>
      </c>
      <c r="D241" s="990" t="s">
        <v>733</v>
      </c>
      <c r="E241" s="215">
        <v>40</v>
      </c>
      <c r="F241" s="218">
        <f ca="1">E241*'User Dashboard'!$G$195</f>
        <v>402.45859990069914</v>
      </c>
      <c r="H241" s="402"/>
      <c r="I241"/>
      <c r="AH241"/>
    </row>
    <row r="242" spans="2:34" s="63" customFormat="1" ht="26.5" thickBot="1" x14ac:dyDescent="0.4">
      <c r="B242" s="1552"/>
      <c r="C242" s="994">
        <f t="shared" si="10"/>
        <v>30</v>
      </c>
      <c r="D242" s="991" t="s">
        <v>734</v>
      </c>
      <c r="E242" s="216">
        <v>50</v>
      </c>
      <c r="F242" s="989">
        <f ca="1">E242*'User Dashboard'!$G$195</f>
        <v>503.07324987587396</v>
      </c>
      <c r="H242" s="402"/>
      <c r="I242"/>
      <c r="AH242"/>
    </row>
    <row r="248" spans="2:34" ht="18.649999999999999" customHeight="1" x14ac:dyDescent="0.35">
      <c r="B248" s="1389" t="s">
        <v>1898</v>
      </c>
      <c r="C248" s="1389"/>
      <c r="D248" s="1389"/>
      <c r="E248" s="1389"/>
      <c r="F248" s="1389"/>
      <c r="G248" s="1389"/>
    </row>
    <row r="249" spans="2:34" ht="18.649999999999999" customHeight="1" x14ac:dyDescent="0.35">
      <c r="B249" s="909" t="s">
        <v>1897</v>
      </c>
      <c r="C249" s="909"/>
      <c r="D249" s="909"/>
      <c r="E249" s="909"/>
      <c r="F249" s="909"/>
      <c r="G249" s="909"/>
    </row>
  </sheetData>
  <sheetProtection algorithmName="SHA-512" hashValue="4A8Vynqt/foVgn+S/6imiIzu0mYduslD9mXbmvy/8e1ViQkF+zBQxRuLtAZbSXKAShjmaLsO+I8aM2AJy9Okhw==" saltValue="ROE1CBIT2fR9W3iNXISBLg==" spinCount="100000" sheet="1" objects="1" scenarios="1"/>
  <mergeCells count="27">
    <mergeCell ref="B248:G248"/>
    <mergeCell ref="BE13:BF13"/>
    <mergeCell ref="E13:H13"/>
    <mergeCell ref="B213:B242"/>
    <mergeCell ref="AI13:AN13"/>
    <mergeCell ref="AW13:BC13"/>
    <mergeCell ref="J13:U13"/>
    <mergeCell ref="AA13:AC13"/>
    <mergeCell ref="W13:Y13"/>
    <mergeCell ref="AE13:AG13"/>
    <mergeCell ref="AP13:AU13"/>
    <mergeCell ref="J47:U48"/>
    <mergeCell ref="J35:AG45"/>
    <mergeCell ref="B120:B194"/>
    <mergeCell ref="B195:B197"/>
    <mergeCell ref="B198:B208"/>
    <mergeCell ref="M4:O4"/>
    <mergeCell ref="M5:O5"/>
    <mergeCell ref="M6:O6"/>
    <mergeCell ref="M7:O7"/>
    <mergeCell ref="M8:O8"/>
    <mergeCell ref="B4:D9"/>
    <mergeCell ref="J4:K4"/>
    <mergeCell ref="J5:K5"/>
    <mergeCell ref="J6:K6"/>
    <mergeCell ref="J7:K7"/>
    <mergeCell ref="J8:K8"/>
  </mergeCells>
  <dataValidations count="1">
    <dataValidation type="decimal" operator="greaterThanOrEqual" allowBlank="1" showInputMessage="1" showErrorMessage="1" sqref="H15:H18 H20:H33 H35:H45 H47:H48 J15:N18 O33:Q33 J20:N32 W15:X18 AE15:AF18 AA15:AA18 AB16:AB17 W20:X33 AB33 AE19 AA20:AA32 AE20:AF32 O51:T86 H51:H86" xr:uid="{00000000-0002-0000-0600-000000000000}">
      <formula1>0</formula1>
    </dataValidation>
  </dataValidations>
  <hyperlinks>
    <hyperlink ref="J5" location="Toggle_Drugs" display="Standard Drugs" xr:uid="{00000000-0004-0000-0600-000000000000}"/>
    <hyperlink ref="J6" location="Toggle_cold_drugs" display="Refrigerated Drugs" xr:uid="{00000000-0004-0000-0600-000001000000}"/>
    <hyperlink ref="J7" location="Toggle_controlled_drugs" display="Controlled Drugs" xr:uid="{00000000-0004-0000-0600-000002000000}"/>
    <hyperlink ref="J8" location="'Commodity List'!B168" display="Consumable Equipment" xr:uid="{00000000-0004-0000-0600-000003000000}"/>
    <hyperlink ref="B3" location="Inputs!A1" display="Back to Inputs" xr:uid="{00000000-0004-0000-0600-000004000000}"/>
    <hyperlink ref="G47" location="Toggle_Drugs" display="Click to see list of drugs" xr:uid="{00000000-0004-0000-0600-000005000000}"/>
    <hyperlink ref="G48" location="Toggle_Consumables" display="Click to see list of consumables" xr:uid="{00000000-0004-0000-0600-000006000000}"/>
    <hyperlink ref="G8" location="Toggle_biomedical" display="Biomedical Equipment" xr:uid="{00000000-0004-0000-0600-000007000000}"/>
    <hyperlink ref="G7" location="Toggle_Diagnostics" display="Diagnostics" xr:uid="{00000000-0004-0000-0600-000008000000}"/>
    <hyperlink ref="G6" location="Toggle_PPE" display="PPE" xr:uid="{00000000-0004-0000-0600-000009000000}"/>
    <hyperlink ref="G5" location="Toggle_Hygiene" display="Hygiene" xr:uid="{00000000-0004-0000-0600-00000A000000}"/>
    <hyperlink ref="M5:O5" location="Toggle_inpatient" display="Inpatient care" xr:uid="{00000000-0004-0000-0600-00000B000000}"/>
    <hyperlink ref="M6:O6" location="Toggle_outpatient" display="Isolation" xr:uid="{00000000-0004-0000-0600-00000C000000}"/>
    <hyperlink ref="M7:O7" location="Toggle_consultation" display="Screening/triage" xr:uid="{00000000-0004-0000-0600-00000D000000}"/>
    <hyperlink ref="M8:O8" location="Toggle_labs" display="Laboratories" xr:uid="{00000000-0004-0000-0600-00000E000000}"/>
    <hyperlink ref="B118" location="'Equipment List &amp; Usage'!A1" display="Back to top" xr:uid="{00000000-0004-0000-0600-00000F000000}"/>
    <hyperlink ref="B211" location="'Equipment List &amp; Usage'!A1" display="Back to top" xr:uid="{00000000-0004-0000-0600-000010000000}"/>
    <hyperlink ref="J6:K6" location="'Equipment List &amp; Usage'!B196" display="Refrigerated Drugs" xr:uid="{00000000-0004-0000-0600-000011000000}"/>
    <hyperlink ref="J7:K7" location="'Equipment List &amp; Usage'!B199" display="Controlled Drugs" xr:uid="{00000000-0004-0000-0600-000012000000}"/>
    <hyperlink ref="J8:K8" location="'Equipment List &amp; Usage'!B213" display="Consumable Equipment" xr:uid="{00000000-0004-0000-0600-000013000000}"/>
    <hyperlink ref="J5:K5" location="'Equipment List &amp; Usage'!B120" display="Standard Drugs" xr:uid="{00000000-0004-0000-0600-000014000000}"/>
    <hyperlink ref="B248" r:id="rId1" display="https://creativecommons.org/licenses/by-nc-sa/3.0/igo" xr:uid="{C48AD65B-CE33-4769-B487-B260A74C199D}"/>
  </hyperlinks>
  <pageMargins left="0.7" right="0.7" top="0.75" bottom="0.75" header="0.3" footer="0.3"/>
  <pageSetup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B2:P3"/>
  <sheetViews>
    <sheetView showGridLines="0" zoomScaleNormal="100" workbookViewId="0"/>
  </sheetViews>
  <sheetFormatPr defaultColWidth="8.453125" defaultRowHeight="14.5" x14ac:dyDescent="0.35"/>
  <sheetData>
    <row r="2" spans="2:16" ht="18.5" x14ac:dyDescent="0.45">
      <c r="B2" s="64" t="s">
        <v>701</v>
      </c>
    </row>
    <row r="3" spans="2:16" x14ac:dyDescent="0.35">
      <c r="B3" s="31" t="s">
        <v>1755</v>
      </c>
      <c r="C3" s="6"/>
      <c r="D3" s="6"/>
      <c r="E3" s="6"/>
      <c r="F3" s="6"/>
      <c r="G3" s="6"/>
      <c r="H3" s="6"/>
      <c r="I3" s="6"/>
      <c r="J3" s="6"/>
      <c r="K3" s="6"/>
      <c r="L3" s="6"/>
      <c r="M3" s="1446" t="s">
        <v>865</v>
      </c>
      <c r="N3" s="1446"/>
      <c r="O3" s="1446"/>
      <c r="P3" s="1446"/>
    </row>
  </sheetData>
  <sheetProtection algorithmName="SHA-512" hashValue="O2mAnBFCFyOX+Gx/hankmNc7qcFy1LP9IS1jvXC9UPzDd1D9QOzFqxpophcpxNQQh15aC3HjVmemKpWJiB21ww==" saltValue="GtJUoiYsKcXRGNPUK8ISNg==" spinCount="100000" sheet="1" objects="1" scenarios="1"/>
  <mergeCells count="1">
    <mergeCell ref="M3:P3"/>
  </mergeCells>
  <hyperlinks>
    <hyperlink ref="M3" location="'Patient Calcs'!B67" display="Go to Manual Patient Calculation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theme="3"/>
  </sheetPr>
  <dimension ref="A1:M239"/>
  <sheetViews>
    <sheetView showGridLines="0" workbookViewId="0">
      <selection activeCell="G8" sqref="G8"/>
    </sheetView>
  </sheetViews>
  <sheetFormatPr defaultColWidth="8.81640625" defaultRowHeight="14.5" x14ac:dyDescent="0.35"/>
  <cols>
    <col min="1" max="1" width="3.453125" style="129" customWidth="1"/>
    <col min="2" max="2" width="21.453125" customWidth="1"/>
    <col min="3" max="3" width="16.453125" bestFit="1" customWidth="1"/>
    <col min="4" max="4" width="18.453125" bestFit="1" customWidth="1"/>
    <col min="5" max="5" width="25.453125" bestFit="1" customWidth="1"/>
    <col min="6" max="6" width="13.453125" bestFit="1" customWidth="1"/>
    <col min="7" max="7" width="13.453125" customWidth="1"/>
    <col min="8" max="8" width="25.453125" bestFit="1" customWidth="1"/>
    <col min="9" max="9" width="11.1796875" bestFit="1" customWidth="1"/>
    <col min="10" max="10" width="18" customWidth="1"/>
    <col min="11" max="13" width="10.453125" bestFit="1" customWidth="1"/>
  </cols>
  <sheetData>
    <row r="1" spans="1:13" s="129" customFormat="1" x14ac:dyDescent="0.35"/>
    <row r="2" spans="1:13" s="23" customFormat="1" ht="18.5" x14ac:dyDescent="0.45">
      <c r="B2" s="23" t="s">
        <v>910</v>
      </c>
      <c r="F2" s="24"/>
      <c r="G2" s="24"/>
      <c r="H2" s="24"/>
    </row>
    <row r="3" spans="1:13" ht="15" thickBot="1" x14ac:dyDescent="0.4">
      <c r="A3"/>
    </row>
    <row r="4" spans="1:13" s="129" customFormat="1" ht="15" thickBot="1" x14ac:dyDescent="0.4">
      <c r="B4" s="276"/>
      <c r="C4" s="276"/>
      <c r="D4" s="1581" t="s">
        <v>1296</v>
      </c>
      <c r="E4" s="1581"/>
      <c r="G4" s="21" t="s">
        <v>1286</v>
      </c>
      <c r="H4" s="21" t="s">
        <v>1288</v>
      </c>
      <c r="I4" s="21" t="s">
        <v>1287</v>
      </c>
      <c r="J4" s="548" t="s">
        <v>1292</v>
      </c>
    </row>
    <row r="5" spans="1:13" s="129" customFormat="1" x14ac:dyDescent="0.35">
      <c r="C5" s="18" t="s">
        <v>1155</v>
      </c>
      <c r="D5" s="18" t="s">
        <v>1289</v>
      </c>
      <c r="E5" s="544" t="s">
        <v>1297</v>
      </c>
      <c r="F5"/>
      <c r="G5" t="s">
        <v>1284</v>
      </c>
      <c r="H5" s="362">
        <f>SUM(E6:E10)</f>
        <v>62262.5</v>
      </c>
      <c r="I5" s="80">
        <f>H5/$E$14</f>
        <v>0.8576470712697668</v>
      </c>
      <c r="J5" s="980">
        <f ca="1">I5*$H$10</f>
        <v>2476.5366443113708</v>
      </c>
      <c r="K5"/>
      <c r="L5"/>
      <c r="M5"/>
    </row>
    <row r="6" spans="1:13" s="129" customFormat="1" x14ac:dyDescent="0.35">
      <c r="B6" s="275" t="s">
        <v>894</v>
      </c>
      <c r="C6" s="283">
        <f>Inputs!I124</f>
        <v>15</v>
      </c>
      <c r="D6" s="283">
        <f>'Back Calculations'!$C141*'Back Calculations'!$D$151*INDEX('Back Calculations'!$H141:$J141,MATCH('Back Calculations'!$D$150,'Back Calculations'!$H$140:$J$140,0))</f>
        <v>28800</v>
      </c>
      <c r="E6" s="545">
        <f>'Back Calculations'!$C141*'Back Calculations'!$D$151*'Back Calculations'!$D$158*INDEX('Back Calculations'!$H141:$J141,MATCH('Back Calculations'!$D$150,'Back Calculations'!$H$140:$J$140,0))</f>
        <v>14400</v>
      </c>
      <c r="F6" s="984">
        <f>E6/D6</f>
        <v>0.5</v>
      </c>
      <c r="G6" t="s">
        <v>1285</v>
      </c>
      <c r="H6" s="362">
        <f>E11</f>
        <v>7514.3782331628418</v>
      </c>
      <c r="I6" s="80">
        <f>H6/$E$14</f>
        <v>0.10350828322160845</v>
      </c>
      <c r="J6" s="980">
        <f ca="1">I6*$H$10</f>
        <v>298.88991051826559</v>
      </c>
      <c r="K6"/>
      <c r="L6"/>
      <c r="M6"/>
    </row>
    <row r="7" spans="1:13" s="129" customFormat="1" x14ac:dyDescent="0.35">
      <c r="B7" s="275" t="s">
        <v>893</v>
      </c>
      <c r="C7" s="283">
        <f>Inputs!I125</f>
        <v>11</v>
      </c>
      <c r="D7" s="283">
        <f>'Back Calculations'!$C142*'Back Calculations'!$D$151*INDEX('Back Calculations'!$H142:$J142,MATCH('Back Calculations'!$D$150,'Back Calculations'!$H$140:$J$140,0))</f>
        <v>52800</v>
      </c>
      <c r="E7" s="545">
        <f>'Back Calculations'!$C142*'Back Calculations'!$D$151*'Back Calculations'!$D$158*INDEX('Back Calculations'!$H142:$J142,MATCH('Back Calculations'!$D$150,'Back Calculations'!$H$140:$J$140,0))</f>
        <v>26400</v>
      </c>
      <c r="F7" s="984">
        <f>E7/D7</f>
        <v>0.5</v>
      </c>
      <c r="G7" t="s">
        <v>689</v>
      </c>
      <c r="H7" s="362">
        <f>E12</f>
        <v>2820</v>
      </c>
      <c r="I7" s="80">
        <f>H7/$E$14</f>
        <v>3.8844645508624653E-2</v>
      </c>
      <c r="J7" s="980">
        <f ca="1">I7*$H$10</f>
        <v>112.16757015792919</v>
      </c>
      <c r="K7"/>
      <c r="L7"/>
      <c r="M7"/>
    </row>
    <row r="8" spans="1:13" s="129" customFormat="1" ht="15" thickBot="1" x14ac:dyDescent="0.4">
      <c r="B8" s="275" t="s">
        <v>892</v>
      </c>
      <c r="C8" s="283">
        <f>Inputs!I126</f>
        <v>65</v>
      </c>
      <c r="D8" s="283">
        <f>'Back Calculations'!$C143*'Back Calculations'!$D$151*INDEX('Back Calculations'!$H143:$J143,MATCH('Back Calculations'!$D$150,'Back Calculations'!$H$140:$J$140,0))</f>
        <v>30550</v>
      </c>
      <c r="E8" s="545">
        <f>'Back Calculations'!$C143*'Back Calculations'!$D$151*'Back Calculations'!$D$158*INDEX('Back Calculations'!$H143:$J143,MATCH('Back Calculations'!$D$150,'Back Calculations'!$H$140:$J$140,0))</f>
        <v>15275</v>
      </c>
      <c r="F8" s="984">
        <f>E8/D8</f>
        <v>0.5</v>
      </c>
      <c r="G8" s="129">
        <f>Inputs!B144</f>
        <v>0</v>
      </c>
      <c r="H8" s="362">
        <f>E13</f>
        <v>0</v>
      </c>
      <c r="I8" s="80">
        <f>H8/$E$14</f>
        <v>0</v>
      </c>
      <c r="J8" s="981">
        <f ca="1">I8*$H$10</f>
        <v>0</v>
      </c>
      <c r="K8"/>
      <c r="L8"/>
      <c r="M8"/>
    </row>
    <row r="9" spans="1:13" s="129" customFormat="1" x14ac:dyDescent="0.35">
      <c r="B9" s="275" t="s">
        <v>891</v>
      </c>
      <c r="C9" s="283">
        <f>Inputs!I127</f>
        <v>9</v>
      </c>
      <c r="D9" s="283">
        <f>'Back Calculations'!$C144*'Back Calculations'!$D$151*INDEX('Back Calculations'!$H144:$J144,MATCH('Back Calculations'!$D$150,'Back Calculations'!$H$140:$J$140,0))</f>
        <v>12375</v>
      </c>
      <c r="E9" s="545">
        <f>'Back Calculations'!$C144*'Back Calculations'!$D$151*'Back Calculations'!$D$158*INDEX('Back Calculations'!$H144:$J144,MATCH('Back Calculations'!$D$150,'Back Calculations'!$H$140:$J$140,0))</f>
        <v>6187.5</v>
      </c>
      <c r="F9" s="984">
        <f>E9/D9</f>
        <v>0.5</v>
      </c>
      <c r="G9"/>
      <c r="H9"/>
      <c r="I9"/>
      <c r="J9"/>
      <c r="K9"/>
      <c r="L9"/>
      <c r="M9"/>
    </row>
    <row r="10" spans="1:13" s="129" customFormat="1" x14ac:dyDescent="0.35">
      <c r="B10" s="275" t="s">
        <v>890</v>
      </c>
      <c r="C10" s="283">
        <f>Inputs!I128</f>
        <v>0</v>
      </c>
      <c r="D10" s="283">
        <f>'Back Calculations'!$C145*'Back Calculations'!$D$151*INDEX('Back Calculations'!$H145:$J145,MATCH('Back Calculations'!$D$150,'Back Calculations'!$H$140:$J$140,0))</f>
        <v>0</v>
      </c>
      <c r="E10" s="545">
        <f>'Back Calculations'!$C145*'Back Calculations'!$D$151*'Back Calculations'!$D$158*INDEX('Back Calculations'!$H145:$J145,MATCH('Back Calculations'!$D$150,'Back Calculations'!$H$140:$J$140,0))</f>
        <v>0</v>
      </c>
      <c r="F10" s="984"/>
      <c r="G10" s="277" t="s">
        <v>1290</v>
      </c>
      <c r="H10" s="543">
        <f ca="1">Total_tests_conducted</f>
        <v>2887.5941249875659</v>
      </c>
      <c r="I10"/>
      <c r="J10"/>
      <c r="K10"/>
      <c r="L10"/>
      <c r="M10"/>
    </row>
    <row r="11" spans="1:13" s="129" customFormat="1" x14ac:dyDescent="0.35">
      <c r="B11" s="275" t="s">
        <v>889</v>
      </c>
      <c r="C11" s="283">
        <f>Inputs!I133</f>
        <v>300.57512932651366</v>
      </c>
      <c r="D11" s="283">
        <f>'Back Calculations'!$C146*'Back Calculations'!$D$153*INDEX('Back Calculations'!$H146:$J146,MATCH('Back Calculations'!$D$150,'Back Calculations'!$H$140:$J$140,0))</f>
        <v>15028.756466325684</v>
      </c>
      <c r="E11" s="545">
        <f>'Back Calculations'!$C146*'Back Calculations'!$D$153*'Back Calculations'!$D$159*INDEX('Back Calculations'!$H146:$J146,MATCH('Back Calculations'!$D$152,'Back Calculations'!$H$140:$J$140,0))</f>
        <v>7514.3782331628418</v>
      </c>
      <c r="F11" s="984">
        <f>E11/D11</f>
        <v>0.5</v>
      </c>
      <c r="G11"/>
      <c r="H11" t="s">
        <v>1291</v>
      </c>
      <c r="I11"/>
      <c r="J11"/>
      <c r="K11"/>
      <c r="L11"/>
      <c r="M11"/>
    </row>
    <row r="12" spans="1:13" s="129" customFormat="1" x14ac:dyDescent="0.35">
      <c r="B12" s="338" t="s">
        <v>888</v>
      </c>
      <c r="C12" s="283">
        <f>Inputs!I138</f>
        <v>3</v>
      </c>
      <c r="D12" s="283">
        <f>'Back Calculations'!$C147*'Back Calculations'!$D$155*INDEX('Back Calculations'!$H147:$J147,MATCH('Back Calculations'!$D$150,'Back Calculations'!$H$140:$J$140,0))</f>
        <v>2820</v>
      </c>
      <c r="E12" s="545">
        <f>'Back Calculations'!$C147*'Back Calculations'!$D$155*'Back Calculations'!$D$160*INDEX('Back Calculations'!$H147:$J147,MATCH('Back Calculations'!$D$154,'Back Calculations'!$H$140:$J$140,0))</f>
        <v>2820</v>
      </c>
      <c r="F12" s="984">
        <f>E12/D12</f>
        <v>1</v>
      </c>
      <c r="G12"/>
      <c r="H12"/>
      <c r="I12"/>
      <c r="J12"/>
      <c r="K12"/>
      <c r="L12"/>
      <c r="M12"/>
    </row>
    <row r="13" spans="1:13" s="722" customFormat="1" ht="15" thickBot="1" x14ac:dyDescent="0.4">
      <c r="B13" s="338" t="str">
        <f>"User Input Other: "&amp;Inputs!B144</f>
        <v xml:space="preserve">User Input Other: </v>
      </c>
      <c r="C13" s="283"/>
      <c r="D13" s="283"/>
      <c r="E13" s="545">
        <f>Inputs!I145*Inputs!I130*Inputs!I144</f>
        <v>0</v>
      </c>
      <c r="F13" s="983"/>
      <c r="G13" s="722" t="s">
        <v>1560</v>
      </c>
    </row>
    <row r="14" spans="1:13" s="129" customFormat="1" ht="15" thickBot="1" x14ac:dyDescent="0.4">
      <c r="C14" s="284" t="s">
        <v>905</v>
      </c>
      <c r="D14" s="285">
        <f>SUM(D6:D12)</f>
        <v>142373.75646632569</v>
      </c>
      <c r="E14" s="546">
        <f>SUM(E6:E13)</f>
        <v>72596.878233162846</v>
      </c>
      <c r="F14" s="54"/>
      <c r="G14" s="1582" t="s">
        <v>1556</v>
      </c>
      <c r="H14" s="1583"/>
      <c r="I14" s="978" t="s">
        <v>1561</v>
      </c>
      <c r="J14"/>
      <c r="K14"/>
      <c r="L14"/>
      <c r="M14"/>
    </row>
    <row r="15" spans="1:13" s="129" customFormat="1" ht="15" thickBot="1" x14ac:dyDescent="0.4">
      <c r="C15" s="289" t="s">
        <v>906</v>
      </c>
      <c r="D15" s="290">
        <f>D14/7</f>
        <v>20339.108066617955</v>
      </c>
      <c r="E15" s="547">
        <f>E14/7</f>
        <v>10370.98260473755</v>
      </c>
      <c r="F15" s="984">
        <f>E15/D15</f>
        <v>0.50990351055556715</v>
      </c>
      <c r="G15" s="924" t="s">
        <v>1558</v>
      </c>
      <c r="H15" s="976">
        <f>((Inputs!C154)*2)+((Inputs!C155)*4)</f>
        <v>0</v>
      </c>
      <c r="I15" s="977">
        <f>H15*'Back Calculations'!$D$153*INDEX('Back Calculations'!$H146:$J146,MATCH('Back Calculations'!$D$150,'Back Calculations'!$H$140:$J$140,0))</f>
        <v>0</v>
      </c>
      <c r="J15"/>
      <c r="K15"/>
      <c r="L15"/>
      <c r="M15"/>
    </row>
    <row r="16" spans="1:13" s="129" customFormat="1" ht="15" thickBot="1" x14ac:dyDescent="0.4">
      <c r="G16" s="923" t="s">
        <v>1559</v>
      </c>
      <c r="H16" s="974">
        <f>Inputs!C157</f>
        <v>0</v>
      </c>
      <c r="I16" s="975">
        <f>H16*'Back Calculations'!$D$155*INDEX('Back Calculations'!$H147:$J147,MATCH('Back Calculations'!$D$150,'Back Calculations'!$H$140:$J$140,0))</f>
        <v>0</v>
      </c>
    </row>
    <row r="18" spans="2:10" ht="15" thickBot="1" x14ac:dyDescent="0.4">
      <c r="B18" s="4" t="s">
        <v>1102</v>
      </c>
    </row>
    <row r="19" spans="2:10" ht="15" thickBot="1" x14ac:dyDescent="0.4">
      <c r="B19" s="725" t="s">
        <v>260</v>
      </c>
      <c r="C19" s="723" t="s">
        <v>1091</v>
      </c>
      <c r="D19" s="723" t="s">
        <v>1399</v>
      </c>
      <c r="E19" s="723" t="s">
        <v>894</v>
      </c>
      <c r="F19" s="723" t="s">
        <v>893</v>
      </c>
      <c r="G19" s="723" t="s">
        <v>892</v>
      </c>
      <c r="H19" s="723" t="s">
        <v>891</v>
      </c>
      <c r="I19" s="723" t="s">
        <v>889</v>
      </c>
      <c r="J19" s="724" t="s">
        <v>689</v>
      </c>
    </row>
    <row r="20" spans="2:10" x14ac:dyDescent="0.35">
      <c r="B20" s="726" t="s">
        <v>751</v>
      </c>
      <c r="C20" s="727" t="s">
        <v>1100</v>
      </c>
      <c r="D20" s="727" t="s">
        <v>748</v>
      </c>
      <c r="E20" s="728">
        <v>0</v>
      </c>
      <c r="F20" s="728">
        <v>0</v>
      </c>
      <c r="G20" s="728">
        <v>0</v>
      </c>
      <c r="H20" s="728">
        <v>0</v>
      </c>
      <c r="I20" s="728">
        <v>0</v>
      </c>
      <c r="J20" s="729">
        <v>3</v>
      </c>
    </row>
    <row r="21" spans="2:10" x14ac:dyDescent="0.35">
      <c r="B21" s="632" t="s">
        <v>749</v>
      </c>
      <c r="C21" s="629" t="s">
        <v>1100</v>
      </c>
      <c r="D21" s="629" t="s">
        <v>748</v>
      </c>
      <c r="E21" s="630">
        <v>0</v>
      </c>
      <c r="F21" s="630">
        <v>0</v>
      </c>
      <c r="G21" s="630">
        <v>0</v>
      </c>
      <c r="H21" s="630">
        <v>0</v>
      </c>
      <c r="I21" s="630">
        <v>0</v>
      </c>
      <c r="J21" s="633">
        <v>3</v>
      </c>
    </row>
    <row r="22" spans="2:10" x14ac:dyDescent="0.35">
      <c r="B22" s="265" t="s">
        <v>315</v>
      </c>
      <c r="C22" s="277" t="s">
        <v>1043</v>
      </c>
      <c r="D22" s="277" t="s">
        <v>410</v>
      </c>
      <c r="E22" s="631">
        <v>0</v>
      </c>
      <c r="F22" s="631">
        <v>0</v>
      </c>
      <c r="G22" s="631">
        <v>1</v>
      </c>
      <c r="H22" s="631">
        <v>0</v>
      </c>
      <c r="I22" s="631">
        <v>1.0666566875328061</v>
      </c>
      <c r="J22" s="634">
        <v>0</v>
      </c>
    </row>
    <row r="23" spans="2:10" x14ac:dyDescent="0.35">
      <c r="B23" s="265" t="s">
        <v>1312</v>
      </c>
      <c r="C23" s="277" t="s">
        <v>1044</v>
      </c>
      <c r="D23" s="277" t="s">
        <v>410</v>
      </c>
      <c r="E23" s="631">
        <v>0</v>
      </c>
      <c r="F23" s="631">
        <v>0</v>
      </c>
      <c r="G23" s="631">
        <v>1</v>
      </c>
      <c r="H23" s="631">
        <v>0</v>
      </c>
      <c r="I23" s="631">
        <v>1.3427574237128101</v>
      </c>
      <c r="J23" s="634">
        <v>0</v>
      </c>
    </row>
    <row r="24" spans="2:10" x14ac:dyDescent="0.35">
      <c r="B24" s="265" t="s">
        <v>324</v>
      </c>
      <c r="C24" s="277" t="s">
        <v>1100</v>
      </c>
      <c r="D24" s="277" t="s">
        <v>410</v>
      </c>
      <c r="E24" s="631">
        <v>11</v>
      </c>
      <c r="F24" s="631">
        <v>17</v>
      </c>
      <c r="G24" s="631">
        <v>204</v>
      </c>
      <c r="H24" s="631">
        <v>31</v>
      </c>
      <c r="I24" s="631">
        <v>348.47123411747611</v>
      </c>
      <c r="J24" s="634">
        <v>24</v>
      </c>
    </row>
    <row r="25" spans="2:10" x14ac:dyDescent="0.35">
      <c r="B25" s="265" t="s">
        <v>325</v>
      </c>
      <c r="C25" s="277" t="s">
        <v>1043</v>
      </c>
      <c r="D25" s="277" t="s">
        <v>410</v>
      </c>
      <c r="E25" s="631">
        <v>4</v>
      </c>
      <c r="F25" s="631">
        <v>6</v>
      </c>
      <c r="G25" s="631">
        <v>73</v>
      </c>
      <c r="H25" s="631">
        <v>11</v>
      </c>
      <c r="I25" s="631">
        <v>123.81751271327781</v>
      </c>
      <c r="J25" s="634">
        <v>8</v>
      </c>
    </row>
    <row r="26" spans="2:10" x14ac:dyDescent="0.35">
      <c r="B26" s="265" t="s">
        <v>326</v>
      </c>
      <c r="C26" s="277" t="s">
        <v>1044</v>
      </c>
      <c r="D26" s="277" t="s">
        <v>410</v>
      </c>
      <c r="E26" s="631">
        <v>0</v>
      </c>
      <c r="F26" s="631">
        <v>0</v>
      </c>
      <c r="G26" s="631">
        <v>3</v>
      </c>
      <c r="H26" s="631">
        <v>0</v>
      </c>
      <c r="I26" s="631">
        <v>5.3852156508490712</v>
      </c>
      <c r="J26" s="634">
        <v>0</v>
      </c>
    </row>
    <row r="27" spans="2:10" x14ac:dyDescent="0.35">
      <c r="B27" s="265" t="s">
        <v>327</v>
      </c>
      <c r="C27" s="277" t="s">
        <v>1041</v>
      </c>
      <c r="D27" s="277" t="s">
        <v>410</v>
      </c>
      <c r="E27" s="631">
        <v>1</v>
      </c>
      <c r="F27" s="631">
        <v>1</v>
      </c>
      <c r="G27" s="631">
        <v>13</v>
      </c>
      <c r="H27" s="631">
        <v>2</v>
      </c>
      <c r="I27" s="631">
        <v>22.691501256553678</v>
      </c>
      <c r="J27" s="634">
        <v>2</v>
      </c>
    </row>
    <row r="28" spans="2:10" x14ac:dyDescent="0.35">
      <c r="B28" s="265" t="s">
        <v>328</v>
      </c>
      <c r="C28" s="277" t="s">
        <v>1044</v>
      </c>
      <c r="D28" s="277" t="s">
        <v>410</v>
      </c>
      <c r="E28" s="631">
        <v>0</v>
      </c>
      <c r="F28" s="631">
        <v>0</v>
      </c>
      <c r="G28" s="631">
        <v>2</v>
      </c>
      <c r="H28" s="631">
        <v>0</v>
      </c>
      <c r="I28" s="631">
        <v>3.9684866242235959</v>
      </c>
      <c r="J28" s="634">
        <v>0</v>
      </c>
    </row>
    <row r="29" spans="2:10" x14ac:dyDescent="0.35">
      <c r="B29" s="265" t="s">
        <v>331</v>
      </c>
      <c r="C29" s="277" t="s">
        <v>1043</v>
      </c>
      <c r="D29" s="277" t="s">
        <v>410</v>
      </c>
      <c r="E29" s="631">
        <v>5</v>
      </c>
      <c r="F29" s="631">
        <v>8</v>
      </c>
      <c r="G29" s="631">
        <v>93</v>
      </c>
      <c r="H29" s="631">
        <v>14</v>
      </c>
      <c r="I29" s="631">
        <v>159.54811976669151</v>
      </c>
      <c r="J29" s="634">
        <v>11</v>
      </c>
    </row>
    <row r="30" spans="2:10" x14ac:dyDescent="0.35">
      <c r="B30" s="265" t="s">
        <v>339</v>
      </c>
      <c r="C30" s="277" t="s">
        <v>1100</v>
      </c>
      <c r="D30" s="277" t="s">
        <v>410</v>
      </c>
      <c r="E30" s="631">
        <v>0</v>
      </c>
      <c r="F30" s="631">
        <v>0</v>
      </c>
      <c r="G30" s="631">
        <v>4</v>
      </c>
      <c r="H30" s="631">
        <v>1</v>
      </c>
      <c r="I30" s="631">
        <v>5.9909532066628826</v>
      </c>
      <c r="J30" s="634">
        <v>0</v>
      </c>
    </row>
    <row r="31" spans="2:10" x14ac:dyDescent="0.35">
      <c r="B31" s="265" t="s">
        <v>322</v>
      </c>
      <c r="C31" s="629"/>
      <c r="D31" s="277" t="s">
        <v>410</v>
      </c>
      <c r="E31" s="630">
        <v>0</v>
      </c>
      <c r="F31" s="630">
        <v>0</v>
      </c>
      <c r="G31" s="630">
        <v>1</v>
      </c>
      <c r="H31" s="630">
        <v>0</v>
      </c>
      <c r="I31" s="630">
        <v>1.4794320582533149</v>
      </c>
      <c r="J31" s="648">
        <v>0</v>
      </c>
    </row>
    <row r="32" spans="2:10" x14ac:dyDescent="0.35">
      <c r="B32" s="265" t="s">
        <v>333</v>
      </c>
      <c r="C32" s="629"/>
      <c r="D32" s="277" t="s">
        <v>410</v>
      </c>
      <c r="E32" s="630">
        <v>0</v>
      </c>
      <c r="F32" s="630">
        <v>0</v>
      </c>
      <c r="G32" s="630">
        <v>1</v>
      </c>
      <c r="H32" s="630">
        <v>0</v>
      </c>
      <c r="I32" s="630">
        <v>0.99204906709976959</v>
      </c>
      <c r="J32" s="648">
        <v>0</v>
      </c>
    </row>
    <row r="33" spans="2:10" x14ac:dyDescent="0.35">
      <c r="B33" s="265" t="s">
        <v>337</v>
      </c>
      <c r="C33" s="629"/>
      <c r="D33" s="277" t="s">
        <v>410</v>
      </c>
      <c r="E33" s="630">
        <v>0</v>
      </c>
      <c r="F33" s="630">
        <v>0</v>
      </c>
      <c r="G33" s="630">
        <v>0</v>
      </c>
      <c r="H33" s="630">
        <v>0</v>
      </c>
      <c r="I33" s="630">
        <v>0.41479403502429391</v>
      </c>
      <c r="J33" s="648">
        <v>0</v>
      </c>
    </row>
    <row r="34" spans="2:10" x14ac:dyDescent="0.35">
      <c r="B34" s="265" t="s">
        <v>345</v>
      </c>
      <c r="C34" s="629"/>
      <c r="D34" s="277" t="s">
        <v>410</v>
      </c>
      <c r="E34" s="630">
        <v>0</v>
      </c>
      <c r="F34" s="630">
        <v>0</v>
      </c>
      <c r="G34" s="630">
        <v>1</v>
      </c>
      <c r="H34" s="630">
        <v>0</v>
      </c>
      <c r="I34" s="630">
        <v>0.91254687705344661</v>
      </c>
      <c r="J34" s="648">
        <v>0</v>
      </c>
    </row>
    <row r="35" spans="2:10" x14ac:dyDescent="0.35">
      <c r="B35" s="265" t="s">
        <v>349</v>
      </c>
      <c r="C35" s="629"/>
      <c r="D35" s="277" t="s">
        <v>410</v>
      </c>
      <c r="E35" s="630">
        <v>0</v>
      </c>
      <c r="F35" s="630">
        <v>0</v>
      </c>
      <c r="G35" s="630">
        <v>1</v>
      </c>
      <c r="H35" s="630">
        <v>0</v>
      </c>
      <c r="I35" s="630">
        <v>2.4058054031409046</v>
      </c>
      <c r="J35" s="648">
        <v>0</v>
      </c>
    </row>
    <row r="36" spans="2:10" x14ac:dyDescent="0.35">
      <c r="B36" s="265" t="s">
        <v>359</v>
      </c>
      <c r="C36" s="629"/>
      <c r="D36" s="277" t="s">
        <v>410</v>
      </c>
      <c r="E36" s="630">
        <v>0</v>
      </c>
      <c r="F36" s="630">
        <v>0</v>
      </c>
      <c r="G36" s="630">
        <v>1</v>
      </c>
      <c r="H36" s="630">
        <v>0</v>
      </c>
      <c r="I36" s="630">
        <v>2.239887789131187</v>
      </c>
      <c r="J36" s="648">
        <v>0</v>
      </c>
    </row>
    <row r="37" spans="2:10" x14ac:dyDescent="0.35">
      <c r="B37" s="265" t="s">
        <v>390</v>
      </c>
      <c r="C37" s="629"/>
      <c r="D37" s="277" t="s">
        <v>410</v>
      </c>
      <c r="E37" s="630">
        <v>0</v>
      </c>
      <c r="F37" s="630">
        <v>0</v>
      </c>
      <c r="G37" s="630">
        <v>0</v>
      </c>
      <c r="H37" s="630">
        <v>0</v>
      </c>
      <c r="I37" s="630">
        <v>0.67749692387301341</v>
      </c>
      <c r="J37" s="648">
        <v>0</v>
      </c>
    </row>
    <row r="38" spans="2:10" x14ac:dyDescent="0.35">
      <c r="B38" s="265" t="s">
        <v>396</v>
      </c>
      <c r="C38" s="629"/>
      <c r="D38" s="277" t="s">
        <v>410</v>
      </c>
      <c r="E38" s="630">
        <v>0</v>
      </c>
      <c r="F38" s="630">
        <v>0</v>
      </c>
      <c r="G38" s="630">
        <v>2</v>
      </c>
      <c r="H38" s="630">
        <v>0</v>
      </c>
      <c r="I38" s="630">
        <v>3.8852374613942202</v>
      </c>
      <c r="J38" s="648">
        <v>0</v>
      </c>
    </row>
    <row r="39" spans="2:10" x14ac:dyDescent="0.35">
      <c r="B39" s="265" t="s">
        <v>400</v>
      </c>
      <c r="C39" s="629"/>
      <c r="D39" s="277" t="s">
        <v>410</v>
      </c>
      <c r="E39" s="630">
        <v>0</v>
      </c>
      <c r="F39" s="630">
        <v>0</v>
      </c>
      <c r="G39" s="630">
        <v>0</v>
      </c>
      <c r="H39" s="630">
        <v>0</v>
      </c>
      <c r="I39" s="630">
        <v>0.47009990636086646</v>
      </c>
      <c r="J39" s="648">
        <v>0</v>
      </c>
    </row>
    <row r="40" spans="2:10" x14ac:dyDescent="0.35">
      <c r="B40" s="265" t="s">
        <v>403</v>
      </c>
      <c r="C40" s="629"/>
      <c r="D40" s="277" t="s">
        <v>410</v>
      </c>
      <c r="E40" s="630">
        <v>0</v>
      </c>
      <c r="F40" s="630">
        <v>0</v>
      </c>
      <c r="G40" s="630">
        <v>0</v>
      </c>
      <c r="H40" s="630">
        <v>0</v>
      </c>
      <c r="I40" s="630">
        <v>0.79662577073199059</v>
      </c>
      <c r="J40" s="648">
        <v>0</v>
      </c>
    </row>
    <row r="41" spans="2:10" x14ac:dyDescent="0.35">
      <c r="B41" s="265" t="s">
        <v>406</v>
      </c>
      <c r="C41" s="629"/>
      <c r="D41" s="277" t="s">
        <v>410</v>
      </c>
      <c r="E41" s="630">
        <v>0</v>
      </c>
      <c r="F41" s="630">
        <v>0</v>
      </c>
      <c r="G41" s="630">
        <v>1</v>
      </c>
      <c r="H41" s="630">
        <v>0</v>
      </c>
      <c r="I41" s="630">
        <v>2.3366730639701894</v>
      </c>
      <c r="J41" s="648">
        <v>0</v>
      </c>
    </row>
    <row r="42" spans="2:10" x14ac:dyDescent="0.35">
      <c r="B42" s="265" t="s">
        <v>412</v>
      </c>
      <c r="C42" s="629"/>
      <c r="D42" s="277" t="s">
        <v>410</v>
      </c>
      <c r="E42" s="630">
        <v>3</v>
      </c>
      <c r="F42" s="630">
        <v>5</v>
      </c>
      <c r="G42" s="630">
        <v>61</v>
      </c>
      <c r="H42" s="630">
        <v>9</v>
      </c>
      <c r="I42" s="630">
        <v>104.58340269745864</v>
      </c>
      <c r="J42" s="648">
        <v>7</v>
      </c>
    </row>
    <row r="43" spans="2:10" x14ac:dyDescent="0.35">
      <c r="B43" s="265" t="s">
        <v>420</v>
      </c>
      <c r="C43" s="629"/>
      <c r="D43" s="277" t="s">
        <v>410</v>
      </c>
      <c r="E43" s="630">
        <v>0</v>
      </c>
      <c r="F43" s="630">
        <v>0</v>
      </c>
      <c r="G43" s="630">
        <v>1</v>
      </c>
      <c r="H43" s="630">
        <v>0</v>
      </c>
      <c r="I43" s="630">
        <v>1.1752497659021661</v>
      </c>
      <c r="J43" s="648">
        <v>0</v>
      </c>
    </row>
    <row r="44" spans="2:10" x14ac:dyDescent="0.35">
      <c r="B44" s="265" t="s">
        <v>429</v>
      </c>
      <c r="C44" s="629"/>
      <c r="D44" s="277" t="s">
        <v>410</v>
      </c>
      <c r="E44" s="630">
        <v>23</v>
      </c>
      <c r="F44" s="630">
        <v>35</v>
      </c>
      <c r="G44" s="630">
        <v>421</v>
      </c>
      <c r="H44" s="630">
        <v>64</v>
      </c>
      <c r="I44" s="630">
        <v>717.89786288437961</v>
      </c>
      <c r="J44" s="648">
        <v>49</v>
      </c>
    </row>
    <row r="45" spans="2:10" x14ac:dyDescent="0.35">
      <c r="B45" s="265" t="s">
        <v>447</v>
      </c>
      <c r="C45" s="629"/>
      <c r="D45" s="277" t="s">
        <v>410</v>
      </c>
      <c r="E45" s="630">
        <v>0</v>
      </c>
      <c r="F45" s="630">
        <v>0</v>
      </c>
      <c r="G45" s="630">
        <v>0</v>
      </c>
      <c r="H45" s="630">
        <v>0</v>
      </c>
      <c r="I45" s="630">
        <v>0.5254057776974389</v>
      </c>
      <c r="J45" s="648">
        <v>0</v>
      </c>
    </row>
    <row r="46" spans="2:10" x14ac:dyDescent="0.35">
      <c r="B46" s="265" t="s">
        <v>457</v>
      </c>
      <c r="C46" s="629"/>
      <c r="D46" s="277" t="s">
        <v>410</v>
      </c>
      <c r="E46" s="630">
        <v>0</v>
      </c>
      <c r="F46" s="630">
        <v>0</v>
      </c>
      <c r="G46" s="630">
        <v>5</v>
      </c>
      <c r="H46" s="630">
        <v>1</v>
      </c>
      <c r="I46" s="630">
        <v>8.9733776243588927</v>
      </c>
      <c r="J46" s="648">
        <v>1</v>
      </c>
    </row>
    <row r="47" spans="2:10" x14ac:dyDescent="0.35">
      <c r="B47" s="265" t="s">
        <v>478</v>
      </c>
      <c r="C47" s="629"/>
      <c r="D47" s="277" t="s">
        <v>410</v>
      </c>
      <c r="E47" s="630">
        <v>0</v>
      </c>
      <c r="F47" s="630">
        <v>0</v>
      </c>
      <c r="G47" s="630">
        <v>2</v>
      </c>
      <c r="H47" s="630">
        <v>0</v>
      </c>
      <c r="I47" s="630">
        <v>4.0235021397356512</v>
      </c>
      <c r="J47" s="648">
        <v>0</v>
      </c>
    </row>
    <row r="48" spans="2:10" x14ac:dyDescent="0.35">
      <c r="B48" s="265" t="s">
        <v>485</v>
      </c>
      <c r="C48" s="629"/>
      <c r="D48" s="277" t="s">
        <v>410</v>
      </c>
      <c r="E48" s="630">
        <v>0</v>
      </c>
      <c r="F48" s="630">
        <v>0</v>
      </c>
      <c r="G48" s="630">
        <v>0</v>
      </c>
      <c r="H48" s="630">
        <v>0</v>
      </c>
      <c r="I48" s="630">
        <v>0.80193513438030162</v>
      </c>
      <c r="J48" s="648">
        <v>0</v>
      </c>
    </row>
    <row r="49" spans="2:10" x14ac:dyDescent="0.35">
      <c r="B49" s="265" t="s">
        <v>507</v>
      </c>
      <c r="C49" s="629"/>
      <c r="D49" s="277" t="s">
        <v>410</v>
      </c>
      <c r="E49" s="630">
        <v>1</v>
      </c>
      <c r="F49" s="630">
        <v>2</v>
      </c>
      <c r="G49" s="630">
        <v>26</v>
      </c>
      <c r="H49" s="630">
        <v>4</v>
      </c>
      <c r="I49" s="630">
        <v>44.023473583911731</v>
      </c>
      <c r="J49" s="648">
        <v>3</v>
      </c>
    </row>
    <row r="50" spans="2:10" s="129" customFormat="1" x14ac:dyDescent="0.35">
      <c r="B50" s="265" t="s">
        <v>516</v>
      </c>
      <c r="C50" s="629"/>
      <c r="D50" s="277" t="s">
        <v>410</v>
      </c>
      <c r="E50" s="630">
        <v>0</v>
      </c>
      <c r="F50" s="630">
        <v>0</v>
      </c>
      <c r="G50" s="630">
        <v>0</v>
      </c>
      <c r="H50" s="630">
        <v>0</v>
      </c>
      <c r="I50" s="630">
        <v>0.60624913512367384</v>
      </c>
      <c r="J50" s="648">
        <v>0</v>
      </c>
    </row>
    <row r="51" spans="2:10" s="129" customFormat="1" x14ac:dyDescent="0.35">
      <c r="B51" s="265" t="s">
        <v>533</v>
      </c>
      <c r="C51" s="629"/>
      <c r="D51" s="277" t="s">
        <v>410</v>
      </c>
      <c r="E51" s="630">
        <v>0</v>
      </c>
      <c r="F51" s="630">
        <v>0</v>
      </c>
      <c r="G51" s="630">
        <v>0</v>
      </c>
      <c r="H51" s="630">
        <v>0</v>
      </c>
      <c r="I51" s="630">
        <v>0.45013448680836377</v>
      </c>
      <c r="J51" s="648">
        <v>0</v>
      </c>
    </row>
    <row r="52" spans="2:10" s="129" customFormat="1" x14ac:dyDescent="0.35">
      <c r="B52" s="265" t="s">
        <v>552</v>
      </c>
      <c r="C52" s="629"/>
      <c r="D52" s="277" t="s">
        <v>410</v>
      </c>
      <c r="E52" s="630">
        <v>0</v>
      </c>
      <c r="F52" s="630">
        <v>0</v>
      </c>
      <c r="G52" s="630">
        <v>0</v>
      </c>
      <c r="H52" s="630">
        <v>0</v>
      </c>
      <c r="I52" s="630">
        <v>0.53923224553158211</v>
      </c>
      <c r="J52" s="648">
        <v>0</v>
      </c>
    </row>
    <row r="53" spans="2:10" s="129" customFormat="1" x14ac:dyDescent="0.35">
      <c r="B53" s="265" t="s">
        <v>565</v>
      </c>
      <c r="C53" s="629"/>
      <c r="D53" s="277" t="s">
        <v>410</v>
      </c>
      <c r="E53" s="630">
        <v>0</v>
      </c>
      <c r="F53" s="630">
        <v>0</v>
      </c>
      <c r="G53" s="630">
        <v>1</v>
      </c>
      <c r="H53" s="630">
        <v>0</v>
      </c>
      <c r="I53" s="630">
        <v>1.4794320582533149</v>
      </c>
      <c r="J53" s="648">
        <v>0</v>
      </c>
    </row>
    <row r="54" spans="2:10" s="129" customFormat="1" x14ac:dyDescent="0.35">
      <c r="B54" s="265" t="s">
        <v>342</v>
      </c>
      <c r="C54" s="277" t="s">
        <v>1044</v>
      </c>
      <c r="D54" s="277" t="s">
        <v>410</v>
      </c>
      <c r="E54" s="631">
        <v>16</v>
      </c>
      <c r="F54" s="631">
        <v>25</v>
      </c>
      <c r="G54" s="631">
        <v>303</v>
      </c>
      <c r="H54" s="631">
        <v>46</v>
      </c>
      <c r="I54" s="631">
        <v>517.26251354890633</v>
      </c>
      <c r="J54" s="634">
        <v>35</v>
      </c>
    </row>
    <row r="55" spans="2:10" s="129" customFormat="1" x14ac:dyDescent="0.35">
      <c r="B55" s="265" t="s">
        <v>220</v>
      </c>
      <c r="C55" s="277" t="s">
        <v>1044</v>
      </c>
      <c r="D55" s="277" t="s">
        <v>410</v>
      </c>
      <c r="E55" s="631">
        <v>8</v>
      </c>
      <c r="F55" s="631">
        <v>13</v>
      </c>
      <c r="G55" s="631">
        <v>154</v>
      </c>
      <c r="H55" s="631">
        <v>23</v>
      </c>
      <c r="I55" s="631">
        <v>262.03970231905481</v>
      </c>
      <c r="J55" s="634">
        <v>18</v>
      </c>
    </row>
    <row r="56" spans="2:10" s="129" customFormat="1" x14ac:dyDescent="0.35">
      <c r="B56" s="265" t="s">
        <v>358</v>
      </c>
      <c r="C56" s="277" t="s">
        <v>1043</v>
      </c>
      <c r="D56" s="277" t="s">
        <v>410</v>
      </c>
      <c r="E56" s="631">
        <v>2</v>
      </c>
      <c r="F56" s="631">
        <v>3</v>
      </c>
      <c r="G56" s="631">
        <v>33</v>
      </c>
      <c r="H56" s="631">
        <v>5</v>
      </c>
      <c r="I56" s="631">
        <v>57.10744626889354</v>
      </c>
      <c r="J56" s="634">
        <v>4</v>
      </c>
    </row>
    <row r="57" spans="2:10" s="129" customFormat="1" x14ac:dyDescent="0.35">
      <c r="B57" s="265" t="s">
        <v>361</v>
      </c>
      <c r="C57" s="277" t="s">
        <v>1043</v>
      </c>
      <c r="D57" s="277" t="s">
        <v>410</v>
      </c>
      <c r="E57" s="631">
        <v>1</v>
      </c>
      <c r="F57" s="631">
        <v>1</v>
      </c>
      <c r="G57" s="631">
        <v>10</v>
      </c>
      <c r="H57" s="631">
        <v>1</v>
      </c>
      <c r="I57" s="631">
        <v>16.572044857840268</v>
      </c>
      <c r="J57" s="634">
        <v>1</v>
      </c>
    </row>
    <row r="58" spans="2:10" s="129" customFormat="1" x14ac:dyDescent="0.35">
      <c r="B58" s="265" t="s">
        <v>362</v>
      </c>
      <c r="C58" s="277" t="s">
        <v>1043</v>
      </c>
      <c r="D58" s="277" t="s">
        <v>410</v>
      </c>
      <c r="E58" s="631">
        <v>5</v>
      </c>
      <c r="F58" s="631">
        <v>7</v>
      </c>
      <c r="G58" s="631">
        <v>87</v>
      </c>
      <c r="H58" s="631">
        <v>13</v>
      </c>
      <c r="I58" s="631">
        <v>147.79405971680461</v>
      </c>
      <c r="J58" s="634">
        <v>10</v>
      </c>
    </row>
    <row r="59" spans="2:10" s="129" customFormat="1" x14ac:dyDescent="0.35">
      <c r="B59" s="265" t="s">
        <v>363</v>
      </c>
      <c r="C59" s="277" t="s">
        <v>1043</v>
      </c>
      <c r="D59" s="277" t="s">
        <v>410</v>
      </c>
      <c r="E59" s="631">
        <v>3</v>
      </c>
      <c r="F59" s="631">
        <v>4</v>
      </c>
      <c r="G59" s="631">
        <v>47</v>
      </c>
      <c r="H59" s="631">
        <v>7</v>
      </c>
      <c r="I59" s="631">
        <v>79.80467168313055</v>
      </c>
      <c r="J59" s="634">
        <v>5</v>
      </c>
    </row>
    <row r="60" spans="2:10" s="129" customFormat="1" x14ac:dyDescent="0.35">
      <c r="B60" s="265" t="s">
        <v>378</v>
      </c>
      <c r="C60" s="277" t="s">
        <v>1043</v>
      </c>
      <c r="D60" s="277" t="s">
        <v>410</v>
      </c>
      <c r="E60" s="631">
        <v>1</v>
      </c>
      <c r="F60" s="631">
        <v>1</v>
      </c>
      <c r="G60" s="631">
        <v>11</v>
      </c>
      <c r="H60" s="631">
        <v>2</v>
      </c>
      <c r="I60" s="631">
        <v>18.329043257864008</v>
      </c>
      <c r="J60" s="634">
        <v>1</v>
      </c>
    </row>
    <row r="61" spans="2:10" s="129" customFormat="1" x14ac:dyDescent="0.35">
      <c r="B61" s="265" t="s">
        <v>392</v>
      </c>
      <c r="C61" s="277" t="s">
        <v>1043</v>
      </c>
      <c r="D61" s="277" t="s">
        <v>410</v>
      </c>
      <c r="E61" s="631">
        <v>2</v>
      </c>
      <c r="F61" s="631">
        <v>4</v>
      </c>
      <c r="G61" s="631">
        <v>45</v>
      </c>
      <c r="H61" s="631">
        <v>7</v>
      </c>
      <c r="I61" s="631">
        <v>76.490218466865429</v>
      </c>
      <c r="J61" s="634">
        <v>5</v>
      </c>
    </row>
    <row r="62" spans="2:10" s="129" customFormat="1" x14ac:dyDescent="0.35">
      <c r="B62" s="265" t="s">
        <v>395</v>
      </c>
      <c r="C62" s="277" t="s">
        <v>1043</v>
      </c>
      <c r="D62" s="277" t="s">
        <v>410</v>
      </c>
      <c r="E62" s="631">
        <v>29</v>
      </c>
      <c r="F62" s="631">
        <v>44</v>
      </c>
      <c r="G62" s="631">
        <v>528</v>
      </c>
      <c r="H62" s="631">
        <v>80</v>
      </c>
      <c r="I62" s="631">
        <v>900.51413071789477</v>
      </c>
      <c r="J62" s="634">
        <v>62</v>
      </c>
    </row>
    <row r="63" spans="2:10" s="129" customFormat="1" x14ac:dyDescent="0.35">
      <c r="B63" s="265" t="s">
        <v>399</v>
      </c>
      <c r="C63" s="277" t="s">
        <v>1043</v>
      </c>
      <c r="D63" s="277" t="s">
        <v>410</v>
      </c>
      <c r="E63" s="631">
        <v>37</v>
      </c>
      <c r="F63" s="631">
        <v>56</v>
      </c>
      <c r="G63" s="631">
        <v>677</v>
      </c>
      <c r="H63" s="631">
        <v>102</v>
      </c>
      <c r="I63" s="631">
        <v>1154.745750121652</v>
      </c>
      <c r="J63" s="634">
        <v>79</v>
      </c>
    </row>
    <row r="64" spans="2:10" s="129" customFormat="1" x14ac:dyDescent="0.35">
      <c r="B64" s="265" t="s">
        <v>402</v>
      </c>
      <c r="C64" s="277" t="s">
        <v>1043</v>
      </c>
      <c r="D64" s="277" t="s">
        <v>410</v>
      </c>
      <c r="E64" s="631">
        <v>5</v>
      </c>
      <c r="F64" s="631">
        <v>7</v>
      </c>
      <c r="G64" s="631">
        <v>85</v>
      </c>
      <c r="H64" s="631">
        <v>13</v>
      </c>
      <c r="I64" s="631">
        <v>144.81084719044205</v>
      </c>
      <c r="J64" s="634">
        <v>10</v>
      </c>
    </row>
    <row r="65" spans="2:10" s="129" customFormat="1" x14ac:dyDescent="0.35">
      <c r="B65" s="265" t="s">
        <v>414</v>
      </c>
      <c r="C65" s="277" t="s">
        <v>1043</v>
      </c>
      <c r="D65" s="277" t="s">
        <v>410</v>
      </c>
      <c r="E65" s="631">
        <v>4</v>
      </c>
      <c r="F65" s="631">
        <v>7</v>
      </c>
      <c r="G65" s="631">
        <v>78</v>
      </c>
      <c r="H65" s="631">
        <v>12</v>
      </c>
      <c r="I65" s="631">
        <v>133.9049165039693</v>
      </c>
      <c r="J65" s="634">
        <v>9</v>
      </c>
    </row>
    <row r="66" spans="2:10" s="129" customFormat="1" x14ac:dyDescent="0.35">
      <c r="B66" s="265" t="s">
        <v>415</v>
      </c>
      <c r="C66" s="277" t="s">
        <v>1043</v>
      </c>
      <c r="D66" s="277" t="s">
        <v>410</v>
      </c>
      <c r="E66" s="631">
        <v>0</v>
      </c>
      <c r="F66" s="631">
        <v>0</v>
      </c>
      <c r="G66" s="631">
        <v>3</v>
      </c>
      <c r="H66" s="631">
        <v>0</v>
      </c>
      <c r="I66" s="631">
        <v>4.6876841750843843</v>
      </c>
      <c r="J66" s="634">
        <v>0</v>
      </c>
    </row>
    <row r="67" spans="2:10" s="129" customFormat="1" x14ac:dyDescent="0.35">
      <c r="B67" s="265" t="s">
        <v>419</v>
      </c>
      <c r="C67" s="277" t="s">
        <v>1043</v>
      </c>
      <c r="D67" s="277" t="s">
        <v>410</v>
      </c>
      <c r="E67" s="631">
        <v>2</v>
      </c>
      <c r="F67" s="631">
        <v>3</v>
      </c>
      <c r="G67" s="631">
        <v>40</v>
      </c>
      <c r="H67" s="631">
        <v>6</v>
      </c>
      <c r="I67" s="631">
        <v>67.507701547268169</v>
      </c>
      <c r="J67" s="634">
        <v>5</v>
      </c>
    </row>
    <row r="68" spans="2:10" s="129" customFormat="1" x14ac:dyDescent="0.35">
      <c r="B68" s="265" t="s">
        <v>422</v>
      </c>
      <c r="C68" s="277" t="s">
        <v>1043</v>
      </c>
      <c r="D68" s="277" t="s">
        <v>410</v>
      </c>
      <c r="E68" s="631">
        <v>4</v>
      </c>
      <c r="F68" s="631">
        <v>6</v>
      </c>
      <c r="G68" s="631">
        <v>69</v>
      </c>
      <c r="H68" s="631">
        <v>10</v>
      </c>
      <c r="I68" s="631">
        <v>117.79283675156746</v>
      </c>
      <c r="J68" s="634">
        <v>8</v>
      </c>
    </row>
    <row r="69" spans="2:10" s="129" customFormat="1" x14ac:dyDescent="0.35">
      <c r="B69" s="265" t="s">
        <v>423</v>
      </c>
      <c r="C69" s="277" t="s">
        <v>1043</v>
      </c>
      <c r="D69" s="277" t="s">
        <v>410</v>
      </c>
      <c r="E69" s="631">
        <v>27</v>
      </c>
      <c r="F69" s="631">
        <v>41</v>
      </c>
      <c r="G69" s="631">
        <v>491</v>
      </c>
      <c r="H69" s="631">
        <v>74</v>
      </c>
      <c r="I69" s="631">
        <v>837.19389939240727</v>
      </c>
      <c r="J69" s="634">
        <v>57</v>
      </c>
    </row>
    <row r="70" spans="2:10" s="129" customFormat="1" x14ac:dyDescent="0.35">
      <c r="B70" s="265" t="s">
        <v>425</v>
      </c>
      <c r="C70" s="277" t="s">
        <v>1100</v>
      </c>
      <c r="D70" s="277" t="s">
        <v>410</v>
      </c>
      <c r="E70" s="631">
        <v>56</v>
      </c>
      <c r="F70" s="631">
        <v>85</v>
      </c>
      <c r="G70" s="631">
        <v>1028</v>
      </c>
      <c r="H70" s="631">
        <v>156</v>
      </c>
      <c r="I70" s="631">
        <v>1754.02984355328</v>
      </c>
      <c r="J70" s="634">
        <v>120</v>
      </c>
    </row>
    <row r="71" spans="2:10" s="129" customFormat="1" x14ac:dyDescent="0.35">
      <c r="B71" s="265" t="s">
        <v>431</v>
      </c>
      <c r="C71" s="277" t="s">
        <v>1041</v>
      </c>
      <c r="D71" s="277" t="s">
        <v>410</v>
      </c>
      <c r="E71" s="631">
        <v>2</v>
      </c>
      <c r="F71" s="631">
        <v>3</v>
      </c>
      <c r="G71" s="631">
        <v>34</v>
      </c>
      <c r="H71" s="631">
        <v>5</v>
      </c>
      <c r="I71" s="631">
        <v>58.169014816263378</v>
      </c>
      <c r="J71" s="634">
        <v>4</v>
      </c>
    </row>
    <row r="72" spans="2:10" s="129" customFormat="1" x14ac:dyDescent="0.35">
      <c r="B72" s="265" t="s">
        <v>442</v>
      </c>
      <c r="C72" s="277" t="s">
        <v>1043</v>
      </c>
      <c r="D72" s="277" t="s">
        <v>410</v>
      </c>
      <c r="E72" s="631">
        <v>1</v>
      </c>
      <c r="F72" s="631">
        <v>1</v>
      </c>
      <c r="G72" s="631">
        <v>15</v>
      </c>
      <c r="H72" s="631">
        <v>2</v>
      </c>
      <c r="I72" s="631">
        <v>26.363479278074074</v>
      </c>
      <c r="J72" s="634">
        <v>2</v>
      </c>
    </row>
    <row r="73" spans="2:10" s="129" customFormat="1" x14ac:dyDescent="0.35">
      <c r="B73" s="265" t="s">
        <v>449</v>
      </c>
      <c r="C73" s="277" t="s">
        <v>1043</v>
      </c>
      <c r="D73" s="277" t="s">
        <v>410</v>
      </c>
      <c r="E73" s="631">
        <v>1</v>
      </c>
      <c r="F73" s="631">
        <v>2</v>
      </c>
      <c r="G73" s="631">
        <v>22</v>
      </c>
      <c r="H73" s="631">
        <v>3</v>
      </c>
      <c r="I73" s="631">
        <v>38.155949255604241</v>
      </c>
      <c r="J73" s="634">
        <v>3</v>
      </c>
    </row>
    <row r="74" spans="2:10" s="129" customFormat="1" x14ac:dyDescent="0.35">
      <c r="B74" s="265" t="s">
        <v>456</v>
      </c>
      <c r="C74" s="277" t="s">
        <v>1043</v>
      </c>
      <c r="D74" s="277" t="s">
        <v>410</v>
      </c>
      <c r="E74" s="631">
        <v>0</v>
      </c>
      <c r="F74" s="631">
        <v>0</v>
      </c>
      <c r="G74" s="631">
        <v>5</v>
      </c>
      <c r="H74" s="631">
        <v>1</v>
      </c>
      <c r="I74" s="631">
        <v>8.5133710395169491</v>
      </c>
      <c r="J74" s="634">
        <v>1</v>
      </c>
    </row>
    <row r="75" spans="2:10" s="129" customFormat="1" x14ac:dyDescent="0.35">
      <c r="B75" s="265" t="s">
        <v>460</v>
      </c>
      <c r="C75" s="277" t="s">
        <v>1043</v>
      </c>
      <c r="D75" s="277" t="s">
        <v>410</v>
      </c>
      <c r="E75" s="631">
        <v>0</v>
      </c>
      <c r="F75" s="631">
        <v>0</v>
      </c>
      <c r="G75" s="631">
        <v>4</v>
      </c>
      <c r="H75" s="631">
        <v>1</v>
      </c>
      <c r="I75" s="631">
        <v>6.0888584253964497</v>
      </c>
      <c r="J75" s="634">
        <v>0</v>
      </c>
    </row>
    <row r="76" spans="2:10" s="129" customFormat="1" x14ac:dyDescent="0.35">
      <c r="B76" s="265" t="s">
        <v>474</v>
      </c>
      <c r="C76" s="277" t="s">
        <v>1043</v>
      </c>
      <c r="D76" s="277" t="s">
        <v>410</v>
      </c>
      <c r="E76" s="631">
        <v>0</v>
      </c>
      <c r="F76" s="631">
        <v>0</v>
      </c>
      <c r="G76" s="631">
        <v>0</v>
      </c>
      <c r="H76" s="631">
        <v>0</v>
      </c>
      <c r="I76" s="631">
        <v>0.53877597209305539</v>
      </c>
      <c r="J76" s="634">
        <v>0</v>
      </c>
    </row>
    <row r="77" spans="2:10" x14ac:dyDescent="0.35">
      <c r="B77" s="265" t="s">
        <v>477</v>
      </c>
      <c r="C77" s="277" t="s">
        <v>1043</v>
      </c>
      <c r="D77" s="277" t="s">
        <v>410</v>
      </c>
      <c r="E77" s="631">
        <v>8</v>
      </c>
      <c r="F77" s="631">
        <v>11</v>
      </c>
      <c r="G77" s="631">
        <v>139</v>
      </c>
      <c r="H77" s="631">
        <v>21</v>
      </c>
      <c r="I77" s="631">
        <v>236.39282121588869</v>
      </c>
      <c r="J77" s="634">
        <v>16</v>
      </c>
    </row>
    <row r="78" spans="2:10" x14ac:dyDescent="0.35">
      <c r="B78" s="265" t="s">
        <v>480</v>
      </c>
      <c r="C78" s="277" t="s">
        <v>1100</v>
      </c>
      <c r="D78" s="277" t="s">
        <v>410</v>
      </c>
      <c r="E78" s="631">
        <v>2</v>
      </c>
      <c r="F78" s="631">
        <v>3</v>
      </c>
      <c r="G78" s="631">
        <v>39</v>
      </c>
      <c r="H78" s="631">
        <v>6</v>
      </c>
      <c r="I78" s="631">
        <v>66.132852891712318</v>
      </c>
      <c r="J78" s="634">
        <v>5</v>
      </c>
    </row>
    <row r="79" spans="2:10" x14ac:dyDescent="0.35">
      <c r="B79" s="265" t="s">
        <v>487</v>
      </c>
      <c r="C79" s="277" t="s">
        <v>1043</v>
      </c>
      <c r="D79" s="277" t="s">
        <v>410</v>
      </c>
      <c r="E79" s="631">
        <v>2</v>
      </c>
      <c r="F79" s="631">
        <v>4</v>
      </c>
      <c r="G79" s="631">
        <v>44</v>
      </c>
      <c r="H79" s="631">
        <v>7</v>
      </c>
      <c r="I79" s="631">
        <v>74.370620947891283</v>
      </c>
      <c r="J79" s="634">
        <v>5</v>
      </c>
    </row>
    <row r="80" spans="2:10" x14ac:dyDescent="0.35">
      <c r="B80" s="265" t="s">
        <v>492</v>
      </c>
      <c r="C80" s="277" t="s">
        <v>1041</v>
      </c>
      <c r="D80" s="277" t="s">
        <v>410</v>
      </c>
      <c r="E80" s="631">
        <v>2</v>
      </c>
      <c r="F80" s="631">
        <v>3</v>
      </c>
      <c r="G80" s="631">
        <v>40</v>
      </c>
      <c r="H80" s="631">
        <v>6</v>
      </c>
      <c r="I80" s="631">
        <v>68.786566863119404</v>
      </c>
      <c r="J80" s="634">
        <v>5</v>
      </c>
    </row>
    <row r="81" spans="2:10" x14ac:dyDescent="0.35">
      <c r="B81" s="265" t="s">
        <v>497</v>
      </c>
      <c r="C81" s="277" t="s">
        <v>1100</v>
      </c>
      <c r="D81" s="277" t="s">
        <v>410</v>
      </c>
      <c r="E81" s="631">
        <v>0</v>
      </c>
      <c r="F81" s="631">
        <v>0</v>
      </c>
      <c r="G81" s="631">
        <v>0</v>
      </c>
      <c r="H81" s="631">
        <v>0</v>
      </c>
      <c r="I81" s="631">
        <v>0.24889024748241048</v>
      </c>
      <c r="J81" s="634">
        <v>0</v>
      </c>
    </row>
    <row r="82" spans="2:10" x14ac:dyDescent="0.35">
      <c r="B82" s="265" t="s">
        <v>499</v>
      </c>
      <c r="C82" s="277" t="s">
        <v>1044</v>
      </c>
      <c r="D82" s="277" t="s">
        <v>410</v>
      </c>
      <c r="E82" s="631">
        <v>2</v>
      </c>
      <c r="F82" s="631">
        <v>3</v>
      </c>
      <c r="G82" s="631">
        <v>34</v>
      </c>
      <c r="H82" s="631">
        <v>5</v>
      </c>
      <c r="I82" s="631">
        <v>58.713266069618754</v>
      </c>
      <c r="J82" s="634">
        <v>4</v>
      </c>
    </row>
    <row r="83" spans="2:10" x14ac:dyDescent="0.35">
      <c r="B83" s="265" t="s">
        <v>501</v>
      </c>
      <c r="C83" s="277" t="s">
        <v>1043</v>
      </c>
      <c r="D83" s="277" t="s">
        <v>410</v>
      </c>
      <c r="E83" s="631">
        <v>17</v>
      </c>
      <c r="F83" s="631">
        <v>25</v>
      </c>
      <c r="G83" s="631">
        <v>307</v>
      </c>
      <c r="H83" s="631">
        <v>46</v>
      </c>
      <c r="I83" s="631">
        <v>523.85404703888094</v>
      </c>
      <c r="J83" s="634">
        <v>36</v>
      </c>
    </row>
    <row r="84" spans="2:10" x14ac:dyDescent="0.35">
      <c r="B84" s="265" t="s">
        <v>502</v>
      </c>
      <c r="C84" s="277" t="s">
        <v>1043</v>
      </c>
      <c r="D84" s="277" t="s">
        <v>410</v>
      </c>
      <c r="E84" s="631">
        <v>4</v>
      </c>
      <c r="F84" s="631">
        <v>7</v>
      </c>
      <c r="G84" s="631">
        <v>83</v>
      </c>
      <c r="H84" s="631">
        <v>13</v>
      </c>
      <c r="I84" s="631">
        <v>141.39192118322214</v>
      </c>
      <c r="J84" s="634">
        <v>10</v>
      </c>
    </row>
    <row r="85" spans="2:10" x14ac:dyDescent="0.35">
      <c r="B85" s="265" t="s">
        <v>509</v>
      </c>
      <c r="C85" s="277" t="s">
        <v>1041</v>
      </c>
      <c r="D85" s="277" t="s">
        <v>410</v>
      </c>
      <c r="E85" s="631">
        <v>1</v>
      </c>
      <c r="F85" s="631">
        <v>2</v>
      </c>
      <c r="G85" s="631">
        <v>23</v>
      </c>
      <c r="H85" s="631">
        <v>3</v>
      </c>
      <c r="I85" s="631">
        <v>39.15753858550957</v>
      </c>
      <c r="J85" s="634">
        <v>3</v>
      </c>
    </row>
    <row r="86" spans="2:10" x14ac:dyDescent="0.35">
      <c r="B86" s="265" t="s">
        <v>512</v>
      </c>
      <c r="C86" s="277" t="s">
        <v>1043</v>
      </c>
      <c r="D86" s="277" t="s">
        <v>410</v>
      </c>
      <c r="E86" s="631">
        <v>0</v>
      </c>
      <c r="F86" s="631">
        <v>0</v>
      </c>
      <c r="G86" s="631">
        <v>0</v>
      </c>
      <c r="H86" s="631">
        <v>0</v>
      </c>
      <c r="I86" s="631">
        <v>0.46821950673542295</v>
      </c>
      <c r="J86" s="634">
        <v>0</v>
      </c>
    </row>
    <row r="87" spans="2:10" x14ac:dyDescent="0.35">
      <c r="B87" s="265" t="s">
        <v>513</v>
      </c>
      <c r="C87" s="277" t="s">
        <v>1041</v>
      </c>
      <c r="D87" s="277" t="s">
        <v>410</v>
      </c>
      <c r="E87" s="631">
        <v>15</v>
      </c>
      <c r="F87" s="631">
        <v>23</v>
      </c>
      <c r="G87" s="631">
        <v>278</v>
      </c>
      <c r="H87" s="631">
        <v>42</v>
      </c>
      <c r="I87" s="631">
        <v>473.81271394190105</v>
      </c>
      <c r="J87" s="634">
        <v>32</v>
      </c>
    </row>
    <row r="88" spans="2:10" x14ac:dyDescent="0.35">
      <c r="B88" s="265" t="s">
        <v>213</v>
      </c>
      <c r="C88" s="277" t="s">
        <v>1042</v>
      </c>
      <c r="D88" s="277" t="s">
        <v>410</v>
      </c>
      <c r="E88" s="631">
        <v>0</v>
      </c>
      <c r="F88" s="631">
        <v>0</v>
      </c>
      <c r="G88" s="631">
        <v>1</v>
      </c>
      <c r="H88" s="631">
        <v>0</v>
      </c>
      <c r="I88" s="631">
        <v>1.3514127925769837</v>
      </c>
      <c r="J88" s="634">
        <v>0</v>
      </c>
    </row>
    <row r="89" spans="2:10" x14ac:dyDescent="0.35">
      <c r="B89" s="265" t="s">
        <v>515</v>
      </c>
      <c r="C89" s="277" t="s">
        <v>1100</v>
      </c>
      <c r="D89" s="277" t="s">
        <v>410</v>
      </c>
      <c r="E89" s="631">
        <v>3</v>
      </c>
      <c r="F89" s="631">
        <v>4</v>
      </c>
      <c r="G89" s="631">
        <v>47</v>
      </c>
      <c r="H89" s="631">
        <v>7</v>
      </c>
      <c r="I89" s="631">
        <v>80.253561787833846</v>
      </c>
      <c r="J89" s="634">
        <v>5</v>
      </c>
    </row>
    <row r="90" spans="2:10" x14ac:dyDescent="0.35">
      <c r="B90" s="265" t="s">
        <v>518</v>
      </c>
      <c r="C90" s="277" t="s">
        <v>1043</v>
      </c>
      <c r="D90" s="277" t="s">
        <v>410</v>
      </c>
      <c r="E90" s="631">
        <v>2</v>
      </c>
      <c r="F90" s="631">
        <v>4</v>
      </c>
      <c r="G90" s="631">
        <v>44</v>
      </c>
      <c r="H90" s="631">
        <v>7</v>
      </c>
      <c r="I90" s="631">
        <v>75.451200888533066</v>
      </c>
      <c r="J90" s="634">
        <v>5</v>
      </c>
    </row>
    <row r="91" spans="2:10" x14ac:dyDescent="0.35">
      <c r="B91" s="265" t="s">
        <v>520</v>
      </c>
      <c r="C91" s="277" t="s">
        <v>1043</v>
      </c>
      <c r="D91" s="277" t="s">
        <v>410</v>
      </c>
      <c r="E91" s="631">
        <v>1</v>
      </c>
      <c r="F91" s="631">
        <v>1</v>
      </c>
      <c r="G91" s="631">
        <v>17</v>
      </c>
      <c r="H91" s="631">
        <v>3</v>
      </c>
      <c r="I91" s="631">
        <v>28.740442669312952</v>
      </c>
      <c r="J91" s="634">
        <v>2</v>
      </c>
    </row>
    <row r="92" spans="2:10" x14ac:dyDescent="0.35">
      <c r="B92" s="265" t="s">
        <v>529</v>
      </c>
      <c r="C92" s="277" t="s">
        <v>1043</v>
      </c>
      <c r="D92" s="277" t="s">
        <v>410</v>
      </c>
      <c r="E92" s="631">
        <v>21</v>
      </c>
      <c r="F92" s="631">
        <v>31</v>
      </c>
      <c r="G92" s="631">
        <v>379</v>
      </c>
      <c r="H92" s="631">
        <v>57</v>
      </c>
      <c r="I92" s="631">
        <v>646.20461299435965</v>
      </c>
      <c r="J92" s="634">
        <v>44</v>
      </c>
    </row>
    <row r="93" spans="2:10" x14ac:dyDescent="0.35">
      <c r="B93" s="265" t="s">
        <v>530</v>
      </c>
      <c r="C93" s="277" t="s">
        <v>1044</v>
      </c>
      <c r="D93" s="277" t="s">
        <v>410</v>
      </c>
      <c r="E93" s="631">
        <v>0</v>
      </c>
      <c r="F93" s="631">
        <v>0</v>
      </c>
      <c r="G93" s="631">
        <v>0</v>
      </c>
      <c r="H93" s="631">
        <v>0</v>
      </c>
      <c r="I93" s="631">
        <v>0.7305076015491182</v>
      </c>
      <c r="J93" s="634">
        <v>0</v>
      </c>
    </row>
    <row r="94" spans="2:10" x14ac:dyDescent="0.35">
      <c r="B94" s="265" t="s">
        <v>543</v>
      </c>
      <c r="C94" s="277" t="s">
        <v>1043</v>
      </c>
      <c r="D94" s="277" t="s">
        <v>410</v>
      </c>
      <c r="E94" s="631">
        <v>4</v>
      </c>
      <c r="F94" s="631">
        <v>7</v>
      </c>
      <c r="G94" s="631">
        <v>81</v>
      </c>
      <c r="H94" s="631">
        <v>12</v>
      </c>
      <c r="I94" s="631">
        <v>138.76783733238361</v>
      </c>
      <c r="J94" s="634">
        <v>10</v>
      </c>
    </row>
    <row r="95" spans="2:10" x14ac:dyDescent="0.35">
      <c r="B95" s="265" t="s">
        <v>544</v>
      </c>
      <c r="C95" s="277" t="s">
        <v>1043</v>
      </c>
      <c r="D95" s="277" t="s">
        <v>410</v>
      </c>
      <c r="E95" s="631">
        <v>4</v>
      </c>
      <c r="F95" s="631">
        <v>6</v>
      </c>
      <c r="G95" s="631">
        <v>70</v>
      </c>
      <c r="H95" s="631">
        <v>11</v>
      </c>
      <c r="I95" s="631">
        <v>118.78817651801175</v>
      </c>
      <c r="J95" s="634">
        <v>8</v>
      </c>
    </row>
    <row r="96" spans="2:10" x14ac:dyDescent="0.35">
      <c r="B96" s="265" t="s">
        <v>548</v>
      </c>
      <c r="C96" s="277" t="s">
        <v>1044</v>
      </c>
      <c r="D96" s="277" t="s">
        <v>410</v>
      </c>
      <c r="E96" s="631">
        <v>1</v>
      </c>
      <c r="F96" s="631">
        <v>1</v>
      </c>
      <c r="G96" s="631">
        <v>11</v>
      </c>
      <c r="H96" s="631">
        <v>2</v>
      </c>
      <c r="I96" s="631">
        <v>19.287494008126806</v>
      </c>
      <c r="J96" s="634">
        <v>1</v>
      </c>
    </row>
    <row r="97" spans="2:10" x14ac:dyDescent="0.35">
      <c r="B97" s="265" t="s">
        <v>554</v>
      </c>
      <c r="C97" s="277" t="s">
        <v>1041</v>
      </c>
      <c r="D97" s="277" t="s">
        <v>410</v>
      </c>
      <c r="E97" s="631">
        <v>4</v>
      </c>
      <c r="F97" s="631">
        <v>7</v>
      </c>
      <c r="G97" s="631">
        <v>79</v>
      </c>
      <c r="H97" s="631">
        <v>12</v>
      </c>
      <c r="I97" s="631">
        <v>135.09186346165916</v>
      </c>
      <c r="J97" s="634">
        <v>9</v>
      </c>
    </row>
    <row r="98" spans="2:10" x14ac:dyDescent="0.35">
      <c r="B98" s="265" t="s">
        <v>555</v>
      </c>
      <c r="C98" s="277" t="s">
        <v>1043</v>
      </c>
      <c r="D98" s="277" t="s">
        <v>410</v>
      </c>
      <c r="E98" s="631">
        <v>30</v>
      </c>
      <c r="F98" s="631">
        <v>45</v>
      </c>
      <c r="G98" s="631">
        <v>547</v>
      </c>
      <c r="H98" s="631">
        <v>83</v>
      </c>
      <c r="I98" s="631">
        <v>933.70359890100701</v>
      </c>
      <c r="J98" s="634">
        <v>64</v>
      </c>
    </row>
    <row r="99" spans="2:10" x14ac:dyDescent="0.35">
      <c r="B99" s="265" t="s">
        <v>556</v>
      </c>
      <c r="C99" s="277" t="s">
        <v>1044</v>
      </c>
      <c r="D99" s="277" t="s">
        <v>410</v>
      </c>
      <c r="E99" s="631">
        <v>145</v>
      </c>
      <c r="F99" s="631">
        <v>221</v>
      </c>
      <c r="G99" s="631">
        <v>2666</v>
      </c>
      <c r="H99" s="631">
        <v>404</v>
      </c>
      <c r="I99" s="631">
        <v>4549.8054902454787</v>
      </c>
      <c r="J99" s="634">
        <v>312</v>
      </c>
    </row>
    <row r="100" spans="2:10" x14ac:dyDescent="0.35">
      <c r="B100" s="265" t="s">
        <v>559</v>
      </c>
      <c r="C100" s="277" t="s">
        <v>1044</v>
      </c>
      <c r="D100" s="277" t="s">
        <v>410</v>
      </c>
      <c r="E100" s="631">
        <v>2</v>
      </c>
      <c r="F100" s="631">
        <v>2</v>
      </c>
      <c r="G100" s="631">
        <v>28</v>
      </c>
      <c r="H100" s="631">
        <v>4</v>
      </c>
      <c r="I100" s="631">
        <v>47.863512321956129</v>
      </c>
      <c r="J100" s="634">
        <v>3</v>
      </c>
    </row>
    <row r="101" spans="2:10" x14ac:dyDescent="0.35">
      <c r="B101" s="632" t="s">
        <v>230</v>
      </c>
      <c r="C101" s="629" t="s">
        <v>1041</v>
      </c>
      <c r="D101" s="629" t="s">
        <v>452</v>
      </c>
      <c r="E101" s="630">
        <v>0</v>
      </c>
      <c r="F101" s="630">
        <v>0</v>
      </c>
      <c r="G101" s="630">
        <v>0</v>
      </c>
      <c r="H101" s="630">
        <v>0</v>
      </c>
      <c r="I101" s="630">
        <v>443.64033160445643</v>
      </c>
      <c r="J101" s="648">
        <v>3</v>
      </c>
    </row>
    <row r="102" spans="2:10" x14ac:dyDescent="0.35">
      <c r="B102" s="632" t="s">
        <v>183</v>
      </c>
      <c r="C102" s="629" t="s">
        <v>1042</v>
      </c>
      <c r="D102" s="629" t="s">
        <v>452</v>
      </c>
      <c r="E102" s="630">
        <v>1</v>
      </c>
      <c r="F102" s="630">
        <v>1</v>
      </c>
      <c r="G102" s="630">
        <v>4</v>
      </c>
      <c r="H102" s="630">
        <v>1</v>
      </c>
      <c r="I102" s="630">
        <v>137.62420444866055</v>
      </c>
      <c r="J102" s="648">
        <v>3</v>
      </c>
    </row>
    <row r="103" spans="2:10" x14ac:dyDescent="0.35">
      <c r="B103" s="632" t="s">
        <v>185</v>
      </c>
      <c r="C103" s="629" t="s">
        <v>1042</v>
      </c>
      <c r="D103" s="629" t="s">
        <v>452</v>
      </c>
      <c r="E103" s="630">
        <v>1</v>
      </c>
      <c r="F103" s="630">
        <v>1</v>
      </c>
      <c r="G103" s="630">
        <v>5</v>
      </c>
      <c r="H103" s="630">
        <v>1</v>
      </c>
      <c r="I103" s="630">
        <v>385.21673644022144</v>
      </c>
      <c r="J103" s="648">
        <v>3</v>
      </c>
    </row>
    <row r="104" spans="2:10" x14ac:dyDescent="0.35">
      <c r="B104" s="632" t="s">
        <v>186</v>
      </c>
      <c r="C104" s="629" t="s">
        <v>1042</v>
      </c>
      <c r="D104" s="629" t="s">
        <v>452</v>
      </c>
      <c r="E104" s="630">
        <v>1</v>
      </c>
      <c r="F104" s="630">
        <v>1</v>
      </c>
      <c r="G104" s="630">
        <v>4</v>
      </c>
      <c r="H104" s="630">
        <v>1</v>
      </c>
      <c r="I104" s="630">
        <v>218.57622786857954</v>
      </c>
      <c r="J104" s="648">
        <v>3</v>
      </c>
    </row>
    <row r="105" spans="2:10" x14ac:dyDescent="0.35">
      <c r="B105" s="632" t="s">
        <v>188</v>
      </c>
      <c r="C105" s="629" t="s">
        <v>1042</v>
      </c>
      <c r="D105" s="629" t="s">
        <v>452</v>
      </c>
      <c r="E105" s="630">
        <v>1</v>
      </c>
      <c r="F105" s="630">
        <v>4</v>
      </c>
      <c r="G105" s="630">
        <v>6</v>
      </c>
      <c r="H105" s="630">
        <v>1</v>
      </c>
      <c r="I105" s="630">
        <v>89.950687323036703</v>
      </c>
      <c r="J105" s="648">
        <v>3</v>
      </c>
    </row>
    <row r="106" spans="2:10" x14ac:dyDescent="0.35">
      <c r="B106" s="632" t="s">
        <v>189</v>
      </c>
      <c r="C106" s="629" t="s">
        <v>1042</v>
      </c>
      <c r="D106" s="629" t="s">
        <v>452</v>
      </c>
      <c r="E106" s="630">
        <v>2</v>
      </c>
      <c r="F106" s="630">
        <v>1</v>
      </c>
      <c r="G106" s="630">
        <v>7</v>
      </c>
      <c r="H106" s="630">
        <v>1</v>
      </c>
      <c r="I106" s="630">
        <v>185.97143182785007</v>
      </c>
      <c r="J106" s="648">
        <v>3</v>
      </c>
    </row>
    <row r="107" spans="2:10" x14ac:dyDescent="0.35">
      <c r="B107" s="265" t="s">
        <v>428</v>
      </c>
      <c r="C107" s="629" t="s">
        <v>1045</v>
      </c>
      <c r="D107" s="629" t="s">
        <v>452</v>
      </c>
      <c r="E107" s="630">
        <v>0</v>
      </c>
      <c r="F107" s="630">
        <v>0</v>
      </c>
      <c r="G107" s="630">
        <v>0</v>
      </c>
      <c r="H107" s="630">
        <v>0</v>
      </c>
      <c r="I107" s="630">
        <v>431.92397260789789</v>
      </c>
      <c r="J107" s="648">
        <v>3</v>
      </c>
    </row>
    <row r="108" spans="2:10" x14ac:dyDescent="0.35">
      <c r="B108" s="265" t="s">
        <v>354</v>
      </c>
      <c r="C108" s="629" t="s">
        <v>1042</v>
      </c>
      <c r="D108" s="629" t="s">
        <v>452</v>
      </c>
      <c r="E108" s="630">
        <v>5</v>
      </c>
      <c r="F108" s="630">
        <v>1</v>
      </c>
      <c r="G108" s="630">
        <v>22</v>
      </c>
      <c r="H108" s="630">
        <v>3</v>
      </c>
      <c r="I108" s="630">
        <v>1645.2216543900142</v>
      </c>
      <c r="J108" s="648">
        <v>3</v>
      </c>
    </row>
    <row r="109" spans="2:10" x14ac:dyDescent="0.35">
      <c r="B109" s="632" t="s">
        <v>192</v>
      </c>
      <c r="C109" s="629" t="s">
        <v>1042</v>
      </c>
      <c r="D109" s="629" t="s">
        <v>452</v>
      </c>
      <c r="E109" s="630">
        <v>0</v>
      </c>
      <c r="F109" s="630">
        <v>1</v>
      </c>
      <c r="G109" s="630">
        <v>1</v>
      </c>
      <c r="H109" s="630">
        <v>0</v>
      </c>
      <c r="I109" s="630">
        <v>40.783135898259957</v>
      </c>
      <c r="J109" s="648">
        <v>3</v>
      </c>
    </row>
    <row r="110" spans="2:10" x14ac:dyDescent="0.35">
      <c r="B110" s="632" t="s">
        <v>194</v>
      </c>
      <c r="C110" s="629" t="s">
        <v>1042</v>
      </c>
      <c r="D110" s="629" t="s">
        <v>452</v>
      </c>
      <c r="E110" s="630">
        <v>8</v>
      </c>
      <c r="F110" s="630">
        <v>1</v>
      </c>
      <c r="G110" s="630">
        <v>36</v>
      </c>
      <c r="H110" s="630">
        <v>5</v>
      </c>
      <c r="I110" s="630">
        <v>1886.1213669251185</v>
      </c>
      <c r="J110" s="648">
        <v>3</v>
      </c>
    </row>
    <row r="111" spans="2:10" x14ac:dyDescent="0.35">
      <c r="B111" s="265" t="s">
        <v>398</v>
      </c>
      <c r="C111" s="629" t="s">
        <v>1042</v>
      </c>
      <c r="D111" s="629" t="s">
        <v>452</v>
      </c>
      <c r="E111" s="630">
        <v>0</v>
      </c>
      <c r="F111" s="630">
        <v>2</v>
      </c>
      <c r="G111" s="630">
        <v>1</v>
      </c>
      <c r="H111" s="630">
        <v>0</v>
      </c>
      <c r="I111" s="630">
        <v>39.508296598021076</v>
      </c>
      <c r="J111" s="648">
        <v>3</v>
      </c>
    </row>
    <row r="112" spans="2:10" x14ac:dyDescent="0.35">
      <c r="B112" s="632" t="s">
        <v>197</v>
      </c>
      <c r="C112" s="629" t="s">
        <v>1042</v>
      </c>
      <c r="D112" s="629" t="s">
        <v>452</v>
      </c>
      <c r="E112" s="630">
        <v>1</v>
      </c>
      <c r="F112" s="630">
        <v>1</v>
      </c>
      <c r="G112" s="630">
        <v>6</v>
      </c>
      <c r="H112" s="630">
        <v>1</v>
      </c>
      <c r="I112" s="630">
        <v>242.09463029141429</v>
      </c>
      <c r="J112" s="648">
        <v>3</v>
      </c>
    </row>
    <row r="113" spans="2:10" x14ac:dyDescent="0.35">
      <c r="B113" s="632" t="s">
        <v>198</v>
      </c>
      <c r="C113" s="629" t="s">
        <v>1042</v>
      </c>
      <c r="D113" s="629" t="s">
        <v>452</v>
      </c>
      <c r="E113" s="630">
        <v>0</v>
      </c>
      <c r="F113" s="630">
        <v>4</v>
      </c>
      <c r="G113" s="630">
        <v>2</v>
      </c>
      <c r="H113" s="630">
        <v>0</v>
      </c>
      <c r="I113" s="630">
        <v>22.401600821556105</v>
      </c>
      <c r="J113" s="648">
        <v>3</v>
      </c>
    </row>
    <row r="114" spans="2:10" x14ac:dyDescent="0.35">
      <c r="B114" s="632" t="s">
        <v>225</v>
      </c>
      <c r="C114" s="629" t="s">
        <v>1044</v>
      </c>
      <c r="D114" s="629" t="s">
        <v>452</v>
      </c>
      <c r="E114" s="630">
        <v>2</v>
      </c>
      <c r="F114" s="630">
        <v>2</v>
      </c>
      <c r="G114" s="630">
        <v>7</v>
      </c>
      <c r="H114" s="630">
        <v>1</v>
      </c>
      <c r="I114" s="630">
        <v>131.3492461046736</v>
      </c>
      <c r="J114" s="648">
        <v>3</v>
      </c>
    </row>
    <row r="115" spans="2:10" x14ac:dyDescent="0.35">
      <c r="B115" s="632" t="s">
        <v>201</v>
      </c>
      <c r="C115" s="629" t="s">
        <v>1042</v>
      </c>
      <c r="D115" s="629" t="s">
        <v>452</v>
      </c>
      <c r="E115" s="630">
        <v>0</v>
      </c>
      <c r="F115" s="630">
        <v>1</v>
      </c>
      <c r="G115" s="630">
        <v>2</v>
      </c>
      <c r="H115" s="630">
        <v>0</v>
      </c>
      <c r="I115" s="630">
        <v>57.579313137803325</v>
      </c>
      <c r="J115" s="648">
        <v>3</v>
      </c>
    </row>
    <row r="116" spans="2:10" x14ac:dyDescent="0.35">
      <c r="B116" s="632" t="s">
        <v>202</v>
      </c>
      <c r="C116" s="629" t="s">
        <v>1042</v>
      </c>
      <c r="D116" s="629" t="s">
        <v>452</v>
      </c>
      <c r="E116" s="630">
        <v>1</v>
      </c>
      <c r="F116" s="630">
        <v>0</v>
      </c>
      <c r="G116" s="630">
        <v>3</v>
      </c>
      <c r="H116" s="630">
        <v>0</v>
      </c>
      <c r="I116" s="630">
        <v>314.51417601405888</v>
      </c>
      <c r="J116" s="648">
        <v>3</v>
      </c>
    </row>
    <row r="117" spans="2:10" x14ac:dyDescent="0.35">
      <c r="B117" s="632" t="s">
        <v>203</v>
      </c>
      <c r="C117" s="629" t="s">
        <v>1042</v>
      </c>
      <c r="D117" s="629" t="s">
        <v>452</v>
      </c>
      <c r="E117" s="630">
        <v>13</v>
      </c>
      <c r="F117" s="630">
        <v>9</v>
      </c>
      <c r="G117" s="630">
        <v>56</v>
      </c>
      <c r="H117" s="630">
        <v>8</v>
      </c>
      <c r="I117" s="630">
        <v>217.24717877084873</v>
      </c>
      <c r="J117" s="648">
        <v>3</v>
      </c>
    </row>
    <row r="118" spans="2:10" x14ac:dyDescent="0.35">
      <c r="B118" s="632" t="s">
        <v>204</v>
      </c>
      <c r="C118" s="629" t="s">
        <v>1042</v>
      </c>
      <c r="D118" s="629" t="s">
        <v>452</v>
      </c>
      <c r="E118" s="630">
        <v>2</v>
      </c>
      <c r="F118" s="630">
        <v>1</v>
      </c>
      <c r="G118" s="630">
        <v>9</v>
      </c>
      <c r="H118" s="630">
        <v>1</v>
      </c>
      <c r="I118" s="630">
        <v>229.25050076966824</v>
      </c>
      <c r="J118" s="648">
        <v>3</v>
      </c>
    </row>
    <row r="119" spans="2:10" x14ac:dyDescent="0.35">
      <c r="B119" s="632" t="s">
        <v>207</v>
      </c>
      <c r="C119" s="629" t="s">
        <v>1042</v>
      </c>
      <c r="D119" s="629" t="s">
        <v>452</v>
      </c>
      <c r="E119" s="630">
        <v>28</v>
      </c>
      <c r="F119" s="630">
        <v>13</v>
      </c>
      <c r="G119" s="630">
        <v>124</v>
      </c>
      <c r="H119" s="630">
        <v>18</v>
      </c>
      <c r="I119" s="630">
        <v>511.0161764352207</v>
      </c>
      <c r="J119" s="648">
        <v>3</v>
      </c>
    </row>
    <row r="120" spans="2:10" x14ac:dyDescent="0.35">
      <c r="B120" s="632" t="s">
        <v>179</v>
      </c>
      <c r="C120" s="629" t="s">
        <v>1045</v>
      </c>
      <c r="D120" s="629" t="s">
        <v>452</v>
      </c>
      <c r="E120" s="630">
        <v>0</v>
      </c>
      <c r="F120" s="630">
        <v>0</v>
      </c>
      <c r="G120" s="630">
        <v>1</v>
      </c>
      <c r="H120" s="630">
        <v>0</v>
      </c>
      <c r="I120" s="630">
        <v>333.63285006466413</v>
      </c>
      <c r="J120" s="648">
        <v>3</v>
      </c>
    </row>
    <row r="121" spans="2:10" x14ac:dyDescent="0.35">
      <c r="B121" s="632" t="s">
        <v>209</v>
      </c>
      <c r="C121" s="629" t="s">
        <v>1042</v>
      </c>
      <c r="D121" s="629" t="s">
        <v>452</v>
      </c>
      <c r="E121" s="630">
        <v>1</v>
      </c>
      <c r="F121" s="630">
        <v>0</v>
      </c>
      <c r="G121" s="630">
        <v>2</v>
      </c>
      <c r="H121" s="630">
        <v>0</v>
      </c>
      <c r="I121" s="630">
        <v>441.88326637291669</v>
      </c>
      <c r="J121" s="648">
        <v>3</v>
      </c>
    </row>
    <row r="122" spans="2:10" x14ac:dyDescent="0.35">
      <c r="B122" s="632" t="s">
        <v>210</v>
      </c>
      <c r="C122" s="629" t="s">
        <v>1042</v>
      </c>
      <c r="D122" s="629" t="s">
        <v>452</v>
      </c>
      <c r="E122" s="630">
        <v>2</v>
      </c>
      <c r="F122" s="630">
        <v>3</v>
      </c>
      <c r="G122" s="630">
        <v>10</v>
      </c>
      <c r="H122" s="630">
        <v>1</v>
      </c>
      <c r="I122" s="630">
        <v>239.35909517541285</v>
      </c>
      <c r="J122" s="648">
        <v>3</v>
      </c>
    </row>
    <row r="123" spans="2:10" x14ac:dyDescent="0.35">
      <c r="B123" s="632" t="s">
        <v>214</v>
      </c>
      <c r="C123" s="629" t="s">
        <v>1042</v>
      </c>
      <c r="D123" s="629" t="s">
        <v>452</v>
      </c>
      <c r="E123" s="630">
        <v>1</v>
      </c>
      <c r="F123" s="630">
        <v>2</v>
      </c>
      <c r="G123" s="630">
        <v>4</v>
      </c>
      <c r="H123" s="630">
        <v>1</v>
      </c>
      <c r="I123" s="630">
        <v>131.48486837211226</v>
      </c>
      <c r="J123" s="648">
        <v>3</v>
      </c>
    </row>
    <row r="124" spans="2:10" x14ac:dyDescent="0.35">
      <c r="B124" s="632" t="s">
        <v>232</v>
      </c>
      <c r="C124" s="629" t="s">
        <v>1041</v>
      </c>
      <c r="D124" s="629" t="s">
        <v>452</v>
      </c>
      <c r="E124" s="630">
        <v>0</v>
      </c>
      <c r="F124" s="630">
        <v>0</v>
      </c>
      <c r="G124" s="630">
        <v>1</v>
      </c>
      <c r="H124" s="630">
        <v>0</v>
      </c>
      <c r="I124" s="630">
        <v>292.73922205359321</v>
      </c>
      <c r="J124" s="648">
        <v>3</v>
      </c>
    </row>
    <row r="125" spans="2:10" x14ac:dyDescent="0.35">
      <c r="B125" s="632" t="s">
        <v>527</v>
      </c>
      <c r="C125" s="629" t="s">
        <v>1041</v>
      </c>
      <c r="D125" s="629" t="s">
        <v>452</v>
      </c>
      <c r="E125" s="630">
        <v>2</v>
      </c>
      <c r="F125" s="630">
        <v>3</v>
      </c>
      <c r="G125" s="630">
        <v>9</v>
      </c>
      <c r="H125" s="630">
        <v>1</v>
      </c>
      <c r="I125" s="630">
        <v>209.69593719136552</v>
      </c>
      <c r="J125" s="648">
        <v>3</v>
      </c>
    </row>
    <row r="126" spans="2:10" x14ac:dyDescent="0.35">
      <c r="B126" s="632" t="s">
        <v>545</v>
      </c>
      <c r="C126" s="629" t="s">
        <v>1041</v>
      </c>
      <c r="D126" s="629" t="s">
        <v>452</v>
      </c>
      <c r="E126" s="630">
        <v>0</v>
      </c>
      <c r="F126" s="630">
        <v>0</v>
      </c>
      <c r="G126" s="630">
        <v>0</v>
      </c>
      <c r="H126" s="630">
        <v>0</v>
      </c>
      <c r="I126" s="630">
        <v>199.07069542060961</v>
      </c>
      <c r="J126" s="648">
        <v>3</v>
      </c>
    </row>
    <row r="127" spans="2:10" x14ac:dyDescent="0.35">
      <c r="B127" s="632" t="s">
        <v>238</v>
      </c>
      <c r="C127" s="629" t="s">
        <v>1043</v>
      </c>
      <c r="D127" s="629" t="s">
        <v>452</v>
      </c>
      <c r="E127" s="630">
        <v>0</v>
      </c>
      <c r="F127" s="630">
        <v>0</v>
      </c>
      <c r="G127" s="630">
        <v>1</v>
      </c>
      <c r="H127" s="630">
        <v>0</v>
      </c>
      <c r="I127" s="630">
        <v>176.69142205253658</v>
      </c>
      <c r="J127" s="648">
        <v>3</v>
      </c>
    </row>
    <row r="128" spans="2:10" x14ac:dyDescent="0.35">
      <c r="B128" s="632" t="s">
        <v>546</v>
      </c>
      <c r="C128" s="629" t="s">
        <v>1042</v>
      </c>
      <c r="D128" s="629" t="s">
        <v>452</v>
      </c>
      <c r="E128" s="630">
        <v>20</v>
      </c>
      <c r="F128" s="630">
        <v>5</v>
      </c>
      <c r="G128" s="630">
        <v>86</v>
      </c>
      <c r="H128" s="630">
        <v>12</v>
      </c>
      <c r="I128" s="630">
        <v>976.14723434931284</v>
      </c>
      <c r="J128" s="648">
        <v>3</v>
      </c>
    </row>
    <row r="129" spans="2:10" x14ac:dyDescent="0.35">
      <c r="B129" s="632" t="s">
        <v>215</v>
      </c>
      <c r="C129" s="629" t="s">
        <v>1042</v>
      </c>
      <c r="D129" s="629" t="s">
        <v>452</v>
      </c>
      <c r="E129" s="630">
        <v>1</v>
      </c>
      <c r="F129" s="630">
        <v>2</v>
      </c>
      <c r="G129" s="630">
        <v>6</v>
      </c>
      <c r="H129" s="630">
        <v>1</v>
      </c>
      <c r="I129" s="630">
        <v>94.255910075506321</v>
      </c>
      <c r="J129" s="648">
        <v>3</v>
      </c>
    </row>
    <row r="130" spans="2:10" x14ac:dyDescent="0.35">
      <c r="B130" s="632" t="s">
        <v>216</v>
      </c>
      <c r="C130" s="629" t="s">
        <v>1042</v>
      </c>
      <c r="D130" s="629" t="s">
        <v>452</v>
      </c>
      <c r="E130" s="630">
        <v>18</v>
      </c>
      <c r="F130" s="630">
        <v>6</v>
      </c>
      <c r="G130" s="630">
        <v>82</v>
      </c>
      <c r="H130" s="630">
        <v>12</v>
      </c>
      <c r="I130" s="630">
        <v>839.18431278503294</v>
      </c>
      <c r="J130" s="648">
        <v>3</v>
      </c>
    </row>
    <row r="131" spans="2:10" x14ac:dyDescent="0.35">
      <c r="B131" s="265" t="s">
        <v>571</v>
      </c>
      <c r="C131" s="629" t="s">
        <v>1041</v>
      </c>
      <c r="D131" s="629" t="s">
        <v>452</v>
      </c>
      <c r="E131" s="630">
        <v>0</v>
      </c>
      <c r="F131" s="630">
        <v>0</v>
      </c>
      <c r="G131" s="630">
        <v>0</v>
      </c>
      <c r="H131" s="630">
        <v>0</v>
      </c>
      <c r="I131" s="630">
        <v>490.75257773764412</v>
      </c>
      <c r="J131" s="648">
        <v>3</v>
      </c>
    </row>
    <row r="132" spans="2:10" x14ac:dyDescent="0.35">
      <c r="B132" s="632" t="s">
        <v>182</v>
      </c>
      <c r="C132" s="629" t="s">
        <v>1042</v>
      </c>
      <c r="D132" s="629" t="s">
        <v>454</v>
      </c>
      <c r="E132" s="630">
        <v>5</v>
      </c>
      <c r="F132" s="630">
        <v>2</v>
      </c>
      <c r="G132" s="630">
        <v>21</v>
      </c>
      <c r="H132" s="630">
        <v>3</v>
      </c>
      <c r="I132" s="630">
        <v>371.14442957434846</v>
      </c>
      <c r="J132" s="648">
        <v>3</v>
      </c>
    </row>
    <row r="133" spans="2:10" x14ac:dyDescent="0.35">
      <c r="B133" s="632" t="s">
        <v>240</v>
      </c>
      <c r="C133" s="629" t="s">
        <v>1045</v>
      </c>
      <c r="D133" s="629" t="s">
        <v>454</v>
      </c>
      <c r="E133" s="630">
        <v>0</v>
      </c>
      <c r="F133" s="630">
        <v>0</v>
      </c>
      <c r="G133" s="630">
        <v>0</v>
      </c>
      <c r="H133" s="630">
        <v>0</v>
      </c>
      <c r="I133" s="630">
        <v>2743.8290826649859</v>
      </c>
      <c r="J133" s="648">
        <v>3</v>
      </c>
    </row>
    <row r="134" spans="2:10" x14ac:dyDescent="0.35">
      <c r="B134" s="632" t="s">
        <v>241</v>
      </c>
      <c r="C134" s="629" t="s">
        <v>1045</v>
      </c>
      <c r="D134" s="629" t="s">
        <v>454</v>
      </c>
      <c r="E134" s="630">
        <v>0</v>
      </c>
      <c r="F134" s="630">
        <v>0</v>
      </c>
      <c r="G134" s="630">
        <v>0</v>
      </c>
      <c r="H134" s="630">
        <v>0</v>
      </c>
      <c r="I134" s="630">
        <v>14.465382610874187</v>
      </c>
      <c r="J134" s="648">
        <v>3</v>
      </c>
    </row>
    <row r="135" spans="2:10" x14ac:dyDescent="0.35">
      <c r="B135" s="632" t="s">
        <v>219</v>
      </c>
      <c r="C135" s="629" t="s">
        <v>1044</v>
      </c>
      <c r="D135" s="629" t="s">
        <v>454</v>
      </c>
      <c r="E135" s="630">
        <v>0</v>
      </c>
      <c r="F135" s="630">
        <v>0</v>
      </c>
      <c r="G135" s="630">
        <v>1</v>
      </c>
      <c r="H135" s="630">
        <v>0</v>
      </c>
      <c r="I135" s="630">
        <v>218.24496781264276</v>
      </c>
      <c r="J135" s="648">
        <v>3</v>
      </c>
    </row>
    <row r="136" spans="2:10" x14ac:dyDescent="0.35">
      <c r="B136" s="632" t="s">
        <v>341</v>
      </c>
      <c r="C136" s="629" t="s">
        <v>1042</v>
      </c>
      <c r="D136" s="629" t="s">
        <v>454</v>
      </c>
      <c r="E136" s="630">
        <v>0</v>
      </c>
      <c r="F136" s="630">
        <v>0</v>
      </c>
      <c r="G136" s="630">
        <v>0</v>
      </c>
      <c r="H136" s="630">
        <v>0</v>
      </c>
      <c r="I136" s="630">
        <v>6.4133154891144581</v>
      </c>
      <c r="J136" s="648">
        <v>3</v>
      </c>
    </row>
    <row r="137" spans="2:10" x14ac:dyDescent="0.35">
      <c r="B137" s="632" t="s">
        <v>247</v>
      </c>
      <c r="C137" s="629" t="s">
        <v>1100</v>
      </c>
      <c r="D137" s="629" t="s">
        <v>454</v>
      </c>
      <c r="E137" s="630">
        <v>1</v>
      </c>
      <c r="F137" s="630">
        <v>1</v>
      </c>
      <c r="G137" s="630">
        <v>3</v>
      </c>
      <c r="H137" s="630">
        <v>0</v>
      </c>
      <c r="I137" s="630">
        <v>312.52262232470309</v>
      </c>
      <c r="J137" s="648">
        <v>3</v>
      </c>
    </row>
    <row r="138" spans="2:10" x14ac:dyDescent="0.35">
      <c r="B138" s="265" t="s">
        <v>463</v>
      </c>
      <c r="C138" s="629"/>
      <c r="D138" s="277" t="s">
        <v>454</v>
      </c>
      <c r="E138" s="630">
        <v>0</v>
      </c>
      <c r="F138" s="630">
        <v>0</v>
      </c>
      <c r="G138" s="630">
        <v>0</v>
      </c>
      <c r="H138" s="630">
        <v>0</v>
      </c>
      <c r="I138" s="630">
        <v>10.302386780011028</v>
      </c>
      <c r="J138" s="648">
        <v>3</v>
      </c>
    </row>
    <row r="139" spans="2:10" x14ac:dyDescent="0.35">
      <c r="B139" s="265" t="s">
        <v>567</v>
      </c>
      <c r="C139" s="629"/>
      <c r="D139" s="277" t="s">
        <v>454</v>
      </c>
      <c r="E139" s="630">
        <v>1.4092618991648265E-2</v>
      </c>
      <c r="F139" s="630">
        <v>0.25833264674654272</v>
      </c>
      <c r="G139" s="630">
        <v>9.4047218997748483E-2</v>
      </c>
      <c r="H139" s="630">
        <v>9.6382721543346473E-3</v>
      </c>
      <c r="I139" s="630">
        <v>91.236317552146204</v>
      </c>
      <c r="J139" s="648">
        <v>5</v>
      </c>
    </row>
    <row r="140" spans="2:10" x14ac:dyDescent="0.35">
      <c r="B140" s="632" t="s">
        <v>187</v>
      </c>
      <c r="C140" s="629" t="s">
        <v>1042</v>
      </c>
      <c r="D140" s="629" t="s">
        <v>454</v>
      </c>
      <c r="E140" s="630">
        <v>7</v>
      </c>
      <c r="F140" s="630">
        <v>4</v>
      </c>
      <c r="G140" s="630">
        <v>30</v>
      </c>
      <c r="H140" s="630">
        <v>4</v>
      </c>
      <c r="I140" s="630">
        <v>301.76863043957843</v>
      </c>
      <c r="J140" s="648">
        <v>3</v>
      </c>
    </row>
    <row r="141" spans="2:10" x14ac:dyDescent="0.35">
      <c r="B141" s="632" t="s">
        <v>190</v>
      </c>
      <c r="C141" s="629" t="s">
        <v>1042</v>
      </c>
      <c r="D141" s="629" t="s">
        <v>454</v>
      </c>
      <c r="E141" s="630">
        <v>0</v>
      </c>
      <c r="F141" s="630">
        <v>0</v>
      </c>
      <c r="G141" s="630">
        <v>0</v>
      </c>
      <c r="H141" s="630">
        <v>0</v>
      </c>
      <c r="I141" s="630">
        <v>16.129682418089182</v>
      </c>
      <c r="J141" s="648">
        <v>3</v>
      </c>
    </row>
    <row r="142" spans="2:10" x14ac:dyDescent="0.35">
      <c r="B142" s="265" t="s">
        <v>355</v>
      </c>
      <c r="C142" s="629" t="s">
        <v>1042</v>
      </c>
      <c r="D142" s="629" t="s">
        <v>454</v>
      </c>
      <c r="E142" s="630">
        <v>1</v>
      </c>
      <c r="F142" s="630">
        <v>3</v>
      </c>
      <c r="G142" s="630">
        <v>5</v>
      </c>
      <c r="H142" s="630">
        <v>1</v>
      </c>
      <c r="I142" s="630">
        <v>102</v>
      </c>
      <c r="J142" s="648">
        <v>3</v>
      </c>
    </row>
    <row r="143" spans="2:10" x14ac:dyDescent="0.35">
      <c r="B143" s="265" t="s">
        <v>357</v>
      </c>
      <c r="C143" s="629" t="s">
        <v>1042</v>
      </c>
      <c r="D143" s="629" t="s">
        <v>454</v>
      </c>
      <c r="E143" s="630">
        <v>5</v>
      </c>
      <c r="F143" s="630">
        <v>3</v>
      </c>
      <c r="G143" s="630">
        <v>22</v>
      </c>
      <c r="H143" s="630">
        <v>3</v>
      </c>
      <c r="I143" s="630">
        <v>299.90466907939901</v>
      </c>
      <c r="J143" s="648">
        <v>3</v>
      </c>
    </row>
    <row r="144" spans="2:10" x14ac:dyDescent="0.35">
      <c r="B144" s="632" t="s">
        <v>231</v>
      </c>
      <c r="C144" s="629" t="s">
        <v>1041</v>
      </c>
      <c r="D144" s="629" t="s">
        <v>454</v>
      </c>
      <c r="E144" s="630">
        <v>0</v>
      </c>
      <c r="F144" s="630">
        <v>0</v>
      </c>
      <c r="G144" s="630">
        <v>0</v>
      </c>
      <c r="H144" s="630">
        <v>0</v>
      </c>
      <c r="I144" s="630">
        <v>18.454966882841223</v>
      </c>
      <c r="J144" s="648">
        <v>3</v>
      </c>
    </row>
    <row r="145" spans="2:10" x14ac:dyDescent="0.35">
      <c r="B145" s="265" t="s">
        <v>377</v>
      </c>
      <c r="C145" s="629" t="s">
        <v>1041</v>
      </c>
      <c r="D145" s="629" t="s">
        <v>454</v>
      </c>
      <c r="E145" s="630">
        <v>0</v>
      </c>
      <c r="F145" s="630">
        <v>0</v>
      </c>
      <c r="G145" s="630">
        <v>0</v>
      </c>
      <c r="H145" s="630">
        <v>0</v>
      </c>
      <c r="I145" s="630">
        <v>1170.7187795183429</v>
      </c>
      <c r="J145" s="648">
        <v>3</v>
      </c>
    </row>
    <row r="146" spans="2:10" x14ac:dyDescent="0.35">
      <c r="B146" s="632" t="s">
        <v>222</v>
      </c>
      <c r="C146" s="629" t="s">
        <v>1044</v>
      </c>
      <c r="D146" s="629" t="s">
        <v>454</v>
      </c>
      <c r="E146" s="630">
        <v>0</v>
      </c>
      <c r="F146" s="630">
        <v>1</v>
      </c>
      <c r="G146" s="630">
        <v>1</v>
      </c>
      <c r="H146" s="630">
        <v>0</v>
      </c>
      <c r="I146" s="630">
        <v>75.260852489698095</v>
      </c>
      <c r="J146" s="648">
        <v>3</v>
      </c>
    </row>
    <row r="147" spans="2:10" x14ac:dyDescent="0.35">
      <c r="B147" s="632" t="s">
        <v>379</v>
      </c>
      <c r="C147" s="629" t="s">
        <v>1042</v>
      </c>
      <c r="D147" s="629" t="s">
        <v>454</v>
      </c>
      <c r="E147" s="630">
        <v>2</v>
      </c>
      <c r="F147" s="630">
        <v>27</v>
      </c>
      <c r="G147" s="630">
        <v>10</v>
      </c>
      <c r="H147" s="630">
        <v>1</v>
      </c>
      <c r="I147" s="630">
        <v>13.389447412905231</v>
      </c>
      <c r="J147" s="648">
        <v>3</v>
      </c>
    </row>
    <row r="148" spans="2:10" x14ac:dyDescent="0.35">
      <c r="B148" s="632" t="s">
        <v>196</v>
      </c>
      <c r="C148" s="629" t="s">
        <v>1042</v>
      </c>
      <c r="D148" s="629" t="s">
        <v>454</v>
      </c>
      <c r="E148" s="630">
        <v>4</v>
      </c>
      <c r="F148" s="630">
        <v>2</v>
      </c>
      <c r="G148" s="630">
        <v>17</v>
      </c>
      <c r="H148" s="630">
        <v>2</v>
      </c>
      <c r="I148" s="630">
        <v>576.60780214919816</v>
      </c>
      <c r="J148" s="648">
        <v>3</v>
      </c>
    </row>
    <row r="149" spans="2:10" x14ac:dyDescent="0.35">
      <c r="B149" s="632" t="s">
        <v>226</v>
      </c>
      <c r="C149" s="629" t="s">
        <v>1044</v>
      </c>
      <c r="D149" s="629" t="s">
        <v>454</v>
      </c>
      <c r="E149" s="630">
        <v>0</v>
      </c>
      <c r="F149" s="630">
        <v>0</v>
      </c>
      <c r="G149" s="630">
        <v>1</v>
      </c>
      <c r="H149" s="630">
        <v>0</v>
      </c>
      <c r="I149" s="630">
        <v>184.74956223555691</v>
      </c>
      <c r="J149" s="648">
        <v>3</v>
      </c>
    </row>
    <row r="150" spans="2:10" x14ac:dyDescent="0.35">
      <c r="B150" s="632" t="s">
        <v>416</v>
      </c>
      <c r="C150" s="629" t="s">
        <v>1045</v>
      </c>
      <c r="D150" s="629" t="s">
        <v>454</v>
      </c>
      <c r="E150" s="630">
        <v>5</v>
      </c>
      <c r="F150" s="630">
        <v>0</v>
      </c>
      <c r="G150" s="630">
        <v>22</v>
      </c>
      <c r="H150" s="630">
        <v>3</v>
      </c>
      <c r="I150" s="630">
        <v>15935.069097414646</v>
      </c>
      <c r="J150" s="648">
        <v>3</v>
      </c>
    </row>
    <row r="151" spans="2:10" x14ac:dyDescent="0.35">
      <c r="B151" s="632" t="s">
        <v>242</v>
      </c>
      <c r="C151" s="629" t="s">
        <v>1045</v>
      </c>
      <c r="D151" s="629" t="s">
        <v>454</v>
      </c>
      <c r="E151" s="630">
        <v>8</v>
      </c>
      <c r="F151" s="630">
        <v>0</v>
      </c>
      <c r="G151" s="630">
        <v>35</v>
      </c>
      <c r="H151" s="630">
        <v>5</v>
      </c>
      <c r="I151" s="630">
        <v>3156.0165920970485</v>
      </c>
      <c r="J151" s="648">
        <v>3</v>
      </c>
    </row>
    <row r="152" spans="2:10" x14ac:dyDescent="0.35">
      <c r="B152" s="632" t="s">
        <v>199</v>
      </c>
      <c r="C152" s="629" t="s">
        <v>1042</v>
      </c>
      <c r="D152" s="629" t="s">
        <v>454</v>
      </c>
      <c r="E152" s="630">
        <v>18</v>
      </c>
      <c r="F152" s="630">
        <v>5</v>
      </c>
      <c r="G152" s="630">
        <v>80</v>
      </c>
      <c r="H152" s="630">
        <v>11</v>
      </c>
      <c r="I152" s="630">
        <v>996.6040199850521</v>
      </c>
      <c r="J152" s="648">
        <v>3</v>
      </c>
    </row>
    <row r="153" spans="2:10" x14ac:dyDescent="0.35">
      <c r="B153" s="632" t="s">
        <v>249</v>
      </c>
      <c r="C153" s="629" t="s">
        <v>1100</v>
      </c>
      <c r="D153" s="629" t="s">
        <v>454</v>
      </c>
      <c r="E153" s="630">
        <v>0</v>
      </c>
      <c r="F153" s="630">
        <v>0</v>
      </c>
      <c r="G153" s="630">
        <v>0</v>
      </c>
      <c r="H153" s="630">
        <v>0</v>
      </c>
      <c r="I153" s="630">
        <v>1.9791709600817411</v>
      </c>
      <c r="J153" s="648">
        <v>3</v>
      </c>
    </row>
    <row r="154" spans="2:10" x14ac:dyDescent="0.35">
      <c r="B154" s="265" t="s">
        <v>432</v>
      </c>
      <c r="C154" s="629" t="s">
        <v>1043</v>
      </c>
      <c r="D154" s="629" t="s">
        <v>454</v>
      </c>
      <c r="E154" s="630">
        <v>0</v>
      </c>
      <c r="F154" s="630">
        <v>0</v>
      </c>
      <c r="G154" s="630">
        <v>0</v>
      </c>
      <c r="H154" s="630">
        <v>0</v>
      </c>
      <c r="I154" s="630">
        <v>121.62032395662888</v>
      </c>
      <c r="J154" s="648">
        <v>3</v>
      </c>
    </row>
    <row r="155" spans="2:10" x14ac:dyDescent="0.35">
      <c r="B155" s="632" t="s">
        <v>433</v>
      </c>
      <c r="C155" s="629" t="s">
        <v>1100</v>
      </c>
      <c r="D155" s="629" t="s">
        <v>454</v>
      </c>
      <c r="E155" s="630">
        <v>0</v>
      </c>
      <c r="F155" s="630">
        <v>0</v>
      </c>
      <c r="G155" s="630">
        <v>1</v>
      </c>
      <c r="H155" s="630">
        <v>0</v>
      </c>
      <c r="I155" s="630">
        <v>83.609698607337194</v>
      </c>
      <c r="J155" s="648">
        <v>3</v>
      </c>
    </row>
    <row r="156" spans="2:10" x14ac:dyDescent="0.35">
      <c r="B156" s="632" t="s">
        <v>200</v>
      </c>
      <c r="C156" s="629" t="s">
        <v>1042</v>
      </c>
      <c r="D156" s="629" t="s">
        <v>454</v>
      </c>
      <c r="E156" s="630">
        <v>4</v>
      </c>
      <c r="F156" s="630">
        <v>24</v>
      </c>
      <c r="G156" s="630">
        <v>16</v>
      </c>
      <c r="H156" s="630">
        <v>2</v>
      </c>
      <c r="I156" s="630">
        <v>24.784716348091084</v>
      </c>
      <c r="J156" s="648">
        <v>3</v>
      </c>
    </row>
    <row r="157" spans="2:10" x14ac:dyDescent="0.35">
      <c r="B157" s="632" t="s">
        <v>205</v>
      </c>
      <c r="C157" s="629" t="s">
        <v>1042</v>
      </c>
      <c r="D157" s="629" t="s">
        <v>454</v>
      </c>
      <c r="E157" s="630">
        <v>0</v>
      </c>
      <c r="F157" s="630">
        <v>0</v>
      </c>
      <c r="G157" s="630">
        <v>0</v>
      </c>
      <c r="H157" s="630">
        <v>0</v>
      </c>
      <c r="I157" s="630">
        <v>76.160890889225357</v>
      </c>
      <c r="J157" s="648">
        <v>3</v>
      </c>
    </row>
    <row r="158" spans="2:10" x14ac:dyDescent="0.35">
      <c r="B158" s="632" t="s">
        <v>1101</v>
      </c>
      <c r="C158" s="629" t="s">
        <v>1100</v>
      </c>
      <c r="D158" s="629" t="s">
        <v>454</v>
      </c>
      <c r="E158" s="630">
        <v>0</v>
      </c>
      <c r="F158" s="630">
        <v>0</v>
      </c>
      <c r="G158" s="630">
        <v>0</v>
      </c>
      <c r="H158" s="630">
        <v>0</v>
      </c>
      <c r="I158" s="630">
        <v>6.3380610506866137</v>
      </c>
      <c r="J158" s="648">
        <v>3</v>
      </c>
    </row>
    <row r="159" spans="2:10" x14ac:dyDescent="0.35">
      <c r="B159" s="632" t="s">
        <v>473</v>
      </c>
      <c r="C159" s="629" t="s">
        <v>1043</v>
      </c>
      <c r="D159" s="629" t="s">
        <v>454</v>
      </c>
      <c r="E159" s="630">
        <v>0</v>
      </c>
      <c r="F159" s="630">
        <v>1</v>
      </c>
      <c r="G159" s="630">
        <v>1</v>
      </c>
      <c r="H159" s="630">
        <v>0</v>
      </c>
      <c r="I159" s="630">
        <v>47.152194360590954</v>
      </c>
      <c r="J159" s="648">
        <v>3</v>
      </c>
    </row>
    <row r="160" spans="2:10" x14ac:dyDescent="0.35">
      <c r="B160" s="632" t="s">
        <v>250</v>
      </c>
      <c r="C160" s="629" t="s">
        <v>1100</v>
      </c>
      <c r="D160" s="629" t="s">
        <v>454</v>
      </c>
      <c r="E160" s="630">
        <v>0</v>
      </c>
      <c r="F160" s="630">
        <v>0</v>
      </c>
      <c r="G160" s="630">
        <v>0</v>
      </c>
      <c r="H160" s="630">
        <v>0</v>
      </c>
      <c r="I160" s="630">
        <v>61.136976799165843</v>
      </c>
      <c r="J160" s="648">
        <v>3</v>
      </c>
    </row>
    <row r="161" spans="2:10" x14ac:dyDescent="0.35">
      <c r="B161" s="632" t="s">
        <v>476</v>
      </c>
      <c r="C161" s="629" t="s">
        <v>1041</v>
      </c>
      <c r="D161" s="629" t="s">
        <v>454</v>
      </c>
      <c r="E161" s="630">
        <v>0</v>
      </c>
      <c r="F161" s="630">
        <v>0</v>
      </c>
      <c r="G161" s="630">
        <v>0</v>
      </c>
      <c r="H161" s="630">
        <v>0</v>
      </c>
      <c r="I161" s="630">
        <v>691.3670526622833</v>
      </c>
      <c r="J161" s="648">
        <v>3</v>
      </c>
    </row>
    <row r="162" spans="2:10" x14ac:dyDescent="0.35">
      <c r="B162" s="632" t="s">
        <v>244</v>
      </c>
      <c r="C162" s="629" t="s">
        <v>1045</v>
      </c>
      <c r="D162" s="629" t="s">
        <v>454</v>
      </c>
      <c r="E162" s="630">
        <v>3</v>
      </c>
      <c r="F162" s="630">
        <v>1</v>
      </c>
      <c r="G162" s="630">
        <v>14</v>
      </c>
      <c r="H162" s="630">
        <v>2</v>
      </c>
      <c r="I162" s="630">
        <v>630.27396283990743</v>
      </c>
      <c r="J162" s="648">
        <v>3</v>
      </c>
    </row>
    <row r="163" spans="2:10" x14ac:dyDescent="0.35">
      <c r="B163" s="632" t="s">
        <v>227</v>
      </c>
      <c r="C163" s="629" t="s">
        <v>1044</v>
      </c>
      <c r="D163" s="629" t="s">
        <v>454</v>
      </c>
      <c r="E163" s="630">
        <v>0</v>
      </c>
      <c r="F163" s="630">
        <v>0</v>
      </c>
      <c r="G163" s="630">
        <v>0</v>
      </c>
      <c r="H163" s="630">
        <v>0</v>
      </c>
      <c r="I163" s="630">
        <v>124.07803661885013</v>
      </c>
      <c r="J163" s="648">
        <v>3</v>
      </c>
    </row>
    <row r="164" spans="2:10" x14ac:dyDescent="0.35">
      <c r="B164" s="632" t="s">
        <v>177</v>
      </c>
      <c r="C164" s="629" t="s">
        <v>1042</v>
      </c>
      <c r="D164" s="629" t="s">
        <v>454</v>
      </c>
      <c r="E164" s="630">
        <v>22</v>
      </c>
      <c r="F164" s="630">
        <v>2</v>
      </c>
      <c r="G164" s="630">
        <v>98</v>
      </c>
      <c r="H164" s="630">
        <v>14</v>
      </c>
      <c r="I164" s="630">
        <v>3809.5115519907422</v>
      </c>
      <c r="J164" s="648">
        <v>3</v>
      </c>
    </row>
    <row r="165" spans="2:10" x14ac:dyDescent="0.35">
      <c r="B165" s="632" t="s">
        <v>176</v>
      </c>
      <c r="C165" s="629" t="s">
        <v>1041</v>
      </c>
      <c r="D165" s="629" t="s">
        <v>454</v>
      </c>
      <c r="E165" s="630">
        <v>2</v>
      </c>
      <c r="F165" s="630">
        <v>0</v>
      </c>
      <c r="G165" s="630">
        <v>7</v>
      </c>
      <c r="H165" s="630">
        <v>1</v>
      </c>
      <c r="I165" s="630">
        <v>4105.2611744428023</v>
      </c>
      <c r="J165" s="648">
        <v>3</v>
      </c>
    </row>
    <row r="166" spans="2:10" x14ac:dyDescent="0.35">
      <c r="B166" s="632" t="s">
        <v>252</v>
      </c>
      <c r="C166" s="629" t="s">
        <v>1100</v>
      </c>
      <c r="D166" s="629" t="s">
        <v>454</v>
      </c>
      <c r="E166" s="630">
        <v>1</v>
      </c>
      <c r="F166" s="630">
        <v>1</v>
      </c>
      <c r="G166" s="630">
        <v>2</v>
      </c>
      <c r="H166" s="630">
        <v>0</v>
      </c>
      <c r="I166" s="630">
        <v>102.34649107716477</v>
      </c>
      <c r="J166" s="648">
        <v>3</v>
      </c>
    </row>
    <row r="167" spans="2:10" x14ac:dyDescent="0.35">
      <c r="B167" s="632" t="s">
        <v>253</v>
      </c>
      <c r="C167" s="629" t="s">
        <v>1100</v>
      </c>
      <c r="D167" s="629" t="s">
        <v>454</v>
      </c>
      <c r="E167" s="630">
        <v>1</v>
      </c>
      <c r="F167" s="630">
        <v>0</v>
      </c>
      <c r="G167" s="630">
        <v>4</v>
      </c>
      <c r="H167" s="630">
        <v>1</v>
      </c>
      <c r="I167" s="630">
        <v>1819.4449235131513</v>
      </c>
      <c r="J167" s="648">
        <v>3</v>
      </c>
    </row>
    <row r="168" spans="2:10" x14ac:dyDescent="0.35">
      <c r="B168" s="632" t="s">
        <v>1093</v>
      </c>
      <c r="C168" s="629" t="s">
        <v>1042</v>
      </c>
      <c r="D168" s="629" t="s">
        <v>454</v>
      </c>
      <c r="E168" s="630">
        <v>0</v>
      </c>
      <c r="F168" s="630">
        <v>0</v>
      </c>
      <c r="G168" s="630">
        <v>0</v>
      </c>
      <c r="H168" s="630">
        <v>0</v>
      </c>
      <c r="I168" s="630">
        <v>4.0764985699052438</v>
      </c>
      <c r="J168" s="648">
        <v>3</v>
      </c>
    </row>
    <row r="169" spans="2:10" x14ac:dyDescent="0.35">
      <c r="B169" s="632" t="s">
        <v>212</v>
      </c>
      <c r="C169" s="629" t="s">
        <v>1042</v>
      </c>
      <c r="D169" s="629" t="s">
        <v>454</v>
      </c>
      <c r="E169" s="630">
        <v>0</v>
      </c>
      <c r="F169" s="630">
        <v>0</v>
      </c>
      <c r="G169" s="630">
        <v>2</v>
      </c>
      <c r="H169" s="630">
        <v>0</v>
      </c>
      <c r="I169" s="630">
        <v>274.24398361828787</v>
      </c>
      <c r="J169" s="648">
        <v>3</v>
      </c>
    </row>
    <row r="170" spans="2:10" x14ac:dyDescent="0.35">
      <c r="B170" s="632" t="s">
        <v>255</v>
      </c>
      <c r="C170" s="629" t="s">
        <v>1100</v>
      </c>
      <c r="D170" s="629" t="s">
        <v>454</v>
      </c>
      <c r="E170" s="630">
        <v>0</v>
      </c>
      <c r="F170" s="630">
        <v>0</v>
      </c>
      <c r="G170" s="630">
        <v>0</v>
      </c>
      <c r="H170" s="630">
        <v>0</v>
      </c>
      <c r="I170" s="630">
        <v>12.69727850801914</v>
      </c>
      <c r="J170" s="648">
        <v>3</v>
      </c>
    </row>
    <row r="171" spans="2:10" x14ac:dyDescent="0.35">
      <c r="B171" s="632" t="s">
        <v>233</v>
      </c>
      <c r="C171" s="629" t="s">
        <v>1041</v>
      </c>
      <c r="D171" s="629" t="s">
        <v>454</v>
      </c>
      <c r="E171" s="630">
        <v>1</v>
      </c>
      <c r="F171" s="630">
        <v>0</v>
      </c>
      <c r="G171" s="630">
        <v>3</v>
      </c>
      <c r="H171" s="630">
        <v>0</v>
      </c>
      <c r="I171" s="630">
        <v>499.28500042046392</v>
      </c>
      <c r="J171" s="648">
        <v>3</v>
      </c>
    </row>
    <row r="172" spans="2:10" x14ac:dyDescent="0.35">
      <c r="B172" s="632" t="s">
        <v>246</v>
      </c>
      <c r="C172" s="629" t="s">
        <v>1045</v>
      </c>
      <c r="D172" s="629" t="s">
        <v>454</v>
      </c>
      <c r="E172" s="630">
        <v>0</v>
      </c>
      <c r="F172" s="630">
        <v>0</v>
      </c>
      <c r="G172" s="630">
        <v>0</v>
      </c>
      <c r="H172" s="630">
        <v>0</v>
      </c>
      <c r="I172" s="630">
        <v>15.080275750784979</v>
      </c>
      <c r="J172" s="648">
        <v>3</v>
      </c>
    </row>
    <row r="173" spans="2:10" x14ac:dyDescent="0.35">
      <c r="B173" s="632" t="s">
        <v>549</v>
      </c>
      <c r="C173" s="629" t="s">
        <v>1041</v>
      </c>
      <c r="D173" s="629" t="s">
        <v>454</v>
      </c>
      <c r="E173" s="630">
        <v>0</v>
      </c>
      <c r="F173" s="630">
        <v>0</v>
      </c>
      <c r="G173" s="630">
        <v>0</v>
      </c>
      <c r="H173" s="630">
        <v>0</v>
      </c>
      <c r="I173" s="630">
        <v>196.80508289791592</v>
      </c>
      <c r="J173" s="648">
        <v>3</v>
      </c>
    </row>
    <row r="174" spans="2:10" x14ac:dyDescent="0.35">
      <c r="B174" s="632" t="s">
        <v>239</v>
      </c>
      <c r="C174" s="629" t="s">
        <v>1043</v>
      </c>
      <c r="D174" s="629" t="s">
        <v>454</v>
      </c>
      <c r="E174" s="630">
        <v>3</v>
      </c>
      <c r="F174" s="630">
        <v>1</v>
      </c>
      <c r="G174" s="630">
        <v>14</v>
      </c>
      <c r="H174" s="630">
        <v>2</v>
      </c>
      <c r="I174" s="630">
        <v>513.05081332095347</v>
      </c>
      <c r="J174" s="648">
        <v>3</v>
      </c>
    </row>
    <row r="175" spans="2:10" x14ac:dyDescent="0.35">
      <c r="B175" s="632" t="s">
        <v>561</v>
      </c>
      <c r="C175" s="629" t="s">
        <v>1043</v>
      </c>
      <c r="D175" s="629" t="s">
        <v>454</v>
      </c>
      <c r="E175" s="630">
        <v>0</v>
      </c>
      <c r="F175" s="630">
        <v>0</v>
      </c>
      <c r="G175" s="630">
        <v>2</v>
      </c>
      <c r="H175" s="630">
        <v>0</v>
      </c>
      <c r="I175" s="630">
        <v>384.63047275875488</v>
      </c>
      <c r="J175" s="648">
        <v>3</v>
      </c>
    </row>
    <row r="176" spans="2:10" x14ac:dyDescent="0.35">
      <c r="B176" s="632" t="s">
        <v>258</v>
      </c>
      <c r="C176" s="629" t="s">
        <v>1100</v>
      </c>
      <c r="D176" s="629" t="s">
        <v>454</v>
      </c>
      <c r="E176" s="630">
        <v>0</v>
      </c>
      <c r="F176" s="630">
        <v>0</v>
      </c>
      <c r="G176" s="630">
        <v>0</v>
      </c>
      <c r="H176" s="630">
        <v>0</v>
      </c>
      <c r="I176" s="630">
        <v>5.6846310783654079</v>
      </c>
      <c r="J176" s="648">
        <v>3</v>
      </c>
    </row>
    <row r="177" spans="2:10" x14ac:dyDescent="0.35">
      <c r="B177" s="632" t="s">
        <v>564</v>
      </c>
      <c r="C177" s="629" t="s">
        <v>1100</v>
      </c>
      <c r="D177" s="629" t="s">
        <v>454</v>
      </c>
      <c r="E177" s="630">
        <v>2</v>
      </c>
      <c r="F177" s="630">
        <v>0</v>
      </c>
      <c r="G177" s="630">
        <v>9</v>
      </c>
      <c r="H177" s="630">
        <v>1</v>
      </c>
      <c r="I177" s="630">
        <v>1623.3164657325062</v>
      </c>
      <c r="J177" s="648">
        <v>3</v>
      </c>
    </row>
    <row r="178" spans="2:10" x14ac:dyDescent="0.35">
      <c r="B178" s="632" t="s">
        <v>217</v>
      </c>
      <c r="C178" s="629" t="s">
        <v>1042</v>
      </c>
      <c r="D178" s="629" t="s">
        <v>454</v>
      </c>
      <c r="E178" s="630">
        <v>15</v>
      </c>
      <c r="F178" s="630">
        <v>11</v>
      </c>
      <c r="G178" s="630">
        <v>65</v>
      </c>
      <c r="H178" s="630">
        <v>9</v>
      </c>
      <c r="I178" s="630">
        <v>300.57512932651366</v>
      </c>
      <c r="J178" s="648">
        <v>3</v>
      </c>
    </row>
    <row r="179" spans="2:10" x14ac:dyDescent="0.35">
      <c r="B179" s="632" t="s">
        <v>218</v>
      </c>
      <c r="C179" s="629" t="s">
        <v>1042</v>
      </c>
      <c r="D179" s="629" t="s">
        <v>454</v>
      </c>
      <c r="E179" s="630">
        <v>14</v>
      </c>
      <c r="F179" s="630">
        <v>13</v>
      </c>
      <c r="G179" s="630">
        <v>60</v>
      </c>
      <c r="H179" s="630">
        <v>9</v>
      </c>
      <c r="I179" s="630">
        <v>170.79449033397995</v>
      </c>
      <c r="J179" s="648">
        <v>3</v>
      </c>
    </row>
    <row r="180" spans="2:10" x14ac:dyDescent="0.35">
      <c r="B180" s="632" t="s">
        <v>311</v>
      </c>
      <c r="C180" s="629" t="s">
        <v>1043</v>
      </c>
      <c r="D180" s="629" t="s">
        <v>557</v>
      </c>
      <c r="E180" s="630">
        <v>0</v>
      </c>
      <c r="F180" s="630">
        <v>0</v>
      </c>
      <c r="G180" s="630">
        <v>0</v>
      </c>
      <c r="H180" s="630">
        <v>0</v>
      </c>
      <c r="I180" s="630">
        <v>54.611239000229837</v>
      </c>
      <c r="J180" s="648">
        <v>3</v>
      </c>
    </row>
    <row r="181" spans="2:10" x14ac:dyDescent="0.35">
      <c r="B181" s="632" t="s">
        <v>313</v>
      </c>
      <c r="C181" s="629" t="s">
        <v>1042</v>
      </c>
      <c r="D181" s="629" t="s">
        <v>557</v>
      </c>
      <c r="E181" s="630">
        <v>0</v>
      </c>
      <c r="F181" s="630">
        <v>0</v>
      </c>
      <c r="G181" s="630">
        <v>0</v>
      </c>
      <c r="H181" s="630">
        <v>0</v>
      </c>
      <c r="I181" s="630">
        <v>724.52005152396987</v>
      </c>
      <c r="J181" s="648">
        <v>3</v>
      </c>
    </row>
    <row r="182" spans="2:10" x14ac:dyDescent="0.35">
      <c r="B182" s="632" t="s">
        <v>320</v>
      </c>
      <c r="C182" s="629" t="s">
        <v>1044</v>
      </c>
      <c r="D182" s="629" t="s">
        <v>557</v>
      </c>
      <c r="E182" s="630">
        <v>1</v>
      </c>
      <c r="F182" s="630">
        <v>0</v>
      </c>
      <c r="G182" s="630">
        <v>6</v>
      </c>
      <c r="H182" s="630">
        <v>1</v>
      </c>
      <c r="I182" s="630">
        <v>753.59339103512025</v>
      </c>
      <c r="J182" s="648">
        <v>3</v>
      </c>
    </row>
    <row r="183" spans="2:10" x14ac:dyDescent="0.35">
      <c r="B183" s="632" t="s">
        <v>234</v>
      </c>
      <c r="C183" s="629" t="s">
        <v>1043</v>
      </c>
      <c r="D183" s="629" t="s">
        <v>557</v>
      </c>
      <c r="E183" s="630">
        <v>0</v>
      </c>
      <c r="F183" s="630">
        <v>0</v>
      </c>
      <c r="G183" s="630">
        <v>0</v>
      </c>
      <c r="H183" s="630">
        <v>0</v>
      </c>
      <c r="I183" s="630">
        <v>34.492818791618532</v>
      </c>
      <c r="J183" s="648">
        <v>3</v>
      </c>
    </row>
    <row r="184" spans="2:10" x14ac:dyDescent="0.35">
      <c r="B184" s="632" t="s">
        <v>235</v>
      </c>
      <c r="C184" s="629" t="s">
        <v>1043</v>
      </c>
      <c r="D184" s="629" t="s">
        <v>557</v>
      </c>
      <c r="E184" s="630">
        <v>0</v>
      </c>
      <c r="F184" s="630">
        <v>0</v>
      </c>
      <c r="G184" s="630">
        <v>0</v>
      </c>
      <c r="H184" s="630">
        <v>0</v>
      </c>
      <c r="I184" s="630">
        <v>117.17580208055054</v>
      </c>
      <c r="J184" s="648">
        <v>3</v>
      </c>
    </row>
    <row r="185" spans="2:10" x14ac:dyDescent="0.35">
      <c r="B185" s="632" t="s">
        <v>330</v>
      </c>
      <c r="C185" s="629" t="s">
        <v>1043</v>
      </c>
      <c r="D185" s="629" t="s">
        <v>557</v>
      </c>
      <c r="E185" s="630">
        <v>0</v>
      </c>
      <c r="F185" s="630">
        <v>1</v>
      </c>
      <c r="G185" s="630">
        <v>2</v>
      </c>
      <c r="H185" s="630">
        <v>0</v>
      </c>
      <c r="I185" s="630">
        <v>179.1820048112954</v>
      </c>
      <c r="J185" s="648">
        <v>3</v>
      </c>
    </row>
    <row r="186" spans="2:10" x14ac:dyDescent="0.35">
      <c r="B186" s="632" t="s">
        <v>332</v>
      </c>
      <c r="C186" s="629" t="s">
        <v>1044</v>
      </c>
      <c r="D186" s="629" t="s">
        <v>557</v>
      </c>
      <c r="E186" s="630">
        <v>0</v>
      </c>
      <c r="F186" s="630">
        <v>0</v>
      </c>
      <c r="G186" s="630">
        <v>0</v>
      </c>
      <c r="H186" s="630">
        <v>0</v>
      </c>
      <c r="I186" s="630">
        <v>4.5522462877340599</v>
      </c>
      <c r="J186" s="648">
        <v>3</v>
      </c>
    </row>
    <row r="187" spans="2:10" x14ac:dyDescent="0.35">
      <c r="B187" s="632" t="s">
        <v>335</v>
      </c>
      <c r="C187" s="629" t="s">
        <v>1043</v>
      </c>
      <c r="D187" s="629" t="s">
        <v>557</v>
      </c>
      <c r="E187" s="630">
        <v>0</v>
      </c>
      <c r="F187" s="630">
        <v>0</v>
      </c>
      <c r="G187" s="630">
        <v>0</v>
      </c>
      <c r="H187" s="630">
        <v>0</v>
      </c>
      <c r="I187" s="630">
        <v>55.550977662131032</v>
      </c>
      <c r="J187" s="648">
        <v>3</v>
      </c>
    </row>
    <row r="188" spans="2:10" x14ac:dyDescent="0.35">
      <c r="B188" s="632" t="s">
        <v>184</v>
      </c>
      <c r="C188" s="629" t="s">
        <v>1042</v>
      </c>
      <c r="D188" s="629" t="s">
        <v>557</v>
      </c>
      <c r="E188" s="630">
        <v>3</v>
      </c>
      <c r="F188" s="630">
        <v>20</v>
      </c>
      <c r="G188" s="630">
        <v>15</v>
      </c>
      <c r="H188" s="630">
        <v>2</v>
      </c>
      <c r="I188" s="630">
        <v>26.865624603989275</v>
      </c>
      <c r="J188" s="648">
        <v>3</v>
      </c>
    </row>
    <row r="189" spans="2:10" x14ac:dyDescent="0.35">
      <c r="B189" s="632" t="s">
        <v>336</v>
      </c>
      <c r="C189" s="629" t="s">
        <v>1044</v>
      </c>
      <c r="D189" s="629" t="s">
        <v>557</v>
      </c>
      <c r="E189" s="630">
        <v>8</v>
      </c>
      <c r="F189" s="630">
        <v>1</v>
      </c>
      <c r="G189" s="630">
        <v>34</v>
      </c>
      <c r="H189" s="630">
        <v>5</v>
      </c>
      <c r="I189" s="630">
        <v>4000.7024589054054</v>
      </c>
      <c r="J189" s="648">
        <v>3</v>
      </c>
    </row>
    <row r="190" spans="2:10" x14ac:dyDescent="0.35">
      <c r="B190" s="632" t="s">
        <v>340</v>
      </c>
      <c r="C190" s="629" t="s">
        <v>1043</v>
      </c>
      <c r="D190" s="629" t="s">
        <v>557</v>
      </c>
      <c r="E190" s="630">
        <v>0</v>
      </c>
      <c r="F190" s="630">
        <v>0</v>
      </c>
      <c r="G190" s="630">
        <v>0</v>
      </c>
      <c r="H190" s="630">
        <v>0</v>
      </c>
      <c r="I190" s="630">
        <v>132.6958025169701</v>
      </c>
      <c r="J190" s="648">
        <v>3</v>
      </c>
    </row>
    <row r="191" spans="2:10" x14ac:dyDescent="0.35">
      <c r="B191" s="265" t="s">
        <v>314</v>
      </c>
      <c r="C191" s="629"/>
      <c r="D191" s="277" t="s">
        <v>557</v>
      </c>
      <c r="E191" s="630">
        <v>0</v>
      </c>
      <c r="F191" s="630">
        <v>0</v>
      </c>
      <c r="G191" s="630">
        <v>0</v>
      </c>
      <c r="H191" s="630">
        <v>0</v>
      </c>
      <c r="I191" s="630">
        <v>0.76045573087787222</v>
      </c>
      <c r="J191" s="648">
        <v>0</v>
      </c>
    </row>
    <row r="192" spans="2:10" x14ac:dyDescent="0.35">
      <c r="B192" s="265" t="s">
        <v>237</v>
      </c>
      <c r="C192" s="629"/>
      <c r="D192" s="277" t="s">
        <v>557</v>
      </c>
      <c r="E192" s="630">
        <v>1</v>
      </c>
      <c r="F192" s="630">
        <v>1</v>
      </c>
      <c r="G192" s="630">
        <v>15</v>
      </c>
      <c r="H192" s="630">
        <v>2</v>
      </c>
      <c r="I192" s="630">
        <v>25.855494849847656</v>
      </c>
      <c r="J192" s="648">
        <v>2</v>
      </c>
    </row>
    <row r="193" spans="2:10" x14ac:dyDescent="0.35">
      <c r="B193" s="632" t="s">
        <v>351</v>
      </c>
      <c r="C193" s="629" t="s">
        <v>1100</v>
      </c>
      <c r="D193" s="629" t="s">
        <v>557</v>
      </c>
      <c r="E193" s="630">
        <v>6</v>
      </c>
      <c r="F193" s="630">
        <v>0</v>
      </c>
      <c r="G193" s="630">
        <v>25</v>
      </c>
      <c r="H193" s="630">
        <v>4</v>
      </c>
      <c r="I193" s="630">
        <v>16720.685970628063</v>
      </c>
      <c r="J193" s="648">
        <v>3</v>
      </c>
    </row>
    <row r="194" spans="2:10" x14ac:dyDescent="0.35">
      <c r="B194" s="632" t="s">
        <v>352</v>
      </c>
      <c r="C194" s="629" t="s">
        <v>1044</v>
      </c>
      <c r="D194" s="629" t="s">
        <v>557</v>
      </c>
      <c r="E194" s="630">
        <v>1</v>
      </c>
      <c r="F194" s="630">
        <v>0</v>
      </c>
      <c r="G194" s="630">
        <v>7</v>
      </c>
      <c r="H194" s="630">
        <v>1</v>
      </c>
      <c r="I194" s="630">
        <v>587.0550927840593</v>
      </c>
      <c r="J194" s="648">
        <v>3</v>
      </c>
    </row>
    <row r="195" spans="2:10" x14ac:dyDescent="0.35">
      <c r="B195" s="632" t="s">
        <v>356</v>
      </c>
      <c r="C195" s="629" t="s">
        <v>1044</v>
      </c>
      <c r="D195" s="629" t="s">
        <v>557</v>
      </c>
      <c r="E195" s="630">
        <v>0</v>
      </c>
      <c r="F195" s="630">
        <v>0</v>
      </c>
      <c r="G195" s="630">
        <v>1</v>
      </c>
      <c r="H195" s="630">
        <v>0</v>
      </c>
      <c r="I195" s="630">
        <v>58.864306289368336</v>
      </c>
      <c r="J195" s="648">
        <v>3</v>
      </c>
    </row>
    <row r="196" spans="2:10" x14ac:dyDescent="0.35">
      <c r="B196" s="632" t="s">
        <v>221</v>
      </c>
      <c r="C196" s="629" t="s">
        <v>1044</v>
      </c>
      <c r="D196" s="629" t="s">
        <v>557</v>
      </c>
      <c r="E196" s="630">
        <v>0</v>
      </c>
      <c r="F196" s="630">
        <v>0</v>
      </c>
      <c r="G196" s="630">
        <v>1</v>
      </c>
      <c r="H196" s="630">
        <v>0</v>
      </c>
      <c r="I196" s="630">
        <v>132.17030433146928</v>
      </c>
      <c r="J196" s="648">
        <v>3</v>
      </c>
    </row>
    <row r="197" spans="2:10" x14ac:dyDescent="0.35">
      <c r="B197" s="632" t="s">
        <v>364</v>
      </c>
      <c r="C197" s="629" t="s">
        <v>1044</v>
      </c>
      <c r="D197" s="629" t="s">
        <v>557</v>
      </c>
      <c r="E197" s="630">
        <v>0</v>
      </c>
      <c r="F197" s="630">
        <v>0</v>
      </c>
      <c r="G197" s="630">
        <v>0</v>
      </c>
      <c r="H197" s="630">
        <v>0</v>
      </c>
      <c r="I197" s="630">
        <v>1.208423817270506</v>
      </c>
      <c r="J197" s="648">
        <v>3</v>
      </c>
    </row>
    <row r="198" spans="2:10" x14ac:dyDescent="0.35">
      <c r="B198" s="632" t="s">
        <v>366</v>
      </c>
      <c r="C198" s="629" t="s">
        <v>1044</v>
      </c>
      <c r="D198" s="629" t="s">
        <v>557</v>
      </c>
      <c r="E198" s="630">
        <v>1</v>
      </c>
      <c r="F198" s="630">
        <v>1</v>
      </c>
      <c r="G198" s="630">
        <v>3</v>
      </c>
      <c r="H198" s="630">
        <v>0</v>
      </c>
      <c r="I198" s="630">
        <v>180.72096996774482</v>
      </c>
      <c r="J198" s="648">
        <v>3</v>
      </c>
    </row>
    <row r="199" spans="2:10" x14ac:dyDescent="0.35">
      <c r="B199" s="632" t="s">
        <v>376</v>
      </c>
      <c r="C199" s="629" t="s">
        <v>1044</v>
      </c>
      <c r="D199" s="629" t="s">
        <v>557</v>
      </c>
      <c r="E199" s="630">
        <v>1</v>
      </c>
      <c r="F199" s="630">
        <v>0</v>
      </c>
      <c r="G199" s="630">
        <v>2</v>
      </c>
      <c r="H199" s="630">
        <v>0</v>
      </c>
      <c r="I199" s="630">
        <v>329.33897508707003</v>
      </c>
      <c r="J199" s="648">
        <v>3</v>
      </c>
    </row>
    <row r="200" spans="2:10" x14ac:dyDescent="0.35">
      <c r="B200" s="632" t="s">
        <v>191</v>
      </c>
      <c r="C200" s="629" t="s">
        <v>1042</v>
      </c>
      <c r="D200" s="629" t="s">
        <v>557</v>
      </c>
      <c r="E200" s="630">
        <v>1</v>
      </c>
      <c r="F200" s="630">
        <v>7</v>
      </c>
      <c r="G200" s="630">
        <v>3</v>
      </c>
      <c r="H200" s="630">
        <v>0</v>
      </c>
      <c r="I200" s="630">
        <v>15.813368034753864</v>
      </c>
      <c r="J200" s="648">
        <v>3</v>
      </c>
    </row>
    <row r="201" spans="2:10" x14ac:dyDescent="0.35">
      <c r="B201" s="632" t="s">
        <v>248</v>
      </c>
      <c r="C201" s="629" t="s">
        <v>1100</v>
      </c>
      <c r="D201" s="629" t="s">
        <v>557</v>
      </c>
      <c r="E201" s="630">
        <v>0</v>
      </c>
      <c r="F201" s="630">
        <v>0</v>
      </c>
      <c r="G201" s="630">
        <v>0</v>
      </c>
      <c r="H201" s="630">
        <v>0</v>
      </c>
      <c r="I201" s="630">
        <v>14.976643525776698</v>
      </c>
      <c r="J201" s="648">
        <v>3</v>
      </c>
    </row>
    <row r="202" spans="2:10" x14ac:dyDescent="0.35">
      <c r="B202" s="632" t="s">
        <v>195</v>
      </c>
      <c r="C202" s="629" t="s">
        <v>1042</v>
      </c>
      <c r="D202" s="629" t="s">
        <v>557</v>
      </c>
      <c r="E202" s="630">
        <v>1</v>
      </c>
      <c r="F202" s="630">
        <v>4</v>
      </c>
      <c r="G202" s="630">
        <v>3</v>
      </c>
      <c r="H202" s="630">
        <v>0</v>
      </c>
      <c r="I202" s="630">
        <v>25.336453948658232</v>
      </c>
      <c r="J202" s="648">
        <v>3</v>
      </c>
    </row>
    <row r="203" spans="2:10" x14ac:dyDescent="0.35">
      <c r="B203" s="632" t="s">
        <v>236</v>
      </c>
      <c r="C203" s="629" t="s">
        <v>1043</v>
      </c>
      <c r="D203" s="629" t="s">
        <v>557</v>
      </c>
      <c r="E203" s="630">
        <v>0</v>
      </c>
      <c r="F203" s="630">
        <v>0</v>
      </c>
      <c r="G203" s="630">
        <v>1</v>
      </c>
      <c r="H203" s="630">
        <v>0</v>
      </c>
      <c r="I203" s="630">
        <v>67.259670130928328</v>
      </c>
      <c r="J203" s="648">
        <v>3</v>
      </c>
    </row>
    <row r="204" spans="2:10" x14ac:dyDescent="0.35">
      <c r="B204" s="632" t="s">
        <v>405</v>
      </c>
      <c r="C204" s="629" t="s">
        <v>1044</v>
      </c>
      <c r="D204" s="629" t="s">
        <v>557</v>
      </c>
      <c r="E204" s="630">
        <v>0</v>
      </c>
      <c r="F204" s="630">
        <v>0</v>
      </c>
      <c r="G204" s="630">
        <v>0</v>
      </c>
      <c r="H204" s="630">
        <v>0</v>
      </c>
      <c r="I204" s="630">
        <v>1.884830163518427</v>
      </c>
      <c r="J204" s="648">
        <v>3</v>
      </c>
    </row>
    <row r="205" spans="2:10" x14ac:dyDescent="0.35">
      <c r="B205" s="632" t="s">
        <v>223</v>
      </c>
      <c r="C205" s="629" t="s">
        <v>1044</v>
      </c>
      <c r="D205" s="629" t="s">
        <v>557</v>
      </c>
      <c r="E205" s="630">
        <v>1</v>
      </c>
      <c r="F205" s="630">
        <v>0</v>
      </c>
      <c r="G205" s="630">
        <v>2</v>
      </c>
      <c r="H205" s="630">
        <v>0</v>
      </c>
      <c r="I205" s="630">
        <v>333.27843909649641</v>
      </c>
      <c r="J205" s="648">
        <v>3</v>
      </c>
    </row>
    <row r="206" spans="2:10" x14ac:dyDescent="0.35">
      <c r="B206" s="632" t="s">
        <v>224</v>
      </c>
      <c r="C206" s="629" t="s">
        <v>1044</v>
      </c>
      <c r="D206" s="629" t="s">
        <v>557</v>
      </c>
      <c r="E206" s="630">
        <v>0</v>
      </c>
      <c r="F206" s="630">
        <v>0</v>
      </c>
      <c r="G206" s="630">
        <v>0</v>
      </c>
      <c r="H206" s="630">
        <v>0</v>
      </c>
      <c r="I206" s="630">
        <v>14.838460102198473</v>
      </c>
      <c r="J206" s="648">
        <v>3</v>
      </c>
    </row>
    <row r="207" spans="2:10" x14ac:dyDescent="0.35">
      <c r="B207" s="265" t="s">
        <v>417</v>
      </c>
      <c r="C207" s="629" t="s">
        <v>1041</v>
      </c>
      <c r="D207" s="629" t="s">
        <v>557</v>
      </c>
      <c r="E207" s="630">
        <v>1</v>
      </c>
      <c r="F207" s="630">
        <v>0</v>
      </c>
      <c r="G207" s="630">
        <v>3</v>
      </c>
      <c r="H207" s="630">
        <v>0</v>
      </c>
      <c r="I207" s="630">
        <v>966.93606936021445</v>
      </c>
      <c r="J207" s="648">
        <v>3</v>
      </c>
    </row>
    <row r="208" spans="2:10" x14ac:dyDescent="0.35">
      <c r="B208" s="739" t="s">
        <v>418</v>
      </c>
      <c r="C208" s="629" t="s">
        <v>1041</v>
      </c>
      <c r="D208" s="629" t="s">
        <v>557</v>
      </c>
      <c r="E208" s="630">
        <v>0</v>
      </c>
      <c r="F208" s="630">
        <v>0</v>
      </c>
      <c r="G208" s="630">
        <v>0</v>
      </c>
      <c r="H208" s="630">
        <v>0</v>
      </c>
      <c r="I208" s="630">
        <v>458.42803283931431</v>
      </c>
      <c r="J208" s="648">
        <v>3</v>
      </c>
    </row>
    <row r="209" spans="2:10" x14ac:dyDescent="0.35">
      <c r="B209" s="632" t="s">
        <v>424</v>
      </c>
      <c r="C209" s="629" t="s">
        <v>1044</v>
      </c>
      <c r="D209" s="629" t="s">
        <v>557</v>
      </c>
      <c r="E209" s="630">
        <v>0</v>
      </c>
      <c r="F209" s="630">
        <v>0</v>
      </c>
      <c r="G209" s="630">
        <v>0</v>
      </c>
      <c r="H209" s="630">
        <v>0</v>
      </c>
      <c r="I209" s="630">
        <v>55.8882062338851</v>
      </c>
      <c r="J209" s="648">
        <v>3</v>
      </c>
    </row>
    <row r="210" spans="2:10" x14ac:dyDescent="0.35">
      <c r="B210" s="632" t="s">
        <v>426</v>
      </c>
      <c r="C210" s="629" t="s">
        <v>1041</v>
      </c>
      <c r="D210" s="629" t="s">
        <v>557</v>
      </c>
      <c r="E210" s="630">
        <v>0</v>
      </c>
      <c r="F210" s="630">
        <v>0</v>
      </c>
      <c r="G210" s="630">
        <v>0</v>
      </c>
      <c r="H210" s="630">
        <v>0</v>
      </c>
      <c r="I210" s="630">
        <v>169.99681441691757</v>
      </c>
      <c r="J210" s="648">
        <v>3</v>
      </c>
    </row>
    <row r="211" spans="2:10" x14ac:dyDescent="0.35">
      <c r="B211" s="632" t="s">
        <v>427</v>
      </c>
      <c r="C211" s="629" t="s">
        <v>1043</v>
      </c>
      <c r="D211" s="629" t="s">
        <v>557</v>
      </c>
      <c r="E211" s="630">
        <v>0</v>
      </c>
      <c r="F211" s="630">
        <v>0</v>
      </c>
      <c r="G211" s="630">
        <v>1</v>
      </c>
      <c r="H211" s="630">
        <v>0</v>
      </c>
      <c r="I211" s="630">
        <v>216.34546663173836</v>
      </c>
      <c r="J211" s="648">
        <v>3</v>
      </c>
    </row>
    <row r="212" spans="2:10" x14ac:dyDescent="0.35">
      <c r="B212" s="632" t="s">
        <v>445</v>
      </c>
      <c r="C212" s="629" t="s">
        <v>1041</v>
      </c>
      <c r="D212" s="629" t="s">
        <v>557</v>
      </c>
      <c r="E212" s="630">
        <v>0</v>
      </c>
      <c r="F212" s="630">
        <v>0</v>
      </c>
      <c r="G212" s="630">
        <v>0</v>
      </c>
      <c r="H212" s="630">
        <v>0</v>
      </c>
      <c r="I212" s="630">
        <v>115.37157475317183</v>
      </c>
      <c r="J212" s="648">
        <v>3</v>
      </c>
    </row>
    <row r="213" spans="2:10" x14ac:dyDescent="0.35">
      <c r="B213" s="632" t="s">
        <v>446</v>
      </c>
      <c r="C213" s="629" t="s">
        <v>1041</v>
      </c>
      <c r="D213" s="629" t="s">
        <v>557</v>
      </c>
      <c r="E213" s="630">
        <v>0</v>
      </c>
      <c r="F213" s="630">
        <v>0</v>
      </c>
      <c r="G213" s="630">
        <v>0</v>
      </c>
      <c r="H213" s="630">
        <v>0</v>
      </c>
      <c r="I213" s="630">
        <v>79.038186810183831</v>
      </c>
      <c r="J213" s="648">
        <v>3</v>
      </c>
    </row>
    <row r="214" spans="2:10" x14ac:dyDescent="0.35">
      <c r="B214" s="632" t="s">
        <v>459</v>
      </c>
      <c r="C214" s="629" t="s">
        <v>1100</v>
      </c>
      <c r="D214" s="629" t="s">
        <v>557</v>
      </c>
      <c r="E214" s="630">
        <v>1</v>
      </c>
      <c r="F214" s="630">
        <v>0</v>
      </c>
      <c r="G214" s="630">
        <v>4</v>
      </c>
      <c r="H214" s="630">
        <v>1</v>
      </c>
      <c r="I214" s="630">
        <v>605.6474329790293</v>
      </c>
      <c r="J214" s="648">
        <v>3</v>
      </c>
    </row>
    <row r="215" spans="2:10" x14ac:dyDescent="0.35">
      <c r="B215" s="632" t="s">
        <v>243</v>
      </c>
      <c r="C215" s="629" t="s">
        <v>1045</v>
      </c>
      <c r="D215" s="629" t="s">
        <v>557</v>
      </c>
      <c r="E215" s="630">
        <v>0</v>
      </c>
      <c r="F215" s="630">
        <v>0</v>
      </c>
      <c r="G215" s="630">
        <v>0</v>
      </c>
      <c r="H215" s="630">
        <v>0</v>
      </c>
      <c r="I215" s="630">
        <v>8.935231238114083</v>
      </c>
      <c r="J215" s="648">
        <v>3</v>
      </c>
    </row>
    <row r="216" spans="2:10" x14ac:dyDescent="0.35">
      <c r="B216" s="632" t="s">
        <v>461</v>
      </c>
      <c r="C216" s="629" t="s">
        <v>1100</v>
      </c>
      <c r="D216" s="629" t="s">
        <v>557</v>
      </c>
      <c r="E216" s="630">
        <v>0</v>
      </c>
      <c r="F216" s="630">
        <v>0</v>
      </c>
      <c r="G216" s="630">
        <v>0</v>
      </c>
      <c r="H216" s="630">
        <v>0</v>
      </c>
      <c r="I216" s="630">
        <v>0.98936670901780188</v>
      </c>
      <c r="J216" s="648">
        <v>3</v>
      </c>
    </row>
    <row r="217" spans="2:10" x14ac:dyDescent="0.35">
      <c r="B217" s="632" t="s">
        <v>206</v>
      </c>
      <c r="C217" s="629" t="s">
        <v>1042</v>
      </c>
      <c r="D217" s="629" t="s">
        <v>557</v>
      </c>
      <c r="E217" s="630">
        <v>0</v>
      </c>
      <c r="F217" s="630">
        <v>1</v>
      </c>
      <c r="G217" s="630">
        <v>1</v>
      </c>
      <c r="H217" s="630">
        <v>0</v>
      </c>
      <c r="I217" s="630">
        <v>21.366692681509626</v>
      </c>
      <c r="J217" s="648">
        <v>3</v>
      </c>
    </row>
    <row r="218" spans="2:10" x14ac:dyDescent="0.35">
      <c r="B218" s="632" t="s">
        <v>462</v>
      </c>
      <c r="C218" s="629" t="s">
        <v>1044</v>
      </c>
      <c r="D218" s="629" t="s">
        <v>557</v>
      </c>
      <c r="E218" s="630">
        <v>2</v>
      </c>
      <c r="F218" s="630">
        <v>0</v>
      </c>
      <c r="G218" s="630">
        <v>8</v>
      </c>
      <c r="H218" s="630">
        <v>1</v>
      </c>
      <c r="I218" s="630">
        <v>1487.7769707159939</v>
      </c>
      <c r="J218" s="648">
        <v>3</v>
      </c>
    </row>
    <row r="219" spans="2:10" x14ac:dyDescent="0.35">
      <c r="B219" s="632" t="s">
        <v>475</v>
      </c>
      <c r="C219" s="629" t="s">
        <v>1043</v>
      </c>
      <c r="D219" s="629" t="s">
        <v>557</v>
      </c>
      <c r="E219" s="630">
        <v>0</v>
      </c>
      <c r="F219" s="630">
        <v>0</v>
      </c>
      <c r="G219" s="630">
        <v>0</v>
      </c>
      <c r="H219" s="630">
        <v>0</v>
      </c>
      <c r="I219" s="630">
        <v>11.904282689993183</v>
      </c>
      <c r="J219" s="648">
        <v>3</v>
      </c>
    </row>
    <row r="220" spans="2:10" x14ac:dyDescent="0.35">
      <c r="B220" s="632" t="s">
        <v>208</v>
      </c>
      <c r="C220" s="629" t="s">
        <v>1042</v>
      </c>
      <c r="D220" s="629" t="s">
        <v>557</v>
      </c>
      <c r="E220" s="630">
        <v>2</v>
      </c>
      <c r="F220" s="630">
        <v>12</v>
      </c>
      <c r="G220" s="630">
        <v>10</v>
      </c>
      <c r="H220" s="630">
        <v>1</v>
      </c>
      <c r="I220" s="630">
        <v>29.090965870879078</v>
      </c>
      <c r="J220" s="648">
        <v>3</v>
      </c>
    </row>
    <row r="221" spans="2:10" x14ac:dyDescent="0.35">
      <c r="B221" s="632" t="s">
        <v>251</v>
      </c>
      <c r="C221" s="629" t="s">
        <v>1100</v>
      </c>
      <c r="D221" s="629" t="s">
        <v>557</v>
      </c>
      <c r="E221" s="630">
        <v>0</v>
      </c>
      <c r="F221" s="630">
        <v>0</v>
      </c>
      <c r="G221" s="630">
        <v>0</v>
      </c>
      <c r="H221" s="630">
        <v>0</v>
      </c>
      <c r="I221" s="630">
        <v>0.12552902142218009</v>
      </c>
      <c r="J221" s="648">
        <v>3</v>
      </c>
    </row>
    <row r="222" spans="2:10" x14ac:dyDescent="0.35">
      <c r="B222" s="960" t="s">
        <v>483</v>
      </c>
      <c r="C222" s="629" t="s">
        <v>1043</v>
      </c>
      <c r="D222" s="629" t="s">
        <v>557</v>
      </c>
      <c r="E222" s="630">
        <v>0</v>
      </c>
      <c r="F222" s="630">
        <v>0</v>
      </c>
      <c r="G222" s="630">
        <v>0</v>
      </c>
      <c r="H222" s="630">
        <v>0</v>
      </c>
      <c r="I222" s="630">
        <v>24</v>
      </c>
      <c r="J222" s="648">
        <v>3</v>
      </c>
    </row>
    <row r="223" spans="2:10" x14ac:dyDescent="0.35">
      <c r="B223" s="632" t="s">
        <v>228</v>
      </c>
      <c r="C223" s="629" t="s">
        <v>1044</v>
      </c>
      <c r="D223" s="629" t="s">
        <v>557</v>
      </c>
      <c r="E223" s="630">
        <v>0</v>
      </c>
      <c r="F223" s="630">
        <v>1</v>
      </c>
      <c r="G223" s="630">
        <v>1</v>
      </c>
      <c r="H223" s="630">
        <v>0</v>
      </c>
      <c r="I223" s="630">
        <v>82.15409141049102</v>
      </c>
      <c r="J223" s="648">
        <v>3</v>
      </c>
    </row>
    <row r="224" spans="2:10" x14ac:dyDescent="0.35">
      <c r="B224" s="632" t="s">
        <v>500</v>
      </c>
      <c r="C224" s="629" t="s">
        <v>1044</v>
      </c>
      <c r="D224" s="629" t="s">
        <v>557</v>
      </c>
      <c r="E224" s="630">
        <v>1</v>
      </c>
      <c r="F224" s="630">
        <v>0</v>
      </c>
      <c r="G224" s="630">
        <v>3</v>
      </c>
      <c r="H224" s="630">
        <v>0</v>
      </c>
      <c r="I224" s="630">
        <v>547.10361785967746</v>
      </c>
      <c r="J224" s="648">
        <v>3</v>
      </c>
    </row>
    <row r="225" spans="2:10" x14ac:dyDescent="0.35">
      <c r="B225" s="632" t="s">
        <v>510</v>
      </c>
      <c r="C225" s="629" t="s">
        <v>1043</v>
      </c>
      <c r="D225" s="629" t="s">
        <v>557</v>
      </c>
      <c r="E225" s="630">
        <v>0</v>
      </c>
      <c r="F225" s="630">
        <v>0</v>
      </c>
      <c r="G225" s="630">
        <v>1</v>
      </c>
      <c r="H225" s="630">
        <v>0</v>
      </c>
      <c r="I225" s="630">
        <v>225.82813229404019</v>
      </c>
      <c r="J225" s="648">
        <v>3</v>
      </c>
    </row>
    <row r="226" spans="2:10" x14ac:dyDescent="0.35">
      <c r="B226" s="632" t="s">
        <v>511</v>
      </c>
      <c r="C226" s="629" t="s">
        <v>1043</v>
      </c>
      <c r="D226" s="629" t="s">
        <v>557</v>
      </c>
      <c r="E226" s="630">
        <v>0</v>
      </c>
      <c r="F226" s="630">
        <v>0</v>
      </c>
      <c r="G226" s="630">
        <v>0</v>
      </c>
      <c r="H226" s="630">
        <v>0</v>
      </c>
      <c r="I226" s="630">
        <v>2454.8171967340095</v>
      </c>
      <c r="J226" s="648">
        <v>3</v>
      </c>
    </row>
    <row r="227" spans="2:10" x14ac:dyDescent="0.35">
      <c r="B227" s="265" t="s">
        <v>532</v>
      </c>
      <c r="C227" s="629" t="s">
        <v>1044</v>
      </c>
      <c r="D227" s="629" t="s">
        <v>557</v>
      </c>
      <c r="E227" s="630">
        <v>0</v>
      </c>
      <c r="F227" s="630">
        <v>0</v>
      </c>
      <c r="G227" s="630">
        <v>0</v>
      </c>
      <c r="H227" s="630">
        <v>0</v>
      </c>
      <c r="I227" s="630">
        <v>2.1317426115633045</v>
      </c>
      <c r="J227" s="648">
        <v>3</v>
      </c>
    </row>
    <row r="228" spans="2:10" x14ac:dyDescent="0.35">
      <c r="B228" s="632" t="s">
        <v>254</v>
      </c>
      <c r="C228" s="629" t="s">
        <v>1100</v>
      </c>
      <c r="D228" s="629" t="s">
        <v>557</v>
      </c>
      <c r="E228" s="630">
        <v>0</v>
      </c>
      <c r="F228" s="630">
        <v>0</v>
      </c>
      <c r="G228" s="630">
        <v>0</v>
      </c>
      <c r="H228" s="630">
        <v>0</v>
      </c>
      <c r="I228" s="630">
        <v>3.7361395253075322</v>
      </c>
      <c r="J228" s="648">
        <v>3</v>
      </c>
    </row>
    <row r="229" spans="2:10" x14ac:dyDescent="0.35">
      <c r="B229" s="632" t="s">
        <v>514</v>
      </c>
      <c r="C229" s="629" t="s">
        <v>1043</v>
      </c>
      <c r="D229" s="629" t="s">
        <v>557</v>
      </c>
      <c r="E229" s="630">
        <v>0</v>
      </c>
      <c r="F229" s="630">
        <v>0</v>
      </c>
      <c r="G229" s="630">
        <v>0</v>
      </c>
      <c r="H229" s="630">
        <v>0</v>
      </c>
      <c r="I229" s="630">
        <v>166.28833979801132</v>
      </c>
      <c r="J229" s="648">
        <v>3</v>
      </c>
    </row>
    <row r="230" spans="2:10" x14ac:dyDescent="0.35">
      <c r="B230" s="632" t="s">
        <v>178</v>
      </c>
      <c r="C230" s="629" t="s">
        <v>1042</v>
      </c>
      <c r="D230" s="629" t="s">
        <v>557</v>
      </c>
      <c r="E230" s="630">
        <v>87</v>
      </c>
      <c r="F230" s="630">
        <v>20</v>
      </c>
      <c r="G230" s="630">
        <v>387</v>
      </c>
      <c r="H230" s="630">
        <v>55</v>
      </c>
      <c r="I230" s="630">
        <v>1110.043765492492</v>
      </c>
      <c r="J230" s="648">
        <v>3</v>
      </c>
    </row>
    <row r="231" spans="2:10" x14ac:dyDescent="0.35">
      <c r="B231" s="632" t="s">
        <v>245</v>
      </c>
      <c r="C231" s="629" t="s">
        <v>1045</v>
      </c>
      <c r="D231" s="629" t="s">
        <v>557</v>
      </c>
      <c r="E231" s="630">
        <v>0</v>
      </c>
      <c r="F231" s="630">
        <v>0</v>
      </c>
      <c r="G231" s="630">
        <v>0</v>
      </c>
      <c r="H231" s="630">
        <v>0</v>
      </c>
      <c r="I231" s="630">
        <v>404.21752890535987</v>
      </c>
      <c r="J231" s="648">
        <v>3</v>
      </c>
    </row>
    <row r="232" spans="2:10" x14ac:dyDescent="0.35">
      <c r="B232" s="632" t="s">
        <v>535</v>
      </c>
      <c r="C232" s="629" t="s">
        <v>1044</v>
      </c>
      <c r="D232" s="629" t="s">
        <v>557</v>
      </c>
      <c r="E232" s="630">
        <v>0</v>
      </c>
      <c r="F232" s="630">
        <v>0</v>
      </c>
      <c r="G232" s="630">
        <v>0</v>
      </c>
      <c r="H232" s="630">
        <v>0</v>
      </c>
      <c r="I232" s="630">
        <v>1.2897278954053477</v>
      </c>
      <c r="J232" s="648">
        <v>3</v>
      </c>
    </row>
    <row r="233" spans="2:10" x14ac:dyDescent="0.35">
      <c r="B233" s="632" t="s">
        <v>229</v>
      </c>
      <c r="C233" s="629" t="s">
        <v>1044</v>
      </c>
      <c r="D233" s="629" t="s">
        <v>557</v>
      </c>
      <c r="E233" s="630">
        <v>0</v>
      </c>
      <c r="F233" s="630">
        <v>0</v>
      </c>
      <c r="G233" s="630">
        <v>0</v>
      </c>
      <c r="H233" s="630">
        <v>0</v>
      </c>
      <c r="I233" s="630">
        <v>6.7798149833763359</v>
      </c>
      <c r="J233" s="648">
        <v>3</v>
      </c>
    </row>
    <row r="234" spans="2:10" x14ac:dyDescent="0.35">
      <c r="B234" s="632" t="s">
        <v>547</v>
      </c>
      <c r="C234" s="629" t="s">
        <v>1045</v>
      </c>
      <c r="D234" s="629" t="s">
        <v>557</v>
      </c>
      <c r="E234" s="630">
        <v>6</v>
      </c>
      <c r="F234" s="630">
        <v>1</v>
      </c>
      <c r="G234" s="630">
        <v>25</v>
      </c>
      <c r="H234" s="630">
        <v>4</v>
      </c>
      <c r="I234" s="630">
        <v>1319.8382750610176</v>
      </c>
      <c r="J234" s="648">
        <v>3</v>
      </c>
    </row>
    <row r="235" spans="2:10" x14ac:dyDescent="0.35">
      <c r="B235" s="632" t="s">
        <v>256</v>
      </c>
      <c r="C235" s="629" t="s">
        <v>1100</v>
      </c>
      <c r="D235" s="629" t="s">
        <v>557</v>
      </c>
      <c r="E235" s="630">
        <v>0</v>
      </c>
      <c r="F235" s="630">
        <v>0</v>
      </c>
      <c r="G235" s="630">
        <v>0</v>
      </c>
      <c r="H235" s="630">
        <v>0</v>
      </c>
      <c r="I235" s="630">
        <v>1.980868787709666</v>
      </c>
      <c r="J235" s="648">
        <v>3</v>
      </c>
    </row>
    <row r="236" spans="2:10" x14ac:dyDescent="0.35">
      <c r="B236" s="632" t="s">
        <v>550</v>
      </c>
      <c r="C236" s="629" t="s">
        <v>1043</v>
      </c>
      <c r="D236" s="629" t="s">
        <v>557</v>
      </c>
      <c r="E236" s="630">
        <v>0</v>
      </c>
      <c r="F236" s="630">
        <v>0</v>
      </c>
      <c r="G236" s="630">
        <v>0</v>
      </c>
      <c r="H236" s="630">
        <v>0</v>
      </c>
      <c r="I236" s="630">
        <v>1581.510516829994</v>
      </c>
      <c r="J236" s="648">
        <v>3</v>
      </c>
    </row>
    <row r="237" spans="2:10" x14ac:dyDescent="0.35">
      <c r="B237" s="632" t="s">
        <v>551</v>
      </c>
      <c r="C237" s="629" t="s">
        <v>1043</v>
      </c>
      <c r="D237" s="629" t="s">
        <v>557</v>
      </c>
      <c r="E237" s="630">
        <v>0</v>
      </c>
      <c r="F237" s="630">
        <v>0</v>
      </c>
      <c r="G237" s="630">
        <v>0</v>
      </c>
      <c r="H237" s="630">
        <v>0</v>
      </c>
      <c r="I237" s="630">
        <v>69.296288091658099</v>
      </c>
      <c r="J237" s="648">
        <v>3</v>
      </c>
    </row>
    <row r="238" spans="2:10" x14ac:dyDescent="0.35">
      <c r="B238" s="632" t="s">
        <v>257</v>
      </c>
      <c r="C238" s="629" t="s">
        <v>1100</v>
      </c>
      <c r="D238" s="629" t="s">
        <v>557</v>
      </c>
      <c r="E238" s="630">
        <v>0</v>
      </c>
      <c r="F238" s="630">
        <v>0</v>
      </c>
      <c r="G238" s="630">
        <v>0</v>
      </c>
      <c r="H238" s="630">
        <v>0</v>
      </c>
      <c r="I238" s="630">
        <v>0.13591980162351439</v>
      </c>
      <c r="J238" s="648">
        <v>3</v>
      </c>
    </row>
    <row r="239" spans="2:10" ht="15" thickBot="1" x14ac:dyDescent="0.4">
      <c r="B239" s="267" t="s">
        <v>562</v>
      </c>
      <c r="C239" s="637" t="s">
        <v>1044</v>
      </c>
      <c r="D239" s="637" t="s">
        <v>557</v>
      </c>
      <c r="E239" s="638">
        <v>0</v>
      </c>
      <c r="F239" s="638">
        <v>0</v>
      </c>
      <c r="G239" s="638">
        <v>0</v>
      </c>
      <c r="H239" s="638">
        <v>0</v>
      </c>
      <c r="I239" s="638">
        <v>540.55250984971951</v>
      </c>
      <c r="J239" s="730">
        <v>3</v>
      </c>
    </row>
  </sheetData>
  <autoFilter ref="B19:J239" xr:uid="{00000000-0009-0000-0000-000008000000}"/>
  <mergeCells count="2">
    <mergeCell ref="D4:E4"/>
    <mergeCell ref="G14:H14"/>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286B3B45C49A4F8171599D907ECCD8" ma:contentTypeVersion="13" ma:contentTypeDescription="Create a new document." ma:contentTypeScope="" ma:versionID="6437627d9a52e0b755cf587b1c47a126">
  <xsd:schema xmlns:xsd="http://www.w3.org/2001/XMLSchema" xmlns:xs="http://www.w3.org/2001/XMLSchema" xmlns:p="http://schemas.microsoft.com/office/2006/metadata/properties" xmlns:ns3="b7a63352-765f-4f80-a2ca-5551bcebce40" xmlns:ns4="2f7087ff-3fee-40f1-9c46-baa7a18a8d5c" targetNamespace="http://schemas.microsoft.com/office/2006/metadata/properties" ma:root="true" ma:fieldsID="bddc1bfca8529ced144a020243fc85ff" ns3:_="" ns4:_="">
    <xsd:import namespace="b7a63352-765f-4f80-a2ca-5551bcebce40"/>
    <xsd:import namespace="2f7087ff-3fee-40f1-9c46-baa7a18a8d5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a63352-765f-4f80-a2ca-5551bcebce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7087ff-3fee-40f1-9c46-baa7a18a8d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c D A A B Q S w M E F A A C A A g A t H s 8 U B q V 7 F m n A A A A + Q A A A B I A H A B D b 2 5 m a W c v U G F j a 2 F n Z S 5 4 b W w g o h g A K K A U A A A A A A A A A A A A A A A A A A A A A A A A A A A A h Y / R C o I w G I V f R X b v N i d G y O + 8 6 D Y h k K L b M Z e O d I a b z X f r o k f q F R L K 6 q 7 L c / g O f O d x u 0 M + d W 1 w V Y P V v c l Q h C k K l J F 9 p U 2 d o d G d w j X K O e y E P I t a B T N s b D p Z n a H G u U t K i P c e + x j 3 Q 0 0 Y p R E 5 F t t S N q o T o T b W C S M V + q y q / y v E 4 f C S 4 Q w n K 5 x Q F u M o o g z I 0 k O h z Z d h s z K m Q H 5 K 2 I y t G w f F l Q n 3 J Z A l A n n f 4 E 9 Q S w M E F A A C A A g A t H s 8 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R 7 P F A o i k e 4 D g A A A B E A A A A T A B w A R m 9 y b X V s Y X M v U 2 V j d G l v b j E u b S C i G A A o o B Q A A A A A A A A A A A A A A A A A A A A A A A A A A A A r T k 0 u y c z P U w i G 0 I b W A F B L A Q I t A B Q A A g A I A L R 7 P F A a l e x Z p w A A A P k A A A A S A A A A A A A A A A A A A A A A A A A A A A B D b 2 5 m a W c v U G F j a 2 F n Z S 5 4 b W x Q S w E C L Q A U A A I A C A C 0 e z x Q D 8 r p q 6 Q A A A D p A A A A E w A A A A A A A A A A A A A A A A D z A A A A W 0 N v b n R l b n R f V H l w Z X N d L n h t b F B L A Q I t A B Q A A g A I A L R 7 P 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g g D j f F D p R Z + s F S V 1 p f K H A A A A A A I A A A A A A A N m A A D A A A A A E A A A A I Q b / T A 9 Y P X O J e v F J w G B P M M A A A A A B I A A A K A A A A A Q A A A A B 2 O z D W b r X 2 Z n r K n 7 4 f A W 1 V A A A A A s p w U s 4 1 P x n b m u W H j Q G h Z b Z x Z I m H j b W e T W p S 6 e 3 7 g z u U u 6 Y 3 W q c E p X Y g 4 T i Z Q Z x d H b 6 l I s I h K k P n N U t 1 Z 0 b 9 L R Y B Q / Z i F c 5 h m x n Q D E O / 7 y e B Q A A A D p 9 i r c J 7 2 o E O g s w 7 A e v x 6 Z D a 2 q 1 Q = = < / D a t a M a s h u p > 
</file>

<file path=customXml/itemProps1.xml><?xml version="1.0" encoding="utf-8"?>
<ds:datastoreItem xmlns:ds="http://schemas.openxmlformats.org/officeDocument/2006/customXml" ds:itemID="{7A253DB3-17EC-4F53-AA94-487C04F0E967}">
  <ds:schemaRefs>
    <ds:schemaRef ds:uri="http://purl.org/dc/dcmitype/"/>
    <ds:schemaRef ds:uri="2f7087ff-3fee-40f1-9c46-baa7a18a8d5c"/>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b7a63352-765f-4f80-a2ca-5551bcebce40"/>
    <ds:schemaRef ds:uri="http://www.w3.org/XML/1998/namespace"/>
  </ds:schemaRefs>
</ds:datastoreItem>
</file>

<file path=customXml/itemProps2.xml><?xml version="1.0" encoding="utf-8"?>
<ds:datastoreItem xmlns:ds="http://schemas.openxmlformats.org/officeDocument/2006/customXml" ds:itemID="{AA13482A-2B3D-4BFC-97F0-84259D10CABF}">
  <ds:schemaRefs>
    <ds:schemaRef ds:uri="http://schemas.microsoft.com/sharepoint/v3/contenttype/forms"/>
  </ds:schemaRefs>
</ds:datastoreItem>
</file>

<file path=customXml/itemProps3.xml><?xml version="1.0" encoding="utf-8"?>
<ds:datastoreItem xmlns:ds="http://schemas.openxmlformats.org/officeDocument/2006/customXml" ds:itemID="{D5DF53CD-CB05-4C47-A250-BC38289E2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a63352-765f-4f80-a2ca-5551bcebce40"/>
    <ds:schemaRef ds:uri="2f7087ff-3fee-40f1-9c46-baa7a18a8d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85B1FE2-4DF2-424F-A0C7-F9C8EF7245E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94</vt:i4>
      </vt:variant>
    </vt:vector>
  </HeadingPairs>
  <TitlesOfParts>
    <vt:vector size="120" baseType="lpstr">
      <vt:lpstr>DISCLAIMER</vt:lpstr>
      <vt:lpstr>lists</vt:lpstr>
      <vt:lpstr>Staffing from HRH tool</vt:lpstr>
      <vt:lpstr>Tool Overview</vt:lpstr>
      <vt:lpstr>Inputs</vt:lpstr>
      <vt:lpstr>User Dashboard</vt:lpstr>
      <vt:lpstr>Equipment List &amp; Usage</vt:lpstr>
      <vt:lpstr>SUMMARY TABS -&gt;</vt:lpstr>
      <vt:lpstr>Diagnostics Module</vt:lpstr>
      <vt:lpstr>Commodities by Week</vt:lpstr>
      <vt:lpstr>Weekly Summary</vt:lpstr>
      <vt:lpstr>Patient Calcs -&gt; </vt:lpstr>
      <vt:lpstr>Patient Calcs</vt:lpstr>
      <vt:lpstr>SIR Model Patient Calcs</vt:lpstr>
      <vt:lpstr>REFERENCE DATA -&gt;</vt:lpstr>
      <vt:lpstr>HCW, Staff, Beds Summary</vt:lpstr>
      <vt:lpstr>WHO GHO Data</vt:lpstr>
      <vt:lpstr>WB Beds</vt:lpstr>
      <vt:lpstr>UNDP Population Data</vt:lpstr>
      <vt:lpstr>Back Calculations</vt:lpstr>
      <vt:lpstr>Blank Sheets -&gt;</vt:lpstr>
      <vt:lpstr>Blank Sheet 1</vt:lpstr>
      <vt:lpstr>Blank Sheet 2</vt:lpstr>
      <vt:lpstr>Blank Sheet 3</vt:lpstr>
      <vt:lpstr>Blank Sheet 4</vt:lpstr>
      <vt:lpstr>Daily Contacts by Country</vt:lpstr>
      <vt:lpstr>DISCLAIMER!_Hlk41411087</vt:lpstr>
      <vt:lpstr>Ambulanciers_per_bed</vt:lpstr>
      <vt:lpstr>Attack_rate_modelled</vt:lpstr>
      <vt:lpstr>AttackRate</vt:lpstr>
      <vt:lpstr>BedStay_Critical</vt:lpstr>
      <vt:lpstr>BedStay_Severe</vt:lpstr>
      <vt:lpstr>BiomedEngineers_per_bed</vt:lpstr>
      <vt:lpstr>Caretaker_to_outpatient</vt:lpstr>
      <vt:lpstr>Caretakers_per_bed</vt:lpstr>
      <vt:lpstr>CritcalCasePercentage</vt:lpstr>
      <vt:lpstr>CriticalCasePercentage</vt:lpstr>
      <vt:lpstr>Current_known_cases</vt:lpstr>
      <vt:lpstr>Doubling_rate_modelled</vt:lpstr>
      <vt:lpstr>Fast_doubling_rate</vt:lpstr>
      <vt:lpstr>HCW_per_lab</vt:lpstr>
      <vt:lpstr>HCWs_per_bed</vt:lpstr>
      <vt:lpstr>Hygienists_per_bed</vt:lpstr>
      <vt:lpstr>Hygienists_per_lab</vt:lpstr>
      <vt:lpstr>LinkToSIR</vt:lpstr>
      <vt:lpstr>LU_StaffCategory</vt:lpstr>
      <vt:lpstr>Max_caretakers_per_week_for_outpatients</vt:lpstr>
      <vt:lpstr>Max_critical_beds_for_period</vt:lpstr>
      <vt:lpstr>Max_critical_capped_beds</vt:lpstr>
      <vt:lpstr>Max_HCW_for_outpatient</vt:lpstr>
      <vt:lpstr>Max_hospitals_operating</vt:lpstr>
      <vt:lpstr>Max_inpatient_ambulancier</vt:lpstr>
      <vt:lpstr>Max_inpatient_caretaker</vt:lpstr>
      <vt:lpstr>Max_inpatient_HCWs</vt:lpstr>
      <vt:lpstr>Max_inpatient_hygienist</vt:lpstr>
      <vt:lpstr>Max_Lab_HCWs</vt:lpstr>
      <vt:lpstr>Max_Lab_hygienists</vt:lpstr>
      <vt:lpstr>Max_outpatients_diagnosed_per_week</vt:lpstr>
      <vt:lpstr>Max_severe_beds_for_period</vt:lpstr>
      <vt:lpstr>Max_severe_capped_beds</vt:lpstr>
      <vt:lpstr>Max_total_capped_beds</vt:lpstr>
      <vt:lpstr>MaxTestsPerDay</vt:lpstr>
      <vt:lpstr>Medium_doubling_rate</vt:lpstr>
      <vt:lpstr>Mild_testing_percentage</vt:lpstr>
      <vt:lpstr>Mild_testing_strategy</vt:lpstr>
      <vt:lpstr>MildCasePercentage</vt:lpstr>
      <vt:lpstr>ModerateCasePercentage</vt:lpstr>
      <vt:lpstr>NumberOfBeds_per_centre</vt:lpstr>
      <vt:lpstr>DISCLAIMER!OLE_LINK1</vt:lpstr>
      <vt:lpstr>Output_beds_in_country</vt:lpstr>
      <vt:lpstr>SelfQuarantine_Mild</vt:lpstr>
      <vt:lpstr>SelfQuarantine_Moderate</vt:lpstr>
      <vt:lpstr>SevereCasePercentage</vt:lpstr>
      <vt:lpstr>Slow_doubling_rate</vt:lpstr>
      <vt:lpstr>Start_week_for_forecasting</vt:lpstr>
      <vt:lpstr>SuspectedCaseMultiplier</vt:lpstr>
      <vt:lpstr>Tests_for_diagnosis</vt:lpstr>
      <vt:lpstr>Tests_for_release</vt:lpstr>
      <vt:lpstr>Tests_per_HCW</vt:lpstr>
      <vt:lpstr>Tests_SevereOrCritical</vt:lpstr>
      <vt:lpstr>'Commodities by Week'!Toggle_biomedical</vt:lpstr>
      <vt:lpstr>Toggle_biomedical</vt:lpstr>
      <vt:lpstr>Toggle_consultation</vt:lpstr>
      <vt:lpstr>Toggle_Consumables</vt:lpstr>
      <vt:lpstr>'Commodities by Week'!Toggle_Diagnostics</vt:lpstr>
      <vt:lpstr>Toggle_Diagnostics</vt:lpstr>
      <vt:lpstr>Toggle_Drugs</vt:lpstr>
      <vt:lpstr>'Commodities by Week'!Toggle_Hygiene</vt:lpstr>
      <vt:lpstr>Toggle_Hygiene</vt:lpstr>
      <vt:lpstr>Toggle_inpatient</vt:lpstr>
      <vt:lpstr>Toggle_labs</vt:lpstr>
      <vt:lpstr>Toggle_outpatient</vt:lpstr>
      <vt:lpstr>'Commodities by Week'!Toggle_PPE</vt:lpstr>
      <vt:lpstr>Toggle_PPE</vt:lpstr>
      <vt:lpstr>Total_admitted_capped_critical_patients</vt:lpstr>
      <vt:lpstr>Total_admitted_capped_moderate_patients</vt:lpstr>
      <vt:lpstr>Total_admitted_capped_severe_patients</vt:lpstr>
      <vt:lpstr>Total_caretaker</vt:lpstr>
      <vt:lpstr>Total_caretaker_for_outpatient</vt:lpstr>
      <vt:lpstr>Total_crit_patients_in_bed_over_forecast</vt:lpstr>
      <vt:lpstr>Total_critical_cases_for_period</vt:lpstr>
      <vt:lpstr>Total_HCW_for_outpatient_over_time</vt:lpstr>
      <vt:lpstr>Total_HCW_labs_over_time</vt:lpstr>
      <vt:lpstr>Total_hospitals_operating_per_week_over_time</vt:lpstr>
      <vt:lpstr>Total_hygienist_labs_over_time</vt:lpstr>
      <vt:lpstr>Total_inpatient_ambulancier_over_time</vt:lpstr>
      <vt:lpstr>Total_Inpatient_caretaker_over_time</vt:lpstr>
      <vt:lpstr>Total_inpatient_HCWs_over_time</vt:lpstr>
      <vt:lpstr>Total_inpatient_Hygienist_over_time</vt:lpstr>
      <vt:lpstr>Total_Inpatients_in_beds_over_time</vt:lpstr>
      <vt:lpstr>Total_labs</vt:lpstr>
      <vt:lpstr>Total_mild_cases_for_period</vt:lpstr>
      <vt:lpstr>Total_Mild_Outpatient</vt:lpstr>
      <vt:lpstr>Total_moderate_outpatient</vt:lpstr>
      <vt:lpstr>Total_new_cases_for_period</vt:lpstr>
      <vt:lpstr>Total_Outpatient</vt:lpstr>
      <vt:lpstr>Total_severe_cases_for_period</vt:lpstr>
      <vt:lpstr>Total_severe_patients_in_bed_over_forecast</vt:lpstr>
      <vt:lpstr>Total_tests_conducted</vt:lpstr>
      <vt:lpstr>WeekSuppliedUntil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Constance McDonough-Thayer</dc:creator>
  <cp:lastModifiedBy>Lauren Alexandra CLARKE</cp:lastModifiedBy>
  <cp:lastPrinted>2020-06-16T18:36:06Z</cp:lastPrinted>
  <dcterms:created xsi:type="dcterms:W3CDTF">2020-01-28T10:36:37Z</dcterms:created>
  <dcterms:modified xsi:type="dcterms:W3CDTF">2021-02-25T10:52:16Z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0x01010010286B3B45C49A4F8171599D907ECCD8</vt:lpwstr>
  </property>
</Properties>
</file>